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28125"/>
  <workbookPr autoCompressPictures="0"/>
  <bookViews>
    <workbookView xWindow="0" yWindow="0" windowWidth="20500" windowHeight="7680"/>
  </bookViews>
  <sheets>
    <sheet name="export_194012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" i="1" l="1"/>
  <c r="D2" i="1"/>
  <c r="C3" i="1"/>
  <c r="D3" i="1"/>
  <c r="C4" i="1"/>
  <c r="D4" i="1"/>
  <c r="C5" i="1"/>
  <c r="D5" i="1"/>
  <c r="C6" i="1"/>
  <c r="D6" i="1"/>
  <c r="C7" i="1"/>
  <c r="D7" i="1"/>
  <c r="C8" i="1"/>
  <c r="D8" i="1"/>
  <c r="C9" i="1"/>
  <c r="D9" i="1"/>
  <c r="C10" i="1"/>
  <c r="D10" i="1"/>
  <c r="C11" i="1"/>
  <c r="D11" i="1"/>
  <c r="C12" i="1"/>
  <c r="D12" i="1"/>
  <c r="C13" i="1"/>
  <c r="D13" i="1"/>
  <c r="C14" i="1"/>
  <c r="D14" i="1"/>
  <c r="C15" i="1"/>
  <c r="D15" i="1"/>
  <c r="C16" i="1"/>
  <c r="D16" i="1"/>
  <c r="C17" i="1"/>
  <c r="D17" i="1"/>
  <c r="C18" i="1"/>
  <c r="D18" i="1"/>
  <c r="C19" i="1"/>
  <c r="D19" i="1"/>
  <c r="C20" i="1"/>
  <c r="D20" i="1"/>
  <c r="C21" i="1"/>
  <c r="D21" i="1"/>
  <c r="C22" i="1"/>
  <c r="D22" i="1"/>
  <c r="C23" i="1"/>
  <c r="D23" i="1"/>
  <c r="C24" i="1"/>
  <c r="D24" i="1"/>
  <c r="C25" i="1"/>
  <c r="D25" i="1"/>
  <c r="C26" i="1"/>
  <c r="D26" i="1"/>
  <c r="C27" i="1"/>
  <c r="D27" i="1"/>
  <c r="C28" i="1"/>
  <c r="D28" i="1"/>
  <c r="C29" i="1"/>
  <c r="D29" i="1"/>
  <c r="C30" i="1"/>
  <c r="D30" i="1"/>
  <c r="C31" i="1"/>
  <c r="D31" i="1"/>
  <c r="C32" i="1"/>
  <c r="D32" i="1"/>
  <c r="C33" i="1"/>
  <c r="D33" i="1"/>
  <c r="C34" i="1"/>
  <c r="D34" i="1"/>
  <c r="C35" i="1"/>
  <c r="D35" i="1"/>
  <c r="C36" i="1"/>
  <c r="D36" i="1"/>
  <c r="C37" i="1"/>
  <c r="D37" i="1"/>
  <c r="C38" i="1"/>
  <c r="D38" i="1"/>
  <c r="C39" i="1"/>
  <c r="D39" i="1"/>
  <c r="C40" i="1"/>
  <c r="D40" i="1"/>
  <c r="C41" i="1"/>
  <c r="D41" i="1"/>
  <c r="C42" i="1"/>
  <c r="D42" i="1"/>
  <c r="C43" i="1"/>
  <c r="D43" i="1"/>
  <c r="C44" i="1"/>
  <c r="D44" i="1"/>
  <c r="C45" i="1"/>
  <c r="D45" i="1"/>
  <c r="C46" i="1"/>
  <c r="D46" i="1"/>
  <c r="C47" i="1"/>
  <c r="D47" i="1"/>
  <c r="C48" i="1"/>
  <c r="D48" i="1"/>
  <c r="C49" i="1"/>
  <c r="D49" i="1"/>
  <c r="C50" i="1"/>
  <c r="D50" i="1"/>
  <c r="C51" i="1"/>
  <c r="D51" i="1"/>
  <c r="C52" i="1"/>
  <c r="D52" i="1"/>
  <c r="C53" i="1"/>
  <c r="D53" i="1"/>
  <c r="C54" i="1"/>
  <c r="D54" i="1"/>
  <c r="C55" i="1"/>
  <c r="D55" i="1"/>
  <c r="C56" i="1"/>
  <c r="D56" i="1"/>
  <c r="C57" i="1"/>
  <c r="D57" i="1"/>
  <c r="C58" i="1"/>
  <c r="D58" i="1"/>
  <c r="C59" i="1"/>
  <c r="D59" i="1"/>
  <c r="C60" i="1"/>
  <c r="D60" i="1"/>
  <c r="C61" i="1"/>
  <c r="D61" i="1"/>
  <c r="C62" i="1"/>
  <c r="D62" i="1"/>
  <c r="C63" i="1"/>
  <c r="D63" i="1"/>
  <c r="C64" i="1"/>
  <c r="D64" i="1"/>
  <c r="C65" i="1"/>
  <c r="D65" i="1"/>
  <c r="C66" i="1"/>
  <c r="D66" i="1"/>
  <c r="C67" i="1"/>
  <c r="D67" i="1"/>
  <c r="C68" i="1"/>
  <c r="D68" i="1"/>
  <c r="C69" i="1"/>
  <c r="D69" i="1"/>
  <c r="C70" i="1"/>
  <c r="D70" i="1"/>
  <c r="C71" i="1"/>
  <c r="D71" i="1"/>
  <c r="C72" i="1"/>
  <c r="D72" i="1"/>
  <c r="C73" i="1"/>
  <c r="D73" i="1"/>
  <c r="C74" i="1"/>
  <c r="D74" i="1"/>
  <c r="C75" i="1"/>
  <c r="D75" i="1"/>
  <c r="C76" i="1"/>
  <c r="D76" i="1"/>
  <c r="C77" i="1"/>
  <c r="D77" i="1"/>
  <c r="C78" i="1"/>
  <c r="D78" i="1"/>
  <c r="C79" i="1"/>
  <c r="D79" i="1"/>
  <c r="C80" i="1"/>
  <c r="D80" i="1"/>
  <c r="C81" i="1"/>
  <c r="D81" i="1"/>
  <c r="C82" i="1"/>
  <c r="D82" i="1"/>
  <c r="C83" i="1"/>
  <c r="D83" i="1"/>
  <c r="C84" i="1"/>
  <c r="D84" i="1"/>
  <c r="C85" i="1"/>
  <c r="D85" i="1"/>
  <c r="C86" i="1"/>
  <c r="D86" i="1"/>
  <c r="C87" i="1"/>
  <c r="D87" i="1"/>
  <c r="C88" i="1"/>
  <c r="D88" i="1"/>
  <c r="C89" i="1"/>
  <c r="D89" i="1"/>
  <c r="C90" i="1"/>
  <c r="D90" i="1"/>
  <c r="C91" i="1"/>
  <c r="D91" i="1"/>
  <c r="C92" i="1"/>
  <c r="D92" i="1"/>
  <c r="C93" i="1"/>
  <c r="D93" i="1"/>
  <c r="C94" i="1"/>
  <c r="D94" i="1"/>
  <c r="C95" i="1"/>
  <c r="D95" i="1"/>
  <c r="C96" i="1"/>
  <c r="D96" i="1"/>
  <c r="C97" i="1"/>
  <c r="D97" i="1"/>
  <c r="C98" i="1"/>
  <c r="D98" i="1"/>
  <c r="C99" i="1"/>
  <c r="D99" i="1"/>
  <c r="C100" i="1"/>
  <c r="D100" i="1"/>
  <c r="C101" i="1"/>
  <c r="D101" i="1"/>
  <c r="C102" i="1"/>
  <c r="D102" i="1"/>
  <c r="C103" i="1"/>
  <c r="D103" i="1"/>
  <c r="C104" i="1"/>
  <c r="D104" i="1"/>
  <c r="C105" i="1"/>
  <c r="D105" i="1"/>
  <c r="C106" i="1"/>
  <c r="D106" i="1"/>
  <c r="C107" i="1"/>
  <c r="D107" i="1"/>
  <c r="C108" i="1"/>
  <c r="D108" i="1"/>
  <c r="C109" i="1"/>
  <c r="D109" i="1"/>
  <c r="C110" i="1"/>
  <c r="D110" i="1"/>
  <c r="C111" i="1"/>
  <c r="D111" i="1"/>
  <c r="C112" i="1"/>
  <c r="D112" i="1"/>
  <c r="C113" i="1"/>
  <c r="D113" i="1"/>
  <c r="C114" i="1"/>
  <c r="D114" i="1"/>
  <c r="C115" i="1"/>
  <c r="D115" i="1"/>
  <c r="C116" i="1"/>
  <c r="D116" i="1"/>
  <c r="C117" i="1"/>
  <c r="D117" i="1"/>
  <c r="C118" i="1"/>
  <c r="D118" i="1"/>
  <c r="C119" i="1"/>
  <c r="D119" i="1"/>
  <c r="C120" i="1"/>
  <c r="D120" i="1"/>
  <c r="C121" i="1"/>
  <c r="D121" i="1"/>
  <c r="C122" i="1"/>
  <c r="D122" i="1"/>
  <c r="C123" i="1"/>
  <c r="D123" i="1"/>
  <c r="C124" i="1"/>
  <c r="D124" i="1"/>
  <c r="C125" i="1"/>
  <c r="D125" i="1"/>
  <c r="C126" i="1"/>
  <c r="D126" i="1"/>
  <c r="C127" i="1"/>
  <c r="D127" i="1"/>
  <c r="C128" i="1"/>
  <c r="D128" i="1"/>
  <c r="C129" i="1"/>
  <c r="D129" i="1"/>
  <c r="C130" i="1"/>
  <c r="D130" i="1"/>
  <c r="C131" i="1"/>
  <c r="D131" i="1"/>
  <c r="C132" i="1"/>
  <c r="D132" i="1"/>
  <c r="C133" i="1"/>
  <c r="D133" i="1"/>
  <c r="C134" i="1"/>
  <c r="D134" i="1"/>
  <c r="C135" i="1"/>
  <c r="D135" i="1"/>
  <c r="C136" i="1"/>
  <c r="D136" i="1"/>
  <c r="C137" i="1"/>
  <c r="D137" i="1"/>
  <c r="C138" i="1"/>
  <c r="D138" i="1"/>
  <c r="C139" i="1"/>
  <c r="D139" i="1"/>
  <c r="C140" i="1"/>
  <c r="D140" i="1"/>
  <c r="C141" i="1"/>
  <c r="D141" i="1"/>
  <c r="C142" i="1"/>
  <c r="D142" i="1"/>
  <c r="C143" i="1"/>
  <c r="D143" i="1"/>
  <c r="C144" i="1"/>
  <c r="D144" i="1"/>
  <c r="C145" i="1"/>
  <c r="D145" i="1"/>
  <c r="C146" i="1"/>
  <c r="D146" i="1"/>
  <c r="C147" i="1"/>
  <c r="D147" i="1"/>
  <c r="C148" i="1"/>
  <c r="D148" i="1"/>
  <c r="C149" i="1"/>
  <c r="D149" i="1"/>
  <c r="C150" i="1"/>
  <c r="D150" i="1"/>
  <c r="C151" i="1"/>
  <c r="D151" i="1"/>
  <c r="C152" i="1"/>
  <c r="D152" i="1"/>
  <c r="C153" i="1"/>
  <c r="D153" i="1"/>
  <c r="C154" i="1"/>
  <c r="D154" i="1"/>
  <c r="C155" i="1"/>
  <c r="D155" i="1"/>
  <c r="C156" i="1"/>
  <c r="D156" i="1"/>
  <c r="C157" i="1"/>
  <c r="D157" i="1"/>
  <c r="C158" i="1"/>
  <c r="D158" i="1"/>
  <c r="C159" i="1"/>
  <c r="D159" i="1"/>
  <c r="C160" i="1"/>
  <c r="D160" i="1"/>
  <c r="C161" i="1"/>
  <c r="D161" i="1"/>
  <c r="C162" i="1"/>
  <c r="D162" i="1"/>
  <c r="C163" i="1"/>
  <c r="D163" i="1"/>
  <c r="C164" i="1"/>
  <c r="D164" i="1"/>
  <c r="C165" i="1"/>
  <c r="D165" i="1"/>
  <c r="C166" i="1"/>
  <c r="D166" i="1"/>
  <c r="C167" i="1"/>
  <c r="D167" i="1"/>
  <c r="C168" i="1"/>
  <c r="D168" i="1"/>
  <c r="C169" i="1"/>
  <c r="D169" i="1"/>
  <c r="C170" i="1"/>
  <c r="D170" i="1"/>
  <c r="C171" i="1"/>
  <c r="D171" i="1"/>
  <c r="C172" i="1"/>
  <c r="D172" i="1"/>
  <c r="C173" i="1"/>
  <c r="D173" i="1"/>
  <c r="C174" i="1"/>
  <c r="D174" i="1"/>
  <c r="C175" i="1"/>
  <c r="D175" i="1"/>
  <c r="C176" i="1"/>
  <c r="D176" i="1"/>
  <c r="C177" i="1"/>
  <c r="D177" i="1"/>
  <c r="C178" i="1"/>
  <c r="D178" i="1"/>
  <c r="C179" i="1"/>
  <c r="D179" i="1"/>
  <c r="C180" i="1"/>
  <c r="D180" i="1"/>
  <c r="C181" i="1"/>
  <c r="D181" i="1"/>
  <c r="C182" i="1"/>
  <c r="D182" i="1"/>
  <c r="C183" i="1"/>
  <c r="D183" i="1"/>
  <c r="C184" i="1"/>
  <c r="D184" i="1"/>
  <c r="C185" i="1"/>
  <c r="D185" i="1"/>
  <c r="C186" i="1"/>
  <c r="D186" i="1"/>
  <c r="C187" i="1"/>
  <c r="D187" i="1"/>
  <c r="C188" i="1"/>
  <c r="D188" i="1"/>
  <c r="C189" i="1"/>
  <c r="D189" i="1"/>
  <c r="C190" i="1"/>
  <c r="D190" i="1"/>
  <c r="C191" i="1"/>
  <c r="D191" i="1"/>
  <c r="C192" i="1"/>
  <c r="D192" i="1"/>
  <c r="C193" i="1"/>
  <c r="D193" i="1"/>
  <c r="C194" i="1"/>
  <c r="D194" i="1"/>
  <c r="C195" i="1"/>
  <c r="D195" i="1"/>
  <c r="C196" i="1"/>
  <c r="D196" i="1"/>
  <c r="C197" i="1"/>
  <c r="D197" i="1"/>
  <c r="C198" i="1"/>
  <c r="D198" i="1"/>
  <c r="C199" i="1"/>
  <c r="D199" i="1"/>
  <c r="C200" i="1"/>
  <c r="D200" i="1"/>
  <c r="C201" i="1"/>
  <c r="D201" i="1"/>
  <c r="C202" i="1"/>
  <c r="D202" i="1"/>
  <c r="C203" i="1"/>
  <c r="D203" i="1"/>
  <c r="C204" i="1"/>
  <c r="D204" i="1"/>
  <c r="C205" i="1"/>
  <c r="D205" i="1"/>
  <c r="C206" i="1"/>
  <c r="D206" i="1"/>
  <c r="C207" i="1"/>
  <c r="D207" i="1"/>
  <c r="C208" i="1"/>
  <c r="D208" i="1"/>
  <c r="C209" i="1"/>
  <c r="D209" i="1"/>
  <c r="C210" i="1"/>
  <c r="D210" i="1"/>
  <c r="C211" i="1"/>
  <c r="D211" i="1"/>
  <c r="C212" i="1"/>
  <c r="D212" i="1"/>
  <c r="C213" i="1"/>
  <c r="D213" i="1"/>
  <c r="C214" i="1"/>
  <c r="D214" i="1"/>
  <c r="C215" i="1"/>
  <c r="D215" i="1"/>
  <c r="C216" i="1"/>
  <c r="D216" i="1"/>
  <c r="C217" i="1"/>
  <c r="D217" i="1"/>
  <c r="C218" i="1"/>
  <c r="D218" i="1"/>
  <c r="C219" i="1"/>
  <c r="D219" i="1"/>
  <c r="C220" i="1"/>
  <c r="D220" i="1"/>
  <c r="C221" i="1"/>
  <c r="D221" i="1"/>
  <c r="C222" i="1"/>
  <c r="D222" i="1"/>
  <c r="C223" i="1"/>
  <c r="D223" i="1"/>
  <c r="C224" i="1"/>
  <c r="D224" i="1"/>
  <c r="C225" i="1"/>
  <c r="D225" i="1"/>
  <c r="C226" i="1"/>
  <c r="D226" i="1"/>
  <c r="C227" i="1"/>
  <c r="D227" i="1"/>
  <c r="C228" i="1"/>
  <c r="D228" i="1"/>
  <c r="C229" i="1"/>
  <c r="D229" i="1"/>
  <c r="C230" i="1"/>
  <c r="D230" i="1"/>
  <c r="C231" i="1"/>
  <c r="D231" i="1"/>
  <c r="C232" i="1"/>
  <c r="D232" i="1"/>
  <c r="C233" i="1"/>
  <c r="D233" i="1"/>
  <c r="C234" i="1"/>
  <c r="D234" i="1"/>
  <c r="C235" i="1"/>
  <c r="D235" i="1"/>
  <c r="C236" i="1"/>
  <c r="D236" i="1"/>
  <c r="C237" i="1"/>
  <c r="D237" i="1"/>
  <c r="C238" i="1"/>
  <c r="D238" i="1"/>
  <c r="C239" i="1"/>
  <c r="D239" i="1"/>
  <c r="C240" i="1"/>
  <c r="D240" i="1"/>
  <c r="C241" i="1"/>
  <c r="D241" i="1"/>
  <c r="C242" i="1"/>
  <c r="D242" i="1"/>
  <c r="C243" i="1"/>
  <c r="D243" i="1"/>
  <c r="C244" i="1"/>
  <c r="D244" i="1"/>
  <c r="C245" i="1"/>
  <c r="D245" i="1"/>
  <c r="C246" i="1"/>
  <c r="D246" i="1"/>
  <c r="C247" i="1"/>
  <c r="D247" i="1"/>
  <c r="C248" i="1"/>
  <c r="D248" i="1"/>
  <c r="C249" i="1"/>
  <c r="D249" i="1"/>
  <c r="C250" i="1"/>
  <c r="D250" i="1"/>
  <c r="C251" i="1"/>
  <c r="D251" i="1"/>
  <c r="C252" i="1"/>
  <c r="D252" i="1"/>
  <c r="C253" i="1"/>
  <c r="D253" i="1"/>
  <c r="C254" i="1"/>
  <c r="D254" i="1"/>
  <c r="C255" i="1"/>
  <c r="D255" i="1"/>
  <c r="C256" i="1"/>
  <c r="D256" i="1"/>
  <c r="C257" i="1"/>
  <c r="D257" i="1"/>
  <c r="C258" i="1"/>
  <c r="D258" i="1"/>
  <c r="C259" i="1"/>
  <c r="D259" i="1"/>
  <c r="C260" i="1"/>
  <c r="D260" i="1"/>
  <c r="C261" i="1"/>
  <c r="D261" i="1"/>
  <c r="C262" i="1"/>
  <c r="D262" i="1"/>
  <c r="C263" i="1"/>
  <c r="D263" i="1"/>
  <c r="C264" i="1"/>
  <c r="D264" i="1"/>
  <c r="C265" i="1"/>
  <c r="D265" i="1"/>
  <c r="C266" i="1"/>
  <c r="D266" i="1"/>
  <c r="C267" i="1"/>
  <c r="D267" i="1"/>
  <c r="C268" i="1"/>
  <c r="D268" i="1"/>
  <c r="C269" i="1"/>
  <c r="D269" i="1"/>
  <c r="C270" i="1"/>
  <c r="D270" i="1"/>
  <c r="C271" i="1"/>
  <c r="D271" i="1"/>
  <c r="C272" i="1"/>
  <c r="D272" i="1"/>
  <c r="C273" i="1"/>
  <c r="D273" i="1"/>
  <c r="C274" i="1"/>
  <c r="D274" i="1"/>
  <c r="C275" i="1"/>
  <c r="D275" i="1"/>
  <c r="C276" i="1"/>
  <c r="D276" i="1"/>
  <c r="C277" i="1"/>
  <c r="D277" i="1"/>
  <c r="C278" i="1"/>
  <c r="D278" i="1"/>
  <c r="C279" i="1"/>
  <c r="D279" i="1"/>
  <c r="C280" i="1"/>
  <c r="D280" i="1"/>
  <c r="C281" i="1"/>
  <c r="D281" i="1"/>
  <c r="C282" i="1"/>
  <c r="D282" i="1"/>
  <c r="C283" i="1"/>
  <c r="D283" i="1"/>
  <c r="C284" i="1"/>
  <c r="D284" i="1"/>
  <c r="C285" i="1"/>
  <c r="D285" i="1"/>
  <c r="C286" i="1"/>
  <c r="D286" i="1"/>
  <c r="C287" i="1"/>
  <c r="D287" i="1"/>
  <c r="C288" i="1"/>
  <c r="D288" i="1"/>
  <c r="C289" i="1"/>
  <c r="D289" i="1"/>
  <c r="C290" i="1"/>
  <c r="D290" i="1"/>
  <c r="C291" i="1"/>
  <c r="D291" i="1"/>
  <c r="C292" i="1"/>
  <c r="D292" i="1"/>
  <c r="C293" i="1"/>
  <c r="D293" i="1"/>
  <c r="C294" i="1"/>
  <c r="D294" i="1"/>
  <c r="C295" i="1"/>
  <c r="D295" i="1"/>
  <c r="C296" i="1"/>
  <c r="D296" i="1"/>
  <c r="C297" i="1"/>
  <c r="D297" i="1"/>
  <c r="C298" i="1"/>
  <c r="D298" i="1"/>
  <c r="C299" i="1"/>
  <c r="D299" i="1"/>
  <c r="C300" i="1"/>
  <c r="D300" i="1"/>
  <c r="C301" i="1"/>
  <c r="D301" i="1"/>
  <c r="C302" i="1"/>
  <c r="D302" i="1"/>
  <c r="C303" i="1"/>
  <c r="D303" i="1"/>
  <c r="C304" i="1"/>
  <c r="D304" i="1"/>
  <c r="C305" i="1"/>
  <c r="D305" i="1"/>
  <c r="C306" i="1"/>
  <c r="D306" i="1"/>
  <c r="C307" i="1"/>
  <c r="D307" i="1"/>
  <c r="C308" i="1"/>
  <c r="D308" i="1"/>
  <c r="C309" i="1"/>
  <c r="D309" i="1"/>
  <c r="C310" i="1"/>
  <c r="D310" i="1"/>
  <c r="C311" i="1"/>
  <c r="D311" i="1"/>
  <c r="C312" i="1"/>
  <c r="D312" i="1"/>
  <c r="C313" i="1"/>
  <c r="D313" i="1"/>
  <c r="C314" i="1"/>
  <c r="D314" i="1"/>
  <c r="C315" i="1"/>
  <c r="D315" i="1"/>
  <c r="C316" i="1"/>
  <c r="D316" i="1"/>
  <c r="C317" i="1"/>
  <c r="D317" i="1"/>
  <c r="C318" i="1"/>
  <c r="D318" i="1"/>
  <c r="C319" i="1"/>
  <c r="D319" i="1"/>
  <c r="C320" i="1"/>
  <c r="D320" i="1"/>
  <c r="C321" i="1"/>
  <c r="D321" i="1"/>
  <c r="C322" i="1"/>
  <c r="D322" i="1"/>
  <c r="C323" i="1"/>
  <c r="D323" i="1"/>
  <c r="C324" i="1"/>
  <c r="D324" i="1"/>
  <c r="C325" i="1"/>
  <c r="D325" i="1"/>
  <c r="C326" i="1"/>
  <c r="D326" i="1"/>
  <c r="C327" i="1"/>
  <c r="D327" i="1"/>
  <c r="C328" i="1"/>
  <c r="D328" i="1"/>
  <c r="C329" i="1"/>
  <c r="D329" i="1"/>
  <c r="C330" i="1"/>
  <c r="D330" i="1"/>
  <c r="C331" i="1"/>
  <c r="D331" i="1"/>
  <c r="C332" i="1"/>
  <c r="D332" i="1"/>
  <c r="C333" i="1"/>
  <c r="D333" i="1"/>
  <c r="C334" i="1"/>
  <c r="D334" i="1"/>
  <c r="C335" i="1"/>
  <c r="D335" i="1"/>
  <c r="C336" i="1"/>
  <c r="D336" i="1"/>
  <c r="C337" i="1"/>
  <c r="D337" i="1"/>
  <c r="C338" i="1"/>
  <c r="D338" i="1"/>
  <c r="C339" i="1"/>
  <c r="D339" i="1"/>
  <c r="C340" i="1"/>
  <c r="D340" i="1"/>
  <c r="C341" i="1"/>
  <c r="D341" i="1"/>
  <c r="C342" i="1"/>
  <c r="D342" i="1"/>
  <c r="C343" i="1"/>
  <c r="D343" i="1"/>
  <c r="C344" i="1"/>
  <c r="D344" i="1"/>
  <c r="C345" i="1"/>
  <c r="D345" i="1"/>
  <c r="C346" i="1"/>
  <c r="D346" i="1"/>
  <c r="C347" i="1"/>
  <c r="D347" i="1"/>
  <c r="C348" i="1"/>
  <c r="D348" i="1"/>
  <c r="C349" i="1"/>
  <c r="D349" i="1"/>
  <c r="C350" i="1"/>
  <c r="D350" i="1"/>
  <c r="C351" i="1"/>
  <c r="D351" i="1"/>
  <c r="C352" i="1"/>
  <c r="D352" i="1"/>
  <c r="C353" i="1"/>
  <c r="D353" i="1"/>
  <c r="C354" i="1"/>
  <c r="D354" i="1"/>
  <c r="C355" i="1"/>
  <c r="D355" i="1"/>
  <c r="C356" i="1"/>
  <c r="D356" i="1"/>
  <c r="C357" i="1"/>
  <c r="D357" i="1"/>
  <c r="C358" i="1"/>
  <c r="D358" i="1"/>
  <c r="C359" i="1"/>
  <c r="D359" i="1"/>
  <c r="C360" i="1"/>
  <c r="D360" i="1"/>
  <c r="C361" i="1"/>
  <c r="D361" i="1"/>
  <c r="C362" i="1"/>
  <c r="D362" i="1"/>
  <c r="C363" i="1"/>
  <c r="D363" i="1"/>
  <c r="C364" i="1"/>
  <c r="D364" i="1"/>
  <c r="C365" i="1"/>
  <c r="D365" i="1"/>
  <c r="C366" i="1"/>
  <c r="D366" i="1"/>
  <c r="C367" i="1"/>
  <c r="D367" i="1"/>
  <c r="C368" i="1"/>
  <c r="D368" i="1"/>
  <c r="C369" i="1"/>
  <c r="D369" i="1"/>
  <c r="C370" i="1"/>
  <c r="D370" i="1"/>
  <c r="C371" i="1"/>
  <c r="D371" i="1"/>
  <c r="C372" i="1"/>
  <c r="D372" i="1"/>
  <c r="C373" i="1"/>
  <c r="D373" i="1"/>
  <c r="C374" i="1"/>
  <c r="D374" i="1"/>
  <c r="C375" i="1"/>
  <c r="D375" i="1"/>
  <c r="C376" i="1"/>
  <c r="D376" i="1"/>
  <c r="C377" i="1"/>
  <c r="D377" i="1"/>
  <c r="C378" i="1"/>
  <c r="D378" i="1"/>
  <c r="C379" i="1"/>
  <c r="D379" i="1"/>
  <c r="C380" i="1"/>
  <c r="D380" i="1"/>
  <c r="C381" i="1"/>
  <c r="D381" i="1"/>
  <c r="C382" i="1"/>
  <c r="D382" i="1"/>
  <c r="C383" i="1"/>
  <c r="D383" i="1"/>
  <c r="C384" i="1"/>
  <c r="D384" i="1"/>
  <c r="C385" i="1"/>
  <c r="D385" i="1"/>
  <c r="C386" i="1"/>
  <c r="D386" i="1"/>
  <c r="C387" i="1"/>
  <c r="D387" i="1"/>
  <c r="C388" i="1"/>
  <c r="D388" i="1"/>
  <c r="C389" i="1"/>
  <c r="D389" i="1"/>
  <c r="C390" i="1"/>
  <c r="D390" i="1"/>
  <c r="C391" i="1"/>
  <c r="D391" i="1"/>
  <c r="C392" i="1"/>
  <c r="D392" i="1"/>
  <c r="C393" i="1"/>
  <c r="D393" i="1"/>
  <c r="C394" i="1"/>
  <c r="D394" i="1"/>
  <c r="C395" i="1"/>
  <c r="D395" i="1"/>
  <c r="C396" i="1"/>
  <c r="D396" i="1"/>
  <c r="C397" i="1"/>
  <c r="D397" i="1"/>
  <c r="C398" i="1"/>
  <c r="D398" i="1"/>
  <c r="C399" i="1"/>
  <c r="D399" i="1"/>
  <c r="C400" i="1"/>
  <c r="D400" i="1"/>
  <c r="C401" i="1"/>
  <c r="D401" i="1"/>
  <c r="C402" i="1"/>
  <c r="D402" i="1"/>
  <c r="C403" i="1"/>
  <c r="D403" i="1"/>
  <c r="C404" i="1"/>
  <c r="D404" i="1"/>
  <c r="C405" i="1"/>
  <c r="D405" i="1"/>
  <c r="C406" i="1"/>
  <c r="D406" i="1"/>
  <c r="C407" i="1"/>
  <c r="D407" i="1"/>
  <c r="C408" i="1"/>
  <c r="D408" i="1"/>
  <c r="C409" i="1"/>
  <c r="D409" i="1"/>
  <c r="C410" i="1"/>
  <c r="D410" i="1"/>
  <c r="C411" i="1"/>
  <c r="D411" i="1"/>
  <c r="C412" i="1"/>
  <c r="D412" i="1"/>
  <c r="C413" i="1"/>
  <c r="D413" i="1"/>
  <c r="C414" i="1"/>
  <c r="D414" i="1"/>
  <c r="C415" i="1"/>
  <c r="D415" i="1"/>
  <c r="C416" i="1"/>
  <c r="D416" i="1"/>
  <c r="C417" i="1"/>
  <c r="D417" i="1"/>
  <c r="C418" i="1"/>
  <c r="D418" i="1"/>
  <c r="C419" i="1"/>
  <c r="D419" i="1"/>
  <c r="C420" i="1"/>
  <c r="D420" i="1"/>
  <c r="C421" i="1"/>
  <c r="D421" i="1"/>
  <c r="C422" i="1"/>
  <c r="D422" i="1"/>
  <c r="C423" i="1"/>
  <c r="D423" i="1"/>
  <c r="C424" i="1"/>
  <c r="D424" i="1"/>
  <c r="C425" i="1"/>
  <c r="D425" i="1"/>
  <c r="C426" i="1"/>
  <c r="D426" i="1"/>
  <c r="C427" i="1"/>
  <c r="D427" i="1"/>
  <c r="C428" i="1"/>
  <c r="D428" i="1"/>
  <c r="C429" i="1"/>
  <c r="D429" i="1"/>
  <c r="C430" i="1"/>
  <c r="D430" i="1"/>
  <c r="C431" i="1"/>
  <c r="D431" i="1"/>
  <c r="C432" i="1"/>
  <c r="D432" i="1"/>
  <c r="C433" i="1"/>
  <c r="D433" i="1"/>
  <c r="C434" i="1"/>
  <c r="D434" i="1"/>
  <c r="C435" i="1"/>
  <c r="D435" i="1"/>
  <c r="C436" i="1"/>
  <c r="D436" i="1"/>
  <c r="C437" i="1"/>
  <c r="D437" i="1"/>
  <c r="C438" i="1"/>
  <c r="D438" i="1"/>
  <c r="C439" i="1"/>
  <c r="D439" i="1"/>
  <c r="C440" i="1"/>
  <c r="D440" i="1"/>
  <c r="C441" i="1"/>
  <c r="D441" i="1"/>
  <c r="C442" i="1"/>
  <c r="D442" i="1"/>
  <c r="C443" i="1"/>
  <c r="D443" i="1"/>
  <c r="C444" i="1"/>
  <c r="D444" i="1"/>
  <c r="C445" i="1"/>
  <c r="D445" i="1"/>
  <c r="C446" i="1"/>
  <c r="D446" i="1"/>
  <c r="C447" i="1"/>
  <c r="D447" i="1"/>
  <c r="C448" i="1"/>
  <c r="D448" i="1"/>
  <c r="C449" i="1"/>
  <c r="D449" i="1"/>
  <c r="C450" i="1"/>
  <c r="D450" i="1"/>
  <c r="C451" i="1"/>
  <c r="D451" i="1"/>
  <c r="C452" i="1"/>
  <c r="D452" i="1"/>
  <c r="C453" i="1"/>
  <c r="D453" i="1"/>
  <c r="C454" i="1"/>
  <c r="D454" i="1"/>
  <c r="C455" i="1"/>
  <c r="D455" i="1"/>
  <c r="C456" i="1"/>
  <c r="D456" i="1"/>
  <c r="C457" i="1"/>
  <c r="D457" i="1"/>
  <c r="C458" i="1"/>
  <c r="D458" i="1"/>
  <c r="C459" i="1"/>
  <c r="D459" i="1"/>
  <c r="C460" i="1"/>
  <c r="D460" i="1"/>
  <c r="C461" i="1"/>
  <c r="D461" i="1"/>
  <c r="C462" i="1"/>
  <c r="D462" i="1"/>
  <c r="C463" i="1"/>
  <c r="D463" i="1"/>
  <c r="C464" i="1"/>
  <c r="D464" i="1"/>
  <c r="C465" i="1"/>
  <c r="D465" i="1"/>
  <c r="C466" i="1"/>
  <c r="D466" i="1"/>
  <c r="C467" i="1"/>
  <c r="D467" i="1"/>
  <c r="C468" i="1"/>
  <c r="D468" i="1"/>
  <c r="C469" i="1"/>
  <c r="D469" i="1"/>
  <c r="C470" i="1"/>
  <c r="D470" i="1"/>
  <c r="C471" i="1"/>
  <c r="D471" i="1"/>
  <c r="C472" i="1"/>
  <c r="D472" i="1"/>
  <c r="C473" i="1"/>
  <c r="D473" i="1"/>
  <c r="C474" i="1"/>
  <c r="D474" i="1"/>
  <c r="C475" i="1"/>
  <c r="D475" i="1"/>
  <c r="C476" i="1"/>
  <c r="D476" i="1"/>
  <c r="C477" i="1"/>
  <c r="D477" i="1"/>
  <c r="C478" i="1"/>
  <c r="D478" i="1"/>
  <c r="C479" i="1"/>
  <c r="D479" i="1"/>
  <c r="C480" i="1"/>
  <c r="D480" i="1"/>
  <c r="C481" i="1"/>
  <c r="D481" i="1"/>
  <c r="C482" i="1"/>
  <c r="D482" i="1"/>
  <c r="C483" i="1"/>
  <c r="D483" i="1"/>
  <c r="C484" i="1"/>
  <c r="D484" i="1"/>
  <c r="C485" i="1"/>
  <c r="D485" i="1"/>
  <c r="C486" i="1"/>
  <c r="D486" i="1"/>
  <c r="C487" i="1"/>
  <c r="D487" i="1"/>
  <c r="C488" i="1"/>
  <c r="D488" i="1"/>
  <c r="C489" i="1"/>
  <c r="D489" i="1"/>
  <c r="C490" i="1"/>
  <c r="D490" i="1"/>
  <c r="C491" i="1"/>
  <c r="D491" i="1"/>
  <c r="C492" i="1"/>
  <c r="D492" i="1"/>
  <c r="C493" i="1"/>
  <c r="D493" i="1"/>
  <c r="C494" i="1"/>
  <c r="D494" i="1"/>
  <c r="C495" i="1"/>
  <c r="D495" i="1"/>
  <c r="C496" i="1"/>
  <c r="D496" i="1"/>
  <c r="C497" i="1"/>
  <c r="D497" i="1"/>
  <c r="C498" i="1"/>
  <c r="D498" i="1"/>
  <c r="C499" i="1"/>
  <c r="D499" i="1"/>
  <c r="C500" i="1"/>
  <c r="D500" i="1"/>
  <c r="C501" i="1"/>
  <c r="D501" i="1"/>
  <c r="C502" i="1"/>
  <c r="D502" i="1"/>
  <c r="C503" i="1"/>
  <c r="D503" i="1"/>
  <c r="C504" i="1"/>
  <c r="D504" i="1"/>
  <c r="C505" i="1"/>
  <c r="D505" i="1"/>
  <c r="C506" i="1"/>
  <c r="D506" i="1"/>
  <c r="C507" i="1"/>
  <c r="D507" i="1"/>
  <c r="C508" i="1"/>
  <c r="D508" i="1"/>
  <c r="C509" i="1"/>
  <c r="D509" i="1"/>
  <c r="C510" i="1"/>
  <c r="D510" i="1"/>
  <c r="C511" i="1"/>
  <c r="D511" i="1"/>
  <c r="C512" i="1"/>
  <c r="D512" i="1"/>
  <c r="C513" i="1"/>
  <c r="D513" i="1"/>
  <c r="C514" i="1"/>
  <c r="D514" i="1"/>
  <c r="C515" i="1"/>
  <c r="D515" i="1"/>
  <c r="C516" i="1"/>
  <c r="D516" i="1"/>
  <c r="C517" i="1"/>
  <c r="D517" i="1"/>
  <c r="C518" i="1"/>
  <c r="D518" i="1"/>
  <c r="C519" i="1"/>
  <c r="D519" i="1"/>
  <c r="C520" i="1"/>
  <c r="D520" i="1"/>
  <c r="C521" i="1"/>
  <c r="D521" i="1"/>
  <c r="C522" i="1"/>
  <c r="D522" i="1"/>
  <c r="C523" i="1"/>
  <c r="D523" i="1"/>
  <c r="C524" i="1"/>
  <c r="D524" i="1"/>
  <c r="C525" i="1"/>
  <c r="D525" i="1"/>
  <c r="C526" i="1"/>
  <c r="D526" i="1"/>
  <c r="C527" i="1"/>
  <c r="D527" i="1"/>
  <c r="C528" i="1"/>
  <c r="D528" i="1"/>
  <c r="C529" i="1"/>
  <c r="D529" i="1"/>
  <c r="C530" i="1"/>
  <c r="D530" i="1"/>
  <c r="C531" i="1"/>
  <c r="D531" i="1"/>
  <c r="C532" i="1"/>
  <c r="D532" i="1"/>
  <c r="C533" i="1"/>
  <c r="D533" i="1"/>
  <c r="C534" i="1"/>
  <c r="D534" i="1"/>
  <c r="C535" i="1"/>
  <c r="D535" i="1"/>
  <c r="C536" i="1"/>
  <c r="D536" i="1"/>
  <c r="C537" i="1"/>
  <c r="D537" i="1"/>
  <c r="C538" i="1"/>
  <c r="D538" i="1"/>
  <c r="C539" i="1"/>
  <c r="D539" i="1"/>
  <c r="C540" i="1"/>
  <c r="D540" i="1"/>
  <c r="C541" i="1"/>
  <c r="D541" i="1"/>
  <c r="C542" i="1"/>
  <c r="D542" i="1"/>
  <c r="C543" i="1"/>
  <c r="D543" i="1"/>
  <c r="C544" i="1"/>
  <c r="D544" i="1"/>
  <c r="C545" i="1"/>
  <c r="D545" i="1"/>
  <c r="C546" i="1"/>
  <c r="D546" i="1"/>
  <c r="C547" i="1"/>
  <c r="D547" i="1"/>
  <c r="C548" i="1"/>
  <c r="D548" i="1"/>
  <c r="C549" i="1"/>
  <c r="D549" i="1"/>
  <c r="C550" i="1"/>
  <c r="D550" i="1"/>
  <c r="C551" i="1"/>
  <c r="D551" i="1"/>
  <c r="C552" i="1"/>
  <c r="D552" i="1"/>
  <c r="C553" i="1"/>
  <c r="D553" i="1"/>
  <c r="C554" i="1"/>
  <c r="D554" i="1"/>
  <c r="C555" i="1"/>
  <c r="D555" i="1"/>
  <c r="C556" i="1"/>
  <c r="D556" i="1"/>
  <c r="C557" i="1"/>
  <c r="D557" i="1"/>
  <c r="C558" i="1"/>
  <c r="D558" i="1"/>
  <c r="C559" i="1"/>
  <c r="D559" i="1"/>
  <c r="C560" i="1"/>
  <c r="D560" i="1"/>
  <c r="C561" i="1"/>
  <c r="D561" i="1"/>
  <c r="C562" i="1"/>
  <c r="D562" i="1"/>
  <c r="C563" i="1"/>
  <c r="D563" i="1"/>
  <c r="C564" i="1"/>
  <c r="D564" i="1"/>
  <c r="C565" i="1"/>
  <c r="D565" i="1"/>
  <c r="C566" i="1"/>
  <c r="D566" i="1"/>
  <c r="C567" i="1"/>
  <c r="D567" i="1"/>
  <c r="C568" i="1"/>
  <c r="D568" i="1"/>
  <c r="C569" i="1"/>
  <c r="D569" i="1"/>
  <c r="C570" i="1"/>
  <c r="D570" i="1"/>
  <c r="C571" i="1"/>
  <c r="D571" i="1"/>
  <c r="C572" i="1"/>
  <c r="D572" i="1"/>
  <c r="C573" i="1"/>
  <c r="D573" i="1"/>
  <c r="C574" i="1"/>
  <c r="D574" i="1"/>
  <c r="C575" i="1"/>
  <c r="D575" i="1"/>
  <c r="C576" i="1"/>
  <c r="D576" i="1"/>
  <c r="C577" i="1"/>
  <c r="D577" i="1"/>
  <c r="C578" i="1"/>
  <c r="D578" i="1"/>
  <c r="C579" i="1"/>
  <c r="D579" i="1"/>
  <c r="C580" i="1"/>
  <c r="D580" i="1"/>
  <c r="C581" i="1"/>
  <c r="D581" i="1"/>
  <c r="C582" i="1"/>
  <c r="D582" i="1"/>
  <c r="C583" i="1"/>
  <c r="D583" i="1"/>
  <c r="C584" i="1"/>
  <c r="D584" i="1"/>
  <c r="C585" i="1"/>
  <c r="D585" i="1"/>
  <c r="C586" i="1"/>
  <c r="D586" i="1"/>
  <c r="C587" i="1"/>
  <c r="D587" i="1"/>
  <c r="C588" i="1"/>
  <c r="D588" i="1"/>
  <c r="C589" i="1"/>
  <c r="D589" i="1"/>
  <c r="C590" i="1"/>
  <c r="D590" i="1"/>
  <c r="C591" i="1"/>
  <c r="D591" i="1"/>
  <c r="C592" i="1"/>
  <c r="D592" i="1"/>
  <c r="C593" i="1"/>
  <c r="D593" i="1"/>
  <c r="C594" i="1"/>
  <c r="D594" i="1"/>
  <c r="C595" i="1"/>
  <c r="D595" i="1"/>
  <c r="C596" i="1"/>
  <c r="D596" i="1"/>
  <c r="C597" i="1"/>
  <c r="D597" i="1"/>
  <c r="C598" i="1"/>
  <c r="D598" i="1"/>
  <c r="C599" i="1"/>
  <c r="D599" i="1"/>
  <c r="C600" i="1"/>
  <c r="D600" i="1"/>
  <c r="C601" i="1"/>
  <c r="D601" i="1"/>
  <c r="C602" i="1"/>
  <c r="D602" i="1"/>
  <c r="C603" i="1"/>
  <c r="D603" i="1"/>
  <c r="C604" i="1"/>
  <c r="D604" i="1"/>
  <c r="C605" i="1"/>
  <c r="D605" i="1"/>
  <c r="C606" i="1"/>
  <c r="D606" i="1"/>
  <c r="C607" i="1"/>
  <c r="D607" i="1"/>
  <c r="C608" i="1"/>
  <c r="D608" i="1"/>
  <c r="C609" i="1"/>
  <c r="D609" i="1"/>
  <c r="C610" i="1"/>
  <c r="D610" i="1"/>
  <c r="C611" i="1"/>
  <c r="D611" i="1"/>
  <c r="C612" i="1"/>
  <c r="D612" i="1"/>
  <c r="C613" i="1"/>
  <c r="D613" i="1"/>
  <c r="C614" i="1"/>
  <c r="D614" i="1"/>
  <c r="C615" i="1"/>
  <c r="D615" i="1"/>
  <c r="C616" i="1"/>
  <c r="D616" i="1"/>
  <c r="C617" i="1"/>
  <c r="D617" i="1"/>
  <c r="C618" i="1"/>
  <c r="D618" i="1"/>
  <c r="C619" i="1"/>
  <c r="D619" i="1"/>
  <c r="C620" i="1"/>
  <c r="D620" i="1"/>
  <c r="C621" i="1"/>
  <c r="D621" i="1"/>
  <c r="C622" i="1"/>
  <c r="D622" i="1"/>
  <c r="C623" i="1"/>
  <c r="D623" i="1"/>
  <c r="C624" i="1"/>
  <c r="D624" i="1"/>
  <c r="C625" i="1"/>
  <c r="D625" i="1"/>
  <c r="C626" i="1"/>
  <c r="D626" i="1"/>
  <c r="C627" i="1"/>
  <c r="D627" i="1"/>
  <c r="C628" i="1"/>
  <c r="D628" i="1"/>
  <c r="C629" i="1"/>
  <c r="D629" i="1"/>
  <c r="C630" i="1"/>
  <c r="D630" i="1"/>
  <c r="C631" i="1"/>
  <c r="D631" i="1"/>
  <c r="C632" i="1"/>
  <c r="D632" i="1"/>
  <c r="C633" i="1"/>
  <c r="D633" i="1"/>
  <c r="C634" i="1"/>
  <c r="D634" i="1"/>
  <c r="C635" i="1"/>
  <c r="D635" i="1"/>
  <c r="C636" i="1"/>
  <c r="D636" i="1"/>
  <c r="C637" i="1"/>
  <c r="D637" i="1"/>
  <c r="C638" i="1"/>
  <c r="D638" i="1"/>
  <c r="C639" i="1"/>
  <c r="D639" i="1"/>
  <c r="C640" i="1"/>
  <c r="D640" i="1"/>
  <c r="C641" i="1"/>
  <c r="D641" i="1"/>
  <c r="C642" i="1"/>
  <c r="D642" i="1"/>
  <c r="C643" i="1"/>
  <c r="D643" i="1"/>
  <c r="C644" i="1"/>
  <c r="D644" i="1"/>
  <c r="C645" i="1"/>
  <c r="D645" i="1"/>
  <c r="C646" i="1"/>
  <c r="D646" i="1"/>
  <c r="C647" i="1"/>
  <c r="D647" i="1"/>
  <c r="C648" i="1"/>
  <c r="D648" i="1"/>
  <c r="C649" i="1"/>
  <c r="D649" i="1"/>
  <c r="C650" i="1"/>
  <c r="D650" i="1"/>
  <c r="C651" i="1"/>
  <c r="D651" i="1"/>
  <c r="C652" i="1"/>
  <c r="D652" i="1"/>
  <c r="C653" i="1"/>
  <c r="D653" i="1"/>
  <c r="C654" i="1"/>
  <c r="D654" i="1"/>
  <c r="C655" i="1"/>
  <c r="D655" i="1"/>
  <c r="C656" i="1"/>
  <c r="D656" i="1"/>
  <c r="C657" i="1"/>
  <c r="D657" i="1"/>
  <c r="C658" i="1"/>
  <c r="D658" i="1"/>
  <c r="C659" i="1"/>
  <c r="D659" i="1"/>
  <c r="C660" i="1"/>
  <c r="D660" i="1"/>
  <c r="C661" i="1"/>
  <c r="D661" i="1"/>
  <c r="C662" i="1"/>
  <c r="D662" i="1"/>
  <c r="C663" i="1"/>
  <c r="D663" i="1"/>
  <c r="C664" i="1"/>
  <c r="D664" i="1"/>
  <c r="C665" i="1"/>
  <c r="D665" i="1"/>
  <c r="C666" i="1"/>
  <c r="D666" i="1"/>
  <c r="C667" i="1"/>
  <c r="D667" i="1"/>
  <c r="C668" i="1"/>
  <c r="D668" i="1"/>
  <c r="C669" i="1"/>
  <c r="D669" i="1"/>
  <c r="C670" i="1"/>
  <c r="D670" i="1"/>
  <c r="C671" i="1"/>
  <c r="D671" i="1"/>
  <c r="C672" i="1"/>
  <c r="D672" i="1"/>
  <c r="C673" i="1"/>
  <c r="D673" i="1"/>
  <c r="C674" i="1"/>
  <c r="D674" i="1"/>
  <c r="C675" i="1"/>
  <c r="D675" i="1"/>
  <c r="C676" i="1"/>
  <c r="D676" i="1"/>
  <c r="C677" i="1"/>
  <c r="D677" i="1"/>
  <c r="C678" i="1"/>
  <c r="D678" i="1"/>
  <c r="C679" i="1"/>
  <c r="D679" i="1"/>
  <c r="C680" i="1"/>
  <c r="D680" i="1"/>
  <c r="C681" i="1"/>
  <c r="D681" i="1"/>
  <c r="C682" i="1"/>
  <c r="D682" i="1"/>
  <c r="C683" i="1"/>
  <c r="D683" i="1"/>
  <c r="C684" i="1"/>
  <c r="D684" i="1"/>
  <c r="C685" i="1"/>
  <c r="D685" i="1"/>
  <c r="C686" i="1"/>
  <c r="D686" i="1"/>
  <c r="C687" i="1"/>
  <c r="D687" i="1"/>
  <c r="C688" i="1"/>
  <c r="D688" i="1"/>
  <c r="C689" i="1"/>
  <c r="D689" i="1"/>
  <c r="C690" i="1"/>
  <c r="D690" i="1"/>
  <c r="C691" i="1"/>
  <c r="D691" i="1"/>
  <c r="C692" i="1"/>
  <c r="D692" i="1"/>
  <c r="C693" i="1"/>
  <c r="D693" i="1"/>
  <c r="C694" i="1"/>
  <c r="D694" i="1"/>
  <c r="C695" i="1"/>
  <c r="D695" i="1"/>
  <c r="C696" i="1"/>
  <c r="D696" i="1"/>
  <c r="C697" i="1"/>
  <c r="D697" i="1"/>
  <c r="C698" i="1"/>
  <c r="D698" i="1"/>
  <c r="C699" i="1"/>
  <c r="D699" i="1"/>
  <c r="C700" i="1"/>
  <c r="D700" i="1"/>
  <c r="C701" i="1"/>
  <c r="D701" i="1"/>
  <c r="C702" i="1"/>
  <c r="D702" i="1"/>
  <c r="C703" i="1"/>
  <c r="D703" i="1"/>
  <c r="C704" i="1"/>
  <c r="D704" i="1"/>
  <c r="C705" i="1"/>
  <c r="D705" i="1"/>
  <c r="C706" i="1"/>
  <c r="D706" i="1"/>
  <c r="C707" i="1"/>
  <c r="D707" i="1"/>
  <c r="C708" i="1"/>
  <c r="D708" i="1"/>
  <c r="C709" i="1"/>
  <c r="D709" i="1"/>
  <c r="C710" i="1"/>
  <c r="D710" i="1"/>
  <c r="C711" i="1"/>
  <c r="D711" i="1"/>
  <c r="C712" i="1"/>
  <c r="D712" i="1"/>
  <c r="C713" i="1"/>
  <c r="D713" i="1"/>
  <c r="C714" i="1"/>
  <c r="D714" i="1"/>
  <c r="C715" i="1"/>
  <c r="D715" i="1"/>
  <c r="C716" i="1"/>
  <c r="D716" i="1"/>
  <c r="C717" i="1"/>
  <c r="D717" i="1"/>
  <c r="C718" i="1"/>
  <c r="D718" i="1"/>
  <c r="C719" i="1"/>
  <c r="D719" i="1"/>
  <c r="C720" i="1"/>
  <c r="D720" i="1"/>
  <c r="C721" i="1"/>
  <c r="D721" i="1"/>
  <c r="C722" i="1"/>
  <c r="D722" i="1"/>
  <c r="C723" i="1"/>
  <c r="D723" i="1"/>
  <c r="C724" i="1"/>
  <c r="D724" i="1"/>
  <c r="C725" i="1"/>
  <c r="D725" i="1"/>
  <c r="C726" i="1"/>
  <c r="D726" i="1"/>
  <c r="C727" i="1"/>
  <c r="D727" i="1"/>
  <c r="C728" i="1"/>
  <c r="D728" i="1"/>
  <c r="C729" i="1"/>
  <c r="D729" i="1"/>
  <c r="C730" i="1"/>
  <c r="D730" i="1"/>
  <c r="C731" i="1"/>
  <c r="D731" i="1"/>
  <c r="C732" i="1"/>
  <c r="D732" i="1"/>
  <c r="C733" i="1"/>
  <c r="D733" i="1"/>
  <c r="C734" i="1"/>
  <c r="D734" i="1"/>
  <c r="C735" i="1"/>
  <c r="D735" i="1"/>
  <c r="C736" i="1"/>
  <c r="D736" i="1"/>
  <c r="C737" i="1"/>
  <c r="D737" i="1"/>
  <c r="C738" i="1"/>
  <c r="D738" i="1"/>
  <c r="C739" i="1"/>
  <c r="D739" i="1"/>
  <c r="C740" i="1"/>
  <c r="D740" i="1"/>
  <c r="C741" i="1"/>
  <c r="D741" i="1"/>
  <c r="C742" i="1"/>
  <c r="D742" i="1"/>
  <c r="C743" i="1"/>
  <c r="D743" i="1"/>
  <c r="C744" i="1"/>
  <c r="D744" i="1"/>
  <c r="C745" i="1"/>
  <c r="D745" i="1"/>
  <c r="C746" i="1"/>
  <c r="D746" i="1"/>
  <c r="C747" i="1"/>
  <c r="D747" i="1"/>
  <c r="C748" i="1"/>
  <c r="D748" i="1"/>
  <c r="C749" i="1"/>
  <c r="D749" i="1"/>
  <c r="C750" i="1"/>
  <c r="D750" i="1"/>
  <c r="C751" i="1"/>
  <c r="D751" i="1"/>
  <c r="C752" i="1"/>
  <c r="D752" i="1"/>
  <c r="C753" i="1"/>
  <c r="D753" i="1"/>
  <c r="C754" i="1"/>
  <c r="D754" i="1"/>
  <c r="C755" i="1"/>
  <c r="D755" i="1"/>
  <c r="C756" i="1"/>
  <c r="D756" i="1"/>
  <c r="C757" i="1"/>
  <c r="D757" i="1"/>
  <c r="C758" i="1"/>
  <c r="D758" i="1"/>
  <c r="C759" i="1"/>
  <c r="D759" i="1"/>
  <c r="C760" i="1"/>
  <c r="D760" i="1"/>
  <c r="C761" i="1"/>
  <c r="D761" i="1"/>
  <c r="C762" i="1"/>
  <c r="D762" i="1"/>
  <c r="C763" i="1"/>
  <c r="D763" i="1"/>
  <c r="C764" i="1"/>
  <c r="D764" i="1"/>
  <c r="C765" i="1"/>
  <c r="D765" i="1"/>
  <c r="C766" i="1"/>
  <c r="D766" i="1"/>
  <c r="C767" i="1"/>
  <c r="D767" i="1"/>
  <c r="C768" i="1"/>
  <c r="D768" i="1"/>
  <c r="C769" i="1"/>
  <c r="D769" i="1"/>
  <c r="C770" i="1"/>
  <c r="D770" i="1"/>
  <c r="C771" i="1"/>
  <c r="D771" i="1"/>
  <c r="C772" i="1"/>
  <c r="D772" i="1"/>
  <c r="C773" i="1"/>
  <c r="D773" i="1"/>
  <c r="C774" i="1"/>
  <c r="D774" i="1"/>
  <c r="C775" i="1"/>
  <c r="D775" i="1"/>
  <c r="C776" i="1"/>
  <c r="D776" i="1"/>
  <c r="C777" i="1"/>
  <c r="D777" i="1"/>
  <c r="C778" i="1"/>
  <c r="D778" i="1"/>
  <c r="C779" i="1"/>
  <c r="D779" i="1"/>
  <c r="C780" i="1"/>
  <c r="D780" i="1"/>
  <c r="C781" i="1"/>
  <c r="D781" i="1"/>
  <c r="C782" i="1"/>
  <c r="D782" i="1"/>
  <c r="C783" i="1"/>
  <c r="D783" i="1"/>
  <c r="C784" i="1"/>
  <c r="D784" i="1"/>
  <c r="C785" i="1"/>
  <c r="D785" i="1"/>
  <c r="C786" i="1"/>
  <c r="D786" i="1"/>
  <c r="C787" i="1"/>
  <c r="D787" i="1"/>
  <c r="C788" i="1"/>
  <c r="D788" i="1"/>
  <c r="C789" i="1"/>
  <c r="D789" i="1"/>
  <c r="C790" i="1"/>
  <c r="D790" i="1"/>
  <c r="C791" i="1"/>
  <c r="D791" i="1"/>
  <c r="C792" i="1"/>
  <c r="D792" i="1"/>
  <c r="C793" i="1"/>
  <c r="D793" i="1"/>
  <c r="C794" i="1"/>
  <c r="D794" i="1"/>
  <c r="C795" i="1"/>
  <c r="D795" i="1"/>
  <c r="C796" i="1"/>
  <c r="D796" i="1"/>
  <c r="C797" i="1"/>
  <c r="D797" i="1"/>
  <c r="C798" i="1"/>
  <c r="D798" i="1"/>
  <c r="C799" i="1"/>
  <c r="D799" i="1"/>
  <c r="C800" i="1"/>
  <c r="D800" i="1"/>
  <c r="C801" i="1"/>
  <c r="D801" i="1"/>
  <c r="C802" i="1"/>
  <c r="D802" i="1"/>
  <c r="C803" i="1"/>
  <c r="D803" i="1"/>
  <c r="C804" i="1"/>
  <c r="D804" i="1"/>
  <c r="C805" i="1"/>
  <c r="D805" i="1"/>
  <c r="C806" i="1"/>
  <c r="D806" i="1"/>
  <c r="C807" i="1"/>
  <c r="D807" i="1"/>
  <c r="C808" i="1"/>
  <c r="D808" i="1"/>
  <c r="C809" i="1"/>
  <c r="D809" i="1"/>
  <c r="C810" i="1"/>
  <c r="D810" i="1"/>
  <c r="C811" i="1"/>
  <c r="D811" i="1"/>
  <c r="C812" i="1"/>
  <c r="D812" i="1"/>
  <c r="C813" i="1"/>
  <c r="D813" i="1"/>
  <c r="C814" i="1"/>
  <c r="D814" i="1"/>
  <c r="C815" i="1"/>
  <c r="D815" i="1"/>
  <c r="C816" i="1"/>
  <c r="D816" i="1"/>
  <c r="C817" i="1"/>
  <c r="D817" i="1"/>
  <c r="C818" i="1"/>
  <c r="D818" i="1"/>
  <c r="C819" i="1"/>
  <c r="D819" i="1"/>
  <c r="C820" i="1"/>
  <c r="D820" i="1"/>
  <c r="C821" i="1"/>
  <c r="D821" i="1"/>
  <c r="C822" i="1"/>
  <c r="D822" i="1"/>
  <c r="C823" i="1"/>
  <c r="D823" i="1"/>
  <c r="C824" i="1"/>
  <c r="D824" i="1"/>
  <c r="C825" i="1"/>
  <c r="D825" i="1"/>
  <c r="C826" i="1"/>
  <c r="D826" i="1"/>
  <c r="C827" i="1"/>
  <c r="D827" i="1"/>
  <c r="C828" i="1"/>
  <c r="D828" i="1"/>
  <c r="C829" i="1"/>
  <c r="D829" i="1"/>
  <c r="C830" i="1"/>
  <c r="D830" i="1"/>
  <c r="C831" i="1"/>
  <c r="D831" i="1"/>
  <c r="C832" i="1"/>
  <c r="D832" i="1"/>
  <c r="C833" i="1"/>
  <c r="D833" i="1"/>
  <c r="C834" i="1"/>
  <c r="D834" i="1"/>
  <c r="C835" i="1"/>
  <c r="D835" i="1"/>
  <c r="C836" i="1"/>
  <c r="D836" i="1"/>
  <c r="C837" i="1"/>
  <c r="D837" i="1"/>
  <c r="C838" i="1"/>
  <c r="D838" i="1"/>
  <c r="C839" i="1"/>
  <c r="D839" i="1"/>
  <c r="C840" i="1"/>
  <c r="D840" i="1"/>
  <c r="C841" i="1"/>
  <c r="D841" i="1"/>
  <c r="C842" i="1"/>
  <c r="D842" i="1"/>
  <c r="C843" i="1"/>
  <c r="D843" i="1"/>
  <c r="C844" i="1"/>
  <c r="D844" i="1"/>
  <c r="C845" i="1"/>
  <c r="D845" i="1"/>
  <c r="C846" i="1"/>
  <c r="D846" i="1"/>
  <c r="C847" i="1"/>
  <c r="D847" i="1"/>
  <c r="C848" i="1"/>
  <c r="D848" i="1"/>
  <c r="C849" i="1"/>
  <c r="D849" i="1"/>
  <c r="C850" i="1"/>
  <c r="D850" i="1"/>
  <c r="C851" i="1"/>
  <c r="D851" i="1"/>
  <c r="C852" i="1"/>
  <c r="D852" i="1"/>
  <c r="C853" i="1"/>
  <c r="D853" i="1"/>
  <c r="C854" i="1"/>
  <c r="D854" i="1"/>
  <c r="C855" i="1"/>
  <c r="D855" i="1"/>
  <c r="C856" i="1"/>
  <c r="D856" i="1"/>
  <c r="C857" i="1"/>
  <c r="D857" i="1"/>
  <c r="C858" i="1"/>
  <c r="D858" i="1"/>
  <c r="C859" i="1"/>
  <c r="D859" i="1"/>
  <c r="C860" i="1"/>
  <c r="D860" i="1"/>
  <c r="C861" i="1"/>
  <c r="D861" i="1"/>
  <c r="C862" i="1"/>
  <c r="D862" i="1"/>
  <c r="C863" i="1"/>
  <c r="D863" i="1"/>
  <c r="C864" i="1"/>
  <c r="D864" i="1"/>
  <c r="C865" i="1"/>
  <c r="D865" i="1"/>
  <c r="C866" i="1"/>
  <c r="D866" i="1"/>
  <c r="C867" i="1"/>
  <c r="D867" i="1"/>
  <c r="C868" i="1"/>
  <c r="D868" i="1"/>
  <c r="C869" i="1"/>
  <c r="D869" i="1"/>
  <c r="C870" i="1"/>
  <c r="D870" i="1"/>
  <c r="C871" i="1"/>
  <c r="D871" i="1"/>
  <c r="C872" i="1"/>
  <c r="D872" i="1"/>
  <c r="C873" i="1"/>
  <c r="D873" i="1"/>
  <c r="C874" i="1"/>
  <c r="D874" i="1"/>
  <c r="C875" i="1"/>
  <c r="D875" i="1"/>
  <c r="C876" i="1"/>
  <c r="D876" i="1"/>
  <c r="C877" i="1"/>
  <c r="D877" i="1"/>
  <c r="C878" i="1"/>
  <c r="D878" i="1"/>
  <c r="C879" i="1"/>
  <c r="D879" i="1"/>
  <c r="C880" i="1"/>
  <c r="D880" i="1"/>
  <c r="C881" i="1"/>
  <c r="D881" i="1"/>
  <c r="C882" i="1"/>
  <c r="D882" i="1"/>
  <c r="C883" i="1"/>
  <c r="D883" i="1"/>
  <c r="C884" i="1"/>
  <c r="D884" i="1"/>
  <c r="C885" i="1"/>
  <c r="D885" i="1"/>
  <c r="C886" i="1"/>
  <c r="D886" i="1"/>
  <c r="C887" i="1"/>
  <c r="D887" i="1"/>
  <c r="C888" i="1"/>
  <c r="D888" i="1"/>
  <c r="C889" i="1"/>
  <c r="D889" i="1"/>
  <c r="C890" i="1"/>
  <c r="D890" i="1"/>
  <c r="C891" i="1"/>
  <c r="D891" i="1"/>
  <c r="C892" i="1"/>
  <c r="D892" i="1"/>
  <c r="C893" i="1"/>
  <c r="D893" i="1"/>
  <c r="C894" i="1"/>
  <c r="D894" i="1"/>
  <c r="C895" i="1"/>
  <c r="D895" i="1"/>
  <c r="C896" i="1"/>
  <c r="D896" i="1"/>
  <c r="C897" i="1"/>
  <c r="D897" i="1"/>
  <c r="C898" i="1"/>
  <c r="D898" i="1"/>
  <c r="C899" i="1"/>
  <c r="D899" i="1"/>
  <c r="C900" i="1"/>
  <c r="D900" i="1"/>
  <c r="C901" i="1"/>
  <c r="D901" i="1"/>
  <c r="C902" i="1"/>
  <c r="D902" i="1"/>
  <c r="C903" i="1"/>
  <c r="D903" i="1"/>
  <c r="C904" i="1"/>
  <c r="D904" i="1"/>
  <c r="C905" i="1"/>
  <c r="D905" i="1"/>
  <c r="C906" i="1"/>
  <c r="D906" i="1"/>
  <c r="C907" i="1"/>
  <c r="D907" i="1"/>
  <c r="C908" i="1"/>
  <c r="D908" i="1"/>
  <c r="C909" i="1"/>
  <c r="D909" i="1"/>
  <c r="C910" i="1"/>
  <c r="D910" i="1"/>
  <c r="C911" i="1"/>
  <c r="D911" i="1"/>
  <c r="C912" i="1"/>
  <c r="D912" i="1"/>
  <c r="C913" i="1"/>
  <c r="D913" i="1"/>
  <c r="C914" i="1"/>
  <c r="D914" i="1"/>
  <c r="C915" i="1"/>
  <c r="D915" i="1"/>
  <c r="C916" i="1"/>
  <c r="D916" i="1"/>
  <c r="C917" i="1"/>
  <c r="D917" i="1"/>
  <c r="C918" i="1"/>
  <c r="D918" i="1"/>
  <c r="C919" i="1"/>
  <c r="D919" i="1"/>
  <c r="C920" i="1"/>
  <c r="D920" i="1"/>
  <c r="C921" i="1"/>
  <c r="D921" i="1"/>
  <c r="C922" i="1"/>
  <c r="D922" i="1"/>
  <c r="C923" i="1"/>
  <c r="D923" i="1"/>
  <c r="C924" i="1"/>
  <c r="D924" i="1"/>
  <c r="C925" i="1"/>
  <c r="D925" i="1"/>
  <c r="C926" i="1"/>
  <c r="D926" i="1"/>
  <c r="C927" i="1"/>
  <c r="D927" i="1"/>
  <c r="C928" i="1"/>
  <c r="D928" i="1"/>
  <c r="C929" i="1"/>
  <c r="D929" i="1"/>
  <c r="C930" i="1"/>
  <c r="D930" i="1"/>
  <c r="C931" i="1"/>
  <c r="D931" i="1"/>
  <c r="C932" i="1"/>
  <c r="D932" i="1"/>
  <c r="C933" i="1"/>
  <c r="D933" i="1"/>
  <c r="C934" i="1"/>
  <c r="D934" i="1"/>
  <c r="C935" i="1"/>
  <c r="D935" i="1"/>
  <c r="C936" i="1"/>
  <c r="D936" i="1"/>
  <c r="C937" i="1"/>
  <c r="D937" i="1"/>
  <c r="C938" i="1"/>
  <c r="D938" i="1"/>
  <c r="C939" i="1"/>
  <c r="D939" i="1"/>
  <c r="C940" i="1"/>
  <c r="D940" i="1"/>
  <c r="C941" i="1"/>
  <c r="D941" i="1"/>
  <c r="C942" i="1"/>
  <c r="D942" i="1"/>
  <c r="C943" i="1"/>
  <c r="D943" i="1"/>
  <c r="C944" i="1"/>
  <c r="D944" i="1"/>
  <c r="C945" i="1"/>
  <c r="D945" i="1"/>
  <c r="C946" i="1"/>
  <c r="D946" i="1"/>
  <c r="C947" i="1"/>
  <c r="D947" i="1"/>
  <c r="C948" i="1"/>
  <c r="D948" i="1"/>
  <c r="C949" i="1"/>
  <c r="D949" i="1"/>
  <c r="C950" i="1"/>
  <c r="D950" i="1"/>
  <c r="C951" i="1"/>
  <c r="D951" i="1"/>
  <c r="C952" i="1"/>
  <c r="D952" i="1"/>
  <c r="C953" i="1"/>
  <c r="D953" i="1"/>
  <c r="C954" i="1"/>
  <c r="D954" i="1"/>
  <c r="C955" i="1"/>
  <c r="D955" i="1"/>
  <c r="C956" i="1"/>
  <c r="D956" i="1"/>
  <c r="C957" i="1"/>
  <c r="D957" i="1"/>
  <c r="C958" i="1"/>
  <c r="D958" i="1"/>
  <c r="C959" i="1"/>
  <c r="D959" i="1"/>
  <c r="C960" i="1"/>
  <c r="D960" i="1"/>
  <c r="C961" i="1"/>
  <c r="D961" i="1"/>
  <c r="C962" i="1"/>
  <c r="D962" i="1"/>
  <c r="C963" i="1"/>
  <c r="D963" i="1"/>
  <c r="C964" i="1"/>
  <c r="D964" i="1"/>
  <c r="C965" i="1"/>
  <c r="D965" i="1"/>
  <c r="C966" i="1"/>
  <c r="D966" i="1"/>
  <c r="C967" i="1"/>
  <c r="D967" i="1"/>
  <c r="C968" i="1"/>
  <c r="D968" i="1"/>
  <c r="C969" i="1"/>
  <c r="D969" i="1"/>
  <c r="C970" i="1"/>
  <c r="D970" i="1"/>
  <c r="C971" i="1"/>
  <c r="D971" i="1"/>
  <c r="C972" i="1"/>
  <c r="D972" i="1"/>
  <c r="C973" i="1"/>
  <c r="D973" i="1"/>
  <c r="C974" i="1"/>
  <c r="D974" i="1"/>
  <c r="C975" i="1"/>
  <c r="D975" i="1"/>
  <c r="C976" i="1"/>
  <c r="D976" i="1"/>
  <c r="C977" i="1"/>
  <c r="D977" i="1"/>
  <c r="C978" i="1"/>
  <c r="D978" i="1"/>
  <c r="C979" i="1"/>
  <c r="D979" i="1"/>
  <c r="C980" i="1"/>
  <c r="D980" i="1"/>
  <c r="C981" i="1"/>
  <c r="D981" i="1"/>
  <c r="C982" i="1"/>
  <c r="D982" i="1"/>
  <c r="C983" i="1"/>
  <c r="D983" i="1"/>
  <c r="C984" i="1"/>
  <c r="D984" i="1"/>
  <c r="C985" i="1"/>
  <c r="D985" i="1"/>
  <c r="C986" i="1"/>
  <c r="D986" i="1"/>
  <c r="C987" i="1"/>
  <c r="D987" i="1"/>
  <c r="C988" i="1"/>
  <c r="D988" i="1"/>
  <c r="C989" i="1"/>
  <c r="D989" i="1"/>
  <c r="C990" i="1"/>
  <c r="D990" i="1"/>
  <c r="C991" i="1"/>
  <c r="D991" i="1"/>
  <c r="C992" i="1"/>
  <c r="D992" i="1"/>
  <c r="C993" i="1"/>
  <c r="D993" i="1"/>
  <c r="C994" i="1"/>
  <c r="D994" i="1"/>
  <c r="C995" i="1"/>
  <c r="D995" i="1"/>
  <c r="C996" i="1"/>
  <c r="D996" i="1"/>
  <c r="C997" i="1"/>
  <c r="D997" i="1"/>
  <c r="C998" i="1"/>
  <c r="D998" i="1"/>
  <c r="C999" i="1"/>
  <c r="D999" i="1"/>
  <c r="C1000" i="1"/>
  <c r="D1000" i="1"/>
  <c r="C1001" i="1"/>
  <c r="D1001" i="1"/>
  <c r="C1002" i="1"/>
  <c r="D1002" i="1"/>
  <c r="C1003" i="1"/>
  <c r="D1003" i="1"/>
  <c r="C1004" i="1"/>
  <c r="D1004" i="1"/>
  <c r="C1005" i="1"/>
  <c r="D1005" i="1"/>
  <c r="C1006" i="1"/>
  <c r="D1006" i="1"/>
  <c r="C1007" i="1"/>
  <c r="D1007" i="1"/>
  <c r="C1008" i="1"/>
  <c r="D1008" i="1"/>
  <c r="C1009" i="1"/>
  <c r="D1009" i="1"/>
  <c r="C1010" i="1"/>
  <c r="D1010" i="1"/>
  <c r="C1011" i="1"/>
  <c r="D1011" i="1"/>
  <c r="C1012" i="1"/>
  <c r="D1012" i="1"/>
  <c r="C1013" i="1"/>
  <c r="D1013" i="1"/>
  <c r="C1014" i="1"/>
  <c r="D1014" i="1"/>
  <c r="C1015" i="1"/>
  <c r="D1015" i="1"/>
  <c r="C1016" i="1"/>
  <c r="D1016" i="1"/>
  <c r="C1017" i="1"/>
  <c r="D1017" i="1"/>
  <c r="C1018" i="1"/>
  <c r="D1018" i="1"/>
  <c r="C1019" i="1"/>
  <c r="D1019" i="1"/>
  <c r="C1020" i="1"/>
  <c r="D1020" i="1"/>
  <c r="C1021" i="1"/>
  <c r="D1021" i="1"/>
  <c r="C1022" i="1"/>
  <c r="D1022" i="1"/>
  <c r="C1023" i="1"/>
  <c r="D1023" i="1"/>
  <c r="C1024" i="1"/>
  <c r="D1024" i="1"/>
  <c r="C1025" i="1"/>
  <c r="D1025" i="1"/>
  <c r="C1026" i="1"/>
  <c r="D1026" i="1"/>
  <c r="C1027" i="1"/>
  <c r="D1027" i="1"/>
  <c r="C1028" i="1"/>
  <c r="D1028" i="1"/>
  <c r="C1029" i="1"/>
  <c r="D1029" i="1"/>
  <c r="C1030" i="1"/>
  <c r="D1030" i="1"/>
  <c r="C1031" i="1"/>
  <c r="D1031" i="1"/>
  <c r="C1032" i="1"/>
  <c r="D1032" i="1"/>
  <c r="C1033" i="1"/>
  <c r="D1033" i="1"/>
  <c r="C1034" i="1"/>
  <c r="D1034" i="1"/>
  <c r="C1035" i="1"/>
  <c r="D1035" i="1"/>
  <c r="C1036" i="1"/>
  <c r="D1036" i="1"/>
  <c r="C1037" i="1"/>
  <c r="D1037" i="1"/>
  <c r="C1038" i="1"/>
  <c r="D1038" i="1"/>
  <c r="C1039" i="1"/>
  <c r="D1039" i="1"/>
  <c r="C1040" i="1"/>
  <c r="D1040" i="1"/>
  <c r="C1041" i="1"/>
  <c r="D1041" i="1"/>
  <c r="C1042" i="1"/>
  <c r="D1042" i="1"/>
  <c r="C1043" i="1"/>
  <c r="D1043" i="1"/>
  <c r="C1044" i="1"/>
  <c r="D1044" i="1"/>
  <c r="C1045" i="1"/>
  <c r="D1045" i="1"/>
  <c r="C1046" i="1"/>
  <c r="D1046" i="1"/>
  <c r="C1047" i="1"/>
  <c r="D1047" i="1"/>
  <c r="C1048" i="1"/>
  <c r="D1048" i="1"/>
  <c r="C1049" i="1"/>
  <c r="D1049" i="1"/>
  <c r="C1050" i="1"/>
  <c r="D1050" i="1"/>
  <c r="C1051" i="1"/>
  <c r="D1051" i="1"/>
  <c r="C1052" i="1"/>
  <c r="D1052" i="1"/>
  <c r="C1053" i="1"/>
  <c r="D1053" i="1"/>
  <c r="C1054" i="1"/>
  <c r="D1054" i="1"/>
  <c r="C1055" i="1"/>
  <c r="D1055" i="1"/>
  <c r="C1056" i="1"/>
  <c r="D1056" i="1"/>
  <c r="C1057" i="1"/>
  <c r="D1057" i="1"/>
  <c r="C1058" i="1"/>
  <c r="D1058" i="1"/>
  <c r="C1059" i="1"/>
  <c r="D1059" i="1"/>
  <c r="C1060" i="1"/>
  <c r="D1060" i="1"/>
  <c r="C1061" i="1"/>
  <c r="D1061" i="1"/>
  <c r="C1062" i="1"/>
  <c r="D1062" i="1"/>
  <c r="C1063" i="1"/>
  <c r="D1063" i="1"/>
  <c r="C1064" i="1"/>
  <c r="D1064" i="1"/>
  <c r="C1065" i="1"/>
  <c r="D1065" i="1"/>
  <c r="C1066" i="1"/>
  <c r="D1066" i="1"/>
  <c r="C1067" i="1"/>
  <c r="D1067" i="1"/>
  <c r="C1068" i="1"/>
  <c r="D1068" i="1"/>
  <c r="C1069" i="1"/>
  <c r="D1069" i="1"/>
  <c r="C1070" i="1"/>
  <c r="D1070" i="1"/>
  <c r="C1071" i="1"/>
  <c r="D1071" i="1"/>
  <c r="C1072" i="1"/>
  <c r="D1072" i="1"/>
  <c r="C1073" i="1"/>
  <c r="D1073" i="1"/>
  <c r="C1074" i="1"/>
  <c r="D1074" i="1"/>
  <c r="C1075" i="1"/>
  <c r="D1075" i="1"/>
  <c r="C1076" i="1"/>
  <c r="D1076" i="1"/>
  <c r="C1077" i="1"/>
  <c r="D1077" i="1"/>
  <c r="C1078" i="1"/>
  <c r="D1078" i="1"/>
  <c r="C1079" i="1"/>
  <c r="D1079" i="1"/>
  <c r="C1080" i="1"/>
  <c r="D1080" i="1"/>
  <c r="C1081" i="1"/>
  <c r="D1081" i="1"/>
  <c r="C1082" i="1"/>
  <c r="D1082" i="1"/>
  <c r="C1083" i="1"/>
  <c r="D1083" i="1"/>
  <c r="C1084" i="1"/>
  <c r="D1084" i="1"/>
  <c r="C1085" i="1"/>
  <c r="D1085" i="1"/>
  <c r="C1086" i="1"/>
  <c r="D1086" i="1"/>
  <c r="C1087" i="1"/>
  <c r="D1087" i="1"/>
  <c r="C1088" i="1"/>
  <c r="D1088" i="1"/>
  <c r="C1089" i="1"/>
  <c r="D1089" i="1"/>
  <c r="C1090" i="1"/>
  <c r="D1090" i="1"/>
  <c r="C1091" i="1"/>
  <c r="D1091" i="1"/>
  <c r="C1092" i="1"/>
  <c r="D1092" i="1"/>
  <c r="C1093" i="1"/>
  <c r="D1093" i="1"/>
  <c r="C1094" i="1"/>
  <c r="D1094" i="1"/>
  <c r="C1095" i="1"/>
  <c r="D1095" i="1"/>
  <c r="C1096" i="1"/>
  <c r="D1096" i="1"/>
  <c r="C1097" i="1"/>
  <c r="D1097" i="1"/>
  <c r="C1098" i="1"/>
  <c r="D1098" i="1"/>
  <c r="C1099" i="1"/>
  <c r="D1099" i="1"/>
  <c r="C1100" i="1"/>
  <c r="D1100" i="1"/>
  <c r="C1101" i="1"/>
  <c r="D1101" i="1"/>
  <c r="C1102" i="1"/>
  <c r="D1102" i="1"/>
  <c r="C1103" i="1"/>
  <c r="D1103" i="1"/>
  <c r="C1104" i="1"/>
  <c r="D1104" i="1"/>
  <c r="C1105" i="1"/>
  <c r="D1105" i="1"/>
  <c r="C1106" i="1"/>
  <c r="D1106" i="1"/>
  <c r="C1107" i="1"/>
  <c r="D1107" i="1"/>
  <c r="C1108" i="1"/>
  <c r="D1108" i="1"/>
  <c r="C1109" i="1"/>
  <c r="D1109" i="1"/>
  <c r="C1110" i="1"/>
  <c r="D1110" i="1"/>
  <c r="C1111" i="1"/>
  <c r="D1111" i="1"/>
  <c r="C1112" i="1"/>
  <c r="D1112" i="1"/>
  <c r="C1113" i="1"/>
  <c r="D1113" i="1"/>
  <c r="C1114" i="1"/>
  <c r="D1114" i="1"/>
  <c r="C1115" i="1"/>
  <c r="D1115" i="1"/>
  <c r="C1116" i="1"/>
  <c r="D1116" i="1"/>
  <c r="C1117" i="1"/>
  <c r="D1117" i="1"/>
  <c r="C1118" i="1"/>
  <c r="D1118" i="1"/>
  <c r="C1119" i="1"/>
  <c r="D1119" i="1"/>
  <c r="C1120" i="1"/>
  <c r="D1120" i="1"/>
  <c r="C1121" i="1"/>
  <c r="D1121" i="1"/>
  <c r="C1122" i="1"/>
  <c r="D1122" i="1"/>
  <c r="C1123" i="1"/>
  <c r="D1123" i="1"/>
  <c r="C1124" i="1"/>
  <c r="D1124" i="1"/>
  <c r="C1125" i="1"/>
  <c r="D1125" i="1"/>
  <c r="C1126" i="1"/>
  <c r="D1126" i="1"/>
  <c r="C1127" i="1"/>
  <c r="D1127" i="1"/>
  <c r="C1128" i="1"/>
  <c r="D1128" i="1"/>
  <c r="C1129" i="1"/>
  <c r="D1129" i="1"/>
  <c r="C1130" i="1"/>
  <c r="D1130" i="1"/>
  <c r="C1131" i="1"/>
  <c r="D1131" i="1"/>
  <c r="C1132" i="1"/>
  <c r="D1132" i="1"/>
  <c r="C1133" i="1"/>
  <c r="D1133" i="1"/>
  <c r="C1134" i="1"/>
  <c r="D1134" i="1"/>
  <c r="C1135" i="1"/>
  <c r="D1135" i="1"/>
  <c r="C1136" i="1"/>
  <c r="D1136" i="1"/>
  <c r="C1137" i="1"/>
  <c r="D1137" i="1"/>
  <c r="C1138" i="1"/>
  <c r="D1138" i="1"/>
  <c r="C1139" i="1"/>
  <c r="D1139" i="1"/>
  <c r="C1140" i="1"/>
  <c r="D1140" i="1"/>
  <c r="C1141" i="1"/>
  <c r="D1141" i="1"/>
  <c r="C1142" i="1"/>
  <c r="D1142" i="1"/>
  <c r="C1143" i="1"/>
  <c r="D1143" i="1"/>
  <c r="C1144" i="1"/>
  <c r="D1144" i="1"/>
  <c r="C1145" i="1"/>
  <c r="D1145" i="1"/>
  <c r="C1146" i="1"/>
  <c r="D1146" i="1"/>
  <c r="C1147" i="1"/>
  <c r="D1147" i="1"/>
  <c r="C1148" i="1"/>
  <c r="D1148" i="1"/>
  <c r="C1149" i="1"/>
  <c r="D1149" i="1"/>
  <c r="C1150" i="1"/>
  <c r="D1150" i="1"/>
  <c r="C1151" i="1"/>
  <c r="D1151" i="1"/>
  <c r="C1152" i="1"/>
  <c r="D1152" i="1"/>
  <c r="C1153" i="1"/>
  <c r="D1153" i="1"/>
  <c r="C1154" i="1"/>
  <c r="D1154" i="1"/>
  <c r="C1155" i="1"/>
  <c r="D1155" i="1"/>
  <c r="C1156" i="1"/>
  <c r="D1156" i="1"/>
  <c r="C1157" i="1"/>
  <c r="D1157" i="1"/>
  <c r="C1158" i="1"/>
  <c r="D1158" i="1"/>
  <c r="C1159" i="1"/>
  <c r="D1159" i="1"/>
  <c r="C1160" i="1"/>
  <c r="D1160" i="1"/>
  <c r="C1161" i="1"/>
  <c r="D1161" i="1"/>
  <c r="C1162" i="1"/>
  <c r="D1162" i="1"/>
  <c r="C1163" i="1"/>
  <c r="D1163" i="1"/>
  <c r="C1164" i="1"/>
  <c r="D1164" i="1"/>
  <c r="C1165" i="1"/>
  <c r="D1165" i="1"/>
  <c r="C1166" i="1"/>
  <c r="D1166" i="1"/>
  <c r="C1167" i="1"/>
  <c r="D1167" i="1"/>
  <c r="C1168" i="1"/>
  <c r="D1168" i="1"/>
  <c r="C1169" i="1"/>
  <c r="D1169" i="1"/>
  <c r="C1170" i="1"/>
  <c r="D1170" i="1"/>
  <c r="C1171" i="1"/>
  <c r="D1171" i="1"/>
  <c r="C1172" i="1"/>
  <c r="D1172" i="1"/>
  <c r="C1173" i="1"/>
  <c r="D1173" i="1"/>
  <c r="C1174" i="1"/>
  <c r="D1174" i="1"/>
  <c r="C1175" i="1"/>
  <c r="D1175" i="1"/>
  <c r="C1176" i="1"/>
  <c r="D1176" i="1"/>
  <c r="C1177" i="1"/>
  <c r="D1177" i="1"/>
  <c r="C1178" i="1"/>
  <c r="D1178" i="1"/>
  <c r="C1179" i="1"/>
  <c r="D1179" i="1"/>
  <c r="C1180" i="1"/>
  <c r="D1180" i="1"/>
  <c r="C1181" i="1"/>
  <c r="D1181" i="1"/>
  <c r="C1182" i="1"/>
  <c r="D1182" i="1"/>
  <c r="C1183" i="1"/>
  <c r="D1183" i="1"/>
  <c r="C1184" i="1"/>
  <c r="D1184" i="1"/>
  <c r="C1185" i="1"/>
  <c r="D1185" i="1"/>
  <c r="C1186" i="1"/>
  <c r="D1186" i="1"/>
  <c r="C1187" i="1"/>
  <c r="D1187" i="1"/>
  <c r="C1188" i="1"/>
  <c r="D1188" i="1"/>
  <c r="C1189" i="1"/>
  <c r="D1189" i="1"/>
  <c r="C1190" i="1"/>
  <c r="D1190" i="1"/>
  <c r="C1191" i="1"/>
  <c r="D1191" i="1"/>
  <c r="C1192" i="1"/>
  <c r="D1192" i="1"/>
  <c r="C1193" i="1"/>
  <c r="D1193" i="1"/>
  <c r="C1194" i="1"/>
  <c r="D1194" i="1"/>
  <c r="C1195" i="1"/>
  <c r="D1195" i="1"/>
  <c r="C1196" i="1"/>
  <c r="D1196" i="1"/>
  <c r="C1197" i="1"/>
  <c r="D1197" i="1"/>
  <c r="C1198" i="1"/>
  <c r="D1198" i="1"/>
  <c r="C1199" i="1"/>
  <c r="D1199" i="1"/>
  <c r="C1200" i="1"/>
  <c r="D1200" i="1"/>
  <c r="C1201" i="1"/>
  <c r="D1201" i="1"/>
  <c r="C1202" i="1"/>
  <c r="D1202" i="1"/>
  <c r="C1203" i="1"/>
  <c r="D1203" i="1"/>
  <c r="C1204" i="1"/>
  <c r="D1204" i="1"/>
  <c r="C1205" i="1"/>
  <c r="D1205" i="1"/>
  <c r="C1206" i="1"/>
  <c r="D1206" i="1"/>
  <c r="C1207" i="1"/>
  <c r="D1207" i="1"/>
  <c r="C1208" i="1"/>
  <c r="D1208" i="1"/>
  <c r="C1209" i="1"/>
  <c r="D1209" i="1"/>
  <c r="C1210" i="1"/>
  <c r="D1210" i="1"/>
  <c r="C1211" i="1"/>
  <c r="D1211" i="1"/>
  <c r="C1212" i="1"/>
  <c r="D1212" i="1"/>
  <c r="C1213" i="1"/>
  <c r="D1213" i="1"/>
  <c r="C1214" i="1"/>
  <c r="D1214" i="1"/>
  <c r="C1215" i="1"/>
  <c r="D1215" i="1"/>
  <c r="C1216" i="1"/>
  <c r="D1216" i="1"/>
  <c r="C1217" i="1"/>
  <c r="D1217" i="1"/>
  <c r="C1218" i="1"/>
  <c r="D1218" i="1"/>
  <c r="C1219" i="1"/>
  <c r="D1219" i="1"/>
  <c r="C1220" i="1"/>
  <c r="D1220" i="1"/>
  <c r="C1221" i="1"/>
  <c r="D1221" i="1"/>
  <c r="C1222" i="1"/>
  <c r="D1222" i="1"/>
  <c r="C1223" i="1"/>
  <c r="D1223" i="1"/>
  <c r="C1224" i="1"/>
  <c r="D1224" i="1"/>
  <c r="C1225" i="1"/>
  <c r="D1225" i="1"/>
  <c r="C1226" i="1"/>
  <c r="D1226" i="1"/>
  <c r="C1227" i="1"/>
  <c r="D1227" i="1"/>
  <c r="C1228" i="1"/>
  <c r="D1228" i="1"/>
  <c r="C1229" i="1"/>
  <c r="D1229" i="1"/>
  <c r="C1230" i="1"/>
  <c r="D1230" i="1"/>
  <c r="C1231" i="1"/>
  <c r="D1231" i="1"/>
  <c r="C1232" i="1"/>
  <c r="D1232" i="1"/>
  <c r="C1233" i="1"/>
  <c r="D1233" i="1"/>
  <c r="C1234" i="1"/>
  <c r="D1234" i="1"/>
  <c r="C1235" i="1"/>
  <c r="D1235" i="1"/>
  <c r="C1236" i="1"/>
  <c r="D1236" i="1"/>
  <c r="C1237" i="1"/>
  <c r="D1237" i="1"/>
  <c r="C1238" i="1"/>
  <c r="D1238" i="1"/>
  <c r="C1239" i="1"/>
  <c r="D1239" i="1"/>
  <c r="C1240" i="1"/>
  <c r="D1240" i="1"/>
  <c r="C1241" i="1"/>
  <c r="D1241" i="1"/>
  <c r="C1242" i="1"/>
  <c r="D1242" i="1"/>
  <c r="C1243" i="1"/>
  <c r="D1243" i="1"/>
  <c r="C1244" i="1"/>
  <c r="D1244" i="1"/>
  <c r="C1245" i="1"/>
  <c r="D1245" i="1"/>
  <c r="C1246" i="1"/>
  <c r="D1246" i="1"/>
  <c r="C1247" i="1"/>
  <c r="D1247" i="1"/>
  <c r="C1248" i="1"/>
  <c r="D1248" i="1"/>
  <c r="C1249" i="1"/>
  <c r="D1249" i="1"/>
  <c r="C1250" i="1"/>
  <c r="D1250" i="1"/>
  <c r="C1251" i="1"/>
  <c r="D1251" i="1"/>
  <c r="C1252" i="1"/>
  <c r="D1252" i="1"/>
  <c r="C1253" i="1"/>
  <c r="D1253" i="1"/>
  <c r="C1254" i="1"/>
  <c r="D1254" i="1"/>
  <c r="C1255" i="1"/>
  <c r="D1255" i="1"/>
  <c r="C1256" i="1"/>
  <c r="D1256" i="1"/>
  <c r="C1257" i="1"/>
  <c r="D1257" i="1"/>
  <c r="C1258" i="1"/>
  <c r="D1258" i="1"/>
  <c r="C1259" i="1"/>
  <c r="D1259" i="1"/>
  <c r="C1260" i="1"/>
  <c r="D1260" i="1"/>
  <c r="C1261" i="1"/>
  <c r="D1261" i="1"/>
  <c r="C1262" i="1"/>
  <c r="D1262" i="1"/>
  <c r="C1263" i="1"/>
  <c r="D1263" i="1"/>
  <c r="C1264" i="1"/>
  <c r="D1264" i="1"/>
  <c r="C1265" i="1"/>
  <c r="D1265" i="1"/>
  <c r="C1266" i="1"/>
  <c r="D1266" i="1"/>
  <c r="C1267" i="1"/>
  <c r="D1267" i="1"/>
  <c r="C1268" i="1"/>
  <c r="D1268" i="1"/>
  <c r="C1269" i="1"/>
  <c r="D1269" i="1"/>
  <c r="C1270" i="1"/>
  <c r="D1270" i="1"/>
  <c r="C1271" i="1"/>
  <c r="D1271" i="1"/>
  <c r="C1272" i="1"/>
  <c r="D1272" i="1"/>
  <c r="C1273" i="1"/>
  <c r="D1273" i="1"/>
  <c r="C1274" i="1"/>
  <c r="D1274" i="1"/>
  <c r="C1275" i="1"/>
  <c r="D1275" i="1"/>
  <c r="C1276" i="1"/>
  <c r="D1276" i="1"/>
  <c r="C1277" i="1"/>
  <c r="D1277" i="1"/>
  <c r="C1278" i="1"/>
  <c r="D1278" i="1"/>
  <c r="C1279" i="1"/>
  <c r="D1279" i="1"/>
  <c r="C1280" i="1"/>
  <c r="D1280" i="1"/>
  <c r="C1281" i="1"/>
  <c r="D1281" i="1"/>
  <c r="C1282" i="1"/>
  <c r="D1282" i="1"/>
  <c r="C1283" i="1"/>
  <c r="D1283" i="1"/>
  <c r="C1284" i="1"/>
  <c r="D1284" i="1"/>
  <c r="C1285" i="1"/>
  <c r="D1285" i="1"/>
  <c r="C1286" i="1"/>
  <c r="D1286" i="1"/>
  <c r="C1287" i="1"/>
  <c r="D1287" i="1"/>
  <c r="C1288" i="1"/>
  <c r="D1288" i="1"/>
  <c r="C1289" i="1"/>
  <c r="D1289" i="1"/>
  <c r="C1290" i="1"/>
  <c r="D1290" i="1"/>
  <c r="C1291" i="1"/>
  <c r="D1291" i="1"/>
  <c r="C1292" i="1"/>
  <c r="D1292" i="1"/>
  <c r="C1293" i="1"/>
  <c r="D1293" i="1"/>
  <c r="C1294" i="1"/>
  <c r="D1294" i="1"/>
  <c r="C1295" i="1"/>
  <c r="D1295" i="1"/>
  <c r="C1296" i="1"/>
  <c r="D1296" i="1"/>
  <c r="C1297" i="1"/>
  <c r="D1297" i="1"/>
  <c r="C1298" i="1"/>
  <c r="D1298" i="1"/>
  <c r="C1299" i="1"/>
  <c r="D1299" i="1"/>
  <c r="C1300" i="1"/>
  <c r="D1300" i="1"/>
  <c r="C1301" i="1"/>
  <c r="D1301" i="1"/>
  <c r="C1302" i="1"/>
  <c r="D1302" i="1"/>
  <c r="C1303" i="1"/>
  <c r="D1303" i="1"/>
  <c r="C1304" i="1"/>
  <c r="D1304" i="1"/>
  <c r="C1305" i="1"/>
  <c r="D1305" i="1"/>
  <c r="C1306" i="1"/>
  <c r="D1306" i="1"/>
  <c r="C1307" i="1"/>
  <c r="D1307" i="1"/>
  <c r="C1308" i="1"/>
  <c r="D1308" i="1"/>
  <c r="C1309" i="1"/>
  <c r="D1309" i="1"/>
  <c r="C1310" i="1"/>
  <c r="D1310" i="1"/>
  <c r="C1311" i="1"/>
  <c r="D1311" i="1"/>
  <c r="C1312" i="1"/>
  <c r="D1312" i="1"/>
  <c r="C1313" i="1"/>
  <c r="D1313" i="1"/>
  <c r="C1314" i="1"/>
  <c r="D1314" i="1"/>
  <c r="C1315" i="1"/>
  <c r="D1315" i="1"/>
  <c r="C1316" i="1"/>
  <c r="D1316" i="1"/>
  <c r="C1317" i="1"/>
  <c r="D1317" i="1"/>
  <c r="C1318" i="1"/>
  <c r="D1318" i="1"/>
  <c r="C1319" i="1"/>
  <c r="D1319" i="1"/>
  <c r="C1320" i="1"/>
  <c r="D1320" i="1"/>
  <c r="C1321" i="1"/>
  <c r="D1321" i="1"/>
  <c r="C1322" i="1"/>
  <c r="D1322" i="1"/>
  <c r="C1323" i="1"/>
  <c r="D1323" i="1"/>
  <c r="C1324" i="1"/>
  <c r="D1324" i="1"/>
  <c r="C1325" i="1"/>
  <c r="D1325" i="1"/>
  <c r="C1326" i="1"/>
  <c r="D1326" i="1"/>
  <c r="C1327" i="1"/>
  <c r="D1327" i="1"/>
  <c r="C1328" i="1"/>
  <c r="D1328" i="1"/>
  <c r="C1329" i="1"/>
  <c r="D1329" i="1"/>
  <c r="C1330" i="1"/>
  <c r="D1330" i="1"/>
  <c r="C1331" i="1"/>
  <c r="D1331" i="1"/>
  <c r="C1332" i="1"/>
  <c r="D1332" i="1"/>
  <c r="C1333" i="1"/>
  <c r="D1333" i="1"/>
  <c r="C1334" i="1"/>
  <c r="D1334" i="1"/>
  <c r="C1335" i="1"/>
  <c r="D1335" i="1"/>
  <c r="C1336" i="1"/>
  <c r="D1336" i="1"/>
  <c r="C1337" i="1"/>
  <c r="D1337" i="1"/>
  <c r="C1338" i="1"/>
  <c r="D1338" i="1"/>
  <c r="C1339" i="1"/>
  <c r="D1339" i="1"/>
  <c r="C1340" i="1"/>
  <c r="D1340" i="1"/>
  <c r="C1341" i="1"/>
  <c r="D1341" i="1"/>
  <c r="C1342" i="1"/>
  <c r="D1342" i="1"/>
  <c r="C1343" i="1"/>
  <c r="D1343" i="1"/>
  <c r="C1344" i="1"/>
  <c r="D1344" i="1"/>
  <c r="C1345" i="1"/>
  <c r="D1345" i="1"/>
  <c r="C1346" i="1"/>
  <c r="D1346" i="1"/>
  <c r="C1347" i="1"/>
  <c r="D1347" i="1"/>
  <c r="C1348" i="1"/>
  <c r="D1348" i="1"/>
  <c r="C1349" i="1"/>
  <c r="D1349" i="1"/>
  <c r="C1350" i="1"/>
  <c r="D1350" i="1"/>
  <c r="C1351" i="1"/>
  <c r="D1351" i="1"/>
  <c r="C1352" i="1"/>
  <c r="D1352" i="1"/>
  <c r="C1353" i="1"/>
  <c r="D1353" i="1"/>
  <c r="C1354" i="1"/>
  <c r="D1354" i="1"/>
  <c r="C1355" i="1"/>
  <c r="D1355" i="1"/>
  <c r="C1356" i="1"/>
  <c r="D1356" i="1"/>
  <c r="C1357" i="1"/>
  <c r="D1357" i="1"/>
  <c r="C1358" i="1"/>
  <c r="D1358" i="1"/>
  <c r="C1359" i="1"/>
  <c r="D1359" i="1"/>
  <c r="C1360" i="1"/>
  <c r="D1360" i="1"/>
  <c r="C1361" i="1"/>
  <c r="D1361" i="1"/>
  <c r="C1362" i="1"/>
  <c r="D1362" i="1"/>
  <c r="C1363" i="1"/>
  <c r="D1363" i="1"/>
  <c r="C1364" i="1"/>
  <c r="D1364" i="1"/>
  <c r="C1365" i="1"/>
  <c r="D1365" i="1"/>
  <c r="C1366" i="1"/>
  <c r="D1366" i="1"/>
  <c r="C1367" i="1"/>
  <c r="D1367" i="1"/>
  <c r="C1368" i="1"/>
  <c r="D1368" i="1"/>
  <c r="C1369" i="1"/>
  <c r="D1369" i="1"/>
  <c r="C1370" i="1"/>
  <c r="D1370" i="1"/>
  <c r="C1371" i="1"/>
  <c r="D1371" i="1"/>
  <c r="C1372" i="1"/>
  <c r="D1372" i="1"/>
  <c r="C1373" i="1"/>
  <c r="D1373" i="1"/>
  <c r="C1374" i="1"/>
  <c r="D1374" i="1"/>
  <c r="C1375" i="1"/>
  <c r="D1375" i="1"/>
  <c r="C1376" i="1"/>
  <c r="D1376" i="1"/>
  <c r="C1377" i="1"/>
  <c r="D1377" i="1"/>
  <c r="C1378" i="1"/>
  <c r="D1378" i="1"/>
  <c r="C1379" i="1"/>
  <c r="D1379" i="1"/>
  <c r="C1380" i="1"/>
  <c r="D1380" i="1"/>
  <c r="C1381" i="1"/>
  <c r="D1381" i="1"/>
  <c r="C1382" i="1"/>
  <c r="D1382" i="1"/>
  <c r="C1383" i="1"/>
  <c r="D1383" i="1"/>
  <c r="C1384" i="1"/>
  <c r="D1384" i="1"/>
  <c r="C1385" i="1"/>
  <c r="D1385" i="1"/>
  <c r="C1386" i="1"/>
  <c r="D1386" i="1"/>
  <c r="C1387" i="1"/>
  <c r="D1387" i="1"/>
  <c r="C1388" i="1"/>
  <c r="D1388" i="1"/>
  <c r="C1389" i="1"/>
  <c r="D1389" i="1"/>
  <c r="C1390" i="1"/>
  <c r="D1390" i="1"/>
  <c r="C1391" i="1"/>
  <c r="D1391" i="1"/>
  <c r="C1392" i="1"/>
  <c r="D1392" i="1"/>
  <c r="C1393" i="1"/>
  <c r="D1393" i="1"/>
  <c r="C1394" i="1"/>
  <c r="D1394" i="1"/>
  <c r="C1395" i="1"/>
  <c r="D1395" i="1"/>
  <c r="C1396" i="1"/>
  <c r="D1396" i="1"/>
  <c r="C1397" i="1"/>
  <c r="D1397" i="1"/>
  <c r="C1398" i="1"/>
  <c r="D1398" i="1"/>
  <c r="C1399" i="1"/>
  <c r="D1399" i="1"/>
  <c r="C1400" i="1"/>
  <c r="D1400" i="1"/>
  <c r="C1401" i="1"/>
  <c r="D1401" i="1"/>
  <c r="C1402" i="1"/>
  <c r="D1402" i="1"/>
  <c r="C1403" i="1"/>
  <c r="D1403" i="1"/>
  <c r="C1404" i="1"/>
  <c r="D1404" i="1"/>
  <c r="C1405" i="1"/>
  <c r="D1405" i="1"/>
  <c r="C1406" i="1"/>
  <c r="D1406" i="1"/>
  <c r="C1407" i="1"/>
  <c r="D1407" i="1"/>
  <c r="C1408" i="1"/>
  <c r="D1408" i="1"/>
  <c r="C1409" i="1"/>
  <c r="D1409" i="1"/>
  <c r="C1410" i="1"/>
  <c r="D1410" i="1"/>
  <c r="C1411" i="1"/>
  <c r="D1411" i="1"/>
  <c r="C1412" i="1"/>
  <c r="D1412" i="1"/>
  <c r="C1413" i="1"/>
  <c r="D1413" i="1"/>
  <c r="C1414" i="1"/>
  <c r="D1414" i="1"/>
  <c r="C1415" i="1"/>
  <c r="D1415" i="1"/>
  <c r="C1416" i="1"/>
  <c r="D1416" i="1"/>
  <c r="C1417" i="1"/>
  <c r="D1417" i="1"/>
  <c r="C1418" i="1"/>
  <c r="D1418" i="1"/>
  <c r="C1419" i="1"/>
  <c r="D1419" i="1"/>
  <c r="C1420" i="1"/>
  <c r="D1420" i="1"/>
  <c r="C1421" i="1"/>
  <c r="D1421" i="1"/>
  <c r="C1422" i="1"/>
  <c r="D1422" i="1"/>
  <c r="C1423" i="1"/>
  <c r="D1423" i="1"/>
  <c r="C1424" i="1"/>
  <c r="D1424" i="1"/>
  <c r="C1425" i="1"/>
  <c r="D1425" i="1"/>
  <c r="C1426" i="1"/>
  <c r="D1426" i="1"/>
  <c r="C1427" i="1"/>
  <c r="D1427" i="1"/>
  <c r="C1428" i="1"/>
  <c r="D1428" i="1"/>
  <c r="C1429" i="1"/>
  <c r="D1429" i="1"/>
  <c r="C1430" i="1"/>
  <c r="D1430" i="1"/>
  <c r="C1431" i="1"/>
  <c r="D1431" i="1"/>
  <c r="C1432" i="1"/>
  <c r="D1432" i="1"/>
  <c r="C1433" i="1"/>
  <c r="D1433" i="1"/>
  <c r="C1434" i="1"/>
  <c r="D1434" i="1"/>
  <c r="C1435" i="1"/>
  <c r="D1435" i="1"/>
  <c r="C1436" i="1"/>
  <c r="D1436" i="1"/>
  <c r="C1437" i="1"/>
  <c r="D1437" i="1"/>
  <c r="C1438" i="1"/>
  <c r="D1438" i="1"/>
  <c r="C1439" i="1"/>
  <c r="D1439" i="1"/>
  <c r="C1440" i="1"/>
  <c r="D1440" i="1"/>
  <c r="C1441" i="1"/>
  <c r="D1441" i="1"/>
  <c r="C1442" i="1"/>
  <c r="D1442" i="1"/>
  <c r="C1443" i="1"/>
  <c r="D1443" i="1"/>
  <c r="C1444" i="1"/>
  <c r="D1444" i="1"/>
  <c r="C1445" i="1"/>
  <c r="D1445" i="1"/>
  <c r="C1446" i="1"/>
  <c r="D1446" i="1"/>
  <c r="C1447" i="1"/>
  <c r="D1447" i="1"/>
  <c r="C1448" i="1"/>
  <c r="D1448" i="1"/>
  <c r="C1449" i="1"/>
  <c r="D1449" i="1"/>
  <c r="C1450" i="1"/>
  <c r="D1450" i="1"/>
  <c r="C1451" i="1"/>
  <c r="D1451" i="1"/>
  <c r="C1452" i="1"/>
  <c r="D1452" i="1"/>
  <c r="C1453" i="1"/>
  <c r="D1453" i="1"/>
  <c r="C1454" i="1"/>
  <c r="D1454" i="1"/>
  <c r="C1455" i="1"/>
  <c r="D1455" i="1"/>
  <c r="C1456" i="1"/>
  <c r="D1456" i="1"/>
  <c r="C1457" i="1"/>
  <c r="D1457" i="1"/>
  <c r="C1458" i="1"/>
  <c r="D1458" i="1"/>
  <c r="C1459" i="1"/>
  <c r="D1459" i="1"/>
  <c r="C1460" i="1"/>
  <c r="D1460" i="1"/>
  <c r="C1461" i="1"/>
  <c r="D1461" i="1"/>
  <c r="C1462" i="1"/>
  <c r="D1462" i="1"/>
  <c r="C1463" i="1"/>
  <c r="D1463" i="1"/>
  <c r="C1464" i="1"/>
  <c r="D1464" i="1"/>
  <c r="C1465" i="1"/>
  <c r="D1465" i="1"/>
  <c r="C1466" i="1"/>
  <c r="D1466" i="1"/>
  <c r="C1467" i="1"/>
  <c r="D1467" i="1"/>
  <c r="C1468" i="1"/>
  <c r="D1468" i="1"/>
  <c r="C1469" i="1"/>
  <c r="D1469" i="1"/>
  <c r="C1470" i="1"/>
  <c r="D1470" i="1"/>
  <c r="C1471" i="1"/>
  <c r="D1471" i="1"/>
  <c r="C1472" i="1"/>
  <c r="D1472" i="1"/>
  <c r="C1473" i="1"/>
  <c r="D1473" i="1"/>
  <c r="C1474" i="1"/>
  <c r="D1474" i="1"/>
  <c r="C1475" i="1"/>
  <c r="D1475" i="1"/>
  <c r="C1476" i="1"/>
  <c r="D1476" i="1"/>
  <c r="C1477" i="1"/>
  <c r="D1477" i="1"/>
  <c r="C1478" i="1"/>
  <c r="D1478" i="1"/>
  <c r="C1479" i="1"/>
  <c r="D1479" i="1"/>
  <c r="C1480" i="1"/>
  <c r="D1480" i="1"/>
  <c r="C1481" i="1"/>
  <c r="D1481" i="1"/>
  <c r="C1482" i="1"/>
  <c r="D1482" i="1"/>
  <c r="C1483" i="1"/>
  <c r="D1483" i="1"/>
  <c r="C1484" i="1"/>
  <c r="D1484" i="1"/>
  <c r="C1485" i="1"/>
  <c r="D1485" i="1"/>
  <c r="C1486" i="1"/>
  <c r="D1486" i="1"/>
  <c r="C1487" i="1"/>
  <c r="D1487" i="1"/>
  <c r="C1488" i="1"/>
  <c r="D1488" i="1"/>
  <c r="C1489" i="1"/>
  <c r="D1489" i="1"/>
  <c r="C1490" i="1"/>
  <c r="D1490" i="1"/>
  <c r="C1491" i="1"/>
  <c r="D1491" i="1"/>
  <c r="C1492" i="1"/>
  <c r="D1492" i="1"/>
  <c r="C1493" i="1"/>
  <c r="D1493" i="1"/>
  <c r="C1494" i="1"/>
  <c r="D1494" i="1"/>
  <c r="C1495" i="1"/>
  <c r="D1495" i="1"/>
  <c r="C1496" i="1"/>
  <c r="D1496" i="1"/>
  <c r="C1497" i="1"/>
  <c r="D1497" i="1"/>
  <c r="C1498" i="1"/>
  <c r="D1498" i="1"/>
  <c r="C1499" i="1"/>
  <c r="D1499" i="1"/>
  <c r="C1500" i="1"/>
  <c r="D1500" i="1"/>
  <c r="C1501" i="1"/>
  <c r="D1501" i="1"/>
  <c r="C1502" i="1"/>
  <c r="D1502" i="1"/>
  <c r="C1503" i="1"/>
  <c r="D1503" i="1"/>
  <c r="C1504" i="1"/>
  <c r="D1504" i="1"/>
  <c r="C1505" i="1"/>
  <c r="D1505" i="1"/>
  <c r="C1506" i="1"/>
  <c r="D1506" i="1"/>
  <c r="C1507" i="1"/>
  <c r="D1507" i="1"/>
  <c r="C1508" i="1"/>
  <c r="D1508" i="1"/>
  <c r="C1509" i="1"/>
  <c r="D1509" i="1"/>
  <c r="C1510" i="1"/>
  <c r="D1510" i="1"/>
  <c r="C1511" i="1"/>
  <c r="D1511" i="1"/>
  <c r="C1512" i="1"/>
  <c r="D1512" i="1"/>
  <c r="C1513" i="1"/>
  <c r="D1513" i="1"/>
  <c r="C1514" i="1"/>
  <c r="D1514" i="1"/>
  <c r="C1515" i="1"/>
  <c r="D1515" i="1"/>
  <c r="C1516" i="1"/>
  <c r="D1516" i="1"/>
  <c r="C1517" i="1"/>
  <c r="D1517" i="1"/>
  <c r="C1518" i="1"/>
  <c r="D1518" i="1"/>
  <c r="C1519" i="1"/>
  <c r="D1519" i="1"/>
  <c r="C1520" i="1"/>
  <c r="D1520" i="1"/>
  <c r="C1521" i="1"/>
  <c r="D1521" i="1"/>
  <c r="C1522" i="1"/>
  <c r="D1522" i="1"/>
  <c r="C1523" i="1"/>
  <c r="D1523" i="1"/>
  <c r="C1524" i="1"/>
  <c r="D1524" i="1"/>
  <c r="C1525" i="1"/>
  <c r="D1525" i="1"/>
  <c r="C1526" i="1"/>
  <c r="D1526" i="1"/>
  <c r="C1527" i="1"/>
  <c r="D1527" i="1"/>
  <c r="C1528" i="1"/>
  <c r="D1528" i="1"/>
  <c r="C1529" i="1"/>
  <c r="D1529" i="1"/>
  <c r="C1530" i="1"/>
  <c r="D1530" i="1"/>
  <c r="C1531" i="1"/>
  <c r="D1531" i="1"/>
  <c r="C1532" i="1"/>
  <c r="D1532" i="1"/>
  <c r="C1533" i="1"/>
  <c r="D1533" i="1"/>
  <c r="C1534" i="1"/>
  <c r="D1534" i="1"/>
  <c r="C1535" i="1"/>
  <c r="D1535" i="1"/>
  <c r="C1536" i="1"/>
  <c r="D1536" i="1"/>
  <c r="C1537" i="1"/>
  <c r="D1537" i="1"/>
  <c r="C1538" i="1"/>
  <c r="D1538" i="1"/>
  <c r="C1539" i="1"/>
  <c r="D1539" i="1"/>
  <c r="C1540" i="1"/>
  <c r="D1540" i="1"/>
  <c r="C1541" i="1"/>
  <c r="D1541" i="1"/>
  <c r="C1542" i="1"/>
  <c r="D1542" i="1"/>
  <c r="C1543" i="1"/>
  <c r="D1543" i="1"/>
  <c r="C1544" i="1"/>
  <c r="D1544" i="1"/>
  <c r="C1545" i="1"/>
  <c r="D1545" i="1"/>
  <c r="C1546" i="1"/>
  <c r="D1546" i="1"/>
  <c r="C1547" i="1"/>
  <c r="D1547" i="1"/>
  <c r="C1548" i="1"/>
  <c r="D1548" i="1"/>
  <c r="C1549" i="1"/>
  <c r="D1549" i="1"/>
  <c r="C1550" i="1"/>
  <c r="D1550" i="1"/>
  <c r="C1551" i="1"/>
  <c r="D1551" i="1"/>
  <c r="C1552" i="1"/>
  <c r="D1552" i="1"/>
  <c r="C1553" i="1"/>
  <c r="D1553" i="1"/>
  <c r="C1554" i="1"/>
  <c r="D1554" i="1"/>
  <c r="C1555" i="1"/>
  <c r="D1555" i="1"/>
  <c r="C1556" i="1"/>
  <c r="D1556" i="1"/>
  <c r="C1557" i="1"/>
  <c r="D1557" i="1"/>
  <c r="C1558" i="1"/>
  <c r="D1558" i="1"/>
  <c r="C1559" i="1"/>
  <c r="D1559" i="1"/>
  <c r="C1560" i="1"/>
  <c r="D1560" i="1"/>
  <c r="C1561" i="1"/>
  <c r="D1561" i="1"/>
  <c r="C1562" i="1"/>
  <c r="D1562" i="1"/>
  <c r="C1563" i="1"/>
  <c r="D1563" i="1"/>
  <c r="C1564" i="1"/>
  <c r="D1564" i="1"/>
  <c r="C1565" i="1"/>
  <c r="D1565" i="1"/>
  <c r="C1566" i="1"/>
  <c r="D1566" i="1"/>
  <c r="C1567" i="1"/>
  <c r="D1567" i="1"/>
  <c r="C1568" i="1"/>
  <c r="D1568" i="1"/>
  <c r="C1569" i="1"/>
  <c r="D1569" i="1"/>
  <c r="C1570" i="1"/>
  <c r="D1570" i="1"/>
  <c r="C1571" i="1"/>
  <c r="D1571" i="1"/>
  <c r="C1572" i="1"/>
  <c r="D1572" i="1"/>
  <c r="C1573" i="1"/>
  <c r="D1573" i="1"/>
  <c r="C1574" i="1"/>
  <c r="D1574" i="1"/>
  <c r="C1575" i="1"/>
  <c r="D1575" i="1"/>
  <c r="C1576" i="1"/>
  <c r="D1576" i="1"/>
  <c r="C1577" i="1"/>
  <c r="D1577" i="1"/>
  <c r="C1578" i="1"/>
  <c r="D1578" i="1"/>
  <c r="C1579" i="1"/>
  <c r="D1579" i="1"/>
  <c r="C1580" i="1"/>
  <c r="D1580" i="1"/>
  <c r="C1581" i="1"/>
  <c r="D1581" i="1"/>
  <c r="C1582" i="1"/>
  <c r="D1582" i="1"/>
  <c r="C1583" i="1"/>
  <c r="D1583" i="1"/>
  <c r="C1584" i="1"/>
  <c r="D1584" i="1"/>
  <c r="C1585" i="1"/>
  <c r="D1585" i="1"/>
  <c r="C1586" i="1"/>
  <c r="D1586" i="1"/>
  <c r="C1587" i="1"/>
  <c r="D1587" i="1"/>
  <c r="C1588" i="1"/>
  <c r="D1588" i="1"/>
  <c r="C1589" i="1"/>
  <c r="D1589" i="1"/>
  <c r="C1590" i="1"/>
  <c r="D1590" i="1"/>
  <c r="C1591" i="1"/>
  <c r="D1591" i="1"/>
  <c r="C1592" i="1"/>
  <c r="D1592" i="1"/>
  <c r="C1593" i="1"/>
  <c r="D1593" i="1"/>
  <c r="C1594" i="1"/>
  <c r="D1594" i="1"/>
  <c r="C1595" i="1"/>
  <c r="D1595" i="1"/>
  <c r="C1596" i="1"/>
  <c r="D1596" i="1"/>
  <c r="C1597" i="1"/>
  <c r="D1597" i="1"/>
  <c r="C1598" i="1"/>
  <c r="D1598" i="1"/>
  <c r="C1599" i="1"/>
  <c r="D1599" i="1"/>
  <c r="C1600" i="1"/>
  <c r="D1600" i="1"/>
  <c r="C1601" i="1"/>
  <c r="D1601" i="1"/>
  <c r="C1602" i="1"/>
  <c r="D1602" i="1"/>
  <c r="C1603" i="1"/>
  <c r="D1603" i="1"/>
  <c r="C1604" i="1"/>
  <c r="D1604" i="1"/>
  <c r="C1605" i="1"/>
  <c r="D1605" i="1"/>
  <c r="C1606" i="1"/>
  <c r="D1606" i="1"/>
  <c r="C1607" i="1"/>
  <c r="D1607" i="1"/>
  <c r="C1608" i="1"/>
  <c r="D1608" i="1"/>
  <c r="C1609" i="1"/>
  <c r="D1609" i="1"/>
  <c r="C1610" i="1"/>
  <c r="D1610" i="1"/>
  <c r="C1611" i="1"/>
  <c r="D1611" i="1"/>
  <c r="C1612" i="1"/>
  <c r="D1612" i="1"/>
  <c r="C1613" i="1"/>
  <c r="D1613" i="1"/>
  <c r="C1614" i="1"/>
  <c r="D1614" i="1"/>
  <c r="C1615" i="1"/>
  <c r="D1615" i="1"/>
  <c r="C1616" i="1"/>
  <c r="D1616" i="1"/>
  <c r="C1617" i="1"/>
  <c r="D1617" i="1"/>
  <c r="C1618" i="1"/>
  <c r="D1618" i="1"/>
  <c r="C1619" i="1"/>
  <c r="D1619" i="1"/>
  <c r="C1620" i="1"/>
  <c r="D1620" i="1"/>
  <c r="C1621" i="1"/>
  <c r="D1621" i="1"/>
  <c r="C1622" i="1"/>
  <c r="D1622" i="1"/>
  <c r="C1623" i="1"/>
  <c r="D1623" i="1"/>
  <c r="C1624" i="1"/>
  <c r="D1624" i="1"/>
  <c r="C1625" i="1"/>
  <c r="D1625" i="1"/>
  <c r="C1626" i="1"/>
  <c r="D1626" i="1"/>
  <c r="C1627" i="1"/>
  <c r="D1627" i="1"/>
  <c r="C1628" i="1"/>
  <c r="D1628" i="1"/>
  <c r="C1629" i="1"/>
  <c r="D1629" i="1"/>
  <c r="C1630" i="1"/>
  <c r="D1630" i="1"/>
  <c r="C1631" i="1"/>
  <c r="D1631" i="1"/>
  <c r="C1632" i="1"/>
  <c r="D1632" i="1"/>
  <c r="C1633" i="1"/>
  <c r="D1633" i="1"/>
  <c r="C1634" i="1"/>
  <c r="D1634" i="1"/>
  <c r="C1635" i="1"/>
  <c r="D1635" i="1"/>
  <c r="C1636" i="1"/>
  <c r="D1636" i="1"/>
  <c r="C1637" i="1"/>
  <c r="D1637" i="1"/>
  <c r="C1638" i="1"/>
  <c r="D1638" i="1"/>
  <c r="C1639" i="1"/>
  <c r="D1639" i="1"/>
  <c r="C1640" i="1"/>
  <c r="D1640" i="1"/>
  <c r="C1641" i="1"/>
  <c r="D1641" i="1"/>
  <c r="C1642" i="1"/>
  <c r="D1642" i="1"/>
  <c r="C1643" i="1"/>
  <c r="D1643" i="1"/>
  <c r="C1644" i="1"/>
  <c r="D1644" i="1"/>
  <c r="C1645" i="1"/>
  <c r="D1645" i="1"/>
  <c r="C1646" i="1"/>
  <c r="D1646" i="1"/>
  <c r="C1647" i="1"/>
  <c r="D1647" i="1"/>
  <c r="C1648" i="1"/>
  <c r="D1648" i="1"/>
  <c r="C1649" i="1"/>
  <c r="D1649" i="1"/>
  <c r="C1650" i="1"/>
  <c r="D1650" i="1"/>
  <c r="C1651" i="1"/>
  <c r="D1651" i="1"/>
  <c r="C1652" i="1"/>
  <c r="D1652" i="1"/>
  <c r="C1653" i="1"/>
  <c r="D1653" i="1"/>
  <c r="C1654" i="1"/>
  <c r="D1654" i="1"/>
  <c r="C1655" i="1"/>
  <c r="D1655" i="1"/>
  <c r="C1656" i="1"/>
  <c r="D1656" i="1"/>
  <c r="C1657" i="1"/>
  <c r="D1657" i="1"/>
  <c r="C1658" i="1"/>
  <c r="D1658" i="1"/>
  <c r="C1659" i="1"/>
  <c r="D1659" i="1"/>
  <c r="C1660" i="1"/>
  <c r="D1660" i="1"/>
  <c r="C1661" i="1"/>
  <c r="D1661" i="1"/>
  <c r="C1662" i="1"/>
  <c r="D1662" i="1"/>
  <c r="C1663" i="1"/>
  <c r="D1663" i="1"/>
  <c r="C1664" i="1"/>
  <c r="D1664" i="1"/>
  <c r="C1665" i="1"/>
  <c r="D1665" i="1"/>
  <c r="C1666" i="1"/>
  <c r="D1666" i="1"/>
  <c r="C1667" i="1"/>
  <c r="D1667" i="1"/>
  <c r="C1668" i="1"/>
  <c r="D1668" i="1"/>
  <c r="C1669" i="1"/>
  <c r="D1669" i="1"/>
  <c r="C1670" i="1"/>
  <c r="D1670" i="1"/>
  <c r="C1671" i="1"/>
  <c r="D1671" i="1"/>
  <c r="C1672" i="1"/>
  <c r="D1672" i="1"/>
  <c r="C1673" i="1"/>
  <c r="D1673" i="1"/>
  <c r="C1674" i="1"/>
  <c r="D1674" i="1"/>
  <c r="C1675" i="1"/>
  <c r="D1675" i="1"/>
  <c r="C1676" i="1"/>
  <c r="D1676" i="1"/>
  <c r="C1677" i="1"/>
  <c r="D1677" i="1"/>
  <c r="C1678" i="1"/>
  <c r="D1678" i="1"/>
  <c r="C1679" i="1"/>
  <c r="D1679" i="1"/>
  <c r="C1680" i="1"/>
  <c r="D1680" i="1"/>
  <c r="C1681" i="1"/>
  <c r="D1681" i="1"/>
  <c r="C1682" i="1"/>
  <c r="D1682" i="1"/>
  <c r="C1683" i="1"/>
  <c r="D1683" i="1"/>
  <c r="C1684" i="1"/>
  <c r="D1684" i="1"/>
  <c r="C1685" i="1"/>
  <c r="D1685" i="1"/>
  <c r="C1686" i="1"/>
  <c r="D1686" i="1"/>
  <c r="C1687" i="1"/>
  <c r="D1687" i="1"/>
  <c r="C1688" i="1"/>
  <c r="D1688" i="1"/>
  <c r="C1689" i="1"/>
  <c r="D1689" i="1"/>
  <c r="C1690" i="1"/>
  <c r="D1690" i="1"/>
  <c r="C1691" i="1"/>
  <c r="D1691" i="1"/>
  <c r="C1692" i="1"/>
  <c r="D1692" i="1"/>
  <c r="C1693" i="1"/>
  <c r="D1693" i="1"/>
  <c r="C1694" i="1"/>
  <c r="D1694" i="1"/>
  <c r="C1695" i="1"/>
  <c r="D1695" i="1"/>
  <c r="C1696" i="1"/>
  <c r="D1696" i="1"/>
  <c r="C1697" i="1"/>
  <c r="D1697" i="1"/>
  <c r="C1698" i="1"/>
  <c r="D1698" i="1"/>
  <c r="C1699" i="1"/>
  <c r="D1699" i="1"/>
  <c r="C1700" i="1"/>
  <c r="D1700" i="1"/>
  <c r="C1701" i="1"/>
  <c r="D1701" i="1"/>
  <c r="C1702" i="1"/>
  <c r="D1702" i="1"/>
  <c r="C1703" i="1"/>
  <c r="D1703" i="1"/>
  <c r="C1704" i="1"/>
  <c r="D1704" i="1"/>
  <c r="C1705" i="1"/>
  <c r="D1705" i="1"/>
  <c r="C1706" i="1"/>
  <c r="D1706" i="1"/>
  <c r="C1707" i="1"/>
  <c r="D1707" i="1"/>
  <c r="C1708" i="1"/>
  <c r="D1708" i="1"/>
  <c r="C1709" i="1"/>
  <c r="D1709" i="1"/>
  <c r="C1710" i="1"/>
  <c r="D1710" i="1"/>
  <c r="C1711" i="1"/>
  <c r="D1711" i="1"/>
  <c r="C1712" i="1"/>
  <c r="D1712" i="1"/>
  <c r="C1713" i="1"/>
  <c r="D1713" i="1"/>
  <c r="C1714" i="1"/>
  <c r="D1714" i="1"/>
  <c r="C1715" i="1"/>
  <c r="D1715" i="1"/>
  <c r="C1716" i="1"/>
  <c r="D1716" i="1"/>
  <c r="C1717" i="1"/>
  <c r="D1717" i="1"/>
  <c r="C1718" i="1"/>
  <c r="D1718" i="1"/>
  <c r="C1719" i="1"/>
  <c r="D1719" i="1"/>
  <c r="C1720" i="1"/>
  <c r="D1720" i="1"/>
  <c r="C1721" i="1"/>
  <c r="D1721" i="1"/>
  <c r="C1722" i="1"/>
  <c r="D1722" i="1"/>
  <c r="C1723" i="1"/>
  <c r="D1723" i="1"/>
  <c r="C1724" i="1"/>
  <c r="D1724" i="1"/>
  <c r="C1725" i="1"/>
  <c r="D1725" i="1"/>
  <c r="C1726" i="1"/>
  <c r="D1726" i="1"/>
  <c r="C1727" i="1"/>
  <c r="D1727" i="1"/>
  <c r="C1728" i="1"/>
  <c r="D1728" i="1"/>
  <c r="C1729" i="1"/>
  <c r="D1729" i="1"/>
  <c r="C1730" i="1"/>
  <c r="D1730" i="1"/>
  <c r="C1731" i="1"/>
  <c r="D1731" i="1"/>
  <c r="C1732" i="1"/>
  <c r="D1732" i="1"/>
  <c r="C1733" i="1"/>
  <c r="D1733" i="1"/>
  <c r="C1734" i="1"/>
  <c r="D1734" i="1"/>
  <c r="C1735" i="1"/>
  <c r="D1735" i="1"/>
  <c r="C1736" i="1"/>
  <c r="D1736" i="1"/>
  <c r="C1737" i="1"/>
  <c r="D1737" i="1"/>
  <c r="C1738" i="1"/>
  <c r="D1738" i="1"/>
  <c r="C1739" i="1"/>
  <c r="D1739" i="1"/>
  <c r="C1740" i="1"/>
  <c r="D1740" i="1"/>
  <c r="C1741" i="1"/>
  <c r="D1741" i="1"/>
  <c r="C1742" i="1"/>
  <c r="D1742" i="1"/>
  <c r="C1743" i="1"/>
  <c r="D1743" i="1"/>
  <c r="C1744" i="1"/>
  <c r="D1744" i="1"/>
  <c r="C1745" i="1"/>
  <c r="D1745" i="1"/>
  <c r="C1746" i="1"/>
  <c r="D1746" i="1"/>
  <c r="C1747" i="1"/>
  <c r="D1747" i="1"/>
  <c r="C1748" i="1"/>
  <c r="D1748" i="1"/>
  <c r="C1749" i="1"/>
  <c r="D1749" i="1"/>
  <c r="C1750" i="1"/>
  <c r="D1750" i="1"/>
  <c r="C1751" i="1"/>
  <c r="D1751" i="1"/>
  <c r="C1752" i="1"/>
  <c r="D1752" i="1"/>
  <c r="C1753" i="1"/>
  <c r="D1753" i="1"/>
  <c r="C1754" i="1"/>
  <c r="D1754" i="1"/>
  <c r="C1755" i="1"/>
  <c r="D1755" i="1"/>
  <c r="C1756" i="1"/>
  <c r="D1756" i="1"/>
  <c r="C1757" i="1"/>
  <c r="D1757" i="1"/>
  <c r="C1758" i="1"/>
  <c r="D1758" i="1"/>
  <c r="C1759" i="1"/>
  <c r="D1759" i="1"/>
  <c r="C1760" i="1"/>
  <c r="D1760" i="1"/>
  <c r="C1761" i="1"/>
  <c r="D1761" i="1"/>
  <c r="C1762" i="1"/>
  <c r="D1762" i="1"/>
  <c r="C1763" i="1"/>
  <c r="D1763" i="1"/>
  <c r="C1764" i="1"/>
  <c r="D1764" i="1"/>
  <c r="C1765" i="1"/>
  <c r="D1765" i="1"/>
  <c r="C1766" i="1"/>
  <c r="D1766" i="1"/>
  <c r="C1767" i="1"/>
  <c r="D1767" i="1"/>
  <c r="C1768" i="1"/>
  <c r="D1768" i="1"/>
  <c r="C1769" i="1"/>
  <c r="D1769" i="1"/>
  <c r="C1770" i="1"/>
  <c r="D1770" i="1"/>
  <c r="C1771" i="1"/>
  <c r="D1771" i="1"/>
  <c r="C1772" i="1"/>
  <c r="D1772" i="1"/>
  <c r="C1773" i="1"/>
  <c r="D1773" i="1"/>
  <c r="C1774" i="1"/>
  <c r="D1774" i="1"/>
  <c r="C1775" i="1"/>
  <c r="D1775" i="1"/>
  <c r="C1776" i="1"/>
  <c r="D1776" i="1"/>
  <c r="C1777" i="1"/>
  <c r="D1777" i="1"/>
  <c r="C1778" i="1"/>
  <c r="D1778" i="1"/>
  <c r="C1779" i="1"/>
  <c r="D1779" i="1"/>
  <c r="C1780" i="1"/>
  <c r="D1780" i="1"/>
  <c r="C1781" i="1"/>
  <c r="D1781" i="1"/>
  <c r="C1782" i="1"/>
  <c r="D1782" i="1"/>
  <c r="C1783" i="1"/>
  <c r="D1783" i="1"/>
  <c r="C1784" i="1"/>
  <c r="D1784" i="1"/>
  <c r="C1785" i="1"/>
  <c r="D1785" i="1"/>
  <c r="C1786" i="1"/>
  <c r="D1786" i="1"/>
  <c r="C1787" i="1"/>
  <c r="D1787" i="1"/>
  <c r="C1788" i="1"/>
  <c r="D1788" i="1"/>
  <c r="C1789" i="1"/>
  <c r="D1789" i="1"/>
  <c r="C1790" i="1"/>
  <c r="D1790" i="1"/>
  <c r="C1791" i="1"/>
  <c r="D1791" i="1"/>
  <c r="C1792" i="1"/>
  <c r="D1792" i="1"/>
  <c r="C1793" i="1"/>
  <c r="D1793" i="1"/>
  <c r="C1794" i="1"/>
  <c r="D1794" i="1"/>
  <c r="C1795" i="1"/>
  <c r="D1795" i="1"/>
  <c r="C1796" i="1"/>
  <c r="D1796" i="1"/>
  <c r="C1797" i="1"/>
  <c r="D1797" i="1"/>
  <c r="C1798" i="1"/>
  <c r="D1798" i="1"/>
  <c r="C1799" i="1"/>
  <c r="D1799" i="1"/>
  <c r="C1800" i="1"/>
  <c r="D1800" i="1"/>
  <c r="C1801" i="1"/>
  <c r="D1801" i="1"/>
  <c r="C1802" i="1"/>
  <c r="D1802" i="1"/>
  <c r="C1803" i="1"/>
  <c r="D1803" i="1"/>
  <c r="C1804" i="1"/>
  <c r="D1804" i="1"/>
  <c r="C1805" i="1"/>
  <c r="D1805" i="1"/>
  <c r="C1806" i="1"/>
  <c r="D1806" i="1"/>
  <c r="C1807" i="1"/>
  <c r="D1807" i="1"/>
  <c r="C1808" i="1"/>
  <c r="D1808" i="1"/>
  <c r="C1809" i="1"/>
  <c r="D1809" i="1"/>
  <c r="C1810" i="1"/>
  <c r="D1810" i="1"/>
  <c r="C1811" i="1"/>
  <c r="D1811" i="1"/>
  <c r="C1812" i="1"/>
  <c r="D1812" i="1"/>
  <c r="C1813" i="1"/>
  <c r="D1813" i="1"/>
  <c r="C1814" i="1"/>
  <c r="D1814" i="1"/>
  <c r="C1815" i="1"/>
  <c r="D1815" i="1"/>
  <c r="C1816" i="1"/>
  <c r="D1816" i="1"/>
  <c r="C1817" i="1"/>
  <c r="D1817" i="1"/>
  <c r="C1818" i="1"/>
  <c r="D1818" i="1"/>
  <c r="C1819" i="1"/>
  <c r="D1819" i="1"/>
  <c r="C1820" i="1"/>
  <c r="D1820" i="1"/>
  <c r="C1821" i="1"/>
  <c r="D1821" i="1"/>
  <c r="C1822" i="1"/>
  <c r="D1822" i="1"/>
  <c r="C1823" i="1"/>
  <c r="D1823" i="1"/>
  <c r="C1824" i="1"/>
  <c r="D1824" i="1"/>
  <c r="C1825" i="1"/>
  <c r="D1825" i="1"/>
  <c r="C1826" i="1"/>
  <c r="D1826" i="1"/>
  <c r="C1827" i="1"/>
  <c r="D1827" i="1"/>
  <c r="C1828" i="1"/>
  <c r="D1828" i="1"/>
  <c r="C1829" i="1"/>
  <c r="D1829" i="1"/>
  <c r="C1830" i="1"/>
  <c r="D1830" i="1"/>
  <c r="C1831" i="1"/>
  <c r="D1831" i="1"/>
  <c r="C1832" i="1"/>
  <c r="D1832" i="1"/>
  <c r="C1833" i="1"/>
  <c r="D1833" i="1"/>
  <c r="C1834" i="1"/>
  <c r="D1834" i="1"/>
  <c r="C1835" i="1"/>
  <c r="D1835" i="1"/>
  <c r="C1836" i="1"/>
  <c r="D1836" i="1"/>
  <c r="C1837" i="1"/>
  <c r="D1837" i="1"/>
  <c r="C1838" i="1"/>
  <c r="D1838" i="1"/>
  <c r="C1839" i="1"/>
  <c r="D1839" i="1"/>
  <c r="C1840" i="1"/>
  <c r="D1840" i="1"/>
  <c r="C1841" i="1"/>
  <c r="D1841" i="1"/>
  <c r="C1842" i="1"/>
  <c r="D1842" i="1"/>
  <c r="C1843" i="1"/>
  <c r="D1843" i="1"/>
  <c r="C1844" i="1"/>
  <c r="D1844" i="1"/>
  <c r="C1845" i="1"/>
  <c r="D1845" i="1"/>
  <c r="C1846" i="1"/>
  <c r="D1846" i="1"/>
  <c r="C1847" i="1"/>
  <c r="D1847" i="1"/>
  <c r="C1848" i="1"/>
  <c r="D1848" i="1"/>
  <c r="C1849" i="1"/>
  <c r="D1849" i="1"/>
  <c r="C1850" i="1"/>
  <c r="D1850" i="1"/>
  <c r="C1851" i="1"/>
  <c r="D1851" i="1"/>
  <c r="C1852" i="1"/>
  <c r="D1852" i="1"/>
  <c r="C1853" i="1"/>
  <c r="D1853" i="1"/>
  <c r="C1854" i="1"/>
  <c r="D1854" i="1"/>
  <c r="C1855" i="1"/>
  <c r="D1855" i="1"/>
  <c r="C1856" i="1"/>
  <c r="D1856" i="1"/>
  <c r="C1857" i="1"/>
  <c r="D1857" i="1"/>
  <c r="C1858" i="1"/>
  <c r="D1858" i="1"/>
  <c r="C1859" i="1"/>
  <c r="D1859" i="1"/>
  <c r="C1860" i="1"/>
  <c r="D1860" i="1"/>
  <c r="C1861" i="1"/>
  <c r="D1861" i="1"/>
  <c r="C1862" i="1"/>
  <c r="D1862" i="1"/>
  <c r="C1863" i="1"/>
  <c r="D1863" i="1"/>
  <c r="C1864" i="1"/>
  <c r="D1864" i="1"/>
  <c r="C1865" i="1"/>
  <c r="D1865" i="1"/>
  <c r="C1866" i="1"/>
  <c r="D1866" i="1"/>
  <c r="C1867" i="1"/>
  <c r="D1867" i="1"/>
  <c r="C1868" i="1"/>
  <c r="D1868" i="1"/>
  <c r="C1869" i="1"/>
  <c r="D1869" i="1"/>
  <c r="C1870" i="1"/>
  <c r="D1870" i="1"/>
  <c r="C1871" i="1"/>
  <c r="D1871" i="1"/>
  <c r="C1872" i="1"/>
  <c r="D1872" i="1"/>
  <c r="C1873" i="1"/>
  <c r="D1873" i="1"/>
  <c r="C1874" i="1"/>
  <c r="D1874" i="1"/>
  <c r="C1875" i="1"/>
  <c r="D1875" i="1"/>
  <c r="C1876" i="1"/>
  <c r="D1876" i="1"/>
  <c r="C1877" i="1"/>
  <c r="D1877" i="1"/>
  <c r="C1878" i="1"/>
  <c r="D1878" i="1"/>
  <c r="C1879" i="1"/>
  <c r="D1879" i="1"/>
  <c r="C1880" i="1"/>
  <c r="D1880" i="1"/>
  <c r="C1881" i="1"/>
  <c r="D1881" i="1"/>
  <c r="C1882" i="1"/>
  <c r="D1882" i="1"/>
  <c r="C1883" i="1"/>
  <c r="D1883" i="1"/>
  <c r="C1884" i="1"/>
  <c r="D1884" i="1"/>
  <c r="C1885" i="1"/>
  <c r="D1885" i="1"/>
  <c r="C1886" i="1"/>
  <c r="D1886" i="1"/>
  <c r="C1887" i="1"/>
  <c r="D1887" i="1"/>
  <c r="C1888" i="1"/>
  <c r="D1888" i="1"/>
  <c r="C1889" i="1"/>
  <c r="D1889" i="1"/>
  <c r="C1890" i="1"/>
  <c r="D1890" i="1"/>
  <c r="C1891" i="1"/>
  <c r="D1891" i="1"/>
  <c r="C1892" i="1"/>
  <c r="D1892" i="1"/>
  <c r="C1893" i="1"/>
  <c r="D1893" i="1"/>
  <c r="C1894" i="1"/>
  <c r="D1894" i="1"/>
  <c r="C1895" i="1"/>
  <c r="D1895" i="1"/>
  <c r="C1896" i="1"/>
  <c r="D1896" i="1"/>
  <c r="C1897" i="1"/>
  <c r="D1897" i="1"/>
  <c r="C1898" i="1"/>
  <c r="D1898" i="1"/>
  <c r="C1899" i="1"/>
  <c r="D1899" i="1"/>
  <c r="C1900" i="1"/>
  <c r="D1900" i="1"/>
  <c r="C1901" i="1"/>
  <c r="D1901" i="1"/>
  <c r="C1902" i="1"/>
  <c r="D1902" i="1"/>
  <c r="C1903" i="1"/>
  <c r="D1903" i="1"/>
  <c r="C1904" i="1"/>
  <c r="D1904" i="1"/>
  <c r="C1905" i="1"/>
  <c r="D1905" i="1"/>
  <c r="C1906" i="1"/>
  <c r="D1906" i="1"/>
  <c r="C1907" i="1"/>
  <c r="D1907" i="1"/>
  <c r="C1908" i="1"/>
  <c r="D1908" i="1"/>
  <c r="C1909" i="1"/>
  <c r="D1909" i="1"/>
  <c r="C1910" i="1"/>
  <c r="D1910" i="1"/>
  <c r="C1911" i="1"/>
  <c r="D1911" i="1"/>
  <c r="C1912" i="1"/>
  <c r="D1912" i="1"/>
  <c r="C1913" i="1"/>
  <c r="D1913" i="1"/>
  <c r="C1914" i="1"/>
  <c r="D1914" i="1"/>
  <c r="C1915" i="1"/>
  <c r="D1915" i="1"/>
  <c r="C1916" i="1"/>
  <c r="D1916" i="1"/>
  <c r="C1917" i="1"/>
  <c r="D1917" i="1"/>
  <c r="C1918" i="1"/>
  <c r="D1918" i="1"/>
  <c r="C1919" i="1"/>
  <c r="D1919" i="1"/>
  <c r="C1920" i="1"/>
  <c r="D1920" i="1"/>
  <c r="C1921" i="1"/>
  <c r="D1921" i="1"/>
  <c r="C1922" i="1"/>
  <c r="D1922" i="1"/>
  <c r="C1923" i="1"/>
  <c r="D1923" i="1"/>
  <c r="C1924" i="1"/>
  <c r="D1924" i="1"/>
  <c r="C1925" i="1"/>
  <c r="D1925" i="1"/>
  <c r="C1926" i="1"/>
  <c r="D1926" i="1"/>
  <c r="C1927" i="1"/>
  <c r="D1927" i="1"/>
  <c r="C1928" i="1"/>
  <c r="D1928" i="1"/>
  <c r="C1929" i="1"/>
  <c r="D1929" i="1"/>
  <c r="C1930" i="1"/>
  <c r="D1930" i="1"/>
  <c r="C1931" i="1"/>
  <c r="D1931" i="1"/>
  <c r="C1932" i="1"/>
  <c r="D1932" i="1"/>
  <c r="C1933" i="1"/>
  <c r="D1933" i="1"/>
  <c r="C1934" i="1"/>
  <c r="D1934" i="1"/>
  <c r="C1935" i="1"/>
  <c r="D1935" i="1"/>
  <c r="C1936" i="1"/>
  <c r="D1936" i="1"/>
  <c r="C1937" i="1"/>
  <c r="D1937" i="1"/>
  <c r="C1938" i="1"/>
  <c r="D1938" i="1"/>
  <c r="C1939" i="1"/>
  <c r="D1939" i="1"/>
  <c r="C1940" i="1"/>
  <c r="D1940" i="1"/>
  <c r="C1941" i="1"/>
  <c r="D1941" i="1"/>
  <c r="C1942" i="1"/>
  <c r="D1942" i="1"/>
  <c r="C1943" i="1"/>
  <c r="D1943" i="1"/>
  <c r="C1944" i="1"/>
  <c r="D1944" i="1"/>
  <c r="C1945" i="1"/>
  <c r="D1945" i="1"/>
  <c r="C1946" i="1"/>
  <c r="D1946" i="1"/>
  <c r="C1947" i="1"/>
  <c r="D1947" i="1"/>
  <c r="C1948" i="1"/>
  <c r="D1948" i="1"/>
  <c r="C1949" i="1"/>
  <c r="D1949" i="1"/>
  <c r="C1950" i="1"/>
  <c r="D1950" i="1"/>
  <c r="C1951" i="1"/>
  <c r="D1951" i="1"/>
  <c r="C1952" i="1"/>
  <c r="D1952" i="1"/>
  <c r="C1953" i="1"/>
  <c r="D1953" i="1"/>
  <c r="C1954" i="1"/>
  <c r="D1954" i="1"/>
  <c r="C1955" i="1"/>
  <c r="D1955" i="1"/>
  <c r="C1956" i="1"/>
  <c r="D1956" i="1"/>
  <c r="C1957" i="1"/>
  <c r="D1957" i="1"/>
  <c r="C1958" i="1"/>
  <c r="D1958" i="1"/>
  <c r="C1959" i="1"/>
  <c r="D1959" i="1"/>
  <c r="C1960" i="1"/>
  <c r="D1960" i="1"/>
  <c r="C1961" i="1"/>
  <c r="D1961" i="1"/>
  <c r="C1962" i="1"/>
  <c r="D1962" i="1"/>
  <c r="C1963" i="1"/>
  <c r="D1963" i="1"/>
  <c r="C1964" i="1"/>
  <c r="D1964" i="1"/>
  <c r="C1965" i="1"/>
  <c r="D1965" i="1"/>
  <c r="C1966" i="1"/>
  <c r="D1966" i="1"/>
  <c r="C1967" i="1"/>
  <c r="D1967" i="1"/>
  <c r="C1968" i="1"/>
  <c r="D1968" i="1"/>
  <c r="C1969" i="1"/>
  <c r="D1969" i="1"/>
  <c r="C1970" i="1"/>
  <c r="D1970" i="1"/>
  <c r="C1971" i="1"/>
  <c r="D1971" i="1"/>
  <c r="C1972" i="1"/>
  <c r="D1972" i="1"/>
  <c r="C1973" i="1"/>
  <c r="D1973" i="1"/>
  <c r="C1974" i="1"/>
  <c r="D1974" i="1"/>
  <c r="C1975" i="1"/>
  <c r="D1975" i="1"/>
  <c r="C1976" i="1"/>
  <c r="D1976" i="1"/>
  <c r="C1977" i="1"/>
  <c r="D1977" i="1"/>
  <c r="C1978" i="1"/>
  <c r="D1978" i="1"/>
  <c r="C1979" i="1"/>
  <c r="D1979" i="1"/>
  <c r="C1980" i="1"/>
  <c r="D1980" i="1"/>
  <c r="C1981" i="1"/>
  <c r="D1981" i="1"/>
  <c r="C1982" i="1"/>
  <c r="D1982" i="1"/>
  <c r="C1983" i="1"/>
  <c r="D1983" i="1"/>
  <c r="C1984" i="1"/>
  <c r="D1984" i="1"/>
  <c r="C1985" i="1"/>
  <c r="D1985" i="1"/>
  <c r="C1986" i="1"/>
  <c r="D1986" i="1"/>
  <c r="C1987" i="1"/>
  <c r="D1987" i="1"/>
  <c r="C1988" i="1"/>
  <c r="D1988" i="1"/>
  <c r="C1989" i="1"/>
  <c r="D1989" i="1"/>
  <c r="C1990" i="1"/>
  <c r="D1990" i="1"/>
  <c r="C1991" i="1"/>
  <c r="D1991" i="1"/>
  <c r="C1992" i="1"/>
  <c r="D1992" i="1"/>
  <c r="C1993" i="1"/>
  <c r="D1993" i="1"/>
  <c r="C1994" i="1"/>
  <c r="D1994" i="1"/>
  <c r="C1995" i="1"/>
  <c r="D1995" i="1"/>
  <c r="C1996" i="1"/>
  <c r="D1996" i="1"/>
  <c r="C1997" i="1"/>
  <c r="D1997" i="1"/>
  <c r="C1998" i="1"/>
  <c r="D1998" i="1"/>
  <c r="C1999" i="1"/>
  <c r="D1999" i="1"/>
  <c r="C2000" i="1"/>
  <c r="D2000" i="1"/>
  <c r="C2001" i="1"/>
  <c r="D2001" i="1"/>
  <c r="C2002" i="1"/>
  <c r="D2002" i="1"/>
  <c r="C2003" i="1"/>
  <c r="D2003" i="1"/>
  <c r="C2004" i="1"/>
  <c r="D2004" i="1"/>
  <c r="C2005" i="1"/>
  <c r="D2005" i="1"/>
  <c r="C2006" i="1"/>
  <c r="D2006" i="1"/>
  <c r="C2007" i="1"/>
  <c r="D2007" i="1"/>
  <c r="C2008" i="1"/>
  <c r="D2008" i="1"/>
  <c r="C2009" i="1"/>
  <c r="D2009" i="1"/>
  <c r="C2010" i="1"/>
  <c r="D2010" i="1"/>
  <c r="C2011" i="1"/>
  <c r="D2011" i="1"/>
  <c r="C2012" i="1"/>
  <c r="D2012" i="1"/>
  <c r="C2013" i="1"/>
  <c r="D2013" i="1"/>
  <c r="C2014" i="1"/>
  <c r="D2014" i="1"/>
  <c r="C2015" i="1"/>
  <c r="D2015" i="1"/>
  <c r="C2016" i="1"/>
  <c r="D2016" i="1"/>
  <c r="C2017" i="1"/>
  <c r="D2017" i="1"/>
  <c r="C2018" i="1"/>
  <c r="D2018" i="1"/>
  <c r="C2019" i="1"/>
  <c r="D2019" i="1"/>
  <c r="C2020" i="1"/>
  <c r="D2020" i="1"/>
  <c r="C2021" i="1"/>
  <c r="D2021" i="1"/>
  <c r="C2022" i="1"/>
  <c r="D2022" i="1"/>
  <c r="C2023" i="1"/>
  <c r="D2023" i="1"/>
  <c r="C2024" i="1"/>
  <c r="D2024" i="1"/>
  <c r="C2025" i="1"/>
  <c r="D2025" i="1"/>
  <c r="C2026" i="1"/>
  <c r="D2026" i="1"/>
  <c r="C2027" i="1"/>
  <c r="D2027" i="1"/>
  <c r="C2028" i="1"/>
  <c r="D2028" i="1"/>
  <c r="C2029" i="1"/>
  <c r="D2029" i="1"/>
  <c r="C2030" i="1"/>
  <c r="D2030" i="1"/>
  <c r="C2031" i="1"/>
  <c r="D2031" i="1"/>
  <c r="C2032" i="1"/>
  <c r="D2032" i="1"/>
  <c r="C2033" i="1"/>
  <c r="D2033" i="1"/>
  <c r="C2034" i="1"/>
  <c r="D2034" i="1"/>
  <c r="C2035" i="1"/>
  <c r="D2035" i="1"/>
  <c r="C2036" i="1"/>
  <c r="D2036" i="1"/>
  <c r="C2037" i="1"/>
  <c r="D2037" i="1"/>
  <c r="C2038" i="1"/>
  <c r="D2038" i="1"/>
  <c r="C2039" i="1"/>
  <c r="D2039" i="1"/>
  <c r="C2040" i="1"/>
  <c r="D2040" i="1"/>
  <c r="C2041" i="1"/>
  <c r="D2041" i="1"/>
  <c r="C2042" i="1"/>
  <c r="D2042" i="1"/>
  <c r="C2043" i="1"/>
  <c r="D2043" i="1"/>
  <c r="C2044" i="1"/>
  <c r="D2044" i="1"/>
  <c r="C2045" i="1"/>
  <c r="D2045" i="1"/>
  <c r="C2046" i="1"/>
  <c r="D2046" i="1"/>
  <c r="C2047" i="1"/>
  <c r="D2047" i="1"/>
  <c r="C2048" i="1"/>
  <c r="D2048" i="1"/>
  <c r="C2049" i="1"/>
  <c r="D2049" i="1"/>
  <c r="C2050" i="1"/>
  <c r="D2050" i="1"/>
  <c r="C2051" i="1"/>
  <c r="D2051" i="1"/>
  <c r="C2052" i="1"/>
  <c r="D2052" i="1"/>
  <c r="C2053" i="1"/>
  <c r="D2053" i="1"/>
  <c r="C2054" i="1"/>
  <c r="D2054" i="1"/>
  <c r="C2055" i="1"/>
  <c r="D2055" i="1"/>
  <c r="C2056" i="1"/>
  <c r="D2056" i="1"/>
  <c r="C2057" i="1"/>
  <c r="D2057" i="1"/>
  <c r="C2058" i="1"/>
  <c r="D2058" i="1"/>
  <c r="C2059" i="1"/>
  <c r="D2059" i="1"/>
  <c r="C2060" i="1"/>
  <c r="D2060" i="1"/>
  <c r="C2061" i="1"/>
  <c r="D2061" i="1"/>
  <c r="C2062" i="1"/>
  <c r="D2062" i="1"/>
  <c r="C2063" i="1"/>
  <c r="D2063" i="1"/>
  <c r="C2064" i="1"/>
  <c r="D2064" i="1"/>
  <c r="C2065" i="1"/>
  <c r="D2065" i="1"/>
  <c r="C2066" i="1"/>
  <c r="D2066" i="1"/>
  <c r="C2067" i="1"/>
  <c r="D2067" i="1"/>
  <c r="C2068" i="1"/>
  <c r="D2068" i="1"/>
  <c r="C2069" i="1"/>
  <c r="D2069" i="1"/>
  <c r="C2070" i="1"/>
  <c r="D2070" i="1"/>
  <c r="C2071" i="1"/>
  <c r="D2071" i="1"/>
  <c r="C2072" i="1"/>
  <c r="D2072" i="1"/>
  <c r="C2073" i="1"/>
  <c r="D2073" i="1"/>
  <c r="C2074" i="1"/>
  <c r="D2074" i="1"/>
  <c r="C2075" i="1"/>
  <c r="D2075" i="1"/>
  <c r="C2076" i="1"/>
  <c r="D2076" i="1"/>
  <c r="C2077" i="1"/>
  <c r="D2077" i="1"/>
  <c r="C2078" i="1"/>
  <c r="D2078" i="1"/>
  <c r="C2079" i="1"/>
  <c r="D2079" i="1"/>
  <c r="C2080" i="1"/>
  <c r="D2080" i="1"/>
  <c r="C2081" i="1"/>
  <c r="D2081" i="1"/>
  <c r="C2082" i="1"/>
  <c r="D2082" i="1"/>
  <c r="C2083" i="1"/>
  <c r="D2083" i="1"/>
  <c r="C2084" i="1"/>
  <c r="D2084" i="1"/>
  <c r="C2085" i="1"/>
  <c r="D2085" i="1"/>
  <c r="C2086" i="1"/>
  <c r="D2086" i="1"/>
  <c r="C2087" i="1"/>
  <c r="D2087" i="1"/>
  <c r="C2088" i="1"/>
  <c r="D2088" i="1"/>
  <c r="C2089" i="1"/>
  <c r="D2089" i="1"/>
  <c r="C2090" i="1"/>
  <c r="D2090" i="1"/>
  <c r="C2091" i="1"/>
  <c r="D2091" i="1"/>
  <c r="C2092" i="1"/>
  <c r="D2092" i="1"/>
  <c r="C2093" i="1"/>
  <c r="D2093" i="1"/>
  <c r="C2094" i="1"/>
  <c r="D2094" i="1"/>
  <c r="C2095" i="1"/>
  <c r="D2095" i="1"/>
  <c r="C2096" i="1"/>
  <c r="D2096" i="1"/>
  <c r="C2097" i="1"/>
  <c r="D2097" i="1"/>
  <c r="C2098" i="1"/>
  <c r="D2098" i="1"/>
  <c r="C2099" i="1"/>
  <c r="D2099" i="1"/>
  <c r="C2100" i="1"/>
  <c r="D2100" i="1"/>
  <c r="C2101" i="1"/>
  <c r="D2101" i="1"/>
  <c r="C2102" i="1"/>
  <c r="D2102" i="1"/>
  <c r="C2103" i="1"/>
  <c r="D2103" i="1"/>
  <c r="C2104" i="1"/>
  <c r="D2104" i="1"/>
  <c r="C2105" i="1"/>
  <c r="D2105" i="1"/>
  <c r="C2106" i="1"/>
  <c r="D2106" i="1"/>
  <c r="C2107" i="1"/>
  <c r="D2107" i="1"/>
  <c r="C2108" i="1"/>
  <c r="D2108" i="1"/>
  <c r="C2109" i="1"/>
  <c r="D2109" i="1"/>
  <c r="C2110" i="1"/>
  <c r="D2110" i="1"/>
  <c r="C2111" i="1"/>
  <c r="D2111" i="1"/>
  <c r="C2112" i="1"/>
  <c r="D2112" i="1"/>
  <c r="C2113" i="1"/>
  <c r="D2113" i="1"/>
  <c r="C2114" i="1"/>
  <c r="D2114" i="1"/>
  <c r="C2115" i="1"/>
  <c r="D2115" i="1"/>
  <c r="C2116" i="1"/>
  <c r="D2116" i="1"/>
  <c r="C2117" i="1"/>
  <c r="D2117" i="1"/>
  <c r="C2118" i="1"/>
  <c r="D2118" i="1"/>
  <c r="C2119" i="1"/>
  <c r="D2119" i="1"/>
  <c r="C2120" i="1"/>
  <c r="D2120" i="1"/>
  <c r="C2121" i="1"/>
  <c r="D2121" i="1"/>
  <c r="C2122" i="1"/>
  <c r="D2122" i="1"/>
  <c r="C2123" i="1"/>
  <c r="D2123" i="1"/>
  <c r="C2124" i="1"/>
  <c r="D2124" i="1"/>
  <c r="C2125" i="1"/>
  <c r="D2125" i="1"/>
  <c r="C2126" i="1"/>
  <c r="D2126" i="1"/>
  <c r="C2127" i="1"/>
  <c r="D2127" i="1"/>
  <c r="C2128" i="1"/>
  <c r="D2128" i="1"/>
  <c r="C2129" i="1"/>
  <c r="D2129" i="1"/>
  <c r="C2130" i="1"/>
  <c r="D2130" i="1"/>
  <c r="C2131" i="1"/>
  <c r="D2131" i="1"/>
  <c r="C2132" i="1"/>
  <c r="D2132" i="1"/>
  <c r="C2133" i="1"/>
  <c r="D2133" i="1"/>
  <c r="C2134" i="1"/>
  <c r="D2134" i="1"/>
  <c r="C2135" i="1"/>
  <c r="D2135" i="1"/>
  <c r="C2136" i="1"/>
  <c r="D2136" i="1"/>
  <c r="C2137" i="1"/>
  <c r="D2137" i="1"/>
  <c r="C2138" i="1"/>
  <c r="D2138" i="1"/>
  <c r="C2139" i="1"/>
  <c r="D2139" i="1"/>
  <c r="C2140" i="1"/>
  <c r="D2140" i="1"/>
  <c r="C2141" i="1"/>
  <c r="D2141" i="1"/>
  <c r="C2142" i="1"/>
  <c r="D2142" i="1"/>
  <c r="C2143" i="1"/>
  <c r="D2143" i="1"/>
  <c r="C2144" i="1"/>
  <c r="D2144" i="1"/>
  <c r="C2145" i="1"/>
  <c r="D2145" i="1"/>
  <c r="C2146" i="1"/>
  <c r="D2146" i="1"/>
  <c r="C2147" i="1"/>
  <c r="D2147" i="1"/>
  <c r="C2148" i="1"/>
  <c r="D2148" i="1"/>
  <c r="C2149" i="1"/>
  <c r="D2149" i="1"/>
  <c r="C2150" i="1"/>
  <c r="D2150" i="1"/>
  <c r="C2151" i="1"/>
  <c r="D2151" i="1"/>
  <c r="C2152" i="1"/>
  <c r="D2152" i="1"/>
  <c r="C2153" i="1"/>
  <c r="D2153" i="1"/>
  <c r="C2154" i="1"/>
  <c r="D2154" i="1"/>
  <c r="C2155" i="1"/>
  <c r="D2155" i="1"/>
  <c r="C2156" i="1"/>
  <c r="D2156" i="1"/>
  <c r="C2157" i="1"/>
  <c r="D2157" i="1"/>
  <c r="C2158" i="1"/>
  <c r="D2158" i="1"/>
  <c r="C2159" i="1"/>
  <c r="D2159" i="1"/>
  <c r="C2160" i="1"/>
  <c r="D2160" i="1"/>
  <c r="C2161" i="1"/>
  <c r="D2161" i="1"/>
  <c r="C2162" i="1"/>
  <c r="D2162" i="1"/>
  <c r="C2163" i="1"/>
  <c r="D2163" i="1"/>
  <c r="C2164" i="1"/>
  <c r="D2164" i="1"/>
  <c r="C2165" i="1"/>
  <c r="D2165" i="1"/>
  <c r="C2166" i="1"/>
  <c r="D2166" i="1"/>
  <c r="C2167" i="1"/>
  <c r="D2167" i="1"/>
  <c r="C2168" i="1"/>
  <c r="D2168" i="1"/>
  <c r="C2169" i="1"/>
  <c r="D2169" i="1"/>
  <c r="C2170" i="1"/>
  <c r="D2170" i="1"/>
  <c r="C2171" i="1"/>
  <c r="D2171" i="1"/>
  <c r="C2172" i="1"/>
  <c r="D2172" i="1"/>
  <c r="C2173" i="1"/>
  <c r="D2173" i="1"/>
  <c r="C2174" i="1"/>
  <c r="D2174" i="1"/>
  <c r="C2175" i="1"/>
  <c r="D2175" i="1"/>
  <c r="C2176" i="1"/>
  <c r="D2176" i="1"/>
  <c r="C2177" i="1"/>
  <c r="D2177" i="1"/>
  <c r="C2178" i="1"/>
  <c r="D2178" i="1"/>
  <c r="C2179" i="1"/>
  <c r="D2179" i="1"/>
  <c r="C2180" i="1"/>
  <c r="D2180" i="1"/>
  <c r="C2181" i="1"/>
  <c r="D2181" i="1"/>
  <c r="C2182" i="1"/>
  <c r="D2182" i="1"/>
  <c r="C2183" i="1"/>
  <c r="D2183" i="1"/>
  <c r="C2184" i="1"/>
  <c r="D2184" i="1"/>
  <c r="C2185" i="1"/>
  <c r="D2185" i="1"/>
  <c r="C2186" i="1"/>
  <c r="D2186" i="1"/>
  <c r="C2187" i="1"/>
  <c r="D2187" i="1"/>
  <c r="C2188" i="1"/>
  <c r="D2188" i="1"/>
  <c r="C2189" i="1"/>
  <c r="D2189" i="1"/>
  <c r="C2190" i="1"/>
  <c r="D2190" i="1"/>
  <c r="C2191" i="1"/>
  <c r="D2191" i="1"/>
  <c r="C2192" i="1"/>
  <c r="D2192" i="1"/>
  <c r="C2193" i="1"/>
  <c r="D2193" i="1"/>
  <c r="C2194" i="1"/>
  <c r="D2194" i="1"/>
  <c r="C2195" i="1"/>
  <c r="D2195" i="1"/>
  <c r="C2196" i="1"/>
  <c r="D2196" i="1"/>
  <c r="C2197" i="1"/>
  <c r="D2197" i="1"/>
  <c r="C2198" i="1"/>
  <c r="D2198" i="1"/>
  <c r="C2199" i="1"/>
  <c r="D2199" i="1"/>
  <c r="C2200" i="1"/>
  <c r="D2200" i="1"/>
  <c r="C2201" i="1"/>
  <c r="D2201" i="1"/>
  <c r="C2202" i="1"/>
  <c r="D2202" i="1"/>
  <c r="C2203" i="1"/>
  <c r="D2203" i="1"/>
  <c r="C2204" i="1"/>
  <c r="D2204" i="1"/>
  <c r="C2205" i="1"/>
  <c r="D2205" i="1"/>
  <c r="C2206" i="1"/>
  <c r="D2206" i="1"/>
  <c r="C2207" i="1"/>
  <c r="D2207" i="1"/>
  <c r="C2208" i="1"/>
  <c r="D2208" i="1"/>
  <c r="C2209" i="1"/>
  <c r="D2209" i="1"/>
  <c r="C2210" i="1"/>
  <c r="D2210" i="1"/>
  <c r="C2211" i="1"/>
  <c r="D2211" i="1"/>
  <c r="C2212" i="1"/>
  <c r="D2212" i="1"/>
  <c r="C2213" i="1"/>
  <c r="D2213" i="1"/>
  <c r="C2214" i="1"/>
  <c r="D2214" i="1"/>
  <c r="C2215" i="1"/>
  <c r="D2215" i="1"/>
  <c r="C2216" i="1"/>
  <c r="D2216" i="1"/>
  <c r="C2217" i="1"/>
  <c r="D2217" i="1"/>
  <c r="C2218" i="1"/>
  <c r="D2218" i="1"/>
  <c r="C2219" i="1"/>
  <c r="D2219" i="1"/>
  <c r="C2220" i="1"/>
  <c r="D2220" i="1"/>
  <c r="C2221" i="1"/>
  <c r="D2221" i="1"/>
  <c r="C2222" i="1"/>
  <c r="D2222" i="1"/>
  <c r="C2223" i="1"/>
  <c r="D2223" i="1"/>
  <c r="C2224" i="1"/>
  <c r="D2224" i="1"/>
  <c r="C2225" i="1"/>
  <c r="D2225" i="1"/>
  <c r="C2226" i="1"/>
  <c r="D2226" i="1"/>
  <c r="C2227" i="1"/>
  <c r="D2227" i="1"/>
  <c r="C2228" i="1"/>
  <c r="D2228" i="1"/>
  <c r="C2229" i="1"/>
  <c r="D2229" i="1"/>
  <c r="C2230" i="1"/>
  <c r="D2230" i="1"/>
  <c r="C2231" i="1"/>
  <c r="D2231" i="1"/>
  <c r="C2232" i="1"/>
  <c r="D2232" i="1"/>
  <c r="C2233" i="1"/>
  <c r="D2233" i="1"/>
  <c r="C2234" i="1"/>
  <c r="D2234" i="1"/>
  <c r="C2235" i="1"/>
  <c r="D2235" i="1"/>
  <c r="C2236" i="1"/>
  <c r="D2236" i="1"/>
  <c r="C2237" i="1"/>
  <c r="D2237" i="1"/>
  <c r="C2238" i="1"/>
  <c r="D2238" i="1"/>
  <c r="C2239" i="1"/>
  <c r="D2239" i="1"/>
  <c r="C2240" i="1"/>
  <c r="D2240" i="1"/>
  <c r="C2241" i="1"/>
  <c r="D2241" i="1"/>
  <c r="C2242" i="1"/>
  <c r="D2242" i="1"/>
  <c r="C2243" i="1"/>
  <c r="D2243" i="1"/>
  <c r="C2244" i="1"/>
  <c r="D2244" i="1"/>
  <c r="C2245" i="1"/>
  <c r="D2245" i="1"/>
  <c r="C2246" i="1"/>
  <c r="D2246" i="1"/>
  <c r="C2247" i="1"/>
  <c r="D2247" i="1"/>
  <c r="C2248" i="1"/>
  <c r="D2248" i="1"/>
  <c r="C2249" i="1"/>
  <c r="D2249" i="1"/>
  <c r="C2250" i="1"/>
  <c r="D2250" i="1"/>
  <c r="C2251" i="1"/>
  <c r="D2251" i="1"/>
  <c r="C2252" i="1"/>
  <c r="D2252" i="1"/>
  <c r="C2253" i="1"/>
  <c r="D2253" i="1"/>
  <c r="C2254" i="1"/>
  <c r="D2254" i="1"/>
  <c r="C2255" i="1"/>
  <c r="D2255" i="1"/>
  <c r="C2256" i="1"/>
  <c r="D2256" i="1"/>
  <c r="C2257" i="1"/>
  <c r="D2257" i="1"/>
  <c r="C2258" i="1"/>
  <c r="D2258" i="1"/>
  <c r="C2259" i="1"/>
  <c r="D2259" i="1"/>
  <c r="C2260" i="1"/>
  <c r="D2260" i="1"/>
  <c r="C2261" i="1"/>
  <c r="D2261" i="1"/>
  <c r="C2262" i="1"/>
  <c r="D2262" i="1"/>
  <c r="C2263" i="1"/>
  <c r="D2263" i="1"/>
  <c r="C2264" i="1"/>
  <c r="D2264" i="1"/>
  <c r="C2265" i="1"/>
  <c r="D2265" i="1"/>
  <c r="C2266" i="1"/>
  <c r="D2266" i="1"/>
  <c r="C2267" i="1"/>
  <c r="D2267" i="1"/>
  <c r="C2268" i="1"/>
  <c r="D2268" i="1"/>
  <c r="C2269" i="1"/>
  <c r="D2269" i="1"/>
  <c r="C2270" i="1"/>
  <c r="D2270" i="1"/>
  <c r="C2271" i="1"/>
  <c r="D2271" i="1"/>
  <c r="C2272" i="1"/>
  <c r="D2272" i="1"/>
  <c r="C2273" i="1"/>
  <c r="D2273" i="1"/>
  <c r="C2274" i="1"/>
  <c r="D2274" i="1"/>
  <c r="C2275" i="1"/>
  <c r="D2275" i="1"/>
  <c r="C2276" i="1"/>
  <c r="D2276" i="1"/>
  <c r="C2277" i="1"/>
  <c r="D2277" i="1"/>
  <c r="C2278" i="1"/>
  <c r="D2278" i="1"/>
  <c r="C2279" i="1"/>
  <c r="D2279" i="1"/>
  <c r="C2280" i="1"/>
  <c r="D2280" i="1"/>
  <c r="C2281" i="1"/>
  <c r="D2281" i="1"/>
  <c r="C2282" i="1"/>
  <c r="D2282" i="1"/>
  <c r="C2283" i="1"/>
  <c r="D2283" i="1"/>
  <c r="C2284" i="1"/>
  <c r="D2284" i="1"/>
  <c r="C2285" i="1"/>
  <c r="D2285" i="1"/>
  <c r="C2286" i="1"/>
  <c r="D2286" i="1"/>
  <c r="C2287" i="1"/>
  <c r="D2287" i="1"/>
  <c r="C2288" i="1"/>
  <c r="D2288" i="1"/>
  <c r="C2289" i="1"/>
  <c r="D2289" i="1"/>
  <c r="C2290" i="1"/>
  <c r="D2290" i="1"/>
  <c r="C2291" i="1"/>
  <c r="D2291" i="1"/>
  <c r="C2292" i="1"/>
  <c r="D2292" i="1"/>
  <c r="C2293" i="1"/>
  <c r="D2293" i="1"/>
  <c r="C2294" i="1"/>
  <c r="D2294" i="1"/>
  <c r="C2295" i="1"/>
  <c r="D2295" i="1"/>
  <c r="C2296" i="1"/>
  <c r="D2296" i="1"/>
  <c r="C2297" i="1"/>
  <c r="D2297" i="1"/>
  <c r="C2298" i="1"/>
  <c r="D2298" i="1"/>
  <c r="C2299" i="1"/>
  <c r="D2299" i="1"/>
  <c r="C2300" i="1"/>
  <c r="D2300" i="1"/>
  <c r="C2301" i="1"/>
  <c r="D2301" i="1"/>
  <c r="C2302" i="1"/>
  <c r="D2302" i="1"/>
  <c r="C2303" i="1"/>
  <c r="D2303" i="1"/>
  <c r="C2304" i="1"/>
  <c r="D2304" i="1"/>
  <c r="C2305" i="1"/>
  <c r="D2305" i="1"/>
  <c r="C2306" i="1"/>
  <c r="D2306" i="1"/>
  <c r="C2307" i="1"/>
  <c r="D2307" i="1"/>
  <c r="C2308" i="1"/>
  <c r="D2308" i="1"/>
  <c r="C2309" i="1"/>
  <c r="D2309" i="1"/>
  <c r="C2310" i="1"/>
  <c r="D2310" i="1"/>
  <c r="C2311" i="1"/>
  <c r="D2311" i="1"/>
  <c r="C2312" i="1"/>
  <c r="D2312" i="1"/>
  <c r="C2313" i="1"/>
  <c r="D2313" i="1"/>
  <c r="C2314" i="1"/>
  <c r="D2314" i="1"/>
  <c r="C2315" i="1"/>
  <c r="D2315" i="1"/>
  <c r="C2316" i="1"/>
  <c r="D2316" i="1"/>
  <c r="C2317" i="1"/>
  <c r="D2317" i="1"/>
  <c r="C2318" i="1"/>
  <c r="D2318" i="1"/>
  <c r="C2319" i="1"/>
  <c r="D2319" i="1"/>
  <c r="C2320" i="1"/>
  <c r="D2320" i="1"/>
  <c r="C2321" i="1"/>
  <c r="D2321" i="1"/>
  <c r="C2322" i="1"/>
  <c r="D2322" i="1"/>
  <c r="C2323" i="1"/>
  <c r="D2323" i="1"/>
  <c r="C2324" i="1"/>
  <c r="D2324" i="1"/>
  <c r="C2325" i="1"/>
  <c r="D2325" i="1"/>
  <c r="C2326" i="1"/>
  <c r="D2326" i="1"/>
  <c r="C2327" i="1"/>
  <c r="D2327" i="1"/>
  <c r="C2328" i="1"/>
  <c r="D2328" i="1"/>
  <c r="C2329" i="1"/>
  <c r="D2329" i="1"/>
  <c r="C2330" i="1"/>
  <c r="D2330" i="1"/>
  <c r="C2331" i="1"/>
  <c r="D2331" i="1"/>
  <c r="C2332" i="1"/>
  <c r="D2332" i="1"/>
  <c r="C2333" i="1"/>
  <c r="D2333" i="1"/>
  <c r="C2334" i="1"/>
  <c r="D2334" i="1"/>
  <c r="C2335" i="1"/>
  <c r="D2335" i="1"/>
  <c r="C2336" i="1"/>
  <c r="D2336" i="1"/>
  <c r="C2337" i="1"/>
  <c r="D2337" i="1"/>
  <c r="C2338" i="1"/>
  <c r="D2338" i="1"/>
  <c r="C2339" i="1"/>
  <c r="D2339" i="1"/>
  <c r="C2340" i="1"/>
  <c r="D2340" i="1"/>
  <c r="C2341" i="1"/>
  <c r="D2341" i="1"/>
  <c r="C2342" i="1"/>
  <c r="D2342" i="1"/>
  <c r="C2343" i="1"/>
  <c r="D2343" i="1"/>
  <c r="C2344" i="1"/>
  <c r="D2344" i="1"/>
  <c r="C2345" i="1"/>
  <c r="D2345" i="1"/>
  <c r="C2346" i="1"/>
  <c r="D2346" i="1"/>
  <c r="C2347" i="1"/>
  <c r="D2347" i="1"/>
  <c r="C2348" i="1"/>
  <c r="D2348" i="1"/>
  <c r="C2349" i="1"/>
  <c r="D2349" i="1"/>
  <c r="C2350" i="1"/>
  <c r="D2350" i="1"/>
  <c r="C2351" i="1"/>
  <c r="D2351" i="1"/>
  <c r="C2352" i="1"/>
  <c r="D2352" i="1"/>
  <c r="C2353" i="1"/>
  <c r="D2353" i="1"/>
  <c r="C2354" i="1"/>
  <c r="D2354" i="1"/>
  <c r="C2355" i="1"/>
  <c r="D2355" i="1"/>
  <c r="C2356" i="1"/>
  <c r="D2356" i="1"/>
  <c r="C2357" i="1"/>
  <c r="D2357" i="1"/>
  <c r="C2358" i="1"/>
  <c r="D2358" i="1"/>
  <c r="C2359" i="1"/>
  <c r="D2359" i="1"/>
  <c r="C2360" i="1"/>
  <c r="D2360" i="1"/>
  <c r="C2361" i="1"/>
  <c r="D2361" i="1"/>
  <c r="C2362" i="1"/>
  <c r="D2362" i="1"/>
  <c r="C2363" i="1"/>
  <c r="D2363" i="1"/>
  <c r="C2364" i="1"/>
  <c r="D2364" i="1"/>
  <c r="C2365" i="1"/>
  <c r="D2365" i="1"/>
  <c r="C2366" i="1"/>
  <c r="D2366" i="1"/>
  <c r="C2367" i="1"/>
  <c r="D2367" i="1"/>
  <c r="C2368" i="1"/>
  <c r="D2368" i="1"/>
  <c r="C2369" i="1"/>
  <c r="D2369" i="1"/>
  <c r="C2370" i="1"/>
  <c r="D2370" i="1"/>
  <c r="C2371" i="1"/>
  <c r="D2371" i="1"/>
  <c r="C2372" i="1"/>
  <c r="D2372" i="1"/>
  <c r="C2373" i="1"/>
  <c r="D2373" i="1"/>
  <c r="C2374" i="1"/>
  <c r="D2374" i="1"/>
  <c r="C2375" i="1"/>
  <c r="D2375" i="1"/>
  <c r="C2376" i="1"/>
  <c r="D2376" i="1"/>
  <c r="C2377" i="1"/>
  <c r="D2377" i="1"/>
  <c r="C2378" i="1"/>
  <c r="D2378" i="1"/>
  <c r="C2379" i="1"/>
  <c r="D2379" i="1"/>
  <c r="C2380" i="1"/>
  <c r="D2380" i="1"/>
  <c r="C2381" i="1"/>
  <c r="D2381" i="1"/>
  <c r="C2382" i="1"/>
  <c r="D2382" i="1"/>
  <c r="C2383" i="1"/>
  <c r="D2383" i="1"/>
  <c r="C2384" i="1"/>
  <c r="D2384" i="1"/>
  <c r="C2385" i="1"/>
  <c r="D2385" i="1"/>
  <c r="C2386" i="1"/>
  <c r="D2386" i="1"/>
  <c r="C2387" i="1"/>
  <c r="D2387" i="1"/>
  <c r="C2388" i="1"/>
  <c r="D2388" i="1"/>
  <c r="C2389" i="1"/>
  <c r="D2389" i="1"/>
  <c r="C2390" i="1"/>
  <c r="D2390" i="1"/>
  <c r="C2391" i="1"/>
  <c r="D2391" i="1"/>
  <c r="C2392" i="1"/>
  <c r="D2392" i="1"/>
  <c r="C2393" i="1"/>
  <c r="D2393" i="1"/>
  <c r="C2394" i="1"/>
  <c r="D2394" i="1"/>
  <c r="C2395" i="1"/>
  <c r="D2395" i="1"/>
  <c r="C2396" i="1"/>
  <c r="D2396" i="1"/>
  <c r="C2397" i="1"/>
  <c r="D2397" i="1"/>
  <c r="C2398" i="1"/>
  <c r="D2398" i="1"/>
  <c r="C2399" i="1"/>
  <c r="D2399" i="1"/>
  <c r="C2400" i="1"/>
  <c r="D2400" i="1"/>
  <c r="C2401" i="1"/>
  <c r="D2401" i="1"/>
  <c r="C2402" i="1"/>
  <c r="D2402" i="1"/>
  <c r="C2403" i="1"/>
  <c r="D2403" i="1"/>
  <c r="C2404" i="1"/>
  <c r="D2404" i="1"/>
  <c r="C2405" i="1"/>
  <c r="D2405" i="1"/>
  <c r="C2406" i="1"/>
  <c r="D2406" i="1"/>
  <c r="C2407" i="1"/>
  <c r="D2407" i="1"/>
  <c r="C2408" i="1"/>
  <c r="D2408" i="1"/>
  <c r="C2409" i="1"/>
  <c r="D2409" i="1"/>
  <c r="C2410" i="1"/>
  <c r="D2410" i="1"/>
  <c r="C2411" i="1"/>
  <c r="D2411" i="1"/>
  <c r="C2412" i="1"/>
  <c r="D2412" i="1"/>
  <c r="C2413" i="1"/>
  <c r="D2413" i="1"/>
  <c r="C2414" i="1"/>
  <c r="D2414" i="1"/>
  <c r="C2415" i="1"/>
  <c r="D2415" i="1"/>
  <c r="C2416" i="1"/>
  <c r="D2416" i="1"/>
  <c r="C2417" i="1"/>
  <c r="D2417" i="1"/>
  <c r="C2418" i="1"/>
  <c r="D2418" i="1"/>
  <c r="C2419" i="1"/>
  <c r="D2419" i="1"/>
  <c r="C2420" i="1"/>
  <c r="D2420" i="1"/>
  <c r="C2421" i="1"/>
  <c r="D2421" i="1"/>
  <c r="C2422" i="1"/>
  <c r="D2422" i="1"/>
  <c r="C2423" i="1"/>
  <c r="D2423" i="1"/>
  <c r="C2424" i="1"/>
  <c r="D2424" i="1"/>
  <c r="C2425" i="1"/>
  <c r="D2425" i="1"/>
  <c r="C2426" i="1"/>
  <c r="D2426" i="1"/>
  <c r="C2427" i="1"/>
  <c r="D2427" i="1"/>
  <c r="C2428" i="1"/>
  <c r="D2428" i="1"/>
  <c r="C2429" i="1"/>
  <c r="D2429" i="1"/>
  <c r="C2430" i="1"/>
  <c r="D2430" i="1"/>
  <c r="C2431" i="1"/>
  <c r="D2431" i="1"/>
  <c r="C2432" i="1"/>
  <c r="D2432" i="1"/>
  <c r="C2433" i="1"/>
  <c r="D2433" i="1"/>
  <c r="C2434" i="1"/>
  <c r="D2434" i="1"/>
  <c r="C2435" i="1"/>
  <c r="D2435" i="1"/>
  <c r="C2436" i="1"/>
  <c r="D2436" i="1"/>
  <c r="C2437" i="1"/>
  <c r="D2437" i="1"/>
  <c r="C2438" i="1"/>
  <c r="D2438" i="1"/>
  <c r="C2439" i="1"/>
  <c r="D2439" i="1"/>
  <c r="C2440" i="1"/>
  <c r="D2440" i="1"/>
  <c r="C2441" i="1"/>
  <c r="D2441" i="1"/>
  <c r="C2442" i="1"/>
  <c r="D2442" i="1"/>
  <c r="C2443" i="1"/>
  <c r="D2443" i="1"/>
  <c r="C2444" i="1"/>
  <c r="D2444" i="1"/>
  <c r="C2445" i="1"/>
  <c r="D2445" i="1"/>
  <c r="C2446" i="1"/>
  <c r="D2446" i="1"/>
  <c r="C2447" i="1"/>
  <c r="D2447" i="1"/>
  <c r="C2448" i="1"/>
  <c r="D2448" i="1"/>
  <c r="C2449" i="1"/>
  <c r="D2449" i="1"/>
  <c r="C2450" i="1"/>
  <c r="D2450" i="1"/>
  <c r="C2451" i="1"/>
  <c r="D2451" i="1"/>
  <c r="C2452" i="1"/>
  <c r="D2452" i="1"/>
  <c r="C2453" i="1"/>
  <c r="D2453" i="1"/>
  <c r="C2454" i="1"/>
  <c r="D2454" i="1"/>
  <c r="C2455" i="1"/>
  <c r="D2455" i="1"/>
  <c r="C2456" i="1"/>
  <c r="D2456" i="1"/>
  <c r="C2457" i="1"/>
  <c r="D2457" i="1"/>
  <c r="C2458" i="1"/>
  <c r="D2458" i="1"/>
  <c r="C2459" i="1"/>
  <c r="D2459" i="1"/>
  <c r="C2460" i="1"/>
  <c r="D2460" i="1"/>
  <c r="C2461" i="1"/>
  <c r="D2461" i="1"/>
  <c r="C2462" i="1"/>
  <c r="D2462" i="1"/>
  <c r="C2463" i="1"/>
  <c r="D2463" i="1"/>
  <c r="C2464" i="1"/>
  <c r="D2464" i="1"/>
  <c r="C2465" i="1"/>
  <c r="D2465" i="1"/>
  <c r="C2466" i="1"/>
  <c r="D2466" i="1"/>
  <c r="C2467" i="1"/>
  <c r="D2467" i="1"/>
  <c r="C2468" i="1"/>
  <c r="D2468" i="1"/>
  <c r="C2469" i="1"/>
  <c r="D2469" i="1"/>
  <c r="C2470" i="1"/>
  <c r="D2470" i="1"/>
  <c r="C2471" i="1"/>
  <c r="D2471" i="1"/>
  <c r="C2472" i="1"/>
  <c r="D2472" i="1"/>
  <c r="C2473" i="1"/>
  <c r="D2473" i="1"/>
  <c r="C2474" i="1"/>
  <c r="D2474" i="1"/>
  <c r="C2475" i="1"/>
  <c r="D2475" i="1"/>
  <c r="C2476" i="1"/>
  <c r="D2476" i="1"/>
  <c r="C2477" i="1"/>
  <c r="D2477" i="1"/>
  <c r="C2478" i="1"/>
  <c r="D2478" i="1"/>
  <c r="C2479" i="1"/>
  <c r="D2479" i="1"/>
  <c r="C2480" i="1"/>
  <c r="D2480" i="1"/>
  <c r="C2481" i="1"/>
  <c r="D2481" i="1"/>
  <c r="C2482" i="1"/>
  <c r="D2482" i="1"/>
  <c r="C2483" i="1"/>
  <c r="D2483" i="1"/>
  <c r="C2484" i="1"/>
  <c r="D2484" i="1"/>
  <c r="C2485" i="1"/>
  <c r="D2485" i="1"/>
  <c r="C2486" i="1"/>
  <c r="D2486" i="1"/>
  <c r="C2487" i="1"/>
  <c r="D2487" i="1"/>
  <c r="C2488" i="1"/>
  <c r="D2488" i="1"/>
  <c r="C2489" i="1"/>
  <c r="D2489" i="1"/>
  <c r="C2490" i="1"/>
  <c r="D2490" i="1"/>
  <c r="C2491" i="1"/>
  <c r="D2491" i="1"/>
  <c r="C2492" i="1"/>
  <c r="D2492" i="1"/>
  <c r="C2493" i="1"/>
  <c r="D2493" i="1"/>
  <c r="C2494" i="1"/>
  <c r="D2494" i="1"/>
  <c r="C2495" i="1"/>
  <c r="D2495" i="1"/>
  <c r="C2496" i="1"/>
  <c r="D2496" i="1"/>
  <c r="C2497" i="1"/>
  <c r="D2497" i="1"/>
  <c r="C2498" i="1"/>
  <c r="D2498" i="1"/>
  <c r="C2499" i="1"/>
  <c r="D2499" i="1"/>
  <c r="C2500" i="1"/>
  <c r="D2500" i="1"/>
  <c r="C2501" i="1"/>
  <c r="D2501" i="1"/>
  <c r="C2502" i="1"/>
  <c r="D2502" i="1"/>
  <c r="C2503" i="1"/>
  <c r="D2503" i="1"/>
  <c r="C2504" i="1"/>
  <c r="D2504" i="1"/>
  <c r="C2505" i="1"/>
  <c r="D2505" i="1"/>
  <c r="C2506" i="1"/>
  <c r="D2506" i="1"/>
  <c r="C2507" i="1"/>
  <c r="D2507" i="1"/>
  <c r="C2508" i="1"/>
  <c r="D2508" i="1"/>
  <c r="C2509" i="1"/>
  <c r="D2509" i="1"/>
  <c r="C2510" i="1"/>
  <c r="D2510" i="1"/>
  <c r="C2511" i="1"/>
  <c r="D2511" i="1"/>
  <c r="C2512" i="1"/>
  <c r="D2512" i="1"/>
  <c r="C2513" i="1"/>
  <c r="D2513" i="1"/>
  <c r="C2514" i="1"/>
  <c r="D2514" i="1"/>
  <c r="C2515" i="1"/>
  <c r="D2515" i="1"/>
  <c r="C2516" i="1"/>
  <c r="D2516" i="1"/>
  <c r="C2517" i="1"/>
  <c r="D2517" i="1"/>
  <c r="C2518" i="1"/>
  <c r="D2518" i="1"/>
  <c r="C2519" i="1"/>
  <c r="D2519" i="1"/>
  <c r="C2520" i="1"/>
  <c r="D2520" i="1"/>
  <c r="C2521" i="1"/>
  <c r="D2521" i="1"/>
  <c r="C2522" i="1"/>
  <c r="D2522" i="1"/>
  <c r="C2523" i="1"/>
  <c r="D2523" i="1"/>
  <c r="C2524" i="1"/>
  <c r="D2524" i="1"/>
  <c r="C2525" i="1"/>
  <c r="D2525" i="1"/>
  <c r="C2526" i="1"/>
  <c r="D2526" i="1"/>
  <c r="C2527" i="1"/>
  <c r="D2527" i="1"/>
  <c r="C2528" i="1"/>
  <c r="D2528" i="1"/>
  <c r="C2529" i="1"/>
  <c r="D2529" i="1"/>
  <c r="C2530" i="1"/>
  <c r="D2530" i="1"/>
  <c r="C2531" i="1"/>
  <c r="D2531" i="1"/>
  <c r="C2532" i="1"/>
  <c r="D2532" i="1"/>
  <c r="C2533" i="1"/>
  <c r="D2533" i="1"/>
  <c r="C2534" i="1"/>
  <c r="D2534" i="1"/>
  <c r="C2535" i="1"/>
  <c r="D2535" i="1"/>
  <c r="C2536" i="1"/>
  <c r="D2536" i="1"/>
  <c r="C2537" i="1"/>
  <c r="D2537" i="1"/>
  <c r="C2538" i="1"/>
  <c r="D2538" i="1"/>
  <c r="C2539" i="1"/>
  <c r="D2539" i="1"/>
  <c r="C2540" i="1"/>
  <c r="D2540" i="1"/>
  <c r="C2541" i="1"/>
  <c r="D2541" i="1"/>
  <c r="C2542" i="1"/>
  <c r="D2542" i="1"/>
  <c r="C2543" i="1"/>
  <c r="D2543" i="1"/>
  <c r="C2544" i="1"/>
  <c r="D2544" i="1"/>
  <c r="C2545" i="1"/>
  <c r="D2545" i="1"/>
  <c r="C2546" i="1"/>
  <c r="D2546" i="1"/>
  <c r="C2547" i="1"/>
  <c r="D2547" i="1"/>
  <c r="C2548" i="1"/>
  <c r="D2548" i="1"/>
  <c r="C2549" i="1"/>
  <c r="D2549" i="1"/>
  <c r="C2550" i="1"/>
  <c r="D2550" i="1"/>
  <c r="C2551" i="1"/>
  <c r="D2551" i="1"/>
  <c r="C2552" i="1"/>
  <c r="D2552" i="1"/>
  <c r="C2553" i="1"/>
  <c r="D2553" i="1"/>
  <c r="C2554" i="1"/>
  <c r="D2554" i="1"/>
  <c r="C2555" i="1"/>
  <c r="D2555" i="1"/>
  <c r="C2556" i="1"/>
  <c r="D2556" i="1"/>
  <c r="C2557" i="1"/>
  <c r="D2557" i="1"/>
  <c r="C2558" i="1"/>
  <c r="D2558" i="1"/>
  <c r="C2559" i="1"/>
  <c r="D2559" i="1"/>
  <c r="C2560" i="1"/>
  <c r="D2560" i="1"/>
  <c r="C2561" i="1"/>
  <c r="D2561" i="1"/>
  <c r="C2562" i="1"/>
  <c r="D2562" i="1"/>
  <c r="C2563" i="1"/>
  <c r="D2563" i="1"/>
  <c r="C2564" i="1"/>
  <c r="D2564" i="1"/>
  <c r="C2565" i="1"/>
  <c r="D2565" i="1"/>
  <c r="C2566" i="1"/>
  <c r="D2566" i="1"/>
  <c r="C2567" i="1"/>
  <c r="D2567" i="1"/>
  <c r="C2568" i="1"/>
  <c r="D2568" i="1"/>
  <c r="C2569" i="1"/>
  <c r="D2569" i="1"/>
  <c r="C2570" i="1"/>
  <c r="D2570" i="1"/>
  <c r="C2571" i="1"/>
  <c r="D2571" i="1"/>
  <c r="C2572" i="1"/>
  <c r="D2572" i="1"/>
  <c r="C2573" i="1"/>
  <c r="D2573" i="1"/>
  <c r="C2574" i="1"/>
  <c r="D2574" i="1"/>
  <c r="C2575" i="1"/>
  <c r="D2575" i="1"/>
  <c r="C2576" i="1"/>
  <c r="D2576" i="1"/>
  <c r="C2577" i="1"/>
  <c r="D2577" i="1"/>
  <c r="C2578" i="1"/>
  <c r="D2578" i="1"/>
  <c r="C2579" i="1"/>
  <c r="D2579" i="1"/>
  <c r="C2580" i="1"/>
  <c r="D2580" i="1"/>
  <c r="C2581" i="1"/>
  <c r="D2581" i="1"/>
  <c r="C2582" i="1"/>
  <c r="D2582" i="1"/>
  <c r="C2583" i="1"/>
  <c r="D2583" i="1"/>
  <c r="C2584" i="1"/>
  <c r="D2584" i="1"/>
  <c r="C2585" i="1"/>
  <c r="D2585" i="1"/>
  <c r="C2586" i="1"/>
  <c r="D2586" i="1"/>
  <c r="C2587" i="1"/>
  <c r="D2587" i="1"/>
  <c r="C2588" i="1"/>
  <c r="D2588" i="1"/>
  <c r="C2589" i="1"/>
  <c r="D2589" i="1"/>
  <c r="C2590" i="1"/>
  <c r="D2590" i="1"/>
  <c r="C2591" i="1"/>
  <c r="D2591" i="1"/>
  <c r="C2592" i="1"/>
  <c r="D2592" i="1"/>
  <c r="C2593" i="1"/>
  <c r="D2593" i="1"/>
  <c r="C2594" i="1"/>
  <c r="D2594" i="1"/>
  <c r="C2595" i="1"/>
  <c r="D2595" i="1"/>
  <c r="C2596" i="1"/>
  <c r="D2596" i="1"/>
  <c r="C2597" i="1"/>
  <c r="D2597" i="1"/>
  <c r="C2598" i="1"/>
  <c r="D2598" i="1"/>
  <c r="C2599" i="1"/>
  <c r="D2599" i="1"/>
  <c r="C2600" i="1"/>
  <c r="D2600" i="1"/>
  <c r="C2601" i="1"/>
  <c r="D2601" i="1"/>
  <c r="C2602" i="1"/>
  <c r="D2602" i="1"/>
  <c r="C2603" i="1"/>
  <c r="D2603" i="1"/>
  <c r="C2604" i="1"/>
  <c r="D2604" i="1"/>
  <c r="C2605" i="1"/>
  <c r="D2605" i="1"/>
  <c r="C2606" i="1"/>
  <c r="D2606" i="1"/>
  <c r="C2607" i="1"/>
  <c r="D2607" i="1"/>
  <c r="C2608" i="1"/>
  <c r="D2608" i="1"/>
  <c r="C2609" i="1"/>
  <c r="D2609" i="1"/>
  <c r="C2610" i="1"/>
  <c r="D2610" i="1"/>
  <c r="C2611" i="1"/>
  <c r="D2611" i="1"/>
  <c r="C2612" i="1"/>
  <c r="D2612" i="1"/>
  <c r="C2613" i="1"/>
  <c r="D2613" i="1"/>
  <c r="C2614" i="1"/>
  <c r="D2614" i="1"/>
  <c r="C2615" i="1"/>
  <c r="D2615" i="1"/>
  <c r="C2616" i="1"/>
  <c r="D2616" i="1"/>
  <c r="C2617" i="1"/>
  <c r="D2617" i="1"/>
  <c r="C2618" i="1"/>
  <c r="D2618" i="1"/>
  <c r="C2619" i="1"/>
  <c r="D2619" i="1"/>
  <c r="C2620" i="1"/>
  <c r="D2620" i="1"/>
  <c r="C2621" i="1"/>
  <c r="D2621" i="1"/>
  <c r="C2622" i="1"/>
  <c r="D2622" i="1"/>
  <c r="C2623" i="1"/>
  <c r="D2623" i="1"/>
  <c r="C2624" i="1"/>
  <c r="D2624" i="1"/>
  <c r="C2625" i="1"/>
  <c r="D2625" i="1"/>
  <c r="C2626" i="1"/>
  <c r="D2626" i="1"/>
  <c r="C2627" i="1"/>
  <c r="D2627" i="1"/>
  <c r="C2628" i="1"/>
  <c r="D2628" i="1"/>
  <c r="C2629" i="1"/>
  <c r="D2629" i="1"/>
  <c r="C2630" i="1"/>
  <c r="D2630" i="1"/>
  <c r="C2631" i="1"/>
  <c r="D2631" i="1"/>
  <c r="C2632" i="1"/>
  <c r="D2632" i="1"/>
  <c r="C2633" i="1"/>
  <c r="D2633" i="1"/>
  <c r="C2634" i="1"/>
  <c r="D2634" i="1"/>
  <c r="C2635" i="1"/>
  <c r="D2635" i="1"/>
  <c r="C2636" i="1"/>
  <c r="D2636" i="1"/>
  <c r="C2637" i="1"/>
  <c r="D2637" i="1"/>
  <c r="C2638" i="1"/>
  <c r="D2638" i="1"/>
  <c r="C2639" i="1"/>
  <c r="D2639" i="1"/>
  <c r="C2640" i="1"/>
  <c r="D2640" i="1"/>
  <c r="C2641" i="1"/>
  <c r="D2641" i="1"/>
  <c r="C2642" i="1"/>
  <c r="D2642" i="1"/>
  <c r="C2643" i="1"/>
  <c r="D2643" i="1"/>
  <c r="C2644" i="1"/>
  <c r="D2644" i="1"/>
  <c r="C2645" i="1"/>
  <c r="D2645" i="1"/>
  <c r="C2646" i="1"/>
  <c r="D2646" i="1"/>
  <c r="C2647" i="1"/>
  <c r="D2647" i="1"/>
  <c r="C2648" i="1"/>
  <c r="D2648" i="1"/>
  <c r="C2649" i="1"/>
  <c r="D2649" i="1"/>
  <c r="C2650" i="1"/>
  <c r="D2650" i="1"/>
  <c r="C2651" i="1"/>
  <c r="D2651" i="1"/>
  <c r="C2652" i="1"/>
  <c r="D2652" i="1"/>
  <c r="C2653" i="1"/>
  <c r="D2653" i="1"/>
  <c r="C2654" i="1"/>
  <c r="D2654" i="1"/>
  <c r="C2655" i="1"/>
  <c r="D2655" i="1"/>
  <c r="C2656" i="1"/>
  <c r="D2656" i="1"/>
  <c r="C2657" i="1"/>
  <c r="D2657" i="1"/>
  <c r="C2658" i="1"/>
  <c r="D2658" i="1"/>
  <c r="C2659" i="1"/>
  <c r="D2659" i="1"/>
  <c r="C2660" i="1"/>
  <c r="D2660" i="1"/>
  <c r="C2661" i="1"/>
  <c r="D2661" i="1"/>
  <c r="C2662" i="1"/>
  <c r="D2662" i="1"/>
  <c r="C2663" i="1"/>
  <c r="D2663" i="1"/>
  <c r="C2664" i="1"/>
  <c r="D2664" i="1"/>
  <c r="C2665" i="1"/>
  <c r="D2665" i="1"/>
  <c r="C2666" i="1"/>
  <c r="D2666" i="1"/>
  <c r="C2667" i="1"/>
  <c r="D2667" i="1"/>
  <c r="C2668" i="1"/>
  <c r="D2668" i="1"/>
  <c r="C2669" i="1"/>
  <c r="D2669" i="1"/>
  <c r="C2670" i="1"/>
  <c r="D2670" i="1"/>
  <c r="C2671" i="1"/>
  <c r="D2671" i="1"/>
  <c r="C2672" i="1"/>
  <c r="D2672" i="1"/>
  <c r="C2673" i="1"/>
  <c r="D2673" i="1"/>
  <c r="C2674" i="1"/>
  <c r="D2674" i="1"/>
  <c r="C2675" i="1"/>
  <c r="D2675" i="1"/>
  <c r="C2676" i="1"/>
  <c r="D2676" i="1"/>
  <c r="C2677" i="1"/>
  <c r="D2677" i="1"/>
  <c r="C2678" i="1"/>
  <c r="D2678" i="1"/>
  <c r="C2679" i="1"/>
  <c r="D2679" i="1"/>
  <c r="C2680" i="1"/>
  <c r="D2680" i="1"/>
  <c r="C2681" i="1"/>
  <c r="D2681" i="1"/>
  <c r="C2682" i="1"/>
  <c r="D2682" i="1"/>
  <c r="C2683" i="1"/>
  <c r="D2683" i="1"/>
  <c r="C2684" i="1"/>
  <c r="D2684" i="1"/>
  <c r="C2685" i="1"/>
  <c r="D2685" i="1"/>
  <c r="C2686" i="1"/>
  <c r="D2686" i="1"/>
  <c r="C2687" i="1"/>
  <c r="D2687" i="1"/>
  <c r="C2688" i="1"/>
  <c r="D2688" i="1"/>
  <c r="C2689" i="1"/>
  <c r="D2689" i="1"/>
  <c r="C2690" i="1"/>
  <c r="D2690" i="1"/>
  <c r="C2691" i="1"/>
  <c r="D2691" i="1"/>
  <c r="C2692" i="1"/>
  <c r="D2692" i="1"/>
  <c r="C2693" i="1"/>
  <c r="D2693" i="1"/>
  <c r="C2694" i="1"/>
  <c r="D2694" i="1"/>
  <c r="C2695" i="1"/>
  <c r="D2695" i="1"/>
  <c r="C2696" i="1"/>
  <c r="D2696" i="1"/>
  <c r="C2697" i="1"/>
  <c r="D2697" i="1"/>
  <c r="C2698" i="1"/>
  <c r="D2698" i="1"/>
  <c r="C2699" i="1"/>
  <c r="D2699" i="1"/>
  <c r="C2700" i="1"/>
  <c r="D2700" i="1"/>
  <c r="C2701" i="1"/>
  <c r="D2701" i="1"/>
  <c r="C2702" i="1"/>
  <c r="D2702" i="1"/>
  <c r="C2703" i="1"/>
  <c r="D2703" i="1"/>
  <c r="C2704" i="1"/>
  <c r="D2704" i="1"/>
  <c r="C2705" i="1"/>
  <c r="D2705" i="1"/>
  <c r="C2706" i="1"/>
  <c r="D2706" i="1"/>
  <c r="C2707" i="1"/>
  <c r="D2707" i="1"/>
  <c r="C2708" i="1"/>
  <c r="D2708" i="1"/>
  <c r="C2709" i="1"/>
  <c r="D2709" i="1"/>
  <c r="C2710" i="1"/>
  <c r="D2710" i="1"/>
  <c r="C2711" i="1"/>
  <c r="D2711" i="1"/>
  <c r="C2712" i="1"/>
  <c r="D2712" i="1"/>
  <c r="C2713" i="1"/>
  <c r="D2713" i="1"/>
  <c r="C2714" i="1"/>
  <c r="D2714" i="1"/>
  <c r="C2715" i="1"/>
  <c r="D2715" i="1"/>
  <c r="C2716" i="1"/>
  <c r="D2716" i="1"/>
  <c r="C2717" i="1"/>
  <c r="D2717" i="1"/>
  <c r="C2718" i="1"/>
  <c r="D2718" i="1"/>
  <c r="C2719" i="1"/>
  <c r="D2719" i="1"/>
  <c r="C2720" i="1"/>
  <c r="D2720" i="1"/>
  <c r="C2721" i="1"/>
  <c r="D2721" i="1"/>
  <c r="C2722" i="1"/>
  <c r="D2722" i="1"/>
  <c r="C2723" i="1"/>
  <c r="D2723" i="1"/>
  <c r="C2724" i="1"/>
  <c r="D2724" i="1"/>
  <c r="C2725" i="1"/>
  <c r="D2725" i="1"/>
  <c r="C2726" i="1"/>
  <c r="D2726" i="1"/>
  <c r="C2727" i="1"/>
  <c r="D2727" i="1"/>
  <c r="C2728" i="1"/>
  <c r="D2728" i="1"/>
  <c r="C2729" i="1"/>
  <c r="D2729" i="1"/>
  <c r="C2730" i="1"/>
  <c r="D2730" i="1"/>
  <c r="C2731" i="1"/>
  <c r="D2731" i="1"/>
  <c r="C2732" i="1"/>
  <c r="D2732" i="1"/>
  <c r="C2733" i="1"/>
  <c r="D2733" i="1"/>
  <c r="C2734" i="1"/>
  <c r="D2734" i="1"/>
  <c r="C2735" i="1"/>
  <c r="D2735" i="1"/>
  <c r="C2736" i="1"/>
  <c r="D2736" i="1"/>
  <c r="C2737" i="1"/>
  <c r="D2737" i="1"/>
  <c r="C2738" i="1"/>
  <c r="D2738" i="1"/>
  <c r="C2739" i="1"/>
  <c r="D2739" i="1"/>
  <c r="C2740" i="1"/>
  <c r="D2740" i="1"/>
  <c r="C2741" i="1"/>
  <c r="D2741" i="1"/>
  <c r="C2742" i="1"/>
  <c r="D2742" i="1"/>
  <c r="C2743" i="1"/>
  <c r="D2743" i="1"/>
  <c r="C2744" i="1"/>
  <c r="D2744" i="1"/>
  <c r="C2745" i="1"/>
  <c r="D2745" i="1"/>
  <c r="C2746" i="1"/>
  <c r="D2746" i="1"/>
  <c r="C2747" i="1"/>
  <c r="D2747" i="1"/>
  <c r="C2748" i="1"/>
  <c r="D2748" i="1"/>
  <c r="C2749" i="1"/>
  <c r="D2749" i="1"/>
  <c r="C2750" i="1"/>
  <c r="D2750" i="1"/>
  <c r="C2751" i="1"/>
  <c r="D2751" i="1"/>
  <c r="C2752" i="1"/>
  <c r="D2752" i="1"/>
  <c r="C2753" i="1"/>
  <c r="D2753" i="1"/>
  <c r="C2754" i="1"/>
  <c r="D2754" i="1"/>
  <c r="C2755" i="1"/>
  <c r="D2755" i="1"/>
  <c r="C2756" i="1"/>
  <c r="D2756" i="1"/>
  <c r="C2757" i="1"/>
  <c r="D2757" i="1"/>
  <c r="C2758" i="1"/>
  <c r="D2758" i="1"/>
  <c r="C2759" i="1"/>
  <c r="D2759" i="1"/>
  <c r="C2760" i="1"/>
  <c r="D2760" i="1"/>
  <c r="C2761" i="1"/>
  <c r="D2761" i="1"/>
  <c r="C2762" i="1"/>
  <c r="D2762" i="1"/>
  <c r="C2763" i="1"/>
  <c r="D2763" i="1"/>
  <c r="C2764" i="1"/>
  <c r="D2764" i="1"/>
  <c r="C2765" i="1"/>
  <c r="D2765" i="1"/>
  <c r="C2766" i="1"/>
  <c r="D2766" i="1"/>
  <c r="C2767" i="1"/>
  <c r="D2767" i="1"/>
  <c r="C2768" i="1"/>
  <c r="D2768" i="1"/>
  <c r="C2769" i="1"/>
  <c r="D2769" i="1"/>
  <c r="C2770" i="1"/>
  <c r="D2770" i="1"/>
  <c r="C2771" i="1"/>
  <c r="D2771" i="1"/>
  <c r="C2772" i="1"/>
  <c r="D2772" i="1"/>
  <c r="C2773" i="1"/>
  <c r="D2773" i="1"/>
  <c r="C2774" i="1"/>
  <c r="D2774" i="1"/>
  <c r="C2775" i="1"/>
  <c r="D2775" i="1"/>
  <c r="C2776" i="1"/>
  <c r="D2776" i="1"/>
  <c r="C2777" i="1"/>
  <c r="D2777" i="1"/>
  <c r="C2778" i="1"/>
  <c r="D2778" i="1"/>
  <c r="C2779" i="1"/>
  <c r="D2779" i="1"/>
  <c r="C2780" i="1"/>
  <c r="D2780" i="1"/>
  <c r="C2781" i="1"/>
  <c r="D2781" i="1"/>
  <c r="C2782" i="1"/>
  <c r="D2782" i="1"/>
  <c r="C2783" i="1"/>
  <c r="D2783" i="1"/>
  <c r="C2784" i="1"/>
  <c r="D2784" i="1"/>
  <c r="C2785" i="1"/>
  <c r="D2785" i="1"/>
  <c r="C2786" i="1"/>
  <c r="D2786" i="1"/>
  <c r="C2787" i="1"/>
  <c r="D2787" i="1"/>
  <c r="C2788" i="1"/>
  <c r="D2788" i="1"/>
  <c r="C2789" i="1"/>
  <c r="D2789" i="1"/>
  <c r="C2790" i="1"/>
  <c r="D2790" i="1"/>
  <c r="C2791" i="1"/>
  <c r="D2791" i="1"/>
  <c r="C2792" i="1"/>
  <c r="D2792" i="1"/>
  <c r="C2793" i="1"/>
  <c r="D2793" i="1"/>
  <c r="C2794" i="1"/>
  <c r="D2794" i="1"/>
  <c r="C2795" i="1"/>
  <c r="D2795" i="1"/>
  <c r="C2796" i="1"/>
  <c r="D2796" i="1"/>
  <c r="C2797" i="1"/>
  <c r="D2797" i="1"/>
  <c r="C2798" i="1"/>
  <c r="D2798" i="1"/>
  <c r="C2799" i="1"/>
  <c r="D2799" i="1"/>
  <c r="C2800" i="1"/>
  <c r="D2800" i="1"/>
  <c r="C2801" i="1"/>
  <c r="D2801" i="1"/>
  <c r="C2802" i="1"/>
  <c r="D2802" i="1"/>
  <c r="C2803" i="1"/>
  <c r="D2803" i="1"/>
  <c r="C2804" i="1"/>
  <c r="D2804" i="1"/>
  <c r="C2805" i="1"/>
  <c r="D2805" i="1"/>
  <c r="C2806" i="1"/>
  <c r="D2806" i="1"/>
  <c r="C2807" i="1"/>
  <c r="D2807" i="1"/>
  <c r="C2808" i="1"/>
  <c r="D2808" i="1"/>
  <c r="C2809" i="1"/>
  <c r="D2809" i="1"/>
  <c r="C2810" i="1"/>
  <c r="D2810" i="1"/>
  <c r="C2811" i="1"/>
  <c r="D2811" i="1"/>
  <c r="C2812" i="1"/>
  <c r="D2812" i="1"/>
  <c r="C2813" i="1"/>
  <c r="D2813" i="1"/>
  <c r="C2814" i="1"/>
  <c r="D2814" i="1"/>
  <c r="C2815" i="1"/>
  <c r="D2815" i="1"/>
  <c r="C2816" i="1"/>
  <c r="D2816" i="1"/>
  <c r="C2817" i="1"/>
  <c r="D2817" i="1"/>
  <c r="C2818" i="1"/>
  <c r="D2818" i="1"/>
  <c r="C2819" i="1"/>
  <c r="D2819" i="1"/>
  <c r="C2820" i="1"/>
  <c r="D2820" i="1"/>
  <c r="C2821" i="1"/>
  <c r="D2821" i="1"/>
  <c r="C2822" i="1"/>
  <c r="D2822" i="1"/>
  <c r="C2823" i="1"/>
  <c r="D2823" i="1"/>
  <c r="C2824" i="1"/>
  <c r="D2824" i="1"/>
  <c r="C2825" i="1"/>
  <c r="D2825" i="1"/>
  <c r="C2826" i="1"/>
  <c r="D2826" i="1"/>
  <c r="C2827" i="1"/>
  <c r="D2827" i="1"/>
  <c r="C2828" i="1"/>
  <c r="D2828" i="1"/>
  <c r="C2829" i="1"/>
  <c r="D2829" i="1"/>
  <c r="C2830" i="1"/>
  <c r="D2830" i="1"/>
  <c r="C2831" i="1"/>
  <c r="D2831" i="1"/>
  <c r="C2832" i="1"/>
  <c r="D2832" i="1"/>
  <c r="C2833" i="1"/>
  <c r="D2833" i="1"/>
  <c r="C2834" i="1"/>
  <c r="D2834" i="1"/>
  <c r="C2835" i="1"/>
  <c r="D2835" i="1"/>
  <c r="C2836" i="1"/>
  <c r="D2836" i="1"/>
  <c r="C2837" i="1"/>
  <c r="D2837" i="1"/>
  <c r="C2838" i="1"/>
  <c r="D2838" i="1"/>
  <c r="C2839" i="1"/>
  <c r="D2839" i="1"/>
  <c r="C2840" i="1"/>
  <c r="D2840" i="1"/>
  <c r="C2841" i="1"/>
  <c r="D2841" i="1"/>
  <c r="C2842" i="1"/>
  <c r="D2842" i="1"/>
  <c r="C2843" i="1"/>
  <c r="D2843" i="1"/>
  <c r="C2844" i="1"/>
  <c r="D2844" i="1"/>
  <c r="C2845" i="1"/>
  <c r="D2845" i="1"/>
  <c r="C2846" i="1"/>
  <c r="D2846" i="1"/>
  <c r="C2847" i="1"/>
  <c r="D2847" i="1"/>
  <c r="C2848" i="1"/>
  <c r="D2848" i="1"/>
  <c r="C2849" i="1"/>
  <c r="D2849" i="1"/>
  <c r="C2850" i="1"/>
  <c r="D2850" i="1"/>
  <c r="C2851" i="1"/>
  <c r="D2851" i="1"/>
  <c r="C2852" i="1"/>
  <c r="D2852" i="1"/>
  <c r="C2853" i="1"/>
  <c r="D2853" i="1"/>
  <c r="C2854" i="1"/>
  <c r="D2854" i="1"/>
  <c r="C2855" i="1"/>
  <c r="D2855" i="1"/>
  <c r="C2856" i="1"/>
  <c r="D2856" i="1"/>
  <c r="C2857" i="1"/>
  <c r="D2857" i="1"/>
  <c r="C2858" i="1"/>
  <c r="D2858" i="1"/>
  <c r="C2859" i="1"/>
  <c r="D2859" i="1"/>
  <c r="C2860" i="1"/>
  <c r="D2860" i="1"/>
  <c r="C2861" i="1"/>
  <c r="D2861" i="1"/>
  <c r="C2862" i="1"/>
  <c r="D2862" i="1"/>
  <c r="C2863" i="1"/>
  <c r="D2863" i="1"/>
  <c r="C2864" i="1"/>
  <c r="D2864" i="1"/>
  <c r="C2865" i="1"/>
  <c r="D2865" i="1"/>
  <c r="C2866" i="1"/>
  <c r="D2866" i="1"/>
  <c r="C2867" i="1"/>
  <c r="D2867" i="1"/>
  <c r="C2868" i="1"/>
  <c r="D2868" i="1"/>
  <c r="C2869" i="1"/>
  <c r="D2869" i="1"/>
  <c r="C2870" i="1"/>
  <c r="D2870" i="1"/>
  <c r="C2871" i="1"/>
  <c r="D2871" i="1"/>
  <c r="C2872" i="1"/>
  <c r="D2872" i="1"/>
  <c r="C2873" i="1"/>
  <c r="D2873" i="1"/>
  <c r="C2874" i="1"/>
  <c r="D2874" i="1"/>
  <c r="C2875" i="1"/>
  <c r="D2875" i="1"/>
  <c r="C2876" i="1"/>
  <c r="D2876" i="1"/>
  <c r="C2877" i="1"/>
  <c r="D2877" i="1"/>
  <c r="C2878" i="1"/>
  <c r="D2878" i="1"/>
  <c r="C2879" i="1"/>
  <c r="D2879" i="1"/>
  <c r="C2880" i="1"/>
  <c r="D2880" i="1"/>
  <c r="C2881" i="1"/>
  <c r="D2881" i="1"/>
  <c r="C2882" i="1"/>
  <c r="D2882" i="1"/>
  <c r="C2883" i="1"/>
  <c r="D2883" i="1"/>
  <c r="C2884" i="1"/>
  <c r="D2884" i="1"/>
  <c r="C2885" i="1"/>
  <c r="D2885" i="1"/>
  <c r="C2886" i="1"/>
  <c r="D2886" i="1"/>
  <c r="C2887" i="1"/>
  <c r="D2887" i="1"/>
  <c r="C2888" i="1"/>
  <c r="D2888" i="1"/>
  <c r="C2889" i="1"/>
  <c r="D2889" i="1"/>
  <c r="C2890" i="1"/>
  <c r="D2890" i="1"/>
  <c r="C2891" i="1"/>
  <c r="D2891" i="1"/>
  <c r="C2892" i="1"/>
  <c r="D2892" i="1"/>
  <c r="C2893" i="1"/>
  <c r="D2893" i="1"/>
  <c r="C2894" i="1"/>
  <c r="D2894" i="1"/>
  <c r="C2895" i="1"/>
  <c r="D2895" i="1"/>
  <c r="C2896" i="1"/>
  <c r="D2896" i="1"/>
  <c r="C2897" i="1"/>
  <c r="D2897" i="1"/>
  <c r="C2898" i="1"/>
  <c r="D2898" i="1"/>
  <c r="C2899" i="1"/>
  <c r="D2899" i="1"/>
  <c r="C2900" i="1"/>
  <c r="D2900" i="1"/>
  <c r="C2901" i="1"/>
  <c r="D2901" i="1"/>
  <c r="C2902" i="1"/>
  <c r="D2902" i="1"/>
  <c r="C2903" i="1"/>
  <c r="D2903" i="1"/>
  <c r="C2904" i="1"/>
  <c r="D2904" i="1"/>
  <c r="C2905" i="1"/>
  <c r="D2905" i="1"/>
  <c r="C2906" i="1"/>
  <c r="D2906" i="1"/>
  <c r="C2907" i="1"/>
  <c r="D2907" i="1"/>
  <c r="C2908" i="1"/>
  <c r="D2908" i="1"/>
  <c r="C2909" i="1"/>
  <c r="D2909" i="1"/>
  <c r="C2910" i="1"/>
  <c r="D2910" i="1"/>
  <c r="C2911" i="1"/>
  <c r="D2911" i="1"/>
  <c r="C2912" i="1"/>
  <c r="D2912" i="1"/>
  <c r="C2913" i="1"/>
  <c r="D2913" i="1"/>
  <c r="C2914" i="1"/>
  <c r="D2914" i="1"/>
  <c r="C2915" i="1"/>
  <c r="D2915" i="1"/>
  <c r="C2916" i="1"/>
  <c r="D2916" i="1"/>
  <c r="C2917" i="1"/>
  <c r="D2917" i="1"/>
  <c r="C2918" i="1"/>
  <c r="D2918" i="1"/>
  <c r="C2919" i="1"/>
  <c r="D2919" i="1"/>
  <c r="C2920" i="1"/>
  <c r="D2920" i="1"/>
  <c r="C2921" i="1"/>
  <c r="D2921" i="1"/>
  <c r="C2922" i="1"/>
  <c r="D2922" i="1"/>
  <c r="C2923" i="1"/>
  <c r="D2923" i="1"/>
  <c r="C2924" i="1"/>
  <c r="D2924" i="1"/>
  <c r="C2925" i="1"/>
  <c r="D2925" i="1"/>
  <c r="C2926" i="1"/>
  <c r="D2926" i="1"/>
  <c r="C2927" i="1"/>
  <c r="D2927" i="1"/>
  <c r="C2928" i="1"/>
  <c r="D2928" i="1"/>
  <c r="C2929" i="1"/>
  <c r="D2929" i="1"/>
  <c r="C2930" i="1"/>
  <c r="D2930" i="1"/>
  <c r="C2931" i="1"/>
  <c r="D2931" i="1"/>
  <c r="C2932" i="1"/>
  <c r="D2932" i="1"/>
  <c r="C2933" i="1"/>
  <c r="D2933" i="1"/>
  <c r="C2934" i="1"/>
  <c r="D2934" i="1"/>
  <c r="C2935" i="1"/>
  <c r="D2935" i="1"/>
  <c r="C2936" i="1"/>
  <c r="D2936" i="1"/>
  <c r="C2937" i="1"/>
  <c r="D2937" i="1"/>
  <c r="C2938" i="1"/>
  <c r="D2938" i="1"/>
  <c r="C2939" i="1"/>
  <c r="D2939" i="1"/>
  <c r="C2940" i="1"/>
  <c r="D2940" i="1"/>
  <c r="C2941" i="1"/>
  <c r="D2941" i="1"/>
  <c r="C2942" i="1"/>
  <c r="D2942" i="1"/>
  <c r="C2943" i="1"/>
  <c r="D2943" i="1"/>
  <c r="C2944" i="1"/>
  <c r="D2944" i="1"/>
  <c r="C2945" i="1"/>
  <c r="D2945" i="1"/>
  <c r="C2946" i="1"/>
  <c r="D2946" i="1"/>
  <c r="C2947" i="1"/>
  <c r="D2947" i="1"/>
  <c r="C2948" i="1"/>
  <c r="D2948" i="1"/>
  <c r="C2949" i="1"/>
  <c r="D2949" i="1"/>
  <c r="C2950" i="1"/>
  <c r="D2950" i="1"/>
  <c r="C2951" i="1"/>
  <c r="D2951" i="1"/>
  <c r="C2952" i="1"/>
  <c r="D2952" i="1"/>
  <c r="C2953" i="1"/>
  <c r="D2953" i="1"/>
  <c r="C2954" i="1"/>
  <c r="D2954" i="1"/>
  <c r="C2955" i="1"/>
  <c r="D2955" i="1"/>
  <c r="C2956" i="1"/>
  <c r="D2956" i="1"/>
  <c r="C2957" i="1"/>
  <c r="D2957" i="1"/>
  <c r="C2958" i="1"/>
  <c r="D2958" i="1"/>
  <c r="C2959" i="1"/>
  <c r="D2959" i="1"/>
  <c r="C2960" i="1"/>
  <c r="D2960" i="1"/>
  <c r="C2961" i="1"/>
  <c r="D2961" i="1"/>
  <c r="C2962" i="1"/>
  <c r="D2962" i="1"/>
  <c r="C2963" i="1"/>
  <c r="D2963" i="1"/>
  <c r="C2964" i="1"/>
  <c r="D2964" i="1"/>
  <c r="C2965" i="1"/>
  <c r="D2965" i="1"/>
  <c r="C2966" i="1"/>
  <c r="D2966" i="1"/>
  <c r="C2967" i="1"/>
  <c r="D2967" i="1"/>
  <c r="C2968" i="1"/>
  <c r="D2968" i="1"/>
  <c r="C2969" i="1"/>
  <c r="D2969" i="1"/>
  <c r="C2970" i="1"/>
  <c r="D2970" i="1"/>
  <c r="C2971" i="1"/>
  <c r="D2971" i="1"/>
  <c r="C2972" i="1"/>
  <c r="D2972" i="1"/>
  <c r="C2973" i="1"/>
  <c r="D2973" i="1"/>
  <c r="C2974" i="1"/>
  <c r="D2974" i="1"/>
  <c r="C2975" i="1"/>
  <c r="D2975" i="1"/>
  <c r="C2976" i="1"/>
  <c r="D2976" i="1"/>
  <c r="C2977" i="1"/>
  <c r="D2977" i="1"/>
  <c r="C2978" i="1"/>
  <c r="D2978" i="1"/>
  <c r="C2979" i="1"/>
  <c r="D2979" i="1"/>
  <c r="C2980" i="1"/>
  <c r="D2980" i="1"/>
  <c r="C2981" i="1"/>
  <c r="D2981" i="1"/>
  <c r="C2982" i="1"/>
  <c r="D2982" i="1"/>
  <c r="C2983" i="1"/>
  <c r="D2983" i="1"/>
  <c r="C2984" i="1"/>
  <c r="D2984" i="1"/>
  <c r="C2985" i="1"/>
  <c r="D2985" i="1"/>
  <c r="C2986" i="1"/>
  <c r="D2986" i="1"/>
  <c r="C2987" i="1"/>
  <c r="D2987" i="1"/>
  <c r="C2988" i="1"/>
  <c r="D2988" i="1"/>
  <c r="C2989" i="1"/>
  <c r="D2989" i="1"/>
  <c r="C2990" i="1"/>
  <c r="D2990" i="1"/>
  <c r="C2991" i="1"/>
  <c r="D2991" i="1"/>
  <c r="C2992" i="1"/>
  <c r="D2992" i="1"/>
  <c r="C2993" i="1"/>
  <c r="D2993" i="1"/>
  <c r="C2994" i="1"/>
  <c r="D2994" i="1"/>
  <c r="C2995" i="1"/>
  <c r="D2995" i="1"/>
  <c r="C2996" i="1"/>
  <c r="D2996" i="1"/>
  <c r="C2997" i="1"/>
  <c r="D2997" i="1"/>
  <c r="C2998" i="1"/>
  <c r="D2998" i="1"/>
  <c r="C2999" i="1"/>
  <c r="D2999" i="1"/>
  <c r="C3000" i="1"/>
  <c r="D3000" i="1"/>
  <c r="C3001" i="1"/>
  <c r="D3001" i="1"/>
  <c r="C3002" i="1"/>
  <c r="D3002" i="1"/>
  <c r="C3003" i="1"/>
  <c r="D3003" i="1"/>
  <c r="C3004" i="1"/>
  <c r="D3004" i="1"/>
  <c r="C3005" i="1"/>
  <c r="D3005" i="1"/>
  <c r="C3006" i="1"/>
  <c r="D3006" i="1"/>
  <c r="C3007" i="1"/>
  <c r="D3007" i="1"/>
  <c r="C3008" i="1"/>
  <c r="D3008" i="1"/>
  <c r="C3009" i="1"/>
  <c r="D3009" i="1"/>
  <c r="C3010" i="1"/>
  <c r="D3010" i="1"/>
  <c r="C3011" i="1"/>
  <c r="D3011" i="1"/>
  <c r="C3012" i="1"/>
  <c r="D3012" i="1"/>
  <c r="C3013" i="1"/>
  <c r="D3013" i="1"/>
  <c r="C3014" i="1"/>
  <c r="D3014" i="1"/>
  <c r="C3015" i="1"/>
  <c r="D3015" i="1"/>
  <c r="C3016" i="1"/>
  <c r="D3016" i="1"/>
  <c r="C3017" i="1"/>
  <c r="D3017" i="1"/>
  <c r="C3018" i="1"/>
  <c r="D3018" i="1"/>
  <c r="C3019" i="1"/>
  <c r="D3019" i="1"/>
  <c r="C3020" i="1"/>
  <c r="D3020" i="1"/>
  <c r="C3021" i="1"/>
  <c r="D3021" i="1"/>
  <c r="C3022" i="1"/>
  <c r="D3022" i="1"/>
  <c r="C3023" i="1"/>
  <c r="D3023" i="1"/>
  <c r="C3024" i="1"/>
  <c r="D3024" i="1"/>
  <c r="C3025" i="1"/>
  <c r="D3025" i="1"/>
  <c r="C3026" i="1"/>
  <c r="D3026" i="1"/>
  <c r="C3027" i="1"/>
  <c r="D3027" i="1"/>
  <c r="C3028" i="1"/>
  <c r="D3028" i="1"/>
  <c r="C3029" i="1"/>
  <c r="D3029" i="1"/>
  <c r="C3030" i="1"/>
  <c r="D3030" i="1"/>
  <c r="C3031" i="1"/>
  <c r="D3031" i="1"/>
  <c r="C3032" i="1"/>
  <c r="D3032" i="1"/>
  <c r="C3033" i="1"/>
  <c r="D3033" i="1"/>
  <c r="C3034" i="1"/>
  <c r="D3034" i="1"/>
  <c r="C3035" i="1"/>
  <c r="D3035" i="1"/>
  <c r="C3036" i="1"/>
  <c r="D3036" i="1"/>
  <c r="C3037" i="1"/>
  <c r="D3037" i="1"/>
  <c r="C3038" i="1"/>
  <c r="D3038" i="1"/>
  <c r="C3039" i="1"/>
  <c r="D3039" i="1"/>
  <c r="C3040" i="1"/>
  <c r="D3040" i="1"/>
  <c r="C3041" i="1"/>
  <c r="D3041" i="1"/>
  <c r="C3042" i="1"/>
  <c r="D3042" i="1"/>
  <c r="C3043" i="1"/>
  <c r="D3043" i="1"/>
  <c r="C3044" i="1"/>
  <c r="D3044" i="1"/>
  <c r="C3045" i="1"/>
  <c r="D3045" i="1"/>
  <c r="C3046" i="1"/>
  <c r="D3046" i="1"/>
  <c r="C3047" i="1"/>
  <c r="D3047" i="1"/>
  <c r="C3048" i="1"/>
  <c r="D3048" i="1"/>
  <c r="C3049" i="1"/>
  <c r="D3049" i="1"/>
  <c r="C3050" i="1"/>
  <c r="D3050" i="1"/>
  <c r="C3051" i="1"/>
  <c r="D3051" i="1"/>
  <c r="C3052" i="1"/>
  <c r="D3052" i="1"/>
  <c r="C3053" i="1"/>
  <c r="D3053" i="1"/>
  <c r="C3054" i="1"/>
  <c r="D3054" i="1"/>
  <c r="C3055" i="1"/>
  <c r="D3055" i="1"/>
  <c r="C3056" i="1"/>
  <c r="D3056" i="1"/>
  <c r="C3057" i="1"/>
  <c r="D3057" i="1"/>
  <c r="C3058" i="1"/>
  <c r="D3058" i="1"/>
  <c r="C3059" i="1"/>
  <c r="D3059" i="1"/>
  <c r="C3060" i="1"/>
  <c r="D3060" i="1"/>
  <c r="C3061" i="1"/>
  <c r="D3061" i="1"/>
  <c r="C3062" i="1"/>
  <c r="D3062" i="1"/>
  <c r="C3063" i="1"/>
  <c r="D3063" i="1"/>
  <c r="C3064" i="1"/>
  <c r="D3064" i="1"/>
  <c r="C3065" i="1"/>
  <c r="D3065" i="1"/>
  <c r="C3066" i="1"/>
  <c r="D3066" i="1"/>
  <c r="C3067" i="1"/>
  <c r="D3067" i="1"/>
  <c r="C3068" i="1"/>
  <c r="D3068" i="1"/>
  <c r="C3069" i="1"/>
  <c r="D3069" i="1"/>
  <c r="C3070" i="1"/>
  <c r="D3070" i="1"/>
  <c r="C3071" i="1"/>
  <c r="D3071" i="1"/>
  <c r="C3072" i="1"/>
  <c r="D3072" i="1"/>
  <c r="C3073" i="1"/>
  <c r="D3073" i="1"/>
  <c r="C3074" i="1"/>
  <c r="D3074" i="1"/>
  <c r="C3075" i="1"/>
  <c r="D3075" i="1"/>
  <c r="C3076" i="1"/>
  <c r="D3076" i="1"/>
  <c r="C3077" i="1"/>
  <c r="D3077" i="1"/>
  <c r="C3078" i="1"/>
  <c r="D3078" i="1"/>
  <c r="C3079" i="1"/>
  <c r="D3079" i="1"/>
  <c r="C3080" i="1"/>
  <c r="D3080" i="1"/>
  <c r="C3081" i="1"/>
  <c r="D3081" i="1"/>
  <c r="C3082" i="1"/>
  <c r="D3082" i="1"/>
  <c r="C3083" i="1"/>
  <c r="D3083" i="1"/>
  <c r="C3084" i="1"/>
  <c r="D3084" i="1"/>
  <c r="C3085" i="1"/>
  <c r="D3085" i="1"/>
  <c r="C3086" i="1"/>
  <c r="D3086" i="1"/>
  <c r="C3087" i="1"/>
  <c r="D3087" i="1"/>
  <c r="C3088" i="1"/>
  <c r="D3088" i="1"/>
  <c r="C3089" i="1"/>
  <c r="D3089" i="1"/>
  <c r="C3090" i="1"/>
  <c r="D3090" i="1"/>
  <c r="C3091" i="1"/>
  <c r="D3091" i="1"/>
  <c r="C3092" i="1"/>
  <c r="D3092" i="1"/>
  <c r="C3093" i="1"/>
  <c r="D3093" i="1"/>
  <c r="C3094" i="1"/>
  <c r="D3094" i="1"/>
  <c r="C3095" i="1"/>
  <c r="D3095" i="1"/>
  <c r="C3096" i="1"/>
  <c r="D3096" i="1"/>
  <c r="C3097" i="1"/>
  <c r="D3097" i="1"/>
  <c r="C3098" i="1"/>
  <c r="D3098" i="1"/>
  <c r="C3099" i="1"/>
  <c r="D3099" i="1"/>
  <c r="C3100" i="1"/>
  <c r="D3100" i="1"/>
  <c r="C3101" i="1"/>
  <c r="D3101" i="1"/>
  <c r="C3102" i="1"/>
  <c r="D3102" i="1"/>
  <c r="C3103" i="1"/>
  <c r="D3103" i="1"/>
  <c r="C3104" i="1"/>
  <c r="D3104" i="1"/>
  <c r="C3105" i="1"/>
  <c r="D3105" i="1"/>
  <c r="C3106" i="1"/>
  <c r="D3106" i="1"/>
  <c r="C3107" i="1"/>
  <c r="D3107" i="1"/>
  <c r="C3108" i="1"/>
  <c r="D3108" i="1"/>
  <c r="C3109" i="1"/>
  <c r="D3109" i="1"/>
  <c r="C3110" i="1"/>
  <c r="D3110" i="1"/>
  <c r="C3111" i="1"/>
  <c r="D3111" i="1"/>
  <c r="C3112" i="1"/>
  <c r="D3112" i="1"/>
  <c r="C3113" i="1"/>
  <c r="D3113" i="1"/>
  <c r="C3114" i="1"/>
  <c r="D3114" i="1"/>
  <c r="C3115" i="1"/>
  <c r="D3115" i="1"/>
  <c r="C3116" i="1"/>
  <c r="D3116" i="1"/>
  <c r="C3117" i="1"/>
  <c r="D3117" i="1"/>
  <c r="C3118" i="1"/>
  <c r="D3118" i="1"/>
  <c r="C3119" i="1"/>
  <c r="D3119" i="1"/>
  <c r="C3120" i="1"/>
  <c r="D3120" i="1"/>
  <c r="C3121" i="1"/>
  <c r="D3121" i="1"/>
  <c r="C3122" i="1"/>
  <c r="D3122" i="1"/>
  <c r="C3123" i="1"/>
  <c r="D3123" i="1"/>
  <c r="C3124" i="1"/>
  <c r="D3124" i="1"/>
  <c r="C3125" i="1"/>
  <c r="D3125" i="1"/>
  <c r="C3126" i="1"/>
  <c r="D3126" i="1"/>
  <c r="C3127" i="1"/>
  <c r="D3127" i="1"/>
  <c r="C3128" i="1"/>
  <c r="D3128" i="1"/>
  <c r="C3129" i="1"/>
  <c r="D3129" i="1"/>
  <c r="C3130" i="1"/>
  <c r="D3130" i="1"/>
  <c r="C3131" i="1"/>
  <c r="D3131" i="1"/>
  <c r="C3132" i="1"/>
  <c r="D3132" i="1"/>
  <c r="C3133" i="1"/>
  <c r="D3133" i="1"/>
  <c r="C3134" i="1"/>
  <c r="D3134" i="1"/>
  <c r="C3135" i="1"/>
  <c r="D3135" i="1"/>
  <c r="C3136" i="1"/>
  <c r="D3136" i="1"/>
  <c r="C3137" i="1"/>
  <c r="D3137" i="1"/>
  <c r="C3138" i="1"/>
  <c r="D3138" i="1"/>
  <c r="C3139" i="1"/>
  <c r="D3139" i="1"/>
  <c r="C3140" i="1"/>
  <c r="D3140" i="1"/>
  <c r="C3141" i="1"/>
  <c r="D3141" i="1"/>
  <c r="C3142" i="1"/>
  <c r="D3142" i="1"/>
  <c r="C3143" i="1"/>
  <c r="D3143" i="1"/>
  <c r="C3144" i="1"/>
  <c r="D3144" i="1"/>
  <c r="C3145" i="1"/>
  <c r="D3145" i="1"/>
  <c r="C3146" i="1"/>
  <c r="D3146" i="1"/>
  <c r="C3147" i="1"/>
  <c r="D3147" i="1"/>
  <c r="C3148" i="1"/>
  <c r="D3148" i="1"/>
  <c r="C3149" i="1"/>
  <c r="D3149" i="1"/>
  <c r="C3150" i="1"/>
  <c r="D3150" i="1"/>
  <c r="C3151" i="1"/>
  <c r="D3151" i="1"/>
  <c r="C3152" i="1"/>
  <c r="D3152" i="1"/>
  <c r="C3153" i="1"/>
  <c r="D3153" i="1"/>
  <c r="C3154" i="1"/>
  <c r="D3154" i="1"/>
  <c r="C3155" i="1"/>
  <c r="D3155" i="1"/>
  <c r="C3156" i="1"/>
  <c r="D3156" i="1"/>
  <c r="C3157" i="1"/>
  <c r="D3157" i="1"/>
  <c r="C3158" i="1"/>
  <c r="D3158" i="1"/>
  <c r="C3159" i="1"/>
  <c r="D3159" i="1"/>
  <c r="C3160" i="1"/>
  <c r="D3160" i="1"/>
  <c r="C3161" i="1"/>
  <c r="D3161" i="1"/>
  <c r="C3162" i="1"/>
  <c r="D3162" i="1"/>
  <c r="C3163" i="1"/>
  <c r="D3163" i="1"/>
  <c r="C3164" i="1"/>
  <c r="D3164" i="1"/>
  <c r="C3165" i="1"/>
  <c r="D3165" i="1"/>
  <c r="C3166" i="1"/>
  <c r="D3166" i="1"/>
  <c r="C3167" i="1"/>
  <c r="D3167" i="1"/>
  <c r="C3168" i="1"/>
  <c r="D3168" i="1"/>
  <c r="C3169" i="1"/>
  <c r="D3169" i="1"/>
  <c r="C3170" i="1"/>
  <c r="D3170" i="1"/>
  <c r="C3171" i="1"/>
  <c r="D3171" i="1"/>
  <c r="C3172" i="1"/>
  <c r="D3172" i="1"/>
  <c r="C3173" i="1"/>
  <c r="D3173" i="1"/>
  <c r="C3174" i="1"/>
  <c r="D3174" i="1"/>
  <c r="C3175" i="1"/>
  <c r="D3175" i="1"/>
  <c r="C3176" i="1"/>
  <c r="D3176" i="1"/>
  <c r="C3177" i="1"/>
  <c r="D3177" i="1"/>
  <c r="C3178" i="1"/>
  <c r="D3178" i="1"/>
  <c r="C3179" i="1"/>
  <c r="D3179" i="1"/>
  <c r="C3180" i="1"/>
  <c r="D3180" i="1"/>
  <c r="C3181" i="1"/>
  <c r="D3181" i="1"/>
  <c r="C3182" i="1"/>
  <c r="D3182" i="1"/>
  <c r="C3183" i="1"/>
  <c r="D3183" i="1"/>
  <c r="C3184" i="1"/>
  <c r="D3184" i="1"/>
  <c r="C3185" i="1"/>
  <c r="D3185" i="1"/>
  <c r="C3186" i="1"/>
  <c r="D3186" i="1"/>
  <c r="C3187" i="1"/>
  <c r="D3187" i="1"/>
  <c r="C3188" i="1"/>
  <c r="D3188" i="1"/>
  <c r="C3189" i="1"/>
  <c r="D3189" i="1"/>
  <c r="C3190" i="1"/>
  <c r="D3190" i="1"/>
  <c r="C3191" i="1"/>
  <c r="D3191" i="1"/>
  <c r="C3192" i="1"/>
  <c r="D3192" i="1"/>
  <c r="C3193" i="1"/>
  <c r="D3193" i="1"/>
  <c r="C3194" i="1"/>
  <c r="D3194" i="1"/>
  <c r="C3195" i="1"/>
  <c r="D3195" i="1"/>
  <c r="C3196" i="1"/>
  <c r="D3196" i="1"/>
  <c r="C3197" i="1"/>
  <c r="D3197" i="1"/>
  <c r="C3198" i="1"/>
  <c r="D3198" i="1"/>
  <c r="C3199" i="1"/>
  <c r="D3199" i="1"/>
  <c r="C3200" i="1"/>
  <c r="D3200" i="1"/>
  <c r="C3201" i="1"/>
  <c r="D3201" i="1"/>
  <c r="C3202" i="1"/>
  <c r="D3202" i="1"/>
  <c r="C3203" i="1"/>
  <c r="D3203" i="1"/>
  <c r="C3204" i="1"/>
  <c r="D3204" i="1"/>
  <c r="C3205" i="1"/>
  <c r="D3205" i="1"/>
  <c r="C3206" i="1"/>
  <c r="D3206" i="1"/>
  <c r="C3207" i="1"/>
  <c r="D3207" i="1"/>
  <c r="C3208" i="1"/>
  <c r="D3208" i="1"/>
  <c r="C3209" i="1"/>
  <c r="D3209" i="1"/>
  <c r="C3210" i="1"/>
  <c r="D3210" i="1"/>
  <c r="C3211" i="1"/>
  <c r="D3211" i="1"/>
  <c r="C3212" i="1"/>
  <c r="D3212" i="1"/>
  <c r="C3213" i="1"/>
  <c r="D3213" i="1"/>
  <c r="C3214" i="1"/>
  <c r="D3214" i="1"/>
  <c r="C3215" i="1"/>
  <c r="D3215" i="1"/>
  <c r="C3216" i="1"/>
  <c r="D3216" i="1"/>
  <c r="C3217" i="1"/>
  <c r="D3217" i="1"/>
  <c r="C3218" i="1"/>
  <c r="D3218" i="1"/>
  <c r="C3219" i="1"/>
  <c r="D3219" i="1"/>
  <c r="C3220" i="1"/>
  <c r="D3220" i="1"/>
  <c r="C3221" i="1"/>
  <c r="D3221" i="1"/>
  <c r="C3222" i="1"/>
  <c r="D3222" i="1"/>
  <c r="C3223" i="1"/>
  <c r="D3223" i="1"/>
  <c r="C3224" i="1"/>
  <c r="D3224" i="1"/>
  <c r="C3225" i="1"/>
  <c r="D3225" i="1"/>
  <c r="C3226" i="1"/>
  <c r="D3226" i="1"/>
  <c r="C3227" i="1"/>
  <c r="D3227" i="1"/>
  <c r="C3228" i="1"/>
  <c r="D3228" i="1"/>
  <c r="C3229" i="1"/>
  <c r="D3229" i="1"/>
  <c r="C3230" i="1"/>
  <c r="D3230" i="1"/>
  <c r="C3231" i="1"/>
  <c r="D3231" i="1"/>
  <c r="C3232" i="1"/>
  <c r="D3232" i="1"/>
  <c r="C3233" i="1"/>
  <c r="D3233" i="1"/>
  <c r="C3234" i="1"/>
  <c r="D3234" i="1"/>
  <c r="C3235" i="1"/>
  <c r="D3235" i="1"/>
  <c r="C3236" i="1"/>
  <c r="D3236" i="1"/>
  <c r="C3237" i="1"/>
  <c r="D3237" i="1"/>
  <c r="C3238" i="1"/>
  <c r="D3238" i="1"/>
  <c r="C3239" i="1"/>
  <c r="D3239" i="1"/>
  <c r="C3240" i="1"/>
  <c r="D3240" i="1"/>
  <c r="C3241" i="1"/>
  <c r="D3241" i="1"/>
  <c r="C3242" i="1"/>
  <c r="D3242" i="1"/>
  <c r="C3243" i="1"/>
  <c r="D3243" i="1"/>
  <c r="C3244" i="1"/>
  <c r="D3244" i="1"/>
  <c r="C3245" i="1"/>
  <c r="D3245" i="1"/>
  <c r="C3246" i="1"/>
  <c r="D3246" i="1"/>
  <c r="C3247" i="1"/>
  <c r="D3247" i="1"/>
  <c r="C3248" i="1"/>
  <c r="D3248" i="1"/>
  <c r="C3249" i="1"/>
  <c r="D3249" i="1"/>
  <c r="C3250" i="1"/>
  <c r="D3250" i="1"/>
  <c r="C3251" i="1"/>
  <c r="D3251" i="1"/>
  <c r="C3252" i="1"/>
  <c r="D3252" i="1"/>
  <c r="C3253" i="1"/>
  <c r="D3253" i="1"/>
  <c r="C3254" i="1"/>
  <c r="D3254" i="1"/>
  <c r="C3255" i="1"/>
  <c r="D3255" i="1"/>
  <c r="C3256" i="1"/>
  <c r="D3256" i="1"/>
  <c r="C3257" i="1"/>
  <c r="D3257" i="1"/>
  <c r="C3258" i="1"/>
  <c r="D3258" i="1"/>
  <c r="C3259" i="1"/>
  <c r="D3259" i="1"/>
  <c r="C3260" i="1"/>
  <c r="D3260" i="1"/>
  <c r="C3261" i="1"/>
  <c r="D3261" i="1"/>
  <c r="C3262" i="1"/>
  <c r="D3262" i="1"/>
  <c r="C3263" i="1"/>
  <c r="D3263" i="1"/>
  <c r="C3264" i="1"/>
  <c r="D3264" i="1"/>
  <c r="C3265" i="1"/>
  <c r="D3265" i="1"/>
  <c r="C3266" i="1"/>
  <c r="D3266" i="1"/>
  <c r="C3267" i="1"/>
  <c r="D3267" i="1"/>
  <c r="C3268" i="1"/>
  <c r="D3268" i="1"/>
  <c r="C3269" i="1"/>
  <c r="D3269" i="1"/>
  <c r="C3270" i="1"/>
  <c r="D3270" i="1"/>
  <c r="C3271" i="1"/>
  <c r="D3271" i="1"/>
  <c r="C3272" i="1"/>
  <c r="D3272" i="1"/>
  <c r="C3273" i="1"/>
  <c r="D3273" i="1"/>
  <c r="C3274" i="1"/>
  <c r="D3274" i="1"/>
  <c r="C3275" i="1"/>
  <c r="D3275" i="1"/>
  <c r="C3276" i="1"/>
  <c r="D3276" i="1"/>
  <c r="C3277" i="1"/>
  <c r="D3277" i="1"/>
  <c r="C3278" i="1"/>
  <c r="D3278" i="1"/>
  <c r="C3279" i="1"/>
  <c r="D3279" i="1"/>
  <c r="C3280" i="1"/>
  <c r="D3280" i="1"/>
  <c r="C3281" i="1"/>
  <c r="D3281" i="1"/>
  <c r="C3282" i="1"/>
  <c r="D3282" i="1"/>
  <c r="C3283" i="1"/>
  <c r="D3283" i="1"/>
  <c r="C3284" i="1"/>
  <c r="D3284" i="1"/>
  <c r="C3285" i="1"/>
  <c r="D3285" i="1"/>
  <c r="C3286" i="1"/>
  <c r="D3286" i="1"/>
  <c r="C3287" i="1"/>
  <c r="D3287" i="1"/>
  <c r="C3288" i="1"/>
  <c r="D3288" i="1"/>
  <c r="C3289" i="1"/>
  <c r="D3289" i="1"/>
  <c r="C3290" i="1"/>
  <c r="D3290" i="1"/>
  <c r="C3291" i="1"/>
  <c r="D3291" i="1"/>
  <c r="C3292" i="1"/>
  <c r="D3292" i="1"/>
  <c r="C3293" i="1"/>
  <c r="D3293" i="1"/>
  <c r="C3294" i="1"/>
  <c r="D3294" i="1"/>
  <c r="C3295" i="1"/>
  <c r="D3295" i="1"/>
  <c r="C3296" i="1"/>
  <c r="D3296" i="1"/>
  <c r="C3297" i="1"/>
  <c r="D3297" i="1"/>
  <c r="C3298" i="1"/>
  <c r="D3298" i="1"/>
  <c r="C3299" i="1"/>
  <c r="D3299" i="1"/>
  <c r="C3300" i="1"/>
  <c r="D3300" i="1"/>
  <c r="C3301" i="1"/>
  <c r="D3301" i="1"/>
  <c r="C3302" i="1"/>
  <c r="D3302" i="1"/>
  <c r="C3303" i="1"/>
  <c r="D3303" i="1"/>
  <c r="C3304" i="1"/>
  <c r="D3304" i="1"/>
  <c r="C3305" i="1"/>
  <c r="D3305" i="1"/>
  <c r="C3306" i="1"/>
  <c r="D3306" i="1"/>
  <c r="C3307" i="1"/>
  <c r="D3307" i="1"/>
  <c r="C3308" i="1"/>
  <c r="D3308" i="1"/>
  <c r="C3309" i="1"/>
  <c r="D3309" i="1"/>
  <c r="C3310" i="1"/>
  <c r="D3310" i="1"/>
  <c r="C3311" i="1"/>
  <c r="D3311" i="1"/>
  <c r="C3312" i="1"/>
  <c r="D3312" i="1"/>
  <c r="C3313" i="1"/>
  <c r="D3313" i="1"/>
  <c r="C3314" i="1"/>
  <c r="D3314" i="1"/>
  <c r="C3315" i="1"/>
  <c r="D3315" i="1"/>
  <c r="C3316" i="1"/>
  <c r="D3316" i="1"/>
  <c r="C3317" i="1"/>
  <c r="D3317" i="1"/>
  <c r="C3318" i="1"/>
  <c r="D3318" i="1"/>
  <c r="C3319" i="1"/>
  <c r="D3319" i="1"/>
  <c r="C3320" i="1"/>
  <c r="D3320" i="1"/>
  <c r="C3321" i="1"/>
  <c r="D3321" i="1"/>
  <c r="C3322" i="1"/>
  <c r="D3322" i="1"/>
  <c r="C3323" i="1"/>
  <c r="D3323" i="1"/>
  <c r="C3324" i="1"/>
  <c r="D3324" i="1"/>
  <c r="C3325" i="1"/>
  <c r="D3325" i="1"/>
  <c r="C3326" i="1"/>
  <c r="D3326" i="1"/>
  <c r="C3327" i="1"/>
  <c r="D3327" i="1"/>
  <c r="C3328" i="1"/>
  <c r="D3328" i="1"/>
  <c r="C3329" i="1"/>
  <c r="D3329" i="1"/>
  <c r="C3330" i="1"/>
  <c r="D3330" i="1"/>
  <c r="C3331" i="1"/>
  <c r="D3331" i="1"/>
  <c r="C3332" i="1"/>
  <c r="D3332" i="1"/>
  <c r="C3333" i="1"/>
  <c r="D3333" i="1"/>
  <c r="C3334" i="1"/>
  <c r="D3334" i="1"/>
  <c r="C3335" i="1"/>
  <c r="D3335" i="1"/>
  <c r="C3336" i="1"/>
  <c r="D3336" i="1"/>
  <c r="C3337" i="1"/>
  <c r="D3337" i="1"/>
  <c r="C3338" i="1"/>
  <c r="D3338" i="1"/>
  <c r="C3339" i="1"/>
  <c r="D3339" i="1"/>
  <c r="C3340" i="1"/>
  <c r="D3340" i="1"/>
  <c r="C3341" i="1"/>
  <c r="D3341" i="1"/>
  <c r="C3342" i="1"/>
  <c r="D3342" i="1"/>
  <c r="C3343" i="1"/>
  <c r="D3343" i="1"/>
  <c r="C3344" i="1"/>
  <c r="D3344" i="1"/>
  <c r="C3345" i="1"/>
  <c r="D3345" i="1"/>
  <c r="C3346" i="1"/>
  <c r="D3346" i="1"/>
  <c r="C3347" i="1"/>
  <c r="D3347" i="1"/>
  <c r="C3348" i="1"/>
  <c r="D3348" i="1"/>
  <c r="C3349" i="1"/>
  <c r="D3349" i="1"/>
  <c r="C3350" i="1"/>
  <c r="D3350" i="1"/>
  <c r="C3351" i="1"/>
  <c r="D3351" i="1"/>
  <c r="C3352" i="1"/>
  <c r="D3352" i="1"/>
  <c r="C3353" i="1"/>
  <c r="D3353" i="1"/>
  <c r="C3354" i="1"/>
  <c r="D3354" i="1"/>
  <c r="C3355" i="1"/>
  <c r="D3355" i="1"/>
  <c r="C3356" i="1"/>
  <c r="D3356" i="1"/>
  <c r="C3357" i="1"/>
  <c r="D3357" i="1"/>
  <c r="C3358" i="1"/>
  <c r="D3358" i="1"/>
  <c r="C3359" i="1"/>
  <c r="D3359" i="1"/>
  <c r="C3360" i="1"/>
  <c r="D3360" i="1"/>
  <c r="C3361" i="1"/>
  <c r="D3361" i="1"/>
  <c r="C3362" i="1"/>
  <c r="D3362" i="1"/>
  <c r="C3363" i="1"/>
  <c r="D3363" i="1"/>
  <c r="C3364" i="1"/>
  <c r="D3364" i="1"/>
  <c r="C3365" i="1"/>
  <c r="D3365" i="1"/>
  <c r="C3366" i="1"/>
  <c r="D3366" i="1"/>
  <c r="C3367" i="1"/>
  <c r="D3367" i="1"/>
  <c r="C3368" i="1"/>
  <c r="D3368" i="1"/>
  <c r="C3369" i="1"/>
  <c r="D3369" i="1"/>
  <c r="C3370" i="1"/>
  <c r="D3370" i="1"/>
  <c r="C3371" i="1"/>
  <c r="D3371" i="1"/>
  <c r="C3372" i="1"/>
  <c r="D3372" i="1"/>
  <c r="C3373" i="1"/>
  <c r="D3373" i="1"/>
  <c r="C3374" i="1"/>
  <c r="D3374" i="1"/>
  <c r="C3375" i="1"/>
  <c r="D3375" i="1"/>
  <c r="C3376" i="1"/>
  <c r="D3376" i="1"/>
  <c r="C3377" i="1"/>
  <c r="D3377" i="1"/>
  <c r="C3378" i="1"/>
  <c r="D3378" i="1"/>
  <c r="C3379" i="1"/>
  <c r="D3379" i="1"/>
  <c r="C3380" i="1"/>
  <c r="D3380" i="1"/>
  <c r="C3381" i="1"/>
  <c r="D3381" i="1"/>
  <c r="C3382" i="1"/>
  <c r="D3382" i="1"/>
  <c r="C3383" i="1"/>
  <c r="D3383" i="1"/>
  <c r="C3384" i="1"/>
  <c r="D3384" i="1"/>
  <c r="C3385" i="1"/>
  <c r="D3385" i="1"/>
  <c r="C3386" i="1"/>
  <c r="D3386" i="1"/>
  <c r="C3387" i="1"/>
  <c r="D3387" i="1"/>
  <c r="C3388" i="1"/>
  <c r="D3388" i="1"/>
  <c r="C3389" i="1"/>
  <c r="D3389" i="1"/>
  <c r="C3390" i="1"/>
  <c r="D3390" i="1"/>
  <c r="C3391" i="1"/>
  <c r="D3391" i="1"/>
  <c r="C3392" i="1"/>
  <c r="D3392" i="1"/>
  <c r="C3393" i="1"/>
  <c r="D3393" i="1"/>
  <c r="C3394" i="1"/>
  <c r="D3394" i="1"/>
  <c r="C3395" i="1"/>
  <c r="D3395" i="1"/>
  <c r="C3396" i="1"/>
  <c r="D3396" i="1"/>
  <c r="C3397" i="1"/>
  <c r="D3397" i="1"/>
  <c r="C3398" i="1"/>
  <c r="D3398" i="1"/>
  <c r="C3399" i="1"/>
  <c r="D3399" i="1"/>
  <c r="C3400" i="1"/>
  <c r="D3400" i="1"/>
  <c r="C3401" i="1"/>
  <c r="D3401" i="1"/>
  <c r="C3402" i="1"/>
  <c r="D3402" i="1"/>
  <c r="C3403" i="1"/>
  <c r="D3403" i="1"/>
  <c r="C3404" i="1"/>
  <c r="D3404" i="1"/>
  <c r="C3405" i="1"/>
  <c r="D3405" i="1"/>
  <c r="C3406" i="1"/>
  <c r="D3406" i="1"/>
  <c r="C3407" i="1"/>
  <c r="D3407" i="1"/>
  <c r="C3408" i="1"/>
  <c r="D3408" i="1"/>
  <c r="C3409" i="1"/>
  <c r="D3409" i="1"/>
  <c r="C3410" i="1"/>
  <c r="D3410" i="1"/>
  <c r="C3411" i="1"/>
  <c r="D3411" i="1"/>
  <c r="C3412" i="1"/>
  <c r="D3412" i="1"/>
  <c r="C3413" i="1"/>
  <c r="D3413" i="1"/>
  <c r="C3414" i="1"/>
  <c r="D3414" i="1"/>
  <c r="C3415" i="1"/>
  <c r="D3415" i="1"/>
  <c r="C3416" i="1"/>
  <c r="D3416" i="1"/>
  <c r="C3417" i="1"/>
  <c r="D3417" i="1"/>
  <c r="C3418" i="1"/>
  <c r="D3418" i="1"/>
  <c r="C3419" i="1"/>
  <c r="D3419" i="1"/>
  <c r="C3420" i="1"/>
  <c r="D3420" i="1"/>
  <c r="C3421" i="1"/>
  <c r="D3421" i="1"/>
  <c r="C3422" i="1"/>
  <c r="D3422" i="1"/>
  <c r="C3423" i="1"/>
  <c r="D3423" i="1"/>
  <c r="C3424" i="1"/>
  <c r="D3424" i="1"/>
  <c r="C3425" i="1"/>
  <c r="D3425" i="1"/>
  <c r="C3426" i="1"/>
  <c r="D3426" i="1"/>
  <c r="C3427" i="1"/>
  <c r="D3427" i="1"/>
  <c r="C3428" i="1"/>
  <c r="D3428" i="1"/>
  <c r="C3429" i="1"/>
  <c r="D3429" i="1"/>
  <c r="C3430" i="1"/>
  <c r="D3430" i="1"/>
  <c r="C3431" i="1"/>
  <c r="D3431" i="1"/>
  <c r="C3432" i="1"/>
  <c r="D3432" i="1"/>
  <c r="C3433" i="1"/>
  <c r="D3433" i="1"/>
  <c r="C3434" i="1"/>
  <c r="D3434" i="1"/>
  <c r="C3435" i="1"/>
  <c r="D3435" i="1"/>
  <c r="C3436" i="1"/>
  <c r="D3436" i="1"/>
  <c r="C3437" i="1"/>
  <c r="D3437" i="1"/>
  <c r="C3438" i="1"/>
  <c r="D3438" i="1"/>
  <c r="C3439" i="1"/>
  <c r="D3439" i="1"/>
  <c r="C3440" i="1"/>
  <c r="D3440" i="1"/>
  <c r="C3441" i="1"/>
  <c r="D3441" i="1"/>
  <c r="C3442" i="1"/>
  <c r="D3442" i="1"/>
  <c r="C3443" i="1"/>
  <c r="D3443" i="1"/>
  <c r="C3444" i="1"/>
  <c r="D3444" i="1"/>
  <c r="C3445" i="1"/>
  <c r="D3445" i="1"/>
  <c r="C3446" i="1"/>
  <c r="D3446" i="1"/>
  <c r="C3447" i="1"/>
  <c r="D3447" i="1"/>
  <c r="C3448" i="1"/>
  <c r="D3448" i="1"/>
  <c r="C3449" i="1"/>
  <c r="D3449" i="1"/>
  <c r="C3450" i="1"/>
  <c r="D3450" i="1"/>
  <c r="C3451" i="1"/>
  <c r="D3451" i="1"/>
  <c r="C3452" i="1"/>
  <c r="D3452" i="1"/>
  <c r="C3453" i="1"/>
  <c r="D3453" i="1"/>
  <c r="C3454" i="1"/>
  <c r="D3454" i="1"/>
  <c r="C3455" i="1"/>
  <c r="D3455" i="1"/>
  <c r="C3456" i="1"/>
  <c r="D3456" i="1"/>
  <c r="C3457" i="1"/>
  <c r="D3457" i="1"/>
  <c r="C3458" i="1"/>
  <c r="D3458" i="1"/>
  <c r="C3459" i="1"/>
  <c r="D3459" i="1"/>
  <c r="C3460" i="1"/>
  <c r="D3460" i="1"/>
  <c r="C3461" i="1"/>
  <c r="D3461" i="1"/>
  <c r="C3462" i="1"/>
  <c r="D3462" i="1"/>
  <c r="C3463" i="1"/>
  <c r="D3463" i="1"/>
  <c r="C3464" i="1"/>
  <c r="D3464" i="1"/>
  <c r="C3465" i="1"/>
  <c r="D3465" i="1"/>
  <c r="C3466" i="1"/>
  <c r="D3466" i="1"/>
  <c r="C3467" i="1"/>
  <c r="D3467" i="1"/>
  <c r="C3468" i="1"/>
  <c r="D3468" i="1"/>
  <c r="C3469" i="1"/>
  <c r="D3469" i="1"/>
  <c r="C3470" i="1"/>
  <c r="D3470" i="1"/>
  <c r="C3471" i="1"/>
  <c r="D3471" i="1"/>
  <c r="C3472" i="1"/>
  <c r="D3472" i="1"/>
  <c r="C3473" i="1"/>
  <c r="D3473" i="1"/>
  <c r="C3474" i="1"/>
  <c r="D3474" i="1"/>
  <c r="C3475" i="1"/>
  <c r="D3475" i="1"/>
  <c r="C3476" i="1"/>
  <c r="D3476" i="1"/>
  <c r="C3477" i="1"/>
  <c r="D3477" i="1"/>
  <c r="C3478" i="1"/>
  <c r="D3478" i="1"/>
  <c r="C3479" i="1"/>
  <c r="D3479" i="1"/>
  <c r="C3480" i="1"/>
  <c r="D3480" i="1"/>
  <c r="C3481" i="1"/>
  <c r="D3481" i="1"/>
  <c r="C3482" i="1"/>
  <c r="D3482" i="1"/>
  <c r="C3483" i="1"/>
  <c r="D3483" i="1"/>
  <c r="C3484" i="1"/>
  <c r="D3484" i="1"/>
  <c r="C3485" i="1"/>
  <c r="D3485" i="1"/>
  <c r="C3486" i="1"/>
  <c r="D3486" i="1"/>
  <c r="C3487" i="1"/>
  <c r="D3487" i="1"/>
  <c r="C3488" i="1"/>
  <c r="D3488" i="1"/>
  <c r="C3489" i="1"/>
  <c r="D3489" i="1"/>
  <c r="C3490" i="1"/>
  <c r="D3490" i="1"/>
  <c r="C3491" i="1"/>
  <c r="D3491" i="1"/>
  <c r="C3492" i="1"/>
  <c r="D3492" i="1"/>
  <c r="C3493" i="1"/>
  <c r="D3493" i="1"/>
  <c r="C3494" i="1"/>
  <c r="D3494" i="1"/>
  <c r="C3495" i="1"/>
  <c r="D3495" i="1"/>
  <c r="C3496" i="1"/>
  <c r="D3496" i="1"/>
  <c r="C3497" i="1"/>
  <c r="D3497" i="1"/>
  <c r="C3498" i="1"/>
  <c r="D3498" i="1"/>
  <c r="C3499" i="1"/>
  <c r="D3499" i="1"/>
  <c r="C3500" i="1"/>
  <c r="D3500" i="1"/>
  <c r="C3501" i="1"/>
  <c r="D3501" i="1"/>
  <c r="C3502" i="1"/>
  <c r="D3502" i="1"/>
  <c r="C3503" i="1"/>
  <c r="D3503" i="1"/>
  <c r="C3504" i="1"/>
  <c r="D3504" i="1"/>
  <c r="C3505" i="1"/>
  <c r="D3505" i="1"/>
  <c r="C3506" i="1"/>
  <c r="D3506" i="1"/>
  <c r="C3507" i="1"/>
  <c r="D3507" i="1"/>
  <c r="C3508" i="1"/>
  <c r="D3508" i="1"/>
  <c r="C3509" i="1"/>
  <c r="D3509" i="1"/>
  <c r="C3510" i="1"/>
  <c r="D3510" i="1"/>
  <c r="C3511" i="1"/>
  <c r="D3511" i="1"/>
  <c r="C3512" i="1"/>
  <c r="D3512" i="1"/>
  <c r="C3513" i="1"/>
  <c r="D3513" i="1"/>
  <c r="C3514" i="1"/>
  <c r="D3514" i="1"/>
  <c r="C3515" i="1"/>
  <c r="D3515" i="1"/>
  <c r="C3516" i="1"/>
  <c r="D3516" i="1"/>
  <c r="C3517" i="1"/>
  <c r="D3517" i="1"/>
  <c r="C3518" i="1"/>
  <c r="D3518" i="1"/>
  <c r="C3519" i="1"/>
  <c r="D3519" i="1"/>
  <c r="C3520" i="1"/>
  <c r="D3520" i="1"/>
  <c r="C3521" i="1"/>
  <c r="D3521" i="1"/>
  <c r="C3522" i="1"/>
  <c r="D3522" i="1"/>
  <c r="C3523" i="1"/>
  <c r="D3523" i="1"/>
  <c r="C3524" i="1"/>
  <c r="D3524" i="1"/>
  <c r="C3525" i="1"/>
  <c r="D3525" i="1"/>
  <c r="C3526" i="1"/>
  <c r="D3526" i="1"/>
  <c r="C3527" i="1"/>
  <c r="D3527" i="1"/>
  <c r="C3528" i="1"/>
  <c r="D3528" i="1"/>
  <c r="C3529" i="1"/>
  <c r="D3529" i="1"/>
  <c r="C3530" i="1"/>
  <c r="D3530" i="1"/>
  <c r="C3531" i="1"/>
  <c r="D3531" i="1"/>
  <c r="C3532" i="1"/>
  <c r="D3532" i="1"/>
  <c r="C3533" i="1"/>
  <c r="D3533" i="1"/>
  <c r="C3534" i="1"/>
  <c r="D3534" i="1"/>
  <c r="C3535" i="1"/>
  <c r="D3535" i="1"/>
  <c r="C3536" i="1"/>
  <c r="D3536" i="1"/>
  <c r="C3537" i="1"/>
  <c r="D3537" i="1"/>
  <c r="C3538" i="1"/>
  <c r="D3538" i="1"/>
  <c r="C3539" i="1"/>
  <c r="D3539" i="1"/>
  <c r="C3540" i="1"/>
  <c r="D3540" i="1"/>
  <c r="C3541" i="1"/>
  <c r="D3541" i="1"/>
  <c r="C3542" i="1"/>
  <c r="D3542" i="1"/>
  <c r="C3543" i="1"/>
  <c r="D3543" i="1"/>
  <c r="C3544" i="1"/>
  <c r="D3544" i="1"/>
  <c r="C3545" i="1"/>
  <c r="D3545" i="1"/>
  <c r="C3546" i="1"/>
  <c r="D3546" i="1"/>
  <c r="C3547" i="1"/>
  <c r="D3547" i="1"/>
  <c r="C3548" i="1"/>
  <c r="D3548" i="1"/>
  <c r="C3549" i="1"/>
  <c r="D3549" i="1"/>
  <c r="C3550" i="1"/>
  <c r="D3550" i="1"/>
  <c r="C3551" i="1"/>
  <c r="D3551" i="1"/>
  <c r="C3552" i="1"/>
  <c r="D3552" i="1"/>
  <c r="C3553" i="1"/>
  <c r="D3553" i="1"/>
  <c r="C3554" i="1"/>
  <c r="D3554" i="1"/>
  <c r="C3555" i="1"/>
  <c r="D3555" i="1"/>
  <c r="C3556" i="1"/>
  <c r="D3556" i="1"/>
  <c r="C3557" i="1"/>
  <c r="D3557" i="1"/>
  <c r="C3558" i="1"/>
  <c r="D3558" i="1"/>
  <c r="C3559" i="1"/>
  <c r="D3559" i="1"/>
  <c r="C3560" i="1"/>
  <c r="D3560" i="1"/>
  <c r="C3561" i="1"/>
  <c r="D3561" i="1"/>
  <c r="C3562" i="1"/>
  <c r="D3562" i="1"/>
  <c r="C3563" i="1"/>
  <c r="D3563" i="1"/>
  <c r="C3564" i="1"/>
  <c r="D3564" i="1"/>
  <c r="C3565" i="1"/>
  <c r="D3565" i="1"/>
  <c r="C3566" i="1"/>
  <c r="D3566" i="1"/>
  <c r="C3567" i="1"/>
  <c r="D3567" i="1"/>
  <c r="C3568" i="1"/>
  <c r="D3568" i="1"/>
  <c r="C3569" i="1"/>
  <c r="D3569" i="1"/>
  <c r="C3570" i="1"/>
  <c r="D3570" i="1"/>
  <c r="C3571" i="1"/>
  <c r="D3571" i="1"/>
  <c r="C3572" i="1"/>
  <c r="D3572" i="1"/>
  <c r="C3573" i="1"/>
  <c r="D3573" i="1"/>
  <c r="C3574" i="1"/>
  <c r="D3574" i="1"/>
  <c r="C3575" i="1"/>
  <c r="D3575" i="1"/>
  <c r="C3576" i="1"/>
  <c r="D3576" i="1"/>
  <c r="C3577" i="1"/>
  <c r="D3577" i="1"/>
  <c r="C3578" i="1"/>
  <c r="D3578" i="1"/>
  <c r="C3579" i="1"/>
  <c r="D3579" i="1"/>
  <c r="C3580" i="1"/>
  <c r="D3580" i="1"/>
  <c r="C3581" i="1"/>
  <c r="D3581" i="1"/>
  <c r="C3582" i="1"/>
  <c r="D3582" i="1"/>
  <c r="C3583" i="1"/>
  <c r="D3583" i="1"/>
  <c r="C3584" i="1"/>
  <c r="D3584" i="1"/>
  <c r="C3585" i="1"/>
  <c r="D3585" i="1"/>
  <c r="C3586" i="1"/>
  <c r="D3586" i="1"/>
  <c r="C3587" i="1"/>
  <c r="D3587" i="1"/>
  <c r="C3588" i="1"/>
  <c r="D3588" i="1"/>
  <c r="C3589" i="1"/>
  <c r="D3589" i="1"/>
  <c r="C3590" i="1"/>
  <c r="D3590" i="1"/>
  <c r="C3591" i="1"/>
  <c r="D3591" i="1"/>
  <c r="C3592" i="1"/>
  <c r="D3592" i="1"/>
  <c r="C3593" i="1"/>
  <c r="D3593" i="1"/>
  <c r="C3594" i="1"/>
  <c r="D3594" i="1"/>
  <c r="C3595" i="1"/>
  <c r="D3595" i="1"/>
  <c r="C3596" i="1"/>
  <c r="D3596" i="1"/>
  <c r="C3597" i="1"/>
  <c r="D3597" i="1"/>
  <c r="C3598" i="1"/>
  <c r="D3598" i="1"/>
  <c r="C3599" i="1"/>
  <c r="D3599" i="1"/>
  <c r="C3600" i="1"/>
  <c r="D3600" i="1"/>
  <c r="C3601" i="1"/>
  <c r="D3601" i="1"/>
  <c r="C3602" i="1"/>
  <c r="D3602" i="1"/>
  <c r="C3603" i="1"/>
  <c r="D3603" i="1"/>
  <c r="C3604" i="1"/>
  <c r="D3604" i="1"/>
  <c r="C3605" i="1"/>
  <c r="D3605" i="1"/>
  <c r="C3606" i="1"/>
  <c r="D3606" i="1"/>
  <c r="C3607" i="1"/>
  <c r="D3607" i="1"/>
  <c r="C3608" i="1"/>
  <c r="D3608" i="1"/>
  <c r="C3609" i="1"/>
  <c r="D3609" i="1"/>
  <c r="C3610" i="1"/>
  <c r="D3610" i="1"/>
  <c r="C3611" i="1"/>
  <c r="D3611" i="1"/>
  <c r="C3612" i="1"/>
  <c r="D3612" i="1"/>
  <c r="C3613" i="1"/>
  <c r="D3613" i="1"/>
  <c r="C3614" i="1"/>
  <c r="D3614" i="1"/>
  <c r="C3615" i="1"/>
  <c r="D3615" i="1"/>
  <c r="C3616" i="1"/>
  <c r="D3616" i="1"/>
  <c r="C3617" i="1"/>
  <c r="D3617" i="1"/>
  <c r="C3618" i="1"/>
  <c r="D3618" i="1"/>
  <c r="C3619" i="1"/>
  <c r="D3619" i="1"/>
  <c r="C3620" i="1"/>
  <c r="D3620" i="1"/>
  <c r="C3621" i="1"/>
  <c r="D3621" i="1"/>
  <c r="C3622" i="1"/>
  <c r="D3622" i="1"/>
  <c r="C3623" i="1"/>
  <c r="D3623" i="1"/>
  <c r="C3624" i="1"/>
  <c r="D3624" i="1"/>
  <c r="C3625" i="1"/>
  <c r="D3625" i="1"/>
  <c r="C3626" i="1"/>
  <c r="D3626" i="1"/>
  <c r="C3627" i="1"/>
  <c r="D3627" i="1"/>
  <c r="C3628" i="1"/>
  <c r="D3628" i="1"/>
  <c r="C3629" i="1"/>
  <c r="D3629" i="1"/>
  <c r="C3630" i="1"/>
  <c r="D3630" i="1"/>
  <c r="C3631" i="1"/>
  <c r="D3631" i="1"/>
  <c r="C3632" i="1"/>
  <c r="D3632" i="1"/>
  <c r="C3633" i="1"/>
  <c r="D3633" i="1"/>
  <c r="C3634" i="1"/>
  <c r="D3634" i="1"/>
  <c r="C3635" i="1"/>
  <c r="D3635" i="1"/>
  <c r="C3636" i="1"/>
  <c r="D3636" i="1"/>
  <c r="C3637" i="1"/>
  <c r="D3637" i="1"/>
  <c r="C3638" i="1"/>
  <c r="D3638" i="1"/>
  <c r="C3639" i="1"/>
  <c r="D3639" i="1"/>
  <c r="C3640" i="1"/>
  <c r="D3640" i="1"/>
  <c r="C3641" i="1"/>
  <c r="D3641" i="1"/>
  <c r="C3642" i="1"/>
  <c r="D3642" i="1"/>
  <c r="C3643" i="1"/>
  <c r="D3643" i="1"/>
  <c r="C3644" i="1"/>
  <c r="D3644" i="1"/>
  <c r="C3645" i="1"/>
  <c r="D3645" i="1"/>
  <c r="C3646" i="1"/>
  <c r="D3646" i="1"/>
  <c r="C3647" i="1"/>
  <c r="D3647" i="1"/>
  <c r="C3648" i="1"/>
  <c r="D3648" i="1"/>
  <c r="C3649" i="1"/>
  <c r="D3649" i="1"/>
  <c r="C3650" i="1"/>
  <c r="D3650" i="1"/>
  <c r="C3651" i="1"/>
  <c r="D3651" i="1"/>
  <c r="C3652" i="1"/>
  <c r="D3652" i="1"/>
  <c r="C3653" i="1"/>
  <c r="D3653" i="1"/>
  <c r="C3654" i="1"/>
  <c r="D3654" i="1"/>
  <c r="C3655" i="1"/>
  <c r="D3655" i="1"/>
  <c r="C3656" i="1"/>
  <c r="D3656" i="1"/>
  <c r="C3657" i="1"/>
  <c r="D3657" i="1"/>
  <c r="C3658" i="1"/>
  <c r="D3658" i="1"/>
  <c r="C3659" i="1"/>
  <c r="D3659" i="1"/>
  <c r="C3660" i="1"/>
  <c r="D3660" i="1"/>
  <c r="C3661" i="1"/>
  <c r="D3661" i="1"/>
  <c r="C3662" i="1"/>
  <c r="D3662" i="1"/>
  <c r="C3663" i="1"/>
  <c r="D3663" i="1"/>
  <c r="C3664" i="1"/>
  <c r="D3664" i="1"/>
  <c r="C3665" i="1"/>
  <c r="D3665" i="1"/>
  <c r="C3666" i="1"/>
  <c r="D3666" i="1"/>
  <c r="C3667" i="1"/>
  <c r="D3667" i="1"/>
  <c r="C3668" i="1"/>
  <c r="D3668" i="1"/>
  <c r="C3669" i="1"/>
  <c r="D3669" i="1"/>
  <c r="C3670" i="1"/>
  <c r="D3670" i="1"/>
  <c r="C3671" i="1"/>
  <c r="D3671" i="1"/>
  <c r="C3672" i="1"/>
  <c r="D3672" i="1"/>
  <c r="C3673" i="1"/>
  <c r="D3673" i="1"/>
  <c r="C3674" i="1"/>
  <c r="D3674" i="1"/>
  <c r="C3675" i="1"/>
  <c r="D3675" i="1"/>
  <c r="C3676" i="1"/>
  <c r="D3676" i="1"/>
  <c r="C3677" i="1"/>
  <c r="D3677" i="1"/>
  <c r="C3678" i="1"/>
  <c r="D3678" i="1"/>
  <c r="C3679" i="1"/>
  <c r="D3679" i="1"/>
  <c r="C3680" i="1"/>
  <c r="D3680" i="1"/>
  <c r="C3681" i="1"/>
  <c r="D3681" i="1"/>
  <c r="C3682" i="1"/>
  <c r="D3682" i="1"/>
  <c r="C3683" i="1"/>
  <c r="D3683" i="1"/>
  <c r="C3684" i="1"/>
  <c r="D3684" i="1"/>
  <c r="C3685" i="1"/>
  <c r="D3685" i="1"/>
  <c r="C3686" i="1"/>
  <c r="D3686" i="1"/>
  <c r="C3687" i="1"/>
  <c r="D3687" i="1"/>
  <c r="C3688" i="1"/>
  <c r="D3688" i="1"/>
  <c r="C3689" i="1"/>
  <c r="D3689" i="1"/>
  <c r="C3690" i="1"/>
  <c r="D3690" i="1"/>
  <c r="C3691" i="1"/>
  <c r="D3691" i="1"/>
  <c r="C3692" i="1"/>
  <c r="D3692" i="1"/>
  <c r="C3693" i="1"/>
  <c r="D3693" i="1"/>
  <c r="C3694" i="1"/>
  <c r="D3694" i="1"/>
  <c r="C3695" i="1"/>
  <c r="D3695" i="1"/>
  <c r="C3696" i="1"/>
  <c r="D3696" i="1"/>
  <c r="C3697" i="1"/>
  <c r="D3697" i="1"/>
  <c r="C3698" i="1"/>
  <c r="D3698" i="1"/>
  <c r="C3699" i="1"/>
  <c r="D3699" i="1"/>
  <c r="C3700" i="1"/>
  <c r="D3700" i="1"/>
  <c r="C3701" i="1"/>
  <c r="D3701" i="1"/>
  <c r="C3702" i="1"/>
  <c r="D3702" i="1"/>
  <c r="C3703" i="1"/>
  <c r="D3703" i="1"/>
  <c r="C3704" i="1"/>
  <c r="D3704" i="1"/>
  <c r="C3705" i="1"/>
  <c r="D3705" i="1"/>
  <c r="C3706" i="1"/>
  <c r="D3706" i="1"/>
  <c r="C3707" i="1"/>
  <c r="D3707" i="1"/>
  <c r="C3708" i="1"/>
  <c r="D3708" i="1"/>
  <c r="C3709" i="1"/>
  <c r="D3709" i="1"/>
  <c r="C3710" i="1"/>
  <c r="D3710" i="1"/>
  <c r="C3711" i="1"/>
  <c r="D3711" i="1"/>
  <c r="C3712" i="1"/>
  <c r="D3712" i="1"/>
  <c r="C3713" i="1"/>
  <c r="D3713" i="1"/>
  <c r="C3714" i="1"/>
  <c r="D3714" i="1"/>
  <c r="C3715" i="1"/>
  <c r="D3715" i="1"/>
  <c r="C3716" i="1"/>
  <c r="D3716" i="1"/>
  <c r="C3717" i="1"/>
  <c r="D3717" i="1"/>
  <c r="C3718" i="1"/>
  <c r="D3718" i="1"/>
  <c r="C3719" i="1"/>
  <c r="D3719" i="1"/>
  <c r="C3720" i="1"/>
  <c r="D3720" i="1"/>
  <c r="C3721" i="1"/>
  <c r="D3721" i="1"/>
  <c r="C3722" i="1"/>
  <c r="D3722" i="1"/>
  <c r="C3723" i="1"/>
  <c r="D3723" i="1"/>
  <c r="C3724" i="1"/>
  <c r="D3724" i="1"/>
  <c r="C3725" i="1"/>
  <c r="D3725" i="1"/>
  <c r="C3726" i="1"/>
  <c r="D3726" i="1"/>
  <c r="C3727" i="1"/>
  <c r="D3727" i="1"/>
  <c r="C3728" i="1"/>
  <c r="D3728" i="1"/>
  <c r="C3729" i="1"/>
  <c r="D3729" i="1"/>
  <c r="C3730" i="1"/>
  <c r="D3730" i="1"/>
  <c r="C3731" i="1"/>
  <c r="D3731" i="1"/>
  <c r="C3732" i="1"/>
  <c r="D3732" i="1"/>
  <c r="C3733" i="1"/>
  <c r="D3733" i="1"/>
  <c r="C3734" i="1"/>
  <c r="D3734" i="1"/>
  <c r="C3735" i="1"/>
  <c r="D3735" i="1"/>
  <c r="C3736" i="1"/>
  <c r="D3736" i="1"/>
  <c r="C3737" i="1"/>
  <c r="D3737" i="1"/>
  <c r="C3738" i="1"/>
  <c r="D3738" i="1"/>
  <c r="C3739" i="1"/>
  <c r="D3739" i="1"/>
  <c r="C3740" i="1"/>
  <c r="D3740" i="1"/>
  <c r="C3741" i="1"/>
  <c r="D3741" i="1"/>
  <c r="C3742" i="1"/>
  <c r="D3742" i="1"/>
  <c r="C3743" i="1"/>
  <c r="D3743" i="1"/>
  <c r="C3744" i="1"/>
  <c r="D3744" i="1"/>
  <c r="C3745" i="1"/>
  <c r="D3745" i="1"/>
  <c r="C3746" i="1"/>
  <c r="D3746" i="1"/>
  <c r="C3747" i="1"/>
  <c r="D3747" i="1"/>
  <c r="C3748" i="1"/>
  <c r="D3748" i="1"/>
  <c r="C3749" i="1"/>
  <c r="D3749" i="1"/>
  <c r="C3750" i="1"/>
  <c r="D3750" i="1"/>
  <c r="C3751" i="1"/>
  <c r="D3751" i="1"/>
  <c r="C3752" i="1"/>
  <c r="D3752" i="1"/>
  <c r="C3753" i="1"/>
  <c r="D3753" i="1"/>
  <c r="C3754" i="1"/>
  <c r="D3754" i="1"/>
  <c r="C3755" i="1"/>
  <c r="D3755" i="1"/>
  <c r="C3756" i="1"/>
  <c r="D3756" i="1"/>
  <c r="C3757" i="1"/>
  <c r="D3757" i="1"/>
  <c r="C3758" i="1"/>
  <c r="D3758" i="1"/>
  <c r="C3759" i="1"/>
  <c r="D3759" i="1"/>
  <c r="C3760" i="1"/>
  <c r="D3760" i="1"/>
  <c r="C3761" i="1"/>
  <c r="D3761" i="1"/>
  <c r="C3762" i="1"/>
  <c r="D3762" i="1"/>
  <c r="C3763" i="1"/>
  <c r="D3763" i="1"/>
  <c r="C3764" i="1"/>
  <c r="D3764" i="1"/>
  <c r="C3765" i="1"/>
  <c r="D3765" i="1"/>
  <c r="C3766" i="1"/>
  <c r="D3766" i="1"/>
  <c r="C3767" i="1"/>
  <c r="D3767" i="1"/>
  <c r="C3768" i="1"/>
  <c r="D3768" i="1"/>
  <c r="C3769" i="1"/>
  <c r="D3769" i="1"/>
  <c r="C3770" i="1"/>
  <c r="D3770" i="1"/>
  <c r="C3771" i="1"/>
  <c r="D3771" i="1"/>
  <c r="C3772" i="1"/>
  <c r="D3772" i="1"/>
  <c r="C3773" i="1"/>
  <c r="D3773" i="1"/>
  <c r="C3774" i="1"/>
  <c r="D3774" i="1"/>
  <c r="C3775" i="1"/>
  <c r="D3775" i="1"/>
  <c r="C3776" i="1"/>
  <c r="D3776" i="1"/>
  <c r="C3777" i="1"/>
  <c r="D3777" i="1"/>
  <c r="C3778" i="1"/>
  <c r="D3778" i="1"/>
  <c r="C3779" i="1"/>
  <c r="D3779" i="1"/>
  <c r="C3780" i="1"/>
  <c r="D3780" i="1"/>
  <c r="C3781" i="1"/>
  <c r="D3781" i="1"/>
  <c r="C3782" i="1"/>
  <c r="D3782" i="1"/>
  <c r="C3783" i="1"/>
  <c r="D3783" i="1"/>
  <c r="C3784" i="1"/>
  <c r="D3784" i="1"/>
  <c r="C3785" i="1"/>
  <c r="D3785" i="1"/>
  <c r="C3786" i="1"/>
  <c r="D3786" i="1"/>
  <c r="C3787" i="1"/>
  <c r="D3787" i="1"/>
  <c r="C3788" i="1"/>
  <c r="D3788" i="1"/>
  <c r="C3789" i="1"/>
  <c r="D3789" i="1"/>
  <c r="C3790" i="1"/>
  <c r="D3790" i="1"/>
  <c r="C3791" i="1"/>
  <c r="D3791" i="1"/>
  <c r="C3792" i="1"/>
  <c r="D3792" i="1"/>
  <c r="C3793" i="1"/>
  <c r="D3793" i="1"/>
  <c r="C3794" i="1"/>
  <c r="D3794" i="1"/>
  <c r="C3795" i="1"/>
  <c r="D3795" i="1"/>
  <c r="C3796" i="1"/>
  <c r="D3796" i="1"/>
  <c r="C3797" i="1"/>
  <c r="D3797" i="1"/>
  <c r="C3798" i="1"/>
  <c r="D3798" i="1"/>
  <c r="C3799" i="1"/>
  <c r="D3799" i="1"/>
  <c r="C3800" i="1"/>
  <c r="D3800" i="1"/>
  <c r="C3801" i="1"/>
  <c r="D3801" i="1"/>
  <c r="C3802" i="1"/>
  <c r="D3802" i="1"/>
  <c r="C3803" i="1"/>
  <c r="D3803" i="1"/>
  <c r="C3804" i="1"/>
  <c r="D3804" i="1"/>
  <c r="C3805" i="1"/>
  <c r="D3805" i="1"/>
  <c r="C3806" i="1"/>
  <c r="D3806" i="1"/>
  <c r="C3807" i="1"/>
  <c r="D3807" i="1"/>
  <c r="C3808" i="1"/>
  <c r="D3808" i="1"/>
  <c r="C3809" i="1"/>
  <c r="D3809" i="1"/>
  <c r="C3810" i="1"/>
  <c r="D3810" i="1"/>
  <c r="C3811" i="1"/>
  <c r="D3811" i="1"/>
  <c r="C3812" i="1"/>
  <c r="D3812" i="1"/>
  <c r="C3813" i="1"/>
  <c r="D3813" i="1"/>
  <c r="C3814" i="1"/>
  <c r="D3814" i="1"/>
  <c r="C3815" i="1"/>
  <c r="D3815" i="1"/>
  <c r="C3816" i="1"/>
  <c r="D3816" i="1"/>
  <c r="C3817" i="1"/>
  <c r="D3817" i="1"/>
  <c r="C3818" i="1"/>
  <c r="D3818" i="1"/>
  <c r="C3819" i="1"/>
  <c r="D3819" i="1"/>
  <c r="C3820" i="1"/>
  <c r="D3820" i="1"/>
  <c r="C3821" i="1"/>
  <c r="D3821" i="1"/>
  <c r="C3822" i="1"/>
  <c r="D3822" i="1"/>
  <c r="C3823" i="1"/>
  <c r="D3823" i="1"/>
  <c r="C3824" i="1"/>
  <c r="D3824" i="1"/>
  <c r="C3825" i="1"/>
  <c r="D3825" i="1"/>
  <c r="C3826" i="1"/>
  <c r="D3826" i="1"/>
  <c r="C3827" i="1"/>
  <c r="D3827" i="1"/>
  <c r="C3828" i="1"/>
  <c r="D3828" i="1"/>
  <c r="C3829" i="1"/>
  <c r="D3829" i="1"/>
  <c r="C3830" i="1"/>
  <c r="D3830" i="1"/>
  <c r="C3831" i="1"/>
  <c r="D3831" i="1"/>
  <c r="C3832" i="1"/>
  <c r="D3832" i="1"/>
  <c r="C3833" i="1"/>
  <c r="D3833" i="1"/>
  <c r="C3834" i="1"/>
  <c r="D3834" i="1"/>
  <c r="C3835" i="1"/>
  <c r="D3835" i="1"/>
  <c r="C3836" i="1"/>
  <c r="D3836" i="1"/>
  <c r="C3837" i="1"/>
  <c r="D3837" i="1"/>
  <c r="C3838" i="1"/>
  <c r="D3838" i="1"/>
  <c r="C3839" i="1"/>
  <c r="D3839" i="1"/>
  <c r="C3840" i="1"/>
  <c r="D3840" i="1"/>
  <c r="C3841" i="1"/>
  <c r="D3841" i="1"/>
  <c r="C3842" i="1"/>
  <c r="D3842" i="1"/>
  <c r="C3843" i="1"/>
  <c r="D3843" i="1"/>
  <c r="C3844" i="1"/>
  <c r="D3844" i="1"/>
  <c r="C3845" i="1"/>
  <c r="D3845" i="1"/>
  <c r="C3846" i="1"/>
  <c r="D3846" i="1"/>
  <c r="C3847" i="1"/>
  <c r="D3847" i="1"/>
  <c r="C3848" i="1"/>
  <c r="D3848" i="1"/>
  <c r="C3849" i="1"/>
  <c r="D3849" i="1"/>
  <c r="C3850" i="1"/>
  <c r="D3850" i="1"/>
  <c r="C3851" i="1"/>
  <c r="D3851" i="1"/>
  <c r="C3852" i="1"/>
  <c r="D3852" i="1"/>
  <c r="C3853" i="1"/>
  <c r="D3853" i="1"/>
  <c r="C3854" i="1"/>
  <c r="D3854" i="1"/>
  <c r="C3855" i="1"/>
  <c r="D3855" i="1"/>
  <c r="C3856" i="1"/>
  <c r="D3856" i="1"/>
  <c r="C3857" i="1"/>
  <c r="D3857" i="1"/>
  <c r="C3858" i="1"/>
  <c r="D3858" i="1"/>
  <c r="C3859" i="1"/>
  <c r="D3859" i="1"/>
  <c r="C3860" i="1"/>
  <c r="D3860" i="1"/>
  <c r="C3861" i="1"/>
  <c r="D3861" i="1"/>
  <c r="C3862" i="1"/>
  <c r="D3862" i="1"/>
  <c r="C3863" i="1"/>
  <c r="D3863" i="1"/>
  <c r="C3864" i="1"/>
  <c r="D3864" i="1"/>
  <c r="C3865" i="1"/>
  <c r="D3865" i="1"/>
  <c r="C3866" i="1"/>
  <c r="D3866" i="1"/>
  <c r="C3867" i="1"/>
  <c r="D3867" i="1"/>
  <c r="C3868" i="1"/>
  <c r="D3868" i="1"/>
  <c r="C3869" i="1"/>
  <c r="D3869" i="1"/>
  <c r="C3870" i="1"/>
  <c r="D3870" i="1"/>
  <c r="C3871" i="1"/>
  <c r="D3871" i="1"/>
  <c r="C3872" i="1"/>
  <c r="D3872" i="1"/>
  <c r="C3873" i="1"/>
  <c r="D3873" i="1"/>
  <c r="C3874" i="1"/>
  <c r="D3874" i="1"/>
  <c r="C3875" i="1"/>
  <c r="D3875" i="1"/>
  <c r="C3876" i="1"/>
  <c r="D3876" i="1"/>
  <c r="C3877" i="1"/>
  <c r="D3877" i="1"/>
  <c r="C3878" i="1"/>
  <c r="D3878" i="1"/>
  <c r="C3879" i="1"/>
  <c r="D3879" i="1"/>
  <c r="C3880" i="1"/>
  <c r="D3880" i="1"/>
  <c r="C3881" i="1"/>
  <c r="D3881" i="1"/>
  <c r="C3882" i="1"/>
  <c r="D3882" i="1"/>
  <c r="C3883" i="1"/>
  <c r="D3883" i="1"/>
  <c r="C3884" i="1"/>
  <c r="D3884" i="1"/>
  <c r="C3885" i="1"/>
  <c r="D3885" i="1"/>
  <c r="C3886" i="1"/>
  <c r="D3886" i="1"/>
  <c r="C3887" i="1"/>
  <c r="D3887" i="1"/>
  <c r="C3888" i="1"/>
  <c r="D3888" i="1"/>
  <c r="C3889" i="1"/>
  <c r="D3889" i="1"/>
  <c r="C3890" i="1"/>
  <c r="D3890" i="1"/>
  <c r="C3891" i="1"/>
  <c r="D3891" i="1"/>
  <c r="C3892" i="1"/>
  <c r="D3892" i="1"/>
  <c r="C3893" i="1"/>
  <c r="D3893" i="1"/>
  <c r="C3894" i="1"/>
  <c r="D3894" i="1"/>
  <c r="C3895" i="1"/>
  <c r="D3895" i="1"/>
  <c r="C3896" i="1"/>
  <c r="D3896" i="1"/>
  <c r="C3897" i="1"/>
  <c r="D3897" i="1"/>
  <c r="C3898" i="1"/>
  <c r="D3898" i="1"/>
  <c r="C3899" i="1"/>
  <c r="D3899" i="1"/>
  <c r="C3900" i="1"/>
  <c r="D3900" i="1"/>
  <c r="C3901" i="1"/>
  <c r="D3901" i="1"/>
  <c r="C3902" i="1"/>
  <c r="D3902" i="1"/>
  <c r="C3903" i="1"/>
  <c r="D3903" i="1"/>
  <c r="C3904" i="1"/>
  <c r="D3904" i="1"/>
  <c r="C3905" i="1"/>
  <c r="D3905" i="1"/>
  <c r="C3906" i="1"/>
  <c r="D3906" i="1"/>
  <c r="C3907" i="1"/>
  <c r="D3907" i="1"/>
  <c r="C3908" i="1"/>
  <c r="D3908" i="1"/>
  <c r="C3909" i="1"/>
  <c r="D3909" i="1"/>
  <c r="C3910" i="1"/>
  <c r="D3910" i="1"/>
  <c r="C3911" i="1"/>
  <c r="D3911" i="1"/>
  <c r="C3912" i="1"/>
  <c r="D3912" i="1"/>
  <c r="C3913" i="1"/>
  <c r="D3913" i="1"/>
  <c r="C3914" i="1"/>
  <c r="D3914" i="1"/>
  <c r="C3915" i="1"/>
  <c r="D3915" i="1"/>
  <c r="C3916" i="1"/>
  <c r="D3916" i="1"/>
  <c r="C3917" i="1"/>
  <c r="D3917" i="1"/>
  <c r="C3918" i="1"/>
  <c r="D3918" i="1"/>
  <c r="C3919" i="1"/>
  <c r="D3919" i="1"/>
  <c r="C3920" i="1"/>
  <c r="D3920" i="1"/>
  <c r="C3921" i="1"/>
  <c r="D3921" i="1"/>
  <c r="C3922" i="1"/>
  <c r="D3922" i="1"/>
  <c r="C3923" i="1"/>
  <c r="D3923" i="1"/>
  <c r="C3924" i="1"/>
  <c r="D3924" i="1"/>
  <c r="C3925" i="1"/>
  <c r="D3925" i="1"/>
  <c r="C3926" i="1"/>
  <c r="D3926" i="1"/>
  <c r="C3927" i="1"/>
  <c r="D3927" i="1"/>
  <c r="C3928" i="1"/>
  <c r="D3928" i="1"/>
  <c r="C3929" i="1"/>
  <c r="D3929" i="1"/>
  <c r="C3930" i="1"/>
  <c r="D3930" i="1"/>
  <c r="C3931" i="1"/>
  <c r="D3931" i="1"/>
  <c r="C3932" i="1"/>
  <c r="D3932" i="1"/>
  <c r="C3933" i="1"/>
  <c r="D3933" i="1"/>
  <c r="C3934" i="1"/>
  <c r="D3934" i="1"/>
  <c r="C3935" i="1"/>
  <c r="D3935" i="1"/>
  <c r="C3936" i="1"/>
  <c r="D3936" i="1"/>
  <c r="C3937" i="1"/>
  <c r="D3937" i="1"/>
  <c r="C3938" i="1"/>
  <c r="D3938" i="1"/>
  <c r="C3939" i="1"/>
  <c r="D3939" i="1"/>
  <c r="C3940" i="1"/>
  <c r="D3940" i="1"/>
  <c r="C3941" i="1"/>
  <c r="D3941" i="1"/>
  <c r="C3942" i="1"/>
  <c r="D3942" i="1"/>
  <c r="C3943" i="1"/>
  <c r="D3943" i="1"/>
  <c r="C3944" i="1"/>
  <c r="D3944" i="1"/>
  <c r="C3945" i="1"/>
  <c r="D3945" i="1"/>
  <c r="C3946" i="1"/>
  <c r="D3946" i="1"/>
  <c r="C3947" i="1"/>
  <c r="D3947" i="1"/>
  <c r="C3948" i="1"/>
  <c r="D3948" i="1"/>
  <c r="C3949" i="1"/>
  <c r="D3949" i="1"/>
  <c r="C3950" i="1"/>
  <c r="D3950" i="1"/>
  <c r="C3951" i="1"/>
  <c r="D3951" i="1"/>
  <c r="C3952" i="1"/>
  <c r="D3952" i="1"/>
  <c r="C3953" i="1"/>
  <c r="D3953" i="1"/>
  <c r="C3954" i="1"/>
  <c r="D3954" i="1"/>
  <c r="C3955" i="1"/>
  <c r="D3955" i="1"/>
  <c r="C3956" i="1"/>
  <c r="D3956" i="1"/>
  <c r="C3957" i="1"/>
  <c r="D3957" i="1"/>
  <c r="C3958" i="1"/>
  <c r="D3958" i="1"/>
  <c r="C3959" i="1"/>
  <c r="D3959" i="1"/>
  <c r="C3960" i="1"/>
  <c r="D3960" i="1"/>
  <c r="C3961" i="1"/>
  <c r="D3961" i="1"/>
  <c r="C3962" i="1"/>
  <c r="D3962" i="1"/>
  <c r="C3963" i="1"/>
  <c r="D3963" i="1"/>
  <c r="C3964" i="1"/>
  <c r="D3964" i="1"/>
  <c r="C3965" i="1"/>
  <c r="D3965" i="1"/>
  <c r="C3966" i="1"/>
  <c r="D3966" i="1"/>
  <c r="C3967" i="1"/>
  <c r="D3967" i="1"/>
  <c r="C3968" i="1"/>
  <c r="D3968" i="1"/>
  <c r="C3969" i="1"/>
  <c r="D3969" i="1"/>
  <c r="C3970" i="1"/>
  <c r="D3970" i="1"/>
  <c r="C3971" i="1"/>
  <c r="D3971" i="1"/>
  <c r="C3972" i="1"/>
  <c r="D3972" i="1"/>
  <c r="C3973" i="1"/>
  <c r="D3973" i="1"/>
  <c r="C3974" i="1"/>
  <c r="D3974" i="1"/>
  <c r="C3975" i="1"/>
  <c r="D3975" i="1"/>
  <c r="C3976" i="1"/>
  <c r="D3976" i="1"/>
  <c r="C3977" i="1"/>
  <c r="D3977" i="1"/>
  <c r="C3978" i="1"/>
  <c r="D3978" i="1"/>
  <c r="C3979" i="1"/>
  <c r="D3979" i="1"/>
  <c r="C3980" i="1"/>
  <c r="D3980" i="1"/>
  <c r="C3981" i="1"/>
  <c r="D3981" i="1"/>
  <c r="C3982" i="1"/>
  <c r="D3982" i="1"/>
  <c r="C3983" i="1"/>
  <c r="D3983" i="1"/>
  <c r="C3984" i="1"/>
  <c r="D3984" i="1"/>
  <c r="C3985" i="1"/>
  <c r="D3985" i="1"/>
  <c r="C3986" i="1"/>
  <c r="D3986" i="1"/>
  <c r="C3987" i="1"/>
  <c r="D3987" i="1"/>
  <c r="C3988" i="1"/>
  <c r="D3988" i="1"/>
  <c r="C3989" i="1"/>
  <c r="D3989" i="1"/>
  <c r="C3990" i="1"/>
  <c r="D3990" i="1"/>
  <c r="C3991" i="1"/>
  <c r="D3991" i="1"/>
  <c r="C3992" i="1"/>
  <c r="D3992" i="1"/>
  <c r="C3993" i="1"/>
  <c r="D3993" i="1"/>
  <c r="C3994" i="1"/>
  <c r="D3994" i="1"/>
  <c r="C3995" i="1"/>
  <c r="D3995" i="1"/>
  <c r="C3996" i="1"/>
  <c r="D3996" i="1"/>
  <c r="C3997" i="1"/>
  <c r="D3997" i="1"/>
  <c r="C3998" i="1"/>
  <c r="D3998" i="1"/>
  <c r="C3999" i="1"/>
  <c r="D3999" i="1"/>
  <c r="C4000" i="1"/>
  <c r="D4000" i="1"/>
  <c r="C4001" i="1"/>
  <c r="D4001" i="1"/>
  <c r="C4002" i="1"/>
  <c r="D4002" i="1"/>
  <c r="C4003" i="1"/>
  <c r="D4003" i="1"/>
  <c r="C4004" i="1"/>
  <c r="D4004" i="1"/>
  <c r="C4005" i="1"/>
  <c r="D4005" i="1"/>
  <c r="C4006" i="1"/>
  <c r="D4006" i="1"/>
  <c r="C4007" i="1"/>
  <c r="D4007" i="1"/>
  <c r="C4008" i="1"/>
  <c r="D4008" i="1"/>
  <c r="C4009" i="1"/>
  <c r="D4009" i="1"/>
  <c r="C4010" i="1"/>
  <c r="D4010" i="1"/>
  <c r="C4011" i="1"/>
  <c r="D4011" i="1"/>
  <c r="C4012" i="1"/>
  <c r="D4012" i="1"/>
  <c r="C4013" i="1"/>
  <c r="D4013" i="1"/>
  <c r="C4014" i="1"/>
  <c r="D4014" i="1"/>
  <c r="C4015" i="1"/>
  <c r="D4015" i="1"/>
  <c r="C4016" i="1"/>
  <c r="D4016" i="1"/>
  <c r="C4017" i="1"/>
  <c r="D4017" i="1"/>
  <c r="C4018" i="1"/>
  <c r="D4018" i="1"/>
  <c r="C4019" i="1"/>
  <c r="D4019" i="1"/>
  <c r="C4020" i="1"/>
  <c r="D4020" i="1"/>
  <c r="C4021" i="1"/>
  <c r="D4021" i="1"/>
  <c r="C4022" i="1"/>
  <c r="D4022" i="1"/>
  <c r="C4023" i="1"/>
  <c r="D4023" i="1"/>
  <c r="C4024" i="1"/>
  <c r="D4024" i="1"/>
  <c r="C4025" i="1"/>
  <c r="D4025" i="1"/>
  <c r="C4026" i="1"/>
  <c r="D4026" i="1"/>
  <c r="C4027" i="1"/>
  <c r="D4027" i="1"/>
  <c r="C4028" i="1"/>
  <c r="D4028" i="1"/>
  <c r="C4029" i="1"/>
  <c r="D4029" i="1"/>
  <c r="C4030" i="1"/>
  <c r="D4030" i="1"/>
  <c r="C4031" i="1"/>
  <c r="D4031" i="1"/>
  <c r="C4032" i="1"/>
  <c r="D4032" i="1"/>
  <c r="C4033" i="1"/>
  <c r="D4033" i="1"/>
  <c r="C4034" i="1"/>
  <c r="D4034" i="1"/>
  <c r="C4035" i="1"/>
  <c r="D4035" i="1"/>
  <c r="C4036" i="1"/>
  <c r="D4036" i="1"/>
  <c r="C4037" i="1"/>
  <c r="D4037" i="1"/>
  <c r="C4038" i="1"/>
  <c r="D4038" i="1"/>
  <c r="C4039" i="1"/>
  <c r="D4039" i="1"/>
  <c r="C4040" i="1"/>
  <c r="D4040" i="1"/>
  <c r="C4041" i="1"/>
  <c r="D4041" i="1"/>
  <c r="C4042" i="1"/>
  <c r="D4042" i="1"/>
  <c r="C4043" i="1"/>
  <c r="D4043" i="1"/>
  <c r="C4044" i="1"/>
  <c r="D4044" i="1"/>
  <c r="C4045" i="1"/>
  <c r="D4045" i="1"/>
  <c r="C4046" i="1"/>
  <c r="D4046" i="1"/>
  <c r="C4047" i="1"/>
  <c r="D4047" i="1"/>
  <c r="C4048" i="1"/>
  <c r="D4048" i="1"/>
  <c r="C4049" i="1"/>
  <c r="D4049" i="1"/>
  <c r="C4050" i="1"/>
  <c r="D4050" i="1"/>
  <c r="C4051" i="1"/>
  <c r="D4051" i="1"/>
  <c r="C4052" i="1"/>
  <c r="D4052" i="1"/>
  <c r="C4053" i="1"/>
  <c r="D4053" i="1"/>
  <c r="C4054" i="1"/>
  <c r="D4054" i="1"/>
  <c r="C4055" i="1"/>
  <c r="D4055" i="1"/>
  <c r="C4056" i="1"/>
  <c r="D4056" i="1"/>
  <c r="C4057" i="1"/>
  <c r="D4057" i="1"/>
  <c r="C4058" i="1"/>
  <c r="D4058" i="1"/>
  <c r="C4059" i="1"/>
  <c r="D4059" i="1"/>
  <c r="C4060" i="1"/>
  <c r="D4060" i="1"/>
  <c r="C4061" i="1"/>
  <c r="D4061" i="1"/>
  <c r="C4062" i="1"/>
  <c r="D4062" i="1"/>
  <c r="C4063" i="1"/>
  <c r="D4063" i="1"/>
  <c r="C4064" i="1"/>
  <c r="D4064" i="1"/>
  <c r="C4065" i="1"/>
  <c r="D4065" i="1"/>
  <c r="C4066" i="1"/>
  <c r="D4066" i="1"/>
  <c r="C4067" i="1"/>
  <c r="D4067" i="1"/>
  <c r="C4068" i="1"/>
  <c r="D4068" i="1"/>
  <c r="C4069" i="1"/>
  <c r="D4069" i="1"/>
  <c r="C4070" i="1"/>
  <c r="D4070" i="1"/>
  <c r="C4071" i="1"/>
  <c r="D4071" i="1"/>
  <c r="C4072" i="1"/>
  <c r="D4072" i="1"/>
  <c r="C4073" i="1"/>
  <c r="D4073" i="1"/>
  <c r="C4074" i="1"/>
  <c r="D4074" i="1"/>
  <c r="C4075" i="1"/>
  <c r="D4075" i="1"/>
  <c r="C4076" i="1"/>
  <c r="D4076" i="1"/>
  <c r="C4077" i="1"/>
  <c r="D4077" i="1"/>
  <c r="C4078" i="1"/>
  <c r="D4078" i="1"/>
  <c r="C4079" i="1"/>
  <c r="D4079" i="1"/>
  <c r="C4080" i="1"/>
  <c r="D4080" i="1"/>
  <c r="C4081" i="1"/>
  <c r="D4081" i="1"/>
  <c r="C4082" i="1"/>
  <c r="D4082" i="1"/>
  <c r="C4083" i="1"/>
  <c r="D4083" i="1"/>
  <c r="C4084" i="1"/>
  <c r="D4084" i="1"/>
  <c r="C4085" i="1"/>
  <c r="D4085" i="1"/>
  <c r="C4086" i="1"/>
  <c r="D4086" i="1"/>
  <c r="C4087" i="1"/>
  <c r="D4087" i="1"/>
  <c r="C4088" i="1"/>
  <c r="D4088" i="1"/>
  <c r="C4089" i="1"/>
  <c r="D4089" i="1"/>
  <c r="C4090" i="1"/>
  <c r="D4090" i="1"/>
  <c r="C4091" i="1"/>
  <c r="D4091" i="1"/>
  <c r="C4092" i="1"/>
  <c r="D4092" i="1"/>
  <c r="C4093" i="1"/>
  <c r="D4093" i="1"/>
  <c r="C4094" i="1"/>
  <c r="D4094" i="1"/>
  <c r="C4095" i="1"/>
  <c r="D4095" i="1"/>
  <c r="C4096" i="1"/>
  <c r="D4096" i="1"/>
  <c r="C4097" i="1"/>
  <c r="D4097" i="1"/>
  <c r="C4098" i="1"/>
  <c r="D4098" i="1"/>
  <c r="C4099" i="1"/>
  <c r="D4099" i="1"/>
  <c r="C4100" i="1"/>
  <c r="D4100" i="1"/>
  <c r="C4101" i="1"/>
  <c r="D4101" i="1"/>
  <c r="C4102" i="1"/>
  <c r="D4102" i="1"/>
  <c r="C4103" i="1"/>
  <c r="D4103" i="1"/>
  <c r="C4104" i="1"/>
  <c r="D4104" i="1"/>
  <c r="C4105" i="1"/>
  <c r="D4105" i="1"/>
  <c r="C4106" i="1"/>
  <c r="D4106" i="1"/>
  <c r="C4107" i="1"/>
  <c r="D4107" i="1"/>
  <c r="C4108" i="1"/>
  <c r="D4108" i="1"/>
  <c r="C4109" i="1"/>
  <c r="D4109" i="1"/>
  <c r="C4110" i="1"/>
  <c r="D4110" i="1"/>
  <c r="C4111" i="1"/>
  <c r="D4111" i="1"/>
  <c r="C4112" i="1"/>
  <c r="D4112" i="1"/>
  <c r="C4113" i="1"/>
  <c r="D4113" i="1"/>
  <c r="C4114" i="1"/>
  <c r="D4114" i="1"/>
  <c r="C4115" i="1"/>
  <c r="D4115" i="1"/>
  <c r="C4116" i="1"/>
  <c r="D4116" i="1"/>
  <c r="C4117" i="1"/>
  <c r="D4117" i="1"/>
  <c r="C4118" i="1"/>
  <c r="D4118" i="1"/>
  <c r="C4119" i="1"/>
  <c r="D4119" i="1"/>
  <c r="C4120" i="1"/>
  <c r="D4120" i="1"/>
  <c r="C4121" i="1"/>
  <c r="D4121" i="1"/>
  <c r="C4122" i="1"/>
  <c r="D4122" i="1"/>
  <c r="C4123" i="1"/>
  <c r="D4123" i="1"/>
  <c r="C4124" i="1"/>
  <c r="D4124" i="1"/>
  <c r="C4125" i="1"/>
  <c r="D4125" i="1"/>
  <c r="C4126" i="1"/>
  <c r="D4126" i="1"/>
  <c r="C4127" i="1"/>
  <c r="D4127" i="1"/>
  <c r="C4128" i="1"/>
  <c r="D4128" i="1"/>
  <c r="C4129" i="1"/>
  <c r="D4129" i="1"/>
  <c r="C4130" i="1"/>
  <c r="D4130" i="1"/>
  <c r="C4131" i="1"/>
  <c r="D4131" i="1"/>
  <c r="C4132" i="1"/>
  <c r="D4132" i="1"/>
  <c r="C4133" i="1"/>
  <c r="D4133" i="1"/>
  <c r="C4134" i="1"/>
  <c r="D4134" i="1"/>
  <c r="C4135" i="1"/>
  <c r="D4135" i="1"/>
  <c r="C4136" i="1"/>
  <c r="D4136" i="1"/>
  <c r="C4137" i="1"/>
  <c r="D4137" i="1"/>
  <c r="C4138" i="1"/>
  <c r="D4138" i="1"/>
  <c r="C4139" i="1"/>
  <c r="D4139" i="1"/>
  <c r="C4140" i="1"/>
  <c r="D4140" i="1"/>
  <c r="C4141" i="1"/>
  <c r="D4141" i="1"/>
  <c r="C4142" i="1"/>
  <c r="D4142" i="1"/>
  <c r="C4143" i="1"/>
  <c r="D4143" i="1"/>
  <c r="C4144" i="1"/>
  <c r="D4144" i="1"/>
  <c r="C4145" i="1"/>
  <c r="D4145" i="1"/>
  <c r="C4146" i="1"/>
  <c r="D4146" i="1"/>
  <c r="C4147" i="1"/>
  <c r="D4147" i="1"/>
  <c r="C4148" i="1"/>
  <c r="D4148" i="1"/>
  <c r="C4149" i="1"/>
  <c r="D4149" i="1"/>
  <c r="C4150" i="1"/>
  <c r="D4150" i="1"/>
  <c r="C4151" i="1"/>
  <c r="D4151" i="1"/>
  <c r="C4152" i="1"/>
  <c r="D4152" i="1"/>
  <c r="C4153" i="1"/>
  <c r="D4153" i="1"/>
  <c r="C4154" i="1"/>
  <c r="D4154" i="1"/>
  <c r="C4155" i="1"/>
  <c r="D4155" i="1"/>
  <c r="C4156" i="1"/>
  <c r="D4156" i="1"/>
  <c r="C4157" i="1"/>
  <c r="D4157" i="1"/>
  <c r="C4158" i="1"/>
  <c r="D4158" i="1"/>
  <c r="C4159" i="1"/>
  <c r="D4159" i="1"/>
  <c r="C4160" i="1"/>
  <c r="D4160" i="1"/>
  <c r="C4161" i="1"/>
  <c r="D4161" i="1"/>
  <c r="C4162" i="1"/>
  <c r="D4162" i="1"/>
  <c r="C4163" i="1"/>
  <c r="D4163" i="1"/>
  <c r="C4164" i="1"/>
  <c r="D4164" i="1"/>
  <c r="C4165" i="1"/>
  <c r="D4165" i="1"/>
  <c r="C4166" i="1"/>
  <c r="D4166" i="1"/>
  <c r="C4167" i="1"/>
  <c r="D4167" i="1"/>
  <c r="C4168" i="1"/>
  <c r="D4168" i="1"/>
  <c r="C4169" i="1"/>
  <c r="D4169" i="1"/>
  <c r="C4170" i="1"/>
  <c r="D4170" i="1"/>
  <c r="C4171" i="1"/>
  <c r="D4171" i="1"/>
  <c r="C4172" i="1"/>
  <c r="D4172" i="1"/>
  <c r="C4173" i="1"/>
  <c r="D4173" i="1"/>
  <c r="C4174" i="1"/>
  <c r="D4174" i="1"/>
  <c r="C4175" i="1"/>
  <c r="D4175" i="1"/>
  <c r="C4176" i="1"/>
  <c r="D4176" i="1"/>
  <c r="C4177" i="1"/>
  <c r="D4177" i="1"/>
  <c r="C4178" i="1"/>
  <c r="D4178" i="1"/>
  <c r="C4179" i="1"/>
  <c r="D4179" i="1"/>
  <c r="C4180" i="1"/>
  <c r="D4180" i="1"/>
  <c r="C4181" i="1"/>
  <c r="D4181" i="1"/>
  <c r="C4182" i="1"/>
  <c r="D4182" i="1"/>
  <c r="C4183" i="1"/>
  <c r="D4183" i="1"/>
  <c r="C4184" i="1"/>
  <c r="D4184" i="1"/>
  <c r="C4185" i="1"/>
  <c r="D4185" i="1"/>
  <c r="C4186" i="1"/>
  <c r="D4186" i="1"/>
  <c r="C4187" i="1"/>
  <c r="D4187" i="1"/>
  <c r="C4188" i="1"/>
  <c r="D4188" i="1"/>
  <c r="C4189" i="1"/>
  <c r="D4189" i="1"/>
  <c r="C4190" i="1"/>
  <c r="D4190" i="1"/>
  <c r="C4191" i="1"/>
  <c r="D4191" i="1"/>
  <c r="C4192" i="1"/>
  <c r="D4192" i="1"/>
  <c r="C4193" i="1"/>
  <c r="D4193" i="1"/>
  <c r="C4194" i="1"/>
  <c r="D4194" i="1"/>
  <c r="C4195" i="1"/>
  <c r="D4195" i="1"/>
  <c r="C4196" i="1"/>
  <c r="D4196" i="1"/>
  <c r="C4197" i="1"/>
  <c r="D4197" i="1"/>
  <c r="C4198" i="1"/>
  <c r="D4198" i="1"/>
  <c r="C4199" i="1"/>
  <c r="D4199" i="1"/>
  <c r="C4200" i="1"/>
  <c r="D4200" i="1"/>
  <c r="C4201" i="1"/>
  <c r="D4201" i="1"/>
  <c r="C4202" i="1"/>
  <c r="D4202" i="1"/>
  <c r="C4203" i="1"/>
  <c r="D4203" i="1"/>
  <c r="C4204" i="1"/>
  <c r="D4204" i="1"/>
  <c r="C4205" i="1"/>
  <c r="D4205" i="1"/>
  <c r="C4206" i="1"/>
  <c r="D4206" i="1"/>
  <c r="C4207" i="1"/>
  <c r="D4207" i="1"/>
  <c r="C4208" i="1"/>
  <c r="D4208" i="1"/>
  <c r="C4209" i="1"/>
  <c r="D4209" i="1"/>
  <c r="C4210" i="1"/>
  <c r="D4210" i="1"/>
  <c r="C4211" i="1"/>
  <c r="D4211" i="1"/>
  <c r="C4212" i="1"/>
  <c r="D4212" i="1"/>
  <c r="C4213" i="1"/>
  <c r="D4213" i="1"/>
  <c r="C4214" i="1"/>
  <c r="D4214" i="1"/>
  <c r="C4215" i="1"/>
  <c r="D4215" i="1"/>
  <c r="C4216" i="1"/>
  <c r="D4216" i="1"/>
  <c r="C4217" i="1"/>
  <c r="D4217" i="1"/>
  <c r="C4218" i="1"/>
  <c r="D4218" i="1"/>
  <c r="C4219" i="1"/>
  <c r="D4219" i="1"/>
  <c r="C4220" i="1"/>
  <c r="D4220" i="1"/>
  <c r="C4221" i="1"/>
  <c r="D4221" i="1"/>
  <c r="C4222" i="1"/>
  <c r="D4222" i="1"/>
  <c r="C4223" i="1"/>
  <c r="D4223" i="1"/>
  <c r="C4224" i="1"/>
  <c r="D4224" i="1"/>
  <c r="C4225" i="1"/>
  <c r="D4225" i="1"/>
  <c r="C4226" i="1"/>
  <c r="D4226" i="1"/>
  <c r="C4227" i="1"/>
  <c r="D4227" i="1"/>
  <c r="C4228" i="1"/>
  <c r="D4228" i="1"/>
  <c r="C4229" i="1"/>
  <c r="D4229" i="1"/>
  <c r="C4230" i="1"/>
  <c r="D4230" i="1"/>
  <c r="C4231" i="1"/>
  <c r="D4231" i="1"/>
  <c r="C4232" i="1"/>
  <c r="D4232" i="1"/>
  <c r="C4233" i="1"/>
  <c r="D4233" i="1"/>
  <c r="C4234" i="1"/>
  <c r="D4234" i="1"/>
  <c r="C4235" i="1"/>
  <c r="D4235" i="1"/>
  <c r="C4236" i="1"/>
  <c r="D4236" i="1"/>
  <c r="C4237" i="1"/>
  <c r="D4237" i="1"/>
  <c r="C4238" i="1"/>
  <c r="D4238" i="1"/>
  <c r="C4239" i="1"/>
  <c r="D4239" i="1"/>
  <c r="C4240" i="1"/>
  <c r="D4240" i="1"/>
  <c r="C4241" i="1"/>
  <c r="D4241" i="1"/>
  <c r="C4242" i="1"/>
  <c r="D4242" i="1"/>
  <c r="C4243" i="1"/>
  <c r="D4243" i="1"/>
  <c r="C4244" i="1"/>
  <c r="D4244" i="1"/>
  <c r="C4245" i="1"/>
  <c r="D4245" i="1"/>
  <c r="C4246" i="1"/>
  <c r="D4246" i="1"/>
  <c r="C4247" i="1"/>
  <c r="D4247" i="1"/>
  <c r="C4248" i="1"/>
  <c r="D4248" i="1"/>
  <c r="C4249" i="1"/>
  <c r="D4249" i="1"/>
  <c r="C4250" i="1"/>
  <c r="D4250" i="1"/>
  <c r="C4251" i="1"/>
  <c r="D4251" i="1"/>
  <c r="C4252" i="1"/>
  <c r="D4252" i="1"/>
  <c r="C4253" i="1"/>
  <c r="D4253" i="1"/>
  <c r="C4254" i="1"/>
  <c r="D4254" i="1"/>
  <c r="C4255" i="1"/>
  <c r="D4255" i="1"/>
  <c r="C4256" i="1"/>
  <c r="D4256" i="1"/>
  <c r="C4257" i="1"/>
  <c r="D4257" i="1"/>
  <c r="C4258" i="1"/>
  <c r="D4258" i="1"/>
  <c r="C4259" i="1"/>
  <c r="D4259" i="1"/>
  <c r="C4260" i="1"/>
  <c r="D4260" i="1"/>
  <c r="C4261" i="1"/>
  <c r="D4261" i="1"/>
  <c r="C4262" i="1"/>
  <c r="D4262" i="1"/>
  <c r="C4263" i="1"/>
  <c r="D4263" i="1"/>
  <c r="C4264" i="1"/>
  <c r="D4264" i="1"/>
  <c r="C4265" i="1"/>
  <c r="D4265" i="1"/>
  <c r="C4266" i="1"/>
  <c r="D4266" i="1"/>
  <c r="C4267" i="1"/>
  <c r="D4267" i="1"/>
  <c r="C4268" i="1"/>
  <c r="D4268" i="1"/>
  <c r="C4269" i="1"/>
  <c r="D4269" i="1"/>
  <c r="C4270" i="1"/>
  <c r="D4270" i="1"/>
  <c r="C4271" i="1"/>
  <c r="D4271" i="1"/>
  <c r="C4272" i="1"/>
  <c r="D4272" i="1"/>
  <c r="C4273" i="1"/>
  <c r="D4273" i="1"/>
  <c r="C4274" i="1"/>
  <c r="D4274" i="1"/>
  <c r="C4275" i="1"/>
  <c r="D4275" i="1"/>
  <c r="C4276" i="1"/>
  <c r="D4276" i="1"/>
  <c r="C4277" i="1"/>
  <c r="D4277" i="1"/>
  <c r="C4278" i="1"/>
  <c r="D4278" i="1"/>
  <c r="C4279" i="1"/>
  <c r="D4279" i="1"/>
  <c r="C4280" i="1"/>
  <c r="D4280" i="1"/>
  <c r="C4281" i="1"/>
  <c r="D4281" i="1"/>
  <c r="C4282" i="1"/>
  <c r="D4282" i="1"/>
  <c r="C4283" i="1"/>
  <c r="D4283" i="1"/>
  <c r="C4284" i="1"/>
  <c r="D4284" i="1"/>
  <c r="C4285" i="1"/>
  <c r="D4285" i="1"/>
  <c r="C4286" i="1"/>
  <c r="D4286" i="1"/>
  <c r="C4287" i="1"/>
  <c r="D4287" i="1"/>
  <c r="C4288" i="1"/>
  <c r="D4288" i="1"/>
  <c r="C4289" i="1"/>
  <c r="D4289" i="1"/>
  <c r="C4290" i="1"/>
  <c r="D4290" i="1"/>
  <c r="C4291" i="1"/>
  <c r="D4291" i="1"/>
  <c r="C4292" i="1"/>
  <c r="D4292" i="1"/>
  <c r="C4293" i="1"/>
  <c r="D4293" i="1"/>
  <c r="C4294" i="1"/>
  <c r="D4294" i="1"/>
  <c r="C4295" i="1"/>
  <c r="D4295" i="1"/>
  <c r="C4296" i="1"/>
  <c r="D4296" i="1"/>
  <c r="C4297" i="1"/>
  <c r="D4297" i="1"/>
  <c r="C4298" i="1"/>
  <c r="D4298" i="1"/>
  <c r="C4299" i="1"/>
  <c r="D4299" i="1"/>
  <c r="C4300" i="1"/>
  <c r="D4300" i="1"/>
  <c r="C4301" i="1"/>
  <c r="D4301" i="1"/>
  <c r="C4302" i="1"/>
  <c r="D4302" i="1"/>
  <c r="C4303" i="1"/>
  <c r="D4303" i="1"/>
  <c r="C4304" i="1"/>
  <c r="D4304" i="1"/>
  <c r="C4305" i="1"/>
  <c r="D4305" i="1"/>
  <c r="C4306" i="1"/>
  <c r="D4306" i="1"/>
  <c r="C4307" i="1"/>
  <c r="D4307" i="1"/>
  <c r="C4308" i="1"/>
  <c r="D4308" i="1"/>
  <c r="C4309" i="1"/>
  <c r="D4309" i="1"/>
  <c r="C4310" i="1"/>
  <c r="D4310" i="1"/>
  <c r="C4311" i="1"/>
  <c r="D4311" i="1"/>
  <c r="C4312" i="1"/>
  <c r="D4312" i="1"/>
  <c r="C4313" i="1"/>
  <c r="D4313" i="1"/>
  <c r="C4314" i="1"/>
  <c r="D4314" i="1"/>
  <c r="C4315" i="1"/>
  <c r="D4315" i="1"/>
  <c r="C4316" i="1"/>
  <c r="D4316" i="1"/>
  <c r="C4317" i="1"/>
  <c r="D4317" i="1"/>
  <c r="C4318" i="1"/>
  <c r="D4318" i="1"/>
  <c r="C4319" i="1"/>
  <c r="D4319" i="1"/>
  <c r="C4320" i="1"/>
  <c r="D4320" i="1"/>
  <c r="C4321" i="1"/>
  <c r="D4321" i="1"/>
  <c r="C4322" i="1"/>
  <c r="D4322" i="1"/>
  <c r="C4323" i="1"/>
  <c r="D4323" i="1"/>
  <c r="C4324" i="1"/>
  <c r="D4324" i="1"/>
  <c r="C4325" i="1"/>
  <c r="D4325" i="1"/>
  <c r="C4326" i="1"/>
  <c r="D4326" i="1"/>
  <c r="C4327" i="1"/>
  <c r="D4327" i="1"/>
  <c r="C4328" i="1"/>
  <c r="D4328" i="1"/>
  <c r="C4329" i="1"/>
  <c r="D4329" i="1"/>
  <c r="C4330" i="1"/>
  <c r="D4330" i="1"/>
  <c r="C4331" i="1"/>
  <c r="D4331" i="1"/>
  <c r="C4332" i="1"/>
  <c r="D4332" i="1"/>
  <c r="C4333" i="1"/>
  <c r="D4333" i="1"/>
  <c r="C4334" i="1"/>
  <c r="D4334" i="1"/>
  <c r="C4335" i="1"/>
  <c r="D4335" i="1"/>
  <c r="C4336" i="1"/>
  <c r="D4336" i="1"/>
  <c r="C4337" i="1"/>
  <c r="D4337" i="1"/>
  <c r="C4338" i="1"/>
  <c r="D4338" i="1"/>
  <c r="C4339" i="1"/>
  <c r="D4339" i="1"/>
  <c r="C4340" i="1"/>
  <c r="D4340" i="1"/>
  <c r="C4341" i="1"/>
  <c r="D4341" i="1"/>
  <c r="C4342" i="1"/>
  <c r="D4342" i="1"/>
  <c r="C4343" i="1"/>
  <c r="D4343" i="1"/>
  <c r="C4344" i="1"/>
  <c r="D4344" i="1"/>
  <c r="C4345" i="1"/>
  <c r="D4345" i="1"/>
  <c r="C4346" i="1"/>
  <c r="D4346" i="1"/>
  <c r="C4347" i="1"/>
  <c r="D4347" i="1"/>
  <c r="C4348" i="1"/>
  <c r="D4348" i="1"/>
  <c r="C4349" i="1"/>
  <c r="D4349" i="1"/>
  <c r="C4350" i="1"/>
  <c r="D4350" i="1"/>
  <c r="C4351" i="1"/>
  <c r="D4351" i="1"/>
  <c r="C4352" i="1"/>
  <c r="D4352" i="1"/>
  <c r="C4353" i="1"/>
  <c r="D4353" i="1"/>
  <c r="C4354" i="1"/>
  <c r="D4354" i="1"/>
  <c r="C4355" i="1"/>
  <c r="D4355" i="1"/>
  <c r="C4356" i="1"/>
  <c r="D4356" i="1"/>
  <c r="C4357" i="1"/>
  <c r="D4357" i="1"/>
  <c r="C4358" i="1"/>
  <c r="D4358" i="1"/>
  <c r="C4359" i="1"/>
  <c r="D4359" i="1"/>
  <c r="C4360" i="1"/>
  <c r="D4360" i="1"/>
  <c r="C4361" i="1"/>
  <c r="D4361" i="1"/>
  <c r="C4362" i="1"/>
  <c r="D4362" i="1"/>
  <c r="C4363" i="1"/>
  <c r="D4363" i="1"/>
  <c r="C4364" i="1"/>
  <c r="D4364" i="1"/>
  <c r="C4365" i="1"/>
  <c r="D4365" i="1"/>
  <c r="C4366" i="1"/>
  <c r="D4366" i="1"/>
  <c r="C4367" i="1"/>
  <c r="D4367" i="1"/>
  <c r="C4368" i="1"/>
  <c r="D4368" i="1"/>
  <c r="C4369" i="1"/>
  <c r="D4369" i="1"/>
  <c r="C4370" i="1"/>
  <c r="D4370" i="1"/>
  <c r="C4371" i="1"/>
  <c r="D4371" i="1"/>
  <c r="C4372" i="1"/>
  <c r="D4372" i="1"/>
  <c r="C4373" i="1"/>
  <c r="D4373" i="1"/>
  <c r="C4374" i="1"/>
  <c r="D4374" i="1"/>
  <c r="C4375" i="1"/>
  <c r="D4375" i="1"/>
  <c r="C4376" i="1"/>
  <c r="D4376" i="1"/>
  <c r="C4377" i="1"/>
  <c r="D4377" i="1"/>
  <c r="C4378" i="1"/>
  <c r="D4378" i="1"/>
  <c r="C4379" i="1"/>
  <c r="D4379" i="1"/>
  <c r="C4380" i="1"/>
  <c r="D4380" i="1"/>
  <c r="C4381" i="1"/>
  <c r="D4381" i="1"/>
  <c r="C4382" i="1"/>
  <c r="D4382" i="1"/>
  <c r="C4383" i="1"/>
  <c r="D4383" i="1"/>
  <c r="C4384" i="1"/>
  <c r="D4384" i="1"/>
  <c r="C4385" i="1"/>
  <c r="D4385" i="1"/>
  <c r="C4386" i="1"/>
  <c r="D4386" i="1"/>
  <c r="C4387" i="1"/>
  <c r="D4387" i="1"/>
  <c r="C4388" i="1"/>
  <c r="D4388" i="1"/>
  <c r="C4389" i="1"/>
  <c r="D4389" i="1"/>
  <c r="C4390" i="1"/>
  <c r="D4390" i="1"/>
  <c r="C4391" i="1"/>
  <c r="D4391" i="1"/>
  <c r="C4392" i="1"/>
  <c r="D4392" i="1"/>
  <c r="C4393" i="1"/>
  <c r="D4393" i="1"/>
  <c r="C4394" i="1"/>
  <c r="D4394" i="1"/>
  <c r="C4395" i="1"/>
  <c r="D4395" i="1"/>
  <c r="C4396" i="1"/>
  <c r="D4396" i="1"/>
  <c r="C4397" i="1"/>
  <c r="D4397" i="1"/>
  <c r="C4398" i="1"/>
  <c r="D4398" i="1"/>
  <c r="C4399" i="1"/>
  <c r="D4399" i="1"/>
  <c r="C4400" i="1"/>
  <c r="D4400" i="1"/>
  <c r="C4401" i="1"/>
  <c r="D4401" i="1"/>
  <c r="C4402" i="1"/>
  <c r="D4402" i="1"/>
  <c r="C4403" i="1"/>
  <c r="D4403" i="1"/>
  <c r="C4404" i="1"/>
  <c r="D4404" i="1"/>
  <c r="C4405" i="1"/>
  <c r="D4405" i="1"/>
  <c r="C4406" i="1"/>
  <c r="D4406" i="1"/>
  <c r="C4407" i="1"/>
  <c r="D4407" i="1"/>
  <c r="C4408" i="1"/>
  <c r="D4408" i="1"/>
  <c r="C4409" i="1"/>
  <c r="D4409" i="1"/>
  <c r="C4410" i="1"/>
  <c r="D4410" i="1"/>
  <c r="C4411" i="1"/>
  <c r="D4411" i="1"/>
  <c r="C4412" i="1"/>
  <c r="D4412" i="1"/>
  <c r="C4413" i="1"/>
  <c r="D4413" i="1"/>
  <c r="C4414" i="1"/>
  <c r="D4414" i="1"/>
  <c r="C4415" i="1"/>
  <c r="D4415" i="1"/>
  <c r="C4416" i="1"/>
  <c r="D4416" i="1"/>
  <c r="C4417" i="1"/>
  <c r="D4417" i="1"/>
  <c r="C4418" i="1"/>
  <c r="D4418" i="1"/>
  <c r="C4419" i="1"/>
  <c r="D4419" i="1"/>
  <c r="C4420" i="1"/>
  <c r="D4420" i="1"/>
  <c r="C4421" i="1"/>
  <c r="D4421" i="1"/>
  <c r="C4422" i="1"/>
  <c r="D4422" i="1"/>
  <c r="C4423" i="1"/>
  <c r="D4423" i="1"/>
  <c r="C4424" i="1"/>
  <c r="D4424" i="1"/>
  <c r="C4425" i="1"/>
  <c r="D4425" i="1"/>
  <c r="C4426" i="1"/>
  <c r="D4426" i="1"/>
  <c r="C4427" i="1"/>
  <c r="D4427" i="1"/>
  <c r="C4428" i="1"/>
  <c r="D4428" i="1"/>
  <c r="C4429" i="1"/>
  <c r="D4429" i="1"/>
  <c r="C4430" i="1"/>
  <c r="D4430" i="1"/>
  <c r="C4431" i="1"/>
  <c r="D4431" i="1"/>
  <c r="C4432" i="1"/>
  <c r="D4432" i="1"/>
  <c r="C4433" i="1"/>
  <c r="D4433" i="1"/>
  <c r="C4434" i="1"/>
  <c r="D4434" i="1"/>
  <c r="C4435" i="1"/>
  <c r="D4435" i="1"/>
  <c r="C4436" i="1"/>
  <c r="D4436" i="1"/>
  <c r="C4437" i="1"/>
  <c r="D4437" i="1"/>
  <c r="C4438" i="1"/>
  <c r="D4438" i="1"/>
  <c r="C4439" i="1"/>
  <c r="D4439" i="1"/>
  <c r="C4440" i="1"/>
  <c r="D4440" i="1"/>
  <c r="C4441" i="1"/>
  <c r="D4441" i="1"/>
  <c r="C4442" i="1"/>
  <c r="D4442" i="1"/>
  <c r="C4443" i="1"/>
  <c r="D4443" i="1"/>
  <c r="C4444" i="1"/>
  <c r="D4444" i="1"/>
  <c r="C4445" i="1"/>
  <c r="D4445" i="1"/>
  <c r="C4446" i="1"/>
  <c r="D4446" i="1"/>
  <c r="C4447" i="1"/>
  <c r="D4447" i="1"/>
  <c r="C4448" i="1"/>
  <c r="D4448" i="1"/>
  <c r="C4449" i="1"/>
  <c r="D4449" i="1"/>
  <c r="C4450" i="1"/>
  <c r="D4450" i="1"/>
  <c r="C4451" i="1"/>
  <c r="D4451" i="1"/>
  <c r="C4452" i="1"/>
  <c r="D4452" i="1"/>
  <c r="C4453" i="1"/>
  <c r="D4453" i="1"/>
  <c r="C4454" i="1"/>
  <c r="D4454" i="1"/>
  <c r="C4455" i="1"/>
  <c r="D4455" i="1"/>
  <c r="C4456" i="1"/>
  <c r="D4456" i="1"/>
  <c r="C4457" i="1"/>
  <c r="D4457" i="1"/>
  <c r="C4458" i="1"/>
  <c r="D4458" i="1"/>
  <c r="C4459" i="1"/>
  <c r="D4459" i="1"/>
  <c r="C4460" i="1"/>
  <c r="D4460" i="1"/>
  <c r="C4461" i="1"/>
  <c r="D4461" i="1"/>
  <c r="C4462" i="1"/>
  <c r="D4462" i="1"/>
  <c r="C4463" i="1"/>
  <c r="D4463" i="1"/>
  <c r="C4464" i="1"/>
  <c r="D4464" i="1"/>
  <c r="C4465" i="1"/>
  <c r="D4465" i="1"/>
  <c r="C4466" i="1"/>
  <c r="D4466" i="1"/>
  <c r="C4467" i="1"/>
  <c r="D4467" i="1"/>
  <c r="C4468" i="1"/>
  <c r="D4468" i="1"/>
  <c r="C4469" i="1"/>
  <c r="D4469" i="1"/>
  <c r="C4470" i="1"/>
  <c r="D4470" i="1"/>
  <c r="C4471" i="1"/>
  <c r="D4471" i="1"/>
  <c r="C4472" i="1"/>
  <c r="D4472" i="1"/>
  <c r="C4473" i="1"/>
  <c r="D4473" i="1"/>
  <c r="C4474" i="1"/>
  <c r="D4474" i="1"/>
  <c r="C4475" i="1"/>
  <c r="D4475" i="1"/>
  <c r="C4476" i="1"/>
  <c r="D4476" i="1"/>
  <c r="C4477" i="1"/>
  <c r="D4477" i="1"/>
  <c r="C4478" i="1"/>
  <c r="D4478" i="1"/>
  <c r="C4479" i="1"/>
  <c r="D4479" i="1"/>
  <c r="C4480" i="1"/>
  <c r="D4480" i="1"/>
  <c r="C4481" i="1"/>
  <c r="D4481" i="1"/>
  <c r="C4482" i="1"/>
  <c r="D4482" i="1"/>
  <c r="C4483" i="1"/>
  <c r="D4483" i="1"/>
  <c r="C4484" i="1"/>
  <c r="D4484" i="1"/>
  <c r="C4485" i="1"/>
  <c r="D4485" i="1"/>
  <c r="C4486" i="1"/>
  <c r="D4486" i="1"/>
  <c r="C4487" i="1"/>
  <c r="D4487" i="1"/>
  <c r="C4488" i="1"/>
  <c r="D4488" i="1"/>
  <c r="C4489" i="1"/>
  <c r="D4489" i="1"/>
  <c r="C4490" i="1"/>
  <c r="D4490" i="1"/>
  <c r="C4491" i="1"/>
  <c r="D4491" i="1"/>
  <c r="C4492" i="1"/>
  <c r="D4492" i="1"/>
  <c r="C4493" i="1"/>
  <c r="D4493" i="1"/>
  <c r="C4494" i="1"/>
  <c r="D4494" i="1"/>
  <c r="C4495" i="1"/>
  <c r="D4495" i="1"/>
  <c r="C4496" i="1"/>
  <c r="D4496" i="1"/>
  <c r="C4497" i="1"/>
  <c r="D4497" i="1"/>
  <c r="C4498" i="1"/>
  <c r="D4498" i="1"/>
  <c r="C4499" i="1"/>
  <c r="D4499" i="1"/>
  <c r="C4500" i="1"/>
  <c r="D4500" i="1"/>
  <c r="C4501" i="1"/>
  <c r="D4501" i="1"/>
  <c r="C4502" i="1"/>
  <c r="D4502" i="1"/>
  <c r="C4503" i="1"/>
  <c r="D4503" i="1"/>
  <c r="C4504" i="1"/>
  <c r="D4504" i="1"/>
  <c r="C4505" i="1"/>
  <c r="D4505" i="1"/>
  <c r="C4506" i="1"/>
  <c r="D4506" i="1"/>
  <c r="C4507" i="1"/>
  <c r="D4507" i="1"/>
  <c r="C4508" i="1"/>
  <c r="D4508" i="1"/>
  <c r="C4509" i="1"/>
  <c r="D4509" i="1"/>
  <c r="C4510" i="1"/>
  <c r="D4510" i="1"/>
  <c r="C4511" i="1"/>
  <c r="D4511" i="1"/>
  <c r="C4512" i="1"/>
  <c r="D4512" i="1"/>
  <c r="C4513" i="1"/>
  <c r="D4513" i="1"/>
  <c r="C4514" i="1"/>
  <c r="D4514" i="1"/>
  <c r="C4515" i="1"/>
  <c r="D4515" i="1"/>
  <c r="C4516" i="1"/>
  <c r="D4516" i="1"/>
  <c r="C4517" i="1"/>
  <c r="D4517" i="1"/>
  <c r="C4518" i="1"/>
  <c r="D4518" i="1"/>
  <c r="C4519" i="1"/>
  <c r="D4519" i="1"/>
  <c r="C4520" i="1"/>
  <c r="D4520" i="1"/>
  <c r="C4521" i="1"/>
  <c r="D4521" i="1"/>
  <c r="C4522" i="1"/>
  <c r="D4522" i="1"/>
  <c r="C4523" i="1"/>
  <c r="D4523" i="1"/>
  <c r="C4524" i="1"/>
  <c r="D4524" i="1"/>
  <c r="C4525" i="1"/>
  <c r="D4525" i="1"/>
  <c r="C4526" i="1"/>
  <c r="D4526" i="1"/>
  <c r="C4527" i="1"/>
  <c r="D4527" i="1"/>
  <c r="C4528" i="1"/>
  <c r="D4528" i="1"/>
  <c r="C4529" i="1"/>
  <c r="D4529" i="1"/>
  <c r="C4530" i="1"/>
  <c r="D4530" i="1"/>
  <c r="C4531" i="1"/>
  <c r="D4531" i="1"/>
  <c r="C4532" i="1"/>
  <c r="D4532" i="1"/>
  <c r="C4533" i="1"/>
  <c r="D4533" i="1"/>
  <c r="C4534" i="1"/>
  <c r="D4534" i="1"/>
  <c r="C4535" i="1"/>
  <c r="D4535" i="1"/>
  <c r="C4536" i="1"/>
  <c r="D4536" i="1"/>
  <c r="C4537" i="1"/>
  <c r="D4537" i="1"/>
  <c r="C4538" i="1"/>
  <c r="D4538" i="1"/>
  <c r="C4539" i="1"/>
  <c r="D4539" i="1"/>
  <c r="C4540" i="1"/>
  <c r="D4540" i="1"/>
  <c r="C4541" i="1"/>
  <c r="D4541" i="1"/>
  <c r="C4542" i="1"/>
  <c r="D4542" i="1"/>
  <c r="C4543" i="1"/>
  <c r="D4543" i="1"/>
  <c r="C4544" i="1"/>
  <c r="D4544" i="1"/>
  <c r="C4545" i="1"/>
  <c r="D4545" i="1"/>
  <c r="C4546" i="1"/>
  <c r="D4546" i="1"/>
  <c r="C4547" i="1"/>
  <c r="D4547" i="1"/>
  <c r="C4548" i="1"/>
  <c r="D4548" i="1"/>
  <c r="C4549" i="1"/>
  <c r="D4549" i="1"/>
  <c r="C4550" i="1"/>
  <c r="D4550" i="1"/>
  <c r="C4551" i="1"/>
  <c r="D4551" i="1"/>
  <c r="C4552" i="1"/>
  <c r="D4552" i="1"/>
  <c r="C4553" i="1"/>
  <c r="D4553" i="1"/>
  <c r="C4554" i="1"/>
  <c r="D4554" i="1"/>
  <c r="C4555" i="1"/>
  <c r="D4555" i="1"/>
  <c r="C4556" i="1"/>
  <c r="D4556" i="1"/>
  <c r="C4557" i="1"/>
  <c r="D4557" i="1"/>
  <c r="C4558" i="1"/>
  <c r="D4558" i="1"/>
  <c r="C4559" i="1"/>
  <c r="D4559" i="1"/>
  <c r="C4560" i="1"/>
  <c r="D4560" i="1"/>
  <c r="C4561" i="1"/>
  <c r="D4561" i="1"/>
  <c r="C4562" i="1"/>
  <c r="D4562" i="1"/>
  <c r="C4563" i="1"/>
  <c r="D4563" i="1"/>
  <c r="C4564" i="1"/>
  <c r="D4564" i="1"/>
  <c r="C4565" i="1"/>
  <c r="D4565" i="1"/>
  <c r="C4566" i="1"/>
  <c r="D4566" i="1"/>
  <c r="C4567" i="1"/>
  <c r="D4567" i="1"/>
  <c r="C4568" i="1"/>
  <c r="D4568" i="1"/>
  <c r="C4569" i="1"/>
  <c r="D4569" i="1"/>
  <c r="C4570" i="1"/>
  <c r="D4570" i="1"/>
  <c r="C4571" i="1"/>
  <c r="D4571" i="1"/>
  <c r="C4572" i="1"/>
  <c r="D4572" i="1"/>
  <c r="C4573" i="1"/>
  <c r="D4573" i="1"/>
  <c r="C4574" i="1"/>
  <c r="D4574" i="1"/>
  <c r="C4575" i="1"/>
  <c r="D4575" i="1"/>
  <c r="C4576" i="1"/>
  <c r="D4576" i="1"/>
  <c r="C4577" i="1"/>
  <c r="D4577" i="1"/>
  <c r="C4578" i="1"/>
  <c r="D4578" i="1"/>
  <c r="C4579" i="1"/>
  <c r="D4579" i="1"/>
  <c r="C4580" i="1"/>
  <c r="D4580" i="1"/>
  <c r="C4581" i="1"/>
  <c r="D4581" i="1"/>
  <c r="C4582" i="1"/>
  <c r="D4582" i="1"/>
  <c r="C4583" i="1"/>
  <c r="D4583" i="1"/>
  <c r="C4584" i="1"/>
  <c r="D4584" i="1"/>
  <c r="C4585" i="1"/>
  <c r="D4585" i="1"/>
  <c r="C4586" i="1"/>
  <c r="D4586" i="1"/>
  <c r="C4587" i="1"/>
  <c r="D4587" i="1"/>
  <c r="C4588" i="1"/>
  <c r="D4588" i="1"/>
  <c r="C4589" i="1"/>
  <c r="D4589" i="1"/>
  <c r="C4590" i="1"/>
  <c r="D4590" i="1"/>
  <c r="C4591" i="1"/>
  <c r="D4591" i="1"/>
  <c r="C4592" i="1"/>
  <c r="D4592" i="1"/>
  <c r="C4593" i="1"/>
  <c r="D4593" i="1"/>
  <c r="C4594" i="1"/>
  <c r="D4594" i="1"/>
  <c r="C4595" i="1"/>
  <c r="D4595" i="1"/>
  <c r="C4596" i="1"/>
  <c r="D4596" i="1"/>
  <c r="C4597" i="1"/>
  <c r="D4597" i="1"/>
  <c r="C4598" i="1"/>
  <c r="D4598" i="1"/>
  <c r="C4599" i="1"/>
  <c r="D4599" i="1"/>
  <c r="C4600" i="1"/>
  <c r="D4600" i="1"/>
  <c r="C4601" i="1"/>
  <c r="D4601" i="1"/>
  <c r="C4602" i="1"/>
  <c r="D4602" i="1"/>
  <c r="C4603" i="1"/>
  <c r="D4603" i="1"/>
  <c r="C4604" i="1"/>
  <c r="D4604" i="1"/>
  <c r="C4605" i="1"/>
  <c r="D4605" i="1"/>
  <c r="C4606" i="1"/>
  <c r="D4606" i="1"/>
  <c r="C4607" i="1"/>
  <c r="D4607" i="1"/>
  <c r="C4608" i="1"/>
  <c r="D4608" i="1"/>
  <c r="C4609" i="1"/>
  <c r="D4609" i="1"/>
  <c r="C4610" i="1"/>
  <c r="D4610" i="1"/>
  <c r="C4611" i="1"/>
  <c r="D4611" i="1"/>
  <c r="C4612" i="1"/>
  <c r="D4612" i="1"/>
  <c r="C4613" i="1"/>
  <c r="D4613" i="1"/>
  <c r="C4614" i="1"/>
  <c r="D4614" i="1"/>
  <c r="C4615" i="1"/>
  <c r="D4615" i="1"/>
  <c r="C4616" i="1"/>
  <c r="D4616" i="1"/>
  <c r="C4617" i="1"/>
  <c r="D4617" i="1"/>
  <c r="C4618" i="1"/>
  <c r="D4618" i="1"/>
  <c r="C4619" i="1"/>
  <c r="D4619" i="1"/>
  <c r="C4620" i="1"/>
  <c r="D4620" i="1"/>
  <c r="C4621" i="1"/>
  <c r="D4621" i="1"/>
  <c r="C4622" i="1"/>
  <c r="D4622" i="1"/>
  <c r="C4623" i="1"/>
  <c r="D4623" i="1"/>
  <c r="C4624" i="1"/>
  <c r="D4624" i="1"/>
  <c r="C4625" i="1"/>
  <c r="D4625" i="1"/>
  <c r="C4626" i="1"/>
  <c r="D4626" i="1"/>
  <c r="C4627" i="1"/>
  <c r="D4627" i="1"/>
  <c r="C4628" i="1"/>
  <c r="D4628" i="1"/>
  <c r="C4629" i="1"/>
  <c r="D4629" i="1"/>
  <c r="C4630" i="1"/>
  <c r="D4630" i="1"/>
  <c r="C4631" i="1"/>
  <c r="D4631" i="1"/>
  <c r="C4632" i="1"/>
  <c r="D4632" i="1"/>
  <c r="C4633" i="1"/>
  <c r="D4633" i="1"/>
  <c r="C4634" i="1"/>
  <c r="D4634" i="1"/>
  <c r="C4635" i="1"/>
  <c r="D4635" i="1"/>
  <c r="C4636" i="1"/>
  <c r="D4636" i="1"/>
  <c r="C4637" i="1"/>
  <c r="D4637" i="1"/>
  <c r="C4638" i="1"/>
  <c r="D4638" i="1"/>
  <c r="C4639" i="1"/>
  <c r="D4639" i="1"/>
  <c r="C4640" i="1"/>
  <c r="D4640" i="1"/>
  <c r="C4641" i="1"/>
  <c r="D4641" i="1"/>
  <c r="C4642" i="1"/>
  <c r="D4642" i="1"/>
  <c r="C4643" i="1"/>
  <c r="D4643" i="1"/>
  <c r="C4644" i="1"/>
  <c r="D4644" i="1"/>
  <c r="C4645" i="1"/>
  <c r="D4645" i="1"/>
  <c r="C4646" i="1"/>
  <c r="D4646" i="1"/>
  <c r="C4647" i="1"/>
  <c r="D4647" i="1"/>
  <c r="C4648" i="1"/>
  <c r="D4648" i="1"/>
  <c r="C4649" i="1"/>
  <c r="D4649" i="1"/>
  <c r="C4650" i="1"/>
  <c r="D4650" i="1"/>
  <c r="C4651" i="1"/>
  <c r="D4651" i="1"/>
  <c r="C4652" i="1"/>
  <c r="D4652" i="1"/>
  <c r="C4653" i="1"/>
  <c r="D4653" i="1"/>
  <c r="C4654" i="1"/>
  <c r="D4654" i="1"/>
  <c r="C4655" i="1"/>
  <c r="D4655" i="1"/>
  <c r="C4656" i="1"/>
  <c r="D4656" i="1"/>
  <c r="C4657" i="1"/>
  <c r="D4657" i="1"/>
  <c r="C4658" i="1"/>
  <c r="D4658" i="1"/>
  <c r="C4659" i="1"/>
  <c r="D4659" i="1"/>
  <c r="C4660" i="1"/>
  <c r="D4660" i="1"/>
  <c r="C4661" i="1"/>
  <c r="D4661" i="1"/>
  <c r="C4662" i="1"/>
  <c r="D4662" i="1"/>
  <c r="C4663" i="1"/>
  <c r="D4663" i="1"/>
  <c r="C4664" i="1"/>
  <c r="D4664" i="1"/>
  <c r="C4665" i="1"/>
  <c r="D4665" i="1"/>
  <c r="C4666" i="1"/>
  <c r="D4666" i="1"/>
  <c r="C4667" i="1"/>
  <c r="D4667" i="1"/>
  <c r="C4668" i="1"/>
  <c r="D4668" i="1"/>
  <c r="C4669" i="1"/>
  <c r="D4669" i="1"/>
  <c r="C4670" i="1"/>
  <c r="D4670" i="1"/>
  <c r="C4671" i="1"/>
  <c r="D4671" i="1"/>
  <c r="C4672" i="1"/>
  <c r="D4672" i="1"/>
  <c r="C4673" i="1"/>
  <c r="D4673" i="1"/>
  <c r="C4674" i="1"/>
  <c r="D4674" i="1"/>
  <c r="C4675" i="1"/>
  <c r="D4675" i="1"/>
  <c r="C4676" i="1"/>
  <c r="D4676" i="1"/>
  <c r="C4677" i="1"/>
  <c r="D4677" i="1"/>
  <c r="C4678" i="1"/>
  <c r="D4678" i="1"/>
  <c r="C4679" i="1"/>
  <c r="D4679" i="1"/>
  <c r="C4680" i="1"/>
  <c r="D4680" i="1"/>
  <c r="C4681" i="1"/>
  <c r="D4681" i="1"/>
  <c r="C4682" i="1"/>
  <c r="D4682" i="1"/>
  <c r="C4683" i="1"/>
  <c r="D4683" i="1"/>
  <c r="C4684" i="1"/>
  <c r="D4684" i="1"/>
  <c r="C4685" i="1"/>
  <c r="D4685" i="1"/>
  <c r="C4686" i="1"/>
  <c r="D4686" i="1"/>
  <c r="C4687" i="1"/>
  <c r="D4687" i="1"/>
  <c r="C4688" i="1"/>
  <c r="D4688" i="1"/>
  <c r="C4689" i="1"/>
  <c r="D4689" i="1"/>
  <c r="C4690" i="1"/>
  <c r="D4690" i="1"/>
  <c r="C4691" i="1"/>
  <c r="D4691" i="1"/>
  <c r="C4692" i="1"/>
  <c r="D4692" i="1"/>
  <c r="C4693" i="1"/>
  <c r="D4693" i="1"/>
  <c r="C4694" i="1"/>
  <c r="D4694" i="1"/>
  <c r="C4695" i="1"/>
  <c r="D4695" i="1"/>
  <c r="C4696" i="1"/>
  <c r="D4696" i="1"/>
  <c r="C4697" i="1"/>
  <c r="D4697" i="1"/>
  <c r="C4698" i="1"/>
  <c r="D4698" i="1"/>
  <c r="C4699" i="1"/>
  <c r="D4699" i="1"/>
  <c r="C4700" i="1"/>
  <c r="D4700" i="1"/>
  <c r="C4701" i="1"/>
  <c r="D4701" i="1"/>
  <c r="C4702" i="1"/>
  <c r="D4702" i="1"/>
  <c r="C4703" i="1"/>
  <c r="D4703" i="1"/>
  <c r="C4704" i="1"/>
  <c r="D4704" i="1"/>
  <c r="C4705" i="1"/>
  <c r="D4705" i="1"/>
  <c r="C4706" i="1"/>
  <c r="D4706" i="1"/>
  <c r="C4707" i="1"/>
  <c r="D4707" i="1"/>
  <c r="C4708" i="1"/>
  <c r="D4708" i="1"/>
  <c r="C4709" i="1"/>
  <c r="D4709" i="1"/>
  <c r="C4710" i="1"/>
  <c r="D4710" i="1"/>
  <c r="C4711" i="1"/>
  <c r="D4711" i="1"/>
  <c r="C4712" i="1"/>
  <c r="D4712" i="1"/>
  <c r="C4713" i="1"/>
  <c r="D4713" i="1"/>
  <c r="C4714" i="1"/>
  <c r="D4714" i="1"/>
  <c r="C4715" i="1"/>
  <c r="D4715" i="1"/>
  <c r="C4716" i="1"/>
  <c r="D4716" i="1"/>
  <c r="C4717" i="1"/>
  <c r="D4717" i="1"/>
  <c r="C4718" i="1"/>
  <c r="D4718" i="1"/>
  <c r="C4719" i="1"/>
  <c r="D4719" i="1"/>
  <c r="C4720" i="1"/>
  <c r="D4720" i="1"/>
  <c r="C4721" i="1"/>
  <c r="D4721" i="1"/>
  <c r="C4722" i="1"/>
  <c r="D4722" i="1"/>
  <c r="C4723" i="1"/>
  <c r="D4723" i="1"/>
  <c r="C4724" i="1"/>
  <c r="D4724" i="1"/>
  <c r="C4725" i="1"/>
  <c r="D4725" i="1"/>
  <c r="C4726" i="1"/>
  <c r="D4726" i="1"/>
  <c r="C4727" i="1"/>
  <c r="D4727" i="1"/>
  <c r="C4728" i="1"/>
  <c r="D4728" i="1"/>
  <c r="C4729" i="1"/>
  <c r="D4729" i="1"/>
  <c r="C4730" i="1"/>
  <c r="D4730" i="1"/>
  <c r="C4731" i="1"/>
  <c r="D4731" i="1"/>
  <c r="C4732" i="1"/>
  <c r="D4732" i="1"/>
  <c r="C4733" i="1"/>
  <c r="D4733" i="1"/>
  <c r="C4734" i="1"/>
  <c r="D4734" i="1"/>
  <c r="C4735" i="1"/>
  <c r="D4735" i="1"/>
  <c r="C4736" i="1"/>
  <c r="D4736" i="1"/>
  <c r="C4737" i="1"/>
  <c r="D4737" i="1"/>
  <c r="C4738" i="1"/>
  <c r="D4738" i="1"/>
  <c r="C4739" i="1"/>
  <c r="D4739" i="1"/>
  <c r="C4740" i="1"/>
  <c r="D4740" i="1"/>
  <c r="C4741" i="1"/>
  <c r="D4741" i="1"/>
  <c r="C4742" i="1"/>
  <c r="D4742" i="1"/>
  <c r="C4743" i="1"/>
  <c r="D4743" i="1"/>
  <c r="C4744" i="1"/>
  <c r="D4744" i="1"/>
  <c r="C4745" i="1"/>
  <c r="D4745" i="1"/>
  <c r="C4746" i="1"/>
  <c r="D4746" i="1"/>
  <c r="C4747" i="1"/>
  <c r="D4747" i="1"/>
  <c r="C4748" i="1"/>
  <c r="D4748" i="1"/>
  <c r="C4749" i="1"/>
  <c r="D4749" i="1"/>
  <c r="C4750" i="1"/>
  <c r="D4750" i="1"/>
  <c r="C4751" i="1"/>
  <c r="D4751" i="1"/>
  <c r="C4752" i="1"/>
  <c r="D4752" i="1"/>
  <c r="C4753" i="1"/>
  <c r="D4753" i="1"/>
  <c r="C4754" i="1"/>
  <c r="D4754" i="1"/>
  <c r="C4755" i="1"/>
  <c r="D4755" i="1"/>
  <c r="C4756" i="1"/>
  <c r="D4756" i="1"/>
  <c r="C4757" i="1"/>
  <c r="D4757" i="1"/>
  <c r="C4758" i="1"/>
  <c r="D4758" i="1"/>
  <c r="C4759" i="1"/>
  <c r="D4759" i="1"/>
  <c r="C4760" i="1"/>
  <c r="D4760" i="1"/>
  <c r="C4761" i="1"/>
  <c r="D4761" i="1"/>
  <c r="C4762" i="1"/>
  <c r="D4762" i="1"/>
  <c r="C4763" i="1"/>
  <c r="D4763" i="1"/>
  <c r="C4764" i="1"/>
  <c r="D4764" i="1"/>
  <c r="C4765" i="1"/>
  <c r="D4765" i="1"/>
  <c r="C4766" i="1"/>
  <c r="D4766" i="1"/>
  <c r="C4767" i="1"/>
  <c r="D4767" i="1"/>
  <c r="C4768" i="1"/>
  <c r="D4768" i="1"/>
  <c r="C4769" i="1"/>
  <c r="D4769" i="1"/>
  <c r="C4770" i="1"/>
  <c r="D4770" i="1"/>
  <c r="C4771" i="1"/>
  <c r="D4771" i="1"/>
  <c r="C4772" i="1"/>
  <c r="D4772" i="1"/>
  <c r="C4773" i="1"/>
  <c r="D4773" i="1"/>
  <c r="C4774" i="1"/>
  <c r="D4774" i="1"/>
  <c r="C4775" i="1"/>
  <c r="D4775" i="1"/>
  <c r="C4776" i="1"/>
  <c r="D4776" i="1"/>
  <c r="C4777" i="1"/>
  <c r="D4777" i="1"/>
  <c r="C4778" i="1"/>
  <c r="D4778" i="1"/>
  <c r="C4779" i="1"/>
  <c r="D4779" i="1"/>
  <c r="C4780" i="1"/>
  <c r="D4780" i="1"/>
  <c r="C4781" i="1"/>
  <c r="D4781" i="1"/>
  <c r="C4782" i="1"/>
  <c r="D4782" i="1"/>
  <c r="C4783" i="1"/>
  <c r="D4783" i="1"/>
  <c r="C4784" i="1"/>
  <c r="D4784" i="1"/>
  <c r="C4785" i="1"/>
  <c r="D4785" i="1"/>
  <c r="C4786" i="1"/>
  <c r="D4786" i="1"/>
  <c r="C4787" i="1"/>
  <c r="D4787" i="1"/>
  <c r="C4788" i="1"/>
  <c r="D4788" i="1"/>
  <c r="C4789" i="1"/>
  <c r="D4789" i="1"/>
  <c r="C4790" i="1"/>
  <c r="D4790" i="1"/>
  <c r="C4791" i="1"/>
  <c r="D4791" i="1"/>
  <c r="C4792" i="1"/>
  <c r="D4792" i="1"/>
  <c r="C4793" i="1"/>
  <c r="D4793" i="1"/>
  <c r="C4794" i="1"/>
  <c r="D4794" i="1"/>
  <c r="C4795" i="1"/>
  <c r="D4795" i="1"/>
  <c r="C4796" i="1"/>
  <c r="D4796" i="1"/>
  <c r="C4797" i="1"/>
  <c r="D4797" i="1"/>
  <c r="C4798" i="1"/>
  <c r="D4798" i="1"/>
  <c r="C4799" i="1"/>
  <c r="D4799" i="1"/>
  <c r="C4800" i="1"/>
  <c r="D4800" i="1"/>
  <c r="C4801" i="1"/>
  <c r="D4801" i="1"/>
  <c r="C4802" i="1"/>
  <c r="D4802" i="1"/>
  <c r="C4803" i="1"/>
  <c r="D4803" i="1"/>
  <c r="C4804" i="1"/>
  <c r="D4804" i="1"/>
  <c r="C4805" i="1"/>
  <c r="D4805" i="1"/>
  <c r="C4806" i="1"/>
  <c r="D4806" i="1"/>
  <c r="C4807" i="1"/>
  <c r="D4807" i="1"/>
  <c r="C4808" i="1"/>
  <c r="D4808" i="1"/>
  <c r="C4809" i="1"/>
  <c r="D4809" i="1"/>
  <c r="C4810" i="1"/>
  <c r="D4810" i="1"/>
  <c r="C4811" i="1"/>
  <c r="D4811" i="1"/>
  <c r="C4812" i="1"/>
  <c r="D4812" i="1"/>
  <c r="C4813" i="1"/>
  <c r="D4813" i="1"/>
  <c r="C4814" i="1"/>
  <c r="D4814" i="1"/>
  <c r="C4815" i="1"/>
  <c r="D4815" i="1"/>
  <c r="C4816" i="1"/>
  <c r="D4816" i="1"/>
  <c r="C4817" i="1"/>
  <c r="D4817" i="1"/>
  <c r="C4818" i="1"/>
  <c r="D4818" i="1"/>
  <c r="C4819" i="1"/>
  <c r="D4819" i="1"/>
  <c r="C4820" i="1"/>
  <c r="D4820" i="1"/>
  <c r="C4821" i="1"/>
  <c r="D4821" i="1"/>
  <c r="C4822" i="1"/>
  <c r="D4822" i="1"/>
  <c r="C4823" i="1"/>
  <c r="D4823" i="1"/>
  <c r="C4824" i="1"/>
  <c r="D4824" i="1"/>
  <c r="C4825" i="1"/>
  <c r="D4825" i="1"/>
  <c r="C4826" i="1"/>
  <c r="D4826" i="1"/>
  <c r="C4827" i="1"/>
  <c r="D4827" i="1"/>
  <c r="C4828" i="1"/>
  <c r="D4828" i="1"/>
  <c r="C4829" i="1"/>
  <c r="D4829" i="1"/>
  <c r="C4830" i="1"/>
  <c r="D4830" i="1"/>
  <c r="C4831" i="1"/>
  <c r="D4831" i="1"/>
  <c r="C4832" i="1"/>
  <c r="D4832" i="1"/>
  <c r="C4833" i="1"/>
  <c r="D4833" i="1"/>
  <c r="C4834" i="1"/>
  <c r="D4834" i="1"/>
  <c r="C4835" i="1"/>
  <c r="D4835" i="1"/>
  <c r="C4836" i="1"/>
  <c r="D4836" i="1"/>
  <c r="C4837" i="1"/>
  <c r="D4837" i="1"/>
  <c r="C4838" i="1"/>
  <c r="D4838" i="1"/>
  <c r="C4839" i="1"/>
  <c r="D4839" i="1"/>
  <c r="C4840" i="1"/>
  <c r="D4840" i="1"/>
  <c r="C4841" i="1"/>
  <c r="D4841" i="1"/>
  <c r="C4842" i="1"/>
  <c r="D4842" i="1"/>
  <c r="C4843" i="1"/>
  <c r="D4843" i="1"/>
  <c r="C4844" i="1"/>
  <c r="D4844" i="1"/>
  <c r="C4845" i="1"/>
  <c r="D4845" i="1"/>
  <c r="C4846" i="1"/>
  <c r="D4846" i="1"/>
  <c r="C4847" i="1"/>
  <c r="D4847" i="1"/>
  <c r="C4848" i="1"/>
  <c r="D4848" i="1"/>
  <c r="C4849" i="1"/>
  <c r="D4849" i="1"/>
  <c r="C4850" i="1"/>
  <c r="D4850" i="1"/>
  <c r="C4851" i="1"/>
  <c r="D4851" i="1"/>
  <c r="C4852" i="1"/>
  <c r="D4852" i="1"/>
  <c r="C4853" i="1"/>
  <c r="D4853" i="1"/>
  <c r="C4854" i="1"/>
  <c r="D4854" i="1"/>
  <c r="C4855" i="1"/>
  <c r="D4855" i="1"/>
  <c r="C4856" i="1"/>
  <c r="D4856" i="1"/>
  <c r="C4857" i="1"/>
  <c r="D4857" i="1"/>
  <c r="C4858" i="1"/>
  <c r="D4858" i="1"/>
  <c r="C4859" i="1"/>
  <c r="D4859" i="1"/>
  <c r="C4860" i="1"/>
  <c r="D4860" i="1"/>
  <c r="C4861" i="1"/>
  <c r="D4861" i="1"/>
  <c r="C4862" i="1"/>
  <c r="D4862" i="1"/>
  <c r="C4863" i="1"/>
  <c r="D4863" i="1"/>
  <c r="C4864" i="1"/>
  <c r="D4864" i="1"/>
  <c r="C4865" i="1"/>
  <c r="D4865" i="1"/>
  <c r="C4866" i="1"/>
  <c r="D4866" i="1"/>
  <c r="C4867" i="1"/>
  <c r="D4867" i="1"/>
  <c r="C4868" i="1"/>
  <c r="D4868" i="1"/>
  <c r="C4869" i="1"/>
  <c r="D4869" i="1"/>
  <c r="C4870" i="1"/>
  <c r="D4870" i="1"/>
  <c r="C4871" i="1"/>
  <c r="D4871" i="1"/>
  <c r="C4872" i="1"/>
  <c r="D4872" i="1"/>
  <c r="C4873" i="1"/>
  <c r="D4873" i="1"/>
  <c r="C4874" i="1"/>
  <c r="D4874" i="1"/>
  <c r="C4875" i="1"/>
  <c r="D4875" i="1"/>
  <c r="C4876" i="1"/>
  <c r="D4876" i="1"/>
  <c r="C4877" i="1"/>
  <c r="D4877" i="1"/>
  <c r="C4878" i="1"/>
  <c r="D4878" i="1"/>
  <c r="C4879" i="1"/>
  <c r="D4879" i="1"/>
  <c r="C4880" i="1"/>
  <c r="D4880" i="1"/>
  <c r="C4881" i="1"/>
  <c r="D4881" i="1"/>
  <c r="C4882" i="1"/>
  <c r="D4882" i="1"/>
  <c r="C4883" i="1"/>
  <c r="D4883" i="1"/>
  <c r="C4884" i="1"/>
  <c r="D4884" i="1"/>
  <c r="C4885" i="1"/>
  <c r="D4885" i="1"/>
  <c r="C4886" i="1"/>
  <c r="D4886" i="1"/>
  <c r="C4887" i="1"/>
  <c r="D4887" i="1"/>
  <c r="C4888" i="1"/>
  <c r="D4888" i="1"/>
  <c r="C4889" i="1"/>
  <c r="D4889" i="1"/>
  <c r="C4890" i="1"/>
  <c r="D4890" i="1"/>
  <c r="C4891" i="1"/>
  <c r="D4891" i="1"/>
  <c r="C4892" i="1"/>
  <c r="D4892" i="1"/>
  <c r="C4893" i="1"/>
  <c r="D4893" i="1"/>
  <c r="C4894" i="1"/>
  <c r="D4894" i="1"/>
  <c r="C4895" i="1"/>
  <c r="D4895" i="1"/>
  <c r="C4896" i="1"/>
  <c r="D4896" i="1"/>
  <c r="C4897" i="1"/>
  <c r="D4897" i="1"/>
  <c r="C4898" i="1"/>
  <c r="D4898" i="1"/>
  <c r="C4899" i="1"/>
  <c r="D4899" i="1"/>
  <c r="C4900" i="1"/>
  <c r="D4900" i="1"/>
  <c r="C4901" i="1"/>
  <c r="D4901" i="1"/>
  <c r="C4902" i="1"/>
  <c r="D4902" i="1"/>
  <c r="C4903" i="1"/>
  <c r="D4903" i="1"/>
  <c r="C4904" i="1"/>
  <c r="D4904" i="1"/>
  <c r="C4905" i="1"/>
  <c r="D4905" i="1"/>
  <c r="C4906" i="1"/>
  <c r="D4906" i="1"/>
  <c r="C4907" i="1"/>
  <c r="D4907" i="1"/>
  <c r="C4908" i="1"/>
  <c r="D4908" i="1"/>
  <c r="C4909" i="1"/>
  <c r="D4909" i="1"/>
  <c r="C4910" i="1"/>
  <c r="D4910" i="1"/>
  <c r="C4911" i="1"/>
  <c r="D4911" i="1"/>
  <c r="C4912" i="1"/>
  <c r="D4912" i="1"/>
  <c r="C4913" i="1"/>
  <c r="D4913" i="1"/>
  <c r="C4914" i="1"/>
  <c r="D4914" i="1"/>
  <c r="C4915" i="1"/>
  <c r="D4915" i="1"/>
  <c r="C4916" i="1"/>
  <c r="D4916" i="1"/>
  <c r="C4917" i="1"/>
  <c r="D4917" i="1"/>
  <c r="C4918" i="1"/>
  <c r="D4918" i="1"/>
  <c r="C4919" i="1"/>
  <c r="D4919" i="1"/>
  <c r="C4920" i="1"/>
  <c r="D4920" i="1"/>
  <c r="C4921" i="1"/>
  <c r="D4921" i="1"/>
  <c r="C4922" i="1"/>
  <c r="D4922" i="1"/>
  <c r="C4923" i="1"/>
  <c r="D4923" i="1"/>
  <c r="C4924" i="1"/>
  <c r="D4924" i="1"/>
  <c r="C4925" i="1"/>
  <c r="D4925" i="1"/>
  <c r="C4926" i="1"/>
  <c r="D4926" i="1"/>
  <c r="C4927" i="1"/>
  <c r="D4927" i="1"/>
  <c r="C4928" i="1"/>
  <c r="D4928" i="1"/>
  <c r="C4929" i="1"/>
  <c r="D4929" i="1"/>
  <c r="C4930" i="1"/>
  <c r="D4930" i="1"/>
  <c r="C4931" i="1"/>
  <c r="D4931" i="1"/>
  <c r="C4932" i="1"/>
  <c r="D4932" i="1"/>
  <c r="C4933" i="1"/>
  <c r="D4933" i="1"/>
  <c r="C4934" i="1"/>
  <c r="D4934" i="1"/>
  <c r="C4935" i="1"/>
  <c r="D4935" i="1"/>
  <c r="C4936" i="1"/>
  <c r="D4936" i="1"/>
  <c r="C4937" i="1"/>
  <c r="D4937" i="1"/>
  <c r="C4938" i="1"/>
  <c r="D4938" i="1"/>
  <c r="C4939" i="1"/>
  <c r="D4939" i="1"/>
  <c r="C4940" i="1"/>
  <c r="D4940" i="1"/>
  <c r="C4941" i="1"/>
  <c r="D4941" i="1"/>
  <c r="C4942" i="1"/>
  <c r="D4942" i="1"/>
  <c r="C4943" i="1"/>
  <c r="D4943" i="1"/>
  <c r="C4944" i="1"/>
  <c r="D4944" i="1"/>
  <c r="C4945" i="1"/>
  <c r="D4945" i="1"/>
  <c r="C4946" i="1"/>
  <c r="D4946" i="1"/>
  <c r="C4947" i="1"/>
  <c r="D4947" i="1"/>
  <c r="C4948" i="1"/>
  <c r="D4948" i="1"/>
  <c r="C4949" i="1"/>
  <c r="D4949" i="1"/>
  <c r="C4950" i="1"/>
  <c r="D4950" i="1"/>
  <c r="C4951" i="1"/>
  <c r="D4951" i="1"/>
  <c r="C4952" i="1"/>
  <c r="D4952" i="1"/>
  <c r="C4953" i="1"/>
  <c r="D4953" i="1"/>
  <c r="C4954" i="1"/>
  <c r="D4954" i="1"/>
  <c r="C4955" i="1"/>
  <c r="D4955" i="1"/>
  <c r="C4956" i="1"/>
  <c r="D4956" i="1"/>
  <c r="C4957" i="1"/>
  <c r="D4957" i="1"/>
  <c r="C4958" i="1"/>
  <c r="D4958" i="1"/>
  <c r="C4959" i="1"/>
  <c r="D4959" i="1"/>
  <c r="C4960" i="1"/>
  <c r="D4960" i="1"/>
  <c r="C4961" i="1"/>
  <c r="D4961" i="1"/>
  <c r="C4962" i="1"/>
  <c r="D4962" i="1"/>
  <c r="C4963" i="1"/>
  <c r="D4963" i="1"/>
  <c r="C4964" i="1"/>
  <c r="D4964" i="1"/>
  <c r="C4965" i="1"/>
  <c r="D4965" i="1"/>
  <c r="C4966" i="1"/>
  <c r="D4966" i="1"/>
  <c r="C4967" i="1"/>
  <c r="D4967" i="1"/>
  <c r="C4968" i="1"/>
  <c r="D4968" i="1"/>
  <c r="C4969" i="1"/>
  <c r="D4969" i="1"/>
  <c r="C4970" i="1"/>
  <c r="D4970" i="1"/>
  <c r="C4971" i="1"/>
  <c r="D4971" i="1"/>
  <c r="C4972" i="1"/>
  <c r="D4972" i="1"/>
  <c r="C4973" i="1"/>
  <c r="D4973" i="1"/>
  <c r="C4974" i="1"/>
  <c r="D4974" i="1"/>
  <c r="C4975" i="1"/>
  <c r="D4975" i="1"/>
  <c r="C4976" i="1"/>
  <c r="D4976" i="1"/>
  <c r="C4977" i="1"/>
  <c r="D4977" i="1"/>
  <c r="C4978" i="1"/>
  <c r="D4978" i="1"/>
  <c r="C4979" i="1"/>
  <c r="D4979" i="1"/>
  <c r="C4980" i="1"/>
  <c r="D4980" i="1"/>
  <c r="C4981" i="1"/>
  <c r="D4981" i="1"/>
  <c r="C4982" i="1"/>
  <c r="D4982" i="1"/>
  <c r="C4983" i="1"/>
  <c r="D4983" i="1"/>
  <c r="C4984" i="1"/>
  <c r="D4984" i="1"/>
  <c r="C4985" i="1"/>
  <c r="D4985" i="1"/>
  <c r="C4986" i="1"/>
  <c r="D4986" i="1"/>
  <c r="C4987" i="1"/>
  <c r="D4987" i="1"/>
  <c r="C4988" i="1"/>
  <c r="D4988" i="1"/>
  <c r="C4989" i="1"/>
  <c r="D4989" i="1"/>
  <c r="C4990" i="1"/>
  <c r="D4990" i="1"/>
  <c r="C4991" i="1"/>
  <c r="D4991" i="1"/>
  <c r="C4992" i="1"/>
  <c r="D4992" i="1"/>
  <c r="C4993" i="1"/>
  <c r="D4993" i="1"/>
  <c r="C4994" i="1"/>
  <c r="D4994" i="1"/>
  <c r="C4995" i="1"/>
  <c r="D4995" i="1"/>
  <c r="C4996" i="1"/>
  <c r="D4996" i="1"/>
  <c r="C4997" i="1"/>
  <c r="D4997" i="1"/>
  <c r="C4998" i="1"/>
  <c r="D4998" i="1"/>
  <c r="C4999" i="1"/>
  <c r="D4999" i="1"/>
  <c r="C5000" i="1"/>
  <c r="D5000" i="1"/>
  <c r="C5001" i="1"/>
  <c r="D5001" i="1"/>
  <c r="C5002" i="1"/>
  <c r="D5002" i="1"/>
  <c r="C5003" i="1"/>
  <c r="D5003" i="1"/>
  <c r="C5004" i="1"/>
  <c r="D5004" i="1"/>
  <c r="C5005" i="1"/>
  <c r="D5005" i="1"/>
  <c r="C5006" i="1"/>
  <c r="D5006" i="1"/>
  <c r="C5007" i="1"/>
  <c r="D5007" i="1"/>
  <c r="C5008" i="1"/>
  <c r="D5008" i="1"/>
  <c r="C5009" i="1"/>
  <c r="D5009" i="1"/>
  <c r="C5010" i="1"/>
  <c r="D5010" i="1"/>
  <c r="C5011" i="1"/>
  <c r="D5011" i="1"/>
  <c r="C5012" i="1"/>
  <c r="D5012" i="1"/>
  <c r="C5013" i="1"/>
  <c r="D5013" i="1"/>
  <c r="C5014" i="1"/>
  <c r="D5014" i="1"/>
  <c r="C5015" i="1"/>
  <c r="D5015" i="1"/>
  <c r="C5016" i="1"/>
  <c r="D5016" i="1"/>
  <c r="C5017" i="1"/>
  <c r="D5017" i="1"/>
  <c r="C5018" i="1"/>
  <c r="D5018" i="1"/>
  <c r="C5019" i="1"/>
  <c r="D5019" i="1"/>
  <c r="C5020" i="1"/>
  <c r="D5020" i="1"/>
  <c r="C5021" i="1"/>
  <c r="D5021" i="1"/>
  <c r="C5022" i="1"/>
  <c r="D5022" i="1"/>
  <c r="C5023" i="1"/>
  <c r="D5023" i="1"/>
  <c r="C5024" i="1"/>
  <c r="D5024" i="1"/>
  <c r="C5025" i="1"/>
  <c r="D5025" i="1"/>
  <c r="C5026" i="1"/>
  <c r="D5026" i="1"/>
  <c r="C5027" i="1"/>
  <c r="D5027" i="1"/>
  <c r="C5028" i="1"/>
  <c r="D5028" i="1"/>
  <c r="C5029" i="1"/>
  <c r="D5029" i="1"/>
  <c r="C5030" i="1"/>
  <c r="D5030" i="1"/>
  <c r="C5031" i="1"/>
  <c r="D5031" i="1"/>
  <c r="C5032" i="1"/>
  <c r="D5032" i="1"/>
  <c r="C5033" i="1"/>
  <c r="D5033" i="1"/>
  <c r="C5034" i="1"/>
  <c r="D5034" i="1"/>
  <c r="C5035" i="1"/>
  <c r="D5035" i="1"/>
  <c r="C5036" i="1"/>
  <c r="D5036" i="1"/>
  <c r="C5037" i="1"/>
  <c r="D5037" i="1"/>
  <c r="C5038" i="1"/>
  <c r="D5038" i="1"/>
  <c r="C5039" i="1"/>
  <c r="D5039" i="1"/>
  <c r="C5040" i="1"/>
  <c r="D5040" i="1"/>
  <c r="C5041" i="1"/>
  <c r="D5041" i="1"/>
  <c r="C5042" i="1"/>
  <c r="D5042" i="1"/>
  <c r="C5043" i="1"/>
  <c r="D5043" i="1"/>
  <c r="C5044" i="1"/>
  <c r="D5044" i="1"/>
  <c r="C5045" i="1"/>
  <c r="D5045" i="1"/>
  <c r="C5046" i="1"/>
  <c r="D5046" i="1"/>
  <c r="C5047" i="1"/>
  <c r="D5047" i="1"/>
  <c r="C5048" i="1"/>
  <c r="D5048" i="1"/>
  <c r="C5049" i="1"/>
  <c r="D5049" i="1"/>
  <c r="C5050" i="1"/>
  <c r="D5050" i="1"/>
  <c r="C5051" i="1"/>
  <c r="D5051" i="1"/>
  <c r="C5052" i="1"/>
  <c r="D5052" i="1"/>
  <c r="C5053" i="1"/>
  <c r="D5053" i="1"/>
  <c r="C5054" i="1"/>
  <c r="D5054" i="1"/>
  <c r="C5055" i="1"/>
  <c r="D5055" i="1"/>
  <c r="C5056" i="1"/>
  <c r="D5056" i="1"/>
  <c r="C5057" i="1"/>
  <c r="D5057" i="1"/>
  <c r="C5058" i="1"/>
  <c r="D5058" i="1"/>
  <c r="C5059" i="1"/>
  <c r="D5059" i="1"/>
  <c r="C5060" i="1"/>
  <c r="D5060" i="1"/>
  <c r="C5061" i="1"/>
  <c r="D5061" i="1"/>
  <c r="C5062" i="1"/>
  <c r="D5062" i="1"/>
  <c r="C5063" i="1"/>
  <c r="D5063" i="1"/>
  <c r="C5064" i="1"/>
  <c r="D5064" i="1"/>
  <c r="C5065" i="1"/>
  <c r="D5065" i="1"/>
  <c r="C5066" i="1"/>
  <c r="D5066" i="1"/>
  <c r="C5067" i="1"/>
  <c r="D5067" i="1"/>
  <c r="C5068" i="1"/>
  <c r="D5068" i="1"/>
  <c r="C5069" i="1"/>
  <c r="D5069" i="1"/>
  <c r="C5070" i="1"/>
  <c r="D5070" i="1"/>
  <c r="C5071" i="1"/>
  <c r="D5071" i="1"/>
  <c r="C5072" i="1"/>
  <c r="D5072" i="1"/>
  <c r="C5073" i="1"/>
  <c r="D5073" i="1"/>
  <c r="C5074" i="1"/>
  <c r="D5074" i="1"/>
  <c r="C5075" i="1"/>
  <c r="D5075" i="1"/>
  <c r="C5076" i="1"/>
  <c r="D5076" i="1"/>
  <c r="C5077" i="1"/>
  <c r="D5077" i="1"/>
  <c r="C5078" i="1"/>
  <c r="D5078" i="1"/>
  <c r="C5079" i="1"/>
  <c r="D5079" i="1"/>
  <c r="C5080" i="1"/>
  <c r="D5080" i="1"/>
  <c r="C5081" i="1"/>
  <c r="D5081" i="1"/>
  <c r="C5082" i="1"/>
  <c r="D5082" i="1"/>
  <c r="C5083" i="1"/>
  <c r="D5083" i="1"/>
  <c r="C5084" i="1"/>
  <c r="D5084" i="1"/>
  <c r="C5085" i="1"/>
  <c r="D5085" i="1"/>
  <c r="C5086" i="1"/>
  <c r="D5086" i="1"/>
  <c r="C5087" i="1"/>
  <c r="D5087" i="1"/>
  <c r="C5088" i="1"/>
  <c r="D5088" i="1"/>
  <c r="C5089" i="1"/>
  <c r="D5089" i="1"/>
  <c r="C5090" i="1"/>
  <c r="D5090" i="1"/>
  <c r="C5091" i="1"/>
  <c r="D5091" i="1"/>
  <c r="C5092" i="1"/>
  <c r="D5092" i="1"/>
  <c r="C5093" i="1"/>
  <c r="D5093" i="1"/>
  <c r="C5094" i="1"/>
  <c r="D5094" i="1"/>
  <c r="C5095" i="1"/>
  <c r="D5095" i="1"/>
  <c r="C5096" i="1"/>
  <c r="D5096" i="1"/>
  <c r="C5097" i="1"/>
  <c r="D5097" i="1"/>
  <c r="C5098" i="1"/>
  <c r="D5098" i="1"/>
  <c r="C5099" i="1"/>
  <c r="D5099" i="1"/>
  <c r="C5100" i="1"/>
  <c r="D5100" i="1"/>
  <c r="C5101" i="1"/>
  <c r="D5101" i="1"/>
  <c r="C5102" i="1"/>
  <c r="D5102" i="1"/>
  <c r="C5103" i="1"/>
  <c r="D5103" i="1"/>
  <c r="C5104" i="1"/>
  <c r="D5104" i="1"/>
  <c r="C5105" i="1"/>
  <c r="D5105" i="1"/>
  <c r="C5106" i="1"/>
  <c r="D5106" i="1"/>
  <c r="C5107" i="1"/>
  <c r="D5107" i="1"/>
  <c r="C5108" i="1"/>
  <c r="D5108" i="1"/>
  <c r="C5109" i="1"/>
  <c r="D5109" i="1"/>
  <c r="C5110" i="1"/>
  <c r="D5110" i="1"/>
  <c r="C5111" i="1"/>
  <c r="D5111" i="1"/>
  <c r="C5112" i="1"/>
  <c r="D5112" i="1"/>
  <c r="C5113" i="1"/>
  <c r="D5113" i="1"/>
  <c r="C5114" i="1"/>
  <c r="D5114" i="1"/>
  <c r="C5115" i="1"/>
  <c r="D5115" i="1"/>
  <c r="C5116" i="1"/>
  <c r="D5116" i="1"/>
  <c r="C5117" i="1"/>
  <c r="D5117" i="1"/>
  <c r="C5118" i="1"/>
  <c r="D5118" i="1"/>
  <c r="C5119" i="1"/>
  <c r="D5119" i="1"/>
  <c r="C5120" i="1"/>
  <c r="D5120" i="1"/>
  <c r="C5121" i="1"/>
  <c r="D5121" i="1"/>
  <c r="C5122" i="1"/>
  <c r="D5122" i="1"/>
  <c r="C5123" i="1"/>
  <c r="D5123" i="1"/>
  <c r="C5124" i="1"/>
  <c r="D5124" i="1"/>
  <c r="C5125" i="1"/>
  <c r="D5125" i="1"/>
  <c r="C5126" i="1"/>
  <c r="D5126" i="1"/>
  <c r="C5127" i="1"/>
  <c r="D5127" i="1"/>
  <c r="C5128" i="1"/>
  <c r="D5128" i="1"/>
  <c r="C5129" i="1"/>
  <c r="D5129" i="1"/>
  <c r="C5130" i="1"/>
  <c r="D5130" i="1"/>
  <c r="C5131" i="1"/>
  <c r="D5131" i="1"/>
  <c r="C5132" i="1"/>
  <c r="D5132" i="1"/>
  <c r="C5133" i="1"/>
  <c r="D5133" i="1"/>
  <c r="C5134" i="1"/>
  <c r="D5134" i="1"/>
  <c r="C5135" i="1"/>
  <c r="D5135" i="1"/>
  <c r="C5136" i="1"/>
  <c r="D5136" i="1"/>
  <c r="C5137" i="1"/>
  <c r="D5137" i="1"/>
  <c r="C5138" i="1"/>
  <c r="D5138" i="1"/>
  <c r="C5139" i="1"/>
  <c r="D5139" i="1"/>
  <c r="C5140" i="1"/>
  <c r="D5140" i="1"/>
  <c r="C5141" i="1"/>
  <c r="D5141" i="1"/>
  <c r="C5142" i="1"/>
  <c r="D5142" i="1"/>
  <c r="C5143" i="1"/>
  <c r="D5143" i="1"/>
  <c r="C5144" i="1"/>
  <c r="D5144" i="1"/>
  <c r="C5145" i="1"/>
  <c r="D5145" i="1"/>
  <c r="C5146" i="1"/>
  <c r="D5146" i="1"/>
  <c r="C5147" i="1"/>
  <c r="D5147" i="1"/>
  <c r="C5148" i="1"/>
  <c r="D5148" i="1"/>
  <c r="C5149" i="1"/>
  <c r="D5149" i="1"/>
  <c r="C5150" i="1"/>
  <c r="D5150" i="1"/>
  <c r="C5151" i="1"/>
  <c r="D5151" i="1"/>
  <c r="C5152" i="1"/>
  <c r="D5152" i="1"/>
  <c r="C5153" i="1"/>
  <c r="D5153" i="1"/>
  <c r="C5154" i="1"/>
  <c r="D5154" i="1"/>
  <c r="C5155" i="1"/>
  <c r="D5155" i="1"/>
  <c r="C5156" i="1"/>
  <c r="D5156" i="1"/>
  <c r="C5157" i="1"/>
  <c r="D5157" i="1"/>
  <c r="C5158" i="1"/>
  <c r="D5158" i="1"/>
  <c r="C5159" i="1"/>
  <c r="D5159" i="1"/>
  <c r="C5160" i="1"/>
  <c r="D5160" i="1"/>
  <c r="C5161" i="1"/>
  <c r="D5161" i="1"/>
  <c r="C5162" i="1"/>
  <c r="D5162" i="1"/>
  <c r="C5163" i="1"/>
  <c r="D5163" i="1"/>
  <c r="C5164" i="1"/>
  <c r="D5164" i="1"/>
  <c r="C5165" i="1"/>
  <c r="D5165" i="1"/>
  <c r="C5166" i="1"/>
  <c r="D5166" i="1"/>
  <c r="C5167" i="1"/>
  <c r="D5167" i="1"/>
  <c r="C5168" i="1"/>
  <c r="D5168" i="1"/>
  <c r="C5169" i="1"/>
  <c r="D5169" i="1"/>
  <c r="C5170" i="1"/>
  <c r="D5170" i="1"/>
  <c r="C5171" i="1"/>
  <c r="D5171" i="1"/>
  <c r="C5172" i="1"/>
  <c r="D5172" i="1"/>
  <c r="C5173" i="1"/>
  <c r="D5173" i="1"/>
  <c r="C5174" i="1"/>
  <c r="D5174" i="1"/>
  <c r="C5175" i="1"/>
  <c r="D5175" i="1"/>
  <c r="C5176" i="1"/>
  <c r="D5176" i="1"/>
  <c r="C5177" i="1"/>
  <c r="D5177" i="1"/>
  <c r="C5178" i="1"/>
  <c r="D5178" i="1"/>
  <c r="C5179" i="1"/>
  <c r="D5179" i="1"/>
  <c r="C5180" i="1"/>
  <c r="D5180" i="1"/>
  <c r="C5181" i="1"/>
  <c r="D5181" i="1"/>
  <c r="C5182" i="1"/>
  <c r="D5182" i="1"/>
  <c r="C5183" i="1"/>
  <c r="D5183" i="1"/>
  <c r="C5184" i="1"/>
  <c r="D5184" i="1"/>
  <c r="C5185" i="1"/>
  <c r="D5185" i="1"/>
  <c r="C5186" i="1"/>
  <c r="D5186" i="1"/>
  <c r="C5187" i="1"/>
  <c r="D5187" i="1"/>
  <c r="C5188" i="1"/>
  <c r="D5188" i="1"/>
  <c r="C5189" i="1"/>
  <c r="D5189" i="1"/>
  <c r="C5190" i="1"/>
  <c r="D5190" i="1"/>
  <c r="C5191" i="1"/>
  <c r="D5191" i="1"/>
  <c r="C5192" i="1"/>
  <c r="D5192" i="1"/>
  <c r="C5193" i="1"/>
  <c r="D5193" i="1"/>
  <c r="C5194" i="1"/>
  <c r="D5194" i="1"/>
  <c r="C5195" i="1"/>
  <c r="D5195" i="1"/>
  <c r="C5196" i="1"/>
  <c r="D5196" i="1"/>
  <c r="C5197" i="1"/>
  <c r="D5197" i="1"/>
  <c r="C5198" i="1"/>
  <c r="D5198" i="1"/>
  <c r="C5199" i="1"/>
  <c r="D5199" i="1"/>
  <c r="C5200" i="1"/>
  <c r="D5200" i="1"/>
  <c r="C5201" i="1"/>
  <c r="D5201" i="1"/>
  <c r="C5202" i="1"/>
  <c r="D5202" i="1"/>
  <c r="C5203" i="1"/>
  <c r="D5203" i="1"/>
  <c r="C5204" i="1"/>
  <c r="D5204" i="1"/>
  <c r="C5205" i="1"/>
  <c r="D5205" i="1"/>
  <c r="C5206" i="1"/>
  <c r="D5206" i="1"/>
  <c r="C5207" i="1"/>
  <c r="D5207" i="1"/>
  <c r="C5208" i="1"/>
  <c r="D5208" i="1"/>
  <c r="C5209" i="1"/>
  <c r="D5209" i="1"/>
  <c r="C5210" i="1"/>
  <c r="D5210" i="1"/>
  <c r="C5211" i="1"/>
  <c r="D5211" i="1"/>
  <c r="C5212" i="1"/>
  <c r="D5212" i="1"/>
  <c r="C5213" i="1"/>
  <c r="D5213" i="1"/>
  <c r="C5214" i="1"/>
  <c r="D5214" i="1"/>
  <c r="C5215" i="1"/>
  <c r="D5215" i="1"/>
  <c r="C5216" i="1"/>
  <c r="D5216" i="1"/>
  <c r="C5217" i="1"/>
  <c r="D5217" i="1"/>
  <c r="C5218" i="1"/>
  <c r="D5218" i="1"/>
  <c r="C5219" i="1"/>
  <c r="D5219" i="1"/>
  <c r="C5220" i="1"/>
  <c r="D5220" i="1"/>
  <c r="C5221" i="1"/>
  <c r="D5221" i="1"/>
  <c r="C5222" i="1"/>
  <c r="D5222" i="1"/>
  <c r="C5223" i="1"/>
  <c r="D5223" i="1"/>
  <c r="C5224" i="1"/>
  <c r="D5224" i="1"/>
  <c r="C5225" i="1"/>
  <c r="D5225" i="1"/>
  <c r="C5226" i="1"/>
  <c r="D5226" i="1"/>
  <c r="C5227" i="1"/>
  <c r="D5227" i="1"/>
  <c r="C5228" i="1"/>
  <c r="D5228" i="1"/>
  <c r="C5229" i="1"/>
  <c r="D5229" i="1"/>
  <c r="C5230" i="1"/>
  <c r="D5230" i="1"/>
  <c r="C5231" i="1"/>
  <c r="D5231" i="1"/>
  <c r="C5232" i="1"/>
  <c r="D5232" i="1"/>
  <c r="C5233" i="1"/>
  <c r="D5233" i="1"/>
  <c r="C5234" i="1"/>
  <c r="D5234" i="1"/>
  <c r="C5235" i="1"/>
  <c r="D5235" i="1"/>
  <c r="C5236" i="1"/>
  <c r="D5236" i="1"/>
  <c r="C5237" i="1"/>
  <c r="D5237" i="1"/>
  <c r="C5238" i="1"/>
  <c r="D5238" i="1"/>
  <c r="C5239" i="1"/>
  <c r="D5239" i="1"/>
  <c r="C5240" i="1"/>
  <c r="D5240" i="1"/>
  <c r="C5241" i="1"/>
  <c r="D5241" i="1"/>
  <c r="C5242" i="1"/>
  <c r="D5242" i="1"/>
  <c r="C5243" i="1"/>
  <c r="D5243" i="1"/>
  <c r="C5244" i="1"/>
  <c r="D5244" i="1"/>
  <c r="C5245" i="1"/>
  <c r="D5245" i="1"/>
  <c r="C5246" i="1"/>
  <c r="D5246" i="1"/>
  <c r="C5247" i="1"/>
  <c r="D5247" i="1"/>
  <c r="C5248" i="1"/>
  <c r="D5248" i="1"/>
  <c r="C5249" i="1"/>
  <c r="D5249" i="1"/>
  <c r="C5250" i="1"/>
  <c r="D5250" i="1"/>
  <c r="C5251" i="1"/>
  <c r="D5251" i="1"/>
  <c r="C5252" i="1"/>
  <c r="D5252" i="1"/>
  <c r="C5253" i="1"/>
  <c r="D5253" i="1"/>
  <c r="C5254" i="1"/>
  <c r="D5254" i="1"/>
  <c r="C5255" i="1"/>
  <c r="D5255" i="1"/>
  <c r="C5256" i="1"/>
  <c r="D5256" i="1"/>
  <c r="C5257" i="1"/>
  <c r="D5257" i="1"/>
  <c r="C5258" i="1"/>
  <c r="D5258" i="1"/>
  <c r="C5259" i="1"/>
  <c r="D5259" i="1"/>
  <c r="C5260" i="1"/>
  <c r="D5260" i="1"/>
  <c r="C5261" i="1"/>
  <c r="D5261" i="1"/>
  <c r="C5262" i="1"/>
  <c r="D5262" i="1"/>
  <c r="C5263" i="1"/>
  <c r="D5263" i="1"/>
  <c r="C5264" i="1"/>
  <c r="D5264" i="1"/>
  <c r="C5265" i="1"/>
  <c r="D5265" i="1"/>
  <c r="C5266" i="1"/>
  <c r="D5266" i="1"/>
  <c r="C5267" i="1"/>
  <c r="D5267" i="1"/>
  <c r="C5268" i="1"/>
  <c r="D5268" i="1"/>
  <c r="C5269" i="1"/>
  <c r="D5269" i="1"/>
  <c r="C5270" i="1"/>
  <c r="D5270" i="1"/>
  <c r="C5271" i="1"/>
  <c r="D5271" i="1"/>
  <c r="C5272" i="1"/>
  <c r="D5272" i="1"/>
  <c r="C5273" i="1"/>
  <c r="D5273" i="1"/>
  <c r="C5274" i="1"/>
  <c r="D5274" i="1"/>
  <c r="C5275" i="1"/>
  <c r="D5275" i="1"/>
  <c r="C5276" i="1"/>
  <c r="D5276" i="1"/>
  <c r="C5277" i="1"/>
  <c r="D5277" i="1"/>
  <c r="C5278" i="1"/>
  <c r="D5278" i="1"/>
  <c r="C5279" i="1"/>
  <c r="D5279" i="1"/>
  <c r="C5280" i="1"/>
  <c r="D5280" i="1"/>
  <c r="C5281" i="1"/>
  <c r="D5281" i="1"/>
  <c r="C5282" i="1"/>
  <c r="D5282" i="1"/>
  <c r="C5283" i="1"/>
  <c r="D5283" i="1"/>
  <c r="C5284" i="1"/>
  <c r="D5284" i="1"/>
  <c r="C5285" i="1"/>
  <c r="D5285" i="1"/>
  <c r="C5286" i="1"/>
  <c r="D5286" i="1"/>
  <c r="C5287" i="1"/>
  <c r="D5287" i="1"/>
  <c r="C5288" i="1"/>
  <c r="D5288" i="1"/>
  <c r="C5289" i="1"/>
  <c r="D5289" i="1"/>
  <c r="C5290" i="1"/>
  <c r="D5290" i="1"/>
  <c r="C5291" i="1"/>
  <c r="D5291" i="1"/>
  <c r="C5292" i="1"/>
  <c r="D5292" i="1"/>
  <c r="C5293" i="1"/>
  <c r="D5293" i="1"/>
  <c r="C5294" i="1"/>
  <c r="D5294" i="1"/>
  <c r="C5295" i="1"/>
  <c r="D5295" i="1"/>
  <c r="C5296" i="1"/>
  <c r="D5296" i="1"/>
  <c r="C5297" i="1"/>
  <c r="D5297" i="1"/>
  <c r="C5298" i="1"/>
  <c r="D5298" i="1"/>
  <c r="C5299" i="1"/>
  <c r="D5299" i="1"/>
  <c r="C5300" i="1"/>
  <c r="D5300" i="1"/>
  <c r="C5301" i="1"/>
  <c r="D5301" i="1"/>
  <c r="C5302" i="1"/>
  <c r="D5302" i="1"/>
  <c r="C5303" i="1"/>
  <c r="D5303" i="1"/>
  <c r="C5304" i="1"/>
  <c r="D5304" i="1"/>
  <c r="C5305" i="1"/>
  <c r="D5305" i="1"/>
  <c r="C5306" i="1"/>
  <c r="D5306" i="1"/>
  <c r="C5307" i="1"/>
  <c r="D5307" i="1"/>
  <c r="C5308" i="1"/>
  <c r="D5308" i="1"/>
  <c r="C5309" i="1"/>
  <c r="D5309" i="1"/>
  <c r="C5310" i="1"/>
  <c r="D5310" i="1"/>
  <c r="C5311" i="1"/>
  <c r="D5311" i="1"/>
  <c r="C5312" i="1"/>
  <c r="D5312" i="1"/>
  <c r="C5313" i="1"/>
  <c r="D5313" i="1"/>
  <c r="C5314" i="1"/>
  <c r="D5314" i="1"/>
  <c r="C5315" i="1"/>
  <c r="D5315" i="1"/>
  <c r="C5316" i="1"/>
  <c r="D5316" i="1"/>
  <c r="C5317" i="1"/>
  <c r="D5317" i="1"/>
  <c r="C5318" i="1"/>
  <c r="D5318" i="1"/>
  <c r="C5319" i="1"/>
  <c r="D5319" i="1"/>
  <c r="C5320" i="1"/>
  <c r="D5320" i="1"/>
  <c r="C5321" i="1"/>
  <c r="D5321" i="1"/>
  <c r="C5322" i="1"/>
  <c r="D5322" i="1"/>
  <c r="C5323" i="1"/>
  <c r="D5323" i="1"/>
  <c r="C5324" i="1"/>
  <c r="D5324" i="1"/>
  <c r="C5325" i="1"/>
  <c r="D5325" i="1"/>
  <c r="C5326" i="1"/>
  <c r="D5326" i="1"/>
  <c r="C5327" i="1"/>
  <c r="D5327" i="1"/>
  <c r="C5328" i="1"/>
  <c r="D5328" i="1"/>
  <c r="C5329" i="1"/>
  <c r="D5329" i="1"/>
  <c r="C5330" i="1"/>
  <c r="D5330" i="1"/>
  <c r="C5331" i="1"/>
  <c r="D5331" i="1"/>
  <c r="C5332" i="1"/>
  <c r="D5332" i="1"/>
  <c r="C5333" i="1"/>
  <c r="D5333" i="1"/>
  <c r="C5334" i="1"/>
  <c r="D5334" i="1"/>
  <c r="C5335" i="1"/>
  <c r="D5335" i="1"/>
  <c r="C5336" i="1"/>
  <c r="D5336" i="1"/>
  <c r="C5337" i="1"/>
  <c r="D5337" i="1"/>
  <c r="C5338" i="1"/>
  <c r="D5338" i="1"/>
  <c r="C5339" i="1"/>
  <c r="D5339" i="1"/>
  <c r="C5340" i="1"/>
  <c r="D5340" i="1"/>
  <c r="C5341" i="1"/>
  <c r="D5341" i="1"/>
  <c r="C5342" i="1"/>
  <c r="D5342" i="1"/>
  <c r="C5343" i="1"/>
  <c r="D5343" i="1"/>
  <c r="C5344" i="1"/>
  <c r="D5344" i="1"/>
  <c r="C5345" i="1"/>
  <c r="D5345" i="1"/>
  <c r="C5346" i="1"/>
  <c r="D5346" i="1"/>
  <c r="C5347" i="1"/>
  <c r="D5347" i="1"/>
  <c r="C5348" i="1"/>
  <c r="D5348" i="1"/>
  <c r="C5349" i="1"/>
  <c r="D5349" i="1"/>
  <c r="C5350" i="1"/>
  <c r="D5350" i="1"/>
  <c r="C5351" i="1"/>
  <c r="D5351" i="1"/>
  <c r="C5352" i="1"/>
  <c r="D5352" i="1"/>
  <c r="C5353" i="1"/>
  <c r="D5353" i="1"/>
  <c r="C5354" i="1"/>
  <c r="D5354" i="1"/>
  <c r="C5355" i="1"/>
  <c r="D5355" i="1"/>
  <c r="C5356" i="1"/>
  <c r="D5356" i="1"/>
  <c r="C5357" i="1"/>
  <c r="D5357" i="1"/>
  <c r="C5358" i="1"/>
  <c r="D5358" i="1"/>
  <c r="C5359" i="1"/>
  <c r="D5359" i="1"/>
  <c r="C5360" i="1"/>
  <c r="D5360" i="1"/>
  <c r="C5361" i="1"/>
  <c r="D5361" i="1"/>
  <c r="C5362" i="1"/>
  <c r="D5362" i="1"/>
  <c r="C5363" i="1"/>
  <c r="D5363" i="1"/>
  <c r="C5364" i="1"/>
  <c r="D5364" i="1"/>
  <c r="C5365" i="1"/>
  <c r="D5365" i="1"/>
  <c r="C5366" i="1"/>
  <c r="D5366" i="1"/>
  <c r="C5367" i="1"/>
  <c r="D5367" i="1"/>
  <c r="C5368" i="1"/>
  <c r="D5368" i="1"/>
  <c r="C5369" i="1"/>
  <c r="D5369" i="1"/>
  <c r="C5370" i="1"/>
  <c r="D5370" i="1"/>
  <c r="C5371" i="1"/>
  <c r="D5371" i="1"/>
  <c r="C5372" i="1"/>
  <c r="D5372" i="1"/>
  <c r="C5373" i="1"/>
  <c r="D5373" i="1"/>
  <c r="C5374" i="1"/>
  <c r="D5374" i="1"/>
  <c r="C5375" i="1"/>
  <c r="D5375" i="1"/>
  <c r="C5376" i="1"/>
  <c r="D5376" i="1"/>
  <c r="C5377" i="1"/>
  <c r="D5377" i="1"/>
  <c r="C5378" i="1"/>
  <c r="D5378" i="1"/>
  <c r="C5379" i="1"/>
  <c r="D5379" i="1"/>
  <c r="C5380" i="1"/>
  <c r="D5380" i="1"/>
  <c r="C5381" i="1"/>
  <c r="D5381" i="1"/>
  <c r="C5382" i="1"/>
  <c r="D5382" i="1"/>
  <c r="C5383" i="1"/>
  <c r="D5383" i="1"/>
  <c r="C5384" i="1"/>
  <c r="D5384" i="1"/>
  <c r="C5385" i="1"/>
  <c r="D5385" i="1"/>
  <c r="C5386" i="1"/>
  <c r="D5386" i="1"/>
  <c r="C5387" i="1"/>
  <c r="D5387" i="1"/>
  <c r="C5388" i="1"/>
  <c r="D5388" i="1"/>
  <c r="C5389" i="1"/>
  <c r="D5389" i="1"/>
  <c r="C5390" i="1"/>
  <c r="D5390" i="1"/>
  <c r="C5391" i="1"/>
  <c r="D5391" i="1"/>
  <c r="C5392" i="1"/>
  <c r="D5392" i="1"/>
  <c r="C5393" i="1"/>
  <c r="D5393" i="1"/>
  <c r="C5394" i="1"/>
  <c r="D5394" i="1"/>
  <c r="C5395" i="1"/>
  <c r="D5395" i="1"/>
  <c r="C5396" i="1"/>
  <c r="D5396" i="1"/>
  <c r="C5397" i="1"/>
  <c r="D5397" i="1"/>
  <c r="C5398" i="1"/>
  <c r="D5398" i="1"/>
  <c r="C5399" i="1"/>
  <c r="D5399" i="1"/>
  <c r="C5400" i="1"/>
  <c r="D5400" i="1"/>
  <c r="C5401" i="1"/>
  <c r="D5401" i="1"/>
  <c r="C5402" i="1"/>
  <c r="D5402" i="1"/>
  <c r="C5403" i="1"/>
  <c r="D5403" i="1"/>
  <c r="C5404" i="1"/>
  <c r="D5404" i="1"/>
  <c r="C5405" i="1"/>
  <c r="D5405" i="1"/>
  <c r="C5406" i="1"/>
  <c r="D5406" i="1"/>
  <c r="C5407" i="1"/>
  <c r="D5407" i="1"/>
  <c r="C5408" i="1"/>
  <c r="D5408" i="1"/>
  <c r="C5409" i="1"/>
  <c r="D5409" i="1"/>
  <c r="C5410" i="1"/>
  <c r="D5410" i="1"/>
  <c r="C5411" i="1"/>
  <c r="D5411" i="1"/>
  <c r="C5412" i="1"/>
  <c r="D5412" i="1"/>
  <c r="C5413" i="1"/>
  <c r="D5413" i="1"/>
  <c r="C5414" i="1"/>
  <c r="D5414" i="1"/>
  <c r="C5415" i="1"/>
  <c r="D5415" i="1"/>
  <c r="C5416" i="1"/>
  <c r="D5416" i="1"/>
  <c r="C5417" i="1"/>
  <c r="D5417" i="1"/>
  <c r="C5418" i="1"/>
  <c r="D5418" i="1"/>
  <c r="C5419" i="1"/>
  <c r="D5419" i="1"/>
  <c r="C5420" i="1"/>
  <c r="D5420" i="1"/>
  <c r="C5421" i="1"/>
  <c r="D5421" i="1"/>
  <c r="C5422" i="1"/>
  <c r="D5422" i="1"/>
  <c r="C5423" i="1"/>
  <c r="D5423" i="1"/>
  <c r="C5424" i="1"/>
  <c r="D5424" i="1"/>
  <c r="C5425" i="1"/>
  <c r="D5425" i="1"/>
  <c r="C5426" i="1"/>
  <c r="D5426" i="1"/>
  <c r="C5427" i="1"/>
  <c r="D5427" i="1"/>
  <c r="C5428" i="1"/>
  <c r="D5428" i="1"/>
  <c r="C5429" i="1"/>
  <c r="D5429" i="1"/>
  <c r="C5430" i="1"/>
  <c r="D5430" i="1"/>
  <c r="C5431" i="1"/>
  <c r="D5431" i="1"/>
  <c r="C5432" i="1"/>
  <c r="D5432" i="1"/>
  <c r="C5433" i="1"/>
  <c r="D5433" i="1"/>
  <c r="C5434" i="1"/>
  <c r="D5434" i="1"/>
  <c r="C5435" i="1"/>
  <c r="D5435" i="1"/>
  <c r="C5436" i="1"/>
  <c r="D5436" i="1"/>
  <c r="C5437" i="1"/>
  <c r="D5437" i="1"/>
  <c r="C5438" i="1"/>
  <c r="D5438" i="1"/>
  <c r="C5439" i="1"/>
  <c r="D5439" i="1"/>
  <c r="C5440" i="1"/>
  <c r="D5440" i="1"/>
  <c r="C5441" i="1"/>
  <c r="D5441" i="1"/>
  <c r="C5442" i="1"/>
  <c r="D5442" i="1"/>
  <c r="C5443" i="1"/>
  <c r="D5443" i="1"/>
  <c r="C5444" i="1"/>
  <c r="D5444" i="1"/>
  <c r="C5445" i="1"/>
  <c r="D5445" i="1"/>
  <c r="C5446" i="1"/>
  <c r="D5446" i="1"/>
  <c r="C5447" i="1"/>
  <c r="D5447" i="1"/>
  <c r="C5448" i="1"/>
  <c r="D5448" i="1"/>
  <c r="C5449" i="1"/>
  <c r="D5449" i="1"/>
  <c r="C5450" i="1"/>
  <c r="D5450" i="1"/>
  <c r="C5451" i="1"/>
  <c r="D5451" i="1"/>
  <c r="C5452" i="1"/>
  <c r="D5452" i="1"/>
  <c r="C5453" i="1"/>
  <c r="D5453" i="1"/>
  <c r="C5454" i="1"/>
  <c r="D5454" i="1"/>
  <c r="C5455" i="1"/>
  <c r="D5455" i="1"/>
  <c r="C5456" i="1"/>
  <c r="D5456" i="1"/>
  <c r="C5457" i="1"/>
  <c r="D5457" i="1"/>
  <c r="C5458" i="1"/>
  <c r="D5458" i="1"/>
  <c r="C5459" i="1"/>
  <c r="D5459" i="1"/>
  <c r="C5460" i="1"/>
  <c r="D5460" i="1"/>
  <c r="C5461" i="1"/>
  <c r="D5461" i="1"/>
  <c r="C5462" i="1"/>
  <c r="D5462" i="1"/>
  <c r="C5463" i="1"/>
  <c r="D5463" i="1"/>
  <c r="C5464" i="1"/>
  <c r="D5464" i="1"/>
  <c r="C5465" i="1"/>
  <c r="D5465" i="1"/>
  <c r="C5466" i="1"/>
  <c r="D5466" i="1"/>
  <c r="C5467" i="1"/>
  <c r="D5467" i="1"/>
  <c r="C5468" i="1"/>
  <c r="D5468" i="1"/>
  <c r="C5469" i="1"/>
  <c r="D5469" i="1"/>
  <c r="C5470" i="1"/>
  <c r="D5470" i="1"/>
  <c r="C5471" i="1"/>
  <c r="D5471" i="1"/>
  <c r="C5472" i="1"/>
  <c r="D5472" i="1"/>
  <c r="C5473" i="1"/>
  <c r="D5473" i="1"/>
  <c r="C5474" i="1"/>
  <c r="D5474" i="1"/>
  <c r="C5475" i="1"/>
  <c r="D5475" i="1"/>
  <c r="C5476" i="1"/>
  <c r="D5476" i="1"/>
  <c r="C5477" i="1"/>
  <c r="D5477" i="1"/>
  <c r="C5478" i="1"/>
  <c r="D5478" i="1"/>
  <c r="C5479" i="1"/>
  <c r="D5479" i="1"/>
  <c r="C5480" i="1"/>
  <c r="D5480" i="1"/>
  <c r="C5481" i="1"/>
  <c r="D5481" i="1"/>
  <c r="C5482" i="1"/>
  <c r="D5482" i="1"/>
  <c r="C5483" i="1"/>
  <c r="D5483" i="1"/>
  <c r="C5484" i="1"/>
  <c r="D5484" i="1"/>
  <c r="C5485" i="1"/>
  <c r="D5485" i="1"/>
  <c r="C5486" i="1"/>
  <c r="D5486" i="1"/>
  <c r="C5487" i="1"/>
  <c r="D5487" i="1"/>
  <c r="C5488" i="1"/>
  <c r="D5488" i="1"/>
  <c r="C5489" i="1"/>
  <c r="D5489" i="1"/>
  <c r="C5490" i="1"/>
  <c r="D5490" i="1"/>
  <c r="C5491" i="1"/>
  <c r="D5491" i="1"/>
  <c r="C5492" i="1"/>
  <c r="D5492" i="1"/>
  <c r="C5493" i="1"/>
  <c r="D5493" i="1"/>
  <c r="C5494" i="1"/>
  <c r="D5494" i="1"/>
  <c r="C5495" i="1"/>
  <c r="D5495" i="1"/>
  <c r="C5496" i="1"/>
  <c r="D5496" i="1"/>
  <c r="C5497" i="1"/>
  <c r="D5497" i="1"/>
  <c r="C5498" i="1"/>
  <c r="D5498" i="1"/>
  <c r="C5499" i="1"/>
  <c r="D5499" i="1"/>
  <c r="C5500" i="1"/>
  <c r="D5500" i="1"/>
  <c r="C5501" i="1"/>
  <c r="D5501" i="1"/>
  <c r="C5502" i="1"/>
  <c r="D5502" i="1"/>
  <c r="C5503" i="1"/>
  <c r="D5503" i="1"/>
  <c r="C5504" i="1"/>
  <c r="D5504" i="1"/>
  <c r="C5505" i="1"/>
  <c r="D5505" i="1"/>
  <c r="C5506" i="1"/>
  <c r="D5506" i="1"/>
  <c r="C5507" i="1"/>
  <c r="D5507" i="1"/>
  <c r="C5508" i="1"/>
  <c r="D5508" i="1"/>
  <c r="C5509" i="1"/>
  <c r="D5509" i="1"/>
  <c r="C5510" i="1"/>
  <c r="D5510" i="1"/>
  <c r="C5511" i="1"/>
  <c r="D5511" i="1"/>
  <c r="C5512" i="1"/>
  <c r="D5512" i="1"/>
  <c r="C5513" i="1"/>
  <c r="D5513" i="1"/>
  <c r="C5514" i="1"/>
  <c r="D5514" i="1"/>
  <c r="C5515" i="1"/>
  <c r="D5515" i="1"/>
  <c r="C5516" i="1"/>
  <c r="D5516" i="1"/>
  <c r="C5517" i="1"/>
  <c r="D5517" i="1"/>
  <c r="C5518" i="1"/>
  <c r="D5518" i="1"/>
  <c r="C5519" i="1"/>
  <c r="D5519" i="1"/>
  <c r="C5520" i="1"/>
  <c r="D5520" i="1"/>
  <c r="C5521" i="1"/>
  <c r="D5521" i="1"/>
  <c r="C5522" i="1"/>
  <c r="D5522" i="1"/>
  <c r="C5523" i="1"/>
  <c r="D5523" i="1"/>
  <c r="C5524" i="1"/>
  <c r="D5524" i="1"/>
  <c r="C5525" i="1"/>
  <c r="D5525" i="1"/>
  <c r="C5526" i="1"/>
  <c r="D5526" i="1"/>
  <c r="C5527" i="1"/>
  <c r="D5527" i="1"/>
  <c r="C5528" i="1"/>
  <c r="D5528" i="1"/>
  <c r="C5529" i="1"/>
  <c r="D5529" i="1"/>
  <c r="C5530" i="1"/>
  <c r="D5530" i="1"/>
  <c r="C5531" i="1"/>
  <c r="D5531" i="1"/>
  <c r="C5532" i="1"/>
  <c r="D5532" i="1"/>
  <c r="C5533" i="1"/>
  <c r="D5533" i="1"/>
  <c r="C5534" i="1"/>
  <c r="D5534" i="1"/>
  <c r="C5535" i="1"/>
  <c r="D5535" i="1"/>
  <c r="C5536" i="1"/>
  <c r="D5536" i="1"/>
  <c r="C5537" i="1"/>
  <c r="D5537" i="1"/>
  <c r="C5538" i="1"/>
  <c r="D5538" i="1"/>
  <c r="C5539" i="1"/>
  <c r="D5539" i="1"/>
  <c r="C5540" i="1"/>
  <c r="D5540" i="1"/>
  <c r="C5541" i="1"/>
  <c r="D5541" i="1"/>
  <c r="C5542" i="1"/>
  <c r="D5542" i="1"/>
  <c r="C5543" i="1"/>
  <c r="D5543" i="1"/>
  <c r="C5544" i="1"/>
  <c r="D5544" i="1"/>
  <c r="C5545" i="1"/>
  <c r="D5545" i="1"/>
  <c r="C5546" i="1"/>
  <c r="D5546" i="1"/>
  <c r="C5547" i="1"/>
  <c r="D5547" i="1"/>
  <c r="C5548" i="1"/>
  <c r="D5548" i="1"/>
  <c r="C5549" i="1"/>
  <c r="D5549" i="1"/>
  <c r="C5550" i="1"/>
  <c r="D5550" i="1"/>
  <c r="C5551" i="1"/>
  <c r="D5551" i="1"/>
  <c r="C5552" i="1"/>
  <c r="D5552" i="1"/>
  <c r="C5553" i="1"/>
  <c r="D5553" i="1"/>
  <c r="C5554" i="1"/>
  <c r="D5554" i="1"/>
  <c r="C5555" i="1"/>
  <c r="D5555" i="1"/>
  <c r="C5556" i="1"/>
  <c r="D5556" i="1"/>
  <c r="C5557" i="1"/>
  <c r="D5557" i="1"/>
  <c r="C5558" i="1"/>
  <c r="D5558" i="1"/>
  <c r="C5559" i="1"/>
  <c r="D5559" i="1"/>
  <c r="C5560" i="1"/>
  <c r="D5560" i="1"/>
  <c r="C5561" i="1"/>
  <c r="D5561" i="1"/>
  <c r="C5562" i="1"/>
  <c r="D5562" i="1"/>
  <c r="C5563" i="1"/>
  <c r="D5563" i="1"/>
  <c r="C5564" i="1"/>
  <c r="D5564" i="1"/>
  <c r="C5565" i="1"/>
  <c r="D5565" i="1"/>
  <c r="C5566" i="1"/>
  <c r="D5566" i="1"/>
  <c r="C5567" i="1"/>
  <c r="D5567" i="1"/>
  <c r="C5568" i="1"/>
  <c r="D5568" i="1"/>
  <c r="C5569" i="1"/>
  <c r="D5569" i="1"/>
  <c r="C5570" i="1"/>
  <c r="D5570" i="1"/>
  <c r="C5571" i="1"/>
  <c r="D5571" i="1"/>
  <c r="C5572" i="1"/>
  <c r="D5572" i="1"/>
  <c r="C5573" i="1"/>
  <c r="D5573" i="1"/>
  <c r="C5574" i="1"/>
  <c r="D5574" i="1"/>
  <c r="C5575" i="1"/>
  <c r="D5575" i="1"/>
  <c r="C5576" i="1"/>
  <c r="D5576" i="1"/>
  <c r="C5577" i="1"/>
  <c r="D5577" i="1"/>
  <c r="C5578" i="1"/>
  <c r="D5578" i="1"/>
  <c r="C5579" i="1"/>
  <c r="D5579" i="1"/>
  <c r="C5580" i="1"/>
  <c r="D5580" i="1"/>
  <c r="C5581" i="1"/>
  <c r="D5581" i="1"/>
  <c r="C5582" i="1"/>
  <c r="D5582" i="1"/>
  <c r="C5583" i="1"/>
  <c r="D5583" i="1"/>
  <c r="C5584" i="1"/>
  <c r="D5584" i="1"/>
  <c r="C5585" i="1"/>
  <c r="D5585" i="1"/>
  <c r="C5586" i="1"/>
  <c r="D5586" i="1"/>
  <c r="C5587" i="1"/>
  <c r="D5587" i="1"/>
  <c r="C5588" i="1"/>
  <c r="D5588" i="1"/>
  <c r="C5589" i="1"/>
  <c r="D5589" i="1"/>
  <c r="C5590" i="1"/>
  <c r="D5590" i="1"/>
  <c r="C5591" i="1"/>
  <c r="D5591" i="1"/>
  <c r="C5592" i="1"/>
  <c r="D5592" i="1"/>
  <c r="C5593" i="1"/>
  <c r="D5593" i="1"/>
  <c r="C5594" i="1"/>
  <c r="D5594" i="1"/>
  <c r="C5595" i="1"/>
  <c r="D5595" i="1"/>
  <c r="C5596" i="1"/>
  <c r="D5596" i="1"/>
  <c r="C5597" i="1"/>
  <c r="D5597" i="1"/>
  <c r="C5598" i="1"/>
  <c r="D5598" i="1"/>
  <c r="C5599" i="1"/>
  <c r="D5599" i="1"/>
  <c r="C5600" i="1"/>
  <c r="D5600" i="1"/>
  <c r="C5601" i="1"/>
  <c r="D5601" i="1"/>
  <c r="C5602" i="1"/>
  <c r="D5602" i="1"/>
  <c r="C5603" i="1"/>
  <c r="D5603" i="1"/>
  <c r="C5604" i="1"/>
  <c r="D5604" i="1"/>
  <c r="C5605" i="1"/>
  <c r="D5605" i="1"/>
  <c r="C5606" i="1"/>
  <c r="D5606" i="1"/>
  <c r="C5607" i="1"/>
  <c r="D5607" i="1"/>
  <c r="C5608" i="1"/>
  <c r="D5608" i="1"/>
  <c r="C5609" i="1"/>
  <c r="D5609" i="1"/>
  <c r="C5610" i="1"/>
  <c r="D5610" i="1"/>
  <c r="C5611" i="1"/>
  <c r="D5611" i="1"/>
  <c r="C5612" i="1"/>
  <c r="D5612" i="1"/>
  <c r="C5613" i="1"/>
  <c r="D5613" i="1"/>
  <c r="C5614" i="1"/>
  <c r="D5614" i="1"/>
  <c r="C5615" i="1"/>
  <c r="D5615" i="1"/>
  <c r="C5616" i="1"/>
  <c r="D5616" i="1"/>
  <c r="C5617" i="1"/>
  <c r="D5617" i="1"/>
  <c r="C5618" i="1"/>
  <c r="D5618" i="1"/>
  <c r="C5619" i="1"/>
  <c r="D5619" i="1"/>
  <c r="C5620" i="1"/>
  <c r="D5620" i="1"/>
  <c r="C5621" i="1"/>
  <c r="D5621" i="1"/>
  <c r="C5622" i="1"/>
  <c r="D5622" i="1"/>
  <c r="C5623" i="1"/>
  <c r="D5623" i="1"/>
  <c r="C5624" i="1"/>
  <c r="D5624" i="1"/>
  <c r="C5625" i="1"/>
  <c r="D5625" i="1"/>
  <c r="C5626" i="1"/>
  <c r="D5626" i="1"/>
  <c r="C5627" i="1"/>
  <c r="D5627" i="1"/>
  <c r="C5628" i="1"/>
  <c r="D5628" i="1"/>
  <c r="C5629" i="1"/>
  <c r="D5629" i="1"/>
  <c r="C5630" i="1"/>
  <c r="D5630" i="1"/>
  <c r="C5631" i="1"/>
  <c r="D5631" i="1"/>
  <c r="C5632" i="1"/>
  <c r="D5632" i="1"/>
  <c r="C5633" i="1"/>
  <c r="D5633" i="1"/>
  <c r="C5634" i="1"/>
  <c r="D5634" i="1"/>
  <c r="C5635" i="1"/>
  <c r="D5635" i="1"/>
  <c r="C5636" i="1"/>
  <c r="D5636" i="1"/>
  <c r="C5637" i="1"/>
  <c r="D5637" i="1"/>
  <c r="C5638" i="1"/>
  <c r="D5638" i="1"/>
  <c r="C5639" i="1"/>
  <c r="D5639" i="1"/>
  <c r="C5640" i="1"/>
  <c r="D5640" i="1"/>
  <c r="C5641" i="1"/>
  <c r="D5641" i="1"/>
  <c r="C5642" i="1"/>
  <c r="D5642" i="1"/>
  <c r="C5643" i="1"/>
  <c r="D5643" i="1"/>
  <c r="C5644" i="1"/>
  <c r="D5644" i="1"/>
  <c r="C5645" i="1"/>
  <c r="D5645" i="1"/>
  <c r="C5646" i="1"/>
  <c r="D5646" i="1"/>
  <c r="C5647" i="1"/>
  <c r="D5647" i="1"/>
  <c r="C5648" i="1"/>
  <c r="D5648" i="1"/>
  <c r="C5649" i="1"/>
  <c r="D5649" i="1"/>
  <c r="C5650" i="1"/>
  <c r="D5650" i="1"/>
  <c r="C5651" i="1"/>
  <c r="D5651" i="1"/>
  <c r="C5652" i="1"/>
  <c r="D5652" i="1"/>
  <c r="C5653" i="1"/>
  <c r="D5653" i="1"/>
  <c r="C5654" i="1"/>
  <c r="D5654" i="1"/>
  <c r="C5655" i="1"/>
  <c r="D5655" i="1"/>
  <c r="C5656" i="1"/>
  <c r="D5656" i="1"/>
  <c r="C5657" i="1"/>
  <c r="D5657" i="1"/>
  <c r="C5658" i="1"/>
  <c r="D5658" i="1"/>
  <c r="C5659" i="1"/>
  <c r="D5659" i="1"/>
  <c r="C5660" i="1"/>
  <c r="D5660" i="1"/>
  <c r="C5661" i="1"/>
  <c r="D5661" i="1"/>
  <c r="C5662" i="1"/>
  <c r="D5662" i="1"/>
  <c r="C5663" i="1"/>
  <c r="D5663" i="1"/>
  <c r="C5664" i="1"/>
  <c r="D5664" i="1"/>
  <c r="C5665" i="1"/>
  <c r="D5665" i="1"/>
  <c r="C5666" i="1"/>
  <c r="D5666" i="1"/>
  <c r="C5667" i="1"/>
  <c r="D5667" i="1"/>
  <c r="C5668" i="1"/>
  <c r="D5668" i="1"/>
  <c r="C5669" i="1"/>
  <c r="D5669" i="1"/>
  <c r="C5670" i="1"/>
  <c r="D5670" i="1"/>
  <c r="C5671" i="1"/>
  <c r="D5671" i="1"/>
  <c r="C5672" i="1"/>
  <c r="D5672" i="1"/>
  <c r="C5673" i="1"/>
  <c r="D5673" i="1"/>
  <c r="C5674" i="1"/>
  <c r="D5674" i="1"/>
  <c r="C5675" i="1"/>
  <c r="D5675" i="1"/>
  <c r="C5676" i="1"/>
  <c r="D5676" i="1"/>
  <c r="C5677" i="1"/>
  <c r="D5677" i="1"/>
  <c r="C5678" i="1"/>
  <c r="D5678" i="1"/>
  <c r="C5679" i="1"/>
  <c r="D5679" i="1"/>
  <c r="C5680" i="1"/>
  <c r="D5680" i="1"/>
  <c r="C5681" i="1"/>
  <c r="D5681" i="1"/>
  <c r="C5682" i="1"/>
  <c r="D5682" i="1"/>
  <c r="C5683" i="1"/>
  <c r="D5683" i="1"/>
  <c r="C5684" i="1"/>
  <c r="D5684" i="1"/>
  <c r="C5685" i="1"/>
  <c r="D5685" i="1"/>
  <c r="C5686" i="1"/>
  <c r="D5686" i="1"/>
  <c r="C5687" i="1"/>
  <c r="D5687" i="1"/>
  <c r="C5688" i="1"/>
  <c r="D5688" i="1"/>
  <c r="C5689" i="1"/>
  <c r="D5689" i="1"/>
  <c r="C5690" i="1"/>
  <c r="D5690" i="1"/>
  <c r="C5691" i="1"/>
  <c r="D5691" i="1"/>
  <c r="C5692" i="1"/>
  <c r="D5692" i="1"/>
  <c r="C5693" i="1"/>
  <c r="D5693" i="1"/>
  <c r="C5694" i="1"/>
  <c r="D5694" i="1"/>
  <c r="C5695" i="1"/>
  <c r="D5695" i="1"/>
  <c r="C5696" i="1"/>
  <c r="D5696" i="1"/>
  <c r="C5697" i="1"/>
  <c r="D5697" i="1"/>
  <c r="C5698" i="1"/>
  <c r="D5698" i="1"/>
  <c r="C5699" i="1"/>
  <c r="D5699" i="1"/>
  <c r="C5700" i="1"/>
  <c r="D5700" i="1"/>
  <c r="C5701" i="1"/>
  <c r="D5701" i="1"/>
  <c r="C5702" i="1"/>
  <c r="D5702" i="1"/>
  <c r="C5703" i="1"/>
  <c r="D5703" i="1"/>
  <c r="C5704" i="1"/>
  <c r="D5704" i="1"/>
  <c r="C5705" i="1"/>
  <c r="D5705" i="1"/>
  <c r="C5706" i="1"/>
  <c r="D5706" i="1"/>
  <c r="C5707" i="1"/>
  <c r="D5707" i="1"/>
  <c r="C5708" i="1"/>
  <c r="D5708" i="1"/>
  <c r="C5709" i="1"/>
  <c r="D5709" i="1"/>
  <c r="C5710" i="1"/>
  <c r="D5710" i="1"/>
  <c r="C5711" i="1"/>
  <c r="D5711" i="1"/>
  <c r="C5712" i="1"/>
  <c r="D5712" i="1"/>
  <c r="C5713" i="1"/>
  <c r="D5713" i="1"/>
  <c r="C5714" i="1"/>
  <c r="D5714" i="1"/>
  <c r="C5715" i="1"/>
  <c r="D5715" i="1"/>
  <c r="C5716" i="1"/>
  <c r="D5716" i="1"/>
  <c r="C5717" i="1"/>
  <c r="D5717" i="1"/>
  <c r="C5718" i="1"/>
  <c r="D5718" i="1"/>
  <c r="C5719" i="1"/>
  <c r="D5719" i="1"/>
  <c r="C5720" i="1"/>
  <c r="D5720" i="1"/>
  <c r="C5721" i="1"/>
  <c r="D5721" i="1"/>
  <c r="C5722" i="1"/>
  <c r="D5722" i="1"/>
  <c r="C5723" i="1"/>
  <c r="D5723" i="1"/>
  <c r="C5724" i="1"/>
  <c r="D5724" i="1"/>
  <c r="C5725" i="1"/>
  <c r="D5725" i="1"/>
  <c r="C5726" i="1"/>
  <c r="D5726" i="1"/>
  <c r="C5727" i="1"/>
  <c r="D5727" i="1"/>
  <c r="C5728" i="1"/>
  <c r="D5728" i="1"/>
  <c r="C5729" i="1"/>
  <c r="D5729" i="1"/>
  <c r="C5730" i="1"/>
  <c r="D5730" i="1"/>
  <c r="C5731" i="1"/>
  <c r="D5731" i="1"/>
  <c r="C5732" i="1"/>
  <c r="D5732" i="1"/>
  <c r="C5733" i="1"/>
  <c r="D5733" i="1"/>
  <c r="C5734" i="1"/>
  <c r="D5734" i="1"/>
  <c r="C5735" i="1"/>
  <c r="D5735" i="1"/>
  <c r="C5736" i="1"/>
  <c r="D5736" i="1"/>
  <c r="C5737" i="1"/>
  <c r="D5737" i="1"/>
  <c r="C5738" i="1"/>
  <c r="D5738" i="1"/>
  <c r="C5739" i="1"/>
  <c r="D5739" i="1"/>
  <c r="C5740" i="1"/>
  <c r="D5740" i="1"/>
  <c r="C5741" i="1"/>
  <c r="D5741" i="1"/>
  <c r="C5742" i="1"/>
  <c r="D5742" i="1"/>
  <c r="C5743" i="1"/>
  <c r="D5743" i="1"/>
  <c r="C5744" i="1"/>
  <c r="D5744" i="1"/>
  <c r="C5745" i="1"/>
  <c r="D5745" i="1"/>
  <c r="C5746" i="1"/>
  <c r="D5746" i="1"/>
  <c r="C5747" i="1"/>
  <c r="D5747" i="1"/>
  <c r="C5748" i="1"/>
  <c r="D5748" i="1"/>
  <c r="C5749" i="1"/>
  <c r="D5749" i="1"/>
  <c r="C5750" i="1"/>
  <c r="D5750" i="1"/>
  <c r="C5751" i="1"/>
  <c r="D5751" i="1"/>
  <c r="C5752" i="1"/>
  <c r="D5752" i="1"/>
  <c r="C5753" i="1"/>
  <c r="D5753" i="1"/>
  <c r="C5754" i="1"/>
  <c r="D5754" i="1"/>
  <c r="C5755" i="1"/>
  <c r="D5755" i="1"/>
  <c r="C5756" i="1"/>
  <c r="D5756" i="1"/>
  <c r="C5757" i="1"/>
  <c r="D5757" i="1"/>
  <c r="C5758" i="1"/>
  <c r="D5758" i="1"/>
  <c r="C5759" i="1"/>
  <c r="D5759" i="1"/>
  <c r="C5760" i="1"/>
  <c r="D5760" i="1"/>
  <c r="C5761" i="1"/>
  <c r="D5761" i="1"/>
  <c r="C5762" i="1"/>
  <c r="D5762" i="1"/>
  <c r="C5763" i="1"/>
  <c r="D5763" i="1"/>
  <c r="C5764" i="1"/>
  <c r="D5764" i="1"/>
  <c r="C5765" i="1"/>
  <c r="D5765" i="1"/>
  <c r="C5766" i="1"/>
  <c r="D5766" i="1"/>
  <c r="C5767" i="1"/>
  <c r="D5767" i="1"/>
  <c r="C5768" i="1"/>
  <c r="D5768" i="1"/>
  <c r="C5769" i="1"/>
  <c r="D5769" i="1"/>
  <c r="C5770" i="1"/>
  <c r="D5770" i="1"/>
  <c r="C5771" i="1"/>
  <c r="D5771" i="1"/>
  <c r="C5772" i="1"/>
  <c r="D5772" i="1"/>
  <c r="C5773" i="1"/>
  <c r="D5773" i="1"/>
  <c r="C5774" i="1"/>
  <c r="D5774" i="1"/>
  <c r="C5775" i="1"/>
  <c r="D5775" i="1"/>
  <c r="C5776" i="1"/>
  <c r="D5776" i="1"/>
  <c r="C5777" i="1"/>
  <c r="D5777" i="1"/>
  <c r="C5778" i="1"/>
  <c r="D5778" i="1"/>
  <c r="C5779" i="1"/>
  <c r="D5779" i="1"/>
  <c r="C5780" i="1"/>
  <c r="D5780" i="1"/>
  <c r="C5781" i="1"/>
  <c r="D5781" i="1"/>
  <c r="C5782" i="1"/>
  <c r="D5782" i="1"/>
  <c r="C5783" i="1"/>
  <c r="D5783" i="1"/>
  <c r="C5784" i="1"/>
  <c r="D5784" i="1"/>
  <c r="C5785" i="1"/>
  <c r="D5785" i="1"/>
  <c r="C5786" i="1"/>
  <c r="D5786" i="1"/>
  <c r="C5787" i="1"/>
  <c r="D5787" i="1"/>
  <c r="C5788" i="1"/>
  <c r="D5788" i="1"/>
  <c r="C5789" i="1"/>
  <c r="D5789" i="1"/>
  <c r="C5790" i="1"/>
  <c r="D5790" i="1"/>
  <c r="C5791" i="1"/>
  <c r="D5791" i="1"/>
  <c r="C5792" i="1"/>
  <c r="D5792" i="1"/>
  <c r="C5793" i="1"/>
  <c r="D5793" i="1"/>
  <c r="C5794" i="1"/>
  <c r="D5794" i="1"/>
  <c r="C5795" i="1"/>
  <c r="D5795" i="1"/>
  <c r="C5796" i="1"/>
  <c r="D5796" i="1"/>
  <c r="C5797" i="1"/>
  <c r="D5797" i="1"/>
  <c r="C5798" i="1"/>
  <c r="D5798" i="1"/>
  <c r="C5799" i="1"/>
  <c r="D5799" i="1"/>
  <c r="C5800" i="1"/>
  <c r="D5800" i="1"/>
  <c r="C5801" i="1"/>
  <c r="D5801" i="1"/>
  <c r="C5802" i="1"/>
  <c r="D5802" i="1"/>
  <c r="C5803" i="1"/>
  <c r="D5803" i="1"/>
  <c r="C5804" i="1"/>
  <c r="D5804" i="1"/>
  <c r="C5805" i="1"/>
  <c r="D5805" i="1"/>
  <c r="C5806" i="1"/>
  <c r="D5806" i="1"/>
  <c r="C5807" i="1"/>
  <c r="D5807" i="1"/>
  <c r="C5808" i="1"/>
  <c r="D5808" i="1"/>
  <c r="C5809" i="1"/>
  <c r="D5809" i="1"/>
  <c r="C5810" i="1"/>
  <c r="D5810" i="1"/>
  <c r="C5811" i="1"/>
  <c r="D5811" i="1"/>
  <c r="C5812" i="1"/>
  <c r="D5812" i="1"/>
  <c r="C5813" i="1"/>
  <c r="D5813" i="1"/>
  <c r="C5814" i="1"/>
  <c r="D5814" i="1"/>
  <c r="C5815" i="1"/>
  <c r="D5815" i="1"/>
  <c r="C5816" i="1"/>
  <c r="D5816" i="1"/>
  <c r="C5817" i="1"/>
  <c r="D5817" i="1"/>
  <c r="C5818" i="1"/>
  <c r="D5818" i="1"/>
  <c r="C5819" i="1"/>
  <c r="D5819" i="1"/>
  <c r="C5820" i="1"/>
  <c r="D5820" i="1"/>
  <c r="C5821" i="1"/>
  <c r="D5821" i="1"/>
  <c r="C5822" i="1"/>
  <c r="D5822" i="1"/>
  <c r="C5823" i="1"/>
  <c r="D5823" i="1"/>
  <c r="C5824" i="1"/>
  <c r="D5824" i="1"/>
  <c r="C5825" i="1"/>
  <c r="D5825" i="1"/>
  <c r="C5826" i="1"/>
  <c r="D5826" i="1"/>
  <c r="C5827" i="1"/>
  <c r="D5827" i="1"/>
  <c r="C5828" i="1"/>
  <c r="D5828" i="1"/>
  <c r="C5829" i="1"/>
  <c r="D5829" i="1"/>
  <c r="C5830" i="1"/>
  <c r="D5830" i="1"/>
  <c r="C5831" i="1"/>
  <c r="D5831" i="1"/>
  <c r="C5832" i="1"/>
  <c r="D5832" i="1"/>
  <c r="C5833" i="1"/>
  <c r="D5833" i="1"/>
  <c r="C5834" i="1"/>
  <c r="D5834" i="1"/>
  <c r="C5835" i="1"/>
  <c r="D5835" i="1"/>
  <c r="C5836" i="1"/>
  <c r="D5836" i="1"/>
  <c r="C5837" i="1"/>
  <c r="D5837" i="1"/>
  <c r="C5838" i="1"/>
  <c r="D5838" i="1"/>
  <c r="C5839" i="1"/>
  <c r="D5839" i="1"/>
  <c r="C5840" i="1"/>
  <c r="D5840" i="1"/>
  <c r="C5841" i="1"/>
  <c r="D5841" i="1"/>
  <c r="C5842" i="1"/>
  <c r="D5842" i="1"/>
  <c r="C5843" i="1"/>
  <c r="D5843" i="1"/>
  <c r="C5844" i="1"/>
  <c r="D5844" i="1"/>
  <c r="C5845" i="1"/>
  <c r="D5845" i="1"/>
  <c r="C5846" i="1"/>
  <c r="D5846" i="1"/>
  <c r="C5847" i="1"/>
  <c r="D5847" i="1"/>
  <c r="C5848" i="1"/>
  <c r="D5848" i="1"/>
  <c r="C5849" i="1"/>
  <c r="D5849" i="1"/>
  <c r="C5850" i="1"/>
  <c r="D5850" i="1"/>
  <c r="C5851" i="1"/>
  <c r="D5851" i="1"/>
  <c r="C5852" i="1"/>
  <c r="D5852" i="1"/>
  <c r="C5853" i="1"/>
  <c r="D5853" i="1"/>
  <c r="C5854" i="1"/>
  <c r="D5854" i="1"/>
  <c r="C5855" i="1"/>
  <c r="D5855" i="1"/>
  <c r="C5856" i="1"/>
  <c r="D5856" i="1"/>
  <c r="C5857" i="1"/>
  <c r="D5857" i="1"/>
  <c r="C5858" i="1"/>
  <c r="D5858" i="1"/>
  <c r="C5859" i="1"/>
  <c r="D5859" i="1"/>
  <c r="C5860" i="1"/>
  <c r="D5860" i="1"/>
  <c r="C5861" i="1"/>
  <c r="D5861" i="1"/>
  <c r="C5862" i="1"/>
  <c r="D5862" i="1"/>
  <c r="C5863" i="1"/>
  <c r="D5863" i="1"/>
  <c r="C5864" i="1"/>
  <c r="D5864" i="1"/>
  <c r="C5865" i="1"/>
  <c r="D5865" i="1"/>
  <c r="C5866" i="1"/>
  <c r="D5866" i="1"/>
  <c r="C5867" i="1"/>
  <c r="D5867" i="1"/>
  <c r="C5868" i="1"/>
  <c r="D5868" i="1"/>
  <c r="C5869" i="1"/>
  <c r="D5869" i="1"/>
  <c r="C5870" i="1"/>
  <c r="D5870" i="1"/>
  <c r="C5871" i="1"/>
  <c r="D5871" i="1"/>
  <c r="C5872" i="1"/>
  <c r="D5872" i="1"/>
  <c r="C5873" i="1"/>
  <c r="D5873" i="1"/>
  <c r="C5874" i="1"/>
  <c r="D5874" i="1"/>
  <c r="C5875" i="1"/>
  <c r="D5875" i="1"/>
  <c r="C5876" i="1"/>
  <c r="D5876" i="1"/>
  <c r="C5877" i="1"/>
  <c r="D5877" i="1"/>
  <c r="C5878" i="1"/>
  <c r="D5878" i="1"/>
  <c r="C5879" i="1"/>
  <c r="D5879" i="1"/>
  <c r="C5880" i="1"/>
  <c r="D5880" i="1"/>
  <c r="C5881" i="1"/>
  <c r="D5881" i="1"/>
  <c r="C5882" i="1"/>
  <c r="D5882" i="1"/>
  <c r="C5883" i="1"/>
  <c r="D5883" i="1"/>
  <c r="C5884" i="1"/>
  <c r="D5884" i="1"/>
  <c r="C5885" i="1"/>
  <c r="D5885" i="1"/>
  <c r="C5886" i="1"/>
  <c r="D5886" i="1"/>
  <c r="C5887" i="1"/>
  <c r="D5887" i="1"/>
  <c r="C5888" i="1"/>
  <c r="D5888" i="1"/>
  <c r="C5889" i="1"/>
  <c r="D5889" i="1"/>
  <c r="C5890" i="1"/>
  <c r="D5890" i="1"/>
  <c r="C5891" i="1"/>
  <c r="D5891" i="1"/>
  <c r="C5892" i="1"/>
  <c r="D5892" i="1"/>
  <c r="C5893" i="1"/>
  <c r="D5893" i="1"/>
  <c r="C5894" i="1"/>
  <c r="D5894" i="1"/>
  <c r="C5895" i="1"/>
  <c r="D5895" i="1"/>
  <c r="C5896" i="1"/>
  <c r="D5896" i="1"/>
  <c r="C5897" i="1"/>
  <c r="D5897" i="1"/>
  <c r="C5898" i="1"/>
  <c r="D5898" i="1"/>
  <c r="C5899" i="1"/>
  <c r="D5899" i="1"/>
  <c r="C5900" i="1"/>
  <c r="D5900" i="1"/>
  <c r="C5901" i="1"/>
  <c r="D5901" i="1"/>
  <c r="C5902" i="1"/>
  <c r="D5902" i="1"/>
  <c r="C5903" i="1"/>
  <c r="D5903" i="1"/>
  <c r="C5904" i="1"/>
  <c r="D5904" i="1"/>
  <c r="C5905" i="1"/>
  <c r="D5905" i="1"/>
  <c r="C5906" i="1"/>
  <c r="D5906" i="1"/>
  <c r="C5907" i="1"/>
  <c r="D5907" i="1"/>
  <c r="C5908" i="1"/>
  <c r="D5908" i="1"/>
  <c r="C5909" i="1"/>
  <c r="D5909" i="1"/>
  <c r="C5910" i="1"/>
  <c r="D5910" i="1"/>
  <c r="C5911" i="1"/>
  <c r="D5911" i="1"/>
  <c r="C5912" i="1"/>
  <c r="D5912" i="1"/>
  <c r="C5913" i="1"/>
  <c r="D5913" i="1"/>
  <c r="C5914" i="1"/>
  <c r="D5914" i="1"/>
  <c r="C5915" i="1"/>
  <c r="D5915" i="1"/>
  <c r="C5916" i="1"/>
  <c r="D5916" i="1"/>
  <c r="C5917" i="1"/>
  <c r="D5917" i="1"/>
  <c r="C5918" i="1"/>
  <c r="D5918" i="1"/>
  <c r="C5919" i="1"/>
  <c r="D5919" i="1"/>
  <c r="C5920" i="1"/>
  <c r="D5920" i="1"/>
  <c r="C5921" i="1"/>
  <c r="D5921" i="1"/>
  <c r="C5922" i="1"/>
  <c r="D5922" i="1"/>
  <c r="C5923" i="1"/>
  <c r="D5923" i="1"/>
  <c r="C5924" i="1"/>
  <c r="D5924" i="1"/>
  <c r="C5925" i="1"/>
  <c r="D5925" i="1"/>
  <c r="C5926" i="1"/>
  <c r="D5926" i="1"/>
  <c r="C5927" i="1"/>
  <c r="D5927" i="1"/>
  <c r="C5928" i="1"/>
  <c r="D5928" i="1"/>
  <c r="C5929" i="1"/>
  <c r="D5929" i="1"/>
  <c r="C5930" i="1"/>
  <c r="D5930" i="1"/>
  <c r="C5931" i="1"/>
  <c r="D5931" i="1"/>
  <c r="C5932" i="1"/>
  <c r="D5932" i="1"/>
  <c r="C5933" i="1"/>
  <c r="D5933" i="1"/>
  <c r="C5934" i="1"/>
  <c r="D5934" i="1"/>
  <c r="C5935" i="1"/>
  <c r="D5935" i="1"/>
  <c r="C5936" i="1"/>
  <c r="D5936" i="1"/>
  <c r="C5937" i="1"/>
  <c r="D5937" i="1"/>
  <c r="C5938" i="1"/>
  <c r="D5938" i="1"/>
  <c r="C5939" i="1"/>
  <c r="D5939" i="1"/>
  <c r="C5940" i="1"/>
  <c r="D5940" i="1"/>
  <c r="C5941" i="1"/>
  <c r="D5941" i="1"/>
  <c r="C5942" i="1"/>
  <c r="D5942" i="1"/>
  <c r="C5943" i="1"/>
  <c r="D5943" i="1"/>
  <c r="C5944" i="1"/>
  <c r="D5944" i="1"/>
  <c r="C5945" i="1"/>
  <c r="D5945" i="1"/>
  <c r="C5946" i="1"/>
  <c r="D5946" i="1"/>
  <c r="C5947" i="1"/>
  <c r="D5947" i="1"/>
  <c r="C5948" i="1"/>
  <c r="D5948" i="1"/>
  <c r="C5949" i="1"/>
  <c r="D5949" i="1"/>
  <c r="C5950" i="1"/>
  <c r="D5950" i="1"/>
  <c r="C5951" i="1"/>
  <c r="D5951" i="1"/>
  <c r="C5952" i="1"/>
  <c r="D5952" i="1"/>
  <c r="C5953" i="1"/>
  <c r="D5953" i="1"/>
  <c r="C5954" i="1"/>
  <c r="D5954" i="1"/>
  <c r="C5955" i="1"/>
  <c r="D5955" i="1"/>
  <c r="C5956" i="1"/>
  <c r="D5956" i="1"/>
  <c r="C5957" i="1"/>
  <c r="D5957" i="1"/>
  <c r="C5958" i="1"/>
  <c r="D5958" i="1"/>
  <c r="C5959" i="1"/>
  <c r="D5959" i="1"/>
  <c r="C5960" i="1"/>
  <c r="D5960" i="1"/>
  <c r="C5961" i="1"/>
  <c r="D5961" i="1"/>
  <c r="C5962" i="1"/>
  <c r="D5962" i="1"/>
  <c r="C5963" i="1"/>
  <c r="D5963" i="1"/>
  <c r="C5964" i="1"/>
  <c r="D5964" i="1"/>
  <c r="C5965" i="1"/>
  <c r="D5965" i="1"/>
  <c r="C5966" i="1"/>
  <c r="D5966" i="1"/>
  <c r="C5967" i="1"/>
  <c r="D5967" i="1"/>
  <c r="C5968" i="1"/>
  <c r="D5968" i="1"/>
  <c r="C5969" i="1"/>
  <c r="D5969" i="1"/>
  <c r="C5970" i="1"/>
  <c r="D5970" i="1"/>
  <c r="C5971" i="1"/>
  <c r="D5971" i="1"/>
  <c r="C5972" i="1"/>
  <c r="D5972" i="1"/>
  <c r="C5973" i="1"/>
  <c r="D5973" i="1"/>
  <c r="C5974" i="1"/>
  <c r="D5974" i="1"/>
  <c r="C5975" i="1"/>
  <c r="D5975" i="1"/>
  <c r="C5976" i="1"/>
  <c r="D5976" i="1"/>
  <c r="C5977" i="1"/>
  <c r="D5977" i="1"/>
  <c r="C5978" i="1"/>
  <c r="D5978" i="1"/>
  <c r="C5979" i="1"/>
  <c r="D5979" i="1"/>
  <c r="C5980" i="1"/>
  <c r="D5980" i="1"/>
  <c r="C5981" i="1"/>
  <c r="D5981" i="1"/>
  <c r="C5982" i="1"/>
  <c r="D5982" i="1"/>
  <c r="C5983" i="1"/>
  <c r="D5983" i="1"/>
  <c r="C5984" i="1"/>
  <c r="D5984" i="1"/>
  <c r="C5985" i="1"/>
  <c r="D5985" i="1"/>
  <c r="C5986" i="1"/>
  <c r="D5986" i="1"/>
  <c r="C5987" i="1"/>
  <c r="D5987" i="1"/>
  <c r="C5988" i="1"/>
  <c r="D5988" i="1"/>
  <c r="C5989" i="1"/>
  <c r="D5989" i="1"/>
  <c r="C5990" i="1"/>
  <c r="D5990" i="1"/>
  <c r="C5991" i="1"/>
  <c r="D5991" i="1"/>
  <c r="C5992" i="1"/>
  <c r="D5992" i="1"/>
  <c r="C5993" i="1"/>
  <c r="D5993" i="1"/>
  <c r="C5994" i="1"/>
  <c r="D5994" i="1"/>
  <c r="C5995" i="1"/>
  <c r="D5995" i="1"/>
  <c r="C5996" i="1"/>
  <c r="D5996" i="1"/>
  <c r="C5997" i="1"/>
  <c r="D5997" i="1"/>
  <c r="C5998" i="1"/>
  <c r="D5998" i="1"/>
  <c r="C5999" i="1"/>
  <c r="D5999" i="1"/>
  <c r="C6000" i="1"/>
  <c r="D6000" i="1"/>
  <c r="C6001" i="1"/>
  <c r="D6001" i="1"/>
  <c r="C6002" i="1"/>
  <c r="D6002" i="1"/>
  <c r="C6003" i="1"/>
  <c r="D6003" i="1"/>
  <c r="C6004" i="1"/>
  <c r="D6004" i="1"/>
  <c r="C6005" i="1"/>
  <c r="D6005" i="1"/>
  <c r="C6006" i="1"/>
  <c r="D6006" i="1"/>
  <c r="C6007" i="1"/>
  <c r="D6007" i="1"/>
  <c r="C6008" i="1"/>
  <c r="D6008" i="1"/>
  <c r="C6009" i="1"/>
  <c r="D6009" i="1"/>
  <c r="C6010" i="1"/>
  <c r="D6010" i="1"/>
  <c r="C6011" i="1"/>
  <c r="D6011" i="1"/>
  <c r="C6012" i="1"/>
  <c r="D6012" i="1"/>
  <c r="C6013" i="1"/>
  <c r="D6013" i="1"/>
  <c r="C6014" i="1"/>
  <c r="D6014" i="1"/>
  <c r="C6015" i="1"/>
  <c r="D6015" i="1"/>
  <c r="C6016" i="1"/>
  <c r="D6016" i="1"/>
  <c r="C6017" i="1"/>
  <c r="D6017" i="1"/>
  <c r="C6018" i="1"/>
  <c r="D6018" i="1"/>
  <c r="C6019" i="1"/>
  <c r="D6019" i="1"/>
  <c r="C6020" i="1"/>
  <c r="D6020" i="1"/>
  <c r="C6021" i="1"/>
  <c r="D6021" i="1"/>
  <c r="C6022" i="1"/>
  <c r="D6022" i="1"/>
  <c r="C6023" i="1"/>
  <c r="D6023" i="1"/>
  <c r="C6024" i="1"/>
  <c r="D6024" i="1"/>
  <c r="C6025" i="1"/>
  <c r="D6025" i="1"/>
  <c r="C6026" i="1"/>
  <c r="D6026" i="1"/>
  <c r="C6027" i="1"/>
  <c r="D6027" i="1"/>
  <c r="C6028" i="1"/>
  <c r="D6028" i="1"/>
  <c r="C6029" i="1"/>
  <c r="D6029" i="1"/>
  <c r="C6030" i="1"/>
  <c r="D6030" i="1"/>
  <c r="C6031" i="1"/>
  <c r="D6031" i="1"/>
  <c r="C6032" i="1"/>
  <c r="D6032" i="1"/>
  <c r="C6033" i="1"/>
  <c r="D6033" i="1"/>
  <c r="C6034" i="1"/>
  <c r="D6034" i="1"/>
  <c r="C6035" i="1"/>
  <c r="D6035" i="1"/>
  <c r="C6036" i="1"/>
  <c r="D6036" i="1"/>
  <c r="C6037" i="1"/>
  <c r="D6037" i="1"/>
  <c r="C6038" i="1"/>
  <c r="D6038" i="1"/>
  <c r="C6039" i="1"/>
  <c r="D6039" i="1"/>
  <c r="C6040" i="1"/>
  <c r="D6040" i="1"/>
  <c r="C6041" i="1"/>
  <c r="D6041" i="1"/>
  <c r="C6042" i="1"/>
  <c r="D6042" i="1"/>
  <c r="C6043" i="1"/>
  <c r="D6043" i="1"/>
  <c r="C6044" i="1"/>
  <c r="D6044" i="1"/>
  <c r="C6045" i="1"/>
  <c r="D6045" i="1"/>
  <c r="C6046" i="1"/>
  <c r="D6046" i="1"/>
  <c r="C6047" i="1"/>
  <c r="D6047" i="1"/>
  <c r="C6048" i="1"/>
  <c r="D6048" i="1"/>
  <c r="C6049" i="1"/>
  <c r="D6049" i="1"/>
  <c r="C6050" i="1"/>
  <c r="D6050" i="1"/>
  <c r="C6051" i="1"/>
  <c r="D6051" i="1"/>
  <c r="C6052" i="1"/>
  <c r="D6052" i="1"/>
  <c r="C6053" i="1"/>
  <c r="D6053" i="1"/>
  <c r="C6054" i="1"/>
  <c r="D6054" i="1"/>
  <c r="C6055" i="1"/>
  <c r="D6055" i="1"/>
  <c r="C6056" i="1"/>
  <c r="D6056" i="1"/>
  <c r="C6057" i="1"/>
  <c r="D6057" i="1"/>
  <c r="C6058" i="1"/>
  <c r="D6058" i="1"/>
  <c r="C6059" i="1"/>
  <c r="D6059" i="1"/>
  <c r="C6060" i="1"/>
  <c r="D6060" i="1"/>
  <c r="C6061" i="1"/>
  <c r="D6061" i="1"/>
  <c r="C6062" i="1"/>
  <c r="D6062" i="1"/>
  <c r="C6063" i="1"/>
  <c r="D6063" i="1"/>
  <c r="C6064" i="1"/>
  <c r="D6064" i="1"/>
  <c r="C6065" i="1"/>
  <c r="D6065" i="1"/>
  <c r="C6066" i="1"/>
  <c r="D6066" i="1"/>
  <c r="C6067" i="1"/>
  <c r="D6067" i="1"/>
  <c r="C6068" i="1"/>
  <c r="D6068" i="1"/>
  <c r="C6069" i="1"/>
  <c r="D6069" i="1"/>
  <c r="C6070" i="1"/>
  <c r="D6070" i="1"/>
  <c r="C6071" i="1"/>
  <c r="D6071" i="1"/>
  <c r="C6072" i="1"/>
  <c r="D6072" i="1"/>
  <c r="C6073" i="1"/>
  <c r="D6073" i="1"/>
  <c r="C6074" i="1"/>
  <c r="D6074" i="1"/>
  <c r="C6075" i="1"/>
  <c r="D6075" i="1"/>
  <c r="C6076" i="1"/>
  <c r="D6076" i="1"/>
  <c r="C6077" i="1"/>
  <c r="D6077" i="1"/>
  <c r="C6078" i="1"/>
  <c r="D6078" i="1"/>
  <c r="C6079" i="1"/>
  <c r="D6079" i="1"/>
  <c r="C6080" i="1"/>
  <c r="D6080" i="1"/>
  <c r="C6081" i="1"/>
  <c r="D6081" i="1"/>
  <c r="C6082" i="1"/>
  <c r="D6082" i="1"/>
  <c r="C6083" i="1"/>
  <c r="D6083" i="1"/>
  <c r="C6084" i="1"/>
  <c r="D6084" i="1"/>
  <c r="C6085" i="1"/>
  <c r="D6085" i="1"/>
  <c r="C6086" i="1"/>
  <c r="D6086" i="1"/>
  <c r="C6087" i="1"/>
  <c r="D6087" i="1"/>
  <c r="C6088" i="1"/>
  <c r="D6088" i="1"/>
  <c r="C6089" i="1"/>
  <c r="D6089" i="1"/>
  <c r="C6090" i="1"/>
  <c r="D6090" i="1"/>
  <c r="C6091" i="1"/>
  <c r="D6091" i="1"/>
  <c r="C6092" i="1"/>
  <c r="D6092" i="1"/>
  <c r="C6093" i="1"/>
  <c r="D6093" i="1"/>
  <c r="C6094" i="1"/>
  <c r="D6094" i="1"/>
  <c r="C6095" i="1"/>
  <c r="D6095" i="1"/>
  <c r="C6096" i="1"/>
  <c r="D6096" i="1"/>
  <c r="C6097" i="1"/>
  <c r="D6097" i="1"/>
  <c r="C6098" i="1"/>
  <c r="D6098" i="1"/>
  <c r="C6099" i="1"/>
  <c r="D6099" i="1"/>
  <c r="C6100" i="1"/>
  <c r="D6100" i="1"/>
  <c r="C6101" i="1"/>
  <c r="D6101" i="1"/>
  <c r="C6102" i="1"/>
  <c r="D6102" i="1"/>
  <c r="C6103" i="1"/>
  <c r="D6103" i="1"/>
  <c r="C6104" i="1"/>
  <c r="D6104" i="1"/>
  <c r="C6105" i="1"/>
  <c r="D6105" i="1"/>
  <c r="C6106" i="1"/>
  <c r="D6106" i="1"/>
  <c r="C6107" i="1"/>
  <c r="D6107" i="1"/>
  <c r="C6108" i="1"/>
  <c r="D6108" i="1"/>
  <c r="C6109" i="1"/>
  <c r="D6109" i="1"/>
  <c r="C6110" i="1"/>
  <c r="D6110" i="1"/>
  <c r="C6111" i="1"/>
  <c r="D6111" i="1"/>
  <c r="C6112" i="1"/>
  <c r="D6112" i="1"/>
  <c r="C6113" i="1"/>
  <c r="D6113" i="1"/>
  <c r="C6114" i="1"/>
  <c r="D6114" i="1"/>
  <c r="C6115" i="1"/>
  <c r="D6115" i="1"/>
  <c r="C6116" i="1"/>
  <c r="D6116" i="1"/>
  <c r="C6117" i="1"/>
  <c r="D6117" i="1"/>
  <c r="C6118" i="1"/>
  <c r="D6118" i="1"/>
  <c r="C6119" i="1"/>
  <c r="D6119" i="1"/>
  <c r="C6120" i="1"/>
  <c r="D6120" i="1"/>
  <c r="C6121" i="1"/>
  <c r="D6121" i="1"/>
  <c r="C6122" i="1"/>
  <c r="D6122" i="1"/>
  <c r="C6123" i="1"/>
  <c r="D6123" i="1"/>
  <c r="C6124" i="1"/>
  <c r="D6124" i="1"/>
  <c r="C6125" i="1"/>
  <c r="D6125" i="1"/>
  <c r="C6126" i="1"/>
  <c r="D6126" i="1"/>
  <c r="C6127" i="1"/>
  <c r="D6127" i="1"/>
  <c r="C6128" i="1"/>
  <c r="D6128" i="1"/>
  <c r="C6129" i="1"/>
  <c r="D6129" i="1"/>
  <c r="C6130" i="1"/>
  <c r="D6130" i="1"/>
  <c r="C6131" i="1"/>
  <c r="D6131" i="1"/>
  <c r="C6132" i="1"/>
  <c r="D6132" i="1"/>
  <c r="C6133" i="1"/>
  <c r="D6133" i="1"/>
  <c r="C6134" i="1"/>
  <c r="D6134" i="1"/>
  <c r="C6135" i="1"/>
  <c r="D6135" i="1"/>
  <c r="C6136" i="1"/>
  <c r="D6136" i="1"/>
  <c r="C6137" i="1"/>
  <c r="D6137" i="1"/>
  <c r="C6138" i="1"/>
  <c r="D6138" i="1"/>
  <c r="C6139" i="1"/>
  <c r="D6139" i="1"/>
  <c r="C6140" i="1"/>
  <c r="D6140" i="1"/>
  <c r="C6141" i="1"/>
  <c r="D6141" i="1"/>
  <c r="C6142" i="1"/>
  <c r="D6142" i="1"/>
  <c r="C6143" i="1"/>
  <c r="D6143" i="1"/>
  <c r="C6144" i="1"/>
  <c r="D6144" i="1"/>
  <c r="C6145" i="1"/>
  <c r="D6145" i="1"/>
  <c r="C6146" i="1"/>
  <c r="D6146" i="1"/>
  <c r="C6147" i="1"/>
  <c r="D6147" i="1"/>
  <c r="C6148" i="1"/>
  <c r="D6148" i="1"/>
  <c r="C6149" i="1"/>
  <c r="D6149" i="1"/>
  <c r="C6150" i="1"/>
  <c r="D6150" i="1"/>
  <c r="C6151" i="1"/>
  <c r="D6151" i="1"/>
  <c r="C6152" i="1"/>
  <c r="D6152" i="1"/>
  <c r="C6153" i="1"/>
  <c r="D6153" i="1"/>
  <c r="C6154" i="1"/>
  <c r="D6154" i="1"/>
  <c r="C6155" i="1"/>
  <c r="D6155" i="1"/>
  <c r="C6156" i="1"/>
  <c r="D6156" i="1"/>
  <c r="C6157" i="1"/>
  <c r="D6157" i="1"/>
  <c r="C6158" i="1"/>
  <c r="D6158" i="1"/>
  <c r="C6159" i="1"/>
  <c r="D6159" i="1"/>
  <c r="C6160" i="1"/>
  <c r="D6160" i="1"/>
  <c r="C6161" i="1"/>
  <c r="D6161" i="1"/>
  <c r="C6162" i="1"/>
  <c r="D6162" i="1"/>
  <c r="C6163" i="1"/>
  <c r="D6163" i="1"/>
  <c r="C6164" i="1"/>
  <c r="D6164" i="1"/>
  <c r="C6165" i="1"/>
  <c r="D6165" i="1"/>
  <c r="C6166" i="1"/>
  <c r="D6166" i="1"/>
  <c r="C6167" i="1"/>
  <c r="D6167" i="1"/>
  <c r="C6168" i="1"/>
  <c r="D6168" i="1"/>
  <c r="C6169" i="1"/>
  <c r="D6169" i="1"/>
  <c r="C6170" i="1"/>
  <c r="D6170" i="1"/>
  <c r="C6171" i="1"/>
  <c r="D6171" i="1"/>
  <c r="C6172" i="1"/>
  <c r="D6172" i="1"/>
  <c r="C6173" i="1"/>
  <c r="D6173" i="1"/>
  <c r="C6174" i="1"/>
  <c r="D6174" i="1"/>
  <c r="C6175" i="1"/>
  <c r="D6175" i="1"/>
  <c r="C6176" i="1"/>
  <c r="D6176" i="1"/>
  <c r="C6177" i="1"/>
  <c r="D6177" i="1"/>
  <c r="C6178" i="1"/>
  <c r="D6178" i="1"/>
  <c r="C6179" i="1"/>
  <c r="D6179" i="1"/>
  <c r="C6180" i="1"/>
  <c r="D6180" i="1"/>
  <c r="C6181" i="1"/>
  <c r="D6181" i="1"/>
  <c r="C6182" i="1"/>
  <c r="D6182" i="1"/>
  <c r="C6183" i="1"/>
  <c r="D6183" i="1"/>
  <c r="C6184" i="1"/>
  <c r="D6184" i="1"/>
  <c r="C6185" i="1"/>
  <c r="D6185" i="1"/>
  <c r="C6186" i="1"/>
  <c r="D6186" i="1"/>
  <c r="C6187" i="1"/>
  <c r="D6187" i="1"/>
  <c r="C6188" i="1"/>
  <c r="D6188" i="1"/>
  <c r="C6189" i="1"/>
  <c r="D6189" i="1"/>
  <c r="C6190" i="1"/>
  <c r="D6190" i="1"/>
  <c r="C6191" i="1"/>
  <c r="D6191" i="1"/>
  <c r="C6192" i="1"/>
  <c r="D6192" i="1"/>
  <c r="C6193" i="1"/>
  <c r="D6193" i="1"/>
  <c r="C6194" i="1"/>
  <c r="D6194" i="1"/>
  <c r="C6195" i="1"/>
  <c r="D6195" i="1"/>
  <c r="C6196" i="1"/>
  <c r="D6196" i="1"/>
  <c r="C6197" i="1"/>
  <c r="D6197" i="1"/>
  <c r="C6198" i="1"/>
  <c r="D6198" i="1"/>
  <c r="C6199" i="1"/>
  <c r="D6199" i="1"/>
  <c r="C6200" i="1"/>
  <c r="D6200" i="1"/>
  <c r="C6201" i="1"/>
  <c r="D6201" i="1"/>
  <c r="C6202" i="1"/>
  <c r="D6202" i="1"/>
  <c r="C6203" i="1"/>
  <c r="D6203" i="1"/>
  <c r="C6204" i="1"/>
  <c r="D6204" i="1"/>
  <c r="C6205" i="1"/>
  <c r="D6205" i="1"/>
  <c r="C6206" i="1"/>
  <c r="D6206" i="1"/>
  <c r="C6207" i="1"/>
  <c r="D6207" i="1"/>
  <c r="C6208" i="1"/>
  <c r="D6208" i="1"/>
  <c r="C6209" i="1"/>
  <c r="D6209" i="1"/>
  <c r="C6210" i="1"/>
  <c r="D6210" i="1"/>
  <c r="C6211" i="1"/>
  <c r="D6211" i="1"/>
  <c r="C6212" i="1"/>
  <c r="D6212" i="1"/>
  <c r="C6213" i="1"/>
  <c r="D6213" i="1"/>
  <c r="C6214" i="1"/>
  <c r="D6214" i="1"/>
  <c r="C6215" i="1"/>
  <c r="D6215" i="1"/>
  <c r="C6216" i="1"/>
  <c r="D6216" i="1"/>
  <c r="C6217" i="1"/>
  <c r="D6217" i="1"/>
  <c r="C6218" i="1"/>
  <c r="D6218" i="1"/>
  <c r="C6219" i="1"/>
  <c r="D6219" i="1"/>
  <c r="C6220" i="1"/>
  <c r="D6220" i="1"/>
  <c r="C6221" i="1"/>
  <c r="D6221" i="1"/>
  <c r="C6222" i="1"/>
  <c r="D6222" i="1"/>
  <c r="C6223" i="1"/>
  <c r="D6223" i="1"/>
  <c r="C6224" i="1"/>
  <c r="D6224" i="1"/>
  <c r="C6225" i="1"/>
  <c r="D6225" i="1"/>
  <c r="C6226" i="1"/>
  <c r="D6226" i="1"/>
  <c r="C6227" i="1"/>
  <c r="D6227" i="1"/>
  <c r="C6228" i="1"/>
  <c r="D6228" i="1"/>
  <c r="C6229" i="1"/>
  <c r="D6229" i="1"/>
  <c r="C6230" i="1"/>
  <c r="D6230" i="1"/>
  <c r="C6231" i="1"/>
  <c r="D6231" i="1"/>
  <c r="C6232" i="1"/>
  <c r="D6232" i="1"/>
  <c r="C6233" i="1"/>
  <c r="D6233" i="1"/>
  <c r="C6234" i="1"/>
  <c r="D6234" i="1"/>
  <c r="C6235" i="1"/>
  <c r="D6235" i="1"/>
  <c r="C6236" i="1"/>
  <c r="D6236" i="1"/>
  <c r="C6237" i="1"/>
  <c r="D6237" i="1"/>
  <c r="C6238" i="1"/>
  <c r="D6238" i="1"/>
  <c r="C6239" i="1"/>
  <c r="D6239" i="1"/>
  <c r="C6240" i="1"/>
  <c r="D6240" i="1"/>
  <c r="C6241" i="1"/>
  <c r="D6241" i="1"/>
  <c r="C6242" i="1"/>
  <c r="D6242" i="1"/>
  <c r="C6243" i="1"/>
  <c r="D6243" i="1"/>
  <c r="C6244" i="1"/>
  <c r="D6244" i="1"/>
  <c r="C6245" i="1"/>
  <c r="D6245" i="1"/>
  <c r="C6246" i="1"/>
  <c r="D6246" i="1"/>
  <c r="C6247" i="1"/>
  <c r="D6247" i="1"/>
  <c r="C6248" i="1"/>
  <c r="D6248" i="1"/>
  <c r="C6249" i="1"/>
  <c r="D6249" i="1"/>
  <c r="C6250" i="1"/>
  <c r="D6250" i="1"/>
  <c r="C6251" i="1"/>
  <c r="D6251" i="1"/>
  <c r="C6252" i="1"/>
  <c r="D6252" i="1"/>
  <c r="C6253" i="1"/>
  <c r="D6253" i="1"/>
  <c r="C6254" i="1"/>
  <c r="D6254" i="1"/>
  <c r="C6255" i="1"/>
  <c r="D6255" i="1"/>
  <c r="C6256" i="1"/>
  <c r="D6256" i="1"/>
  <c r="C6257" i="1"/>
  <c r="D6257" i="1"/>
  <c r="C6258" i="1"/>
  <c r="D6258" i="1"/>
  <c r="C6259" i="1"/>
  <c r="D6259" i="1"/>
  <c r="C6260" i="1"/>
  <c r="D6260" i="1"/>
  <c r="C6261" i="1"/>
  <c r="D6261" i="1"/>
  <c r="C6262" i="1"/>
  <c r="D6262" i="1"/>
  <c r="C6263" i="1"/>
  <c r="D6263" i="1"/>
  <c r="C6264" i="1"/>
  <c r="D6264" i="1"/>
  <c r="C6265" i="1"/>
  <c r="D6265" i="1"/>
  <c r="C6266" i="1"/>
  <c r="D6266" i="1"/>
  <c r="C6267" i="1"/>
  <c r="D6267" i="1"/>
  <c r="C6268" i="1"/>
  <c r="D6268" i="1"/>
  <c r="C6269" i="1"/>
  <c r="D6269" i="1"/>
  <c r="C6270" i="1"/>
  <c r="D6270" i="1"/>
  <c r="C6271" i="1"/>
  <c r="D6271" i="1"/>
  <c r="C6272" i="1"/>
  <c r="D6272" i="1"/>
  <c r="C6273" i="1"/>
  <c r="D6273" i="1"/>
  <c r="C6274" i="1"/>
  <c r="D6274" i="1"/>
  <c r="C6275" i="1"/>
  <c r="D6275" i="1"/>
  <c r="C6276" i="1"/>
  <c r="D6276" i="1"/>
  <c r="C6277" i="1"/>
  <c r="D6277" i="1"/>
  <c r="C6278" i="1"/>
  <c r="D6278" i="1"/>
  <c r="C6279" i="1"/>
  <c r="D6279" i="1"/>
  <c r="C6280" i="1"/>
  <c r="D6280" i="1"/>
  <c r="C6281" i="1"/>
  <c r="D6281" i="1"/>
  <c r="C6282" i="1"/>
  <c r="D6282" i="1"/>
  <c r="C6283" i="1"/>
  <c r="D6283" i="1"/>
  <c r="C6284" i="1"/>
  <c r="D6284" i="1"/>
  <c r="C6285" i="1"/>
  <c r="D6285" i="1"/>
  <c r="C6286" i="1"/>
  <c r="D6286" i="1"/>
  <c r="C6287" i="1"/>
  <c r="D6287" i="1"/>
  <c r="C6288" i="1"/>
  <c r="D6288" i="1"/>
  <c r="C6289" i="1"/>
  <c r="D6289" i="1"/>
  <c r="C6290" i="1"/>
  <c r="D6290" i="1"/>
  <c r="C6291" i="1"/>
  <c r="D6291" i="1"/>
  <c r="C6292" i="1"/>
  <c r="D6292" i="1"/>
  <c r="C6293" i="1"/>
  <c r="D6293" i="1"/>
  <c r="C6294" i="1"/>
  <c r="D6294" i="1"/>
  <c r="C6295" i="1"/>
  <c r="D6295" i="1"/>
  <c r="C6296" i="1"/>
  <c r="D6296" i="1"/>
  <c r="C6297" i="1"/>
  <c r="D6297" i="1"/>
  <c r="C6298" i="1"/>
  <c r="D6298" i="1"/>
  <c r="C6299" i="1"/>
  <c r="D6299" i="1"/>
  <c r="C6300" i="1"/>
  <c r="D6300" i="1"/>
  <c r="C6301" i="1"/>
  <c r="D6301" i="1"/>
  <c r="C6302" i="1"/>
  <c r="D6302" i="1"/>
  <c r="C6303" i="1"/>
  <c r="D6303" i="1"/>
  <c r="C6304" i="1"/>
  <c r="D6304" i="1"/>
  <c r="C6305" i="1"/>
  <c r="D6305" i="1"/>
  <c r="C6306" i="1"/>
  <c r="D6306" i="1"/>
  <c r="C6307" i="1"/>
  <c r="D6307" i="1"/>
  <c r="C6308" i="1"/>
  <c r="D6308" i="1"/>
  <c r="C6309" i="1"/>
  <c r="D6309" i="1"/>
  <c r="C6310" i="1"/>
  <c r="D6310" i="1"/>
  <c r="C6311" i="1"/>
  <c r="D6311" i="1"/>
  <c r="C6312" i="1"/>
  <c r="D6312" i="1"/>
  <c r="C6313" i="1"/>
  <c r="D6313" i="1"/>
  <c r="C6314" i="1"/>
  <c r="D6314" i="1"/>
  <c r="C6315" i="1"/>
  <c r="D6315" i="1"/>
  <c r="C6316" i="1"/>
  <c r="D6316" i="1"/>
  <c r="C6317" i="1"/>
  <c r="D6317" i="1"/>
  <c r="C6318" i="1"/>
  <c r="D6318" i="1"/>
  <c r="C6319" i="1"/>
  <c r="D6319" i="1"/>
  <c r="C6320" i="1"/>
  <c r="D6320" i="1"/>
  <c r="C6321" i="1"/>
  <c r="D6321" i="1"/>
  <c r="C6322" i="1"/>
  <c r="D6322" i="1"/>
  <c r="C6323" i="1"/>
  <c r="D6323" i="1"/>
  <c r="C6324" i="1"/>
  <c r="D6324" i="1"/>
  <c r="C6325" i="1"/>
  <c r="D6325" i="1"/>
  <c r="C6326" i="1"/>
  <c r="D6326" i="1"/>
  <c r="C6327" i="1"/>
  <c r="D6327" i="1"/>
  <c r="C6328" i="1"/>
  <c r="D6328" i="1"/>
  <c r="C6329" i="1"/>
  <c r="D6329" i="1"/>
  <c r="C6330" i="1"/>
  <c r="D6330" i="1"/>
  <c r="C6331" i="1"/>
  <c r="D6331" i="1"/>
  <c r="C6332" i="1"/>
  <c r="D6332" i="1"/>
  <c r="C6333" i="1"/>
  <c r="D6333" i="1"/>
  <c r="C6334" i="1"/>
  <c r="D6334" i="1"/>
  <c r="C6335" i="1"/>
  <c r="D6335" i="1"/>
  <c r="C6336" i="1"/>
  <c r="D6336" i="1"/>
  <c r="C6337" i="1"/>
  <c r="D6337" i="1"/>
  <c r="C6338" i="1"/>
  <c r="D6338" i="1"/>
  <c r="C6339" i="1"/>
  <c r="D6339" i="1"/>
  <c r="C6340" i="1"/>
  <c r="D6340" i="1"/>
  <c r="C6341" i="1"/>
  <c r="D6341" i="1"/>
  <c r="C6342" i="1"/>
  <c r="D6342" i="1"/>
  <c r="C6343" i="1"/>
  <c r="D6343" i="1"/>
  <c r="C6344" i="1"/>
  <c r="D6344" i="1"/>
  <c r="C6345" i="1"/>
  <c r="D6345" i="1"/>
  <c r="C6346" i="1"/>
  <c r="D6346" i="1"/>
  <c r="C6347" i="1"/>
  <c r="D6347" i="1"/>
  <c r="C6348" i="1"/>
  <c r="D6348" i="1"/>
  <c r="C6349" i="1"/>
  <c r="D6349" i="1"/>
  <c r="C6350" i="1"/>
  <c r="D6350" i="1"/>
  <c r="C6351" i="1"/>
  <c r="D6351" i="1"/>
  <c r="C6352" i="1"/>
  <c r="D6352" i="1"/>
  <c r="C6353" i="1"/>
  <c r="D6353" i="1"/>
  <c r="C6354" i="1"/>
  <c r="D6354" i="1"/>
  <c r="C6355" i="1"/>
  <c r="D6355" i="1"/>
  <c r="C6356" i="1"/>
  <c r="D6356" i="1"/>
  <c r="C6357" i="1"/>
  <c r="D6357" i="1"/>
  <c r="C6358" i="1"/>
  <c r="D6358" i="1"/>
  <c r="C6359" i="1"/>
  <c r="D6359" i="1"/>
  <c r="C6360" i="1"/>
  <c r="D6360" i="1"/>
  <c r="C6361" i="1"/>
  <c r="D6361" i="1"/>
  <c r="C6362" i="1"/>
  <c r="D6362" i="1"/>
  <c r="C6363" i="1"/>
  <c r="D6363" i="1"/>
  <c r="C6364" i="1"/>
  <c r="D6364" i="1"/>
  <c r="C6365" i="1"/>
  <c r="D6365" i="1"/>
  <c r="C6366" i="1"/>
  <c r="D6366" i="1"/>
  <c r="C6367" i="1"/>
  <c r="D6367" i="1"/>
  <c r="C6368" i="1"/>
  <c r="D6368" i="1"/>
  <c r="C6369" i="1"/>
  <c r="D6369" i="1"/>
  <c r="C6370" i="1"/>
  <c r="D6370" i="1"/>
  <c r="C6371" i="1"/>
  <c r="D6371" i="1"/>
  <c r="C6372" i="1"/>
  <c r="D6372" i="1"/>
  <c r="C6373" i="1"/>
  <c r="D6373" i="1"/>
  <c r="C6374" i="1"/>
  <c r="D6374" i="1"/>
  <c r="C6375" i="1"/>
  <c r="D6375" i="1"/>
  <c r="C6376" i="1"/>
  <c r="D6376" i="1"/>
  <c r="C6377" i="1"/>
  <c r="D6377" i="1"/>
  <c r="C6378" i="1"/>
  <c r="D6378" i="1"/>
  <c r="C6379" i="1"/>
  <c r="D6379" i="1"/>
  <c r="C6380" i="1"/>
  <c r="D6380" i="1"/>
  <c r="C6381" i="1"/>
  <c r="D6381" i="1"/>
  <c r="C6382" i="1"/>
  <c r="D6382" i="1"/>
  <c r="C6383" i="1"/>
  <c r="D6383" i="1"/>
  <c r="C6384" i="1"/>
  <c r="D6384" i="1"/>
  <c r="C6385" i="1"/>
  <c r="D6385" i="1"/>
  <c r="C6386" i="1"/>
  <c r="D6386" i="1"/>
  <c r="C6387" i="1"/>
  <c r="D6387" i="1"/>
  <c r="C6388" i="1"/>
  <c r="D6388" i="1"/>
  <c r="C6389" i="1"/>
  <c r="D6389" i="1"/>
  <c r="C6390" i="1"/>
  <c r="D6390" i="1"/>
  <c r="C6391" i="1"/>
  <c r="D6391" i="1"/>
  <c r="C6392" i="1"/>
  <c r="D6392" i="1"/>
  <c r="C6393" i="1"/>
  <c r="D6393" i="1"/>
  <c r="C6394" i="1"/>
  <c r="D6394" i="1"/>
  <c r="C6395" i="1"/>
  <c r="D6395" i="1"/>
  <c r="C6396" i="1"/>
  <c r="D6396" i="1"/>
  <c r="C6397" i="1"/>
  <c r="D6397" i="1"/>
  <c r="C6398" i="1"/>
  <c r="D6398" i="1"/>
  <c r="C6399" i="1"/>
  <c r="D6399" i="1"/>
  <c r="C6400" i="1"/>
  <c r="D6400" i="1"/>
  <c r="C6401" i="1"/>
  <c r="D6401" i="1"/>
  <c r="C6402" i="1"/>
  <c r="D6402" i="1"/>
  <c r="C6403" i="1"/>
  <c r="D6403" i="1"/>
  <c r="C6404" i="1"/>
  <c r="D6404" i="1"/>
  <c r="C6405" i="1"/>
  <c r="D6405" i="1"/>
  <c r="C6406" i="1"/>
  <c r="D6406" i="1"/>
  <c r="C6407" i="1"/>
  <c r="D6407" i="1"/>
  <c r="C6408" i="1"/>
  <c r="D6408" i="1"/>
  <c r="C6409" i="1"/>
  <c r="D6409" i="1"/>
  <c r="C6410" i="1"/>
  <c r="D6410" i="1"/>
  <c r="C6411" i="1"/>
  <c r="D6411" i="1"/>
  <c r="C6412" i="1"/>
  <c r="D6412" i="1"/>
  <c r="C6413" i="1"/>
  <c r="D6413" i="1"/>
  <c r="C6414" i="1"/>
  <c r="D6414" i="1"/>
  <c r="C6415" i="1"/>
  <c r="D6415" i="1"/>
  <c r="C6416" i="1"/>
  <c r="D6416" i="1"/>
  <c r="C6417" i="1"/>
  <c r="D6417" i="1"/>
  <c r="C6418" i="1"/>
  <c r="D6418" i="1"/>
  <c r="C6419" i="1"/>
  <c r="D6419" i="1"/>
  <c r="C6420" i="1"/>
  <c r="D6420" i="1"/>
  <c r="C6421" i="1"/>
  <c r="D6421" i="1"/>
  <c r="C6422" i="1"/>
  <c r="D6422" i="1"/>
  <c r="C6423" i="1"/>
  <c r="D6423" i="1"/>
  <c r="C6424" i="1"/>
  <c r="D6424" i="1"/>
  <c r="C6425" i="1"/>
  <c r="D6425" i="1"/>
  <c r="C6426" i="1"/>
  <c r="D6426" i="1"/>
  <c r="C6427" i="1"/>
  <c r="D6427" i="1"/>
  <c r="C6428" i="1"/>
  <c r="D6428" i="1"/>
  <c r="C6429" i="1"/>
  <c r="D6429" i="1"/>
  <c r="C6430" i="1"/>
  <c r="D6430" i="1"/>
  <c r="C6431" i="1"/>
  <c r="D6431" i="1"/>
  <c r="C6432" i="1"/>
  <c r="D6432" i="1"/>
  <c r="C6433" i="1"/>
  <c r="D6433" i="1"/>
  <c r="C6434" i="1"/>
  <c r="D6434" i="1"/>
  <c r="C6435" i="1"/>
  <c r="D6435" i="1"/>
  <c r="C6436" i="1"/>
  <c r="D6436" i="1"/>
  <c r="C6437" i="1"/>
  <c r="D6437" i="1"/>
  <c r="C6438" i="1"/>
  <c r="D6438" i="1"/>
  <c r="C6439" i="1"/>
  <c r="D6439" i="1"/>
  <c r="C6440" i="1"/>
  <c r="D6440" i="1"/>
  <c r="C6441" i="1"/>
  <c r="D6441" i="1"/>
  <c r="C6442" i="1"/>
  <c r="D6442" i="1"/>
  <c r="C6443" i="1"/>
  <c r="D6443" i="1"/>
  <c r="C6444" i="1"/>
  <c r="D6444" i="1"/>
  <c r="C6445" i="1"/>
  <c r="D6445" i="1"/>
  <c r="C6446" i="1"/>
  <c r="D6446" i="1"/>
  <c r="C6447" i="1"/>
  <c r="D6447" i="1"/>
  <c r="C6448" i="1"/>
  <c r="D6448" i="1"/>
  <c r="C6449" i="1"/>
  <c r="D6449" i="1"/>
  <c r="C6450" i="1"/>
  <c r="D6450" i="1"/>
  <c r="C6451" i="1"/>
  <c r="D6451" i="1"/>
  <c r="C6452" i="1"/>
  <c r="D6452" i="1"/>
  <c r="C6453" i="1"/>
  <c r="D6453" i="1"/>
  <c r="C6454" i="1"/>
  <c r="D6454" i="1"/>
  <c r="C6455" i="1"/>
  <c r="D6455" i="1"/>
  <c r="C6456" i="1"/>
  <c r="D6456" i="1"/>
  <c r="C6457" i="1"/>
  <c r="D6457" i="1"/>
  <c r="C6458" i="1"/>
  <c r="D6458" i="1"/>
  <c r="C6459" i="1"/>
  <c r="D6459" i="1"/>
  <c r="C6460" i="1"/>
  <c r="D6460" i="1"/>
  <c r="C6461" i="1"/>
  <c r="D6461" i="1"/>
  <c r="C6462" i="1"/>
  <c r="D6462" i="1"/>
  <c r="C6463" i="1"/>
  <c r="D6463" i="1"/>
  <c r="C6464" i="1"/>
  <c r="D6464" i="1"/>
  <c r="C6465" i="1"/>
  <c r="D6465" i="1"/>
  <c r="C6466" i="1"/>
  <c r="D6466" i="1"/>
  <c r="C6467" i="1"/>
  <c r="D6467" i="1"/>
  <c r="C6468" i="1"/>
  <c r="D6468" i="1"/>
  <c r="C6469" i="1"/>
  <c r="D6469" i="1"/>
  <c r="C6470" i="1"/>
  <c r="D6470" i="1"/>
  <c r="C6471" i="1"/>
  <c r="D6471" i="1"/>
  <c r="C6472" i="1"/>
  <c r="D6472" i="1"/>
  <c r="C6473" i="1"/>
  <c r="D6473" i="1"/>
  <c r="C6474" i="1"/>
  <c r="D6474" i="1"/>
  <c r="C6475" i="1"/>
  <c r="D6475" i="1"/>
  <c r="C6476" i="1"/>
  <c r="D6476" i="1"/>
  <c r="C6477" i="1"/>
  <c r="D6477" i="1"/>
  <c r="C6478" i="1"/>
  <c r="D6478" i="1"/>
  <c r="C6479" i="1"/>
  <c r="D6479" i="1"/>
  <c r="C6480" i="1"/>
  <c r="D6480" i="1"/>
  <c r="C6481" i="1"/>
  <c r="D6481" i="1"/>
  <c r="C6482" i="1"/>
  <c r="D6482" i="1"/>
  <c r="C6483" i="1"/>
  <c r="D6483" i="1"/>
  <c r="C6484" i="1"/>
  <c r="D6484" i="1"/>
  <c r="C6485" i="1"/>
  <c r="D6485" i="1"/>
  <c r="C6486" i="1"/>
  <c r="D6486" i="1"/>
  <c r="C6487" i="1"/>
  <c r="D6487" i="1"/>
  <c r="C6488" i="1"/>
  <c r="D6488" i="1"/>
  <c r="C6489" i="1"/>
  <c r="D6489" i="1"/>
  <c r="C6490" i="1"/>
  <c r="D6490" i="1"/>
  <c r="C6491" i="1"/>
  <c r="D6491" i="1"/>
  <c r="C6492" i="1"/>
  <c r="D6492" i="1"/>
  <c r="C6493" i="1"/>
  <c r="D6493" i="1"/>
  <c r="C6494" i="1"/>
  <c r="D6494" i="1"/>
  <c r="C6495" i="1"/>
  <c r="D6495" i="1"/>
  <c r="C6496" i="1"/>
  <c r="D6496" i="1"/>
  <c r="C6497" i="1"/>
  <c r="D6497" i="1"/>
  <c r="C6498" i="1"/>
  <c r="D6498" i="1"/>
  <c r="C6499" i="1"/>
  <c r="D6499" i="1"/>
  <c r="C6500" i="1"/>
  <c r="D6500" i="1"/>
  <c r="C6501" i="1"/>
  <c r="D6501" i="1"/>
  <c r="C6502" i="1"/>
  <c r="D6502" i="1"/>
  <c r="C6503" i="1"/>
  <c r="D6503" i="1"/>
  <c r="C6504" i="1"/>
  <c r="D6504" i="1"/>
  <c r="C6505" i="1"/>
  <c r="D6505" i="1"/>
  <c r="C6506" i="1"/>
  <c r="D6506" i="1"/>
  <c r="C6507" i="1"/>
  <c r="D6507" i="1"/>
  <c r="C6508" i="1"/>
  <c r="D6508" i="1"/>
  <c r="C6509" i="1"/>
  <c r="D6509" i="1"/>
  <c r="C6510" i="1"/>
  <c r="D6510" i="1"/>
  <c r="C6511" i="1"/>
  <c r="D6511" i="1"/>
  <c r="C6512" i="1"/>
  <c r="D6512" i="1"/>
  <c r="C6513" i="1"/>
  <c r="D6513" i="1"/>
  <c r="C6514" i="1"/>
  <c r="D6514" i="1"/>
  <c r="C6515" i="1"/>
  <c r="D6515" i="1"/>
  <c r="C6516" i="1"/>
  <c r="D6516" i="1"/>
  <c r="C6517" i="1"/>
  <c r="D6517" i="1"/>
  <c r="C6518" i="1"/>
  <c r="D6518" i="1"/>
  <c r="C6519" i="1"/>
  <c r="D6519" i="1"/>
  <c r="C6520" i="1"/>
  <c r="D6520" i="1"/>
  <c r="C6521" i="1"/>
  <c r="D6521" i="1"/>
  <c r="C6522" i="1"/>
  <c r="D6522" i="1"/>
  <c r="C6523" i="1"/>
  <c r="D6523" i="1"/>
  <c r="C6524" i="1"/>
  <c r="D6524" i="1"/>
  <c r="C6525" i="1"/>
  <c r="D6525" i="1"/>
  <c r="C6526" i="1"/>
  <c r="D6526" i="1"/>
  <c r="C6527" i="1"/>
  <c r="D6527" i="1"/>
  <c r="C6528" i="1"/>
  <c r="D6528" i="1"/>
  <c r="C6529" i="1"/>
  <c r="D6529" i="1"/>
  <c r="C6530" i="1"/>
  <c r="D6530" i="1"/>
  <c r="C6531" i="1"/>
  <c r="D6531" i="1"/>
  <c r="C6532" i="1"/>
  <c r="D6532" i="1"/>
  <c r="C6533" i="1"/>
  <c r="D6533" i="1"/>
  <c r="C6534" i="1"/>
  <c r="D6534" i="1"/>
  <c r="C6535" i="1"/>
  <c r="D6535" i="1"/>
  <c r="C6536" i="1"/>
  <c r="D6536" i="1"/>
  <c r="C6537" i="1"/>
  <c r="D6537" i="1"/>
  <c r="C6538" i="1"/>
  <c r="D6538" i="1"/>
  <c r="C6539" i="1"/>
  <c r="D6539" i="1"/>
  <c r="C6540" i="1"/>
  <c r="D6540" i="1"/>
  <c r="C6541" i="1"/>
  <c r="D6541" i="1"/>
  <c r="C6542" i="1"/>
  <c r="D6542" i="1"/>
  <c r="C6543" i="1"/>
  <c r="D6543" i="1"/>
  <c r="C6544" i="1"/>
  <c r="D6544" i="1"/>
  <c r="C6545" i="1"/>
  <c r="D6545" i="1"/>
  <c r="C6546" i="1"/>
  <c r="D6546" i="1"/>
  <c r="C6547" i="1"/>
  <c r="D6547" i="1"/>
  <c r="C6548" i="1"/>
  <c r="D6548" i="1"/>
  <c r="C6549" i="1"/>
  <c r="D6549" i="1"/>
  <c r="C6550" i="1"/>
  <c r="D6550" i="1"/>
  <c r="C6551" i="1"/>
  <c r="D6551" i="1"/>
  <c r="C6552" i="1"/>
  <c r="D6552" i="1"/>
  <c r="C6553" i="1"/>
  <c r="D6553" i="1"/>
  <c r="C6554" i="1"/>
  <c r="D6554" i="1"/>
  <c r="C6555" i="1"/>
  <c r="D6555" i="1"/>
  <c r="C6556" i="1"/>
  <c r="D6556" i="1"/>
  <c r="C6557" i="1"/>
  <c r="D6557" i="1"/>
  <c r="C6558" i="1"/>
  <c r="D6558" i="1"/>
  <c r="C6559" i="1"/>
  <c r="D6559" i="1"/>
  <c r="C6560" i="1"/>
  <c r="D6560" i="1"/>
  <c r="C6561" i="1"/>
  <c r="D6561" i="1"/>
  <c r="C6562" i="1"/>
  <c r="D6562" i="1"/>
  <c r="C6563" i="1"/>
  <c r="D6563" i="1"/>
  <c r="C6564" i="1"/>
  <c r="D6564" i="1"/>
  <c r="C6565" i="1"/>
  <c r="D6565" i="1"/>
  <c r="C6566" i="1"/>
  <c r="D6566" i="1"/>
  <c r="C6567" i="1"/>
  <c r="D6567" i="1"/>
  <c r="C6568" i="1"/>
  <c r="D6568" i="1"/>
  <c r="C6569" i="1"/>
  <c r="D6569" i="1"/>
  <c r="C6570" i="1"/>
  <c r="D6570" i="1"/>
  <c r="C6571" i="1"/>
  <c r="D6571" i="1"/>
  <c r="C6572" i="1"/>
  <c r="D6572" i="1"/>
  <c r="C6573" i="1"/>
  <c r="D6573" i="1"/>
  <c r="C6574" i="1"/>
  <c r="D6574" i="1"/>
  <c r="C6575" i="1"/>
  <c r="D6575" i="1"/>
  <c r="C6576" i="1"/>
  <c r="D6576" i="1"/>
  <c r="C6577" i="1"/>
  <c r="D6577" i="1"/>
  <c r="C6578" i="1"/>
  <c r="D6578" i="1"/>
  <c r="C6579" i="1"/>
  <c r="D6579" i="1"/>
  <c r="C6580" i="1"/>
  <c r="D6580" i="1"/>
  <c r="C6581" i="1"/>
  <c r="D6581" i="1"/>
  <c r="C6582" i="1"/>
  <c r="D6582" i="1"/>
  <c r="C6583" i="1"/>
  <c r="D6583" i="1"/>
  <c r="C6584" i="1"/>
  <c r="D6584" i="1"/>
  <c r="C6585" i="1"/>
  <c r="D6585" i="1"/>
  <c r="C6586" i="1"/>
  <c r="D6586" i="1"/>
  <c r="C6587" i="1"/>
  <c r="D6587" i="1"/>
  <c r="C6588" i="1"/>
  <c r="D6588" i="1"/>
  <c r="C6589" i="1"/>
  <c r="D6589" i="1"/>
  <c r="C6590" i="1"/>
  <c r="D6590" i="1"/>
  <c r="C6591" i="1"/>
  <c r="D6591" i="1"/>
  <c r="C6592" i="1"/>
  <c r="D6592" i="1"/>
  <c r="C6593" i="1"/>
  <c r="D6593" i="1"/>
  <c r="C6594" i="1"/>
  <c r="D6594" i="1"/>
  <c r="C6595" i="1"/>
  <c r="D6595" i="1"/>
  <c r="C6596" i="1"/>
  <c r="D6596" i="1"/>
  <c r="C6597" i="1"/>
  <c r="D6597" i="1"/>
  <c r="C6598" i="1"/>
  <c r="D6598" i="1"/>
  <c r="C6599" i="1"/>
  <c r="D6599" i="1"/>
  <c r="C6600" i="1"/>
  <c r="D6600" i="1"/>
  <c r="C6601" i="1"/>
  <c r="D6601" i="1"/>
  <c r="C6602" i="1"/>
  <c r="D6602" i="1"/>
  <c r="C6603" i="1"/>
  <c r="D6603" i="1"/>
  <c r="C6604" i="1"/>
  <c r="D6604" i="1"/>
  <c r="C6605" i="1"/>
  <c r="D6605" i="1"/>
  <c r="C6606" i="1"/>
  <c r="D6606" i="1"/>
  <c r="C6607" i="1"/>
  <c r="D6607" i="1"/>
  <c r="C6608" i="1"/>
  <c r="D6608" i="1"/>
  <c r="C6609" i="1"/>
  <c r="D6609" i="1"/>
  <c r="C6610" i="1"/>
  <c r="D6610" i="1"/>
  <c r="C6611" i="1"/>
  <c r="D6611" i="1"/>
  <c r="C6612" i="1"/>
  <c r="D6612" i="1"/>
  <c r="C6613" i="1"/>
  <c r="D6613" i="1"/>
  <c r="C6614" i="1"/>
  <c r="D6614" i="1"/>
  <c r="C6615" i="1"/>
  <c r="D6615" i="1"/>
  <c r="C6616" i="1"/>
  <c r="D6616" i="1"/>
  <c r="C6617" i="1"/>
  <c r="D6617" i="1"/>
  <c r="C6618" i="1"/>
  <c r="D6618" i="1"/>
  <c r="C6619" i="1"/>
  <c r="D6619" i="1"/>
  <c r="C6620" i="1"/>
  <c r="D6620" i="1"/>
  <c r="C6621" i="1"/>
  <c r="D6621" i="1"/>
  <c r="C6622" i="1"/>
  <c r="D6622" i="1"/>
  <c r="C6623" i="1"/>
  <c r="D6623" i="1"/>
  <c r="C6624" i="1"/>
  <c r="D6624" i="1"/>
  <c r="C6625" i="1"/>
  <c r="D6625" i="1"/>
  <c r="C6626" i="1"/>
  <c r="D6626" i="1"/>
  <c r="C6627" i="1"/>
  <c r="D6627" i="1"/>
  <c r="C6628" i="1"/>
  <c r="D6628" i="1"/>
  <c r="C6629" i="1"/>
  <c r="D6629" i="1"/>
  <c r="C6630" i="1"/>
  <c r="D6630" i="1"/>
  <c r="C6631" i="1"/>
  <c r="D6631" i="1"/>
  <c r="C6632" i="1"/>
  <c r="D6632" i="1"/>
  <c r="C6633" i="1"/>
  <c r="D6633" i="1"/>
  <c r="C6634" i="1"/>
  <c r="D6634" i="1"/>
  <c r="C6635" i="1"/>
  <c r="D6635" i="1"/>
  <c r="C6636" i="1"/>
  <c r="D6636" i="1"/>
  <c r="C6637" i="1"/>
  <c r="D6637" i="1"/>
  <c r="C6638" i="1"/>
  <c r="D6638" i="1"/>
  <c r="C6639" i="1"/>
  <c r="D6639" i="1"/>
  <c r="C6640" i="1"/>
  <c r="D6640" i="1"/>
  <c r="C6641" i="1"/>
  <c r="D6641" i="1"/>
  <c r="C6642" i="1"/>
  <c r="D6642" i="1"/>
  <c r="C6643" i="1"/>
  <c r="D6643" i="1"/>
  <c r="C6644" i="1"/>
  <c r="D6644" i="1"/>
  <c r="C6645" i="1"/>
  <c r="D6645" i="1"/>
  <c r="C6646" i="1"/>
  <c r="D6646" i="1"/>
  <c r="C6647" i="1"/>
  <c r="D6647" i="1"/>
  <c r="C6648" i="1"/>
  <c r="D6648" i="1"/>
  <c r="C6649" i="1"/>
  <c r="D6649" i="1"/>
  <c r="C6650" i="1"/>
  <c r="D6650" i="1"/>
  <c r="C6651" i="1"/>
  <c r="D6651" i="1"/>
  <c r="C6652" i="1"/>
  <c r="D6652" i="1"/>
  <c r="C6653" i="1"/>
  <c r="D6653" i="1"/>
  <c r="C6654" i="1"/>
  <c r="D6654" i="1"/>
  <c r="C6655" i="1"/>
  <c r="D6655" i="1"/>
  <c r="C6656" i="1"/>
  <c r="D6656" i="1"/>
  <c r="C6657" i="1"/>
  <c r="D6657" i="1"/>
  <c r="C6658" i="1"/>
  <c r="D6658" i="1"/>
  <c r="C6659" i="1"/>
  <c r="D6659" i="1"/>
  <c r="C6660" i="1"/>
  <c r="D6660" i="1"/>
  <c r="C6661" i="1"/>
  <c r="D6661" i="1"/>
  <c r="C6662" i="1"/>
  <c r="D6662" i="1"/>
  <c r="C6663" i="1"/>
  <c r="D6663" i="1"/>
  <c r="C6664" i="1"/>
  <c r="D6664" i="1"/>
  <c r="C6665" i="1"/>
  <c r="D6665" i="1"/>
  <c r="C6666" i="1"/>
  <c r="D6666" i="1"/>
  <c r="C6667" i="1"/>
  <c r="D6667" i="1"/>
  <c r="C6668" i="1"/>
  <c r="D6668" i="1"/>
  <c r="C6669" i="1"/>
  <c r="D6669" i="1"/>
  <c r="C6670" i="1"/>
  <c r="D6670" i="1"/>
  <c r="C6671" i="1"/>
  <c r="D6671" i="1"/>
  <c r="C6672" i="1"/>
  <c r="D6672" i="1"/>
  <c r="C6673" i="1"/>
  <c r="D6673" i="1"/>
  <c r="C6674" i="1"/>
  <c r="D6674" i="1"/>
  <c r="C6675" i="1"/>
  <c r="D6675" i="1"/>
  <c r="C6676" i="1"/>
  <c r="D6676" i="1"/>
  <c r="C6677" i="1"/>
  <c r="D6677" i="1"/>
  <c r="C6678" i="1"/>
  <c r="D6678" i="1"/>
  <c r="C6679" i="1"/>
  <c r="D6679" i="1"/>
  <c r="C6680" i="1"/>
  <c r="D6680" i="1"/>
  <c r="C6681" i="1"/>
  <c r="D6681" i="1"/>
  <c r="C6682" i="1"/>
  <c r="D6682" i="1"/>
  <c r="C6683" i="1"/>
  <c r="D6683" i="1"/>
  <c r="C6684" i="1"/>
  <c r="D6684" i="1"/>
  <c r="C6685" i="1"/>
  <c r="D6685" i="1"/>
  <c r="C6686" i="1"/>
  <c r="D6686" i="1"/>
  <c r="C6687" i="1"/>
  <c r="D6687" i="1"/>
  <c r="C6688" i="1"/>
  <c r="D6688" i="1"/>
  <c r="C6689" i="1"/>
  <c r="D6689" i="1"/>
  <c r="C6690" i="1"/>
  <c r="D6690" i="1"/>
  <c r="C6691" i="1"/>
  <c r="D6691" i="1"/>
  <c r="C6692" i="1"/>
  <c r="D6692" i="1"/>
  <c r="C6693" i="1"/>
  <c r="D6693" i="1"/>
  <c r="C6694" i="1"/>
  <c r="D6694" i="1"/>
  <c r="C6695" i="1"/>
  <c r="D6695" i="1"/>
  <c r="C6696" i="1"/>
  <c r="D6696" i="1"/>
  <c r="C6697" i="1"/>
  <c r="D6697" i="1"/>
  <c r="C6698" i="1"/>
  <c r="D6698" i="1"/>
  <c r="C6699" i="1"/>
  <c r="D6699" i="1"/>
  <c r="C6700" i="1"/>
  <c r="D6700" i="1"/>
  <c r="C6701" i="1"/>
  <c r="D6701" i="1"/>
  <c r="C6702" i="1"/>
  <c r="D6702" i="1"/>
  <c r="C6703" i="1"/>
  <c r="D6703" i="1"/>
  <c r="C6704" i="1"/>
  <c r="D6704" i="1"/>
  <c r="C6705" i="1"/>
  <c r="D6705" i="1"/>
  <c r="C6706" i="1"/>
  <c r="D6706" i="1"/>
  <c r="C6707" i="1"/>
  <c r="D6707" i="1"/>
  <c r="C6708" i="1"/>
  <c r="D6708" i="1"/>
  <c r="C6709" i="1"/>
  <c r="D6709" i="1"/>
  <c r="C6710" i="1"/>
  <c r="D6710" i="1"/>
  <c r="C6711" i="1"/>
  <c r="D6711" i="1"/>
  <c r="C6712" i="1"/>
  <c r="D6712" i="1"/>
  <c r="C6713" i="1"/>
  <c r="D6713" i="1"/>
  <c r="C6714" i="1"/>
  <c r="D6714" i="1"/>
  <c r="C6715" i="1"/>
  <c r="D6715" i="1"/>
  <c r="C6716" i="1"/>
  <c r="D6716" i="1"/>
  <c r="C6717" i="1"/>
  <c r="D6717" i="1"/>
  <c r="C6718" i="1"/>
  <c r="D6718" i="1"/>
  <c r="C6719" i="1"/>
  <c r="D6719" i="1"/>
  <c r="C6720" i="1"/>
  <c r="D6720" i="1"/>
  <c r="C6721" i="1"/>
  <c r="D6721" i="1"/>
  <c r="C6722" i="1"/>
  <c r="D6722" i="1"/>
  <c r="C6723" i="1"/>
  <c r="D6723" i="1"/>
  <c r="C6724" i="1"/>
  <c r="D6724" i="1"/>
  <c r="C6725" i="1"/>
  <c r="D6725" i="1"/>
  <c r="C6726" i="1"/>
  <c r="D6726" i="1"/>
  <c r="C6727" i="1"/>
  <c r="D6727" i="1"/>
  <c r="C6728" i="1"/>
  <c r="D6728" i="1"/>
  <c r="C6729" i="1"/>
  <c r="D6729" i="1"/>
  <c r="C6730" i="1"/>
  <c r="D6730" i="1"/>
  <c r="C6731" i="1"/>
  <c r="D6731" i="1"/>
  <c r="C6732" i="1"/>
  <c r="D6732" i="1"/>
  <c r="C6733" i="1"/>
  <c r="D6733" i="1"/>
  <c r="C6734" i="1"/>
  <c r="D6734" i="1"/>
  <c r="C6735" i="1"/>
  <c r="D6735" i="1"/>
  <c r="C6736" i="1"/>
  <c r="D6736" i="1"/>
  <c r="C6737" i="1"/>
  <c r="D6737" i="1"/>
  <c r="C6738" i="1"/>
  <c r="D6738" i="1"/>
  <c r="C6739" i="1"/>
  <c r="D6739" i="1"/>
  <c r="C6740" i="1"/>
  <c r="D6740" i="1"/>
  <c r="C6741" i="1"/>
  <c r="D6741" i="1"/>
  <c r="C6742" i="1"/>
  <c r="D6742" i="1"/>
  <c r="C6743" i="1"/>
  <c r="D6743" i="1"/>
  <c r="C6744" i="1"/>
  <c r="D6744" i="1"/>
  <c r="C6745" i="1"/>
  <c r="D6745" i="1"/>
  <c r="C6746" i="1"/>
  <c r="D6746" i="1"/>
  <c r="C6747" i="1"/>
  <c r="D6747" i="1"/>
  <c r="C6748" i="1"/>
  <c r="D6748" i="1"/>
  <c r="C6749" i="1"/>
  <c r="D6749" i="1"/>
  <c r="C6750" i="1"/>
  <c r="D6750" i="1"/>
  <c r="C6751" i="1"/>
  <c r="D6751" i="1"/>
  <c r="C6752" i="1"/>
  <c r="D6752" i="1"/>
  <c r="C6753" i="1"/>
  <c r="D6753" i="1"/>
  <c r="C6754" i="1"/>
  <c r="D6754" i="1"/>
  <c r="C6755" i="1"/>
  <c r="D6755" i="1"/>
  <c r="C6756" i="1"/>
  <c r="D6756" i="1"/>
  <c r="C6757" i="1"/>
  <c r="D6757" i="1"/>
  <c r="C6758" i="1"/>
  <c r="D6758" i="1"/>
  <c r="C6759" i="1"/>
  <c r="D6759" i="1"/>
  <c r="C6760" i="1"/>
  <c r="D6760" i="1"/>
  <c r="C6761" i="1"/>
  <c r="D6761" i="1"/>
  <c r="C6762" i="1"/>
  <c r="D6762" i="1"/>
  <c r="C6763" i="1"/>
  <c r="D6763" i="1"/>
  <c r="C6764" i="1"/>
  <c r="D6764" i="1"/>
  <c r="C6765" i="1"/>
  <c r="D6765" i="1"/>
  <c r="C6766" i="1"/>
  <c r="D6766" i="1"/>
  <c r="C6767" i="1"/>
  <c r="D6767" i="1"/>
  <c r="C6768" i="1"/>
  <c r="D6768" i="1"/>
  <c r="C6769" i="1"/>
  <c r="D6769" i="1"/>
  <c r="C6770" i="1"/>
  <c r="D6770" i="1"/>
  <c r="C6771" i="1"/>
  <c r="D6771" i="1"/>
  <c r="C6772" i="1"/>
  <c r="D6772" i="1"/>
  <c r="C6773" i="1"/>
  <c r="D6773" i="1"/>
  <c r="C6774" i="1"/>
  <c r="D6774" i="1"/>
  <c r="C6775" i="1"/>
  <c r="D6775" i="1"/>
  <c r="C6776" i="1"/>
  <c r="D6776" i="1"/>
  <c r="C6777" i="1"/>
  <c r="D6777" i="1"/>
  <c r="C6778" i="1"/>
  <c r="D6778" i="1"/>
  <c r="C6779" i="1"/>
  <c r="D6779" i="1"/>
  <c r="C6780" i="1"/>
  <c r="D6780" i="1"/>
  <c r="C6781" i="1"/>
  <c r="D6781" i="1"/>
  <c r="C6782" i="1"/>
  <c r="D6782" i="1"/>
  <c r="C6783" i="1"/>
  <c r="D6783" i="1"/>
  <c r="C6784" i="1"/>
  <c r="D6784" i="1"/>
  <c r="C6785" i="1"/>
  <c r="D6785" i="1"/>
  <c r="C6786" i="1"/>
  <c r="D6786" i="1"/>
  <c r="C6787" i="1"/>
  <c r="D6787" i="1"/>
  <c r="C6788" i="1"/>
  <c r="D6788" i="1"/>
  <c r="C6789" i="1"/>
  <c r="D6789" i="1"/>
  <c r="C6790" i="1"/>
  <c r="D6790" i="1"/>
  <c r="C6791" i="1"/>
  <c r="D6791" i="1"/>
  <c r="C6792" i="1"/>
  <c r="D6792" i="1"/>
  <c r="C6793" i="1"/>
  <c r="D6793" i="1"/>
  <c r="C6794" i="1"/>
  <c r="D6794" i="1"/>
  <c r="C6795" i="1"/>
  <c r="D6795" i="1"/>
  <c r="C6796" i="1"/>
  <c r="D6796" i="1"/>
  <c r="C6797" i="1"/>
  <c r="D6797" i="1"/>
  <c r="C6798" i="1"/>
  <c r="D6798" i="1"/>
  <c r="C6799" i="1"/>
  <c r="D6799" i="1"/>
  <c r="C6800" i="1"/>
  <c r="D6800" i="1"/>
  <c r="C6801" i="1"/>
  <c r="D6801" i="1"/>
  <c r="C6802" i="1"/>
  <c r="D6802" i="1"/>
  <c r="C6803" i="1"/>
  <c r="D6803" i="1"/>
  <c r="C6804" i="1"/>
  <c r="D6804" i="1"/>
  <c r="C6805" i="1"/>
  <c r="D6805" i="1"/>
  <c r="C6806" i="1"/>
  <c r="D6806" i="1"/>
  <c r="C6807" i="1"/>
  <c r="D6807" i="1"/>
  <c r="C6808" i="1"/>
  <c r="D6808" i="1"/>
  <c r="C6809" i="1"/>
  <c r="D6809" i="1"/>
  <c r="C6810" i="1"/>
  <c r="D6810" i="1"/>
  <c r="C6811" i="1"/>
  <c r="D6811" i="1"/>
  <c r="C6812" i="1"/>
  <c r="D6812" i="1"/>
  <c r="C6813" i="1"/>
  <c r="D6813" i="1"/>
  <c r="C6814" i="1"/>
  <c r="D6814" i="1"/>
  <c r="C6815" i="1"/>
  <c r="D6815" i="1"/>
  <c r="C6816" i="1"/>
  <c r="D6816" i="1"/>
  <c r="C6817" i="1"/>
  <c r="D6817" i="1"/>
  <c r="C6818" i="1"/>
  <c r="D6818" i="1"/>
  <c r="C6819" i="1"/>
  <c r="D6819" i="1"/>
  <c r="C6820" i="1"/>
  <c r="D6820" i="1"/>
  <c r="C6821" i="1"/>
  <c r="D6821" i="1"/>
  <c r="C6822" i="1"/>
  <c r="D6822" i="1"/>
  <c r="C6823" i="1"/>
  <c r="D6823" i="1"/>
  <c r="C6824" i="1"/>
  <c r="D6824" i="1"/>
  <c r="C6825" i="1"/>
  <c r="D6825" i="1"/>
  <c r="C6826" i="1"/>
  <c r="D6826" i="1"/>
  <c r="C6827" i="1"/>
  <c r="D6827" i="1"/>
  <c r="C6828" i="1"/>
  <c r="D6828" i="1"/>
  <c r="C6829" i="1"/>
  <c r="D6829" i="1"/>
  <c r="C6830" i="1"/>
  <c r="D6830" i="1"/>
  <c r="C6831" i="1"/>
  <c r="D6831" i="1"/>
  <c r="C6832" i="1"/>
  <c r="D6832" i="1"/>
  <c r="C6833" i="1"/>
  <c r="D6833" i="1"/>
  <c r="C6834" i="1"/>
  <c r="D6834" i="1"/>
  <c r="C6835" i="1"/>
  <c r="D6835" i="1"/>
  <c r="C6836" i="1"/>
  <c r="D6836" i="1"/>
  <c r="C6837" i="1"/>
  <c r="D6837" i="1"/>
  <c r="C6838" i="1"/>
  <c r="D6838" i="1"/>
  <c r="C6839" i="1"/>
  <c r="D6839" i="1"/>
  <c r="C6840" i="1"/>
  <c r="D6840" i="1"/>
  <c r="C6841" i="1"/>
  <c r="D6841" i="1"/>
  <c r="C6842" i="1"/>
  <c r="D6842" i="1"/>
  <c r="C6843" i="1"/>
  <c r="D6843" i="1"/>
  <c r="C6844" i="1"/>
  <c r="D6844" i="1"/>
  <c r="C6845" i="1"/>
  <c r="D6845" i="1"/>
  <c r="C6846" i="1"/>
  <c r="D6846" i="1"/>
  <c r="C6847" i="1"/>
  <c r="D6847" i="1"/>
  <c r="C6848" i="1"/>
  <c r="D6848" i="1"/>
  <c r="C6849" i="1"/>
  <c r="D6849" i="1"/>
  <c r="C6850" i="1"/>
  <c r="D6850" i="1"/>
  <c r="C6851" i="1"/>
  <c r="D6851" i="1"/>
  <c r="C6852" i="1"/>
  <c r="D6852" i="1"/>
  <c r="C6853" i="1"/>
  <c r="D6853" i="1"/>
  <c r="C6854" i="1"/>
  <c r="D6854" i="1"/>
  <c r="C6855" i="1"/>
  <c r="D6855" i="1"/>
  <c r="C6856" i="1"/>
  <c r="D6856" i="1"/>
  <c r="C6857" i="1"/>
  <c r="D6857" i="1"/>
  <c r="C6858" i="1"/>
  <c r="D6858" i="1"/>
  <c r="C6859" i="1"/>
  <c r="D6859" i="1"/>
  <c r="C6860" i="1"/>
  <c r="D6860" i="1"/>
  <c r="C6861" i="1"/>
  <c r="D6861" i="1"/>
  <c r="C6862" i="1"/>
  <c r="D6862" i="1"/>
  <c r="C6863" i="1"/>
  <c r="D6863" i="1"/>
  <c r="C6864" i="1"/>
  <c r="D6864" i="1"/>
  <c r="C6865" i="1"/>
  <c r="D6865" i="1"/>
  <c r="C6866" i="1"/>
  <c r="D6866" i="1"/>
  <c r="C6867" i="1"/>
  <c r="D6867" i="1"/>
  <c r="C6868" i="1"/>
  <c r="D6868" i="1"/>
  <c r="C6869" i="1"/>
  <c r="D6869" i="1"/>
  <c r="C6870" i="1"/>
  <c r="D6870" i="1"/>
  <c r="C6871" i="1"/>
  <c r="D6871" i="1"/>
  <c r="C6872" i="1"/>
  <c r="D6872" i="1"/>
  <c r="C6873" i="1"/>
  <c r="D6873" i="1"/>
  <c r="C6874" i="1"/>
  <c r="D6874" i="1"/>
  <c r="C6875" i="1"/>
  <c r="D6875" i="1"/>
  <c r="C6876" i="1"/>
  <c r="D6876" i="1"/>
  <c r="C6877" i="1"/>
  <c r="D6877" i="1"/>
  <c r="C6878" i="1"/>
  <c r="D6878" i="1"/>
  <c r="C6879" i="1"/>
  <c r="D6879" i="1"/>
  <c r="C6880" i="1"/>
  <c r="D6880" i="1"/>
  <c r="C6881" i="1"/>
  <c r="D6881" i="1"/>
  <c r="C6882" i="1"/>
  <c r="D6882" i="1"/>
  <c r="C6883" i="1"/>
  <c r="D6883" i="1"/>
  <c r="C6884" i="1"/>
  <c r="D6884" i="1"/>
  <c r="C6885" i="1"/>
  <c r="D6885" i="1"/>
  <c r="C6886" i="1"/>
  <c r="D6886" i="1"/>
  <c r="C6887" i="1"/>
  <c r="D6887" i="1"/>
  <c r="C6888" i="1"/>
  <c r="D6888" i="1"/>
  <c r="C6889" i="1"/>
  <c r="D6889" i="1"/>
  <c r="C6890" i="1"/>
  <c r="D6890" i="1"/>
  <c r="C6891" i="1"/>
  <c r="D6891" i="1"/>
  <c r="C6892" i="1"/>
  <c r="D6892" i="1"/>
  <c r="C6893" i="1"/>
  <c r="D6893" i="1"/>
  <c r="C6894" i="1"/>
  <c r="D6894" i="1"/>
  <c r="C6895" i="1"/>
  <c r="D6895" i="1"/>
  <c r="C6896" i="1"/>
  <c r="D6896" i="1"/>
  <c r="C6897" i="1"/>
  <c r="D6897" i="1"/>
  <c r="C6898" i="1"/>
  <c r="D6898" i="1"/>
  <c r="C6899" i="1"/>
  <c r="D6899" i="1"/>
  <c r="C6900" i="1"/>
  <c r="D6900" i="1"/>
  <c r="C6901" i="1"/>
  <c r="D6901" i="1"/>
  <c r="C6902" i="1"/>
  <c r="D6902" i="1"/>
  <c r="C6903" i="1"/>
  <c r="D6903" i="1"/>
  <c r="C6904" i="1"/>
  <c r="D6904" i="1"/>
  <c r="C6905" i="1"/>
  <c r="D6905" i="1"/>
  <c r="C6906" i="1"/>
  <c r="D6906" i="1"/>
  <c r="C6907" i="1"/>
  <c r="D6907" i="1"/>
  <c r="C6908" i="1"/>
  <c r="D6908" i="1"/>
  <c r="C6909" i="1"/>
  <c r="D6909" i="1"/>
  <c r="C6910" i="1"/>
  <c r="D6910" i="1"/>
  <c r="C6911" i="1"/>
  <c r="D6911" i="1"/>
  <c r="C6912" i="1"/>
  <c r="D6912" i="1"/>
  <c r="C6913" i="1"/>
  <c r="D6913" i="1"/>
  <c r="C6914" i="1"/>
  <c r="D6914" i="1"/>
  <c r="C6915" i="1"/>
  <c r="D6915" i="1"/>
  <c r="C6916" i="1"/>
  <c r="D6916" i="1"/>
  <c r="C6917" i="1"/>
  <c r="D6917" i="1"/>
  <c r="C6918" i="1"/>
  <c r="D6918" i="1"/>
  <c r="C6919" i="1"/>
  <c r="D6919" i="1"/>
  <c r="C6920" i="1"/>
  <c r="D6920" i="1"/>
  <c r="C6921" i="1"/>
  <c r="D6921" i="1"/>
  <c r="C6922" i="1"/>
  <c r="D6922" i="1"/>
  <c r="C6923" i="1"/>
  <c r="D6923" i="1"/>
  <c r="C6924" i="1"/>
  <c r="D6924" i="1"/>
  <c r="C6925" i="1"/>
  <c r="D6925" i="1"/>
  <c r="C6926" i="1"/>
  <c r="D6926" i="1"/>
  <c r="C6927" i="1"/>
  <c r="D6927" i="1"/>
  <c r="C6928" i="1"/>
  <c r="D6928" i="1"/>
  <c r="C6929" i="1"/>
  <c r="D6929" i="1"/>
  <c r="C6930" i="1"/>
  <c r="D6930" i="1"/>
  <c r="C6931" i="1"/>
  <c r="D6931" i="1"/>
  <c r="C6932" i="1"/>
  <c r="D6932" i="1"/>
  <c r="C6933" i="1"/>
  <c r="D6933" i="1"/>
  <c r="C6934" i="1"/>
  <c r="D6934" i="1"/>
  <c r="C6935" i="1"/>
  <c r="D6935" i="1"/>
  <c r="C6936" i="1"/>
  <c r="D6936" i="1"/>
  <c r="C6937" i="1"/>
  <c r="D6937" i="1"/>
  <c r="C6938" i="1"/>
  <c r="D6938" i="1"/>
  <c r="C6939" i="1"/>
  <c r="D6939" i="1"/>
  <c r="C6940" i="1"/>
  <c r="D6940" i="1"/>
  <c r="C6941" i="1"/>
  <c r="D6941" i="1"/>
  <c r="C6942" i="1"/>
  <c r="D6942" i="1"/>
  <c r="C6943" i="1"/>
  <c r="D6943" i="1"/>
  <c r="C6944" i="1"/>
  <c r="D6944" i="1"/>
  <c r="C6945" i="1"/>
  <c r="D6945" i="1"/>
  <c r="C6946" i="1"/>
  <c r="D6946" i="1"/>
  <c r="C6947" i="1"/>
  <c r="D6947" i="1"/>
  <c r="C6948" i="1"/>
  <c r="D6948" i="1"/>
  <c r="C6949" i="1"/>
  <c r="D6949" i="1"/>
  <c r="C6950" i="1"/>
  <c r="D6950" i="1"/>
  <c r="C6951" i="1"/>
  <c r="D6951" i="1"/>
  <c r="C6952" i="1"/>
  <c r="D6952" i="1"/>
  <c r="C6953" i="1"/>
  <c r="D6953" i="1"/>
  <c r="C6954" i="1"/>
  <c r="D6954" i="1"/>
  <c r="C6955" i="1"/>
  <c r="D6955" i="1"/>
  <c r="C6956" i="1"/>
  <c r="D6956" i="1"/>
  <c r="C6957" i="1"/>
  <c r="D6957" i="1"/>
  <c r="C6958" i="1"/>
  <c r="D6958" i="1"/>
  <c r="C6959" i="1"/>
  <c r="D6959" i="1"/>
  <c r="C6960" i="1"/>
  <c r="D6960" i="1"/>
  <c r="C6961" i="1"/>
  <c r="D6961" i="1"/>
  <c r="C6962" i="1"/>
  <c r="D6962" i="1"/>
  <c r="C6963" i="1"/>
  <c r="D6963" i="1"/>
  <c r="C6964" i="1"/>
  <c r="D6964" i="1"/>
  <c r="C6965" i="1"/>
  <c r="D6965" i="1"/>
  <c r="C6966" i="1"/>
  <c r="D6966" i="1"/>
  <c r="C6967" i="1"/>
  <c r="D6967" i="1"/>
  <c r="C6968" i="1"/>
  <c r="D6968" i="1"/>
  <c r="C6969" i="1"/>
  <c r="D6969" i="1"/>
  <c r="C6970" i="1"/>
  <c r="D6970" i="1"/>
  <c r="C6971" i="1"/>
  <c r="D6971" i="1"/>
  <c r="C6972" i="1"/>
  <c r="D6972" i="1"/>
  <c r="C6973" i="1"/>
  <c r="D6973" i="1"/>
  <c r="C6974" i="1"/>
  <c r="D6974" i="1"/>
  <c r="C6975" i="1"/>
  <c r="D6975" i="1"/>
  <c r="C6976" i="1"/>
  <c r="D6976" i="1"/>
  <c r="C6977" i="1"/>
  <c r="D6977" i="1"/>
  <c r="C6978" i="1"/>
  <c r="D6978" i="1"/>
  <c r="C6979" i="1"/>
  <c r="D6979" i="1"/>
  <c r="C6980" i="1"/>
  <c r="D6980" i="1"/>
  <c r="C6981" i="1"/>
  <c r="D6981" i="1"/>
  <c r="C6982" i="1"/>
  <c r="D6982" i="1"/>
  <c r="C6983" i="1"/>
  <c r="D6983" i="1"/>
  <c r="C6984" i="1"/>
  <c r="D6984" i="1"/>
  <c r="C6985" i="1"/>
  <c r="D6985" i="1"/>
  <c r="C6986" i="1"/>
  <c r="D6986" i="1"/>
  <c r="C6987" i="1"/>
  <c r="D6987" i="1"/>
  <c r="C6988" i="1"/>
  <c r="D6988" i="1"/>
  <c r="C6989" i="1"/>
  <c r="D6989" i="1"/>
  <c r="C6990" i="1"/>
  <c r="D6990" i="1"/>
  <c r="C6991" i="1"/>
  <c r="D6991" i="1"/>
  <c r="C6992" i="1"/>
  <c r="D6992" i="1"/>
  <c r="C6993" i="1"/>
  <c r="D6993" i="1"/>
  <c r="C6994" i="1"/>
  <c r="D6994" i="1"/>
  <c r="C6995" i="1"/>
  <c r="D6995" i="1"/>
  <c r="C6996" i="1"/>
  <c r="D6996" i="1"/>
  <c r="C6997" i="1"/>
  <c r="D6997" i="1"/>
  <c r="C6998" i="1"/>
  <c r="D6998" i="1"/>
  <c r="C6999" i="1"/>
  <c r="D6999" i="1"/>
  <c r="C7000" i="1"/>
  <c r="D7000" i="1"/>
  <c r="C7001" i="1"/>
  <c r="D7001" i="1"/>
  <c r="C7002" i="1"/>
  <c r="D7002" i="1"/>
  <c r="C7003" i="1"/>
  <c r="D7003" i="1"/>
  <c r="C7004" i="1"/>
  <c r="D7004" i="1"/>
  <c r="C7005" i="1"/>
  <c r="D7005" i="1"/>
  <c r="C7006" i="1"/>
  <c r="D7006" i="1"/>
  <c r="C7007" i="1"/>
  <c r="D7007" i="1"/>
  <c r="C7008" i="1"/>
  <c r="D7008" i="1"/>
  <c r="C7009" i="1"/>
  <c r="D7009" i="1"/>
  <c r="C7010" i="1"/>
  <c r="D7010" i="1"/>
  <c r="C7011" i="1"/>
  <c r="D7011" i="1"/>
  <c r="C7012" i="1"/>
  <c r="D7012" i="1"/>
  <c r="C7013" i="1"/>
  <c r="D7013" i="1"/>
  <c r="C7014" i="1"/>
  <c r="D7014" i="1"/>
  <c r="C7015" i="1"/>
  <c r="D7015" i="1"/>
  <c r="C7016" i="1"/>
  <c r="D7016" i="1"/>
  <c r="C7017" i="1"/>
  <c r="D7017" i="1"/>
  <c r="C7018" i="1"/>
  <c r="D7018" i="1"/>
  <c r="C7019" i="1"/>
  <c r="D7019" i="1"/>
  <c r="C7020" i="1"/>
  <c r="D7020" i="1"/>
  <c r="C7021" i="1"/>
  <c r="D7021" i="1"/>
  <c r="C7022" i="1"/>
  <c r="D7022" i="1"/>
  <c r="C7023" i="1"/>
  <c r="D7023" i="1"/>
  <c r="C7024" i="1"/>
  <c r="D7024" i="1"/>
  <c r="C7025" i="1"/>
  <c r="D7025" i="1"/>
  <c r="C7026" i="1"/>
  <c r="D7026" i="1"/>
  <c r="C7027" i="1"/>
  <c r="D7027" i="1"/>
  <c r="C7028" i="1"/>
  <c r="D7028" i="1"/>
  <c r="C7029" i="1"/>
  <c r="D7029" i="1"/>
  <c r="C7030" i="1"/>
  <c r="D7030" i="1"/>
  <c r="C7031" i="1"/>
  <c r="D7031" i="1"/>
  <c r="C7032" i="1"/>
  <c r="D7032" i="1"/>
  <c r="C7033" i="1"/>
  <c r="D7033" i="1"/>
  <c r="C7034" i="1"/>
  <c r="D7034" i="1"/>
  <c r="C7035" i="1"/>
  <c r="D7035" i="1"/>
  <c r="C7036" i="1"/>
  <c r="D7036" i="1"/>
  <c r="C7037" i="1"/>
  <c r="D7037" i="1"/>
  <c r="C7038" i="1"/>
  <c r="D7038" i="1"/>
  <c r="C7039" i="1"/>
  <c r="D7039" i="1"/>
  <c r="C7040" i="1"/>
  <c r="D7040" i="1"/>
  <c r="C7041" i="1"/>
  <c r="D7041" i="1"/>
  <c r="C7042" i="1"/>
  <c r="D7042" i="1"/>
  <c r="C7043" i="1"/>
  <c r="D7043" i="1"/>
  <c r="C7044" i="1"/>
  <c r="D7044" i="1"/>
  <c r="C7045" i="1"/>
  <c r="D7045" i="1"/>
  <c r="C7046" i="1"/>
  <c r="D7046" i="1"/>
  <c r="C7047" i="1"/>
  <c r="D7047" i="1"/>
  <c r="C7048" i="1"/>
  <c r="D7048" i="1"/>
  <c r="C7049" i="1"/>
  <c r="D7049" i="1"/>
  <c r="C7050" i="1"/>
  <c r="D7050" i="1"/>
  <c r="C7051" i="1"/>
  <c r="D7051" i="1"/>
  <c r="C7052" i="1"/>
  <c r="D7052" i="1"/>
  <c r="C7053" i="1"/>
  <c r="D7053" i="1"/>
  <c r="C7054" i="1"/>
  <c r="D7054" i="1"/>
  <c r="C7055" i="1"/>
  <c r="D7055" i="1"/>
  <c r="C7056" i="1"/>
  <c r="D7056" i="1"/>
  <c r="C7057" i="1"/>
  <c r="D7057" i="1"/>
  <c r="C7058" i="1"/>
  <c r="D7058" i="1"/>
  <c r="C7059" i="1"/>
  <c r="D7059" i="1"/>
  <c r="C7060" i="1"/>
  <c r="D7060" i="1"/>
  <c r="C7061" i="1"/>
  <c r="D7061" i="1"/>
  <c r="C7062" i="1"/>
  <c r="D7062" i="1"/>
  <c r="C7063" i="1"/>
  <c r="D7063" i="1"/>
  <c r="C7064" i="1"/>
  <c r="D7064" i="1"/>
  <c r="C7065" i="1"/>
  <c r="D7065" i="1"/>
  <c r="C7066" i="1"/>
  <c r="D7066" i="1"/>
  <c r="C7067" i="1"/>
  <c r="D7067" i="1"/>
  <c r="C7068" i="1"/>
  <c r="D7068" i="1"/>
  <c r="C7069" i="1"/>
  <c r="D7069" i="1"/>
  <c r="C7070" i="1"/>
  <c r="D7070" i="1"/>
  <c r="C7071" i="1"/>
  <c r="D7071" i="1"/>
  <c r="C7072" i="1"/>
  <c r="D7072" i="1"/>
  <c r="C7073" i="1"/>
  <c r="D7073" i="1"/>
  <c r="C7074" i="1"/>
  <c r="D7074" i="1"/>
  <c r="C7075" i="1"/>
  <c r="D7075" i="1"/>
  <c r="C7076" i="1"/>
  <c r="D7076" i="1"/>
  <c r="C7077" i="1"/>
  <c r="D7077" i="1"/>
  <c r="C7078" i="1"/>
  <c r="D7078" i="1"/>
  <c r="C7079" i="1"/>
  <c r="D7079" i="1"/>
  <c r="C7080" i="1"/>
  <c r="D7080" i="1"/>
  <c r="C7081" i="1"/>
  <c r="D7081" i="1"/>
  <c r="C7082" i="1"/>
  <c r="D7082" i="1"/>
  <c r="C7083" i="1"/>
  <c r="D7083" i="1"/>
  <c r="C7084" i="1"/>
  <c r="D7084" i="1"/>
  <c r="C7085" i="1"/>
  <c r="D7085" i="1"/>
  <c r="C7086" i="1"/>
  <c r="D7086" i="1"/>
  <c r="C7087" i="1"/>
  <c r="D7087" i="1"/>
  <c r="C7088" i="1"/>
  <c r="D7088" i="1"/>
  <c r="C7089" i="1"/>
  <c r="D7089" i="1"/>
  <c r="C7090" i="1"/>
  <c r="D7090" i="1"/>
  <c r="C7091" i="1"/>
  <c r="D7091" i="1"/>
  <c r="C7092" i="1"/>
  <c r="D7092" i="1"/>
  <c r="C7093" i="1"/>
  <c r="D7093" i="1"/>
  <c r="C7094" i="1"/>
  <c r="D7094" i="1"/>
  <c r="C7095" i="1"/>
  <c r="D7095" i="1"/>
  <c r="C7096" i="1"/>
  <c r="D7096" i="1"/>
  <c r="C7097" i="1"/>
  <c r="D7097" i="1"/>
  <c r="C7098" i="1"/>
  <c r="D7098" i="1"/>
  <c r="C7099" i="1"/>
  <c r="D7099" i="1"/>
  <c r="C7100" i="1"/>
  <c r="D7100" i="1"/>
  <c r="C7101" i="1"/>
  <c r="D7101" i="1"/>
  <c r="C7102" i="1"/>
  <c r="D7102" i="1"/>
  <c r="C7103" i="1"/>
  <c r="D7103" i="1"/>
  <c r="C7104" i="1"/>
  <c r="D7104" i="1"/>
  <c r="C7105" i="1"/>
  <c r="D7105" i="1"/>
  <c r="C7106" i="1"/>
  <c r="D7106" i="1"/>
  <c r="C7107" i="1"/>
  <c r="D7107" i="1"/>
  <c r="C7108" i="1"/>
  <c r="D7108" i="1"/>
  <c r="C7109" i="1"/>
  <c r="D7109" i="1"/>
  <c r="C7110" i="1"/>
  <c r="D7110" i="1"/>
  <c r="C7111" i="1"/>
  <c r="D7111" i="1"/>
  <c r="C7112" i="1"/>
  <c r="D7112" i="1"/>
  <c r="C7113" i="1"/>
  <c r="D7113" i="1"/>
  <c r="C7114" i="1"/>
  <c r="D7114" i="1"/>
  <c r="C7115" i="1"/>
  <c r="D7115" i="1"/>
  <c r="C7116" i="1"/>
  <c r="D7116" i="1"/>
  <c r="C7117" i="1"/>
  <c r="D7117" i="1"/>
  <c r="C7118" i="1"/>
  <c r="D7118" i="1"/>
  <c r="C7119" i="1"/>
  <c r="D7119" i="1"/>
  <c r="C7120" i="1"/>
  <c r="D7120" i="1"/>
  <c r="C7121" i="1"/>
  <c r="D7121" i="1"/>
  <c r="C7122" i="1"/>
  <c r="D7122" i="1"/>
  <c r="C7123" i="1"/>
  <c r="D7123" i="1"/>
  <c r="C7124" i="1"/>
  <c r="D7124" i="1"/>
  <c r="C7125" i="1"/>
  <c r="D7125" i="1"/>
  <c r="C7126" i="1"/>
  <c r="D7126" i="1"/>
  <c r="C7127" i="1"/>
  <c r="D7127" i="1"/>
  <c r="C7128" i="1"/>
  <c r="D7128" i="1"/>
  <c r="C7129" i="1"/>
  <c r="D7129" i="1"/>
  <c r="C7130" i="1"/>
  <c r="D7130" i="1"/>
  <c r="C7131" i="1"/>
  <c r="D7131" i="1"/>
  <c r="C7132" i="1"/>
  <c r="D7132" i="1"/>
  <c r="C7133" i="1"/>
  <c r="D7133" i="1"/>
  <c r="C7134" i="1"/>
  <c r="D7134" i="1"/>
  <c r="C7135" i="1"/>
  <c r="D7135" i="1"/>
  <c r="C7136" i="1"/>
  <c r="D7136" i="1"/>
  <c r="C7137" i="1"/>
  <c r="D7137" i="1"/>
  <c r="C7138" i="1"/>
  <c r="D7138" i="1"/>
  <c r="C7139" i="1"/>
  <c r="D7139" i="1"/>
  <c r="C7140" i="1"/>
  <c r="D7140" i="1"/>
  <c r="C7141" i="1"/>
  <c r="D7141" i="1"/>
  <c r="C7142" i="1"/>
  <c r="D7142" i="1"/>
  <c r="C7143" i="1"/>
  <c r="D7143" i="1"/>
  <c r="C7144" i="1"/>
  <c r="D7144" i="1"/>
  <c r="C7145" i="1"/>
  <c r="D7145" i="1"/>
  <c r="C7146" i="1"/>
  <c r="D7146" i="1"/>
  <c r="C7147" i="1"/>
  <c r="D7147" i="1"/>
  <c r="C7148" i="1"/>
  <c r="D7148" i="1"/>
  <c r="C7149" i="1"/>
  <c r="D7149" i="1"/>
  <c r="C7150" i="1"/>
  <c r="D7150" i="1"/>
  <c r="C7151" i="1"/>
  <c r="D7151" i="1"/>
  <c r="C7152" i="1"/>
  <c r="D7152" i="1"/>
  <c r="C7153" i="1"/>
  <c r="D7153" i="1"/>
  <c r="C7154" i="1"/>
  <c r="D7154" i="1"/>
  <c r="C7155" i="1"/>
  <c r="D7155" i="1"/>
  <c r="C7156" i="1"/>
  <c r="D7156" i="1"/>
  <c r="C7157" i="1"/>
  <c r="D7157" i="1"/>
  <c r="C7158" i="1"/>
  <c r="D7158" i="1"/>
  <c r="C7159" i="1"/>
  <c r="D7159" i="1"/>
  <c r="C7160" i="1"/>
  <c r="D7160" i="1"/>
  <c r="C7161" i="1"/>
  <c r="D7161" i="1"/>
  <c r="C7162" i="1"/>
  <c r="D7162" i="1"/>
  <c r="C7163" i="1"/>
  <c r="D7163" i="1"/>
  <c r="C7164" i="1"/>
  <c r="D7164" i="1"/>
  <c r="C7165" i="1"/>
  <c r="D7165" i="1"/>
  <c r="C7166" i="1"/>
  <c r="D7166" i="1"/>
  <c r="C7167" i="1"/>
  <c r="D7167" i="1"/>
  <c r="C7168" i="1"/>
  <c r="D7168" i="1"/>
  <c r="C7169" i="1"/>
  <c r="D7169" i="1"/>
  <c r="C7170" i="1"/>
  <c r="D7170" i="1"/>
  <c r="C7171" i="1"/>
  <c r="D7171" i="1"/>
  <c r="C7172" i="1"/>
  <c r="D7172" i="1"/>
  <c r="C7173" i="1"/>
  <c r="D7173" i="1"/>
  <c r="C7174" i="1"/>
  <c r="D7174" i="1"/>
  <c r="C7175" i="1"/>
  <c r="D7175" i="1"/>
  <c r="C7176" i="1"/>
  <c r="D7176" i="1"/>
  <c r="C7177" i="1"/>
  <c r="D7177" i="1"/>
  <c r="C7178" i="1"/>
  <c r="D7178" i="1"/>
  <c r="C7179" i="1"/>
  <c r="D7179" i="1"/>
  <c r="C7180" i="1"/>
  <c r="D7180" i="1"/>
  <c r="C7181" i="1"/>
  <c r="D7181" i="1"/>
  <c r="C7182" i="1"/>
  <c r="D7182" i="1"/>
  <c r="C7183" i="1"/>
  <c r="D7183" i="1"/>
  <c r="C7184" i="1"/>
  <c r="D7184" i="1"/>
  <c r="C7185" i="1"/>
  <c r="D7185" i="1"/>
  <c r="C7186" i="1"/>
  <c r="D7186" i="1"/>
  <c r="C7187" i="1"/>
  <c r="D7187" i="1"/>
  <c r="C7188" i="1"/>
  <c r="D7188" i="1"/>
  <c r="C7189" i="1"/>
  <c r="D7189" i="1"/>
  <c r="C7190" i="1"/>
  <c r="D7190" i="1"/>
  <c r="C7191" i="1"/>
  <c r="D7191" i="1"/>
  <c r="C7192" i="1"/>
  <c r="D7192" i="1"/>
  <c r="C7193" i="1"/>
  <c r="D7193" i="1"/>
  <c r="C7194" i="1"/>
  <c r="D7194" i="1"/>
  <c r="C7195" i="1"/>
  <c r="D7195" i="1"/>
  <c r="C7196" i="1"/>
  <c r="D7196" i="1"/>
  <c r="C7197" i="1"/>
  <c r="D7197" i="1"/>
  <c r="C7198" i="1"/>
  <c r="D7198" i="1"/>
  <c r="C7199" i="1"/>
  <c r="D7199" i="1"/>
  <c r="C7200" i="1"/>
  <c r="D7200" i="1"/>
  <c r="C7201" i="1"/>
  <c r="D7201" i="1"/>
  <c r="C7202" i="1"/>
  <c r="D7202" i="1"/>
  <c r="C7203" i="1"/>
  <c r="D7203" i="1"/>
  <c r="C7204" i="1"/>
  <c r="D7204" i="1"/>
  <c r="C7205" i="1"/>
  <c r="D7205" i="1"/>
  <c r="C7206" i="1"/>
  <c r="D7206" i="1"/>
  <c r="C7207" i="1"/>
  <c r="D7207" i="1"/>
  <c r="C7208" i="1"/>
  <c r="D7208" i="1"/>
  <c r="C7209" i="1"/>
  <c r="D7209" i="1"/>
  <c r="C7210" i="1"/>
  <c r="D7210" i="1"/>
  <c r="C7211" i="1"/>
  <c r="D7211" i="1"/>
  <c r="C7212" i="1"/>
  <c r="D7212" i="1"/>
  <c r="C7213" i="1"/>
  <c r="D7213" i="1"/>
  <c r="C7214" i="1"/>
  <c r="D7214" i="1"/>
  <c r="C7215" i="1"/>
  <c r="D7215" i="1"/>
  <c r="C7216" i="1"/>
  <c r="D7216" i="1"/>
  <c r="C7217" i="1"/>
  <c r="D7217" i="1"/>
  <c r="C7218" i="1"/>
  <c r="D7218" i="1"/>
  <c r="C7219" i="1"/>
  <c r="D7219" i="1"/>
  <c r="C7220" i="1"/>
  <c r="D7220" i="1"/>
  <c r="C7221" i="1"/>
  <c r="D7221" i="1"/>
  <c r="C7222" i="1"/>
  <c r="D7222" i="1"/>
  <c r="C7223" i="1"/>
  <c r="D7223" i="1"/>
  <c r="C7224" i="1"/>
  <c r="D7224" i="1"/>
  <c r="C7225" i="1"/>
  <c r="D7225" i="1"/>
  <c r="C7226" i="1"/>
  <c r="D7226" i="1"/>
  <c r="C7227" i="1"/>
  <c r="D7227" i="1"/>
  <c r="C7228" i="1"/>
  <c r="D7228" i="1"/>
  <c r="C7229" i="1"/>
  <c r="D7229" i="1"/>
  <c r="C7230" i="1"/>
  <c r="D7230" i="1"/>
  <c r="C7231" i="1"/>
  <c r="D7231" i="1"/>
  <c r="C7232" i="1"/>
  <c r="D7232" i="1"/>
  <c r="C7233" i="1"/>
  <c r="D7233" i="1"/>
  <c r="C7234" i="1"/>
  <c r="D7234" i="1"/>
  <c r="C7235" i="1"/>
  <c r="D7235" i="1"/>
  <c r="C7236" i="1"/>
  <c r="D7236" i="1"/>
  <c r="C7237" i="1"/>
  <c r="D7237" i="1"/>
  <c r="C7238" i="1"/>
  <c r="D7238" i="1"/>
  <c r="C7239" i="1"/>
  <c r="D7239" i="1"/>
  <c r="C7240" i="1"/>
  <c r="D7240" i="1"/>
  <c r="C7241" i="1"/>
  <c r="D7241" i="1"/>
  <c r="C7242" i="1"/>
  <c r="D7242" i="1"/>
  <c r="C7243" i="1"/>
  <c r="D7243" i="1"/>
  <c r="C7244" i="1"/>
  <c r="D7244" i="1"/>
  <c r="C7245" i="1"/>
  <c r="D7245" i="1"/>
  <c r="C7246" i="1"/>
  <c r="D7246" i="1"/>
  <c r="C7247" i="1"/>
  <c r="D7247" i="1"/>
  <c r="C7248" i="1"/>
  <c r="D7248" i="1"/>
  <c r="C7249" i="1"/>
  <c r="D7249" i="1"/>
  <c r="C7250" i="1"/>
  <c r="D7250" i="1"/>
  <c r="C7251" i="1"/>
  <c r="D7251" i="1"/>
  <c r="C7252" i="1"/>
  <c r="D7252" i="1"/>
  <c r="C7253" i="1"/>
  <c r="D7253" i="1"/>
  <c r="C7254" i="1"/>
  <c r="D7254" i="1"/>
  <c r="C7255" i="1"/>
  <c r="D7255" i="1"/>
  <c r="C7256" i="1"/>
  <c r="D7256" i="1"/>
  <c r="C7257" i="1"/>
  <c r="D7257" i="1"/>
  <c r="C7258" i="1"/>
  <c r="D7258" i="1"/>
  <c r="C7259" i="1"/>
  <c r="D7259" i="1"/>
  <c r="C7260" i="1"/>
  <c r="D7260" i="1"/>
  <c r="C7261" i="1"/>
  <c r="D7261" i="1"/>
  <c r="C7262" i="1"/>
  <c r="D7262" i="1"/>
  <c r="C7263" i="1"/>
  <c r="D7263" i="1"/>
  <c r="C7264" i="1"/>
  <c r="D7264" i="1"/>
  <c r="C7265" i="1"/>
  <c r="D7265" i="1"/>
  <c r="C7266" i="1"/>
  <c r="D7266" i="1"/>
  <c r="C7267" i="1"/>
  <c r="D7267" i="1"/>
  <c r="C7268" i="1"/>
  <c r="D7268" i="1"/>
  <c r="C7269" i="1"/>
  <c r="D7269" i="1"/>
  <c r="C7270" i="1"/>
  <c r="D7270" i="1"/>
  <c r="C7271" i="1"/>
  <c r="D7271" i="1"/>
  <c r="C7272" i="1"/>
  <c r="D7272" i="1"/>
  <c r="C7273" i="1"/>
  <c r="D7273" i="1"/>
  <c r="C7274" i="1"/>
  <c r="D7274" i="1"/>
  <c r="C7275" i="1"/>
  <c r="D7275" i="1"/>
  <c r="C7276" i="1"/>
  <c r="D7276" i="1"/>
  <c r="C7277" i="1"/>
  <c r="D7277" i="1"/>
  <c r="C7278" i="1"/>
  <c r="D7278" i="1"/>
  <c r="C7279" i="1"/>
  <c r="D7279" i="1"/>
  <c r="C7280" i="1"/>
  <c r="D7280" i="1"/>
  <c r="C7281" i="1"/>
  <c r="D7281" i="1"/>
  <c r="C7282" i="1"/>
  <c r="D7282" i="1"/>
  <c r="C7283" i="1"/>
  <c r="D7283" i="1"/>
  <c r="C7284" i="1"/>
  <c r="D7284" i="1"/>
  <c r="C7285" i="1"/>
  <c r="D7285" i="1"/>
  <c r="C7286" i="1"/>
  <c r="D7286" i="1"/>
  <c r="C7287" i="1"/>
  <c r="D7287" i="1"/>
  <c r="C7288" i="1"/>
  <c r="D7288" i="1"/>
  <c r="C7289" i="1"/>
  <c r="D7289" i="1"/>
  <c r="C7290" i="1"/>
  <c r="D7290" i="1"/>
  <c r="C7291" i="1"/>
  <c r="D7291" i="1"/>
  <c r="C7292" i="1"/>
  <c r="D7292" i="1"/>
  <c r="C7293" i="1"/>
  <c r="D7293" i="1"/>
  <c r="C7294" i="1"/>
  <c r="D7294" i="1"/>
  <c r="C7295" i="1"/>
  <c r="D7295" i="1"/>
  <c r="C7296" i="1"/>
  <c r="D7296" i="1"/>
  <c r="C7297" i="1"/>
  <c r="D7297" i="1"/>
  <c r="C7298" i="1"/>
  <c r="D7298" i="1"/>
  <c r="C7299" i="1"/>
  <c r="D7299" i="1"/>
  <c r="C7300" i="1"/>
  <c r="D7300" i="1"/>
  <c r="C7301" i="1"/>
  <c r="D7301" i="1"/>
  <c r="C7302" i="1"/>
  <c r="D7302" i="1"/>
  <c r="C7303" i="1"/>
  <c r="D7303" i="1"/>
  <c r="C7304" i="1"/>
  <c r="D7304" i="1"/>
  <c r="C7305" i="1"/>
  <c r="D7305" i="1"/>
  <c r="C7306" i="1"/>
  <c r="D7306" i="1"/>
  <c r="C7307" i="1"/>
  <c r="D7307" i="1"/>
  <c r="C7308" i="1"/>
  <c r="D7308" i="1"/>
  <c r="C7309" i="1"/>
  <c r="D7309" i="1"/>
  <c r="C7310" i="1"/>
  <c r="D7310" i="1"/>
  <c r="C7311" i="1"/>
  <c r="D7311" i="1"/>
  <c r="C7312" i="1"/>
  <c r="D7312" i="1"/>
  <c r="C7313" i="1"/>
  <c r="D7313" i="1"/>
  <c r="C7314" i="1"/>
  <c r="D7314" i="1"/>
  <c r="C7315" i="1"/>
  <c r="D7315" i="1"/>
  <c r="C7316" i="1"/>
  <c r="D7316" i="1"/>
  <c r="C7317" i="1"/>
  <c r="D7317" i="1"/>
  <c r="C7318" i="1"/>
  <c r="D7318" i="1"/>
  <c r="C7319" i="1"/>
  <c r="D7319" i="1"/>
  <c r="C7320" i="1"/>
  <c r="D7320" i="1"/>
  <c r="C7321" i="1"/>
  <c r="D7321" i="1"/>
  <c r="C7322" i="1"/>
  <c r="D7322" i="1"/>
  <c r="C7323" i="1"/>
  <c r="D7323" i="1"/>
  <c r="C7324" i="1"/>
  <c r="D7324" i="1"/>
  <c r="C7325" i="1"/>
  <c r="D7325" i="1"/>
  <c r="C7326" i="1"/>
  <c r="D7326" i="1"/>
  <c r="C7327" i="1"/>
  <c r="D7327" i="1"/>
  <c r="C7328" i="1"/>
  <c r="D7328" i="1"/>
  <c r="C7329" i="1"/>
  <c r="D7329" i="1"/>
  <c r="C7330" i="1"/>
  <c r="D7330" i="1"/>
  <c r="C7331" i="1"/>
  <c r="D7331" i="1"/>
  <c r="C7332" i="1"/>
  <c r="D7332" i="1"/>
  <c r="C7333" i="1"/>
  <c r="D7333" i="1"/>
  <c r="C7334" i="1"/>
  <c r="D7334" i="1"/>
  <c r="C7335" i="1"/>
  <c r="D7335" i="1"/>
  <c r="C7336" i="1"/>
  <c r="D7336" i="1"/>
  <c r="C7337" i="1"/>
  <c r="D7337" i="1"/>
  <c r="C7338" i="1"/>
  <c r="D7338" i="1"/>
  <c r="C7339" i="1"/>
  <c r="D7339" i="1"/>
  <c r="C7340" i="1"/>
  <c r="D7340" i="1"/>
  <c r="C7341" i="1"/>
  <c r="D7341" i="1"/>
  <c r="C7342" i="1"/>
  <c r="D7342" i="1"/>
  <c r="C7343" i="1"/>
  <c r="D7343" i="1"/>
  <c r="C7344" i="1"/>
  <c r="D7344" i="1"/>
  <c r="C7345" i="1"/>
  <c r="D7345" i="1"/>
  <c r="C7346" i="1"/>
  <c r="D7346" i="1"/>
  <c r="C7347" i="1"/>
  <c r="D7347" i="1"/>
  <c r="C7348" i="1"/>
  <c r="D7348" i="1"/>
  <c r="C7349" i="1"/>
  <c r="D7349" i="1"/>
  <c r="C7350" i="1"/>
  <c r="D7350" i="1"/>
  <c r="C7351" i="1"/>
  <c r="D7351" i="1"/>
  <c r="C7352" i="1"/>
  <c r="D7352" i="1"/>
  <c r="C7353" i="1"/>
  <c r="D7353" i="1"/>
  <c r="C7354" i="1"/>
  <c r="D7354" i="1"/>
  <c r="C7355" i="1"/>
  <c r="D7355" i="1"/>
  <c r="C7356" i="1"/>
  <c r="D7356" i="1"/>
  <c r="C7357" i="1"/>
  <c r="D7357" i="1"/>
  <c r="C7358" i="1"/>
  <c r="D7358" i="1"/>
  <c r="C7359" i="1"/>
  <c r="D7359" i="1"/>
  <c r="C7360" i="1"/>
  <c r="D7360" i="1"/>
  <c r="C7361" i="1"/>
  <c r="D7361" i="1"/>
  <c r="C7362" i="1"/>
  <c r="D7362" i="1"/>
  <c r="C7363" i="1"/>
  <c r="D7363" i="1"/>
  <c r="C7364" i="1"/>
  <c r="D7364" i="1"/>
  <c r="C7365" i="1"/>
  <c r="D7365" i="1"/>
  <c r="C7366" i="1"/>
  <c r="D7366" i="1"/>
  <c r="C7367" i="1"/>
  <c r="D7367" i="1"/>
  <c r="C7368" i="1"/>
  <c r="D7368" i="1"/>
  <c r="C7369" i="1"/>
  <c r="D7369" i="1"/>
  <c r="C7370" i="1"/>
  <c r="D7370" i="1"/>
  <c r="C7371" i="1"/>
  <c r="D7371" i="1"/>
  <c r="C7372" i="1"/>
  <c r="D7372" i="1"/>
  <c r="C7373" i="1"/>
  <c r="D7373" i="1"/>
  <c r="C7374" i="1"/>
  <c r="D7374" i="1"/>
  <c r="C7375" i="1"/>
  <c r="D7375" i="1"/>
  <c r="C7376" i="1"/>
  <c r="D7376" i="1"/>
  <c r="C7377" i="1"/>
  <c r="D7377" i="1"/>
  <c r="C7378" i="1"/>
  <c r="D7378" i="1"/>
  <c r="C7379" i="1"/>
  <c r="D7379" i="1"/>
  <c r="C7380" i="1"/>
  <c r="D7380" i="1"/>
  <c r="C7381" i="1"/>
  <c r="D7381" i="1"/>
  <c r="C7382" i="1"/>
  <c r="D7382" i="1"/>
  <c r="C7383" i="1"/>
  <c r="D7383" i="1"/>
  <c r="C7384" i="1"/>
  <c r="D7384" i="1"/>
  <c r="C7385" i="1"/>
  <c r="D7385" i="1"/>
  <c r="C7386" i="1"/>
  <c r="D7386" i="1"/>
  <c r="C7387" i="1"/>
  <c r="D7387" i="1"/>
  <c r="C7388" i="1"/>
  <c r="D7388" i="1"/>
  <c r="C7389" i="1"/>
  <c r="D7389" i="1"/>
  <c r="C7390" i="1"/>
  <c r="D7390" i="1"/>
  <c r="C7391" i="1"/>
  <c r="D7391" i="1"/>
  <c r="C7392" i="1"/>
  <c r="D7392" i="1"/>
  <c r="C7393" i="1"/>
  <c r="D7393" i="1"/>
  <c r="C7394" i="1"/>
  <c r="D7394" i="1"/>
  <c r="C7395" i="1"/>
  <c r="D7395" i="1"/>
  <c r="C7396" i="1"/>
  <c r="D7396" i="1"/>
  <c r="C7397" i="1"/>
  <c r="D7397" i="1"/>
  <c r="C7398" i="1"/>
  <c r="D7398" i="1"/>
  <c r="C7399" i="1"/>
  <c r="D7399" i="1"/>
  <c r="C7400" i="1"/>
  <c r="D7400" i="1"/>
  <c r="C7401" i="1"/>
  <c r="D7401" i="1"/>
  <c r="C7402" i="1"/>
  <c r="D7402" i="1"/>
  <c r="C7403" i="1"/>
  <c r="D7403" i="1"/>
  <c r="C7404" i="1"/>
  <c r="D7404" i="1"/>
  <c r="C7405" i="1"/>
  <c r="D7405" i="1"/>
  <c r="C7406" i="1"/>
  <c r="D7406" i="1"/>
  <c r="C7407" i="1"/>
  <c r="D7407" i="1"/>
  <c r="C7408" i="1"/>
  <c r="D7408" i="1"/>
  <c r="C7409" i="1"/>
  <c r="D7409" i="1"/>
  <c r="C7410" i="1"/>
  <c r="D7410" i="1"/>
  <c r="C7411" i="1"/>
  <c r="D7411" i="1"/>
  <c r="C7412" i="1"/>
  <c r="D7412" i="1"/>
  <c r="C7413" i="1"/>
  <c r="D7413" i="1"/>
  <c r="C7414" i="1"/>
  <c r="D7414" i="1"/>
  <c r="C7415" i="1"/>
  <c r="D7415" i="1"/>
  <c r="C7416" i="1"/>
  <c r="D7416" i="1"/>
  <c r="C7417" i="1"/>
  <c r="D7417" i="1"/>
  <c r="C7418" i="1"/>
  <c r="D7418" i="1"/>
  <c r="C7419" i="1"/>
  <c r="D7419" i="1"/>
  <c r="C7420" i="1"/>
  <c r="D7420" i="1"/>
  <c r="C7421" i="1"/>
  <c r="D7421" i="1"/>
  <c r="C7422" i="1"/>
  <c r="D7422" i="1"/>
  <c r="C7423" i="1"/>
  <c r="D7423" i="1"/>
  <c r="C7424" i="1"/>
  <c r="D7424" i="1"/>
  <c r="C7425" i="1"/>
  <c r="D7425" i="1"/>
  <c r="C7426" i="1"/>
  <c r="D7426" i="1"/>
  <c r="C7427" i="1"/>
  <c r="D7427" i="1"/>
  <c r="C7428" i="1"/>
  <c r="D7428" i="1"/>
  <c r="C7429" i="1"/>
  <c r="D7429" i="1"/>
  <c r="C7430" i="1"/>
  <c r="D7430" i="1"/>
  <c r="C7431" i="1"/>
  <c r="D7431" i="1"/>
  <c r="C7432" i="1"/>
  <c r="D7432" i="1"/>
  <c r="C7433" i="1"/>
  <c r="D7433" i="1"/>
  <c r="C7434" i="1"/>
  <c r="D7434" i="1"/>
  <c r="C7435" i="1"/>
  <c r="D7435" i="1"/>
  <c r="C7436" i="1"/>
  <c r="D7436" i="1"/>
  <c r="C7437" i="1"/>
  <c r="D7437" i="1"/>
  <c r="C7438" i="1"/>
  <c r="D7438" i="1"/>
  <c r="C7439" i="1"/>
  <c r="D7439" i="1"/>
  <c r="C7440" i="1"/>
  <c r="D7440" i="1"/>
  <c r="C7441" i="1"/>
  <c r="D7441" i="1"/>
  <c r="C7442" i="1"/>
  <c r="D7442" i="1"/>
  <c r="C7443" i="1"/>
  <c r="D7443" i="1"/>
  <c r="C7444" i="1"/>
  <c r="D7444" i="1"/>
  <c r="C7445" i="1"/>
  <c r="D7445" i="1"/>
  <c r="C7446" i="1"/>
  <c r="D7446" i="1"/>
  <c r="C7447" i="1"/>
  <c r="D7447" i="1"/>
  <c r="C7448" i="1"/>
  <c r="D7448" i="1"/>
  <c r="C7449" i="1"/>
  <c r="D7449" i="1"/>
  <c r="C7450" i="1"/>
  <c r="D7450" i="1"/>
  <c r="C7451" i="1"/>
  <c r="D7451" i="1"/>
  <c r="C7452" i="1"/>
  <c r="D7452" i="1"/>
  <c r="C7453" i="1"/>
  <c r="D7453" i="1"/>
  <c r="C7454" i="1"/>
  <c r="D7454" i="1"/>
  <c r="C7455" i="1"/>
  <c r="D7455" i="1"/>
  <c r="C7456" i="1"/>
  <c r="D7456" i="1"/>
  <c r="C7457" i="1"/>
  <c r="D7457" i="1"/>
  <c r="C7458" i="1"/>
  <c r="D7458" i="1"/>
  <c r="C7459" i="1"/>
  <c r="D7459" i="1"/>
  <c r="C7460" i="1"/>
  <c r="D7460" i="1"/>
  <c r="C7461" i="1"/>
  <c r="D7461" i="1"/>
  <c r="C7462" i="1"/>
  <c r="D7462" i="1"/>
  <c r="C7463" i="1"/>
  <c r="D7463" i="1"/>
  <c r="C7464" i="1"/>
  <c r="D7464" i="1"/>
  <c r="C7465" i="1"/>
  <c r="D7465" i="1"/>
  <c r="C7466" i="1"/>
  <c r="D7466" i="1"/>
  <c r="C7467" i="1"/>
  <c r="D7467" i="1"/>
  <c r="C7468" i="1"/>
  <c r="D7468" i="1"/>
  <c r="C7469" i="1"/>
  <c r="D7469" i="1"/>
  <c r="C7470" i="1"/>
  <c r="D7470" i="1"/>
  <c r="C7471" i="1"/>
  <c r="D7471" i="1"/>
  <c r="C7472" i="1"/>
  <c r="D7472" i="1"/>
  <c r="C7473" i="1"/>
  <c r="D7473" i="1"/>
  <c r="C7474" i="1"/>
  <c r="D7474" i="1"/>
  <c r="C7475" i="1"/>
  <c r="D7475" i="1"/>
  <c r="C7476" i="1"/>
  <c r="D7476" i="1"/>
  <c r="C7477" i="1"/>
  <c r="D7477" i="1"/>
  <c r="C7478" i="1"/>
  <c r="D7478" i="1"/>
  <c r="C7479" i="1"/>
  <c r="D7479" i="1"/>
  <c r="C7480" i="1"/>
  <c r="D7480" i="1"/>
  <c r="C7481" i="1"/>
  <c r="D7481" i="1"/>
  <c r="C7482" i="1"/>
  <c r="D7482" i="1"/>
  <c r="C7483" i="1"/>
  <c r="D7483" i="1"/>
  <c r="C7484" i="1"/>
  <c r="D7484" i="1"/>
  <c r="C7485" i="1"/>
  <c r="D7485" i="1"/>
  <c r="C7486" i="1"/>
  <c r="D7486" i="1"/>
  <c r="C7487" i="1"/>
  <c r="D7487" i="1"/>
  <c r="C7488" i="1"/>
  <c r="D7488" i="1"/>
  <c r="C7489" i="1"/>
  <c r="D7489" i="1"/>
  <c r="C7490" i="1"/>
  <c r="D7490" i="1"/>
  <c r="C7491" i="1"/>
  <c r="D7491" i="1"/>
  <c r="C7492" i="1"/>
  <c r="D7492" i="1"/>
  <c r="C7493" i="1"/>
  <c r="D7493" i="1"/>
  <c r="C7494" i="1"/>
  <c r="D7494" i="1"/>
  <c r="C7495" i="1"/>
  <c r="D7495" i="1"/>
  <c r="C7496" i="1"/>
  <c r="D7496" i="1"/>
  <c r="C7497" i="1"/>
  <c r="D7497" i="1"/>
  <c r="C7498" i="1"/>
  <c r="D7498" i="1"/>
  <c r="C7499" i="1"/>
  <c r="D7499" i="1"/>
  <c r="C7500" i="1"/>
  <c r="D7500" i="1"/>
  <c r="C7501" i="1"/>
  <c r="D7501" i="1"/>
  <c r="C7502" i="1"/>
  <c r="D7502" i="1"/>
  <c r="C7503" i="1"/>
  <c r="D7503" i="1"/>
  <c r="C7504" i="1"/>
  <c r="D7504" i="1"/>
  <c r="C7505" i="1"/>
  <c r="D7505" i="1"/>
  <c r="C7506" i="1"/>
  <c r="D7506" i="1"/>
  <c r="C7507" i="1"/>
  <c r="D7507" i="1"/>
  <c r="C7508" i="1"/>
  <c r="D7508" i="1"/>
  <c r="C7509" i="1"/>
  <c r="D7509" i="1"/>
  <c r="C7510" i="1"/>
  <c r="D7510" i="1"/>
  <c r="C7511" i="1"/>
  <c r="D7511" i="1"/>
  <c r="C7512" i="1"/>
  <c r="D7512" i="1"/>
  <c r="C7513" i="1"/>
  <c r="D7513" i="1"/>
  <c r="C7514" i="1"/>
  <c r="D7514" i="1"/>
  <c r="C7515" i="1"/>
  <c r="D7515" i="1"/>
  <c r="C7516" i="1"/>
  <c r="D7516" i="1"/>
  <c r="C7517" i="1"/>
  <c r="D7517" i="1"/>
  <c r="C7518" i="1"/>
  <c r="D7518" i="1"/>
  <c r="C7519" i="1"/>
  <c r="D7519" i="1"/>
  <c r="C7520" i="1"/>
  <c r="D7520" i="1"/>
  <c r="C7521" i="1"/>
  <c r="D7521" i="1"/>
  <c r="C7522" i="1"/>
  <c r="D7522" i="1"/>
  <c r="C7523" i="1"/>
  <c r="D7523" i="1"/>
  <c r="C7524" i="1"/>
  <c r="D7524" i="1"/>
  <c r="C7525" i="1"/>
  <c r="D7525" i="1"/>
  <c r="C7526" i="1"/>
  <c r="D7526" i="1"/>
  <c r="C7527" i="1"/>
  <c r="D7527" i="1"/>
  <c r="C7528" i="1"/>
  <c r="D7528" i="1"/>
  <c r="C7529" i="1"/>
  <c r="D7529" i="1"/>
  <c r="C7530" i="1"/>
  <c r="D7530" i="1"/>
  <c r="C7531" i="1"/>
  <c r="D7531" i="1"/>
  <c r="C7532" i="1"/>
  <c r="D7532" i="1"/>
  <c r="C7533" i="1"/>
  <c r="D7533" i="1"/>
  <c r="C7534" i="1"/>
  <c r="D7534" i="1"/>
  <c r="C7535" i="1"/>
  <c r="D7535" i="1"/>
  <c r="C7536" i="1"/>
  <c r="D7536" i="1"/>
  <c r="C7537" i="1"/>
  <c r="D7537" i="1"/>
  <c r="C7538" i="1"/>
  <c r="D7538" i="1"/>
  <c r="C7539" i="1"/>
  <c r="D7539" i="1"/>
  <c r="C7540" i="1"/>
  <c r="D7540" i="1"/>
  <c r="C7541" i="1"/>
  <c r="D7541" i="1"/>
  <c r="C7542" i="1"/>
  <c r="D7542" i="1"/>
  <c r="C7543" i="1"/>
  <c r="D7543" i="1"/>
  <c r="C7544" i="1"/>
  <c r="D7544" i="1"/>
  <c r="C7545" i="1"/>
  <c r="D7545" i="1"/>
  <c r="C7546" i="1"/>
  <c r="D7546" i="1"/>
  <c r="C7547" i="1"/>
  <c r="D7547" i="1"/>
  <c r="C7548" i="1"/>
  <c r="D7548" i="1"/>
  <c r="C7549" i="1"/>
  <c r="D7549" i="1"/>
  <c r="C7550" i="1"/>
  <c r="D7550" i="1"/>
  <c r="C7551" i="1"/>
  <c r="D7551" i="1"/>
  <c r="C7552" i="1"/>
  <c r="D7552" i="1"/>
  <c r="C7553" i="1"/>
  <c r="D7553" i="1"/>
  <c r="C7554" i="1"/>
  <c r="D7554" i="1"/>
  <c r="C7555" i="1"/>
  <c r="D7555" i="1"/>
  <c r="C7556" i="1"/>
  <c r="D7556" i="1"/>
  <c r="C7557" i="1"/>
  <c r="D7557" i="1"/>
  <c r="C7558" i="1"/>
  <c r="D7558" i="1"/>
  <c r="C7559" i="1"/>
  <c r="D7559" i="1"/>
  <c r="C7560" i="1"/>
  <c r="D7560" i="1"/>
  <c r="C7561" i="1"/>
  <c r="D7561" i="1"/>
  <c r="C7562" i="1"/>
  <c r="D7562" i="1"/>
  <c r="C7563" i="1"/>
  <c r="D7563" i="1"/>
  <c r="C7564" i="1"/>
  <c r="D7564" i="1"/>
  <c r="C7565" i="1"/>
  <c r="D7565" i="1"/>
  <c r="C7566" i="1"/>
  <c r="D7566" i="1"/>
  <c r="C7567" i="1"/>
  <c r="D7567" i="1"/>
  <c r="C7568" i="1"/>
  <c r="D7568" i="1"/>
  <c r="C7569" i="1"/>
  <c r="D7569" i="1"/>
  <c r="C7570" i="1"/>
  <c r="D7570" i="1"/>
  <c r="C7571" i="1"/>
  <c r="D7571" i="1"/>
  <c r="C7572" i="1"/>
  <c r="D7572" i="1"/>
  <c r="C7573" i="1"/>
  <c r="D7573" i="1"/>
  <c r="C7574" i="1"/>
  <c r="D7574" i="1"/>
  <c r="C7575" i="1"/>
  <c r="D7575" i="1"/>
  <c r="C7576" i="1"/>
  <c r="D7576" i="1"/>
  <c r="C7577" i="1"/>
  <c r="D7577" i="1"/>
  <c r="C7578" i="1"/>
  <c r="D7578" i="1"/>
  <c r="C7579" i="1"/>
  <c r="D7579" i="1"/>
  <c r="C7580" i="1"/>
  <c r="D7580" i="1"/>
  <c r="C7581" i="1"/>
  <c r="D7581" i="1"/>
  <c r="C7582" i="1"/>
  <c r="D7582" i="1"/>
  <c r="C7583" i="1"/>
  <c r="D7583" i="1"/>
  <c r="C7584" i="1"/>
  <c r="D7584" i="1"/>
  <c r="C7585" i="1"/>
  <c r="D7585" i="1"/>
  <c r="C7586" i="1"/>
  <c r="D7586" i="1"/>
  <c r="C7587" i="1"/>
  <c r="D7587" i="1"/>
  <c r="C7588" i="1"/>
  <c r="D7588" i="1"/>
  <c r="C7589" i="1"/>
  <c r="D7589" i="1"/>
  <c r="C7590" i="1"/>
  <c r="D7590" i="1"/>
  <c r="C7591" i="1"/>
  <c r="D7591" i="1"/>
  <c r="C7592" i="1"/>
  <c r="D7592" i="1"/>
  <c r="C7593" i="1"/>
  <c r="D7593" i="1"/>
  <c r="C7594" i="1"/>
  <c r="D7594" i="1"/>
  <c r="C7595" i="1"/>
  <c r="D7595" i="1"/>
  <c r="C7596" i="1"/>
  <c r="D7596" i="1"/>
  <c r="C7597" i="1"/>
  <c r="D7597" i="1"/>
  <c r="C7598" i="1"/>
  <c r="D7598" i="1"/>
  <c r="C7599" i="1"/>
  <c r="D7599" i="1"/>
  <c r="C7600" i="1"/>
  <c r="D7600" i="1"/>
  <c r="C7601" i="1"/>
  <c r="D7601" i="1"/>
  <c r="C7602" i="1"/>
  <c r="D7602" i="1"/>
  <c r="C7603" i="1"/>
  <c r="D7603" i="1"/>
  <c r="C7604" i="1"/>
  <c r="D7604" i="1"/>
  <c r="C7605" i="1"/>
  <c r="D7605" i="1"/>
  <c r="C7606" i="1"/>
  <c r="D7606" i="1"/>
  <c r="C7607" i="1"/>
  <c r="D7607" i="1"/>
  <c r="C7608" i="1"/>
  <c r="D7608" i="1"/>
  <c r="C7609" i="1"/>
  <c r="D7609" i="1"/>
  <c r="C7610" i="1"/>
  <c r="D7610" i="1"/>
  <c r="C7611" i="1"/>
  <c r="D7611" i="1"/>
  <c r="C7612" i="1"/>
  <c r="D7612" i="1"/>
  <c r="C7613" i="1"/>
  <c r="D7613" i="1"/>
  <c r="C7614" i="1"/>
  <c r="D7614" i="1"/>
  <c r="C7615" i="1"/>
  <c r="D7615" i="1"/>
  <c r="C7616" i="1"/>
  <c r="D7616" i="1"/>
  <c r="C7617" i="1"/>
  <c r="D7617" i="1"/>
  <c r="C7618" i="1"/>
  <c r="D7618" i="1"/>
  <c r="C7619" i="1"/>
  <c r="D7619" i="1"/>
  <c r="C7620" i="1"/>
  <c r="D7620" i="1"/>
  <c r="C7621" i="1"/>
  <c r="D7621" i="1"/>
  <c r="C7622" i="1"/>
  <c r="D7622" i="1"/>
  <c r="C7623" i="1"/>
  <c r="D7623" i="1"/>
  <c r="C7624" i="1"/>
  <c r="D7624" i="1"/>
  <c r="C7625" i="1"/>
  <c r="D7625" i="1"/>
  <c r="C7626" i="1"/>
  <c r="D7626" i="1"/>
  <c r="C7627" i="1"/>
  <c r="D7627" i="1"/>
  <c r="C7628" i="1"/>
  <c r="D7628" i="1"/>
  <c r="C7629" i="1"/>
  <c r="D7629" i="1"/>
  <c r="C7630" i="1"/>
  <c r="D7630" i="1"/>
  <c r="C7631" i="1"/>
  <c r="D7631" i="1"/>
  <c r="C7632" i="1"/>
  <c r="D7632" i="1"/>
  <c r="C7633" i="1"/>
  <c r="D7633" i="1"/>
  <c r="C7634" i="1"/>
  <c r="D7634" i="1"/>
  <c r="C7635" i="1"/>
  <c r="D7635" i="1"/>
  <c r="C7636" i="1"/>
  <c r="D7636" i="1"/>
  <c r="C7637" i="1"/>
  <c r="D7637" i="1"/>
  <c r="C7638" i="1"/>
  <c r="D7638" i="1"/>
  <c r="C7639" i="1"/>
  <c r="D7639" i="1"/>
  <c r="C7640" i="1"/>
  <c r="D7640" i="1"/>
  <c r="C7641" i="1"/>
  <c r="D7641" i="1"/>
  <c r="C7642" i="1"/>
  <c r="D7642" i="1"/>
  <c r="C7643" i="1"/>
  <c r="D7643" i="1"/>
  <c r="C7644" i="1"/>
  <c r="D7644" i="1"/>
  <c r="C7645" i="1"/>
  <c r="D7645" i="1"/>
  <c r="C7646" i="1"/>
  <c r="D7646" i="1"/>
  <c r="C7647" i="1"/>
  <c r="D7647" i="1"/>
  <c r="C7648" i="1"/>
  <c r="D7648" i="1"/>
  <c r="C7649" i="1"/>
  <c r="D7649" i="1"/>
  <c r="C7650" i="1"/>
  <c r="D7650" i="1"/>
  <c r="C7651" i="1"/>
  <c r="D7651" i="1"/>
  <c r="C7652" i="1"/>
  <c r="D7652" i="1"/>
  <c r="C7653" i="1"/>
  <c r="D7653" i="1"/>
  <c r="C7654" i="1"/>
  <c r="D7654" i="1"/>
  <c r="C7655" i="1"/>
  <c r="D7655" i="1"/>
  <c r="C7656" i="1"/>
  <c r="D7656" i="1"/>
  <c r="C7657" i="1"/>
  <c r="D7657" i="1"/>
  <c r="C7658" i="1"/>
  <c r="D7658" i="1"/>
  <c r="C7659" i="1"/>
  <c r="D7659" i="1"/>
  <c r="C7660" i="1"/>
  <c r="D7660" i="1"/>
  <c r="C7661" i="1"/>
  <c r="D7661" i="1"/>
  <c r="C7662" i="1"/>
  <c r="D7662" i="1"/>
  <c r="C7663" i="1"/>
  <c r="D7663" i="1"/>
  <c r="C7664" i="1"/>
  <c r="D7664" i="1"/>
  <c r="C7665" i="1"/>
  <c r="D7665" i="1"/>
  <c r="C7666" i="1"/>
  <c r="D7666" i="1"/>
  <c r="C7667" i="1"/>
  <c r="D7667" i="1"/>
  <c r="C7668" i="1"/>
  <c r="D7668" i="1"/>
  <c r="C7669" i="1"/>
  <c r="D7669" i="1"/>
  <c r="C7670" i="1"/>
  <c r="D7670" i="1"/>
  <c r="C7671" i="1"/>
  <c r="D7671" i="1"/>
  <c r="C7672" i="1"/>
  <c r="D7672" i="1"/>
  <c r="C7673" i="1"/>
  <c r="D7673" i="1"/>
  <c r="C7674" i="1"/>
  <c r="D7674" i="1"/>
  <c r="C7675" i="1"/>
  <c r="D7675" i="1"/>
  <c r="C7676" i="1"/>
  <c r="D7676" i="1"/>
  <c r="C7677" i="1"/>
  <c r="D7677" i="1"/>
  <c r="C7678" i="1"/>
  <c r="D7678" i="1"/>
  <c r="C7679" i="1"/>
  <c r="D7679" i="1"/>
  <c r="C7680" i="1"/>
  <c r="D7680" i="1"/>
  <c r="C7681" i="1"/>
  <c r="D7681" i="1"/>
  <c r="C7682" i="1"/>
  <c r="D7682" i="1"/>
  <c r="C7683" i="1"/>
  <c r="D7683" i="1"/>
  <c r="C7684" i="1"/>
  <c r="D7684" i="1"/>
  <c r="C7685" i="1"/>
  <c r="D7685" i="1"/>
  <c r="C7686" i="1"/>
  <c r="D7686" i="1"/>
  <c r="C7687" i="1"/>
  <c r="D7687" i="1"/>
  <c r="C7688" i="1"/>
  <c r="D7688" i="1"/>
  <c r="C7689" i="1"/>
  <c r="D7689" i="1"/>
  <c r="C7690" i="1"/>
  <c r="D7690" i="1"/>
  <c r="C7691" i="1"/>
  <c r="D7691" i="1"/>
  <c r="C7692" i="1"/>
  <c r="D7692" i="1"/>
  <c r="C7693" i="1"/>
  <c r="D7693" i="1"/>
  <c r="C7694" i="1"/>
  <c r="D7694" i="1"/>
  <c r="C7695" i="1"/>
  <c r="D7695" i="1"/>
  <c r="C7696" i="1"/>
  <c r="D7696" i="1"/>
  <c r="C7697" i="1"/>
  <c r="D7697" i="1"/>
  <c r="C7698" i="1"/>
  <c r="D7698" i="1"/>
  <c r="C7699" i="1"/>
  <c r="D7699" i="1"/>
  <c r="C7700" i="1"/>
  <c r="D7700" i="1"/>
  <c r="C7701" i="1"/>
  <c r="D7701" i="1"/>
  <c r="C7702" i="1"/>
  <c r="D7702" i="1"/>
  <c r="C7703" i="1"/>
  <c r="D7703" i="1"/>
  <c r="C7704" i="1"/>
  <c r="D7704" i="1"/>
  <c r="C7705" i="1"/>
  <c r="D7705" i="1"/>
  <c r="C7706" i="1"/>
  <c r="D7706" i="1"/>
  <c r="C7707" i="1"/>
  <c r="D7707" i="1"/>
  <c r="C7708" i="1"/>
  <c r="D7708" i="1"/>
  <c r="C7709" i="1"/>
  <c r="D7709" i="1"/>
  <c r="C7710" i="1"/>
  <c r="D7710" i="1"/>
  <c r="C7711" i="1"/>
  <c r="D7711" i="1"/>
  <c r="C7712" i="1"/>
  <c r="D7712" i="1"/>
  <c r="C7713" i="1"/>
  <c r="D7713" i="1"/>
  <c r="C7714" i="1"/>
  <c r="D7714" i="1"/>
  <c r="C7715" i="1"/>
  <c r="D7715" i="1"/>
  <c r="C7716" i="1"/>
  <c r="D7716" i="1"/>
  <c r="C7717" i="1"/>
  <c r="D7717" i="1"/>
  <c r="C7718" i="1"/>
  <c r="D7718" i="1"/>
  <c r="C7719" i="1"/>
  <c r="D7719" i="1"/>
  <c r="C7720" i="1"/>
  <c r="D7720" i="1"/>
  <c r="C7721" i="1"/>
  <c r="D7721" i="1"/>
  <c r="C7722" i="1"/>
  <c r="D7722" i="1"/>
  <c r="C7723" i="1"/>
  <c r="D7723" i="1"/>
  <c r="C7724" i="1"/>
  <c r="D7724" i="1"/>
  <c r="C7725" i="1"/>
  <c r="D7725" i="1"/>
  <c r="C7726" i="1"/>
  <c r="D7726" i="1"/>
  <c r="C7727" i="1"/>
  <c r="D7727" i="1"/>
  <c r="C7728" i="1"/>
  <c r="D7728" i="1"/>
  <c r="C7729" i="1"/>
  <c r="D7729" i="1"/>
  <c r="C7730" i="1"/>
  <c r="D7730" i="1"/>
  <c r="C7731" i="1"/>
  <c r="D7731" i="1"/>
  <c r="C7732" i="1"/>
  <c r="D7732" i="1"/>
  <c r="C7733" i="1"/>
  <c r="D7733" i="1"/>
  <c r="C7734" i="1"/>
  <c r="D7734" i="1"/>
  <c r="C7735" i="1"/>
  <c r="D7735" i="1"/>
  <c r="C7736" i="1"/>
  <c r="D7736" i="1"/>
  <c r="C7737" i="1"/>
  <c r="D7737" i="1"/>
  <c r="C7738" i="1"/>
  <c r="D7738" i="1"/>
  <c r="C7739" i="1"/>
  <c r="D7739" i="1"/>
  <c r="C7740" i="1"/>
  <c r="D7740" i="1"/>
  <c r="C7741" i="1"/>
  <c r="D7741" i="1"/>
  <c r="C7742" i="1"/>
  <c r="D7742" i="1"/>
  <c r="C7743" i="1"/>
  <c r="D7743" i="1"/>
  <c r="C7744" i="1"/>
  <c r="D7744" i="1"/>
  <c r="C7745" i="1"/>
  <c r="D7745" i="1"/>
  <c r="C7746" i="1"/>
  <c r="D7746" i="1"/>
  <c r="C7747" i="1"/>
  <c r="D7747" i="1"/>
  <c r="C7748" i="1"/>
  <c r="D7748" i="1"/>
  <c r="C7749" i="1"/>
  <c r="D7749" i="1"/>
  <c r="C7750" i="1"/>
  <c r="D7750" i="1"/>
  <c r="C7751" i="1"/>
  <c r="D7751" i="1"/>
  <c r="C7752" i="1"/>
  <c r="D7752" i="1"/>
  <c r="C7753" i="1"/>
  <c r="D7753" i="1"/>
  <c r="C7754" i="1"/>
  <c r="D7754" i="1"/>
  <c r="C7755" i="1"/>
  <c r="D7755" i="1"/>
  <c r="C7756" i="1"/>
  <c r="D7756" i="1"/>
  <c r="C7757" i="1"/>
  <c r="D7757" i="1"/>
  <c r="C7758" i="1"/>
  <c r="D7758" i="1"/>
  <c r="C7759" i="1"/>
  <c r="D7759" i="1"/>
  <c r="C7760" i="1"/>
  <c r="D7760" i="1"/>
  <c r="C7761" i="1"/>
  <c r="D7761" i="1"/>
  <c r="C7762" i="1"/>
  <c r="D7762" i="1"/>
  <c r="C7763" i="1"/>
  <c r="D7763" i="1"/>
  <c r="C7764" i="1"/>
  <c r="D7764" i="1"/>
  <c r="C7765" i="1"/>
  <c r="D7765" i="1"/>
  <c r="C7766" i="1"/>
  <c r="D7766" i="1"/>
  <c r="C7767" i="1"/>
  <c r="D7767" i="1"/>
  <c r="C7768" i="1"/>
  <c r="D7768" i="1"/>
  <c r="C7769" i="1"/>
  <c r="D7769" i="1"/>
  <c r="C7770" i="1"/>
  <c r="D7770" i="1"/>
  <c r="C7771" i="1"/>
  <c r="D7771" i="1"/>
  <c r="C7772" i="1"/>
  <c r="D7772" i="1"/>
  <c r="C7773" i="1"/>
  <c r="D7773" i="1"/>
  <c r="C7774" i="1"/>
  <c r="D7774" i="1"/>
  <c r="C7775" i="1"/>
  <c r="D7775" i="1"/>
  <c r="C7776" i="1"/>
  <c r="D7776" i="1"/>
  <c r="C7777" i="1"/>
  <c r="D7777" i="1"/>
  <c r="C7778" i="1"/>
  <c r="D7778" i="1"/>
  <c r="C7779" i="1"/>
  <c r="D7779" i="1"/>
  <c r="C7780" i="1"/>
  <c r="D7780" i="1"/>
  <c r="C7781" i="1"/>
  <c r="D7781" i="1"/>
  <c r="C7782" i="1"/>
  <c r="D7782" i="1"/>
  <c r="C7783" i="1"/>
  <c r="D7783" i="1"/>
  <c r="C7784" i="1"/>
  <c r="D7784" i="1"/>
  <c r="C7785" i="1"/>
  <c r="D7785" i="1"/>
  <c r="C7786" i="1"/>
  <c r="D7786" i="1"/>
  <c r="C7787" i="1"/>
  <c r="D7787" i="1"/>
  <c r="C7788" i="1"/>
  <c r="D7788" i="1"/>
  <c r="C7789" i="1"/>
  <c r="D7789" i="1"/>
  <c r="C7790" i="1"/>
  <c r="D7790" i="1"/>
  <c r="C7791" i="1"/>
  <c r="D7791" i="1"/>
  <c r="C7792" i="1"/>
  <c r="D7792" i="1"/>
  <c r="C7793" i="1"/>
  <c r="D7793" i="1"/>
  <c r="C7794" i="1"/>
  <c r="D7794" i="1"/>
  <c r="C7795" i="1"/>
  <c r="D7795" i="1"/>
  <c r="C7796" i="1"/>
  <c r="D7796" i="1"/>
  <c r="C7797" i="1"/>
  <c r="D7797" i="1"/>
  <c r="C7798" i="1"/>
  <c r="D7798" i="1"/>
  <c r="C7799" i="1"/>
  <c r="D7799" i="1"/>
  <c r="C7800" i="1"/>
  <c r="D7800" i="1"/>
  <c r="C7801" i="1"/>
  <c r="D7801" i="1"/>
  <c r="C7802" i="1"/>
  <c r="D7802" i="1"/>
  <c r="C7803" i="1"/>
  <c r="D7803" i="1"/>
  <c r="C7804" i="1"/>
  <c r="D7804" i="1"/>
  <c r="C7805" i="1"/>
  <c r="D7805" i="1"/>
  <c r="C7806" i="1"/>
  <c r="D7806" i="1"/>
  <c r="C7807" i="1"/>
  <c r="D7807" i="1"/>
  <c r="C7808" i="1"/>
  <c r="D7808" i="1"/>
  <c r="C7809" i="1"/>
  <c r="D7809" i="1"/>
  <c r="C7810" i="1"/>
  <c r="D7810" i="1"/>
  <c r="C7811" i="1"/>
  <c r="D7811" i="1"/>
  <c r="C7812" i="1"/>
  <c r="D7812" i="1"/>
  <c r="C7813" i="1"/>
  <c r="D7813" i="1"/>
  <c r="C7814" i="1"/>
  <c r="D7814" i="1"/>
  <c r="C7815" i="1"/>
  <c r="D7815" i="1"/>
  <c r="C7816" i="1"/>
  <c r="D7816" i="1"/>
  <c r="C7817" i="1"/>
  <c r="D7817" i="1"/>
  <c r="C7818" i="1"/>
  <c r="D7818" i="1"/>
  <c r="C7819" i="1"/>
  <c r="D7819" i="1"/>
  <c r="C7820" i="1"/>
  <c r="D7820" i="1"/>
  <c r="C7821" i="1"/>
  <c r="D7821" i="1"/>
  <c r="C7822" i="1"/>
  <c r="D7822" i="1"/>
  <c r="C7823" i="1"/>
  <c r="D7823" i="1"/>
  <c r="C7824" i="1"/>
  <c r="D7824" i="1"/>
  <c r="C7825" i="1"/>
  <c r="D7825" i="1"/>
  <c r="C7826" i="1"/>
  <c r="D7826" i="1"/>
  <c r="C7827" i="1"/>
  <c r="D7827" i="1"/>
  <c r="C7828" i="1"/>
  <c r="D7828" i="1"/>
  <c r="C7829" i="1"/>
  <c r="D7829" i="1"/>
  <c r="C7830" i="1"/>
  <c r="D7830" i="1"/>
  <c r="C7831" i="1"/>
  <c r="D7831" i="1"/>
  <c r="C7832" i="1"/>
  <c r="D7832" i="1"/>
  <c r="C7833" i="1"/>
  <c r="D7833" i="1"/>
  <c r="C7834" i="1"/>
  <c r="D7834" i="1"/>
  <c r="C7835" i="1"/>
  <c r="D7835" i="1"/>
  <c r="C7836" i="1"/>
  <c r="D7836" i="1"/>
  <c r="C7837" i="1"/>
  <c r="D7837" i="1"/>
  <c r="C7838" i="1"/>
  <c r="D7838" i="1"/>
  <c r="C7839" i="1"/>
  <c r="D7839" i="1"/>
  <c r="C7840" i="1"/>
  <c r="D7840" i="1"/>
  <c r="C7841" i="1"/>
  <c r="D7841" i="1"/>
  <c r="C7842" i="1"/>
  <c r="D7842" i="1"/>
  <c r="C7843" i="1"/>
  <c r="D7843" i="1"/>
  <c r="C7844" i="1"/>
  <c r="D7844" i="1"/>
  <c r="C7845" i="1"/>
  <c r="D7845" i="1"/>
  <c r="C7846" i="1"/>
  <c r="D7846" i="1"/>
  <c r="C7847" i="1"/>
  <c r="D7847" i="1"/>
  <c r="C7848" i="1"/>
  <c r="D7848" i="1"/>
  <c r="C7849" i="1"/>
  <c r="D7849" i="1"/>
  <c r="C7850" i="1"/>
  <c r="D7850" i="1"/>
  <c r="C7851" i="1"/>
  <c r="D7851" i="1"/>
  <c r="C7852" i="1"/>
  <c r="D7852" i="1"/>
  <c r="C7853" i="1"/>
  <c r="D7853" i="1"/>
  <c r="C7854" i="1"/>
  <c r="D7854" i="1"/>
  <c r="C7855" i="1"/>
  <c r="D7855" i="1"/>
  <c r="C7856" i="1"/>
  <c r="D7856" i="1"/>
  <c r="C7857" i="1"/>
  <c r="D7857" i="1"/>
  <c r="C7858" i="1"/>
  <c r="D7858" i="1"/>
  <c r="C7859" i="1"/>
  <c r="D7859" i="1"/>
  <c r="C7860" i="1"/>
  <c r="D7860" i="1"/>
  <c r="C7861" i="1"/>
  <c r="D7861" i="1"/>
  <c r="C7862" i="1"/>
  <c r="D7862" i="1"/>
  <c r="C7863" i="1"/>
  <c r="D7863" i="1"/>
  <c r="C7864" i="1"/>
  <c r="D7864" i="1"/>
  <c r="C7865" i="1"/>
  <c r="D7865" i="1"/>
  <c r="C7866" i="1"/>
  <c r="D7866" i="1"/>
  <c r="C7867" i="1"/>
  <c r="D7867" i="1"/>
  <c r="C7868" i="1"/>
  <c r="D7868" i="1"/>
  <c r="C7869" i="1"/>
  <c r="D7869" i="1"/>
  <c r="C7870" i="1"/>
  <c r="D7870" i="1"/>
  <c r="C7871" i="1"/>
  <c r="D7871" i="1"/>
  <c r="C7872" i="1"/>
  <c r="D7872" i="1"/>
  <c r="C7873" i="1"/>
  <c r="D7873" i="1"/>
  <c r="C7874" i="1"/>
  <c r="D7874" i="1"/>
  <c r="C7875" i="1"/>
  <c r="D7875" i="1"/>
  <c r="C7876" i="1"/>
  <c r="D7876" i="1"/>
  <c r="C7877" i="1"/>
  <c r="D7877" i="1"/>
  <c r="C7878" i="1"/>
  <c r="D7878" i="1"/>
  <c r="C7879" i="1"/>
  <c r="D7879" i="1"/>
  <c r="C7880" i="1"/>
  <c r="D7880" i="1"/>
  <c r="C7881" i="1"/>
  <c r="D7881" i="1"/>
  <c r="C7882" i="1"/>
  <c r="D7882" i="1"/>
  <c r="C7883" i="1"/>
  <c r="D7883" i="1"/>
  <c r="C7884" i="1"/>
  <c r="D7884" i="1"/>
  <c r="C7885" i="1"/>
  <c r="D7885" i="1"/>
  <c r="C7886" i="1"/>
  <c r="D7886" i="1"/>
  <c r="C7887" i="1"/>
  <c r="D7887" i="1"/>
  <c r="C7888" i="1"/>
  <c r="D7888" i="1"/>
  <c r="C7889" i="1"/>
  <c r="D7889" i="1"/>
  <c r="C7890" i="1"/>
  <c r="D7890" i="1"/>
  <c r="C7891" i="1"/>
  <c r="D7891" i="1"/>
  <c r="C7892" i="1"/>
  <c r="D7892" i="1"/>
  <c r="C7893" i="1"/>
  <c r="D7893" i="1"/>
  <c r="C7894" i="1"/>
  <c r="D7894" i="1"/>
  <c r="C7895" i="1"/>
  <c r="D7895" i="1"/>
  <c r="C7896" i="1"/>
  <c r="D7896" i="1"/>
  <c r="C7897" i="1"/>
  <c r="D7897" i="1"/>
  <c r="C7898" i="1"/>
  <c r="D7898" i="1"/>
  <c r="C7899" i="1"/>
  <c r="D7899" i="1"/>
  <c r="C7900" i="1"/>
  <c r="D7900" i="1"/>
  <c r="C7901" i="1"/>
  <c r="D7901" i="1"/>
  <c r="C7902" i="1"/>
  <c r="D7902" i="1"/>
  <c r="C7903" i="1"/>
  <c r="D7903" i="1"/>
  <c r="C7904" i="1"/>
  <c r="D7904" i="1"/>
  <c r="C7905" i="1"/>
  <c r="D7905" i="1"/>
  <c r="C7906" i="1"/>
  <c r="D7906" i="1"/>
  <c r="C7907" i="1"/>
  <c r="D7907" i="1"/>
  <c r="C7908" i="1"/>
  <c r="D7908" i="1"/>
  <c r="C7909" i="1"/>
  <c r="D7909" i="1"/>
  <c r="C7910" i="1"/>
  <c r="D7910" i="1"/>
  <c r="C7911" i="1"/>
  <c r="D7911" i="1"/>
  <c r="C7912" i="1"/>
  <c r="D7912" i="1"/>
  <c r="C7913" i="1"/>
  <c r="D7913" i="1"/>
  <c r="C7914" i="1"/>
  <c r="D7914" i="1"/>
  <c r="C7915" i="1"/>
  <c r="D7915" i="1"/>
  <c r="C7916" i="1"/>
  <c r="D7916" i="1"/>
  <c r="C7917" i="1"/>
  <c r="D7917" i="1"/>
  <c r="C7918" i="1"/>
  <c r="D7918" i="1"/>
  <c r="C7919" i="1"/>
  <c r="D7919" i="1"/>
  <c r="C7920" i="1"/>
  <c r="D7920" i="1"/>
  <c r="C7921" i="1"/>
  <c r="D7921" i="1"/>
  <c r="C7922" i="1"/>
  <c r="D7922" i="1"/>
  <c r="C7923" i="1"/>
  <c r="D7923" i="1"/>
  <c r="C7924" i="1"/>
  <c r="D7924" i="1"/>
  <c r="C7925" i="1"/>
  <c r="D7925" i="1"/>
  <c r="C7926" i="1"/>
  <c r="D7926" i="1"/>
  <c r="C7927" i="1"/>
  <c r="D7927" i="1"/>
  <c r="C7928" i="1"/>
  <c r="D7928" i="1"/>
  <c r="C7929" i="1"/>
  <c r="D7929" i="1"/>
  <c r="C7930" i="1"/>
  <c r="D7930" i="1"/>
  <c r="C7931" i="1"/>
  <c r="D7931" i="1"/>
  <c r="C7932" i="1"/>
  <c r="D7932" i="1"/>
  <c r="C7933" i="1"/>
  <c r="D7933" i="1"/>
  <c r="C7934" i="1"/>
  <c r="D7934" i="1"/>
  <c r="C7935" i="1"/>
  <c r="D7935" i="1"/>
  <c r="C7936" i="1"/>
  <c r="D7936" i="1"/>
  <c r="C7937" i="1"/>
  <c r="D7937" i="1"/>
  <c r="C7938" i="1"/>
  <c r="D7938" i="1"/>
  <c r="C7939" i="1"/>
  <c r="D7939" i="1"/>
  <c r="C7940" i="1"/>
  <c r="D7940" i="1"/>
  <c r="C7941" i="1"/>
  <c r="D7941" i="1"/>
  <c r="C7942" i="1"/>
  <c r="D7942" i="1"/>
  <c r="C7943" i="1"/>
  <c r="D7943" i="1"/>
  <c r="C7944" i="1"/>
  <c r="D7944" i="1"/>
  <c r="C7945" i="1"/>
  <c r="D7945" i="1"/>
  <c r="C7946" i="1"/>
  <c r="D7946" i="1"/>
  <c r="C7947" i="1"/>
  <c r="D7947" i="1"/>
  <c r="C7948" i="1"/>
  <c r="D7948" i="1"/>
  <c r="C7949" i="1"/>
  <c r="D7949" i="1"/>
  <c r="C7950" i="1"/>
  <c r="D7950" i="1"/>
  <c r="C7951" i="1"/>
  <c r="D7951" i="1"/>
  <c r="C7952" i="1"/>
  <c r="D7952" i="1"/>
  <c r="C7953" i="1"/>
  <c r="D7953" i="1"/>
  <c r="C7954" i="1"/>
  <c r="D7954" i="1"/>
  <c r="C7955" i="1"/>
  <c r="D7955" i="1"/>
  <c r="C7956" i="1"/>
  <c r="D7956" i="1"/>
  <c r="C7957" i="1"/>
  <c r="D7957" i="1"/>
  <c r="C7958" i="1"/>
  <c r="D7958" i="1"/>
  <c r="C7959" i="1"/>
  <c r="D7959" i="1"/>
  <c r="C7960" i="1"/>
  <c r="D7960" i="1"/>
  <c r="C7961" i="1"/>
  <c r="D7961" i="1"/>
  <c r="C7962" i="1"/>
  <c r="D7962" i="1"/>
  <c r="C7963" i="1"/>
  <c r="D7963" i="1"/>
  <c r="C7964" i="1"/>
  <c r="D7964" i="1"/>
  <c r="C7965" i="1"/>
  <c r="D7965" i="1"/>
  <c r="C7966" i="1"/>
  <c r="D7966" i="1"/>
  <c r="C7967" i="1"/>
  <c r="D7967" i="1"/>
  <c r="C7968" i="1"/>
  <c r="D7968" i="1"/>
  <c r="C7969" i="1"/>
  <c r="D7969" i="1"/>
  <c r="C7970" i="1"/>
  <c r="D7970" i="1"/>
  <c r="C7971" i="1"/>
  <c r="D7971" i="1"/>
  <c r="C7972" i="1"/>
  <c r="D7972" i="1"/>
  <c r="C7973" i="1"/>
  <c r="D7973" i="1"/>
  <c r="C7974" i="1"/>
  <c r="D7974" i="1"/>
  <c r="C7975" i="1"/>
  <c r="D7975" i="1"/>
  <c r="C7976" i="1"/>
  <c r="D7976" i="1"/>
  <c r="C7977" i="1"/>
  <c r="D7977" i="1"/>
  <c r="C7978" i="1"/>
  <c r="D7978" i="1"/>
  <c r="C7979" i="1"/>
  <c r="D7979" i="1"/>
  <c r="C7980" i="1"/>
  <c r="D7980" i="1"/>
  <c r="C7981" i="1"/>
  <c r="D7981" i="1"/>
  <c r="C7982" i="1"/>
  <c r="D7982" i="1"/>
  <c r="C7983" i="1"/>
  <c r="D7983" i="1"/>
  <c r="C7984" i="1"/>
  <c r="D7984" i="1"/>
  <c r="C7985" i="1"/>
  <c r="D7985" i="1"/>
  <c r="C7986" i="1"/>
  <c r="D7986" i="1"/>
  <c r="C7987" i="1"/>
  <c r="D7987" i="1"/>
  <c r="C7988" i="1"/>
  <c r="D7988" i="1"/>
  <c r="C7989" i="1"/>
  <c r="D7989" i="1"/>
  <c r="C7990" i="1"/>
  <c r="D7990" i="1"/>
  <c r="C7991" i="1"/>
  <c r="D7991" i="1"/>
  <c r="C7992" i="1"/>
  <c r="D7992" i="1"/>
  <c r="C7993" i="1"/>
  <c r="D7993" i="1"/>
  <c r="C7994" i="1"/>
  <c r="D7994" i="1"/>
  <c r="C7995" i="1"/>
  <c r="D7995" i="1"/>
  <c r="C7996" i="1"/>
  <c r="D7996" i="1"/>
  <c r="C7997" i="1"/>
  <c r="D7997" i="1"/>
  <c r="C7998" i="1"/>
  <c r="D7998" i="1"/>
  <c r="C7999" i="1"/>
  <c r="D7999" i="1"/>
  <c r="C8000" i="1"/>
  <c r="D8000" i="1"/>
  <c r="C8001" i="1"/>
  <c r="D8001" i="1"/>
  <c r="C8002" i="1"/>
  <c r="D8002" i="1"/>
  <c r="C8003" i="1"/>
  <c r="D8003" i="1"/>
  <c r="C8004" i="1"/>
  <c r="D8004" i="1"/>
  <c r="C8005" i="1"/>
  <c r="D8005" i="1"/>
  <c r="C8006" i="1"/>
  <c r="D8006" i="1"/>
  <c r="C8007" i="1"/>
  <c r="D8007" i="1"/>
  <c r="C8008" i="1"/>
  <c r="D8008" i="1"/>
  <c r="C8009" i="1"/>
  <c r="D8009" i="1"/>
  <c r="C8010" i="1"/>
  <c r="D8010" i="1"/>
  <c r="C8011" i="1"/>
  <c r="D8011" i="1"/>
  <c r="C8012" i="1"/>
  <c r="D8012" i="1"/>
  <c r="C8013" i="1"/>
  <c r="D8013" i="1"/>
  <c r="C8014" i="1"/>
  <c r="D8014" i="1"/>
  <c r="C8015" i="1"/>
  <c r="D8015" i="1"/>
  <c r="C8016" i="1"/>
  <c r="D8016" i="1"/>
  <c r="C8017" i="1"/>
  <c r="D8017" i="1"/>
  <c r="C8018" i="1"/>
  <c r="D8018" i="1"/>
  <c r="C8019" i="1"/>
  <c r="D8019" i="1"/>
  <c r="C8020" i="1"/>
  <c r="D8020" i="1"/>
  <c r="C8021" i="1"/>
  <c r="D8021" i="1"/>
  <c r="C8022" i="1"/>
  <c r="D8022" i="1"/>
  <c r="C8023" i="1"/>
  <c r="D8023" i="1"/>
  <c r="C8024" i="1"/>
  <c r="D8024" i="1"/>
  <c r="C8025" i="1"/>
  <c r="D8025" i="1"/>
  <c r="C8026" i="1"/>
  <c r="D8026" i="1"/>
  <c r="C8027" i="1"/>
  <c r="D8027" i="1"/>
  <c r="C8028" i="1"/>
  <c r="D8028" i="1"/>
  <c r="C8029" i="1"/>
  <c r="D8029" i="1"/>
  <c r="C8030" i="1"/>
  <c r="D8030" i="1"/>
  <c r="C8031" i="1"/>
  <c r="D8031" i="1"/>
  <c r="C8032" i="1"/>
  <c r="D8032" i="1"/>
  <c r="C8033" i="1"/>
  <c r="D8033" i="1"/>
  <c r="C8034" i="1"/>
  <c r="D8034" i="1"/>
  <c r="C8035" i="1"/>
  <c r="D8035" i="1"/>
  <c r="C8036" i="1"/>
  <c r="D8036" i="1"/>
  <c r="C8037" i="1"/>
  <c r="D8037" i="1"/>
  <c r="C8038" i="1"/>
  <c r="D8038" i="1"/>
  <c r="C8039" i="1"/>
  <c r="D8039" i="1"/>
  <c r="C8040" i="1"/>
  <c r="D8040" i="1"/>
  <c r="C8041" i="1"/>
  <c r="D8041" i="1"/>
  <c r="C8042" i="1"/>
  <c r="D8042" i="1"/>
  <c r="C8043" i="1"/>
  <c r="D8043" i="1"/>
  <c r="C8044" i="1"/>
  <c r="D8044" i="1"/>
  <c r="C8045" i="1"/>
  <c r="D8045" i="1"/>
  <c r="C8046" i="1"/>
  <c r="D8046" i="1"/>
  <c r="C8047" i="1"/>
  <c r="D8047" i="1"/>
  <c r="C8048" i="1"/>
  <c r="D8048" i="1"/>
  <c r="C8049" i="1"/>
  <c r="D8049" i="1"/>
  <c r="C8050" i="1"/>
  <c r="D8050" i="1"/>
  <c r="C8051" i="1"/>
  <c r="D8051" i="1"/>
  <c r="C8052" i="1"/>
  <c r="D8052" i="1"/>
  <c r="C8053" i="1"/>
  <c r="D8053" i="1"/>
  <c r="C8054" i="1"/>
  <c r="D8054" i="1"/>
  <c r="C8055" i="1"/>
  <c r="D8055" i="1"/>
  <c r="C8056" i="1"/>
  <c r="D8056" i="1"/>
  <c r="C8057" i="1"/>
  <c r="D8057" i="1"/>
  <c r="C8058" i="1"/>
  <c r="D8058" i="1"/>
  <c r="C8059" i="1"/>
  <c r="D8059" i="1"/>
  <c r="C8060" i="1"/>
  <c r="D8060" i="1"/>
  <c r="C8061" i="1"/>
  <c r="D8061" i="1"/>
  <c r="C8062" i="1"/>
  <c r="D8062" i="1"/>
  <c r="C8063" i="1"/>
  <c r="D8063" i="1"/>
  <c r="C8064" i="1"/>
  <c r="D8064" i="1"/>
  <c r="C8065" i="1"/>
  <c r="D8065" i="1"/>
  <c r="C8066" i="1"/>
  <c r="D8066" i="1"/>
  <c r="C8067" i="1"/>
  <c r="D8067" i="1"/>
  <c r="C8068" i="1"/>
  <c r="D8068" i="1"/>
  <c r="C8069" i="1"/>
  <c r="D8069" i="1"/>
  <c r="C8070" i="1"/>
  <c r="D8070" i="1"/>
  <c r="C8071" i="1"/>
  <c r="D8071" i="1"/>
  <c r="C8072" i="1"/>
  <c r="D8072" i="1"/>
  <c r="C8073" i="1"/>
  <c r="D8073" i="1"/>
  <c r="C8074" i="1"/>
  <c r="D8074" i="1"/>
  <c r="C8075" i="1"/>
  <c r="D8075" i="1"/>
  <c r="C8076" i="1"/>
  <c r="D8076" i="1"/>
  <c r="C8077" i="1"/>
  <c r="D8077" i="1"/>
  <c r="C8078" i="1"/>
  <c r="D8078" i="1"/>
  <c r="C8079" i="1"/>
  <c r="D8079" i="1"/>
  <c r="C8080" i="1"/>
  <c r="D8080" i="1"/>
  <c r="C8081" i="1"/>
  <c r="D8081" i="1"/>
  <c r="C8082" i="1"/>
  <c r="D8082" i="1"/>
  <c r="C8083" i="1"/>
  <c r="D8083" i="1"/>
  <c r="C8084" i="1"/>
  <c r="D8084" i="1"/>
  <c r="C8085" i="1"/>
  <c r="D8085" i="1"/>
  <c r="C8086" i="1"/>
  <c r="D8086" i="1"/>
  <c r="C8087" i="1"/>
  <c r="D8087" i="1"/>
  <c r="C8088" i="1"/>
  <c r="D8088" i="1"/>
  <c r="C8089" i="1"/>
  <c r="D8089" i="1"/>
  <c r="C8090" i="1"/>
  <c r="D8090" i="1"/>
  <c r="C8091" i="1"/>
  <c r="D8091" i="1"/>
  <c r="C8092" i="1"/>
  <c r="D8092" i="1"/>
  <c r="C8093" i="1"/>
  <c r="D8093" i="1"/>
  <c r="C8094" i="1"/>
  <c r="D8094" i="1"/>
  <c r="C8095" i="1"/>
  <c r="D8095" i="1"/>
  <c r="C8096" i="1"/>
  <c r="D8096" i="1"/>
  <c r="C8097" i="1"/>
  <c r="D8097" i="1"/>
  <c r="C8098" i="1"/>
  <c r="D8098" i="1"/>
  <c r="C8099" i="1"/>
  <c r="D8099" i="1"/>
  <c r="C8100" i="1"/>
  <c r="D8100" i="1"/>
  <c r="C8101" i="1"/>
  <c r="D8101" i="1"/>
  <c r="C8102" i="1"/>
  <c r="D8102" i="1"/>
  <c r="C8103" i="1"/>
  <c r="D8103" i="1"/>
  <c r="C8104" i="1"/>
  <c r="D8104" i="1"/>
  <c r="C8105" i="1"/>
  <c r="D8105" i="1"/>
  <c r="C8106" i="1"/>
  <c r="D8106" i="1"/>
  <c r="C8107" i="1"/>
  <c r="D8107" i="1"/>
  <c r="C8108" i="1"/>
  <c r="D8108" i="1"/>
  <c r="C8109" i="1"/>
  <c r="D8109" i="1"/>
  <c r="C8110" i="1"/>
  <c r="D8110" i="1"/>
  <c r="C8111" i="1"/>
  <c r="D8111" i="1"/>
  <c r="C8112" i="1"/>
  <c r="D8112" i="1"/>
  <c r="C8113" i="1"/>
  <c r="D8113" i="1"/>
  <c r="C8114" i="1"/>
  <c r="D8114" i="1"/>
  <c r="C8115" i="1"/>
  <c r="D8115" i="1"/>
  <c r="C8116" i="1"/>
  <c r="D8116" i="1"/>
  <c r="C8117" i="1"/>
  <c r="D8117" i="1"/>
  <c r="C8118" i="1"/>
  <c r="D8118" i="1"/>
  <c r="C8119" i="1"/>
  <c r="D8119" i="1"/>
  <c r="C8120" i="1"/>
  <c r="D8120" i="1"/>
  <c r="C8121" i="1"/>
  <c r="D8121" i="1"/>
  <c r="C8122" i="1"/>
  <c r="D8122" i="1"/>
  <c r="C8123" i="1"/>
  <c r="D8123" i="1"/>
  <c r="C8124" i="1"/>
  <c r="D8124" i="1"/>
  <c r="C8125" i="1"/>
  <c r="D8125" i="1"/>
  <c r="C8126" i="1"/>
  <c r="D8126" i="1"/>
  <c r="C8127" i="1"/>
  <c r="D8127" i="1"/>
  <c r="C8128" i="1"/>
  <c r="D8128" i="1"/>
  <c r="C8129" i="1"/>
  <c r="D8129" i="1"/>
  <c r="C8130" i="1"/>
  <c r="D8130" i="1"/>
  <c r="C8131" i="1"/>
  <c r="D8131" i="1"/>
  <c r="C8132" i="1"/>
  <c r="D8132" i="1"/>
  <c r="C8133" i="1"/>
  <c r="D8133" i="1"/>
  <c r="C8134" i="1"/>
  <c r="D8134" i="1"/>
  <c r="C8135" i="1"/>
  <c r="D8135" i="1"/>
  <c r="C8136" i="1"/>
  <c r="D8136" i="1"/>
  <c r="C8137" i="1"/>
  <c r="D8137" i="1"/>
  <c r="C8138" i="1"/>
  <c r="D8138" i="1"/>
  <c r="C8139" i="1"/>
  <c r="D8139" i="1"/>
  <c r="C8140" i="1"/>
  <c r="D8140" i="1"/>
  <c r="C8141" i="1"/>
  <c r="D8141" i="1"/>
  <c r="C8142" i="1"/>
  <c r="D8142" i="1"/>
  <c r="C8143" i="1"/>
  <c r="D8143" i="1"/>
  <c r="C8144" i="1"/>
  <c r="D8144" i="1"/>
  <c r="C8145" i="1"/>
  <c r="D8145" i="1"/>
  <c r="C8146" i="1"/>
  <c r="D8146" i="1"/>
  <c r="C8147" i="1"/>
  <c r="D8147" i="1"/>
  <c r="C8148" i="1"/>
  <c r="D8148" i="1"/>
  <c r="C8149" i="1"/>
  <c r="D8149" i="1"/>
  <c r="C8150" i="1"/>
  <c r="D8150" i="1"/>
  <c r="C8151" i="1"/>
  <c r="D8151" i="1"/>
  <c r="C8152" i="1"/>
  <c r="D8152" i="1"/>
  <c r="C8153" i="1"/>
  <c r="D8153" i="1"/>
  <c r="C8154" i="1"/>
  <c r="D8154" i="1"/>
  <c r="C8155" i="1"/>
  <c r="D8155" i="1"/>
  <c r="C8156" i="1"/>
  <c r="D8156" i="1"/>
  <c r="C8157" i="1"/>
  <c r="D8157" i="1"/>
  <c r="C8158" i="1"/>
  <c r="D8158" i="1"/>
  <c r="C8159" i="1"/>
  <c r="D8159" i="1"/>
  <c r="C8160" i="1"/>
  <c r="D8160" i="1"/>
  <c r="C8161" i="1"/>
  <c r="D8161" i="1"/>
  <c r="C8162" i="1"/>
  <c r="D8162" i="1"/>
  <c r="C8163" i="1"/>
  <c r="D8163" i="1"/>
  <c r="C8164" i="1"/>
  <c r="D8164" i="1"/>
  <c r="C8165" i="1"/>
  <c r="D8165" i="1"/>
  <c r="C8166" i="1"/>
  <c r="D8166" i="1"/>
  <c r="C8167" i="1"/>
  <c r="D8167" i="1"/>
  <c r="C8168" i="1"/>
  <c r="D8168" i="1"/>
  <c r="C8169" i="1"/>
  <c r="D8169" i="1"/>
  <c r="C8170" i="1"/>
  <c r="D8170" i="1"/>
  <c r="C8171" i="1"/>
  <c r="D8171" i="1"/>
  <c r="C8172" i="1"/>
  <c r="D8172" i="1"/>
  <c r="C8173" i="1"/>
  <c r="D8173" i="1"/>
  <c r="C8174" i="1"/>
  <c r="D8174" i="1"/>
  <c r="C8175" i="1"/>
  <c r="D8175" i="1"/>
  <c r="C8176" i="1"/>
  <c r="D8176" i="1"/>
  <c r="C8177" i="1"/>
  <c r="D8177" i="1"/>
  <c r="C8178" i="1"/>
  <c r="D8178" i="1"/>
  <c r="C8179" i="1"/>
  <c r="D8179" i="1"/>
  <c r="C8180" i="1"/>
  <c r="D8180" i="1"/>
  <c r="C8181" i="1"/>
  <c r="D8181" i="1"/>
  <c r="C8182" i="1"/>
  <c r="D8182" i="1"/>
  <c r="C8183" i="1"/>
  <c r="D8183" i="1"/>
  <c r="C8184" i="1"/>
  <c r="D8184" i="1"/>
  <c r="C8185" i="1"/>
  <c r="D8185" i="1"/>
  <c r="C8186" i="1"/>
  <c r="D8186" i="1"/>
  <c r="C8187" i="1"/>
  <c r="D8187" i="1"/>
  <c r="C8188" i="1"/>
  <c r="D8188" i="1"/>
  <c r="C8189" i="1"/>
  <c r="D8189" i="1"/>
  <c r="C8190" i="1"/>
  <c r="D8190" i="1"/>
  <c r="C8191" i="1"/>
  <c r="D8191" i="1"/>
  <c r="C8192" i="1"/>
  <c r="D8192" i="1"/>
  <c r="C8193" i="1"/>
  <c r="D8193" i="1"/>
  <c r="C8194" i="1"/>
  <c r="D8194" i="1"/>
  <c r="C8195" i="1"/>
  <c r="D8195" i="1"/>
  <c r="C8196" i="1"/>
  <c r="D8196" i="1"/>
  <c r="C8197" i="1"/>
  <c r="D8197" i="1"/>
  <c r="C8198" i="1"/>
  <c r="D8198" i="1"/>
  <c r="C8199" i="1"/>
  <c r="D8199" i="1"/>
  <c r="C8200" i="1"/>
  <c r="D8200" i="1"/>
  <c r="C8201" i="1"/>
  <c r="D8201" i="1"/>
  <c r="C8202" i="1"/>
  <c r="D8202" i="1"/>
  <c r="C8203" i="1"/>
  <c r="D8203" i="1"/>
  <c r="C8204" i="1"/>
  <c r="D8204" i="1"/>
  <c r="C8205" i="1"/>
  <c r="D8205" i="1"/>
  <c r="C8206" i="1"/>
  <c r="D8206" i="1"/>
  <c r="C8207" i="1"/>
  <c r="D8207" i="1"/>
  <c r="C8208" i="1"/>
  <c r="D8208" i="1"/>
  <c r="C8209" i="1"/>
  <c r="D8209" i="1"/>
  <c r="C8210" i="1"/>
  <c r="D8210" i="1"/>
  <c r="C8211" i="1"/>
  <c r="D8211" i="1"/>
  <c r="C8212" i="1"/>
  <c r="D8212" i="1"/>
  <c r="C8213" i="1"/>
  <c r="D8213" i="1"/>
  <c r="C8214" i="1"/>
  <c r="D8214" i="1"/>
  <c r="C8215" i="1"/>
  <c r="D8215" i="1"/>
  <c r="C8216" i="1"/>
  <c r="D8216" i="1"/>
  <c r="C8217" i="1"/>
  <c r="D8217" i="1"/>
  <c r="C8218" i="1"/>
  <c r="D8218" i="1"/>
  <c r="C8219" i="1"/>
  <c r="D8219" i="1"/>
  <c r="C8220" i="1"/>
  <c r="D8220" i="1"/>
  <c r="C8221" i="1"/>
  <c r="D8221" i="1"/>
  <c r="C8222" i="1"/>
  <c r="D8222" i="1"/>
  <c r="C8223" i="1"/>
  <c r="D8223" i="1"/>
  <c r="C8224" i="1"/>
  <c r="D8224" i="1"/>
  <c r="C8225" i="1"/>
  <c r="D8225" i="1"/>
  <c r="C8226" i="1"/>
  <c r="D8226" i="1"/>
  <c r="C8227" i="1"/>
  <c r="D8227" i="1"/>
  <c r="C8228" i="1"/>
  <c r="D8228" i="1"/>
  <c r="C8229" i="1"/>
  <c r="D8229" i="1"/>
  <c r="C8230" i="1"/>
  <c r="D8230" i="1"/>
  <c r="C8231" i="1"/>
  <c r="D8231" i="1"/>
  <c r="C8232" i="1"/>
  <c r="D8232" i="1"/>
  <c r="C8233" i="1"/>
  <c r="D8233" i="1"/>
  <c r="C8234" i="1"/>
  <c r="D8234" i="1"/>
  <c r="C8235" i="1"/>
  <c r="D8235" i="1"/>
  <c r="C8236" i="1"/>
  <c r="D8236" i="1"/>
  <c r="C8237" i="1"/>
  <c r="D8237" i="1"/>
  <c r="C8238" i="1"/>
  <c r="D8238" i="1"/>
  <c r="C8239" i="1"/>
  <c r="D8239" i="1"/>
  <c r="C8240" i="1"/>
  <c r="D8240" i="1"/>
  <c r="C8241" i="1"/>
  <c r="D8241" i="1"/>
  <c r="C8242" i="1"/>
  <c r="D8242" i="1"/>
  <c r="C8243" i="1"/>
  <c r="D8243" i="1"/>
  <c r="C8244" i="1"/>
  <c r="D8244" i="1"/>
  <c r="C8245" i="1"/>
  <c r="D8245" i="1"/>
  <c r="C8246" i="1"/>
  <c r="D8246" i="1"/>
  <c r="C8247" i="1"/>
  <c r="D8247" i="1"/>
  <c r="C8248" i="1"/>
  <c r="D8248" i="1"/>
  <c r="C8249" i="1"/>
  <c r="D8249" i="1"/>
  <c r="C8250" i="1"/>
  <c r="D8250" i="1"/>
  <c r="C8251" i="1"/>
  <c r="D8251" i="1"/>
  <c r="C8252" i="1"/>
  <c r="D8252" i="1"/>
  <c r="C8253" i="1"/>
  <c r="D8253" i="1"/>
  <c r="C8254" i="1"/>
  <c r="D8254" i="1"/>
  <c r="C8255" i="1"/>
  <c r="D8255" i="1"/>
  <c r="C8256" i="1"/>
  <c r="D8256" i="1"/>
  <c r="C8257" i="1"/>
  <c r="D8257" i="1"/>
  <c r="C8258" i="1"/>
  <c r="D8258" i="1"/>
  <c r="C8259" i="1"/>
  <c r="D8259" i="1"/>
  <c r="C8260" i="1"/>
  <c r="D8260" i="1"/>
  <c r="C8261" i="1"/>
  <c r="D8261" i="1"/>
  <c r="C8262" i="1"/>
  <c r="D8262" i="1"/>
  <c r="C8263" i="1"/>
  <c r="D8263" i="1"/>
  <c r="C8264" i="1"/>
  <c r="D8264" i="1"/>
  <c r="C8265" i="1"/>
  <c r="D8265" i="1"/>
  <c r="C8266" i="1"/>
  <c r="D8266" i="1"/>
  <c r="C8267" i="1"/>
  <c r="D8267" i="1"/>
  <c r="C8268" i="1"/>
  <c r="D8268" i="1"/>
  <c r="C8269" i="1"/>
  <c r="D8269" i="1"/>
  <c r="C8270" i="1"/>
  <c r="D8270" i="1"/>
  <c r="C8271" i="1"/>
  <c r="D8271" i="1"/>
  <c r="C8272" i="1"/>
  <c r="D8272" i="1"/>
  <c r="C8273" i="1"/>
  <c r="D8273" i="1"/>
  <c r="C8274" i="1"/>
  <c r="D8274" i="1"/>
  <c r="C8275" i="1"/>
  <c r="D8275" i="1"/>
  <c r="C8276" i="1"/>
  <c r="D8276" i="1"/>
  <c r="C8277" i="1"/>
  <c r="D8277" i="1"/>
  <c r="C8278" i="1"/>
  <c r="D8278" i="1"/>
  <c r="C8279" i="1"/>
  <c r="D8279" i="1"/>
  <c r="C8280" i="1"/>
  <c r="D8280" i="1"/>
  <c r="C8281" i="1"/>
  <c r="D8281" i="1"/>
  <c r="C8282" i="1"/>
  <c r="D8282" i="1"/>
  <c r="C8283" i="1"/>
  <c r="D8283" i="1"/>
  <c r="C8284" i="1"/>
  <c r="D8284" i="1"/>
  <c r="C8285" i="1"/>
  <c r="D8285" i="1"/>
  <c r="C8286" i="1"/>
  <c r="D8286" i="1"/>
  <c r="C8287" i="1"/>
  <c r="D8287" i="1"/>
  <c r="C8288" i="1"/>
  <c r="D8288" i="1"/>
  <c r="C8289" i="1"/>
  <c r="D8289" i="1"/>
  <c r="C8290" i="1"/>
  <c r="D8290" i="1"/>
  <c r="C8291" i="1"/>
  <c r="D8291" i="1"/>
  <c r="C8292" i="1"/>
  <c r="D8292" i="1"/>
  <c r="C8293" i="1"/>
  <c r="D8293" i="1"/>
  <c r="C8294" i="1"/>
  <c r="D8294" i="1"/>
  <c r="C8295" i="1"/>
  <c r="D8295" i="1"/>
  <c r="C8296" i="1"/>
  <c r="D8296" i="1"/>
  <c r="C8297" i="1"/>
  <c r="D8297" i="1"/>
  <c r="C8298" i="1"/>
  <c r="D8298" i="1"/>
  <c r="C8299" i="1"/>
  <c r="D8299" i="1"/>
  <c r="C8300" i="1"/>
  <c r="D8300" i="1"/>
  <c r="C8301" i="1"/>
  <c r="D8301" i="1"/>
  <c r="C8302" i="1"/>
  <c r="D8302" i="1"/>
  <c r="C8303" i="1"/>
  <c r="D8303" i="1"/>
  <c r="C8304" i="1"/>
  <c r="D8304" i="1"/>
  <c r="C8305" i="1"/>
  <c r="D8305" i="1"/>
  <c r="C8306" i="1"/>
  <c r="D8306" i="1"/>
  <c r="C8307" i="1"/>
  <c r="D8307" i="1"/>
  <c r="C8308" i="1"/>
  <c r="D8308" i="1"/>
  <c r="C8309" i="1"/>
  <c r="D8309" i="1"/>
  <c r="C8310" i="1"/>
  <c r="D8310" i="1"/>
  <c r="C8311" i="1"/>
  <c r="D8311" i="1"/>
  <c r="C8312" i="1"/>
  <c r="D8312" i="1"/>
  <c r="C8313" i="1"/>
  <c r="D8313" i="1"/>
  <c r="C8314" i="1"/>
  <c r="D8314" i="1"/>
  <c r="C8315" i="1"/>
  <c r="D8315" i="1"/>
  <c r="C8316" i="1"/>
  <c r="D8316" i="1"/>
  <c r="C8317" i="1"/>
  <c r="D8317" i="1"/>
  <c r="C8318" i="1"/>
  <c r="D8318" i="1"/>
  <c r="C8319" i="1"/>
  <c r="D8319" i="1"/>
  <c r="C8320" i="1"/>
  <c r="D8320" i="1"/>
  <c r="C8321" i="1"/>
  <c r="D8321" i="1"/>
  <c r="C8322" i="1"/>
  <c r="D8322" i="1"/>
  <c r="C8323" i="1"/>
  <c r="D8323" i="1"/>
  <c r="C8324" i="1"/>
  <c r="D8324" i="1"/>
  <c r="C8325" i="1"/>
  <c r="D8325" i="1"/>
  <c r="C8326" i="1"/>
  <c r="D8326" i="1"/>
  <c r="C8327" i="1"/>
  <c r="D8327" i="1"/>
  <c r="C8328" i="1"/>
  <c r="D8328" i="1"/>
  <c r="C8329" i="1"/>
  <c r="D8329" i="1"/>
  <c r="C8330" i="1"/>
  <c r="D8330" i="1"/>
  <c r="C8331" i="1"/>
  <c r="D8331" i="1"/>
  <c r="C8332" i="1"/>
  <c r="D8332" i="1"/>
  <c r="C8333" i="1"/>
  <c r="D8333" i="1"/>
  <c r="C8334" i="1"/>
  <c r="D8334" i="1"/>
  <c r="C8335" i="1"/>
  <c r="D8335" i="1"/>
  <c r="C8336" i="1"/>
  <c r="D8336" i="1"/>
  <c r="C8337" i="1"/>
  <c r="D8337" i="1"/>
  <c r="C8338" i="1"/>
  <c r="D8338" i="1"/>
  <c r="C8339" i="1"/>
  <c r="D8339" i="1"/>
  <c r="C8340" i="1"/>
  <c r="D8340" i="1"/>
  <c r="C8341" i="1"/>
  <c r="D8341" i="1"/>
  <c r="C8342" i="1"/>
  <c r="D8342" i="1"/>
  <c r="C8343" i="1"/>
  <c r="D8343" i="1"/>
  <c r="C8344" i="1"/>
  <c r="D8344" i="1"/>
  <c r="C8345" i="1"/>
  <c r="D8345" i="1"/>
  <c r="C8346" i="1"/>
  <c r="D8346" i="1"/>
  <c r="C8347" i="1"/>
  <c r="D8347" i="1"/>
  <c r="C8348" i="1"/>
  <c r="D8348" i="1"/>
  <c r="C8349" i="1"/>
  <c r="D8349" i="1"/>
  <c r="C8350" i="1"/>
  <c r="D8350" i="1"/>
  <c r="C8351" i="1"/>
  <c r="D8351" i="1"/>
  <c r="C8352" i="1"/>
  <c r="D8352" i="1"/>
  <c r="C8353" i="1"/>
  <c r="D8353" i="1"/>
  <c r="C8354" i="1"/>
  <c r="D8354" i="1"/>
  <c r="C8355" i="1"/>
  <c r="D8355" i="1"/>
  <c r="C8356" i="1"/>
  <c r="D8356" i="1"/>
  <c r="C8357" i="1"/>
  <c r="D8357" i="1"/>
  <c r="C8358" i="1"/>
  <c r="D8358" i="1"/>
  <c r="C8359" i="1"/>
  <c r="D8359" i="1"/>
  <c r="C8360" i="1"/>
  <c r="D8360" i="1"/>
  <c r="C8361" i="1"/>
  <c r="D8361" i="1"/>
  <c r="C8362" i="1"/>
  <c r="D8362" i="1"/>
  <c r="C8363" i="1"/>
  <c r="D8363" i="1"/>
  <c r="C8364" i="1"/>
  <c r="D8364" i="1"/>
  <c r="C8365" i="1"/>
  <c r="D8365" i="1"/>
  <c r="C8366" i="1"/>
  <c r="D8366" i="1"/>
  <c r="C8367" i="1"/>
  <c r="D8367" i="1"/>
  <c r="C8368" i="1"/>
  <c r="D8368" i="1"/>
  <c r="C8369" i="1"/>
  <c r="D8369" i="1"/>
  <c r="C8370" i="1"/>
  <c r="D8370" i="1"/>
  <c r="C8371" i="1"/>
  <c r="D8371" i="1"/>
  <c r="C8372" i="1"/>
  <c r="D8372" i="1"/>
  <c r="C8373" i="1"/>
  <c r="D8373" i="1"/>
  <c r="C8374" i="1"/>
  <c r="D8374" i="1"/>
  <c r="C8375" i="1"/>
  <c r="D8375" i="1"/>
  <c r="C8376" i="1"/>
  <c r="D8376" i="1"/>
  <c r="C8377" i="1"/>
  <c r="D8377" i="1"/>
  <c r="C8378" i="1"/>
  <c r="D8378" i="1"/>
  <c r="C8379" i="1"/>
  <c r="D8379" i="1"/>
  <c r="C8380" i="1"/>
  <c r="D8380" i="1"/>
  <c r="C8381" i="1"/>
  <c r="D8381" i="1"/>
  <c r="C8382" i="1"/>
  <c r="D8382" i="1"/>
  <c r="C8383" i="1"/>
  <c r="D8383" i="1"/>
  <c r="C8384" i="1"/>
  <c r="D8384" i="1"/>
  <c r="C8385" i="1"/>
  <c r="D8385" i="1"/>
  <c r="C8386" i="1"/>
  <c r="D8386" i="1"/>
  <c r="C8387" i="1"/>
  <c r="D8387" i="1"/>
  <c r="C8388" i="1"/>
  <c r="D8388" i="1"/>
  <c r="C8389" i="1"/>
  <c r="D8389" i="1"/>
  <c r="C8390" i="1"/>
  <c r="D8390" i="1"/>
  <c r="C8391" i="1"/>
  <c r="D8391" i="1"/>
  <c r="C8392" i="1"/>
  <c r="D8392" i="1"/>
  <c r="C8393" i="1"/>
  <c r="D8393" i="1"/>
  <c r="C8394" i="1"/>
  <c r="D8394" i="1"/>
  <c r="C8395" i="1"/>
  <c r="D8395" i="1"/>
  <c r="C8396" i="1"/>
  <c r="D8396" i="1"/>
  <c r="C8397" i="1"/>
  <c r="D8397" i="1"/>
  <c r="C8398" i="1"/>
  <c r="D8398" i="1"/>
  <c r="C8399" i="1"/>
  <c r="D8399" i="1"/>
  <c r="C8400" i="1"/>
  <c r="D8400" i="1"/>
  <c r="C8401" i="1"/>
  <c r="D8401" i="1"/>
  <c r="C8402" i="1"/>
  <c r="D8402" i="1"/>
  <c r="C8403" i="1"/>
  <c r="D8403" i="1"/>
  <c r="C8404" i="1"/>
  <c r="D8404" i="1"/>
  <c r="C8405" i="1"/>
  <c r="D8405" i="1"/>
  <c r="C8406" i="1"/>
  <c r="D8406" i="1"/>
  <c r="C8407" i="1"/>
  <c r="D8407" i="1"/>
  <c r="C8408" i="1"/>
  <c r="D8408" i="1"/>
  <c r="C8409" i="1"/>
  <c r="D8409" i="1"/>
  <c r="C8410" i="1"/>
  <c r="D8410" i="1"/>
  <c r="C8411" i="1"/>
  <c r="D8411" i="1"/>
  <c r="C8412" i="1"/>
  <c r="D8412" i="1"/>
  <c r="C8413" i="1"/>
  <c r="D8413" i="1"/>
  <c r="C8414" i="1"/>
  <c r="D8414" i="1"/>
  <c r="C8415" i="1"/>
  <c r="D8415" i="1"/>
  <c r="C8416" i="1"/>
  <c r="D8416" i="1"/>
  <c r="C8417" i="1"/>
  <c r="D8417" i="1"/>
  <c r="C8418" i="1"/>
  <c r="D8418" i="1"/>
  <c r="C8419" i="1"/>
  <c r="D8419" i="1"/>
  <c r="C8420" i="1"/>
  <c r="D8420" i="1"/>
  <c r="C8421" i="1"/>
  <c r="D8421" i="1"/>
  <c r="C8422" i="1"/>
  <c r="D8422" i="1"/>
  <c r="C8423" i="1"/>
  <c r="D8423" i="1"/>
  <c r="C8424" i="1"/>
  <c r="D8424" i="1"/>
  <c r="C8425" i="1"/>
  <c r="D8425" i="1"/>
  <c r="C8426" i="1"/>
  <c r="D8426" i="1"/>
  <c r="C8427" i="1"/>
  <c r="D8427" i="1"/>
  <c r="C8428" i="1"/>
  <c r="D8428" i="1"/>
  <c r="C8429" i="1"/>
  <c r="D8429" i="1"/>
  <c r="C8430" i="1"/>
  <c r="D8430" i="1"/>
  <c r="C8431" i="1"/>
  <c r="D8431" i="1"/>
  <c r="C8432" i="1"/>
  <c r="D8432" i="1"/>
  <c r="C8433" i="1"/>
  <c r="D8433" i="1"/>
  <c r="C8434" i="1"/>
  <c r="D8434" i="1"/>
  <c r="C8435" i="1"/>
  <c r="D8435" i="1"/>
  <c r="C8436" i="1"/>
  <c r="D8436" i="1"/>
  <c r="C8437" i="1"/>
  <c r="D8437" i="1"/>
  <c r="C8438" i="1"/>
  <c r="D8438" i="1"/>
  <c r="C8439" i="1"/>
  <c r="D8439" i="1"/>
  <c r="C8440" i="1"/>
  <c r="D8440" i="1"/>
  <c r="C8441" i="1"/>
  <c r="D8441" i="1"/>
  <c r="C8442" i="1"/>
  <c r="D8442" i="1"/>
  <c r="C8443" i="1"/>
  <c r="D8443" i="1"/>
  <c r="C8444" i="1"/>
  <c r="D8444" i="1"/>
  <c r="C8445" i="1"/>
  <c r="D8445" i="1"/>
  <c r="C8446" i="1"/>
  <c r="D8446" i="1"/>
  <c r="C8447" i="1"/>
  <c r="D8447" i="1"/>
  <c r="C8448" i="1"/>
  <c r="D8448" i="1"/>
  <c r="C8449" i="1"/>
  <c r="D8449" i="1"/>
  <c r="C8450" i="1"/>
  <c r="D8450" i="1"/>
  <c r="C8451" i="1"/>
  <c r="D8451" i="1"/>
  <c r="C8452" i="1"/>
  <c r="D8452" i="1"/>
  <c r="C8453" i="1"/>
  <c r="D8453" i="1"/>
  <c r="C8454" i="1"/>
  <c r="D8454" i="1"/>
  <c r="C8455" i="1"/>
  <c r="D8455" i="1"/>
  <c r="C8456" i="1"/>
  <c r="D8456" i="1"/>
  <c r="C8457" i="1"/>
  <c r="D8457" i="1"/>
  <c r="C8458" i="1"/>
  <c r="D8458" i="1"/>
  <c r="C8459" i="1"/>
  <c r="D8459" i="1"/>
  <c r="C8460" i="1"/>
  <c r="D8460" i="1"/>
  <c r="C8461" i="1"/>
  <c r="D8461" i="1"/>
  <c r="C8462" i="1"/>
  <c r="D8462" i="1"/>
  <c r="C8463" i="1"/>
  <c r="D8463" i="1"/>
  <c r="C8464" i="1"/>
  <c r="D8464" i="1"/>
  <c r="C8465" i="1"/>
  <c r="D8465" i="1"/>
  <c r="C8466" i="1"/>
  <c r="D8466" i="1"/>
  <c r="C8467" i="1"/>
  <c r="D8467" i="1"/>
  <c r="C8468" i="1"/>
  <c r="D8468" i="1"/>
  <c r="C8469" i="1"/>
  <c r="D8469" i="1"/>
  <c r="C8470" i="1"/>
  <c r="D8470" i="1"/>
  <c r="C8471" i="1"/>
  <c r="D8471" i="1"/>
  <c r="C8472" i="1"/>
  <c r="D8472" i="1"/>
  <c r="C8473" i="1"/>
  <c r="D8473" i="1"/>
  <c r="C8474" i="1"/>
  <c r="D8474" i="1"/>
  <c r="C8475" i="1"/>
  <c r="D8475" i="1"/>
  <c r="C8476" i="1"/>
  <c r="D8476" i="1"/>
  <c r="C8477" i="1"/>
  <c r="D8477" i="1"/>
  <c r="C8478" i="1"/>
  <c r="D8478" i="1"/>
  <c r="C8479" i="1"/>
  <c r="D8479" i="1"/>
  <c r="C8480" i="1"/>
  <c r="D8480" i="1"/>
  <c r="C8481" i="1"/>
  <c r="D8481" i="1"/>
  <c r="C8482" i="1"/>
  <c r="D8482" i="1"/>
  <c r="C8483" i="1"/>
  <c r="D8483" i="1"/>
  <c r="C8484" i="1"/>
  <c r="D8484" i="1"/>
  <c r="C8485" i="1"/>
  <c r="D8485" i="1"/>
  <c r="C8486" i="1"/>
  <c r="D8486" i="1"/>
  <c r="C8487" i="1"/>
  <c r="D8487" i="1"/>
  <c r="C8488" i="1"/>
  <c r="D8488" i="1"/>
  <c r="C8489" i="1"/>
  <c r="D8489" i="1"/>
  <c r="C8490" i="1"/>
  <c r="D8490" i="1"/>
  <c r="C8491" i="1"/>
  <c r="D8491" i="1"/>
  <c r="C8492" i="1"/>
  <c r="D8492" i="1"/>
  <c r="C8493" i="1"/>
  <c r="D8493" i="1"/>
  <c r="C8494" i="1"/>
  <c r="D8494" i="1"/>
  <c r="C8495" i="1"/>
  <c r="D8495" i="1"/>
  <c r="C8496" i="1"/>
  <c r="D8496" i="1"/>
  <c r="C8497" i="1"/>
  <c r="D8497" i="1"/>
  <c r="C8498" i="1"/>
  <c r="D8498" i="1"/>
  <c r="C8499" i="1"/>
  <c r="D8499" i="1"/>
  <c r="C8500" i="1"/>
  <c r="D8500" i="1"/>
  <c r="C8501" i="1"/>
  <c r="D8501" i="1"/>
  <c r="C8502" i="1"/>
  <c r="D8502" i="1"/>
  <c r="C8503" i="1"/>
  <c r="D8503" i="1"/>
  <c r="C8504" i="1"/>
  <c r="D8504" i="1"/>
  <c r="C8505" i="1"/>
  <c r="D8505" i="1"/>
  <c r="C8506" i="1"/>
  <c r="D8506" i="1"/>
  <c r="C8507" i="1"/>
  <c r="D8507" i="1"/>
  <c r="C8508" i="1"/>
  <c r="D8508" i="1"/>
  <c r="C8509" i="1"/>
  <c r="D8509" i="1"/>
  <c r="C8510" i="1"/>
  <c r="D8510" i="1"/>
  <c r="C8511" i="1"/>
  <c r="D8511" i="1"/>
  <c r="C8512" i="1"/>
  <c r="D8512" i="1"/>
  <c r="C8513" i="1"/>
  <c r="D8513" i="1"/>
  <c r="C8514" i="1"/>
  <c r="D8514" i="1"/>
  <c r="C8515" i="1"/>
  <c r="D8515" i="1"/>
  <c r="C8516" i="1"/>
  <c r="D8516" i="1"/>
  <c r="C8517" i="1"/>
  <c r="D8517" i="1"/>
  <c r="C8518" i="1"/>
  <c r="D8518" i="1"/>
  <c r="C8519" i="1"/>
  <c r="D8519" i="1"/>
  <c r="C8520" i="1"/>
  <c r="D8520" i="1"/>
  <c r="C8521" i="1"/>
  <c r="D8521" i="1"/>
  <c r="C8522" i="1"/>
  <c r="D8522" i="1"/>
  <c r="C8523" i="1"/>
  <c r="D8523" i="1"/>
  <c r="C8524" i="1"/>
  <c r="D8524" i="1"/>
  <c r="C8525" i="1"/>
  <c r="D8525" i="1"/>
  <c r="C8526" i="1"/>
  <c r="D8526" i="1"/>
  <c r="C8527" i="1"/>
  <c r="D8527" i="1"/>
  <c r="C8528" i="1"/>
  <c r="D8528" i="1"/>
  <c r="C8529" i="1"/>
  <c r="D8529" i="1"/>
  <c r="C8530" i="1"/>
  <c r="D8530" i="1"/>
  <c r="C8531" i="1"/>
  <c r="D8531" i="1"/>
  <c r="C8532" i="1"/>
  <c r="D8532" i="1"/>
  <c r="C8533" i="1"/>
  <c r="D8533" i="1"/>
  <c r="C8534" i="1"/>
  <c r="D8534" i="1"/>
  <c r="C8535" i="1"/>
  <c r="D8535" i="1"/>
  <c r="C8536" i="1"/>
  <c r="D8536" i="1"/>
  <c r="C8537" i="1"/>
  <c r="D8537" i="1"/>
  <c r="C8538" i="1"/>
  <c r="D8538" i="1"/>
  <c r="C8539" i="1"/>
  <c r="D8539" i="1"/>
  <c r="C8540" i="1"/>
  <c r="D8540" i="1"/>
  <c r="C8541" i="1"/>
  <c r="D8541" i="1"/>
  <c r="C8542" i="1"/>
  <c r="D8542" i="1"/>
  <c r="C8543" i="1"/>
  <c r="D8543" i="1"/>
  <c r="C8544" i="1"/>
  <c r="D8544" i="1"/>
  <c r="C8545" i="1"/>
  <c r="D8545" i="1"/>
  <c r="C8546" i="1"/>
  <c r="D8546" i="1"/>
  <c r="C8547" i="1"/>
  <c r="D8547" i="1"/>
  <c r="C8548" i="1"/>
  <c r="D8548" i="1"/>
  <c r="C8549" i="1"/>
  <c r="D8549" i="1"/>
  <c r="C8550" i="1"/>
  <c r="D8550" i="1"/>
  <c r="C8551" i="1"/>
  <c r="D8551" i="1"/>
  <c r="C8552" i="1"/>
  <c r="D8552" i="1"/>
  <c r="C8553" i="1"/>
  <c r="D8553" i="1"/>
  <c r="C8554" i="1"/>
  <c r="D8554" i="1"/>
  <c r="C8555" i="1"/>
  <c r="D8555" i="1"/>
  <c r="C8556" i="1"/>
  <c r="D8556" i="1"/>
  <c r="C8557" i="1"/>
  <c r="D8557" i="1"/>
  <c r="C8558" i="1"/>
  <c r="D8558" i="1"/>
  <c r="C8559" i="1"/>
  <c r="D8559" i="1"/>
  <c r="C8560" i="1"/>
  <c r="D8560" i="1"/>
  <c r="C8561" i="1"/>
  <c r="D8561" i="1"/>
  <c r="C8562" i="1"/>
  <c r="D8562" i="1"/>
  <c r="C8563" i="1"/>
  <c r="D8563" i="1"/>
  <c r="C8564" i="1"/>
  <c r="D8564" i="1"/>
  <c r="C8565" i="1"/>
  <c r="D8565" i="1"/>
  <c r="C8566" i="1"/>
  <c r="D8566" i="1"/>
  <c r="C8567" i="1"/>
  <c r="D8567" i="1"/>
  <c r="C8568" i="1"/>
  <c r="D8568" i="1"/>
  <c r="C8569" i="1"/>
  <c r="D8569" i="1"/>
  <c r="C8570" i="1"/>
  <c r="D8570" i="1"/>
  <c r="C8571" i="1"/>
  <c r="D8571" i="1"/>
  <c r="C8572" i="1"/>
  <c r="D8572" i="1"/>
  <c r="C8573" i="1"/>
  <c r="D8573" i="1"/>
  <c r="C8574" i="1"/>
  <c r="D8574" i="1"/>
  <c r="C8575" i="1"/>
  <c r="D8575" i="1"/>
  <c r="C8576" i="1"/>
  <c r="D8576" i="1"/>
  <c r="C8577" i="1"/>
  <c r="D8577" i="1"/>
  <c r="C8578" i="1"/>
  <c r="D8578" i="1"/>
  <c r="C8579" i="1"/>
  <c r="D8579" i="1"/>
  <c r="C8580" i="1"/>
  <c r="D8580" i="1"/>
  <c r="C8581" i="1"/>
  <c r="D8581" i="1"/>
  <c r="C8582" i="1"/>
  <c r="D8582" i="1"/>
  <c r="C8583" i="1"/>
  <c r="D8583" i="1"/>
  <c r="C8584" i="1"/>
  <c r="D8584" i="1"/>
  <c r="C8585" i="1"/>
  <c r="D8585" i="1"/>
  <c r="C8586" i="1"/>
  <c r="D8586" i="1"/>
  <c r="C8587" i="1"/>
  <c r="D8587" i="1"/>
  <c r="C8588" i="1"/>
  <c r="D8588" i="1"/>
  <c r="C8589" i="1"/>
  <c r="D8589" i="1"/>
  <c r="C8590" i="1"/>
  <c r="D8590" i="1"/>
  <c r="C8591" i="1"/>
  <c r="D8591" i="1"/>
  <c r="C8592" i="1"/>
  <c r="D8592" i="1"/>
  <c r="C8593" i="1"/>
  <c r="D8593" i="1"/>
  <c r="C8594" i="1"/>
  <c r="D8594" i="1"/>
  <c r="C8595" i="1"/>
  <c r="D8595" i="1"/>
  <c r="C8596" i="1"/>
  <c r="D8596" i="1"/>
  <c r="C8597" i="1"/>
  <c r="D8597" i="1"/>
  <c r="C8598" i="1"/>
  <c r="D8598" i="1"/>
  <c r="C8599" i="1"/>
  <c r="D8599" i="1"/>
  <c r="C8600" i="1"/>
  <c r="D8600" i="1"/>
  <c r="C8601" i="1"/>
  <c r="D8601" i="1"/>
  <c r="C8602" i="1"/>
  <c r="D8602" i="1"/>
  <c r="C8603" i="1"/>
  <c r="D8603" i="1"/>
  <c r="C8604" i="1"/>
  <c r="D8604" i="1"/>
  <c r="C8605" i="1"/>
  <c r="D8605" i="1"/>
  <c r="C8606" i="1"/>
  <c r="D8606" i="1"/>
  <c r="C8607" i="1"/>
  <c r="D8607" i="1"/>
  <c r="C8608" i="1"/>
  <c r="D8608" i="1"/>
  <c r="C8609" i="1"/>
  <c r="D8609" i="1"/>
  <c r="C8610" i="1"/>
  <c r="D8610" i="1"/>
  <c r="C8611" i="1"/>
  <c r="D8611" i="1"/>
  <c r="C8612" i="1"/>
  <c r="D8612" i="1"/>
  <c r="C8613" i="1"/>
  <c r="D8613" i="1"/>
  <c r="C8614" i="1"/>
  <c r="D8614" i="1"/>
  <c r="C8615" i="1"/>
  <c r="D8615" i="1"/>
  <c r="C8616" i="1"/>
  <c r="D8616" i="1"/>
  <c r="C8617" i="1"/>
  <c r="D8617" i="1"/>
  <c r="C8618" i="1"/>
  <c r="D8618" i="1"/>
  <c r="C8619" i="1"/>
  <c r="D8619" i="1"/>
  <c r="C8620" i="1"/>
  <c r="D8620" i="1"/>
  <c r="C8621" i="1"/>
  <c r="D8621" i="1"/>
  <c r="C8622" i="1"/>
  <c r="D8622" i="1"/>
  <c r="C8623" i="1"/>
  <c r="D8623" i="1"/>
  <c r="C8624" i="1"/>
  <c r="D8624" i="1"/>
  <c r="C8625" i="1"/>
  <c r="D8625" i="1"/>
  <c r="C8626" i="1"/>
  <c r="D8626" i="1"/>
  <c r="C8627" i="1"/>
  <c r="D8627" i="1"/>
  <c r="C8628" i="1"/>
  <c r="D8628" i="1"/>
  <c r="C8629" i="1"/>
  <c r="D8629" i="1"/>
  <c r="C8630" i="1"/>
  <c r="D8630" i="1"/>
  <c r="C8631" i="1"/>
  <c r="D8631" i="1"/>
  <c r="C8632" i="1"/>
  <c r="D8632" i="1"/>
  <c r="C8633" i="1"/>
  <c r="D8633" i="1"/>
  <c r="C8634" i="1"/>
  <c r="D8634" i="1"/>
  <c r="C8635" i="1"/>
  <c r="D8635" i="1"/>
  <c r="C8636" i="1"/>
  <c r="D8636" i="1"/>
  <c r="C8637" i="1"/>
  <c r="D8637" i="1"/>
  <c r="C8638" i="1"/>
  <c r="D8638" i="1"/>
  <c r="C8639" i="1"/>
  <c r="D8639" i="1"/>
  <c r="C8640" i="1"/>
  <c r="D8640" i="1"/>
  <c r="C8641" i="1"/>
  <c r="D8641" i="1"/>
  <c r="C8642" i="1"/>
  <c r="D8642" i="1"/>
  <c r="C8643" i="1"/>
  <c r="D8643" i="1"/>
  <c r="C8644" i="1"/>
  <c r="D8644" i="1"/>
  <c r="C8645" i="1"/>
  <c r="D8645" i="1"/>
  <c r="C8646" i="1"/>
  <c r="D8646" i="1"/>
  <c r="C8647" i="1"/>
  <c r="D8647" i="1"/>
  <c r="C8648" i="1"/>
  <c r="D8648" i="1"/>
  <c r="C8649" i="1"/>
  <c r="D8649" i="1"/>
  <c r="C8650" i="1"/>
  <c r="D8650" i="1"/>
  <c r="C8651" i="1"/>
  <c r="D8651" i="1"/>
  <c r="C8652" i="1"/>
  <c r="D8652" i="1"/>
  <c r="C8653" i="1"/>
  <c r="D8653" i="1"/>
  <c r="C8654" i="1"/>
  <c r="D8654" i="1"/>
  <c r="C8655" i="1"/>
  <c r="D8655" i="1"/>
  <c r="C8656" i="1"/>
  <c r="D8656" i="1"/>
  <c r="C8657" i="1"/>
  <c r="D8657" i="1"/>
  <c r="C8658" i="1"/>
  <c r="D8658" i="1"/>
  <c r="C8659" i="1"/>
  <c r="D8659" i="1"/>
  <c r="C8660" i="1"/>
  <c r="D8660" i="1"/>
  <c r="C8661" i="1"/>
  <c r="D8661" i="1"/>
  <c r="C8662" i="1"/>
  <c r="D8662" i="1"/>
  <c r="C8663" i="1"/>
  <c r="D8663" i="1"/>
  <c r="C8664" i="1"/>
  <c r="D8664" i="1"/>
  <c r="C8665" i="1"/>
  <c r="D8665" i="1"/>
  <c r="C8666" i="1"/>
  <c r="D8666" i="1"/>
  <c r="C8667" i="1"/>
  <c r="D8667" i="1"/>
  <c r="C8668" i="1"/>
  <c r="D8668" i="1"/>
  <c r="C8669" i="1"/>
  <c r="D8669" i="1"/>
  <c r="C8670" i="1"/>
  <c r="D8670" i="1"/>
  <c r="C8671" i="1"/>
  <c r="D8671" i="1"/>
  <c r="C8672" i="1"/>
  <c r="D8672" i="1"/>
  <c r="C8673" i="1"/>
  <c r="D8673" i="1"/>
  <c r="C8674" i="1"/>
  <c r="D8674" i="1"/>
  <c r="C8675" i="1"/>
  <c r="D8675" i="1"/>
  <c r="C8676" i="1"/>
  <c r="D8676" i="1"/>
  <c r="C8677" i="1"/>
  <c r="D8677" i="1"/>
  <c r="C8678" i="1"/>
  <c r="D8678" i="1"/>
  <c r="C8679" i="1"/>
  <c r="D8679" i="1"/>
  <c r="C8680" i="1"/>
  <c r="D8680" i="1"/>
  <c r="C8681" i="1"/>
  <c r="D8681" i="1"/>
  <c r="C8682" i="1"/>
  <c r="D8682" i="1"/>
  <c r="C8683" i="1"/>
  <c r="D8683" i="1"/>
  <c r="C8684" i="1"/>
  <c r="D8684" i="1"/>
  <c r="C8685" i="1"/>
  <c r="D8685" i="1"/>
  <c r="C8686" i="1"/>
  <c r="D8686" i="1"/>
  <c r="C8687" i="1"/>
  <c r="D8687" i="1"/>
  <c r="C8688" i="1"/>
  <c r="D8688" i="1"/>
  <c r="C8689" i="1"/>
  <c r="D8689" i="1"/>
  <c r="C8690" i="1"/>
  <c r="D8690" i="1"/>
  <c r="C8691" i="1"/>
  <c r="D8691" i="1"/>
  <c r="C8692" i="1"/>
  <c r="D8692" i="1"/>
  <c r="C8693" i="1"/>
  <c r="D8693" i="1"/>
  <c r="C8694" i="1"/>
  <c r="D8694" i="1"/>
  <c r="C8695" i="1"/>
  <c r="D8695" i="1"/>
  <c r="C8696" i="1"/>
  <c r="D8696" i="1"/>
  <c r="C8697" i="1"/>
  <c r="D8697" i="1"/>
  <c r="C8698" i="1"/>
  <c r="D8698" i="1"/>
  <c r="C8699" i="1"/>
  <c r="D8699" i="1"/>
  <c r="C8700" i="1"/>
  <c r="D8700" i="1"/>
  <c r="C8701" i="1"/>
  <c r="D8701" i="1"/>
  <c r="C8702" i="1"/>
  <c r="D8702" i="1"/>
  <c r="C8703" i="1"/>
  <c r="D8703" i="1"/>
  <c r="C8704" i="1"/>
  <c r="D8704" i="1"/>
  <c r="C8705" i="1"/>
  <c r="D8705" i="1"/>
  <c r="C8706" i="1"/>
  <c r="D8706" i="1"/>
  <c r="C8707" i="1"/>
  <c r="D8707" i="1"/>
  <c r="C8708" i="1"/>
  <c r="D8708" i="1"/>
  <c r="C8709" i="1"/>
  <c r="D8709" i="1"/>
  <c r="C8710" i="1"/>
  <c r="D8710" i="1"/>
  <c r="C8711" i="1"/>
  <c r="D8711" i="1"/>
  <c r="C8712" i="1"/>
  <c r="D8712" i="1"/>
  <c r="C8713" i="1"/>
  <c r="D8713" i="1"/>
  <c r="C8714" i="1"/>
  <c r="D8714" i="1"/>
  <c r="C8715" i="1"/>
  <c r="D8715" i="1"/>
  <c r="C8716" i="1"/>
  <c r="D8716" i="1"/>
  <c r="C8717" i="1"/>
  <c r="D8717" i="1"/>
  <c r="C8718" i="1"/>
  <c r="D8718" i="1"/>
  <c r="C8719" i="1"/>
  <c r="D8719" i="1"/>
  <c r="C8720" i="1"/>
  <c r="D8720" i="1"/>
  <c r="C8721" i="1"/>
  <c r="D8721" i="1"/>
  <c r="C8722" i="1"/>
  <c r="D8722" i="1"/>
  <c r="C8723" i="1"/>
  <c r="D8723" i="1"/>
  <c r="C8724" i="1"/>
  <c r="D8724" i="1"/>
  <c r="C8725" i="1"/>
  <c r="D8725" i="1"/>
  <c r="C8726" i="1"/>
  <c r="D8726" i="1"/>
  <c r="C8727" i="1"/>
  <c r="D8727" i="1"/>
  <c r="C8728" i="1"/>
  <c r="D8728" i="1"/>
  <c r="C8729" i="1"/>
  <c r="D8729" i="1"/>
  <c r="C8730" i="1"/>
  <c r="D8730" i="1"/>
  <c r="C8731" i="1"/>
  <c r="D8731" i="1"/>
  <c r="C8732" i="1"/>
  <c r="D8732" i="1"/>
  <c r="C8733" i="1"/>
  <c r="D8733" i="1"/>
  <c r="C8734" i="1"/>
  <c r="D8734" i="1"/>
  <c r="C8735" i="1"/>
  <c r="D8735" i="1"/>
  <c r="C8736" i="1"/>
  <c r="D8736" i="1"/>
  <c r="C8737" i="1"/>
  <c r="D8737" i="1"/>
  <c r="C8738" i="1"/>
  <c r="D8738" i="1"/>
  <c r="C8739" i="1"/>
  <c r="D8739" i="1"/>
  <c r="C8740" i="1"/>
  <c r="D8740" i="1"/>
  <c r="C8741" i="1"/>
  <c r="D8741" i="1"/>
  <c r="C8742" i="1"/>
  <c r="D8742" i="1"/>
  <c r="C8743" i="1"/>
  <c r="D8743" i="1"/>
  <c r="C8744" i="1"/>
  <c r="D8744" i="1"/>
  <c r="C8745" i="1"/>
  <c r="D8745" i="1"/>
  <c r="C8746" i="1"/>
  <c r="D8746" i="1"/>
  <c r="C8747" i="1"/>
  <c r="D8747" i="1"/>
  <c r="C8748" i="1"/>
  <c r="D8748" i="1"/>
  <c r="C8749" i="1"/>
  <c r="D8749" i="1"/>
  <c r="C8750" i="1"/>
  <c r="D8750" i="1"/>
  <c r="C8751" i="1"/>
  <c r="D8751" i="1"/>
  <c r="C8752" i="1"/>
  <c r="D8752" i="1"/>
  <c r="C8753" i="1"/>
  <c r="D8753" i="1"/>
  <c r="C8754" i="1"/>
  <c r="D8754" i="1"/>
  <c r="C8755" i="1"/>
  <c r="D8755" i="1"/>
  <c r="C8756" i="1"/>
  <c r="D8756" i="1"/>
  <c r="C8757" i="1"/>
  <c r="D8757" i="1"/>
  <c r="C8758" i="1"/>
  <c r="D8758" i="1"/>
  <c r="C8759" i="1"/>
  <c r="D8759" i="1"/>
  <c r="C8760" i="1"/>
  <c r="D8760" i="1"/>
  <c r="C8761" i="1"/>
  <c r="D8761" i="1"/>
  <c r="C8762" i="1"/>
  <c r="D8762" i="1"/>
  <c r="C8763" i="1"/>
  <c r="D8763" i="1"/>
  <c r="C8764" i="1"/>
  <c r="D8764" i="1"/>
  <c r="C8765" i="1"/>
  <c r="D8765" i="1"/>
  <c r="C8766" i="1"/>
  <c r="D8766" i="1"/>
  <c r="C8767" i="1"/>
  <c r="D8767" i="1"/>
  <c r="C8768" i="1"/>
  <c r="D8768" i="1"/>
  <c r="C8769" i="1"/>
  <c r="D8769" i="1"/>
  <c r="C8770" i="1"/>
  <c r="D8770" i="1"/>
  <c r="C8771" i="1"/>
  <c r="D8771" i="1"/>
  <c r="C8772" i="1"/>
  <c r="D8772" i="1"/>
  <c r="C8773" i="1"/>
  <c r="D8773" i="1"/>
  <c r="C8774" i="1"/>
  <c r="D8774" i="1"/>
  <c r="C8775" i="1"/>
  <c r="D8775" i="1"/>
  <c r="C8776" i="1"/>
  <c r="D8776" i="1"/>
  <c r="C8777" i="1"/>
  <c r="D8777" i="1"/>
  <c r="C8778" i="1"/>
  <c r="D8778" i="1"/>
  <c r="C8779" i="1"/>
  <c r="D8779" i="1"/>
  <c r="C8780" i="1"/>
  <c r="D8780" i="1"/>
  <c r="C8781" i="1"/>
  <c r="D8781" i="1"/>
  <c r="C8782" i="1"/>
  <c r="D8782" i="1"/>
  <c r="C8783" i="1"/>
  <c r="D8783" i="1"/>
  <c r="C8784" i="1"/>
  <c r="D8784" i="1"/>
  <c r="C8785" i="1"/>
  <c r="D8785" i="1"/>
  <c r="C8786" i="1"/>
  <c r="D8786" i="1"/>
  <c r="C8787" i="1"/>
  <c r="D8787" i="1"/>
  <c r="C8788" i="1"/>
  <c r="D8788" i="1"/>
  <c r="C8789" i="1"/>
  <c r="D8789" i="1"/>
  <c r="C8790" i="1"/>
  <c r="D8790" i="1"/>
  <c r="C8791" i="1"/>
  <c r="D8791" i="1"/>
  <c r="C8792" i="1"/>
  <c r="D8792" i="1"/>
  <c r="C8793" i="1"/>
  <c r="D8793" i="1"/>
  <c r="C8794" i="1"/>
  <c r="D8794" i="1"/>
  <c r="C8795" i="1"/>
  <c r="D8795" i="1"/>
  <c r="C8796" i="1"/>
  <c r="D8796" i="1"/>
  <c r="C8797" i="1"/>
  <c r="D8797" i="1"/>
  <c r="C8798" i="1"/>
  <c r="D8798" i="1"/>
  <c r="C8799" i="1"/>
  <c r="D8799" i="1"/>
  <c r="C8800" i="1"/>
  <c r="D8800" i="1"/>
  <c r="C8801" i="1"/>
  <c r="D8801" i="1"/>
  <c r="C8802" i="1"/>
  <c r="D8802" i="1"/>
  <c r="C8803" i="1"/>
  <c r="D8803" i="1"/>
  <c r="C8804" i="1"/>
  <c r="D8804" i="1"/>
  <c r="C8805" i="1"/>
  <c r="D8805" i="1"/>
  <c r="C8806" i="1"/>
  <c r="D8806" i="1"/>
  <c r="C8807" i="1"/>
  <c r="D8807" i="1"/>
  <c r="C8808" i="1"/>
  <c r="D8808" i="1"/>
  <c r="C8809" i="1"/>
  <c r="D8809" i="1"/>
  <c r="C8810" i="1"/>
  <c r="D8810" i="1"/>
  <c r="C8811" i="1"/>
  <c r="D8811" i="1"/>
  <c r="C8812" i="1"/>
  <c r="D8812" i="1"/>
  <c r="C8813" i="1"/>
  <c r="D8813" i="1"/>
  <c r="C8814" i="1"/>
  <c r="D8814" i="1"/>
  <c r="C8815" i="1"/>
  <c r="D8815" i="1"/>
  <c r="C8816" i="1"/>
  <c r="D8816" i="1"/>
  <c r="C8817" i="1"/>
  <c r="D8817" i="1"/>
  <c r="C8818" i="1"/>
  <c r="D8818" i="1"/>
  <c r="C8819" i="1"/>
  <c r="D8819" i="1"/>
  <c r="C8820" i="1"/>
  <c r="D8820" i="1"/>
  <c r="C8821" i="1"/>
  <c r="D8821" i="1"/>
  <c r="C8822" i="1"/>
  <c r="D8822" i="1"/>
  <c r="C8823" i="1"/>
  <c r="D8823" i="1"/>
  <c r="C8824" i="1"/>
  <c r="D8824" i="1"/>
  <c r="C8825" i="1"/>
  <c r="D8825" i="1"/>
  <c r="C8826" i="1"/>
  <c r="D8826" i="1"/>
  <c r="C8827" i="1"/>
  <c r="D8827" i="1"/>
  <c r="C8828" i="1"/>
  <c r="D8828" i="1"/>
  <c r="C8829" i="1"/>
  <c r="D8829" i="1"/>
  <c r="C8830" i="1"/>
  <c r="D8830" i="1"/>
  <c r="C8831" i="1"/>
  <c r="D8831" i="1"/>
  <c r="C8832" i="1"/>
  <c r="D8832" i="1"/>
  <c r="C8833" i="1"/>
  <c r="D8833" i="1"/>
  <c r="C8834" i="1"/>
  <c r="D8834" i="1"/>
  <c r="C8835" i="1"/>
  <c r="D8835" i="1"/>
  <c r="C8836" i="1"/>
  <c r="D8836" i="1"/>
  <c r="C8837" i="1"/>
  <c r="D8837" i="1"/>
  <c r="C8838" i="1"/>
  <c r="D8838" i="1"/>
  <c r="C8839" i="1"/>
  <c r="D8839" i="1"/>
  <c r="C8840" i="1"/>
  <c r="D8840" i="1"/>
  <c r="C8841" i="1"/>
  <c r="D8841" i="1"/>
  <c r="C8842" i="1"/>
  <c r="D8842" i="1"/>
  <c r="C8843" i="1"/>
  <c r="D8843" i="1"/>
  <c r="C8844" i="1"/>
  <c r="D8844" i="1"/>
  <c r="C8845" i="1"/>
  <c r="D8845" i="1"/>
  <c r="C8846" i="1"/>
  <c r="D8846" i="1"/>
  <c r="C8847" i="1"/>
  <c r="D8847" i="1"/>
  <c r="C8848" i="1"/>
  <c r="D8848" i="1"/>
  <c r="C8849" i="1"/>
  <c r="D8849" i="1"/>
  <c r="C8850" i="1"/>
  <c r="D8850" i="1"/>
  <c r="C8851" i="1"/>
  <c r="D8851" i="1"/>
  <c r="C8852" i="1"/>
  <c r="D8852" i="1"/>
  <c r="C8853" i="1"/>
  <c r="D8853" i="1"/>
  <c r="C8854" i="1"/>
  <c r="D8854" i="1"/>
  <c r="C8855" i="1"/>
  <c r="D8855" i="1"/>
  <c r="C8856" i="1"/>
  <c r="D8856" i="1"/>
  <c r="C8857" i="1"/>
  <c r="D8857" i="1"/>
  <c r="C8858" i="1"/>
  <c r="D8858" i="1"/>
  <c r="C8859" i="1"/>
  <c r="D8859" i="1"/>
  <c r="C8860" i="1"/>
  <c r="D8860" i="1"/>
  <c r="C8861" i="1"/>
  <c r="D8861" i="1"/>
  <c r="C8862" i="1"/>
  <c r="D8862" i="1"/>
  <c r="C8863" i="1"/>
  <c r="D8863" i="1"/>
  <c r="C8864" i="1"/>
  <c r="D8864" i="1"/>
  <c r="C8865" i="1"/>
  <c r="D8865" i="1"/>
  <c r="C8866" i="1"/>
  <c r="D8866" i="1"/>
  <c r="C8867" i="1"/>
  <c r="D8867" i="1"/>
  <c r="C8868" i="1"/>
  <c r="D8868" i="1"/>
  <c r="C8869" i="1"/>
  <c r="D8869" i="1"/>
  <c r="C8870" i="1"/>
  <c r="D8870" i="1"/>
  <c r="C8871" i="1"/>
  <c r="D8871" i="1"/>
  <c r="C8872" i="1"/>
  <c r="D8872" i="1"/>
  <c r="C8873" i="1"/>
  <c r="D8873" i="1"/>
  <c r="C8874" i="1"/>
  <c r="D8874" i="1"/>
  <c r="C8875" i="1"/>
  <c r="D8875" i="1"/>
  <c r="C8876" i="1"/>
  <c r="D8876" i="1"/>
  <c r="C8877" i="1"/>
  <c r="D8877" i="1"/>
  <c r="C8878" i="1"/>
  <c r="D8878" i="1"/>
  <c r="C8879" i="1"/>
  <c r="D8879" i="1"/>
  <c r="C8880" i="1"/>
  <c r="D8880" i="1"/>
  <c r="C8881" i="1"/>
  <c r="D8881" i="1"/>
  <c r="C8882" i="1"/>
  <c r="D8882" i="1"/>
  <c r="C8883" i="1"/>
  <c r="D8883" i="1"/>
  <c r="C8884" i="1"/>
  <c r="D8884" i="1"/>
  <c r="C8885" i="1"/>
  <c r="D8885" i="1"/>
  <c r="C8886" i="1"/>
  <c r="D8886" i="1"/>
  <c r="C8887" i="1"/>
  <c r="D8887" i="1"/>
  <c r="C8888" i="1"/>
  <c r="D8888" i="1"/>
  <c r="C8889" i="1"/>
  <c r="D8889" i="1"/>
  <c r="C8890" i="1"/>
  <c r="D8890" i="1"/>
  <c r="C8891" i="1"/>
  <c r="D8891" i="1"/>
  <c r="C8892" i="1"/>
  <c r="D8892" i="1"/>
  <c r="C8893" i="1"/>
  <c r="D8893" i="1"/>
  <c r="C8894" i="1"/>
  <c r="D8894" i="1"/>
  <c r="C8895" i="1"/>
  <c r="D8895" i="1"/>
  <c r="C8896" i="1"/>
  <c r="D8896" i="1"/>
  <c r="C8897" i="1"/>
  <c r="D8897" i="1"/>
  <c r="C8898" i="1"/>
  <c r="D8898" i="1"/>
  <c r="C8899" i="1"/>
  <c r="D8899" i="1"/>
  <c r="C8900" i="1"/>
  <c r="D8900" i="1"/>
  <c r="C8901" i="1"/>
  <c r="D8901" i="1"/>
  <c r="C8902" i="1"/>
  <c r="D8902" i="1"/>
  <c r="C8903" i="1"/>
  <c r="D8903" i="1"/>
  <c r="C8904" i="1"/>
  <c r="D8904" i="1"/>
  <c r="C8905" i="1"/>
  <c r="D8905" i="1"/>
  <c r="C8906" i="1"/>
  <c r="D8906" i="1"/>
  <c r="C8907" i="1"/>
  <c r="D8907" i="1"/>
  <c r="C8908" i="1"/>
  <c r="D8908" i="1"/>
  <c r="C8909" i="1"/>
  <c r="D8909" i="1"/>
  <c r="C8910" i="1"/>
  <c r="D8910" i="1"/>
  <c r="C8911" i="1"/>
  <c r="D8911" i="1"/>
  <c r="C8912" i="1"/>
  <c r="D8912" i="1"/>
  <c r="C8913" i="1"/>
  <c r="D8913" i="1"/>
  <c r="C8914" i="1"/>
  <c r="D8914" i="1"/>
  <c r="C8915" i="1"/>
  <c r="D8915" i="1"/>
  <c r="C8916" i="1"/>
  <c r="D8916" i="1"/>
  <c r="C8917" i="1"/>
  <c r="D8917" i="1"/>
  <c r="C8918" i="1"/>
  <c r="D8918" i="1"/>
  <c r="C8919" i="1"/>
  <c r="D8919" i="1"/>
  <c r="C8920" i="1"/>
  <c r="D8920" i="1"/>
  <c r="C8921" i="1"/>
  <c r="D8921" i="1"/>
  <c r="C8922" i="1"/>
  <c r="D8922" i="1"/>
  <c r="C8923" i="1"/>
  <c r="D8923" i="1"/>
  <c r="C8924" i="1"/>
  <c r="D8924" i="1"/>
  <c r="C8925" i="1"/>
  <c r="D8925" i="1"/>
  <c r="C8926" i="1"/>
  <c r="D8926" i="1"/>
  <c r="C8927" i="1"/>
  <c r="D8927" i="1"/>
  <c r="C8928" i="1"/>
  <c r="D8928" i="1"/>
  <c r="C8929" i="1"/>
  <c r="D8929" i="1"/>
  <c r="C8930" i="1"/>
  <c r="D8930" i="1"/>
  <c r="C8931" i="1"/>
  <c r="D8931" i="1"/>
  <c r="C8932" i="1"/>
  <c r="D8932" i="1"/>
  <c r="C8933" i="1"/>
  <c r="D8933" i="1"/>
  <c r="C8934" i="1"/>
  <c r="D8934" i="1"/>
  <c r="C8935" i="1"/>
  <c r="D8935" i="1"/>
  <c r="C8936" i="1"/>
  <c r="D8936" i="1"/>
  <c r="C8937" i="1"/>
  <c r="D8937" i="1"/>
  <c r="C8938" i="1"/>
  <c r="D8938" i="1"/>
  <c r="C8939" i="1"/>
  <c r="D8939" i="1"/>
  <c r="C8940" i="1"/>
  <c r="D8940" i="1"/>
  <c r="C8941" i="1"/>
  <c r="D8941" i="1"/>
  <c r="C8942" i="1"/>
  <c r="D8942" i="1"/>
  <c r="C8943" i="1"/>
  <c r="D8943" i="1"/>
  <c r="C8944" i="1"/>
  <c r="D8944" i="1"/>
  <c r="C8945" i="1"/>
  <c r="D8945" i="1"/>
  <c r="C8946" i="1"/>
  <c r="D8946" i="1"/>
  <c r="C8947" i="1"/>
  <c r="D8947" i="1"/>
  <c r="C8948" i="1"/>
  <c r="D8948" i="1"/>
  <c r="C8949" i="1"/>
  <c r="D8949" i="1"/>
  <c r="C8950" i="1"/>
  <c r="D8950" i="1"/>
  <c r="C8951" i="1"/>
  <c r="D8951" i="1"/>
  <c r="C8952" i="1"/>
  <c r="D8952" i="1"/>
  <c r="C8953" i="1"/>
  <c r="D8953" i="1"/>
  <c r="C8954" i="1"/>
  <c r="D8954" i="1"/>
  <c r="C8955" i="1"/>
  <c r="D8955" i="1"/>
  <c r="C8956" i="1"/>
  <c r="D8956" i="1"/>
  <c r="C8957" i="1"/>
  <c r="D8957" i="1"/>
  <c r="C8958" i="1"/>
  <c r="D8958" i="1"/>
  <c r="C8959" i="1"/>
  <c r="D8959" i="1"/>
  <c r="C8960" i="1"/>
  <c r="D8960" i="1"/>
  <c r="C8961" i="1"/>
  <c r="D8961" i="1"/>
  <c r="C8962" i="1"/>
  <c r="D8962" i="1"/>
  <c r="C8963" i="1"/>
  <c r="D8963" i="1"/>
  <c r="C8964" i="1"/>
  <c r="D8964" i="1"/>
  <c r="C8965" i="1"/>
  <c r="D8965" i="1"/>
  <c r="C8966" i="1"/>
  <c r="D8966" i="1"/>
  <c r="C8967" i="1"/>
  <c r="D8967" i="1"/>
  <c r="C8968" i="1"/>
  <c r="D8968" i="1"/>
  <c r="C8969" i="1"/>
  <c r="D8969" i="1"/>
  <c r="C8970" i="1"/>
  <c r="D8970" i="1"/>
  <c r="C8971" i="1"/>
  <c r="D8971" i="1"/>
  <c r="C8972" i="1"/>
  <c r="D8972" i="1"/>
  <c r="C8973" i="1"/>
  <c r="D8973" i="1"/>
  <c r="C8974" i="1"/>
  <c r="D8974" i="1"/>
  <c r="C8975" i="1"/>
  <c r="D8975" i="1"/>
  <c r="C8976" i="1"/>
  <c r="D8976" i="1"/>
  <c r="C8977" i="1"/>
  <c r="D8977" i="1"/>
  <c r="C8978" i="1"/>
  <c r="D8978" i="1"/>
  <c r="C8979" i="1"/>
  <c r="D8979" i="1"/>
  <c r="C8980" i="1"/>
  <c r="D8980" i="1"/>
  <c r="C8981" i="1"/>
  <c r="D8981" i="1"/>
  <c r="C8982" i="1"/>
  <c r="D8982" i="1"/>
  <c r="C8983" i="1"/>
  <c r="D8983" i="1"/>
  <c r="C8984" i="1"/>
  <c r="D8984" i="1"/>
  <c r="C8985" i="1"/>
  <c r="D8985" i="1"/>
  <c r="C8986" i="1"/>
  <c r="D8986" i="1"/>
  <c r="C8987" i="1"/>
  <c r="D8987" i="1"/>
  <c r="C8988" i="1"/>
  <c r="D8988" i="1"/>
  <c r="C8989" i="1"/>
  <c r="D8989" i="1"/>
  <c r="C8990" i="1"/>
  <c r="D8990" i="1"/>
  <c r="C8991" i="1"/>
  <c r="D8991" i="1"/>
  <c r="C8992" i="1"/>
  <c r="D8992" i="1"/>
  <c r="C8993" i="1"/>
  <c r="D8993" i="1"/>
  <c r="C8994" i="1"/>
  <c r="D8994" i="1"/>
  <c r="C8995" i="1"/>
  <c r="D8995" i="1"/>
  <c r="C8996" i="1"/>
  <c r="D8996" i="1"/>
  <c r="C8997" i="1"/>
  <c r="D8997" i="1"/>
  <c r="C8998" i="1"/>
  <c r="D8998" i="1"/>
  <c r="C8999" i="1"/>
  <c r="D8999" i="1"/>
  <c r="C9000" i="1"/>
  <c r="D9000" i="1"/>
  <c r="C9001" i="1"/>
  <c r="D9001" i="1"/>
  <c r="C9002" i="1"/>
  <c r="D9002" i="1"/>
  <c r="C9003" i="1"/>
  <c r="D9003" i="1"/>
  <c r="C9004" i="1"/>
  <c r="D9004" i="1"/>
  <c r="C9005" i="1"/>
  <c r="D9005" i="1"/>
  <c r="C9006" i="1"/>
  <c r="D9006" i="1"/>
  <c r="C9007" i="1"/>
  <c r="D9007" i="1"/>
  <c r="C9008" i="1"/>
  <c r="D9008" i="1"/>
  <c r="C9009" i="1"/>
  <c r="D9009" i="1"/>
  <c r="C9010" i="1"/>
  <c r="D9010" i="1"/>
  <c r="C9011" i="1"/>
  <c r="D9011" i="1"/>
  <c r="C9012" i="1"/>
  <c r="D9012" i="1"/>
  <c r="C9013" i="1"/>
  <c r="D9013" i="1"/>
  <c r="C9014" i="1"/>
  <c r="D9014" i="1"/>
  <c r="C9015" i="1"/>
  <c r="D9015" i="1"/>
  <c r="C9016" i="1"/>
  <c r="D9016" i="1"/>
  <c r="C9017" i="1"/>
  <c r="D9017" i="1"/>
  <c r="C9018" i="1"/>
  <c r="D9018" i="1"/>
  <c r="C9019" i="1"/>
  <c r="D9019" i="1"/>
  <c r="C9020" i="1"/>
  <c r="D9020" i="1"/>
  <c r="C9021" i="1"/>
  <c r="D9021" i="1"/>
  <c r="C9022" i="1"/>
  <c r="D9022" i="1"/>
  <c r="C9023" i="1"/>
  <c r="D9023" i="1"/>
  <c r="C9024" i="1"/>
  <c r="D9024" i="1"/>
  <c r="C9025" i="1"/>
  <c r="D9025" i="1"/>
  <c r="C9026" i="1"/>
  <c r="D9026" i="1"/>
  <c r="C9027" i="1"/>
  <c r="D9027" i="1"/>
  <c r="C9028" i="1"/>
  <c r="D9028" i="1"/>
  <c r="C9029" i="1"/>
  <c r="D9029" i="1"/>
  <c r="C9030" i="1"/>
  <c r="D9030" i="1"/>
  <c r="C9031" i="1"/>
  <c r="D9031" i="1"/>
  <c r="C9032" i="1"/>
  <c r="D9032" i="1"/>
  <c r="C9033" i="1"/>
  <c r="D9033" i="1"/>
  <c r="C9034" i="1"/>
  <c r="D9034" i="1"/>
  <c r="C9035" i="1"/>
  <c r="D9035" i="1"/>
  <c r="C9036" i="1"/>
  <c r="D9036" i="1"/>
  <c r="C9037" i="1"/>
  <c r="D9037" i="1"/>
  <c r="C9038" i="1"/>
  <c r="D9038" i="1"/>
  <c r="C9039" i="1"/>
  <c r="D9039" i="1"/>
  <c r="C9040" i="1"/>
  <c r="D9040" i="1"/>
  <c r="C9041" i="1"/>
  <c r="D9041" i="1"/>
  <c r="C9042" i="1"/>
  <c r="D9042" i="1"/>
  <c r="C9043" i="1"/>
  <c r="D9043" i="1"/>
  <c r="C9044" i="1"/>
  <c r="D9044" i="1"/>
  <c r="C9045" i="1"/>
  <c r="D9045" i="1"/>
  <c r="C9046" i="1"/>
  <c r="D9046" i="1"/>
  <c r="C9047" i="1"/>
  <c r="D9047" i="1"/>
  <c r="C9048" i="1"/>
  <c r="D9048" i="1"/>
  <c r="C9049" i="1"/>
  <c r="D9049" i="1"/>
  <c r="C9050" i="1"/>
  <c r="D9050" i="1"/>
  <c r="C9051" i="1"/>
  <c r="D9051" i="1"/>
  <c r="C9052" i="1"/>
  <c r="D9052" i="1"/>
  <c r="C9053" i="1"/>
  <c r="D9053" i="1"/>
  <c r="C9054" i="1"/>
  <c r="D9054" i="1"/>
  <c r="C9055" i="1"/>
  <c r="D9055" i="1"/>
  <c r="C9056" i="1"/>
  <c r="D9056" i="1"/>
  <c r="C9057" i="1"/>
  <c r="D9057" i="1"/>
  <c r="C9058" i="1"/>
  <c r="D9058" i="1"/>
  <c r="C9059" i="1"/>
  <c r="D9059" i="1"/>
  <c r="C9060" i="1"/>
  <c r="D9060" i="1"/>
  <c r="C9061" i="1"/>
  <c r="D9061" i="1"/>
  <c r="C9062" i="1"/>
  <c r="D9062" i="1"/>
  <c r="C9063" i="1"/>
  <c r="D9063" i="1"/>
  <c r="C9064" i="1"/>
  <c r="D9064" i="1"/>
  <c r="C9065" i="1"/>
  <c r="D9065" i="1"/>
  <c r="C9066" i="1"/>
  <c r="D9066" i="1"/>
  <c r="C9067" i="1"/>
  <c r="D9067" i="1"/>
  <c r="C9068" i="1"/>
  <c r="D9068" i="1"/>
  <c r="C9069" i="1"/>
  <c r="D9069" i="1"/>
  <c r="C9070" i="1"/>
  <c r="D9070" i="1"/>
  <c r="C9071" i="1"/>
  <c r="D9071" i="1"/>
  <c r="C9072" i="1"/>
  <c r="D9072" i="1"/>
  <c r="C9073" i="1"/>
  <c r="D9073" i="1"/>
  <c r="C9074" i="1"/>
  <c r="D9074" i="1"/>
  <c r="C9075" i="1"/>
  <c r="D9075" i="1"/>
  <c r="C9076" i="1"/>
  <c r="D9076" i="1"/>
  <c r="C9077" i="1"/>
  <c r="D9077" i="1"/>
  <c r="C9078" i="1"/>
  <c r="D9078" i="1"/>
  <c r="C9079" i="1"/>
  <c r="D9079" i="1"/>
  <c r="C9080" i="1"/>
  <c r="D9080" i="1"/>
  <c r="C9081" i="1"/>
  <c r="D9081" i="1"/>
  <c r="C9082" i="1"/>
  <c r="D9082" i="1"/>
  <c r="C9083" i="1"/>
  <c r="D9083" i="1"/>
  <c r="C9084" i="1"/>
  <c r="D9084" i="1"/>
  <c r="C9085" i="1"/>
  <c r="D9085" i="1"/>
  <c r="C9086" i="1"/>
  <c r="D9086" i="1"/>
  <c r="C9087" i="1"/>
  <c r="D9087" i="1"/>
  <c r="C9088" i="1"/>
  <c r="D9088" i="1"/>
  <c r="C9089" i="1"/>
  <c r="D9089" i="1"/>
  <c r="C9090" i="1"/>
  <c r="D9090" i="1"/>
  <c r="C9091" i="1"/>
  <c r="D9091" i="1"/>
  <c r="C9092" i="1"/>
  <c r="D9092" i="1"/>
  <c r="C9093" i="1"/>
  <c r="D9093" i="1"/>
  <c r="C9094" i="1"/>
  <c r="D9094" i="1"/>
  <c r="C9095" i="1"/>
  <c r="D9095" i="1"/>
  <c r="C9096" i="1"/>
  <c r="D9096" i="1"/>
  <c r="C9097" i="1"/>
  <c r="D9097" i="1"/>
  <c r="C9098" i="1"/>
  <c r="D9098" i="1"/>
  <c r="C9099" i="1"/>
  <c r="D9099" i="1"/>
  <c r="C9100" i="1"/>
  <c r="D9100" i="1"/>
  <c r="C9101" i="1"/>
  <c r="D9101" i="1"/>
  <c r="C9102" i="1"/>
  <c r="D9102" i="1"/>
  <c r="C9103" i="1"/>
  <c r="D9103" i="1"/>
  <c r="C9104" i="1"/>
  <c r="D9104" i="1"/>
  <c r="C9105" i="1"/>
  <c r="D9105" i="1"/>
  <c r="C9106" i="1"/>
  <c r="D9106" i="1"/>
  <c r="C9107" i="1"/>
  <c r="D9107" i="1"/>
  <c r="C9108" i="1"/>
  <c r="D9108" i="1"/>
  <c r="C9109" i="1"/>
  <c r="D9109" i="1"/>
  <c r="C9110" i="1"/>
  <c r="D9110" i="1"/>
  <c r="C9111" i="1"/>
  <c r="D9111" i="1"/>
  <c r="C9112" i="1"/>
  <c r="D9112" i="1"/>
  <c r="C9113" i="1"/>
  <c r="D9113" i="1"/>
  <c r="C9114" i="1"/>
  <c r="D9114" i="1"/>
  <c r="C9115" i="1"/>
  <c r="D9115" i="1"/>
  <c r="C9116" i="1"/>
  <c r="D9116" i="1"/>
  <c r="C9117" i="1"/>
  <c r="D9117" i="1"/>
  <c r="C9118" i="1"/>
  <c r="D9118" i="1"/>
  <c r="C9119" i="1"/>
  <c r="D9119" i="1"/>
  <c r="C9120" i="1"/>
  <c r="D9120" i="1"/>
  <c r="C9121" i="1"/>
  <c r="D9121" i="1"/>
  <c r="C9122" i="1"/>
  <c r="D9122" i="1"/>
  <c r="C9123" i="1"/>
  <c r="D9123" i="1"/>
  <c r="C9124" i="1"/>
  <c r="D9124" i="1"/>
  <c r="C9125" i="1"/>
  <c r="D9125" i="1"/>
  <c r="C9126" i="1"/>
  <c r="D9126" i="1"/>
  <c r="C9127" i="1"/>
  <c r="D9127" i="1"/>
  <c r="C9128" i="1"/>
  <c r="D9128" i="1"/>
  <c r="C9129" i="1"/>
  <c r="D9129" i="1"/>
  <c r="C9130" i="1"/>
  <c r="D9130" i="1"/>
  <c r="C9131" i="1"/>
  <c r="D9131" i="1"/>
  <c r="C9132" i="1"/>
  <c r="D9132" i="1"/>
  <c r="C9133" i="1"/>
  <c r="D9133" i="1"/>
  <c r="C9134" i="1"/>
  <c r="D9134" i="1"/>
  <c r="C9135" i="1"/>
  <c r="D9135" i="1"/>
  <c r="C9136" i="1"/>
  <c r="D9136" i="1"/>
  <c r="C9137" i="1"/>
  <c r="D9137" i="1"/>
  <c r="C9138" i="1"/>
  <c r="D9138" i="1"/>
  <c r="C9139" i="1"/>
  <c r="D9139" i="1"/>
  <c r="C9140" i="1"/>
  <c r="D9140" i="1"/>
  <c r="C9141" i="1"/>
  <c r="D9141" i="1"/>
  <c r="C9142" i="1"/>
  <c r="D9142" i="1"/>
  <c r="C9143" i="1"/>
  <c r="D9143" i="1"/>
  <c r="C9144" i="1"/>
  <c r="D9144" i="1"/>
  <c r="C9145" i="1"/>
  <c r="D9145" i="1"/>
  <c r="C9146" i="1"/>
  <c r="D9146" i="1"/>
  <c r="C9147" i="1"/>
  <c r="D9147" i="1"/>
  <c r="C9148" i="1"/>
  <c r="D9148" i="1"/>
  <c r="C9149" i="1"/>
  <c r="D9149" i="1"/>
  <c r="C9150" i="1"/>
  <c r="D9150" i="1"/>
  <c r="C9151" i="1"/>
  <c r="D9151" i="1"/>
  <c r="C9152" i="1"/>
  <c r="D9152" i="1"/>
  <c r="C9153" i="1"/>
  <c r="D9153" i="1"/>
  <c r="C9154" i="1"/>
  <c r="D9154" i="1"/>
  <c r="C9155" i="1"/>
  <c r="D9155" i="1"/>
  <c r="C9156" i="1"/>
  <c r="D9156" i="1"/>
  <c r="C9157" i="1"/>
  <c r="D9157" i="1"/>
  <c r="C9158" i="1"/>
  <c r="D9158" i="1"/>
  <c r="C9159" i="1"/>
  <c r="D9159" i="1"/>
  <c r="C9160" i="1"/>
  <c r="D9160" i="1"/>
  <c r="C9161" i="1"/>
  <c r="D9161" i="1"/>
  <c r="C9162" i="1"/>
  <c r="D9162" i="1"/>
  <c r="C9163" i="1"/>
  <c r="D9163" i="1"/>
  <c r="C9164" i="1"/>
  <c r="D9164" i="1"/>
  <c r="C9165" i="1"/>
  <c r="D9165" i="1"/>
  <c r="C9166" i="1"/>
  <c r="D9166" i="1"/>
  <c r="C9167" i="1"/>
  <c r="D9167" i="1"/>
  <c r="C9168" i="1"/>
  <c r="D9168" i="1"/>
  <c r="C9169" i="1"/>
  <c r="D9169" i="1"/>
  <c r="C9170" i="1"/>
  <c r="D9170" i="1"/>
  <c r="C9171" i="1"/>
  <c r="D9171" i="1"/>
  <c r="C9172" i="1"/>
  <c r="D9172" i="1"/>
  <c r="C9173" i="1"/>
  <c r="D9173" i="1"/>
  <c r="C9174" i="1"/>
  <c r="D9174" i="1"/>
  <c r="C9175" i="1"/>
  <c r="D9175" i="1"/>
  <c r="C9176" i="1"/>
  <c r="D9176" i="1"/>
  <c r="C9177" i="1"/>
  <c r="D9177" i="1"/>
  <c r="C9178" i="1"/>
  <c r="D9178" i="1"/>
  <c r="C9179" i="1"/>
  <c r="D9179" i="1"/>
  <c r="C9180" i="1"/>
  <c r="D9180" i="1"/>
  <c r="C9181" i="1"/>
  <c r="D9181" i="1"/>
  <c r="C9182" i="1"/>
  <c r="D9182" i="1"/>
  <c r="C9183" i="1"/>
  <c r="D9183" i="1"/>
  <c r="C9184" i="1"/>
  <c r="D9184" i="1"/>
  <c r="C9185" i="1"/>
  <c r="D9185" i="1"/>
  <c r="C9186" i="1"/>
  <c r="D9186" i="1"/>
  <c r="C9187" i="1"/>
  <c r="D9187" i="1"/>
  <c r="C9188" i="1"/>
  <c r="D9188" i="1"/>
  <c r="C9189" i="1"/>
  <c r="D9189" i="1"/>
  <c r="C9190" i="1"/>
  <c r="D9190" i="1"/>
  <c r="C9191" i="1"/>
  <c r="D9191" i="1"/>
  <c r="C9192" i="1"/>
  <c r="D9192" i="1"/>
  <c r="C9193" i="1"/>
  <c r="D9193" i="1"/>
  <c r="C9194" i="1"/>
  <c r="D9194" i="1"/>
  <c r="C9195" i="1"/>
  <c r="D9195" i="1"/>
  <c r="C9196" i="1"/>
  <c r="D9196" i="1"/>
  <c r="C9197" i="1"/>
  <c r="D9197" i="1"/>
  <c r="C9198" i="1"/>
  <c r="D9198" i="1"/>
  <c r="C9199" i="1"/>
  <c r="D9199" i="1"/>
  <c r="C9200" i="1"/>
  <c r="D9200" i="1"/>
  <c r="C9201" i="1"/>
  <c r="D9201" i="1"/>
  <c r="C9202" i="1"/>
  <c r="D9202" i="1"/>
  <c r="C9203" i="1"/>
  <c r="D9203" i="1"/>
  <c r="C9204" i="1"/>
  <c r="D9204" i="1"/>
  <c r="C9205" i="1"/>
  <c r="D9205" i="1"/>
  <c r="C9206" i="1"/>
  <c r="D9206" i="1"/>
  <c r="C9207" i="1"/>
  <c r="D9207" i="1"/>
  <c r="C9208" i="1"/>
  <c r="D9208" i="1"/>
  <c r="C9209" i="1"/>
  <c r="D9209" i="1"/>
  <c r="C9210" i="1"/>
  <c r="D9210" i="1"/>
  <c r="C9211" i="1"/>
  <c r="D9211" i="1"/>
  <c r="C9212" i="1"/>
  <c r="D9212" i="1"/>
  <c r="C9213" i="1"/>
  <c r="D9213" i="1"/>
  <c r="C9214" i="1"/>
  <c r="D9214" i="1"/>
  <c r="C9215" i="1"/>
  <c r="D9215" i="1"/>
  <c r="C9216" i="1"/>
  <c r="D9216" i="1"/>
  <c r="C9217" i="1"/>
  <c r="D9217" i="1"/>
  <c r="C9218" i="1"/>
  <c r="D9218" i="1"/>
  <c r="C9219" i="1"/>
  <c r="D9219" i="1"/>
  <c r="C9220" i="1"/>
  <c r="D9220" i="1"/>
  <c r="C9221" i="1"/>
  <c r="D9221" i="1"/>
  <c r="C9222" i="1"/>
  <c r="D9222" i="1"/>
  <c r="C9223" i="1"/>
  <c r="D9223" i="1"/>
  <c r="C9224" i="1"/>
  <c r="D9224" i="1"/>
  <c r="C9225" i="1"/>
  <c r="D9225" i="1"/>
  <c r="C9226" i="1"/>
  <c r="D9226" i="1"/>
  <c r="C9227" i="1"/>
  <c r="D9227" i="1"/>
  <c r="C9228" i="1"/>
  <c r="D9228" i="1"/>
  <c r="C9229" i="1"/>
  <c r="D9229" i="1"/>
  <c r="C9230" i="1"/>
  <c r="D9230" i="1"/>
  <c r="C9231" i="1"/>
  <c r="D9231" i="1"/>
  <c r="C9232" i="1"/>
  <c r="D9232" i="1"/>
  <c r="C9233" i="1"/>
  <c r="D9233" i="1"/>
  <c r="C9234" i="1"/>
  <c r="D9234" i="1"/>
  <c r="C9235" i="1"/>
  <c r="D9235" i="1"/>
  <c r="C9236" i="1"/>
  <c r="D9236" i="1"/>
  <c r="C9237" i="1"/>
  <c r="D9237" i="1"/>
  <c r="C9238" i="1"/>
  <c r="D9238" i="1"/>
  <c r="C9239" i="1"/>
  <c r="D9239" i="1"/>
  <c r="C9240" i="1"/>
  <c r="D9240" i="1"/>
  <c r="C9241" i="1"/>
  <c r="D9241" i="1"/>
  <c r="C9242" i="1"/>
  <c r="D9242" i="1"/>
  <c r="C9243" i="1"/>
  <c r="D9243" i="1"/>
  <c r="C9244" i="1"/>
  <c r="D9244" i="1"/>
  <c r="C9245" i="1"/>
  <c r="D9245" i="1"/>
  <c r="C9246" i="1"/>
  <c r="D9246" i="1"/>
  <c r="C9247" i="1"/>
  <c r="D9247" i="1"/>
  <c r="C9248" i="1"/>
  <c r="D9248" i="1"/>
  <c r="C9249" i="1"/>
  <c r="D9249" i="1"/>
  <c r="C9250" i="1"/>
  <c r="D9250" i="1"/>
  <c r="C9251" i="1"/>
  <c r="D9251" i="1"/>
  <c r="C9252" i="1"/>
  <c r="D9252" i="1"/>
  <c r="C9253" i="1"/>
  <c r="D9253" i="1"/>
  <c r="C9254" i="1"/>
  <c r="D9254" i="1"/>
  <c r="C9255" i="1"/>
  <c r="D9255" i="1"/>
  <c r="C9256" i="1"/>
  <c r="D9256" i="1"/>
  <c r="C9257" i="1"/>
  <c r="D9257" i="1"/>
  <c r="C9258" i="1"/>
  <c r="D9258" i="1"/>
  <c r="C9259" i="1"/>
  <c r="D9259" i="1"/>
  <c r="C9260" i="1"/>
  <c r="D9260" i="1"/>
  <c r="C9261" i="1"/>
  <c r="D9261" i="1"/>
  <c r="C9262" i="1"/>
  <c r="D9262" i="1"/>
  <c r="C9263" i="1"/>
  <c r="D9263" i="1"/>
  <c r="C9264" i="1"/>
  <c r="D9264" i="1"/>
  <c r="C9265" i="1"/>
  <c r="D9265" i="1"/>
  <c r="C9266" i="1"/>
  <c r="D9266" i="1"/>
  <c r="C9267" i="1"/>
  <c r="D9267" i="1"/>
  <c r="C9268" i="1"/>
  <c r="D9268" i="1"/>
  <c r="C9269" i="1"/>
  <c r="D9269" i="1"/>
  <c r="C9270" i="1"/>
  <c r="D9270" i="1"/>
  <c r="C9271" i="1"/>
  <c r="D9271" i="1"/>
  <c r="C9272" i="1"/>
  <c r="D9272" i="1"/>
  <c r="C9273" i="1"/>
  <c r="D9273" i="1"/>
  <c r="C9274" i="1"/>
  <c r="D9274" i="1"/>
  <c r="C9275" i="1"/>
  <c r="D9275" i="1"/>
  <c r="C9276" i="1"/>
  <c r="D9276" i="1"/>
  <c r="C9277" i="1"/>
  <c r="D9277" i="1"/>
  <c r="C9278" i="1"/>
  <c r="D9278" i="1"/>
  <c r="C9279" i="1"/>
  <c r="D9279" i="1"/>
  <c r="C9280" i="1"/>
  <c r="D9280" i="1"/>
  <c r="C9281" i="1"/>
  <c r="D9281" i="1"/>
  <c r="C9282" i="1"/>
  <c r="D9282" i="1"/>
  <c r="C9283" i="1"/>
  <c r="D9283" i="1"/>
  <c r="C9284" i="1"/>
  <c r="D9284" i="1"/>
  <c r="C9285" i="1"/>
  <c r="D9285" i="1"/>
  <c r="C9286" i="1"/>
  <c r="D9286" i="1"/>
  <c r="C9287" i="1"/>
  <c r="D9287" i="1"/>
  <c r="C9288" i="1"/>
  <c r="D9288" i="1"/>
  <c r="C9289" i="1"/>
  <c r="D9289" i="1"/>
  <c r="C9290" i="1"/>
  <c r="D9290" i="1"/>
  <c r="C9291" i="1"/>
  <c r="D9291" i="1"/>
  <c r="C9292" i="1"/>
  <c r="D9292" i="1"/>
  <c r="C9293" i="1"/>
  <c r="D9293" i="1"/>
  <c r="C9294" i="1"/>
  <c r="D9294" i="1"/>
  <c r="C9295" i="1"/>
  <c r="D9295" i="1"/>
  <c r="C9296" i="1"/>
  <c r="D9296" i="1"/>
  <c r="C9297" i="1"/>
  <c r="D9297" i="1"/>
  <c r="C9298" i="1"/>
  <c r="D9298" i="1"/>
  <c r="C9299" i="1"/>
  <c r="D9299" i="1"/>
  <c r="C9300" i="1"/>
  <c r="D9300" i="1"/>
  <c r="C9301" i="1"/>
  <c r="D9301" i="1"/>
  <c r="C9302" i="1"/>
  <c r="D9302" i="1"/>
  <c r="C9303" i="1"/>
  <c r="D9303" i="1"/>
  <c r="C9304" i="1"/>
  <c r="D9304" i="1"/>
  <c r="C9305" i="1"/>
  <c r="D9305" i="1"/>
  <c r="C9306" i="1"/>
  <c r="D9306" i="1"/>
  <c r="C9307" i="1"/>
  <c r="D9307" i="1"/>
  <c r="C9308" i="1"/>
  <c r="D9308" i="1"/>
  <c r="C9309" i="1"/>
  <c r="D9309" i="1"/>
  <c r="C9310" i="1"/>
  <c r="D9310" i="1"/>
  <c r="C9311" i="1"/>
  <c r="D9311" i="1"/>
  <c r="C9312" i="1"/>
  <c r="D9312" i="1"/>
  <c r="C9313" i="1"/>
  <c r="D9313" i="1"/>
  <c r="C9314" i="1"/>
  <c r="D9314" i="1"/>
  <c r="C9315" i="1"/>
  <c r="D9315" i="1"/>
  <c r="C9316" i="1"/>
  <c r="D9316" i="1"/>
  <c r="C9317" i="1"/>
  <c r="D9317" i="1"/>
  <c r="C9318" i="1"/>
  <c r="D9318" i="1"/>
  <c r="C9319" i="1"/>
  <c r="D9319" i="1"/>
  <c r="C9320" i="1"/>
  <c r="D9320" i="1"/>
  <c r="C9321" i="1"/>
  <c r="D9321" i="1"/>
  <c r="C9322" i="1"/>
  <c r="D9322" i="1"/>
  <c r="C9323" i="1"/>
  <c r="D9323" i="1"/>
  <c r="C9324" i="1"/>
  <c r="D9324" i="1"/>
  <c r="C9325" i="1"/>
  <c r="D9325" i="1"/>
  <c r="C9326" i="1"/>
  <c r="D9326" i="1"/>
  <c r="C9327" i="1"/>
  <c r="D9327" i="1"/>
  <c r="C9328" i="1"/>
  <c r="D9328" i="1"/>
  <c r="C9329" i="1"/>
  <c r="D9329" i="1"/>
  <c r="C9330" i="1"/>
  <c r="D9330" i="1"/>
  <c r="C9331" i="1"/>
  <c r="D9331" i="1"/>
  <c r="C9332" i="1"/>
  <c r="D9332" i="1"/>
  <c r="C9333" i="1"/>
  <c r="D9333" i="1"/>
  <c r="C9334" i="1"/>
  <c r="D9334" i="1"/>
  <c r="C9335" i="1"/>
  <c r="D9335" i="1"/>
  <c r="C9336" i="1"/>
  <c r="D9336" i="1"/>
  <c r="C9337" i="1"/>
  <c r="D9337" i="1"/>
  <c r="C9338" i="1"/>
  <c r="D9338" i="1"/>
  <c r="C9339" i="1"/>
  <c r="D9339" i="1"/>
  <c r="C9340" i="1"/>
  <c r="D9340" i="1"/>
  <c r="C9341" i="1"/>
  <c r="D9341" i="1"/>
  <c r="C9342" i="1"/>
  <c r="D9342" i="1"/>
  <c r="C9343" i="1"/>
  <c r="D9343" i="1"/>
  <c r="C9344" i="1"/>
  <c r="D9344" i="1"/>
  <c r="C9345" i="1"/>
  <c r="D9345" i="1"/>
  <c r="C9346" i="1"/>
  <c r="D9346" i="1"/>
  <c r="C9347" i="1"/>
  <c r="D9347" i="1"/>
  <c r="C9348" i="1"/>
  <c r="D9348" i="1"/>
  <c r="C9349" i="1"/>
  <c r="D9349" i="1"/>
  <c r="C9350" i="1"/>
  <c r="D9350" i="1"/>
  <c r="C9351" i="1"/>
  <c r="D9351" i="1"/>
  <c r="C9352" i="1"/>
  <c r="D9352" i="1"/>
  <c r="C9353" i="1"/>
  <c r="D9353" i="1"/>
  <c r="C9354" i="1"/>
  <c r="D9354" i="1"/>
  <c r="C9355" i="1"/>
  <c r="D9355" i="1"/>
  <c r="C9356" i="1"/>
  <c r="D9356" i="1"/>
  <c r="C9357" i="1"/>
  <c r="D9357" i="1"/>
  <c r="C9358" i="1"/>
  <c r="D9358" i="1"/>
  <c r="C9359" i="1"/>
  <c r="D9359" i="1"/>
  <c r="C9360" i="1"/>
  <c r="D9360" i="1"/>
  <c r="C9361" i="1"/>
  <c r="D9361" i="1"/>
  <c r="C9362" i="1"/>
  <c r="D9362" i="1"/>
  <c r="C9363" i="1"/>
  <c r="D9363" i="1"/>
  <c r="C9364" i="1"/>
  <c r="D9364" i="1"/>
  <c r="C9365" i="1"/>
  <c r="D9365" i="1"/>
  <c r="C9366" i="1"/>
  <c r="D9366" i="1"/>
  <c r="C9367" i="1"/>
  <c r="D9367" i="1"/>
  <c r="C9368" i="1"/>
  <c r="D9368" i="1"/>
  <c r="C9369" i="1"/>
  <c r="D9369" i="1"/>
  <c r="C9370" i="1"/>
  <c r="D9370" i="1"/>
  <c r="C9371" i="1"/>
  <c r="D9371" i="1"/>
  <c r="C9372" i="1"/>
  <c r="D9372" i="1"/>
  <c r="C9373" i="1"/>
  <c r="D9373" i="1"/>
  <c r="C9374" i="1"/>
  <c r="D9374" i="1"/>
  <c r="C9375" i="1"/>
  <c r="D9375" i="1"/>
  <c r="C9376" i="1"/>
  <c r="D9376" i="1"/>
  <c r="C9377" i="1"/>
  <c r="D9377" i="1"/>
  <c r="C9378" i="1"/>
  <c r="D9378" i="1"/>
  <c r="C9379" i="1"/>
  <c r="D9379" i="1"/>
  <c r="C9380" i="1"/>
  <c r="D9380" i="1"/>
  <c r="C9381" i="1"/>
  <c r="D9381" i="1"/>
  <c r="C9382" i="1"/>
  <c r="D9382" i="1"/>
  <c r="C9383" i="1"/>
  <c r="D9383" i="1"/>
  <c r="C9384" i="1"/>
  <c r="D9384" i="1"/>
  <c r="C9385" i="1"/>
  <c r="D9385" i="1"/>
  <c r="C9386" i="1"/>
  <c r="D9386" i="1"/>
  <c r="C9387" i="1"/>
  <c r="D9387" i="1"/>
  <c r="C9388" i="1"/>
  <c r="D9388" i="1"/>
  <c r="C9389" i="1"/>
  <c r="D9389" i="1"/>
  <c r="C9390" i="1"/>
  <c r="D9390" i="1"/>
  <c r="C9391" i="1"/>
  <c r="D9391" i="1"/>
  <c r="C9392" i="1"/>
  <c r="D9392" i="1"/>
  <c r="C9393" i="1"/>
  <c r="D9393" i="1"/>
  <c r="C9394" i="1"/>
  <c r="D9394" i="1"/>
  <c r="C9395" i="1"/>
  <c r="D9395" i="1"/>
  <c r="C9396" i="1"/>
  <c r="D9396" i="1"/>
  <c r="C9397" i="1"/>
  <c r="D9397" i="1"/>
  <c r="C9398" i="1"/>
  <c r="D9398" i="1"/>
  <c r="C9399" i="1"/>
  <c r="D9399" i="1"/>
  <c r="C9400" i="1"/>
  <c r="D9400" i="1"/>
  <c r="C9401" i="1"/>
  <c r="D9401" i="1"/>
  <c r="C9402" i="1"/>
  <c r="D9402" i="1"/>
  <c r="C9403" i="1"/>
  <c r="D9403" i="1"/>
  <c r="C9404" i="1"/>
  <c r="D9404" i="1"/>
  <c r="C9405" i="1"/>
  <c r="D9405" i="1"/>
  <c r="C9406" i="1"/>
  <c r="D9406" i="1"/>
  <c r="C9407" i="1"/>
  <c r="D9407" i="1"/>
  <c r="C9408" i="1"/>
  <c r="D9408" i="1"/>
  <c r="C9409" i="1"/>
  <c r="D9409" i="1"/>
  <c r="C9410" i="1"/>
  <c r="D9410" i="1"/>
  <c r="C9411" i="1"/>
  <c r="D9411" i="1"/>
  <c r="C9412" i="1"/>
  <c r="D9412" i="1"/>
  <c r="C9413" i="1"/>
  <c r="D9413" i="1"/>
  <c r="C9414" i="1"/>
  <c r="D9414" i="1"/>
  <c r="C9415" i="1"/>
  <c r="D9415" i="1"/>
  <c r="C9416" i="1"/>
  <c r="D9416" i="1"/>
  <c r="C9417" i="1"/>
  <c r="D9417" i="1"/>
  <c r="C9418" i="1"/>
  <c r="D9418" i="1"/>
  <c r="C9419" i="1"/>
  <c r="D9419" i="1"/>
  <c r="C9420" i="1"/>
  <c r="D9420" i="1"/>
  <c r="C9421" i="1"/>
  <c r="D9421" i="1"/>
  <c r="C9422" i="1"/>
  <c r="D9422" i="1"/>
  <c r="C9423" i="1"/>
  <c r="D9423" i="1"/>
  <c r="C9424" i="1"/>
  <c r="D9424" i="1"/>
  <c r="C9425" i="1"/>
  <c r="D9425" i="1"/>
  <c r="C9426" i="1"/>
  <c r="D9426" i="1"/>
  <c r="C9427" i="1"/>
  <c r="D9427" i="1"/>
  <c r="C9428" i="1"/>
  <c r="D9428" i="1"/>
  <c r="C9429" i="1"/>
  <c r="D9429" i="1"/>
  <c r="C9430" i="1"/>
  <c r="D9430" i="1"/>
  <c r="C9431" i="1"/>
  <c r="D9431" i="1"/>
  <c r="C9432" i="1"/>
  <c r="D9432" i="1"/>
  <c r="C9433" i="1"/>
  <c r="D9433" i="1"/>
  <c r="C9434" i="1"/>
  <c r="D9434" i="1"/>
  <c r="C9435" i="1"/>
  <c r="D9435" i="1"/>
  <c r="C9436" i="1"/>
  <c r="D9436" i="1"/>
  <c r="C9437" i="1"/>
  <c r="D9437" i="1"/>
  <c r="C9438" i="1"/>
  <c r="D9438" i="1"/>
  <c r="C9439" i="1"/>
  <c r="D9439" i="1"/>
  <c r="C9440" i="1"/>
  <c r="D9440" i="1"/>
  <c r="C9441" i="1"/>
  <c r="D9441" i="1"/>
  <c r="C9442" i="1"/>
  <c r="D9442" i="1"/>
  <c r="C9443" i="1"/>
  <c r="D9443" i="1"/>
  <c r="C9444" i="1"/>
  <c r="D9444" i="1"/>
  <c r="C9445" i="1"/>
  <c r="D9445" i="1"/>
  <c r="C9446" i="1"/>
  <c r="D9446" i="1"/>
  <c r="C9447" i="1"/>
  <c r="D9447" i="1"/>
  <c r="C9448" i="1"/>
  <c r="D9448" i="1"/>
  <c r="C9449" i="1"/>
  <c r="D9449" i="1"/>
  <c r="C9450" i="1"/>
  <c r="D9450" i="1"/>
  <c r="C9451" i="1"/>
  <c r="D9451" i="1"/>
  <c r="C9452" i="1"/>
  <c r="D9452" i="1"/>
  <c r="C9453" i="1"/>
  <c r="D9453" i="1"/>
  <c r="C9454" i="1"/>
  <c r="D9454" i="1"/>
  <c r="C9455" i="1"/>
  <c r="D9455" i="1"/>
  <c r="C9456" i="1"/>
  <c r="D9456" i="1"/>
  <c r="C9457" i="1"/>
  <c r="D9457" i="1"/>
  <c r="C9458" i="1"/>
  <c r="D9458" i="1"/>
  <c r="C9459" i="1"/>
  <c r="D9459" i="1"/>
  <c r="C9460" i="1"/>
  <c r="D9460" i="1"/>
  <c r="C9461" i="1"/>
  <c r="D9461" i="1"/>
  <c r="C9462" i="1"/>
  <c r="D9462" i="1"/>
  <c r="C9463" i="1"/>
  <c r="D9463" i="1"/>
  <c r="C9464" i="1"/>
  <c r="D9464" i="1"/>
  <c r="C9465" i="1"/>
  <c r="D9465" i="1"/>
  <c r="C9466" i="1"/>
  <c r="D9466" i="1"/>
  <c r="C9467" i="1"/>
  <c r="D9467" i="1"/>
  <c r="C9468" i="1"/>
  <c r="D9468" i="1"/>
  <c r="C9469" i="1"/>
  <c r="D9469" i="1"/>
  <c r="C9470" i="1"/>
  <c r="D9470" i="1"/>
  <c r="C9471" i="1"/>
  <c r="D9471" i="1"/>
  <c r="C9472" i="1"/>
  <c r="D9472" i="1"/>
  <c r="C9473" i="1"/>
  <c r="D9473" i="1"/>
  <c r="C9474" i="1"/>
  <c r="D9474" i="1"/>
  <c r="C9475" i="1"/>
  <c r="D9475" i="1"/>
  <c r="C9476" i="1"/>
  <c r="D9476" i="1"/>
  <c r="C9477" i="1"/>
  <c r="D9477" i="1"/>
  <c r="C9478" i="1"/>
  <c r="D9478" i="1"/>
  <c r="C9479" i="1"/>
  <c r="D9479" i="1"/>
  <c r="C9480" i="1"/>
  <c r="D9480" i="1"/>
  <c r="C9481" i="1"/>
  <c r="D9481" i="1"/>
  <c r="C9482" i="1"/>
  <c r="D9482" i="1"/>
  <c r="C9483" i="1"/>
  <c r="D9483" i="1"/>
  <c r="C9484" i="1"/>
  <c r="D9484" i="1"/>
  <c r="C9485" i="1"/>
  <c r="D9485" i="1"/>
  <c r="C9486" i="1"/>
  <c r="D9486" i="1"/>
  <c r="C9487" i="1"/>
  <c r="D9487" i="1"/>
  <c r="C9488" i="1"/>
  <c r="D9488" i="1"/>
  <c r="C9489" i="1"/>
  <c r="D9489" i="1"/>
  <c r="C9490" i="1"/>
  <c r="D9490" i="1"/>
  <c r="C9491" i="1"/>
  <c r="D9491" i="1"/>
  <c r="C9492" i="1"/>
  <c r="D9492" i="1"/>
  <c r="C9493" i="1"/>
  <c r="D9493" i="1"/>
  <c r="C9494" i="1"/>
  <c r="D9494" i="1"/>
  <c r="C9495" i="1"/>
  <c r="D9495" i="1"/>
  <c r="C9496" i="1"/>
  <c r="D9496" i="1"/>
  <c r="C9497" i="1"/>
  <c r="D9497" i="1"/>
  <c r="C9498" i="1"/>
  <c r="D9498" i="1"/>
  <c r="C9499" i="1"/>
  <c r="D9499" i="1"/>
  <c r="C9500" i="1"/>
  <c r="D9500" i="1"/>
  <c r="C9501" i="1"/>
  <c r="D9501" i="1"/>
  <c r="C9502" i="1"/>
  <c r="D9502" i="1"/>
  <c r="C9503" i="1"/>
  <c r="D9503" i="1"/>
  <c r="C9504" i="1"/>
  <c r="D9504" i="1"/>
  <c r="C9505" i="1"/>
  <c r="D9505" i="1"/>
  <c r="C9506" i="1"/>
  <c r="D9506" i="1"/>
  <c r="C9507" i="1"/>
  <c r="D9507" i="1"/>
  <c r="C9508" i="1"/>
  <c r="D9508" i="1"/>
  <c r="C9509" i="1"/>
  <c r="D9509" i="1"/>
  <c r="C9510" i="1"/>
  <c r="D9510" i="1"/>
  <c r="C9511" i="1"/>
  <c r="D9511" i="1"/>
  <c r="C9512" i="1"/>
  <c r="D9512" i="1"/>
  <c r="C9513" i="1"/>
  <c r="D9513" i="1"/>
  <c r="C9514" i="1"/>
  <c r="D9514" i="1"/>
  <c r="C9515" i="1"/>
  <c r="D9515" i="1"/>
  <c r="C9516" i="1"/>
  <c r="D9516" i="1"/>
  <c r="C9517" i="1"/>
  <c r="D9517" i="1"/>
  <c r="C9518" i="1"/>
  <c r="D9518" i="1"/>
  <c r="C9519" i="1"/>
  <c r="D9519" i="1"/>
  <c r="C9520" i="1"/>
  <c r="D9520" i="1"/>
  <c r="C9521" i="1"/>
  <c r="D9521" i="1"/>
  <c r="C9522" i="1"/>
  <c r="D9522" i="1"/>
  <c r="C9523" i="1"/>
  <c r="D9523" i="1"/>
  <c r="C9524" i="1"/>
  <c r="D9524" i="1"/>
  <c r="C9525" i="1"/>
  <c r="D9525" i="1"/>
  <c r="C9526" i="1"/>
  <c r="D9526" i="1"/>
  <c r="C9527" i="1"/>
  <c r="D9527" i="1"/>
  <c r="C9528" i="1"/>
  <c r="D9528" i="1"/>
  <c r="C9529" i="1"/>
  <c r="D9529" i="1"/>
  <c r="C9530" i="1"/>
  <c r="D9530" i="1"/>
  <c r="C9531" i="1"/>
  <c r="D9531" i="1"/>
  <c r="C9532" i="1"/>
  <c r="D9532" i="1"/>
  <c r="C9533" i="1"/>
  <c r="D9533" i="1"/>
  <c r="C9534" i="1"/>
  <c r="D9534" i="1"/>
  <c r="C9535" i="1"/>
  <c r="D9535" i="1"/>
  <c r="C9536" i="1"/>
  <c r="D9536" i="1"/>
  <c r="C9537" i="1"/>
  <c r="D9537" i="1"/>
  <c r="C9538" i="1"/>
  <c r="D9538" i="1"/>
  <c r="C9539" i="1"/>
  <c r="D9539" i="1"/>
  <c r="C9540" i="1"/>
  <c r="D9540" i="1"/>
  <c r="C9541" i="1"/>
  <c r="D9541" i="1"/>
  <c r="C9542" i="1"/>
  <c r="D9542" i="1"/>
  <c r="C9543" i="1"/>
  <c r="D9543" i="1"/>
  <c r="C9544" i="1"/>
  <c r="D9544" i="1"/>
  <c r="C9545" i="1"/>
  <c r="D9545" i="1"/>
  <c r="C9546" i="1"/>
  <c r="D9546" i="1"/>
  <c r="C9547" i="1"/>
  <c r="D9547" i="1"/>
  <c r="C9548" i="1"/>
  <c r="D9548" i="1"/>
  <c r="C9549" i="1"/>
  <c r="D9549" i="1"/>
  <c r="C9550" i="1"/>
  <c r="D9550" i="1"/>
  <c r="C9551" i="1"/>
  <c r="D9551" i="1"/>
  <c r="C9552" i="1"/>
  <c r="D9552" i="1"/>
  <c r="C9553" i="1"/>
  <c r="D9553" i="1"/>
  <c r="C9554" i="1"/>
  <c r="D9554" i="1"/>
  <c r="C9555" i="1"/>
  <c r="D9555" i="1"/>
  <c r="C9556" i="1"/>
  <c r="D9556" i="1"/>
  <c r="C9557" i="1"/>
  <c r="D9557" i="1"/>
  <c r="C9558" i="1"/>
  <c r="D9558" i="1"/>
  <c r="C9559" i="1"/>
  <c r="D9559" i="1"/>
  <c r="C9560" i="1"/>
  <c r="D9560" i="1"/>
  <c r="C9561" i="1"/>
  <c r="D9561" i="1"/>
  <c r="C9562" i="1"/>
  <c r="D9562" i="1"/>
  <c r="C9563" i="1"/>
  <c r="D9563" i="1"/>
  <c r="C9564" i="1"/>
  <c r="D9564" i="1"/>
  <c r="C9565" i="1"/>
  <c r="D9565" i="1"/>
  <c r="C9566" i="1"/>
  <c r="D9566" i="1"/>
  <c r="C9567" i="1"/>
  <c r="D9567" i="1"/>
  <c r="C9568" i="1"/>
  <c r="D9568" i="1"/>
  <c r="C9569" i="1"/>
  <c r="D9569" i="1"/>
  <c r="C9570" i="1"/>
  <c r="D9570" i="1"/>
  <c r="C9571" i="1"/>
  <c r="D9571" i="1"/>
  <c r="C9572" i="1"/>
  <c r="D9572" i="1"/>
  <c r="C9573" i="1"/>
  <c r="D9573" i="1"/>
  <c r="C9574" i="1"/>
  <c r="D9574" i="1"/>
  <c r="C9575" i="1"/>
  <c r="D9575" i="1"/>
  <c r="C9576" i="1"/>
  <c r="D9576" i="1"/>
  <c r="C9577" i="1"/>
  <c r="D9577" i="1"/>
  <c r="C9578" i="1"/>
  <c r="D9578" i="1"/>
  <c r="C9579" i="1"/>
  <c r="D9579" i="1"/>
  <c r="C9580" i="1"/>
  <c r="D9580" i="1"/>
  <c r="C9581" i="1"/>
  <c r="D9581" i="1"/>
  <c r="C9582" i="1"/>
  <c r="D9582" i="1"/>
  <c r="C9583" i="1"/>
  <c r="D9583" i="1"/>
  <c r="C9584" i="1"/>
  <c r="D9584" i="1"/>
  <c r="C9585" i="1"/>
  <c r="D9585" i="1"/>
  <c r="C9586" i="1"/>
  <c r="D9586" i="1"/>
  <c r="C9587" i="1"/>
  <c r="D9587" i="1"/>
  <c r="C9588" i="1"/>
  <c r="D9588" i="1"/>
  <c r="C9589" i="1"/>
  <c r="D9589" i="1"/>
  <c r="C9590" i="1"/>
  <c r="D9590" i="1"/>
  <c r="C9591" i="1"/>
  <c r="D9591" i="1"/>
  <c r="C9592" i="1"/>
  <c r="D9592" i="1"/>
  <c r="C9593" i="1"/>
  <c r="D9593" i="1"/>
  <c r="C9594" i="1"/>
  <c r="D9594" i="1"/>
  <c r="C9595" i="1"/>
  <c r="D9595" i="1"/>
  <c r="C9596" i="1"/>
  <c r="D9596" i="1"/>
  <c r="C9597" i="1"/>
  <c r="D9597" i="1"/>
  <c r="C9598" i="1"/>
  <c r="D9598" i="1"/>
  <c r="C9599" i="1"/>
  <c r="D9599" i="1"/>
  <c r="C9600" i="1"/>
  <c r="D9600" i="1"/>
  <c r="C9601" i="1"/>
  <c r="D9601" i="1"/>
  <c r="C9602" i="1"/>
  <c r="D9602" i="1"/>
  <c r="C9603" i="1"/>
  <c r="D9603" i="1"/>
  <c r="C9604" i="1"/>
  <c r="D9604" i="1"/>
  <c r="C9605" i="1"/>
  <c r="D9605" i="1"/>
  <c r="C9606" i="1"/>
  <c r="D9606" i="1"/>
  <c r="C9607" i="1"/>
  <c r="D9607" i="1"/>
  <c r="C9608" i="1"/>
  <c r="D9608" i="1"/>
  <c r="C9609" i="1"/>
  <c r="D9609" i="1"/>
  <c r="C9610" i="1"/>
  <c r="D9610" i="1"/>
  <c r="C9611" i="1"/>
  <c r="D9611" i="1"/>
  <c r="C9612" i="1"/>
  <c r="D9612" i="1"/>
  <c r="C9613" i="1"/>
  <c r="D9613" i="1"/>
  <c r="C9614" i="1"/>
  <c r="D9614" i="1"/>
  <c r="C9615" i="1"/>
  <c r="D9615" i="1"/>
  <c r="C9616" i="1"/>
  <c r="D9616" i="1"/>
  <c r="C9617" i="1"/>
  <c r="D9617" i="1"/>
  <c r="C9618" i="1"/>
  <c r="D9618" i="1"/>
  <c r="C9619" i="1"/>
  <c r="D9619" i="1"/>
  <c r="C9620" i="1"/>
  <c r="D9620" i="1"/>
  <c r="C9621" i="1"/>
  <c r="D9621" i="1"/>
  <c r="C9622" i="1"/>
  <c r="D9622" i="1"/>
  <c r="C9623" i="1"/>
  <c r="D9623" i="1"/>
  <c r="C9624" i="1"/>
  <c r="D9624" i="1"/>
  <c r="C9625" i="1"/>
  <c r="D9625" i="1"/>
  <c r="C9626" i="1"/>
  <c r="D9626" i="1"/>
  <c r="C9627" i="1"/>
  <c r="D9627" i="1"/>
  <c r="C9628" i="1"/>
  <c r="D9628" i="1"/>
  <c r="C9629" i="1"/>
  <c r="D9629" i="1"/>
  <c r="C9630" i="1"/>
  <c r="D9630" i="1"/>
  <c r="C9631" i="1"/>
  <c r="D9631" i="1"/>
  <c r="C9632" i="1"/>
  <c r="D9632" i="1"/>
  <c r="C9633" i="1"/>
  <c r="D9633" i="1"/>
  <c r="C9634" i="1"/>
  <c r="D9634" i="1"/>
  <c r="C9635" i="1"/>
  <c r="D9635" i="1"/>
  <c r="C9636" i="1"/>
  <c r="D9636" i="1"/>
  <c r="C9637" i="1"/>
  <c r="D9637" i="1"/>
  <c r="C9638" i="1"/>
  <c r="D9638" i="1"/>
  <c r="C9639" i="1"/>
  <c r="D9639" i="1"/>
  <c r="C9640" i="1"/>
  <c r="D9640" i="1"/>
  <c r="C9641" i="1"/>
  <c r="D9641" i="1"/>
  <c r="C9642" i="1"/>
  <c r="D9642" i="1"/>
  <c r="C9643" i="1"/>
  <c r="D9643" i="1"/>
  <c r="C9644" i="1"/>
  <c r="D9644" i="1"/>
  <c r="C9645" i="1"/>
  <c r="D9645" i="1"/>
  <c r="C9646" i="1"/>
  <c r="D9646" i="1"/>
  <c r="C9647" i="1"/>
  <c r="D9647" i="1"/>
  <c r="C9648" i="1"/>
  <c r="D9648" i="1"/>
  <c r="C9649" i="1"/>
  <c r="D9649" i="1"/>
  <c r="C9650" i="1"/>
  <c r="D9650" i="1"/>
  <c r="C9651" i="1"/>
  <c r="D9651" i="1"/>
  <c r="C9652" i="1"/>
  <c r="D9652" i="1"/>
  <c r="C9653" i="1"/>
  <c r="D9653" i="1"/>
  <c r="C9654" i="1"/>
  <c r="D9654" i="1"/>
  <c r="C9655" i="1"/>
  <c r="D9655" i="1"/>
  <c r="C9656" i="1"/>
  <c r="D9656" i="1"/>
  <c r="C9657" i="1"/>
  <c r="D9657" i="1"/>
  <c r="C9658" i="1"/>
  <c r="D9658" i="1"/>
  <c r="C9659" i="1"/>
  <c r="D9659" i="1"/>
  <c r="C9660" i="1"/>
  <c r="D9660" i="1"/>
  <c r="C9661" i="1"/>
  <c r="D9661" i="1"/>
  <c r="C9662" i="1"/>
  <c r="D9662" i="1"/>
  <c r="C9663" i="1"/>
  <c r="D9663" i="1"/>
  <c r="C9664" i="1"/>
  <c r="D9664" i="1"/>
  <c r="C9665" i="1"/>
  <c r="D9665" i="1"/>
  <c r="C9666" i="1"/>
  <c r="D9666" i="1"/>
  <c r="C9667" i="1"/>
  <c r="D9667" i="1"/>
  <c r="C9668" i="1"/>
  <c r="D9668" i="1"/>
  <c r="C9669" i="1"/>
  <c r="D9669" i="1"/>
  <c r="C9670" i="1"/>
  <c r="D9670" i="1"/>
  <c r="C9671" i="1"/>
  <c r="D9671" i="1"/>
  <c r="C9672" i="1"/>
  <c r="D9672" i="1"/>
  <c r="C9673" i="1"/>
  <c r="D9673" i="1"/>
  <c r="C9674" i="1"/>
  <c r="D9674" i="1"/>
  <c r="C9675" i="1"/>
  <c r="D9675" i="1"/>
  <c r="C9676" i="1"/>
  <c r="D9676" i="1"/>
  <c r="C9677" i="1"/>
  <c r="D9677" i="1"/>
  <c r="C9678" i="1"/>
  <c r="D9678" i="1"/>
  <c r="C9679" i="1"/>
  <c r="D9679" i="1"/>
  <c r="C9680" i="1"/>
  <c r="D9680" i="1"/>
  <c r="C9681" i="1"/>
  <c r="D9681" i="1"/>
  <c r="C9682" i="1"/>
  <c r="D9682" i="1"/>
  <c r="C9683" i="1"/>
  <c r="D9683" i="1"/>
  <c r="C9684" i="1"/>
  <c r="D9684" i="1"/>
  <c r="C9685" i="1"/>
  <c r="D9685" i="1"/>
  <c r="C9686" i="1"/>
  <c r="D9686" i="1"/>
  <c r="C9687" i="1"/>
  <c r="D9687" i="1"/>
  <c r="C9688" i="1"/>
  <c r="D9688" i="1"/>
  <c r="C9689" i="1"/>
  <c r="D9689" i="1"/>
  <c r="C9690" i="1"/>
  <c r="D9690" i="1"/>
  <c r="C9691" i="1"/>
  <c r="D9691" i="1"/>
  <c r="C9692" i="1"/>
  <c r="D9692" i="1"/>
  <c r="C9693" i="1"/>
  <c r="D9693" i="1"/>
  <c r="C9694" i="1"/>
  <c r="D9694" i="1"/>
  <c r="C9695" i="1"/>
  <c r="D9695" i="1"/>
  <c r="C9696" i="1"/>
  <c r="D9696" i="1"/>
  <c r="C9697" i="1"/>
  <c r="D9697" i="1"/>
  <c r="C9698" i="1"/>
  <c r="D9698" i="1"/>
  <c r="C9699" i="1"/>
  <c r="D9699" i="1"/>
  <c r="C9700" i="1"/>
  <c r="D9700" i="1"/>
  <c r="C9701" i="1"/>
  <c r="D9701" i="1"/>
  <c r="C9702" i="1"/>
  <c r="D9702" i="1"/>
  <c r="C9703" i="1"/>
  <c r="D9703" i="1"/>
  <c r="C9704" i="1"/>
  <c r="D9704" i="1"/>
  <c r="C9705" i="1"/>
  <c r="D9705" i="1"/>
  <c r="C9706" i="1"/>
  <c r="D9706" i="1"/>
  <c r="C9707" i="1"/>
  <c r="D9707" i="1"/>
  <c r="C9708" i="1"/>
  <c r="D9708" i="1"/>
  <c r="C9709" i="1"/>
  <c r="D9709" i="1"/>
  <c r="C9710" i="1"/>
  <c r="D9710" i="1"/>
  <c r="C9711" i="1"/>
  <c r="D9711" i="1"/>
  <c r="C9712" i="1"/>
  <c r="D9712" i="1"/>
  <c r="C9713" i="1"/>
  <c r="D9713" i="1"/>
  <c r="C9714" i="1"/>
  <c r="D9714" i="1"/>
  <c r="C9715" i="1"/>
  <c r="D9715" i="1"/>
  <c r="C9716" i="1"/>
  <c r="D9716" i="1"/>
  <c r="C9717" i="1"/>
  <c r="D9717" i="1"/>
  <c r="C9718" i="1"/>
  <c r="D9718" i="1"/>
  <c r="C9719" i="1"/>
  <c r="D9719" i="1"/>
  <c r="C9720" i="1"/>
  <c r="D9720" i="1"/>
  <c r="C9721" i="1"/>
  <c r="D9721" i="1"/>
  <c r="C9722" i="1"/>
  <c r="D9722" i="1"/>
  <c r="C9723" i="1"/>
  <c r="D9723" i="1"/>
  <c r="C9724" i="1"/>
  <c r="D9724" i="1"/>
  <c r="C9725" i="1"/>
  <c r="D9725" i="1"/>
  <c r="C9726" i="1"/>
  <c r="D9726" i="1"/>
  <c r="C9727" i="1"/>
  <c r="D9727" i="1"/>
  <c r="C9728" i="1"/>
  <c r="D9728" i="1"/>
  <c r="C9729" i="1"/>
  <c r="D9729" i="1"/>
  <c r="C9730" i="1"/>
  <c r="D9730" i="1"/>
  <c r="C9731" i="1"/>
  <c r="D9731" i="1"/>
  <c r="C9732" i="1"/>
  <c r="D9732" i="1"/>
  <c r="C9733" i="1"/>
  <c r="D9733" i="1"/>
  <c r="C9734" i="1"/>
  <c r="D9734" i="1"/>
  <c r="C9735" i="1"/>
  <c r="D9735" i="1"/>
  <c r="C9736" i="1"/>
  <c r="D9736" i="1"/>
  <c r="C9737" i="1"/>
  <c r="D9737" i="1"/>
  <c r="C9738" i="1"/>
  <c r="D9738" i="1"/>
  <c r="C9739" i="1"/>
  <c r="D9739" i="1"/>
  <c r="C9740" i="1"/>
  <c r="D9740" i="1"/>
  <c r="C9741" i="1"/>
  <c r="D9741" i="1"/>
  <c r="C9742" i="1"/>
  <c r="D9742" i="1"/>
  <c r="C9743" i="1"/>
  <c r="D9743" i="1"/>
  <c r="C9744" i="1"/>
  <c r="D9744" i="1"/>
  <c r="C9745" i="1"/>
  <c r="D9745" i="1"/>
  <c r="C9746" i="1"/>
  <c r="D9746" i="1"/>
  <c r="C9747" i="1"/>
  <c r="D9747" i="1"/>
  <c r="C9748" i="1"/>
  <c r="D9748" i="1"/>
  <c r="C9749" i="1"/>
  <c r="D9749" i="1"/>
  <c r="C9750" i="1"/>
  <c r="D9750" i="1"/>
  <c r="C9751" i="1"/>
  <c r="D9751" i="1"/>
  <c r="C9752" i="1"/>
  <c r="D9752" i="1"/>
  <c r="C9753" i="1"/>
  <c r="D9753" i="1"/>
  <c r="C9754" i="1"/>
  <c r="D9754" i="1"/>
  <c r="C9755" i="1"/>
  <c r="D9755" i="1"/>
  <c r="C9756" i="1"/>
  <c r="D9756" i="1"/>
  <c r="C9757" i="1"/>
  <c r="D9757" i="1"/>
  <c r="C9758" i="1"/>
  <c r="D9758" i="1"/>
  <c r="C9759" i="1"/>
  <c r="D9759" i="1"/>
  <c r="C9760" i="1"/>
  <c r="D9760" i="1"/>
  <c r="C9761" i="1"/>
  <c r="D9761" i="1"/>
  <c r="C9762" i="1"/>
  <c r="D9762" i="1"/>
  <c r="C9763" i="1"/>
  <c r="D9763" i="1"/>
  <c r="C9764" i="1"/>
  <c r="D9764" i="1"/>
  <c r="C9765" i="1"/>
  <c r="D9765" i="1"/>
  <c r="C9766" i="1"/>
  <c r="D9766" i="1"/>
  <c r="C9767" i="1"/>
  <c r="D9767" i="1"/>
  <c r="C9768" i="1"/>
  <c r="D9768" i="1"/>
  <c r="C9769" i="1"/>
  <c r="D9769" i="1"/>
  <c r="C9770" i="1"/>
  <c r="D9770" i="1"/>
  <c r="C9771" i="1"/>
  <c r="D9771" i="1"/>
  <c r="C9772" i="1"/>
  <c r="D9772" i="1"/>
  <c r="C9773" i="1"/>
  <c r="D9773" i="1"/>
  <c r="C9774" i="1"/>
  <c r="D9774" i="1"/>
  <c r="C9775" i="1"/>
  <c r="D9775" i="1"/>
  <c r="C9776" i="1"/>
  <c r="D9776" i="1"/>
  <c r="C9777" i="1"/>
  <c r="D9777" i="1"/>
  <c r="C9778" i="1"/>
  <c r="D9778" i="1"/>
  <c r="C9779" i="1"/>
  <c r="D9779" i="1"/>
  <c r="C9780" i="1"/>
  <c r="D9780" i="1"/>
  <c r="C9781" i="1"/>
  <c r="D9781" i="1"/>
  <c r="C9782" i="1"/>
  <c r="D9782" i="1"/>
  <c r="C9783" i="1"/>
  <c r="D9783" i="1"/>
  <c r="C9784" i="1"/>
  <c r="D9784" i="1"/>
  <c r="C9785" i="1"/>
  <c r="D9785" i="1"/>
  <c r="C9786" i="1"/>
  <c r="D9786" i="1"/>
  <c r="C9787" i="1"/>
  <c r="D9787" i="1"/>
  <c r="C9788" i="1"/>
  <c r="D9788" i="1"/>
  <c r="C9789" i="1"/>
  <c r="D9789" i="1"/>
  <c r="C9790" i="1"/>
  <c r="D9790" i="1"/>
  <c r="C9791" i="1"/>
  <c r="D9791" i="1"/>
  <c r="C9792" i="1"/>
  <c r="D9792" i="1"/>
  <c r="C9793" i="1"/>
  <c r="D9793" i="1"/>
  <c r="C9794" i="1"/>
  <c r="D9794" i="1"/>
  <c r="C9795" i="1"/>
  <c r="D9795" i="1"/>
  <c r="C9796" i="1"/>
  <c r="D9796" i="1"/>
  <c r="C9797" i="1"/>
  <c r="D9797" i="1"/>
  <c r="C9798" i="1"/>
  <c r="D9798" i="1"/>
  <c r="C9799" i="1"/>
  <c r="D9799" i="1"/>
  <c r="C9800" i="1"/>
  <c r="D9800" i="1"/>
  <c r="C9801" i="1"/>
  <c r="D9801" i="1"/>
  <c r="C9802" i="1"/>
  <c r="D9802" i="1"/>
  <c r="C9803" i="1"/>
  <c r="D9803" i="1"/>
  <c r="C9804" i="1"/>
  <c r="D9804" i="1"/>
  <c r="C9805" i="1"/>
  <c r="D9805" i="1"/>
  <c r="C9806" i="1"/>
  <c r="D9806" i="1"/>
  <c r="C9807" i="1"/>
  <c r="D9807" i="1"/>
  <c r="C9808" i="1"/>
  <c r="D9808" i="1"/>
  <c r="C9809" i="1"/>
  <c r="D9809" i="1"/>
  <c r="C9810" i="1"/>
  <c r="D9810" i="1"/>
  <c r="C9811" i="1"/>
  <c r="D9811" i="1"/>
  <c r="C9812" i="1"/>
  <c r="D9812" i="1"/>
  <c r="C9813" i="1"/>
  <c r="D9813" i="1"/>
  <c r="C9814" i="1"/>
  <c r="D9814" i="1"/>
  <c r="C9815" i="1"/>
  <c r="D9815" i="1"/>
  <c r="C9816" i="1"/>
  <c r="D9816" i="1"/>
  <c r="C9817" i="1"/>
  <c r="D9817" i="1"/>
  <c r="C9818" i="1"/>
  <c r="D9818" i="1"/>
  <c r="C9819" i="1"/>
  <c r="D9819" i="1"/>
  <c r="C9820" i="1"/>
  <c r="D9820" i="1"/>
  <c r="C9821" i="1"/>
  <c r="D9821" i="1"/>
  <c r="C9822" i="1"/>
  <c r="D9822" i="1"/>
  <c r="C9823" i="1"/>
  <c r="D9823" i="1"/>
  <c r="C9824" i="1"/>
  <c r="D9824" i="1"/>
  <c r="C9825" i="1"/>
  <c r="D9825" i="1"/>
  <c r="C9826" i="1"/>
  <c r="D9826" i="1"/>
  <c r="C9827" i="1"/>
  <c r="D9827" i="1"/>
  <c r="C9828" i="1"/>
  <c r="D9828" i="1"/>
  <c r="C9829" i="1"/>
  <c r="D9829" i="1"/>
  <c r="C9830" i="1"/>
  <c r="D9830" i="1"/>
  <c r="C9831" i="1"/>
  <c r="D9831" i="1"/>
  <c r="C9832" i="1"/>
  <c r="D9832" i="1"/>
  <c r="C9833" i="1"/>
  <c r="D9833" i="1"/>
  <c r="C9834" i="1"/>
  <c r="D9834" i="1"/>
  <c r="C9835" i="1"/>
  <c r="D9835" i="1"/>
  <c r="C9836" i="1"/>
  <c r="D9836" i="1"/>
  <c r="C9837" i="1"/>
  <c r="D9837" i="1"/>
  <c r="C9838" i="1"/>
  <c r="D9838" i="1"/>
  <c r="C9839" i="1"/>
  <c r="D9839" i="1"/>
  <c r="C9840" i="1"/>
  <c r="D9840" i="1"/>
  <c r="C9841" i="1"/>
  <c r="D9841" i="1"/>
  <c r="C9842" i="1"/>
  <c r="D9842" i="1"/>
  <c r="C9843" i="1"/>
  <c r="D9843" i="1"/>
  <c r="C9844" i="1"/>
  <c r="D9844" i="1"/>
  <c r="C9845" i="1"/>
  <c r="D9845" i="1"/>
  <c r="C9846" i="1"/>
  <c r="D9846" i="1"/>
  <c r="C9847" i="1"/>
  <c r="D9847" i="1"/>
  <c r="C9848" i="1"/>
  <c r="D9848" i="1"/>
  <c r="C9849" i="1"/>
  <c r="D9849" i="1"/>
  <c r="C9850" i="1"/>
  <c r="D9850" i="1"/>
  <c r="C9851" i="1"/>
  <c r="D9851" i="1"/>
  <c r="C9852" i="1"/>
  <c r="D9852" i="1"/>
  <c r="C9853" i="1"/>
  <c r="D9853" i="1"/>
  <c r="C9854" i="1"/>
  <c r="D9854" i="1"/>
  <c r="C9855" i="1"/>
  <c r="D9855" i="1"/>
  <c r="C9856" i="1"/>
  <c r="D9856" i="1"/>
  <c r="C9857" i="1"/>
  <c r="D9857" i="1"/>
  <c r="C9858" i="1"/>
  <c r="D9858" i="1"/>
  <c r="C9859" i="1"/>
  <c r="D9859" i="1"/>
  <c r="C9860" i="1"/>
  <c r="D9860" i="1"/>
  <c r="C9861" i="1"/>
  <c r="D9861" i="1"/>
</calcChain>
</file>

<file path=xl/sharedStrings.xml><?xml version="1.0" encoding="utf-8"?>
<sst xmlns="http://schemas.openxmlformats.org/spreadsheetml/2006/main" count="91303" uniqueCount="46230">
  <si>
    <t>Document ID</t>
  </si>
  <si>
    <t>Title</t>
  </si>
  <si>
    <t>PrintIsbn</t>
  </si>
  <si>
    <t>EIsbn</t>
  </si>
  <si>
    <t>Publisher</t>
  </si>
  <si>
    <t>Imprint</t>
  </si>
  <si>
    <t>PublicationDate</t>
  </si>
  <si>
    <t>Edition</t>
  </si>
  <si>
    <t>Series</t>
  </si>
  <si>
    <t>Authors</t>
  </si>
  <si>
    <t>Subject</t>
  </si>
  <si>
    <t>Lcc</t>
  </si>
  <si>
    <t>Dewey</t>
  </si>
  <si>
    <t>Lcsh</t>
  </si>
  <si>
    <t>Language</t>
  </si>
  <si>
    <t>Price Non-Linear USD</t>
  </si>
  <si>
    <t>Price 3-User USD</t>
  </si>
  <si>
    <t>Price 1-User USD</t>
  </si>
  <si>
    <t>Price Unlimited USD</t>
  </si>
  <si>
    <t>FullRecordUrl</t>
  </si>
  <si>
    <t>Blue Grouse : Their Biology and Natural History</t>
  </si>
  <si>
    <t>NRC Research Press</t>
  </si>
  <si>
    <t>Zwickel, Fred C.; Bendell, James F.</t>
  </si>
  <si>
    <t>Science: Zoology; Science</t>
  </si>
  <si>
    <t>QL696.G285 -- .Z84 2004eb</t>
  </si>
  <si>
    <t>Blue grouse -- Behavior.; Blue grouse -- Ecology -- North America.; Blue grouse -- North America -- Geographical distribution.; Blue grouse.; Electronic books. -- local</t>
  </si>
  <si>
    <t>English</t>
  </si>
  <si>
    <t>http://public.eblib.com/choice/PublicFullRecord.aspx?p=227055</t>
  </si>
  <si>
    <t>Ludlow and Pridoli (Upper Silurian) Graptolites from the Arctic Islands, Canada</t>
  </si>
  <si>
    <t>Lenz, Alfred; Kozlowska-Dawidziuk, Anna</t>
  </si>
  <si>
    <t>Science; Science: Geology</t>
  </si>
  <si>
    <t>QE840.5 -- .K69 2004eb</t>
  </si>
  <si>
    <t>563/.55</t>
  </si>
  <si>
    <t>Chordata, Fossil.; Electronic books. -- local; Graptolites.</t>
  </si>
  <si>
    <t>http://public.eblib.com/choice/PublicFullRecord.aspx?p=227056</t>
  </si>
  <si>
    <t>Silurian (Late Llandovery–Ludlow) Atrypid Brachiopods from Gotland, Sweden, and the Welsh Borderlands, Great Britain</t>
  </si>
  <si>
    <t>Copper, Paul</t>
  </si>
  <si>
    <t>QE796 -- .C66 2004eb</t>
  </si>
  <si>
    <t>564/.68</t>
  </si>
  <si>
    <t>Brachiopoda, Fossil -- Classification.; Brachiopoda, Fossil -- Great Britain.; Brachiopoda, Fossil -- Nomenclature.; Brachiopoda, Fossil -- Sweden -- Gotland.; Brachiopoda, Fossil -- Wales.; Electronic books. -- local; Paleontology -- Silurian.</t>
  </si>
  <si>
    <t>http://public.eblib.com/choice/PublicFullRecord.aspx?p=227057</t>
  </si>
  <si>
    <t>Mycorrhizas : Anatomy and Cell Biology</t>
  </si>
  <si>
    <t>Peterson, R. Larry; Massicotte, Hughes B.; Melville, Lewis H.</t>
  </si>
  <si>
    <t>Science: Biology/Natural History; Science: Botany; Science</t>
  </si>
  <si>
    <t>QK604.2.M92 -- P38 2004eb</t>
  </si>
  <si>
    <t>579.5/1785</t>
  </si>
  <si>
    <t>Electronic books. -- local; Mycorrhizas.; Symbiosis.</t>
  </si>
  <si>
    <t>http://public.eblib.com/choice/PublicFullRecord.aspx?p=227059</t>
  </si>
  <si>
    <t>George J. Klein : The Great Inventor</t>
  </si>
  <si>
    <t>Bourgeois-Doyle, Richard I.</t>
  </si>
  <si>
    <t>Engineering: General; Engineering</t>
  </si>
  <si>
    <t>T 40 K53B68 2004eb</t>
  </si>
  <si>
    <t>609/.2</t>
  </si>
  <si>
    <t>Electronic books. -- local; Industrial engineers -- Canada -- Biography.; Inventors -- Canada -- Biography.; Klein, G. J. -- (George J.); National Research Council Canada.; Scientists -- Canada -- Biography.</t>
  </si>
  <si>
    <t>http://public.eblib.com/choice/PublicFullRecord.aspx?p=227060</t>
  </si>
  <si>
    <t>Plant Adaptation : Molecular Genetics and Ecology</t>
  </si>
  <si>
    <t>Cronk, Q.C. B.; Whitton, J.; Ree, R.H.</t>
  </si>
  <si>
    <t>Science; Science: Botany</t>
  </si>
  <si>
    <t>QK912 -- .P53 2004eb</t>
  </si>
  <si>
    <t>Electronic books. -- local; Molecular genetics.; Plants.</t>
  </si>
  <si>
    <t>http://public.eblib.com/choice/PublicFullRecord.aspx?p=227062</t>
  </si>
  <si>
    <t>Phillipsastreid Corals from the Frasnian (Upper Devonian) of Western Canada : Taxonomy and Biostratigraphic Significance</t>
  </si>
  <si>
    <t>McLean, Ross A.</t>
  </si>
  <si>
    <t>QE778 -- .M35 2005eb</t>
  </si>
  <si>
    <t>563/.6</t>
  </si>
  <si>
    <t>Corals, Fossil -- Northwest Territories.; Electronic books. -- local; Paleontology -- Canada, Western.; Paleontology -- Devonian.; Rugosa -- Northwest Territories -- Classification.</t>
  </si>
  <si>
    <t>http://public.eblib.com/choice/PublicFullRecord.aspx?p=227063</t>
  </si>
  <si>
    <t>Gerhard Herzberg : An Illustrious Life in Science</t>
  </si>
  <si>
    <t>Stoicheff, Boris; National Research Council Canada Staff</t>
  </si>
  <si>
    <t>Science: Physics; Science</t>
  </si>
  <si>
    <t>QC16.H45 -- S86 2002eb</t>
  </si>
  <si>
    <t>530.092; 530/.092</t>
  </si>
  <si>
    <t>Electronic books. -- local; Herzberg, Gerhard, -- 1904-1999.; Molecular spectroscopy -- History.; Physicists -- Canada -- Biography.; Scientists -- Canada -- Biography.; Spectrum analysis -- History.</t>
  </si>
  <si>
    <t>http://public.eblib.com/choice/PublicFullRecord.aspx?p=227064</t>
  </si>
  <si>
    <t>Culinary Herbs for Short-Season Gardeners</t>
  </si>
  <si>
    <t>Small, Ernest; Deutsch, G.</t>
  </si>
  <si>
    <t>Agriculture</t>
  </si>
  <si>
    <t>SB351.H5 -- S634 2001eb</t>
  </si>
  <si>
    <t>635/.7</t>
  </si>
  <si>
    <t>Electronic books. -- local; Herb gardening -- Canada.; Herb gardening.; Herb gardens.; Herbs.</t>
  </si>
  <si>
    <t>http://public.eblib.com/choice/PublicFullRecord.aspx?p=228101</t>
  </si>
  <si>
    <t>Herbes culinaires pour nos jardins de pays froid</t>
  </si>
  <si>
    <t>Electronic books. -- local; Herb gardening -- Canada.; Herb gardening.; Herbs.</t>
  </si>
  <si>
    <t>http://public.eblib.com/choice/PublicFullRecord.aspx?p=228102</t>
  </si>
  <si>
    <t>Canadian Medicinal Crops</t>
  </si>
  <si>
    <t>Small, Ernest; Catling, Paul M.</t>
  </si>
  <si>
    <t>Science: Botany; Science; Agriculture</t>
  </si>
  <si>
    <t>SB294.C2 -- S53 1999eb</t>
  </si>
  <si>
    <t>581.6/34/0971</t>
  </si>
  <si>
    <t>Botanical drug industry -- Canada.; Materia medica, Vegetable -- Canada.; Medicinal plants -- Canada.</t>
  </si>
  <si>
    <t>http://public.eblib.com/choice/PublicFullRecord.aspx?p=228103</t>
  </si>
  <si>
    <t>Les cultures médicinales canadiennes</t>
  </si>
  <si>
    <t>Science: Botany; Agriculture; Science</t>
  </si>
  <si>
    <t>SB294.C3 -- S53 2000eb</t>
  </si>
  <si>
    <t>French</t>
  </si>
  <si>
    <t>http://public.eblib.com/choice/PublicFullRecord.aspx?p=228104</t>
  </si>
  <si>
    <t>Ecophysiology of Northern Spruce Species : The Performance of Planted Seedlings</t>
  </si>
  <si>
    <t>Grossnickle, Steven C.; Small, Ernest</t>
  </si>
  <si>
    <t>SD397.S77 -- G75 2000eb</t>
  </si>
  <si>
    <t>634.9/752562</t>
  </si>
  <si>
    <t>Épinette -- Plants -- Écophysiologie.; Forest regeneration.; Plants -- Écophysiologie.; Régénération (Sylviculture); Seedlings -- Ecophysiology.; Spruce -- Seedlings -- Ecophysiology.</t>
  </si>
  <si>
    <t>http://public.eblib.com/choice/PublicFullRecord.aspx?p=228105</t>
  </si>
  <si>
    <t>Les légumes du Canada</t>
  </si>
  <si>
    <t>Munro, Derek B.; Small, Ernest</t>
  </si>
  <si>
    <t>SB328.8.C3 -- .M86 1998eb</t>
  </si>
  <si>
    <t>635/.0971</t>
  </si>
  <si>
    <t>Food crops -- Canada.; Vegetables -- Canada.</t>
  </si>
  <si>
    <t>http://public.eblib.com/choice/PublicFullRecord.aspx?p=228106</t>
  </si>
  <si>
    <t>Flora of the Yukon Territory (2nd ed.)</t>
  </si>
  <si>
    <t>Cody, William J.</t>
  </si>
  <si>
    <t>Science: Botany; Science</t>
  </si>
  <si>
    <t>QK203.Y8 -- C64 2000eb</t>
  </si>
  <si>
    <t>581.9719/1</t>
  </si>
  <si>
    <t>Botany -- Yukon.</t>
  </si>
  <si>
    <t>http://public.eblib.com/choice/PublicFullRecord.aspx?p=228107</t>
  </si>
  <si>
    <t>Salmonine Introductions to the Laurentian Great Lakes : An Historical Review and Evaluation of Ecological Effects</t>
  </si>
  <si>
    <t>Crawford, Stephen S.</t>
  </si>
  <si>
    <t>Science: Zoology; Science; Environmental Studies; Economics</t>
  </si>
  <si>
    <t>QL638.S2 -- C72 2001eb</t>
  </si>
  <si>
    <t>333.95/655/0977</t>
  </si>
  <si>
    <t>Biotic communities -- Great Lakes Watershed.; Electronic books. -- local; Fish communities -- Great Lakes Watershed.; Introduced fishes -- Great Lakes Watershed.; Salmonidae -- Ecology -- Great Lakes Watershed.</t>
  </si>
  <si>
    <t>http://public.eblib.com/choice/PublicFullRecord.aspx?p=228108</t>
  </si>
  <si>
    <t>Workshop on Rebuilding Abalone Stocks in British Columbia</t>
  </si>
  <si>
    <t>Campbell, Alan</t>
  </si>
  <si>
    <t>SH371.52.C3 -- .W67 2000eb</t>
  </si>
  <si>
    <t>639/.4832</t>
  </si>
  <si>
    <t>Abalone culture -- Congresses.; Abalone fisheries -- British Columbia -- Congresses.; Abalone fisheries -- Congresses.; Abalones -- Congresses.</t>
  </si>
  <si>
    <t>http://public.eblib.com/choice/PublicFullRecord.aspx?p=228109</t>
  </si>
  <si>
    <t>Physiological Changes Associated with the Diadromous Migration of Salmonids</t>
  </si>
  <si>
    <t>Høgåsen, Helga R.</t>
  </si>
  <si>
    <t>QL638.S2 -- H441998eb</t>
  </si>
  <si>
    <t>597.5/51568</t>
  </si>
  <si>
    <t>Diadromous fishes -- Migration.; Salmonidae -- Migration.</t>
  </si>
  <si>
    <t>http://public.eblib.com/choice/PublicFullRecord.aspx?p=228110</t>
  </si>
  <si>
    <t>Late Ordovician Articulate Brachiopods from the Red River and Stony Mountain Formations, Southern Manitoba</t>
  </si>
  <si>
    <t>Jin, Jisuo; Ren-Bin, Zhan</t>
  </si>
  <si>
    <t>Science: Geology; Science</t>
  </si>
  <si>
    <t>QE796 -- .J54 2001eb</t>
  </si>
  <si>
    <t>564/.68/097127</t>
  </si>
  <si>
    <t>Animals, Fossil -- Manitoba.; Brachiopoda, Fossil -- Manitoba.; Electronic books. -- local; Paleontology -- Ordovician.</t>
  </si>
  <si>
    <t>http://public.eblib.com/choice/PublicFullRecord.aspx?p=228111</t>
  </si>
  <si>
    <t>Taxonomy, Evolution, and Biostratigraphy of Conodonts from the Kechika Formation, Skoki Formation, and Road River Group (Upper Cambrian to Lower Silurian), Northeastern British Columbia</t>
  </si>
  <si>
    <t>Pyle, L.J.; Barnes, C.R.</t>
  </si>
  <si>
    <t>QE899.2.C65 -- P94 2002eb</t>
  </si>
  <si>
    <t>562/.2/0971187</t>
  </si>
  <si>
    <t>Conodonts -- British Columbia -- Fort Nelson-Liard -- Classification.; Conodonts -- British Columbia -- Peace River-Liard -- Classification.; Conodonts -- Classification.; Electronic books. -- local; Paleontology -- British Columbia -- Fort Nelson-Liard.; Paleontology -- British Columbia -- Peace River-Liard.; Paleontology -- Paleozoic.</t>
  </si>
  <si>
    <t>http://public.eblib.com/choice/PublicFullRecord.aspx?p=228112</t>
  </si>
  <si>
    <t>Poplar Culture in North America</t>
  </si>
  <si>
    <t>Dickmann, D. I.; Isebrands, J. G.; Eckenwalder, J. E.; Richarson, J</t>
  </si>
  <si>
    <t>SD397.P85 -- P65 2001eb</t>
  </si>
  <si>
    <t>634.9/723/097</t>
  </si>
  <si>
    <t>Arboriculture -- North America -- Congresses.; Electronic books. -- local; Forests and forestry -- North America -- Congresses.; Poplar -- North America -- Congresses.</t>
  </si>
  <si>
    <t>http://public.eblib.com/choice/PublicFullRecord.aspx?p=228114</t>
  </si>
  <si>
    <t>Smaller Orders of Insects of the Galápagos Islands, Ecuador : Evolution, Ecology, and Diversity</t>
  </si>
  <si>
    <t>Peck, Stuart B.</t>
  </si>
  <si>
    <t>Science; Science: Zoology</t>
  </si>
  <si>
    <t>QL522.3.E2 -- P43 2001ebeb</t>
  </si>
  <si>
    <t>595.7/09866/5</t>
  </si>
  <si>
    <t>Electronic books. -- local; Insects -- Evolution -- Galapagos Islands.; Insects -- Galapagos Islands.</t>
  </si>
  <si>
    <t>http://public.eblib.com/choice/PublicFullRecord.aspx?p=228115</t>
  </si>
  <si>
    <t>Checklist of the Hemiptera of Canada and Alaska</t>
  </si>
  <si>
    <t>Maw, H.E.L.; Foottit, R.G.; Hamilton, K.G.A.</t>
  </si>
  <si>
    <t>QL522.1.A1 -- C43 2000eb</t>
  </si>
  <si>
    <t>595.7/54/0971</t>
  </si>
  <si>
    <t>Hemiptera -- Alaska -- Classification.; Hemiptera -- Canada -- Classification.; Homoptera -- Alaska -- Classification.; Homoptera -- Canada -- Classification.</t>
  </si>
  <si>
    <t>http://public.eblib.com/choice/PublicFullRecord.aspx?p=228116</t>
  </si>
  <si>
    <t>Genera of the Trichoptera of Canada and Adjoining or Adjacent United States</t>
  </si>
  <si>
    <t>Schmid, F.</t>
  </si>
  <si>
    <t>QL517.1.A1 -- S34 1998eb</t>
  </si>
  <si>
    <t>Caddisflies -- Canada -- Classification.; Caddisflies -- United States -- Classification.</t>
  </si>
  <si>
    <t>http://public.eblib.com/choice/PublicFullRecord.aspx?p=228117</t>
  </si>
  <si>
    <t>Catalog of Scolytidae and Platypodidae (Coleoptera), Supplement 2 (1995–1999)</t>
  </si>
  <si>
    <t>Bright, Donald E.; Skidmore, Robert E.</t>
  </si>
  <si>
    <t>QL596.S35 -- W877 2002 suppl. 2eb</t>
  </si>
  <si>
    <t>595.76/8</t>
  </si>
  <si>
    <t>Electronic books. -- local; Platypodidae -- Bibliography.; Platypodidae -- Classification.; Scolytidae -- Bibliography.; Scolytidae -- Classification.</t>
  </si>
  <si>
    <t>http://public.eblib.com/choice/PublicFullRecord.aspx?p=228118</t>
  </si>
  <si>
    <t>Calcium : The Grand-Master Cell Signaler</t>
  </si>
  <si>
    <t>Whitfield, James F.; Chakravarthy, Balu</t>
  </si>
  <si>
    <t>Science: Biology/Natural History; Science</t>
  </si>
  <si>
    <t>QP535.C2 -- W534 2001eb</t>
  </si>
  <si>
    <t>572.516; 572/.516</t>
  </si>
  <si>
    <t>Calcium -- Physiological effect.; Cell cycle.; Cell differentiation.; Cell proliferation.; Cellular signal transduction.; Electronic books. -- local</t>
  </si>
  <si>
    <t>http://public.eblib.com/choice/PublicFullRecord.aspx?p=228119</t>
  </si>
  <si>
    <t>The Canadian System of Soil Classification : Third Edition</t>
  </si>
  <si>
    <t>Soil Classification Working Group Staff</t>
  </si>
  <si>
    <t>S592.16 -- .C36 1998eb</t>
  </si>
  <si>
    <t>631.4/4/0971</t>
  </si>
  <si>
    <t>Soils -- Canada -- Classification.; Soils -- Classification.</t>
  </si>
  <si>
    <t>http://public.eblib.com/choice/PublicFullRecord.aspx?p=228120</t>
  </si>
  <si>
    <t>Le système canadien de classification des sols Troisième édition</t>
  </si>
  <si>
    <t>Soil Classification Working Group</t>
  </si>
  <si>
    <t>S599.1.A1 -- C66 2002eb</t>
  </si>
  <si>
    <t>631.4/4; 631.4/4/0971</t>
  </si>
  <si>
    <t>Electronic books. -- local; Soils -- Canada -- Classification.; Soils -- Classification.</t>
  </si>
  <si>
    <t>http://public.eblib.com/choice/PublicFullRecord.aspx?p=228122</t>
  </si>
  <si>
    <t>Flora of the Hudson Bay Lowland and its Postglacial Origins</t>
  </si>
  <si>
    <t>Riley, John</t>
  </si>
  <si>
    <t>QK203.H83 -- R54 2003eb</t>
  </si>
  <si>
    <t>581.9714/111</t>
  </si>
  <si>
    <t>Botany -- Hudson Bay Region.; Electronic books. -- local; Phytogeography -- Canada -- Maps.; Phytogeography -- Hudson Bay Region.</t>
  </si>
  <si>
    <t>http://public.eblib.com/choice/PublicFullRecord.aspx?p=228123</t>
  </si>
  <si>
    <t>Sea Buckthorn (Hippophae rhamnoides L.) : Production and Utilization</t>
  </si>
  <si>
    <t>Li, Thomas S. C.; Beveridge, Thomas H.J.; Oomah, B.D.</t>
  </si>
  <si>
    <t>SB386.S4 -- L5 2003eb</t>
  </si>
  <si>
    <t>634/.74</t>
  </si>
  <si>
    <t>Electronic books. -- local; Hippophae rhamnoides -- Canada.; Hippophae rhamnoides.; Sea buckthorn -- Canada.</t>
  </si>
  <si>
    <t>http://public.eblib.com/choice/PublicFullRecord.aspx?p=228124</t>
  </si>
  <si>
    <t>Towards Sustainable Management of the Boreal Forest</t>
  </si>
  <si>
    <t>Burton, P.J.; Messier, C.; Smith, D.W.</t>
  </si>
  <si>
    <t>Environmental Studies; Economics; Agriculture</t>
  </si>
  <si>
    <t>SD387.T34 -- T68 2003eb</t>
  </si>
  <si>
    <t>333.75; 634.9/2</t>
  </si>
  <si>
    <t>Electronic books. -- local; Forest management -- Canada.; Forest management.; Sustainable forestry -- Canada.; Sustainable forestry.; Taigas -- Canada -- Management.; Taigas -- Management.</t>
  </si>
  <si>
    <t>http://public.eblib.com/choice/PublicFullRecord.aspx?p=228125</t>
  </si>
  <si>
    <t>Cretaceous and Eocene Decapod Crustaceans from Southern Vancouver Island, British Columbia, Canada</t>
  </si>
  <si>
    <t>Schweitzer, C.E.; Feldmann, R.M.; Fam, J.</t>
  </si>
  <si>
    <t>Science: Geology; Science: Zoology; Science</t>
  </si>
  <si>
    <t>QL444.M33 -- C73 2003eb</t>
  </si>
  <si>
    <t>565/.38</t>
  </si>
  <si>
    <t>Decapoda (Crustacea) -- Classification.; Decapoda (Crustacea), Fossil -- British Columbia -- Vancouver Island.; Electronic books. -- local; Paleontology -- Cretaceous.; Paleontology -- Eocene.</t>
  </si>
  <si>
    <t>http://public.eblib.com/choice/PublicFullRecord.aspx?p=228126</t>
  </si>
  <si>
    <t>Proceedings of the SUNY Institute of Technology Conference on Theoretical High Energy Physics</t>
  </si>
  <si>
    <t>Ahmady, M. R.; Fariborz, A. H.</t>
  </si>
  <si>
    <t>QC793 -- .S86 2002eb</t>
  </si>
  <si>
    <t>539.7/6</t>
  </si>
  <si>
    <t>Electronic books. -- local; Nuclear physics -- Congresses.; Particles (Nuclear physics) -- Congresses.</t>
  </si>
  <si>
    <t>http://public.eblib.com/choice/PublicFullRecord.aspx?p=228127</t>
  </si>
  <si>
    <t>Emergence of Unsaturated Soil Mechanics : Fredlund Volume</t>
  </si>
  <si>
    <t>Clifton, A.W.; Wilson, Q.W.; Barbour, S.L.</t>
  </si>
  <si>
    <t>Engineering; Engineering: Civil</t>
  </si>
  <si>
    <t>TA710.A1 -- E44 1999eb</t>
  </si>
  <si>
    <t>624.1/5136</t>
  </si>
  <si>
    <t>Soil mechanics.; Sols, Mécanique des.</t>
  </si>
  <si>
    <t>http://public.eblib.com/choice/PublicFullRecord.aspx?p=228128</t>
  </si>
  <si>
    <t>Renaissance II : Canadian Creativity and Innovation in the New Millennium</t>
  </si>
  <si>
    <t>Doyle, Richard I.</t>
  </si>
  <si>
    <t>Fine Arts; Science: General</t>
  </si>
  <si>
    <t>NX180.S3 -- M55 2000eb</t>
  </si>
  <si>
    <t>Creation (Literary, artistic, etc.) -- Congresses.; Creative ability in science -- Congresses.; Electronic books. -- local; Science and the arts -- Congresses.</t>
  </si>
  <si>
    <t>http://public.eblib.com/choice/PublicFullRecord.aspx?p=228129</t>
  </si>
  <si>
    <t>Renaissance II : Créativité et innovation canadiennes au cours du nouveau millénaire</t>
  </si>
  <si>
    <t>Doyle, Richard I.; Conseil National de Recherches Canada,</t>
  </si>
  <si>
    <t>Fine Arts; Philosophy</t>
  </si>
  <si>
    <t>NX180.S3 -- C73 2001eb</t>
  </si>
  <si>
    <t>111.85; 700.105</t>
  </si>
  <si>
    <t>Art and science -- Congresses.; Creative ability -- Congresses.; Creative ability in science -- Congresses.; Creative ability in technology -- Congresses.; Electronic books. -- local; Technological innovations -- Congresses.; Technology and the arts -- Congresses.</t>
  </si>
  <si>
    <t>http://public.eblib.com/choice/PublicFullRecord.aspx?p=228130</t>
  </si>
  <si>
    <t>Above All, Be Kind : Raising a Humane Child in Challenging Times</t>
  </si>
  <si>
    <t>New Society Publishers</t>
  </si>
  <si>
    <t>Weil, Zoe</t>
  </si>
  <si>
    <t>Social Science; Home Economics</t>
  </si>
  <si>
    <t>HQ769 -- W45 2003eb</t>
  </si>
  <si>
    <t>Child rearing -- Moral and ethical aspects.; Electronic books. -- local; Moral development.; Moral education.; Parenting.</t>
  </si>
  <si>
    <t>http://public.eblib.com/choice/PublicFullRecord.aspx?p=256382</t>
  </si>
  <si>
    <t>And the Skylark Sings with Me : Adventures in Homeschooling and Community-Based Education</t>
  </si>
  <si>
    <t>Albert, David H.; Chilton Pearce, Joseph</t>
  </si>
  <si>
    <t>Education</t>
  </si>
  <si>
    <t>LC40 -- .A42 1999eb</t>
  </si>
  <si>
    <t>Community and school.; Home schooling.</t>
  </si>
  <si>
    <t>http://public.eblib.com/choice/PublicFullRecord.aspx?p=256384</t>
  </si>
  <si>
    <t>Better, Not Bigger : How To Take Control of Urban Growth and Improve Your Community</t>
  </si>
  <si>
    <t>Fodor, Eben V.</t>
  </si>
  <si>
    <t>Social Science</t>
  </si>
  <si>
    <t>HT384.U5 -- F64 1999eb</t>
  </si>
  <si>
    <t>307.1/416/0973</t>
  </si>
  <si>
    <t>Cities and towns -- Growth -- Environmental aspects -- United States.; City planning -- United States.; Community organization -- United States.; Land use, Urban -- United States.; United States -- Environmental conditions.; Urban policy -- Environmental aspects -- United States.; Urban policy -- United States -- Citizen participation.</t>
  </si>
  <si>
    <t>http://public.eblib.com/choice/PublicFullRecord.aspx?p=256385</t>
  </si>
  <si>
    <t>Building Without Borders : Sustainable Construction for the Global Village</t>
  </si>
  <si>
    <t>Natural Building Series</t>
  </si>
  <si>
    <t>Kennedy, Joe</t>
  </si>
  <si>
    <t>Architecture; Engineering: Construction; Engineering</t>
  </si>
  <si>
    <t>NA2542.36 -- .B85 2004eb</t>
  </si>
  <si>
    <t>690/.8</t>
  </si>
  <si>
    <t>Builders Without Borders.; Building materials -- Environmental aspects.; Dwellings -- Design and construction -- Environmental aspects.; Electronic books. -- local; House construction -- Environmental aspects.; Sustainable buildings.</t>
  </si>
  <si>
    <t>http://public.eblib.com/choice/PublicFullRecord.aspx?p=256386</t>
  </si>
  <si>
    <t>The Cohousing Handbook : Building a Place for Community</t>
  </si>
  <si>
    <t>ScottHanson, Chris; ScottHanson, Kelly</t>
  </si>
  <si>
    <t>Business/Management; Economics</t>
  </si>
  <si>
    <t>HD7287.7.A3 -- S36 2005eb</t>
  </si>
  <si>
    <t>Communal living.; Electronic books. -- local; Housing, Cooperative.</t>
  </si>
  <si>
    <t>http://public.eblib.com/choice/PublicFullRecord.aspx?p=256388</t>
  </si>
  <si>
    <t>Creating a Life Together : Practical Tools to Grow Ecovillages and Intentional Communities</t>
  </si>
  <si>
    <t>Christian, Diana Leafe; Adams, Patch</t>
  </si>
  <si>
    <t>Social Science; Economics</t>
  </si>
  <si>
    <t>HM766 -- .C57 2003eb</t>
  </si>
  <si>
    <t>335/.9</t>
  </si>
  <si>
    <t>Collective settlements.; Community organization.; Housing, Cooperative.; Social groups.; Social participation.</t>
  </si>
  <si>
    <t>http://public.eblib.com/choice/PublicFullRecord.aspx?p=256389</t>
  </si>
  <si>
    <t>Crossing the Rubicon : The Decline of the American Empire at the End of the Age of Oil</t>
  </si>
  <si>
    <t>Ruppert, Michael C.; Austin Fitts, Catherine</t>
  </si>
  <si>
    <t>History</t>
  </si>
  <si>
    <t>E902 -- .R86 2004eb</t>
  </si>
  <si>
    <t>Drug traffic -- United States.; Petroleum industry and trade -- United States.; Political corruption -- United States.; September 11 Terrorist Attacks, 2001.; United States -- Foreign relations -- 2001-2009.; United States -- Politics and government -- 2001-2009.</t>
  </si>
  <si>
    <t>http://public.eblib.com/choice/PublicFullRecord.aspx?p=256390</t>
  </si>
  <si>
    <t>Cruise Ship Blues : The Underside of the Cruise Ship Industry</t>
  </si>
  <si>
    <t>Klein, Ross A.</t>
  </si>
  <si>
    <t>Business/Management; Geography/Travel</t>
  </si>
  <si>
    <t>G550 -- .K582 2002eb</t>
  </si>
  <si>
    <t>387.5/42</t>
  </si>
  <si>
    <t>Cruise lines.; Electronic books. -- local; Ocean travel.</t>
  </si>
  <si>
    <t>http://public.eblib.com/choice/PublicFullRecord.aspx?p=256391</t>
  </si>
  <si>
    <t>Dancing with the Tiger : Learning Sustainability Step by Natural Step</t>
  </si>
  <si>
    <t>Conscientious Commerce</t>
  </si>
  <si>
    <t>Nattrass, Brian; Altomare, Mary; Sonntag, Nicholas C.</t>
  </si>
  <si>
    <t>Business/Management</t>
  </si>
  <si>
    <t>HD30.255 -- N37 2002eb</t>
  </si>
  <si>
    <t>658.4/08</t>
  </si>
  <si>
    <t>Business -- Environmental aspects.; Electronic books. -- local; Environmental protection -- Economic aspects.; Management -- Environmental aspects.; Sustainable development -- Case studies.</t>
  </si>
  <si>
    <t>http://public.eblib.com/choice/PublicFullRecord.aspx?p=256392</t>
  </si>
  <si>
    <t>Daughters of the Moon, Sisters of the Sun : Young Women and Mentors on the Transition to Womanhood</t>
  </si>
  <si>
    <t>Hughes, K. Wind; Wolf, Linda</t>
  </si>
  <si>
    <t>HQ1229 -- .D2 1997eb</t>
  </si>
  <si>
    <t>Electronic books. -- local; Maturation (Psychology) -- Case studies.; Role models -- Case studies.; Self-perception in women -- Case studies.; Young women -- Case studies.</t>
  </si>
  <si>
    <t>http://public.eblib.com/choice/PublicFullRecord.aspx?p=256393</t>
  </si>
  <si>
    <t>Dumbing Us Down : The Hidden Curriculum of Compulsory Schooling</t>
  </si>
  <si>
    <t>Gatto, John Taylor; Moore, Thomas</t>
  </si>
  <si>
    <t>LA210 -- G38 2002eb</t>
  </si>
  <si>
    <t>370/.973</t>
  </si>
  <si>
    <t>Education -- Aims and objectives -- United States.; Education, Compulsory -- United States.; Educational sociology -- United States.</t>
  </si>
  <si>
    <t>http://public.eblib.com/choice/PublicFullRecord.aspx?p=256394</t>
  </si>
  <si>
    <t>Earthbag Building : The Tools, Tricks and Techniques</t>
  </si>
  <si>
    <t>Hunter, Kaki; Kiffmeyer, Donald</t>
  </si>
  <si>
    <t>Engineering; Engineering: Construction</t>
  </si>
  <si>
    <t>TH1421 -- .H85 2004eb</t>
  </si>
  <si>
    <t>693/.22</t>
  </si>
  <si>
    <t>Earth construction.; Earth houses -- Design and construction.; Electronic books. -- local; Pis?e.</t>
  </si>
  <si>
    <t>http://public.eblib.com/choice/PublicFullRecord.aspx?p=256395</t>
  </si>
  <si>
    <t>EcoKids : Raising Children Who Care for the Earth</t>
  </si>
  <si>
    <t>Chiras, Dan</t>
  </si>
  <si>
    <t>Environmental Studies</t>
  </si>
  <si>
    <t>GE70 -- .C485 2005eb</t>
  </si>
  <si>
    <t>Electronic books. -- local; Environmental education.; Human ecology -- Study and teaching.</t>
  </si>
  <si>
    <t>http://public.eblib.com/choice/PublicFullRecord.aspx?p=256396</t>
  </si>
  <si>
    <t>EcoVillage at Ithaca : Pioneering a Sustainable Culture</t>
  </si>
  <si>
    <t>Walker, Liz</t>
  </si>
  <si>
    <t>Social Science; Science: Biology/Natural History; Science</t>
  </si>
  <si>
    <t>QH104.5 -- .I84 2005eb</t>
  </si>
  <si>
    <t>307.1/41720974771; 307.14172097; 307.770974771</t>
  </si>
  <si>
    <t>Ecology.; Electronic books. -- local; Sustainable development.</t>
  </si>
  <si>
    <t>http://public.eblib.com/choice/PublicFullRecord.aspx?p=256397</t>
  </si>
  <si>
    <t>Global Profit AND Global Justice : Using Your Money to Change the World</t>
  </si>
  <si>
    <t>Abbey, Deb</t>
  </si>
  <si>
    <t>HG4515.13 -- .A23 2004eb</t>
  </si>
  <si>
    <t>Industries -- Social aspects.; Investments -- Moral and ethical aspects.; Investments -- Social aspects.; Social justice.; Social responsibility of business.</t>
  </si>
  <si>
    <t>http://public.eblib.com/choice/PublicFullRecord.aspx?p=256398</t>
  </si>
  <si>
    <t>Heal the Ocean : Solutions for Saving Our Seas</t>
  </si>
  <si>
    <t>Fujita, Rod</t>
  </si>
  <si>
    <t>Environmental Studies; Science; Economics; Science: Biology/Natural History</t>
  </si>
  <si>
    <t>QH541.5.S3 -- F88 2003eb</t>
  </si>
  <si>
    <t>333.916416; 363.7394</t>
  </si>
  <si>
    <t>Electronic books. -- local; Marine pollution.; Marine resources conservation.</t>
  </si>
  <si>
    <t>http://public.eblib.com/choice/PublicFullRecord.aspx?p=256399</t>
  </si>
  <si>
    <t>The Healing Heart for Communities : Storytelling for Strong and Healthy Communities</t>
  </si>
  <si>
    <t>Families</t>
  </si>
  <si>
    <t>Cox, Allison M.; Albert, David H.; McDonald, Margaret Read</t>
  </si>
  <si>
    <t>Social Science; Literature</t>
  </si>
  <si>
    <t>GR72.3 -- H42 2003eb</t>
  </si>
  <si>
    <t>808.5/43</t>
  </si>
  <si>
    <t>Electronic books. -- local; Socialization.; Storytelling -- Social aspects.; Storytelling.; Tales.</t>
  </si>
  <si>
    <t>http://public.eblib.com/choice/PublicFullRecord.aspx?p=256400</t>
  </si>
  <si>
    <t>The Healing Heart for Families : Storytelling to Encourage Caring and Healthy Families</t>
  </si>
  <si>
    <t>Cox, Allison M.; Albert, David H.; Mellon, Nancy</t>
  </si>
  <si>
    <t>GR72.3 -- H422 2003eb</t>
  </si>
  <si>
    <t>Electronic books. -- local; Narrative therapy.; Storytelling.; Tales.; ThÃ©rapie narrative.</t>
  </si>
  <si>
    <t>http://public.eblib.com/choice/PublicFullRecord.aspx?p=256401</t>
  </si>
  <si>
    <t>The Home Energy Diet : How to Save Money by Making Your House Energy-Smart</t>
  </si>
  <si>
    <t>Mother Earth News Wiser Living Series</t>
  </si>
  <si>
    <t>Scheckel, Paul</t>
  </si>
  <si>
    <t>Engineering: Construction; Engineering; Home Economics; Engineering: Mechanical</t>
  </si>
  <si>
    <t>TJ163.5.D86 -- S44 2005eb</t>
  </si>
  <si>
    <t>644; 696</t>
  </si>
  <si>
    <t>Consumer education -- Handbooks, manuals, etc.; Dwellings -- Energy conservation.; Electronic books. -- local</t>
  </si>
  <si>
    <t>http://public.eblib.com/choice/PublicFullRecord.aspx?p=256402</t>
  </si>
  <si>
    <t>Homes That Heal (and those that don't) : How Your Home Could be Harming Your Family's Health</t>
  </si>
  <si>
    <t>Thompson, Athena</t>
  </si>
  <si>
    <t>Health; Social Science</t>
  </si>
  <si>
    <t>RA770.5 -- T48 2004eb</t>
  </si>
  <si>
    <t>Electronic books. -- local; Environmentally induced diseases -- Prevention.; Housing and health.; Indoor air pollution.</t>
  </si>
  <si>
    <t>http://public.eblib.com/choice/PublicFullRecord.aspx?p=256403</t>
  </si>
  <si>
    <t>It's a Sprawl World After All : The Human Cost of Unplanned Growth -- and Visions of a Better Future</t>
  </si>
  <si>
    <t>Morris, Douglas E.</t>
  </si>
  <si>
    <t>HT352.U6 -- M67 2005eb</t>
  </si>
  <si>
    <t>Cities and towns -- Growth -- Social aspects -- United States.; City and town life.; Community development, Urban -- United States.; Suburbs -- United States.</t>
  </si>
  <si>
    <t>http://public.eblib.com/choice/PublicFullRecord.aspx?p=256404</t>
  </si>
  <si>
    <t>More Straw Bale Building : A Complete Guide to Designing and Building with Straw</t>
  </si>
  <si>
    <t>Magwood, Chris; Mack, Peter</t>
  </si>
  <si>
    <t>Engineering: Construction; Engineering</t>
  </si>
  <si>
    <t>TH4818.S77 -- M32 2005eb</t>
  </si>
  <si>
    <t>693/.997</t>
  </si>
  <si>
    <t>Dwellings.; Electronic books. -- local; Straw bale houses -- Design and construction.</t>
  </si>
  <si>
    <t>http://public.eblib.com/choice/PublicFullRecord.aspx?p=256405</t>
  </si>
  <si>
    <t>The Natural Child : Parenting from the Heart</t>
  </si>
  <si>
    <t>Hunt, Jan; O'Mara, Peggy</t>
  </si>
  <si>
    <t>HQ769 -- .H86 2001eb</t>
  </si>
  <si>
    <t>Child rearing.; Electronic books. -- local; Parent and child.</t>
  </si>
  <si>
    <t>http://public.eblib.com/choice/PublicFullRecord.aspx?p=256406</t>
  </si>
  <si>
    <t>The Natural Plaster Book : Earth, Lime, and Gypsum Plasters for Natural Homes</t>
  </si>
  <si>
    <t>Guelberth, Cedar Rose; Chiras, Dan; Bednar, Deanne</t>
  </si>
  <si>
    <t>TH8135 -- .G83 2003eb</t>
  </si>
  <si>
    <t>693/.6</t>
  </si>
  <si>
    <t>Building materials -- Environmental aspects.; Electronic books. -- local; Plaster.; Plastering.</t>
  </si>
  <si>
    <t>http://public.eblib.com/choice/PublicFullRecord.aspx?p=256407</t>
  </si>
  <si>
    <t>The Natural Step Story : Seeding a Quiet Revolution</t>
  </si>
  <si>
    <t>RobÃ¨rt, Karl-Henrik</t>
  </si>
  <si>
    <t>HD30.255 -- R62 2002eb</t>
  </si>
  <si>
    <t>Electronic books. -- local; Management -- Environmental aspects.; Sustainable development.</t>
  </si>
  <si>
    <t>http://public.eblib.com/choice/PublicFullRecord.aspx?p=256408</t>
  </si>
  <si>
    <t>The Next Sustainability Wave : Building Boardroom Buy-in</t>
  </si>
  <si>
    <t>Willard, Bob; Lovins, Hunter</t>
  </si>
  <si>
    <t>HD30.255 -- .W545 2005eb</t>
  </si>
  <si>
    <t>658.4/083; 658.4083</t>
  </si>
  <si>
    <t>Business enterprises -- Environmental aspects.; Industrial management -- Environmental aspects.; Social responsibility of business.; Sustainable development.</t>
  </si>
  <si>
    <t>http://public.eblib.com/choice/PublicFullRecord.aspx?p=256409</t>
  </si>
  <si>
    <t>Off The Map : An Expedition Deep into Empire and the Global Economy</t>
  </si>
  <si>
    <t>Glendinning, Chellis</t>
  </si>
  <si>
    <t>Economics; Business/Management</t>
  </si>
  <si>
    <t>HF1414 -- .G553 2002eb</t>
  </si>
  <si>
    <t>338.6/048</t>
  </si>
  <si>
    <t>Competition, International -- Psychological aspects.; Imperialism -- Psychological aspects.; Radical economics.</t>
  </si>
  <si>
    <t>http://public.eblib.com/choice/PublicFullRecord.aspx?p=256410</t>
  </si>
  <si>
    <t>The Party's Over : Oil, War and the Fate of Industrial Societies</t>
  </si>
  <si>
    <t>Heinberg, Richard</t>
  </si>
  <si>
    <t>Economics; Business/Management; Environmental Studies</t>
  </si>
  <si>
    <t>HD9560.6 -- .H44 2003eb</t>
  </si>
  <si>
    <t>333.8/232</t>
  </si>
  <si>
    <t>Electronic books. -- local; Petroleum industry and trade -- Political aspects.; Petroleum reserves -- Political aspects.; Renewable energy sources.</t>
  </si>
  <si>
    <t>http://public.eblib.com/choice/PublicFullRecord.aspx?p=256411</t>
  </si>
  <si>
    <t>Petrodollar Warfare : Oil, Iraq and the Future of the Dollar</t>
  </si>
  <si>
    <t>Clark, William R.</t>
  </si>
  <si>
    <t>HD9560.6 -- .C56 2005eb</t>
  </si>
  <si>
    <t>338.2/3282</t>
  </si>
  <si>
    <t>International finance.; Iraq War, 2003-2011 -- Causes.; Petroleum industry and trade -- Political aspects.; Petroleum products -- Prices.; Petroleum resources.; United States -- Foreign relations -- 1989-</t>
  </si>
  <si>
    <t>http://public.eblib.com/choice/PublicFullRecord.aspx?p=256412</t>
  </si>
  <si>
    <t>Powerdown : Options and Actions for a Post-Carbon World</t>
  </si>
  <si>
    <t>Environmental Studies; Economics; Business/Management</t>
  </si>
  <si>
    <t>HC79.E5 -- H443 2004eb</t>
  </si>
  <si>
    <t>333.79; 333.79/16</t>
  </si>
  <si>
    <t>Conservation of natural resources -- Developed countries.; Energy conservation -- Developed countries.; Energy policy -- Developed countries.; Overpopulation.; Petroleum industry and trade -- Forecasting.; Renewable energy sources.; Sustainable development -- Developed countries.</t>
  </si>
  <si>
    <t>http://public.eblib.com/choice/PublicFullRecord.aspx?p=256413</t>
  </si>
  <si>
    <t>Radical Simplicity : Small Footprints on a Finite Earth</t>
  </si>
  <si>
    <t>Merkel, Jim</t>
  </si>
  <si>
    <t>Social Science; Economics; Environmental Studies</t>
  </si>
  <si>
    <t>GF75 -- .M47 2003eb</t>
  </si>
  <si>
    <t>304.2; 333.7</t>
  </si>
  <si>
    <t>Electronic books. -- local; Human ecology.; Lifestyles.; Nature -- Effect of human beings on.; Simplicity.; Sustainable development.</t>
  </si>
  <si>
    <t>http://public.eblib.com/choice/PublicFullRecord.aspx?p=256414</t>
  </si>
  <si>
    <t>Rural Renaissance : Renewing the Quest for the Good Life</t>
  </si>
  <si>
    <t>Ivanko, John D.; Kivirist, Lisa; McKibben, Bill</t>
  </si>
  <si>
    <t>S521.5.W47 -- I927 2004eb</t>
  </si>
  <si>
    <t>630/.9775/7</t>
  </si>
  <si>
    <t>Country life -- Wisconsin.; Electronic books. -- local; Farm life -- Wisconsin.; Ivanko, John D. -- (John Duane), -- 1966-; Kivirist, Lisa.</t>
  </si>
  <si>
    <t>http://public.eblib.com/choice/PublicFullRecord.aspx?p=256415</t>
  </si>
  <si>
    <t>Superbia! : 31 Ways to Create Sustainable Neighborhoods</t>
  </si>
  <si>
    <t>Chiras, Dan; Wann, Dave</t>
  </si>
  <si>
    <t>HT352.U6 -- C48 2003eb</t>
  </si>
  <si>
    <t>307.76/0973</t>
  </si>
  <si>
    <t>Community development, Urban -- United States.; DÃ©veloppement communautaire urbain.; DÃ©veloppement durable.; Neighborhoods -- United States.; Quartiers (Urbanisme); Suburbs -- United States.; Sustainable development -- United States.</t>
  </si>
  <si>
    <t>http://public.eblib.com/choice/PublicFullRecord.aspx?p=256416</t>
  </si>
  <si>
    <t>The Sustainability Revolution : Portrait of a Paradigm Shift</t>
  </si>
  <si>
    <t>Edwards, Andres R.; Orr, David W.</t>
  </si>
  <si>
    <t>HC79.E5 -- E327 2005eb</t>
  </si>
  <si>
    <t>338.9/27</t>
  </si>
  <si>
    <t>Electronic books. -- local; Environmental policy.; Human ecology.; Social change -- Environmental aspects.; Social evolution.; Sustainable development.</t>
  </si>
  <si>
    <t>http://public.eblib.com/choice/PublicFullRecord.aspx?p=256417</t>
  </si>
  <si>
    <t>Taking a Stand : A Guide to Peace Teams and Accompaniment Projects</t>
  </si>
  <si>
    <t>Boardman, Elizabeth F.</t>
  </si>
  <si>
    <t>Political Science</t>
  </si>
  <si>
    <t>JX1952 -- .B63 2005eb</t>
  </si>
  <si>
    <t>Electronic books. -- local; Pacifism.; Peace movements.</t>
  </si>
  <si>
    <t>http://public.eblib.com/choice/PublicFullRecord.aspx?p=256418</t>
  </si>
  <si>
    <t>Webs of Power : Notes from the Global Uprising</t>
  </si>
  <si>
    <t>Starhawk,</t>
  </si>
  <si>
    <t>Social Science; Political Science</t>
  </si>
  <si>
    <t>JZ1318 -- .S72 2002eb</t>
  </si>
  <si>
    <t>303.48/2; 303.482; 303.61</t>
  </si>
  <si>
    <t>Demonstrations.; Electronic books. -- local; Globalization -- Social aspects.; International economic relations.; Protest movements.</t>
  </si>
  <si>
    <t>http://public.eblib.com/choice/PublicFullRecord.aspx?p=256420</t>
  </si>
  <si>
    <t>¿Catastrofe o nueva sociedad? Modelo mundial Latinoamericano 30 años después</t>
  </si>
  <si>
    <t>International Development Research Centre</t>
  </si>
  <si>
    <t>IDRC</t>
  </si>
  <si>
    <t>Herrera, Amílcar O.; Scolnick, Hugo D.; Chichilinsky, Gabriela</t>
  </si>
  <si>
    <t>HB3730 -- .C286 2004eb</t>
  </si>
  <si>
    <t>338.5/442</t>
  </si>
  <si>
    <t>Economic forecasting -- Mathematical models.; Electronic books. -- local; Social prediction -- Mathematical models.</t>
  </si>
  <si>
    <t>Spanish; Castilian</t>
  </si>
  <si>
    <t>http://public.eblib.com/choice/PublicFullRecord.aspx?p=259178</t>
  </si>
  <si>
    <t>Accountability of the International Monetary Fund</t>
  </si>
  <si>
    <t>Carin, Barry; Wood, Angela</t>
  </si>
  <si>
    <t>HG3881.5.I58 -- A333 2005eb</t>
  </si>
  <si>
    <t>332.1/52/091724</t>
  </si>
  <si>
    <t>International agencies -- Decision making.; International Monetary Fund -- Developing countries.; International Monetary Fund -- Management.</t>
  </si>
  <si>
    <t>http://public.eblib.com/choice/PublicFullRecord.aspx?p=259179</t>
  </si>
  <si>
    <t>Agents of Change : Studies on the Policy Environment for Small Enterprise in Africa</t>
  </si>
  <si>
    <t>English, P.; Hénault, G.</t>
  </si>
  <si>
    <t>HD2346.A35 -- A44 1995eb</t>
  </si>
  <si>
    <t>Electronic books. -- local; Small business -- Government policy -- Africa.; Small business -- Taxation -- Africa.</t>
  </si>
  <si>
    <t>http://public.eblib.com/choice/PublicFullRecord.aspx?p=259180</t>
  </si>
  <si>
    <t>Agua : Manejo a nivel local</t>
  </si>
  <si>
    <t>Colleción en_foco</t>
  </si>
  <si>
    <t>Brooks, David B.</t>
  </si>
  <si>
    <t>Environmental Studies; Agriculture; Business/Management; Economics</t>
  </si>
  <si>
    <t>HD1691 -- .B7618 2004eb</t>
  </si>
  <si>
    <t>Electronic books. -- local; Water quality management.; Water resources development -- Research.; Water resources development.; Water-supply -- Management.</t>
  </si>
  <si>
    <t>http://public.eblib.com/choice/PublicFullRecord.aspx?p=259182</t>
  </si>
  <si>
    <t>At the Crossroads : ICT Policy Making in East Africa</t>
  </si>
  <si>
    <t>Etta, Florence; Elder, Laurent</t>
  </si>
  <si>
    <t>HD87 -- .A8 2005eb</t>
  </si>
  <si>
    <t>Africa -- History.; Economic policy.; Electronic books. -- local</t>
  </si>
  <si>
    <t>http://public.eblib.com/choice/PublicFullRecord.aspx?p=259183</t>
  </si>
  <si>
    <t>Cultivando mejores ciudades : agricultura urbana para el desarrollo sostenible</t>
  </si>
  <si>
    <t>Mougeot, Luc J.A.</t>
  </si>
  <si>
    <t>Agriculture; Business/Management; Economics</t>
  </si>
  <si>
    <t>S494.5 U72 -- M6818 2006eb</t>
  </si>
  <si>
    <t>338.1/09172/4091732</t>
  </si>
  <si>
    <t>Electronic books. -- local; Sustainable development -- Developing countries.; Urban agriculture -- Developing countries.</t>
  </si>
  <si>
    <t>http://public.eblib.com/choice/PublicFullRecord.aspx?p=259184</t>
  </si>
  <si>
    <t>Ensayos toxicológicos y métodos de evaluación de calidad de aguase : Standarización, intercalibración, resultados y aplicaciones</t>
  </si>
  <si>
    <t>Castillo, Gabriela</t>
  </si>
  <si>
    <t>Environmental Studies; Science; Science: Biology/Natural History</t>
  </si>
  <si>
    <t>QH90.57.B5 -- E573 2004eb</t>
  </si>
  <si>
    <t>Electronic books. -- local; Water -- Analysis.; Water -- Pollution -- Toxicology -- Latin America.; Water quality -- Latin America.; Water quality biological assessment.; Water-supply -- Latin America.</t>
  </si>
  <si>
    <t>http://public.eblib.com/choice/PublicFullRecord.aspx?p=259186</t>
  </si>
  <si>
    <t>Entre el perdón y el paredón : Preguntas y dilemas de la justicia transicional</t>
  </si>
  <si>
    <t>Rettberg, Angelika</t>
  </si>
  <si>
    <t>Law</t>
  </si>
  <si>
    <t>K5250 -- .E58 2005eb</t>
  </si>
  <si>
    <t>Conflict management -- Colombia.; Crimes against humanity.; Electronic books. -- local; Political crimes and offenses -- Colombia.; Restorative justice -- Colombia.; Truth commissions -- Colombia.</t>
  </si>
  <si>
    <t>http://public.eblib.com/choice/PublicFullRecord.aspx?p=259187</t>
  </si>
  <si>
    <t>Environmental Regulation and Food Safety : Studies of Protection and Protectionism</t>
  </si>
  <si>
    <t>Jha, Veena</t>
  </si>
  <si>
    <t>HF1379 -- .E56 2005eb</t>
  </si>
  <si>
    <t>382/.456413</t>
  </si>
  <si>
    <t>Electronic books. -- local; Food -- Safety measures.; Foreign trade regulation.; International trade -- Environmental aspects.</t>
  </si>
  <si>
    <t>http://public.eblib.com/choice/PublicFullRecord.aspx?p=259188</t>
  </si>
  <si>
    <t>Finance and Competitiveness in Developing Countries</t>
  </si>
  <si>
    <t>Fanelli, José M.; Medhora, Rohinton</t>
  </si>
  <si>
    <t>HG195 -- .F56 2002eb</t>
  </si>
  <si>
    <t>332/.09172/4</t>
  </si>
  <si>
    <t>Competition -- Developing countries.; Developing countries -- Commerce -- Case studies.; Developing countries -- Commerce.; Electronic books. -- local; Finance -- Developing countries -- Case studies.; Finance -- Developing countries.</t>
  </si>
  <si>
    <t>http://public.eblib.com/choice/PublicFullRecord.aspx?p=259189</t>
  </si>
  <si>
    <t>Fishery Co-Management : A Practical Handbook</t>
  </si>
  <si>
    <t>Pomeroy, R.S.; Rivera-Guieb, R.</t>
  </si>
  <si>
    <t>Agriculture; Economics; Environmental Studies</t>
  </si>
  <si>
    <t>SH329.C6 -- P66 2005eb</t>
  </si>
  <si>
    <t>333.95/6</t>
  </si>
  <si>
    <t>Electronic books. -- local; Fishery co-management -- Handbooks, manuals, etc.; Fishery management.</t>
  </si>
  <si>
    <t>http://public.eblib.com/choice/PublicFullRecord.aspx?p=259190</t>
  </si>
  <si>
    <t>Funding and Implementing Universal Access : Innovation and Experience from Uganda</t>
  </si>
  <si>
    <t>Uganda Communications Commission</t>
  </si>
  <si>
    <t>Social Science; Business/Management</t>
  </si>
  <si>
    <t>HC79.I55 -- F855 2005eb</t>
  </si>
  <si>
    <t>Electronic books. -- local; Information technology -- Uganda.; Telecommunication -- Law and legislation -- Uganda.</t>
  </si>
  <si>
    <t>http://public.eblib.com/choice/PublicFullRecord.aspx?p=259192</t>
  </si>
  <si>
    <t>Gender Mainstreaming in Poverty Eradication and the Millennium Development Goals : A Handbook for Policy Makers and Stakeholders</t>
  </si>
  <si>
    <t>Kabeer, Naila</t>
  </si>
  <si>
    <t>HQ1240 -- .K32 2003eb</t>
  </si>
  <si>
    <t>305.48/96942/091724</t>
  </si>
  <si>
    <t>Femmes dans le développement.; Femmes pauvres.; Poor women -- Developing countries.; Poverty -- Developing countries.; Sex discrimination against women.; Sexual division of labor.; Women in development.</t>
  </si>
  <si>
    <t>http://public.eblib.com/choice/PublicFullRecord.aspx?p=259193</t>
  </si>
  <si>
    <t>Genes in the Field : On Farm Conservation of Crop Diversity</t>
  </si>
  <si>
    <t>Brush, Stephen B.</t>
  </si>
  <si>
    <t>SB123.3 -- .G47 2000eb</t>
  </si>
  <si>
    <t>631.5/23</t>
  </si>
  <si>
    <t>Crops -- Germplasm resources.; Germplasm resources conservation.; Germplasm resources, Plant.</t>
  </si>
  <si>
    <t>http://public.eblib.com/choice/PublicFullRecord.aspx?p=259194</t>
  </si>
  <si>
    <t>Globalization on Trial : The Human Condition and the Information Civilization</t>
  </si>
  <si>
    <t>Rajaee, Farhang</t>
  </si>
  <si>
    <t>Political Science; Social Science</t>
  </si>
  <si>
    <t>JZ1318 -- .F335 2000eb</t>
  </si>
  <si>
    <t>Globalization.; Information technology -- Social aspects.; International relations.</t>
  </si>
  <si>
    <t>http://public.eblib.com/choice/PublicFullRecord.aspx?p=259195</t>
  </si>
  <si>
    <t>Growing Better Cities : Urban Agriculture for Sustainable Development</t>
  </si>
  <si>
    <t>In Focus Collection</t>
  </si>
  <si>
    <t>Economics; Agriculture; Business/Management</t>
  </si>
  <si>
    <t>S494.5 U72 -- M684 2006eb</t>
  </si>
  <si>
    <t>http://public.eblib.com/choice/PublicFullRecord.aspx?p=259196</t>
  </si>
  <si>
    <t>Health : An Ecosystem Approach</t>
  </si>
  <si>
    <t>Lebel, Jean; International Development Research Centre (Canada)</t>
  </si>
  <si>
    <t>Health; Environmental Studies; Social Science</t>
  </si>
  <si>
    <t>RA565 -- .L42 2003eb</t>
  </si>
  <si>
    <t>Ecological disturbances -- Health aspects.; Electronic books. -- local; Environmental degradation -- Health aspects.; Environmental health -- Citizen participation.; Environmental health -- Research.; Public health -- Citizen participation.</t>
  </si>
  <si>
    <t>http://public.eblib.com/choice/PublicFullRecord.aspx?p=259197</t>
  </si>
  <si>
    <t>Intégration de la dimension genre à la lutte contre la pauvreté et objectifs du millénaire pour le développement : Manuel à l’intention des instances de décision et d’intervention</t>
  </si>
  <si>
    <t>HC79.P6 -- K334 2005eb</t>
  </si>
  <si>
    <t>Electronic books. -- local; Poor women -- Developing countries.; Poverty -- Developing countries.; Sex discrimination against women.; Sexual division of labor.; Women in development.</t>
  </si>
  <si>
    <t>http://public.eblib.com/choice/PublicFullRecord.aspx?p=259198</t>
  </si>
  <si>
    <t>Internet and Society in Latin America and the Caribbean</t>
  </si>
  <si>
    <t>Bonilla, Marcelo; Cliche, Gilles</t>
  </si>
  <si>
    <t>HM851 -- .B65 2004eb</t>
  </si>
  <si>
    <t>Electronic books. -- local; Information society.; Internet -- Social aspects.</t>
  </si>
  <si>
    <t>http://public.eblib.com/choice/PublicFullRecord.aspx?p=259199</t>
  </si>
  <si>
    <t>Knowledge Shared : Participatory Evaluation in Development Cooperation</t>
  </si>
  <si>
    <t>Jackson, Edward T.; Kassam, Yusuf</t>
  </si>
  <si>
    <t>H62 -- .K627 1998eb</t>
  </si>
  <si>
    <t>300/.72</t>
  </si>
  <si>
    <t>Electronic books. -- local; Evaluation research (Social action programs); Rural development -- Evaluation.</t>
  </si>
  <si>
    <t>http://public.eblib.com/choice/PublicFullRecord.aspx?p=259200</t>
  </si>
  <si>
    <t>La cartographie des incidences : Intégrer l'apprentissage et la réflexion dans les programmes de développement</t>
  </si>
  <si>
    <t>Earl, Sarah; Carden, Fred; Smutylo, Terry</t>
  </si>
  <si>
    <t>HD75.9 -- E7214 2002eb</t>
  </si>
  <si>
    <t>Community development -- Evaluation.; Economic development projects -- Evaluation.; Electronic books. -- local; Evaluation research (Social action programs); International cooperation.; Technical assistance -- Evaluation.</t>
  </si>
  <si>
    <t>http://public.eblib.com/choice/PublicFullRecord.aspx?p=259201</t>
  </si>
  <si>
    <t>La gestion de leau selon lIslam</t>
  </si>
  <si>
    <t>Faruqui, Naser I.; Biswas, Asit K.; Bino, Murad J.</t>
  </si>
  <si>
    <t>Economics; Agriculture; Business/Management; Environmental Studies</t>
  </si>
  <si>
    <t>HD1698.7 -- .W3814 2003eb</t>
  </si>
  <si>
    <t>333.91/00956</t>
  </si>
  <si>
    <t>Electronic books. -- local; Water -- Religious aspects -- Islam.; Water conservation -- Africa, North.; Water conservation -- Middle East.; Water-supply -- Africa, North.; Water-supply -- Middle East.</t>
  </si>
  <si>
    <t>http://public.eblib.com/choice/PublicFullRecord.aspx?p=259202</t>
  </si>
  <si>
    <t>La gestion des déchets urbain : des solutions pour lAfrique</t>
  </si>
  <si>
    <t>Onibokun, Adepoju G.</t>
  </si>
  <si>
    <t>Engineering; Environmental Studies; Engineering: Environmental</t>
  </si>
  <si>
    <t>TD790 -- .G47 2001eb</t>
  </si>
  <si>
    <t>363.72; 363.728</t>
  </si>
  <si>
    <t>Electronic books. -- local; Refuse and refuse disposal -- Africa.; Urbanization -- Environmental aspects -- Africa.</t>
  </si>
  <si>
    <t>http://public.eblib.com/choice/PublicFullRecord.aspx?p=259203</t>
  </si>
  <si>
    <t>La mondialisation au banc des accusés : La condition humaine et la civilisation de l’information</t>
  </si>
  <si>
    <t>JZ1318 -- .R2414 2001eb</t>
  </si>
  <si>
    <t>http://public.eblib.com/choice/PublicFullRecord.aspx?p=259204</t>
  </si>
  <si>
    <t>La réforme du système de santé</t>
  </si>
  <si>
    <t>de Savigny, Don; Kasale, Harun; Mbuya, Conrad</t>
  </si>
  <si>
    <t>RA395.T34 -- H4214 2004eb</t>
  </si>
  <si>
    <t>362.1/04257/09678</t>
  </si>
  <si>
    <t>Electronic books. -- local; Health planning -- Developing countries.; Health planning -- Tanzania.; Medical policy -- Tanzania.; Public health administration -- Tanzania.; Rural health -- Tanzania.; Tanzania Essential Health Intervention Project.</t>
  </si>
  <si>
    <t>http://public.eblib.com/choice/PublicFullRecord.aspx?p=259205</t>
  </si>
  <si>
    <t>La responsabilité de protéger : Rapport de la Commission internationale de l’intervention et de la souveraineté des états</t>
  </si>
  <si>
    <t>Commission internationale de l’intervention et de la souveraineté des états</t>
  </si>
  <si>
    <t>JZ6368 -- .I5714 2001eb</t>
  </si>
  <si>
    <t>327.1/7</t>
  </si>
  <si>
    <t>Civil war -- Protection of civilians.; Humanitarian assistance.; International relations.; Intervention (International law); National security.; Sovereignty.; United Nations. -- Security Council.</t>
  </si>
  <si>
    <t>http://public.eblib.com/choice/PublicFullRecord.aspx?p=259206</t>
  </si>
  <si>
    <t>La santé : Une approche écosystémique</t>
  </si>
  <si>
    <t>Collection un_focus</t>
  </si>
  <si>
    <t>Lebel, Jean</t>
  </si>
  <si>
    <t>Health; Social Science; Environmental Studies</t>
  </si>
  <si>
    <t>RA565 -- .L4214 2003eb</t>
  </si>
  <si>
    <t>http://public.eblib.com/choice/PublicFullRecord.aspx?p=259207</t>
  </si>
  <si>
    <t>Le développement face à la pauvreté : Réseau analyse économique et développement</t>
  </si>
  <si>
    <t>Mourji, Fouzi; Decaluwé, Bernard; Plane, Patrick</t>
  </si>
  <si>
    <t>HC79.P6 -- D48 2006eb</t>
  </si>
  <si>
    <t>Economic development -- Congresses.; Electronic books. -- local; Poverty -- Congresses.</t>
  </si>
  <si>
    <t>http://public.eblib.com/choice/PublicFullRecord.aspx?p=259208</t>
  </si>
  <si>
    <t>L'eau : Gérer localement</t>
  </si>
  <si>
    <t>Environmental Studies; Agriculture; Economics; Business/Management</t>
  </si>
  <si>
    <t>HD1691 -- .B7614 2002eb</t>
  </si>
  <si>
    <t>http://public.eblib.com/choice/PublicFullRecord.aspx?p=259209</t>
  </si>
  <si>
    <t>Les enjeux éthiques d'Internet en Afrique de l'Ouest : Vers un modèle éthique d’intégration</t>
  </si>
  <si>
    <t>Brunet, Patrick; Tiemtoré, Oumarou; Vettraino-Soulard, Marie-Claude</t>
  </si>
  <si>
    <t>Computer Science/IT; Library Science</t>
  </si>
  <si>
    <t>TK5105.875.I57 -- B786 2002eb</t>
  </si>
  <si>
    <t>Electronic books. -- local; Information technology -- Moral and ethical aspects -- Africa, French-speaking West.; Internet -- Moral and ethical aspects -- Africa, French-speaking West.; Internet -- Social aspects -- Africa, French-speaking West.</t>
  </si>
  <si>
    <t>http://public.eblib.com/choice/PublicFullRecord.aspx?p=259210</t>
  </si>
  <si>
    <t>Les politiques sociales transnationales : Les nouveaux défis de la mondialisation pour le développement</t>
  </si>
  <si>
    <t>Morales-Gómez, Daniel</t>
  </si>
  <si>
    <t>HC60 -- .M6714 2000eb</t>
  </si>
  <si>
    <t>338.9/009172/4</t>
  </si>
  <si>
    <t>Africa -- Social policy.; Asia -- Social policy.; Developing countries -- Economic conditions.; Developing countries -- Social policy.; Electronic books. -- local; Income distribution -- Developing countries.; Latin America -- Social policy.</t>
  </si>
  <si>
    <t>http://public.eblib.com/choice/PublicFullRecord.aspx?p=259211</t>
  </si>
  <si>
    <t>Les semences du monde : L'amélioration participative des plantes</t>
  </si>
  <si>
    <t>Vernooy, Ronnie</t>
  </si>
  <si>
    <t>SB123 -- .V4714 2003eb</t>
  </si>
  <si>
    <t>631.5/2</t>
  </si>
  <si>
    <t>Agrobiodiversity conservation.; Electronic books. -- local; Field crops -- Breeding.; Plant breeding -- Case studies.; Plant breeding.</t>
  </si>
  <si>
    <t>http://public.eblib.com/choice/PublicFullRecord.aspx?p=259212</t>
  </si>
  <si>
    <t>Mainstreaming Informal Employment and Gender in Poverty Reduction : A Handbook for Policy-makers and Other Stakeholders</t>
  </si>
  <si>
    <t>Chen, Martha Alter; Vanek, Joann; Carr, Marilyn</t>
  </si>
  <si>
    <t>HQ1240.5. D44 -- C54 2004eb</t>
  </si>
  <si>
    <t>331.4/12042</t>
  </si>
  <si>
    <t>Informal sector (Economics) -- Developing countries.; Poor women -- Developing countries.; Sex discrimination in employment -- Developing countries.; Women in development -- Developing countries.</t>
  </si>
  <si>
    <t>http://public.eblib.com/choice/PublicFullRecord.aspx?p=259213</t>
  </si>
  <si>
    <t>Managing Water Demand : Policies, Practices And Lessons from the Middle East And North Africa Forums</t>
  </si>
  <si>
    <t>Baroudy, Ellysar; Lahlou, Abderrafii Abid; Attia, Bayoumi</t>
  </si>
  <si>
    <t>Environmental Studies; Engineering: Environmental; Engineering</t>
  </si>
  <si>
    <t>TD313.5 -- .M36 2005eb</t>
  </si>
  <si>
    <t>Electronic books. -- local; Water conservation -- Africa, North.; Water conservation -- Middle East.; Water use -- Africa, North.; Water use -- Middle East.; Water-supply -- Africa, North.; Water-supply -- Middle East.</t>
  </si>
  <si>
    <t>http://public.eblib.com/choice/PublicFullRecord.aspx?p=259214</t>
  </si>
  <si>
    <t>Más allá de la propiedad intelectual : Los derechos de las comunidades indígenas y locales a los recursos tradicionales</t>
  </si>
  <si>
    <t>Posey, Darrell A.; Dutfield, Graham</t>
  </si>
  <si>
    <t>K1401 -- .P67 1996eb</t>
  </si>
  <si>
    <t>342.08; 342.0872</t>
  </si>
  <si>
    <t>Cultural property -- Protection.; Electronic books. -- local; Ethnobiology.; Indigenous peoples -- Legal status, laws, etc.; Intellectual property.</t>
  </si>
  <si>
    <t>http://public.eblib.com/choice/PublicFullRecord.aspx?p=259215</t>
  </si>
  <si>
    <t>Mondialisation, croissance et marginalisation</t>
  </si>
  <si>
    <t>Bhalla, A.S.</t>
  </si>
  <si>
    <t>HC59.I5 -- G5514 1998eb</t>
  </si>
  <si>
    <t>Developing countries -- Economic conditions.; Electronic books. -- local; International economic relations.; Technological innovations -- Developing countries.</t>
  </si>
  <si>
    <t>http://public.eblib.com/choice/PublicFullRecord.aspx?p=259216</t>
  </si>
  <si>
    <t>Notre continent, notre avenir : Perspectives africaines sur l'ajustement structurel</t>
  </si>
  <si>
    <t>Mkandawire, Thandika; Soludo, Charles C.</t>
  </si>
  <si>
    <t>HC800 -- .M55 1999eb</t>
  </si>
  <si>
    <t>Africa -- Economic conditions -- 1960-; Africa -- Economic policy.; Electronic books. -- local; Structural adjustment (Economic policy) -- Africa.</t>
  </si>
  <si>
    <t>http://public.eblib.com/choice/PublicFullRecord.aspx?p=259217</t>
  </si>
  <si>
    <t>Off Course : Restoring Balance Between Canadian Society and the Environment</t>
  </si>
  <si>
    <t>Taylor, Duncan M.</t>
  </si>
  <si>
    <t>Environmental Studies; Economics</t>
  </si>
  <si>
    <t>GF50 -- .T39 1994eb</t>
  </si>
  <si>
    <t>333.7/2/0971</t>
  </si>
  <si>
    <t>Electronic books. -- local; Environmental policy -- Canada.; Human ecology -- Canada.; Sustainable development -- Canada.; Sustainable forestry -- Canada.</t>
  </si>
  <si>
    <t>http://public.eblib.com/choice/PublicFullRecord.aspx?p=259218</t>
  </si>
  <si>
    <t>Our Continent, Our Future : African Perspectives on Structural Adjustments</t>
  </si>
  <si>
    <t>http://public.eblib.com/choice/PublicFullRecord.aspx?p=259219</t>
  </si>
  <si>
    <t>Participatory Research and Development for Sustainable Agriculture and Natural Resource Management : A Sourcebook Volume 1:Understanding Participatory Research and Development</t>
  </si>
  <si>
    <t>Gonsalves, Julian; Becker, Thomas; Braun, Ann</t>
  </si>
  <si>
    <t>S494.5.S86 -- U64  2005eb</t>
  </si>
  <si>
    <t>Conservation of natural resources -- Management -- Research -- Citizen participation.; Electronic books. -- local; Sustainable agriculture -- Management -- Research -- Citizen participation.</t>
  </si>
  <si>
    <t>http://public.eblib.com/choice/PublicFullRecord.aspx?p=259220</t>
  </si>
  <si>
    <t>Participatory Research and Development for Sustainable Agriculture and Natural Resource Management : A Sourcebook Volume 2:Enabling Participatory Research and Development</t>
  </si>
  <si>
    <t>S494.5.S86 -- E63 2005eb</t>
  </si>
  <si>
    <t>http://public.eblib.com/choice/PublicFullRecord.aspx?p=259221</t>
  </si>
  <si>
    <t>Participatory Research and Development for Sustainable Agriculture and Natural Resource Management : A Sourcebook Volume 3:Doing Participatory Research and Development</t>
  </si>
  <si>
    <t>S494.5.S86 -- D65 2005eb</t>
  </si>
  <si>
    <t>http://public.eblib.com/choice/PublicFullRecord.aspx?p=259222</t>
  </si>
  <si>
    <t>Patronage or Partnership : Local Capacity Building in Humanitarian Crises</t>
  </si>
  <si>
    <t>Smillie, Ian</t>
  </si>
  <si>
    <t>HV553 -- .P37 2001eb</t>
  </si>
  <si>
    <t>363.34/988/097124</t>
  </si>
  <si>
    <t>Crisis management -- Developing countries.; Electronic books. -- local; Emergency management -- Developing countries.; Humanitarian assistance -- Developing countries.; International relief -- Developing countries.</t>
  </si>
  <si>
    <t>http://public.eblib.com/choice/PublicFullRecord.aspx?p=259223</t>
  </si>
  <si>
    <t>Petites enterprises en Afrique : Clés du changement</t>
  </si>
  <si>
    <t>English, Philip; Hénault, Georges</t>
  </si>
  <si>
    <t>HD2346.A258 -- P489 1996eb</t>
  </si>
  <si>
    <t>338.6/42/096</t>
  </si>
  <si>
    <t>Africa -- Economic policy -- Congresses.; Electronic books. -- local; Small business -- Government policy -- Africa -- Congresses.; Small business -- Taxation -- Africa -- Congresses.</t>
  </si>
  <si>
    <t>http://public.eblib.com/choice/PublicFullRecord.aspx?p=259224</t>
  </si>
  <si>
    <t>Preserving the Dnipro River : Harmony, History and Rehabilitation</t>
  </si>
  <si>
    <t>Shevchuk, V.Y.; Bilyavsky, G.O.; Navrotsky, V.M.; Navrotsky, V.N. ; Mazurkevich, O.O.</t>
  </si>
  <si>
    <t>Economics; Environmental Studies; Science; Science: Biology/Natural History</t>
  </si>
  <si>
    <t>QH77.U5 -- P72 2005eb</t>
  </si>
  <si>
    <t>333.91/62153/09477</t>
  </si>
  <si>
    <t>Dnieper River Region -- History.; Electronic books. -- local; Environmental degradation -- Dnieper River Region.; Stream restoration -- Dnieper River.; Sustainable development -- Dnieper River Region.; Water quality management -- Dnieper River.</t>
  </si>
  <si>
    <t>http://public.eblib.com/choice/PublicFullRecord.aspx?p=259225</t>
  </si>
  <si>
    <t>Protegiendo la biodiversidad : Leyes nacionales que regulan el acceso à los recursos genéticos en el continente Americano</t>
  </si>
  <si>
    <t>Bass, Susan Perkoff; Muller, Manuel Ruiz</t>
  </si>
  <si>
    <t>Law; Science; Science: Biology/Natural History</t>
  </si>
  <si>
    <t>QH75 -- .P7618 2001eb</t>
  </si>
  <si>
    <t>Biodiversity conservation.; Electronic books. -- local; Nature conservation.</t>
  </si>
  <si>
    <t>http://public.eblib.com/choice/PublicFullRecord.aspx?p=259226</t>
  </si>
  <si>
    <t>Salud : Un enfoque ecosistémico</t>
  </si>
  <si>
    <t>Environmental Studies; Health; Social Science</t>
  </si>
  <si>
    <t>RA393 -- .L42 2005eb</t>
  </si>
  <si>
    <t>Ecology.; Electronic books. -- local; Medical policy.</t>
  </si>
  <si>
    <t>http://public.eblib.com/choice/PublicFullRecord.aspx?p=259227</t>
  </si>
  <si>
    <t>Season of Hope : Economic Reform Under Mandela and Mbeki</t>
  </si>
  <si>
    <t>Hirsch, Alan</t>
  </si>
  <si>
    <t>HC905 -- .H57 2005eb</t>
  </si>
  <si>
    <t>330.968/065; 338.968</t>
  </si>
  <si>
    <t>African National Congress.; Economic history.; Electronic books. -- local; South Africa -- Economic conditions -- 1991-; South Africa -- Economic policy.</t>
  </si>
  <si>
    <t>http://public.eblib.com/choice/PublicFullRecord.aspx?p=259228</t>
  </si>
  <si>
    <t>Seeds That Give : Participatory Plant Breeding</t>
  </si>
  <si>
    <t>In Focus Collectoin</t>
  </si>
  <si>
    <t>Vernooy, Ronnie; International Development Research Centre (Canada)</t>
  </si>
  <si>
    <t>SB123 -- .V47 2003eb</t>
  </si>
  <si>
    <t>http://public.eblib.com/choice/PublicFullRecord.aspx?p=259229</t>
  </si>
  <si>
    <t>Semillas generosas : Mejoramiento participativo de plantas</t>
  </si>
  <si>
    <t>http://public.eblib.com/choice/PublicFullRecord.aspx?p=259230</t>
  </si>
  <si>
    <t>Social and Gender Analysis in Natural Resource Management : Learning Studies and Lessons from Asia</t>
  </si>
  <si>
    <t>Environmental Studies; Business/Management; Economics</t>
  </si>
  <si>
    <t>HC412.5 -- .S63 2006eb</t>
  </si>
  <si>
    <t>Electronic books. -- local; Natural resources -- Management -- Research.; Rural development -- Asia -- Case studies.; Women in development -- Asia -- Case studies.</t>
  </si>
  <si>
    <t>http://public.eblib.com/choice/PublicFullRecord.aspx?p=259231</t>
  </si>
  <si>
    <t>Technologies de l'information et de la communication pour le développement en Afrique, Volume 3 : La mise en réseau d’institutions d’apprentissage -- SchoolNet</t>
  </si>
  <si>
    <t>James, Tina</t>
  </si>
  <si>
    <t>HC805.I55 -- M57 2005eb</t>
  </si>
  <si>
    <t>Electronic books. -- local; Information technology -- Africa.; Technology -- Computer programs -- Africa.</t>
  </si>
  <si>
    <t>http://public.eblib.com/choice/PublicFullRecord.aspx?p=259232</t>
  </si>
  <si>
    <t>Telecentres, Access and Development : Experience and Lessons from Uganda and South Africa</t>
  </si>
  <si>
    <t>Parkinson, Sarah</t>
  </si>
  <si>
    <t>HE7645 -- .P37 2005eb</t>
  </si>
  <si>
    <t>Digital divide -- South Africa.; Digital divide -- Uganda.; Electronic books. -- local; Telecommunication -- South Africa.; Telecommunication -- Uganda.; Telecommunication policy -- Africa.</t>
  </si>
  <si>
    <t>http://public.eblib.com/choice/PublicFullRecord.aspx?p=259233</t>
  </si>
  <si>
    <t>Lab, the Temple, and the Market : Reflections at the Intersection of Science, Religion, and Development</t>
  </si>
  <si>
    <t>Harper, Sharon M.P.</t>
  </si>
  <si>
    <t>HD75 -- L325 2000eb</t>
  </si>
  <si>
    <t>Economic development -- Religious aspects.; Electronic books. -- local; Religion and science.; Technology -- Religious aspects.</t>
  </si>
  <si>
    <t>http://public.eblib.com/choice/PublicFullRecord.aspx?p=259234</t>
  </si>
  <si>
    <t>Responsibility to Protect : The Report of the International Commission on Intervention and State Sovereignty</t>
  </si>
  <si>
    <t>International Commission on Intervention and State Sovereignty</t>
  </si>
  <si>
    <t>Law; Political Science</t>
  </si>
  <si>
    <t>KZ6369 -- .I58 2001eb</t>
  </si>
  <si>
    <t>327.17; 341.584</t>
  </si>
  <si>
    <t>Humanitarian intervention.; Pacific settlement of international disputes.; Sovereignty.; United Nations. -- Security Council.</t>
  </si>
  <si>
    <t>http://public.eblib.com/choice/PublicFullRecord.aspx?p=259235</t>
  </si>
  <si>
    <t>TICs en las PYMEs de Centroamérica : Impacto de la adopción de las tecnologías de la información y la comunicación</t>
  </si>
  <si>
    <t>Monge-González, Ricardo; Alfaro-Azofeifa, Cindy; Alfaro-Chamberlain, José I.</t>
  </si>
  <si>
    <t>Business/Management; Social Science; Economics</t>
  </si>
  <si>
    <t>P90 -- .M66 2005eb</t>
  </si>
  <si>
    <t>Communication.; Electronic books. -- local; Technology.</t>
  </si>
  <si>
    <t>http://public.eblib.com/choice/PublicFullRecord.aspx?p=259236</t>
  </si>
  <si>
    <t>Traditional Ecological Knowledge : Concepts and Cases</t>
  </si>
  <si>
    <t>Inglis, Julian T.</t>
  </si>
  <si>
    <t>Science; Science: Biology/Natural History</t>
  </si>
  <si>
    <t>QH541 -- .T68 1993eb</t>
  </si>
  <si>
    <t>Conservation of natural resources.; Economic development -- Environmental aspects.; Electronic books. -- local; Environmental policy.; Indigenous peoples.; Sustainable development.; Traditional ecological knowledge.</t>
  </si>
  <si>
    <t>http://public.eblib.com/choice/PublicFullRecord.aspx?p=259237</t>
  </si>
  <si>
    <t>Transnational Social Policies : The New Development Challenges of Globalization</t>
  </si>
  <si>
    <t>HN17.5 -- .T72 1999eb</t>
  </si>
  <si>
    <t>338.9/009172/4; 361.61</t>
  </si>
  <si>
    <t>International economic integration -- Social aspects.; International economic relations -- Social aspects.; Social planning.; Social policy -- International cooperation.; Social policy.</t>
  </si>
  <si>
    <t>http://public.eblib.com/choice/PublicFullRecord.aspx?p=259238</t>
  </si>
  <si>
    <t>Water : Local-Level Management</t>
  </si>
  <si>
    <t>Brooks, David B.; International Development Research Centre Staff</t>
  </si>
  <si>
    <t>Environmental Studies; Business/Management; Agriculture; Economics</t>
  </si>
  <si>
    <t>HD1691 -- .B667 2002eb</t>
  </si>
  <si>
    <t>Eau -- Approvisionnement -- Gestion.; Eau -- Qualité -- Gestion.; Ressources en eau -- Exploitation.; Water quality management.; Water resources development -- Research.; Water resources development.; Water-supply -- Management.</t>
  </si>
  <si>
    <t>http://public.eblib.com/choice/PublicFullRecord.aspx?p=259239</t>
  </si>
  <si>
    <t>Coastal Resource Management in the Wider Caribbean : Resilience, Adaptation, and Community Diversity</t>
  </si>
  <si>
    <t>Breton, Yvan; Brown, David; Davy, Brian</t>
  </si>
  <si>
    <t>HT395.C27 -- C63 2006eb</t>
  </si>
  <si>
    <t>309.2; 309.26; 309.26096711</t>
  </si>
  <si>
    <t>Coastal zone management -- Caribbean Area -- Citizen participation.; Coastal zone management -- Caribbean Area.; Electronic books. -- local</t>
  </si>
  <si>
    <t>http://public.eblib.com/choice/PublicFullRecord.aspx?p=265594</t>
  </si>
  <si>
    <t>Indonesia's Fires and Haze : The Cost of Catastrophe</t>
  </si>
  <si>
    <t>Glover, David; Jessup, Timothy</t>
  </si>
  <si>
    <t>Agriculture; Social Science</t>
  </si>
  <si>
    <t>SD421.34.I5 -- I54 1999eb</t>
  </si>
  <si>
    <t>363.37/9; 634.961809598; 63496180959</t>
  </si>
  <si>
    <t>Electronic books. -- local; Forest fires -- Asia.; Forest fires -- Environmental aspects -- Asia.; Forest fires -- Environmental aspects -- Indonesia.; Forest fires -- Indonesia.</t>
  </si>
  <si>
    <t>http://public.eblib.com/choice/PublicFullRecord.aspx?p=265595</t>
  </si>
  <si>
    <t>Lugar Preponderante Del Género En La Erradicación De La Pobreza Y Las Metas De Desarrollo Del Milenio</t>
  </si>
  <si>
    <t>HQ1240 -- .K23418 2006eb</t>
  </si>
  <si>
    <t>http://public.eblib.com/choice/PublicFullRecord.aspx?p=265711</t>
  </si>
  <si>
    <t>Missing Links : Gender Equity in Science and Technology for Development</t>
  </si>
  <si>
    <t>Gender Working Group of the United Nations Commission on Science and Technology for Development; McGregor, Betsy</t>
  </si>
  <si>
    <t>HQ1240 -- .M57 1995eb</t>
  </si>
  <si>
    <t>Electronic books. -- local; Science -- Social aspects.; Sustainable development.; Technology -- Sociological aspects.; Women -- Sociological aspects.; Women in development.; Women''s rights.</t>
  </si>
  <si>
    <t>http://public.eblib.com/choice/PublicFullRecord.aspx?p=266306</t>
  </si>
  <si>
    <t>Beyond Intellectual Property : Toward Traditional Resource Rights for Indigenous Peoples and Local Communities</t>
  </si>
  <si>
    <t>K3242 -- .P67 1996eb</t>
  </si>
  <si>
    <t>346.04/8</t>
  </si>
  <si>
    <t>Cultural property -- Protection -- Law and legislation.; Electronic books. -- local; Indigenous peoples -- Legal status, laws, etc.; Intellectual property.</t>
  </si>
  <si>
    <t>http://public.eblib.com/choice/PublicFullRecord.aspx?p=266307</t>
  </si>
  <si>
    <t>Working with Indigenous Knowledge : A Guide for Researchers</t>
  </si>
  <si>
    <t>Grenier, Louise</t>
  </si>
  <si>
    <t>GN476 -- .G74 1998eb</t>
  </si>
  <si>
    <t>Electronic books. -- local; Ethnoscience -- Research.; Indigenous peoples.; Sustainable development.</t>
  </si>
  <si>
    <t>http://public.eblib.com/choice/PublicFullRecord.aspx?p=266308</t>
  </si>
  <si>
    <t>From Workplace to Workspace : Using Email Lists to Work Together</t>
  </si>
  <si>
    <t>James, Maureen; Rykert, Liz</t>
  </si>
  <si>
    <t>Library Science; Business/Management</t>
  </si>
  <si>
    <t>ZA4480 -- .J36 1998eb</t>
  </si>
  <si>
    <t>Electronic books. -- local; Electronic discussion groups.; Mailing lists.; Teams in the workplace.</t>
  </si>
  <si>
    <t>http://public.eblib.com/choice/PublicFullRecord.aspx?p=266309</t>
  </si>
  <si>
    <t>Enhancing Organizational Performance : A Toolbox for Self-assessment</t>
  </si>
  <si>
    <t>Lusthaus, Charles; Adrien, Marie-Hélène; Anderson, Gary; Carden, Mr Fred</t>
  </si>
  <si>
    <t>HD58.9 -- .E543 1999eb</t>
  </si>
  <si>
    <t>658.4/02</t>
  </si>
  <si>
    <t>Electronic books. -- local; Organizational behavior -- Evaluation.; Organizational change.; Organizational effectiveness -- Handbooks, manuals, etc.</t>
  </si>
  <si>
    <t>http://public.eblib.com/choice/PublicFullRecord.aspx?p=266310</t>
  </si>
  <si>
    <t>Reforming Social Policy : Changing Perspectives on Sustainable Human Development</t>
  </si>
  <si>
    <t>Morales-Gómez, Daniel; Tschirgi, Necla; Moher, Jennifer L.</t>
  </si>
  <si>
    <t>HN110.Z4 -- R43 2000eb</t>
  </si>
  <si>
    <t>Canada -- Social policy.; Chile -- Social policy.; Développement durable.; Ghana -- Social policy.; Politique sociale.; Social policy.; Sustainable development.</t>
  </si>
  <si>
    <t>http://public.eblib.com/choice/PublicFullRecord.aspx?p=266311</t>
  </si>
  <si>
    <t>For Hunger-Proof Cities : Sustainable Urban Food Systems</t>
  </si>
  <si>
    <t>Koc, Mustafa; MacRae, Rod; Mougeot, Luc J.A.</t>
  </si>
  <si>
    <t>Social Science; Economics; Business/Management</t>
  </si>
  <si>
    <t>HD9000.5 -- .F6 1999eb</t>
  </si>
  <si>
    <t>338.19; 363.8</t>
  </si>
  <si>
    <t>Electronic books. -- local; Food supply -- Congresses.; Food supply -- Developing countries -- Congresses.; Nutrition policy -- Congresses.; Sustainable agriculture -- Congresses.; Urban health -- Congresses.</t>
  </si>
  <si>
    <t>http://public.eblib.com/choice/PublicFullRecord.aspx?p=266312</t>
  </si>
  <si>
    <t>New World of Knowledge : Canadian Universities and Globalization</t>
  </si>
  <si>
    <t>Bond, Sheryl L.; Lemasson, Jean-Pierre</t>
  </si>
  <si>
    <t>LC1090 -- .N499 1999eb</t>
  </si>
  <si>
    <t>Education, Higher -- Aims and objectives -- Canada.; Electronic books. -- local; International education -- Canada.; Universities and colleges -- Canada -- International cooperation.</t>
  </si>
  <si>
    <t>http://public.eblib.com/choice/PublicFullRecord.aspx?p=266313</t>
  </si>
  <si>
    <t>Cultivating Peace : Conflict and Collaboration in Natural Resource Management</t>
  </si>
  <si>
    <t>International Bank for Reconstruction and Development Staff; Buckles, Daniel</t>
  </si>
  <si>
    <t>HC59.7 -- .C82 1999eb</t>
  </si>
  <si>
    <t>333.7/09172/4</t>
  </si>
  <si>
    <t>Conflict management -- Developing countries -- Congresses.; Conservation of natural resources -- Developing countries -- Congresses.; Electronic books. -- local; Natural resources -- Developing countries -- Management -- Congresses.; Sustainable development -- Developing countries -- Congresses.</t>
  </si>
  <si>
    <t>http://public.eblib.com/choice/PublicFullRecord.aspx?p=266314</t>
  </si>
  <si>
    <t>Protecting Biodiversity : National Laws Regulating Access to Genetic Resources in the Americas</t>
  </si>
  <si>
    <t>Bass, Susan P.; Muller, Manuel Ruiz</t>
  </si>
  <si>
    <t>Economics; Law; Environmental Studies</t>
  </si>
  <si>
    <t>KDZ637 -- .P76 2000eb</t>
  </si>
  <si>
    <t>333.95/16/097</t>
  </si>
  <si>
    <t>Biodiversity conservation -- Law and legislation -- America.; Conservation of natural resources -- Law and legislation -- America.; Environmental law -- America.</t>
  </si>
  <si>
    <t>http://public.eblib.com/choice/PublicFullRecord.aspx?p=266315</t>
  </si>
  <si>
    <t>L'appui au développement communautaire : Une expérience de communication en Afrique rurale de l'ouest</t>
  </si>
  <si>
    <t>Alexandre, Lucie; Bessette, Guy</t>
  </si>
  <si>
    <t>HN49.C6 -- A66 2000eb</t>
  </si>
  <si>
    <t>307.1/412/0966</t>
  </si>
  <si>
    <t>Communication in community development -- Africa, West.; Communication in rural development -- Africa, West.; Community development -- Developing countries.; Electronic books. -- local</t>
  </si>
  <si>
    <t>http://public.eblib.com/choice/PublicFullRecord.aspx?p=266316</t>
  </si>
  <si>
    <t>Taking Care of What We Have : Participatory Natural Resource Management on the Caribbean Coast of Nicaragua</t>
  </si>
  <si>
    <t>Christie, Patrick; Bradford, David; Garth, Ray</t>
  </si>
  <si>
    <t>QH541.5.C65 -- T34 2000eb</t>
  </si>
  <si>
    <t>577.5/1/0972853</t>
  </si>
  <si>
    <t>Atlantic Coast (Nicaragua) -- Environmental aspects.; Coastal ecology -- Nicaragua -- Atlantic Coast.; Conservation of natural resources -- Nicaragua -- Atlantic Coast.; Electronic books. -- local</t>
  </si>
  <si>
    <t>http://public.eblib.com/choice/PublicFullRecord.aspx?p=266317</t>
  </si>
  <si>
    <t>Building Businesses with Small Producers : Successful Business Development Services in Africa, Asia and Latin America</t>
  </si>
  <si>
    <t>Kapila, Sunita; Mead, Donald; International Development Research Centre Staff</t>
  </si>
  <si>
    <t>HD2346.5 -- .B85 2002eb</t>
  </si>
  <si>
    <t>338.6/42/091724</t>
  </si>
  <si>
    <t>Economic development projects -- Developing countries -- Case studies.; Electronic books. -- local; Non-governmental organizations -- Developing countries -- Case studies.; Small business -- Developing countries -- Case studies.</t>
  </si>
  <si>
    <t>http://public.eblib.com/choice/PublicFullRecord.aspx?p=266318</t>
  </si>
  <si>
    <t>Voices for Change : Participatory Monitoring and Evaluation in China</t>
  </si>
  <si>
    <t>Vernooy, Ronnie; Qiu, Sun; Jianchu, Xu</t>
  </si>
  <si>
    <t>Business/Management; Social Science</t>
  </si>
  <si>
    <t>HC430.E44 -- V65 2003eb</t>
  </si>
  <si>
    <t>307.1/412/095134</t>
  </si>
  <si>
    <t>Community development -- China, Southwest.; Évaluation rurale participative -- Chine (Sud-Ouest); Participatory monitoring and evaluation (Project management) -- China, Southwest.; Participatory rural appraisal -- China, Southwest.; Projets de développement rural -- Chine (Sud-Ouest) -- Évaluation.; Rural development projects -- China, Southwest -- Evaluation.; Suivi et évaluation participatifs -- Chine (Sud-Ouest)</t>
  </si>
  <si>
    <t>http://public.eblib.com/choice/PublicFullRecord.aspx?p=266319</t>
  </si>
  <si>
    <t>Ethics and the Internet in West Africa : Toward An Ethical Model Of Integration</t>
  </si>
  <si>
    <t>HM851 -- .B7813 2004eb</t>
  </si>
  <si>
    <t>303.48/33/0966</t>
  </si>
  <si>
    <t>Information society -- Africa, West.; Internet -- Africa, West.; Internet -- Moral and ethical aspects -- Africa, West.</t>
  </si>
  <si>
    <t>http://public.eblib.com/choice/PublicFullRecord.aspx?p=266320</t>
  </si>
  <si>
    <t>Politics of Trade and Industrial Policy in Africa : Forced Consensus?</t>
  </si>
  <si>
    <t>Soludo, Charles; Ogbu, Osita; Chang, Ha-Joon</t>
  </si>
  <si>
    <t>HF1611 -- .P65 2004eb</t>
  </si>
  <si>
    <t>Africa -- Commercial policy.; Electronic books. -- local; Industrial policy -- Africa.</t>
  </si>
  <si>
    <t>http://public.eblib.com/choice/PublicFullRecord.aspx?p=266321</t>
  </si>
  <si>
    <t>Tracking Gender Equity Under Economic Reforms : Continuity and Change in South Asia</t>
  </si>
  <si>
    <t>Mukhopadhyay, Swapna; Sudarshan, Ratna M.; International Development Research Centre (Canada) Staff</t>
  </si>
  <si>
    <t>HQ1240.5.S64 -- T73 2003eb</t>
  </si>
  <si>
    <t>South Asia -- Economic conditions.; Women employees -- South Asia -- Economic conditions.; Women in economic development -- South Asia.</t>
  </si>
  <si>
    <t>http://public.eblib.com/choice/PublicFullRecord.aspx?p=266322</t>
  </si>
  <si>
    <t>Ageing and Long-Term Care : National Policies in the Asia-Pacific</t>
  </si>
  <si>
    <t>Phillips, David R.; Chan, Alfred C.M.; Institute of Southeast Asian Studies Staff</t>
  </si>
  <si>
    <t>HQ1064.A78 -- A425 2002eb</t>
  </si>
  <si>
    <t>Aging -- Government policy -- Asia.; Older people -- Asia.; Older people -- Care -- Asia.; Older people -- Care -- Pacific Area.; Older people -- Government policy -- Pacific Area.; Older people -- Pacific Area.</t>
  </si>
  <si>
    <t>http://public.eblib.com/choice/PublicFullRecord.aspx?p=266323</t>
  </si>
  <si>
    <t>E-Commerce in the Asian Context : Selected Case Studies</t>
  </si>
  <si>
    <t>Lafond, Renald; Sinha, Chaitali</t>
  </si>
  <si>
    <t>HF5548.325.A78 -- E23 2005eb</t>
  </si>
  <si>
    <t>Electronic commerce -- Asia -- Case studies.</t>
  </si>
  <si>
    <t>http://public.eblib.com/choice/PublicFullRecord.aspx?p=266324</t>
  </si>
  <si>
    <t>Involving the Community : A Guide to Participatory Development Communication</t>
  </si>
  <si>
    <t>Bessette, Guy</t>
  </si>
  <si>
    <t>HD76 -- .B47 2004eb</t>
  </si>
  <si>
    <t>Communication in economic development.; Communication in rural development.; Economic development projects -- Citizen participation.; Electronic books. -- local</t>
  </si>
  <si>
    <t>http://public.eblib.com/choice/PublicFullRecord.aspx?p=266325</t>
  </si>
  <si>
    <t>Research for Development in the Dry Arab Region : The Cactus Flower</t>
  </si>
  <si>
    <t>Hamadeh, Shadi; Haider, Mona; Zurayk, Rami</t>
  </si>
  <si>
    <t>HC415.3 -- .H247 2006eb</t>
  </si>
  <si>
    <t>Arabian Peninsula -- Economic conditions -- Research.; Economic history.; Electronic books. -- local</t>
  </si>
  <si>
    <t>http://public.eblib.com/choice/PublicFullRecord.aspx?p=266326</t>
  </si>
  <si>
    <t>African Voices On Structural Adjustment : A Companion to Our Continent, Our Future</t>
  </si>
  <si>
    <t>HC800 -- .A5689 2003eb</t>
  </si>
  <si>
    <t>Africa -- Economic conditions -- 1960-; Africa -- Economic policy.; Africa -- Social conditions -- 1960-; Structural adjustment (Economic policy)</t>
  </si>
  <si>
    <t>http://public.eblib.com/choice/PublicFullRecord.aspx?p=266919</t>
  </si>
  <si>
    <t>Seeding Solutions - Volume 2 : Options for National Laws Governing Access to and Control Over Genetic Resources and Biological Innovations</t>
  </si>
  <si>
    <t>The Crucible II Group</t>
  </si>
  <si>
    <t>K3876 -- C78 2001eb</t>
  </si>
  <si>
    <t>346.04/69534</t>
  </si>
  <si>
    <t>Biodiversity conservation.; Germplasm resources, Plant.; Intellectual property.; Patents.; Plant varieties -- Patents.; Plant varieties -- Protection.; Plants, Cultivated -- Patents.</t>
  </si>
  <si>
    <t>http://public.eblib.com/choice/PublicFullRecord.aspx?p=266920</t>
  </si>
  <si>
    <t>Information and Communication Technologies for Development in Africa - Volume 1 : Opportunities and Challenges for Community Development</t>
  </si>
  <si>
    <t>Thioune, Ramata Molo; Thioune, Rmata Molo; Codesria Staff</t>
  </si>
  <si>
    <t>HC800.Z9 -- I55813 2003eb</t>
  </si>
  <si>
    <t>338.96/02</t>
  </si>
  <si>
    <t>Community development -- Africa.; Information technology -- Africa.; Telecommunication -- Africa.; Telecommuting centers -- Africa.</t>
  </si>
  <si>
    <t>http://public.eblib.com/choice/PublicFullRecord.aspx?p=266921</t>
  </si>
  <si>
    <t>Information and Communication Technologies for Development in Africa - Volume 2 : The Experience with Community Telecentres</t>
  </si>
  <si>
    <t>Etta, Florence; Parvyn-Wamahiu, Sheila; Codesria Staff</t>
  </si>
  <si>
    <t>Community development -- Africa.; Electronic books. -- local; Information technology -- Africa.; Telecommunication -- Africa.; Telecommuting centers -- Africa.</t>
  </si>
  <si>
    <t>http://public.eblib.com/choice/PublicFullRecord.aspx?p=266922</t>
  </si>
  <si>
    <t>Information and Communication Technologies for Development in Africa - Volume 3 : Networking Institutions of Learning -- Schoolnet</t>
  </si>
  <si>
    <t>HC800.Z9 -- I55813 2004eb</t>
  </si>
  <si>
    <t>http://public.eblib.com/choice/PublicFullRecord.aspx?p=266923</t>
  </si>
  <si>
    <t>Agriculture in the City : A Key to Sustainability in Havana, Cuba</t>
  </si>
  <si>
    <t>Cruz, Maria Caridad; Medina, Roberto Sanchez</t>
  </si>
  <si>
    <t>Agriculture; Economics; Business/Management</t>
  </si>
  <si>
    <t>S494.5.U72 -- C78 2003eb</t>
  </si>
  <si>
    <t>338.1/09729/123</t>
  </si>
  <si>
    <t>Sustainable agriculture -- Cuba -- Havana.; Urban agriculture -- Cuba -- Havana.</t>
  </si>
  <si>
    <t>http://public.eblib.com/choice/PublicFullRecord.aspx?p=266925</t>
  </si>
  <si>
    <t>Smoke &amp; Mirrors : The Canadian Tobacco War</t>
  </si>
  <si>
    <t>Cunningham, Rob</t>
  </si>
  <si>
    <t>Business/Management; Health; Social Science</t>
  </si>
  <si>
    <t>HD9144.C36 -- C86 1996eb</t>
  </si>
  <si>
    <t>362.29/6/0971</t>
  </si>
  <si>
    <t>Electronic books. -- local; Smoking -- Canada -- Prevention.; Tobacco industry -- Canada.</t>
  </si>
  <si>
    <t>http://public.eblib.com/choice/PublicFullRecord.aspx?p=266998</t>
  </si>
  <si>
    <t>Canada and Missions for Peace : Lessons from Nicaragua, Cambodia and Somalia</t>
  </si>
  <si>
    <t>Wirick, Gregory; Miller, Robert</t>
  </si>
  <si>
    <t>HC60 -- .C26 1998eb</t>
  </si>
  <si>
    <t>338.91/7101724</t>
  </si>
  <si>
    <t>Canada -- Foreign relations -- 1945-; Economic assistance, Canadian -- Political aspects -- Cambodia.; Economic assistance, Canadian -- Political aspects -- Developing countries.; Economic assistance, Canadian -- Political aspects -- Nicaragua.; Economic assistance, Canadian -- Political aspects -- Somalia.; Peace.; Security, International.</t>
  </si>
  <si>
    <t>http://public.eblib.com/choice/PublicFullRecord.aspx?p=266999</t>
  </si>
  <si>
    <t>Forging Links for Health Research : Perspectives from the Council on Health Research for Development</t>
  </si>
  <si>
    <t>International Development Research Centre Staff; Neufeld, Victor; Johnson, Nancy</t>
  </si>
  <si>
    <t>RA441.5 -- .F67 2001eb</t>
  </si>
  <si>
    <t>362.1/07/201724</t>
  </si>
  <si>
    <t>Medicine -- Research -- Developing countries.; Public health -- Research -- Developing countries.; World health.</t>
  </si>
  <si>
    <t>http://public.eblib.com/choice/PublicFullRecord.aspx?p=267000</t>
  </si>
  <si>
    <t>Outcome Mapping : Building Learning and Reflection into Development Programs</t>
  </si>
  <si>
    <t>HD75.9 -- .E25 2001eb</t>
  </si>
  <si>
    <t>Assistance technique -- Évaluation.; Community development -- Evaluation.; Economic development projects -- Evaluation.; Evaluation research (Social action programs); International cooperation.; Projets de développement économique -- Évaluation.; Technical assistance -- Evaluation.</t>
  </si>
  <si>
    <t>http://public.eblib.com/choice/PublicFullRecord.aspx?p=267001</t>
  </si>
  <si>
    <t>Responsibility to Protect : Research, Bibliography, Background - Supplementary Volume to the Report of the International Commission on Intervention and State Sovereignty</t>
  </si>
  <si>
    <t>Weiss, Thomas G.; Hubert, Don</t>
  </si>
  <si>
    <t>Political Science; General Works/Reference</t>
  </si>
  <si>
    <t>JZ6368 -- .I68 2001eb</t>
  </si>
  <si>
    <t>016.327; 327.1/7</t>
  </si>
  <si>
    <t>Electronic books. -- local; Humanitarian intervention.; Intervention (International law)</t>
  </si>
  <si>
    <t>http://public.eblib.com/choice/PublicFullRecord.aspx?p=267002</t>
  </si>
  <si>
    <t>Aglomeraciones mineras y desarrollo local en America Latina</t>
  </si>
  <si>
    <t>Buitelaar, Rudolf M.</t>
  </si>
  <si>
    <t>HD9506.L252 -- A39 2001eb</t>
  </si>
  <si>
    <t>Mineral industries -- Latin America.; Mineral industries -- Technological innovations -- Latin America.; Sustainable development -- Latin America.</t>
  </si>
  <si>
    <t>http://public.eblib.com/choice/PublicFullRecord.aspx?p=267003</t>
  </si>
  <si>
    <t>In the Way of Development : Indigenous Peoples, Life Projects and Globalization</t>
  </si>
  <si>
    <t>Blaser, Mario; Feit, Harvey A.; McRae, Glenn</t>
  </si>
  <si>
    <t>GN380 -- .I48 2004eb</t>
  </si>
  <si>
    <t>Economic development.; Electronic books. -- local; Human rights.; Indigenous peoples.; Postcolonialism.</t>
  </si>
  <si>
    <t>http://public.eblib.com/choice/PublicFullRecord.aspx?p=267004</t>
  </si>
  <si>
    <t>Managing Natural Resources for Sustainable Livelihoods : Uniting Science and Participation</t>
  </si>
  <si>
    <t>Pound, Barry; Snapp, Sieglinde; McDougall, Cynthia</t>
  </si>
  <si>
    <t>Economics; Environmental Studies; Business/Management</t>
  </si>
  <si>
    <t>HC85 -- .M36 2003eb</t>
  </si>
  <si>
    <t>Environmental policy.; Natural resources -- Management.</t>
  </si>
  <si>
    <t>http://public.eblib.com/choice/PublicFullRecord.aspx?p=267005</t>
  </si>
  <si>
    <t>Land &amp; Development in Latin America : Issues and Openings for Policy Research</t>
  </si>
  <si>
    <t>Baranyi, Stephen; Deere, Carmen Diana; Morales, Manuel</t>
  </si>
  <si>
    <t>HD320.5 -- .B275 2004eb</t>
  </si>
  <si>
    <t>333/.0098</t>
  </si>
  <si>
    <t>Electronic books. -- local; Land reform -- Government policy -- Latin America.; Land reform -- Latin America.; Land tenure -- Government policy -- Latin America.; Land tenure -- Latin America.; Latin America -- Economic conditions -- 1982-</t>
  </si>
  <si>
    <t>http://public.eblib.com/choice/PublicFullRecord.aspx?p=267006</t>
  </si>
  <si>
    <t>Fatal Indifference : The G8, Africa, and Global Health</t>
  </si>
  <si>
    <t>Labonte, Ronald; Schrecker, Ted; Sanders, David; Meeus, Wilma</t>
  </si>
  <si>
    <t>RA441 -- .F38 2004eb</t>
  </si>
  <si>
    <t>Africa -- Economic conditions.; Economic policy -- International cooperation.; Electronic books. -- local; Globalization -- Health aspects.; Group of Eight (Organization); International economic relations.; World health.</t>
  </si>
  <si>
    <t>http://public.eblib.com/choice/PublicFullRecord.aspx?p=267007</t>
  </si>
  <si>
    <t>Municipal Forest Management in Latin America</t>
  </si>
  <si>
    <t>Ferroukhi, Lyès; Ferroukhi, Ly</t>
  </si>
  <si>
    <t>Environmental Studies; Agriculture; Economics</t>
  </si>
  <si>
    <t>SB435.6.L29 -- M864 2003eb</t>
  </si>
  <si>
    <t>333.75/098</t>
  </si>
  <si>
    <t>Community forests -- Latin America -- Management.; Electronic books. -- local; Forest management -- Latin America.</t>
  </si>
  <si>
    <t>http://public.eblib.com/choice/PublicFullRecord.aspx?p=267009</t>
  </si>
  <si>
    <t>Organizational Assessment : A Framework for Improving Performance</t>
  </si>
  <si>
    <t>Charles Lusthaus; Marie-Hélène Adrien; Gary Anderson; Plinio, George ; Carden, Marie Helene ; de Marulanda, Nohra Rey</t>
  </si>
  <si>
    <t>HD58.9 -- .O74 2002eb</t>
  </si>
  <si>
    <t>Electronic books. -- local; Organizational effectiveness -- Evaluation.; Sustainable development -- Developing countries.</t>
  </si>
  <si>
    <t>http://public.eblib.com/choice/PublicFullRecord.aspx?p=267177</t>
  </si>
  <si>
    <t>Designing and Conducting Health Systems Research Projects : Volume I:Proposal Development and Fieldwork</t>
  </si>
  <si>
    <t>Corlien M. Varkevisser; Indra Pathmanathan; Ann Brownlee</t>
  </si>
  <si>
    <t>RA440.85 -- V375 2003eb</t>
  </si>
  <si>
    <t>362.1/0727</t>
  </si>
  <si>
    <t>Electronic books. -- local; Medical care -- Statistical methods.; Medical care surveys -- Study and teaching.; Report writing -- Study and teaching.</t>
  </si>
  <si>
    <t>http://public.eblib.com/choice/PublicFullRecord.aspx?p=267178</t>
  </si>
  <si>
    <t>Evaluating Capacity Development : Experiences from Research and Development Organizations Around the World</t>
  </si>
  <si>
    <t>Douglas Horton; Anastasia Alexaki; Samuel Bennett-Lartey</t>
  </si>
  <si>
    <t>HD58.8 -- .E935 2003eb</t>
  </si>
  <si>
    <t>Electronic books. -- local; Organizational change.; Organizational effectiveness -- Evaluation.; Strategic planning.</t>
  </si>
  <si>
    <t>http://public.eblib.com/choice/PublicFullRecord.aspx?p=267179</t>
  </si>
  <si>
    <t>Poverty and Equity : Measurement, Policy, and Estimation with DAD</t>
  </si>
  <si>
    <t>Duclos, Jean-Yves; Araar, Abdelkrim</t>
  </si>
  <si>
    <t>HC79.P6 -- D83 2006eb</t>
  </si>
  <si>
    <t>339.4/6</t>
  </si>
  <si>
    <t>Electronic books. -- local; Equality.; Poverty.</t>
  </si>
  <si>
    <t>http://public.eblib.com/choice/PublicFullRecord.aspx?p=272145</t>
  </si>
  <si>
    <t>People, Land, and Water : Participatory Development Communication for Natural Resource Management</t>
  </si>
  <si>
    <t>Business/Management; Environmental Studies; Economics</t>
  </si>
  <si>
    <t>HC85 -- .P46 2006eb</t>
  </si>
  <si>
    <t>333.701/4</t>
  </si>
  <si>
    <t>Communication in economic development.; Electronic books. -- local; Natural resources -- Management.</t>
  </si>
  <si>
    <t>http://public.eblib.com/choice/PublicFullRecord.aspx?p=272146</t>
  </si>
  <si>
    <t>Communities, Livelihoods, and Natural Resources : Action Research and Policy Change in Asia</t>
  </si>
  <si>
    <t>Tyler, Stephen R.</t>
  </si>
  <si>
    <t>Economics; Environmental Studies</t>
  </si>
  <si>
    <t>GE190.A75 -- T95 2006eb</t>
  </si>
  <si>
    <t>Electronic books. -- local; Environmental policy -- Asia.; Natural resources -- Asia.</t>
  </si>
  <si>
    <t>http://public.eblib.com/choice/PublicFullRecord.aspx?p=272147</t>
  </si>
  <si>
    <t>Co-management of Natural Resources : Local Learning for Poverty Reduction</t>
  </si>
  <si>
    <t>HD75.6 -- .T94 2006eb</t>
  </si>
  <si>
    <t>Conflict management -- Developing countries -- Case studies.; Conservation of natural resources -- Developing countries -- Case studies.; Electronic books. -- local; Natural resources -- Co-management -- Developing countries -- Case studies.; Rural development -- Developing countries -- Case studies.; Sustainable development -- Developing countries -- Case studies.</t>
  </si>
  <si>
    <t>http://public.eblib.com/choice/PublicFullRecord.aspx?p=278897</t>
  </si>
  <si>
    <t>Comanejo de los recursos naturales : Aprendizaje local para reducir la pobreza</t>
  </si>
  <si>
    <t>HD75.6 -- .T9418 2006eb</t>
  </si>
  <si>
    <t>http://public.eblib.com/choice/PublicFullRecord.aspx?p=278899</t>
  </si>
  <si>
    <t>Manejo De Recursos Costeros En El Gran Caribe : Resiliencia, adaptación y diversidad comunitaria</t>
  </si>
  <si>
    <t>Breton, Yvan; Brown, David; Davy, Brian; Haughton, Milton ; Ovares, Luis</t>
  </si>
  <si>
    <t>Environmental Studies; Social Science; Economics</t>
  </si>
  <si>
    <t>HT395.C27 -- C6318 2006eb</t>
  </si>
  <si>
    <t>Caribbean Area.; Coastal zone management -- Caribbean Area.; Electronic books. -- local</t>
  </si>
  <si>
    <t>http://public.eblib.com/choice/PublicFullRecord.aspx?p=279199</t>
  </si>
  <si>
    <t>At What Cost? : The Economic Impact of Tobacco Use on National Health Systems, Societies, and Individuals</t>
  </si>
  <si>
    <t>Research for International Tobacco Control (RITC)</t>
  </si>
  <si>
    <t>Social Science; Health</t>
  </si>
  <si>
    <t>HV5748 -- .A88 2003eb</t>
  </si>
  <si>
    <t>362.29/62</t>
  </si>
  <si>
    <t>Electronic books. -- local; Smoking -- Economic aspects.; Smoking -- Government policy.; Smoking -- Social aspects.; Tobacco use -- Economic aspects.; Tobacco use -- Government policy.</t>
  </si>
  <si>
    <t>http://public.eblib.com/choice/PublicFullRecord.aspx?p=281095</t>
  </si>
  <si>
    <t>Qualitative Research for Tobacco Control : A How-to Introductory Manual for Researchers and Development Practitioners</t>
  </si>
  <si>
    <t>Mathie, Alison; Carnozzi, Anne</t>
  </si>
  <si>
    <t>HV5748 -- .M37 2005eb</t>
  </si>
  <si>
    <t>362.29/66/072</t>
  </si>
  <si>
    <t>Electronic books. -- local; Qualitative research -- Methodology.; Social sciences -- Methodology.; Tobacco use -- Prevention -- Research.; Tobacco use -- Research.</t>
  </si>
  <si>
    <t>http://public.eblib.com/choice/PublicFullRecord.aspx?p=281096</t>
  </si>
  <si>
    <t>Derechos económicos, sociales y culturales en América Latina : Del invento a la herramienta</t>
  </si>
  <si>
    <t>Yamin, Alicia</t>
  </si>
  <si>
    <t>JC599.L3D47 2006</t>
  </si>
  <si>
    <t>323/.098</t>
  </si>
  <si>
    <t>Civil rights; Human rights.; Social movements; Social rights</t>
  </si>
  <si>
    <t>http://public.eblib.com/choice/PublicFullRecord.aspx?p=281097</t>
  </si>
  <si>
    <t>Food Sovereignty and Uncultivated Biodiversity in South Asia : Essays on the Poverty of Food Policy and the Wealth of the Social Landscape</t>
  </si>
  <si>
    <t>Mazhar, Farhad; Buckles, Daniel; Satheesh, P.V.</t>
  </si>
  <si>
    <t>S494.5.A43 -- F66 2007eb</t>
  </si>
  <si>
    <t>631.5/8</t>
  </si>
  <si>
    <t>Agricultural systems -- South Asia.; Agrobiodiversity -- South Asia.; Electronic books. -- local; Food supply -- South Asia.; Nutrition policy -- South Asia.; Poverty -- South Asia.; Women and the environment -- South Asia.</t>
  </si>
  <si>
    <t>http://public.eblib.com/choice/PublicFullRecord.aspx?p=289463</t>
  </si>
  <si>
    <t>Investigación y desarrollo participativo para la agricultura y el manejo sostenible de recursos naturales, Volume 1 : Comprendiendo investigación y desarrollo participativo</t>
  </si>
  <si>
    <t>S494.5.S86 -- P3718 2006eb</t>
  </si>
  <si>
    <t>http://public.eblib.com/choice/PublicFullRecord.aspx?p=289464</t>
  </si>
  <si>
    <t>Investigación y desarrollo participativo para la agricultura y el manejo sostenible de recursos naturales, Volume 2 : Facilitando investigación y desarrollo participativo</t>
  </si>
  <si>
    <t>http://public.eblib.com/choice/PublicFullRecord.aspx?p=289465</t>
  </si>
  <si>
    <t>Investigación y desarrollo participativo para la agricultura y el manejo sostenible de recursos naturales, Volume 3 : Investigando Investigación y Desarrollo Participativo</t>
  </si>
  <si>
    <t>http://public.eblib.com/choice/PublicFullRecord.aspx?p=289466</t>
  </si>
  <si>
    <t>Media and the Rwanda Genocide</t>
  </si>
  <si>
    <t>Thompson, A.</t>
  </si>
  <si>
    <t>DT450.435 -- .M42 2007eb</t>
  </si>
  <si>
    <t>967.57104/31</t>
  </si>
  <si>
    <t>Genocide -- Rwanda.; Mass media and ethnic relations -- Rwanda.; Rwanda -- History -- Civil War, 1994 -- Mass media and the war.; Rwanda -- History -- Civil War, 1994 -- Propaganda.</t>
  </si>
  <si>
    <t>http://public.eblib.com/choice/PublicFullRecord.aspx?p=289467</t>
  </si>
  <si>
    <t>Pension Strategy for Canadians : The Ultimate Guide to Personal Investing</t>
  </si>
  <si>
    <t>Insomniac Press</t>
  </si>
  <si>
    <t>Insomniac Library</t>
  </si>
  <si>
    <t>Springett, Andrew</t>
  </si>
  <si>
    <t>HG179 -- .S675 2004eb</t>
  </si>
  <si>
    <t>Electronic books. -- local; Investments.; Portfolio management.; Retirement income -- Canada -- Planning.</t>
  </si>
  <si>
    <t>http://public.eblib.com/choice/PublicFullRecord.aspx?p=291057</t>
  </si>
  <si>
    <t>Dreamwork Uncovered : How Dreams can Create Inner Harmony, Peace and Joy</t>
  </si>
  <si>
    <t>Quattrocchi, Marina</t>
  </si>
  <si>
    <t>Psychology</t>
  </si>
  <si>
    <t>BF1091 -- Q388 2005eb</t>
  </si>
  <si>
    <t>Dream interpretation.; Dreams.; Electronic books. -- local</t>
  </si>
  <si>
    <t>http://public.eblib.com/choice/PublicFullRecord.aspx?p=291058</t>
  </si>
  <si>
    <t>Canadian Small Business Owner's Guide to Financial Independence : A Comprehensive Retirement and Succession Planning Guide for Professionals and Small Business Owners</t>
  </si>
  <si>
    <t>McNulty, Barry</t>
  </si>
  <si>
    <t>Business/Management; Fiction</t>
  </si>
  <si>
    <t>HG179 -- .M3667 2006eb</t>
  </si>
  <si>
    <t>Businesspeople -- Canada -- Finance, Personal.; Electronic books. -- local; Retirement income -- Canada -- Planning.</t>
  </si>
  <si>
    <t>http://public.eblib.com/choice/PublicFullRecord.aspx?p=291059</t>
  </si>
  <si>
    <t>New Investment Frontier III : A Guide to Exchange Traded Funds for Canadians</t>
  </si>
  <si>
    <t>Atkinson, Howard J.</t>
  </si>
  <si>
    <t>HG6043 -- A85 2005eb</t>
  </si>
  <si>
    <t>332.63; 332.63228; 332.6327</t>
  </si>
  <si>
    <t>Electronic books. -- local; Exchange traded funds.; Stock index futures.</t>
  </si>
  <si>
    <t>http://public.eblib.com/choice/PublicFullRecord.aspx?p=291060</t>
  </si>
  <si>
    <t>Woman's Guide to Money</t>
  </si>
  <si>
    <t>Keehn, Kelley</t>
  </si>
  <si>
    <t>HG179 -- .K43 2006eb</t>
  </si>
  <si>
    <t>Electronic books. -- local; Women -- Canada -- Finance, Personal.; Women -- Finance, Personal.</t>
  </si>
  <si>
    <t>http://public.eblib.com/choice/PublicFullRecord.aspx?p=291061</t>
  </si>
  <si>
    <t>Breaking the Ice : The Black Experience in Professional Hockey</t>
  </si>
  <si>
    <t>Harris, Cecil</t>
  </si>
  <si>
    <t>Sport &amp; Recreation</t>
  </si>
  <si>
    <t>GV848.5.A1 -- H37 2003eb</t>
  </si>
  <si>
    <t>796.962/092/396071</t>
  </si>
  <si>
    <t>Electronic books. -- local; Hockey players -- Canada -- Biography.; Hockey players, Black -- Canada -- Biography.; National Hockey League -- Biography.</t>
  </si>
  <si>
    <t>http://public.eblib.com/choice/PublicFullRecord.aspx?p=291062</t>
  </si>
  <si>
    <t>Canadian Retirement Guide : A Comprehensive Handbook on Aging, Retirement, Caregiving and Health</t>
  </si>
  <si>
    <t>O'Donnell, Jill; O'Donnell, Jill L ; Page, John A ; Page, John A</t>
  </si>
  <si>
    <t>Home Economics; Social Science</t>
  </si>
  <si>
    <t>HQ1063.2.C3 -- O366 2004eb</t>
  </si>
  <si>
    <t>Electronic books. -- local; Retirement -- Planning.; Retirement income -- Canada -- Planning.</t>
  </si>
  <si>
    <t>http://public.eblib.com/choice/PublicFullRecord.aspx?p=291063</t>
  </si>
  <si>
    <t>Canadian Student Financial Survival Guide : A Comprehensive Handbook on Financing Your Education, Managing Your Expenses &amp; Planning for a Debt-Free Future</t>
  </si>
  <si>
    <t>McWaters, Graham</t>
  </si>
  <si>
    <t>HG179 -- M367 2005eb</t>
  </si>
  <si>
    <t>College costs -- Canada.; College students -- Canada -- Finance, Personal.; Electronic books. -- local</t>
  </si>
  <si>
    <t>http://public.eblib.com/choice/PublicFullRecord.aspx?p=291064</t>
  </si>
  <si>
    <t>What Kind of an Investor are you? A Guide to the Investment Solution that is Right for you : A Guide to the Investment Solution that is Right for You</t>
  </si>
  <si>
    <t>Deaves, Richard</t>
  </si>
  <si>
    <t>HG4521 -- D43 2006eb</t>
  </si>
  <si>
    <t>Finance, Personal.; Investments -- Canada.</t>
  </si>
  <si>
    <t>http://public.eblib.com/choice/PublicFullRecord.aspx?p=291065</t>
  </si>
  <si>
    <t>Why I Didn't Say Anything : The Sheldon Kennedy Story</t>
  </si>
  <si>
    <t>Kennedy, Sheldon</t>
  </si>
  <si>
    <t>HV6570 -- .K46 2006eb</t>
  </si>
  <si>
    <t>362.76; 362.768</t>
  </si>
  <si>
    <t>Electronic books. -- local; Hockey players -- Canada -- Biography.; Kennedy, Sheldon.; Sexual abuse victims -- Canada -- Biography.; Sexually abused teenagers -- Canada.</t>
  </si>
  <si>
    <t>http://public.eblib.com/choice/PublicFullRecord.aspx?p=291066</t>
  </si>
  <si>
    <t>Eau, Terre Et Vie : La Communication Participative Pour Le Développement Appliquée À La Gestion Des Ressources Naturelles</t>
  </si>
  <si>
    <t>Centre de recherches pour le développement international</t>
  </si>
  <si>
    <t>CRDI</t>
  </si>
  <si>
    <t>Business/Management; Economics; Environmental Studies</t>
  </si>
  <si>
    <t>HC85 -- .E38 2007eb</t>
  </si>
  <si>
    <t>Communication in community development.; Electronic books. -- local; Natural resources -- Management.</t>
  </si>
  <si>
    <t>http://public.eblib.com/choice/PublicFullRecord.aspx?p=291602</t>
  </si>
  <si>
    <t>Gender Justice, Citizenship, And Development</t>
  </si>
  <si>
    <t>Mukhopadhyay, Maitrayee; Singh, Navsharan</t>
  </si>
  <si>
    <t>Social Science; Law</t>
  </si>
  <si>
    <t>HQ1236 -- .G46145 2007eb</t>
  </si>
  <si>
    <t>Sex discrimination against women -- Developing countries.; Sex discrimination in justice administration -- Developing countries.; Women''s rights -- Cross-cultural studies.; Women''s rights -- Developing countries.</t>
  </si>
  <si>
    <t>http://public.eblib.com/choice/PublicFullRecord.aspx?p=291603</t>
  </si>
  <si>
    <t>African Youth on the Information Highway : Participation and Leadership in Community Development</t>
  </si>
  <si>
    <t>Ogbu, Osita; Mihyo, Paschal</t>
  </si>
  <si>
    <t>HN780.Z9 -- I56 A47 2000eb</t>
  </si>
  <si>
    <t>Community development -- Africa -- Congresses.; Electronic books. -- local; Information technology -- Africa -- Congresses.; Youth -- Africa -- Congresses.</t>
  </si>
  <si>
    <t>http://public.eblib.com/choice/PublicFullRecord.aspx?p=295128</t>
  </si>
  <si>
    <t>Agriculture urbaine en Afrique de l'ouest / Urban Agriculture in West Africa : Une contribution à la sécurité alimentaire et à l'assainissement des villes / Contributing to Food Security and Urban Sanitation</t>
  </si>
  <si>
    <t>Smith, Olanrewaju B.; Smith, Olanrewaju B.</t>
  </si>
  <si>
    <t>S494.5.U72 -- A47 1999eb</t>
  </si>
  <si>
    <t>Agriculture -- Africa.; Electronic books. -- local; Urban agriculture -- Africa.</t>
  </si>
  <si>
    <t>http://public.eblib.com/choice/PublicFullRecord.aspx?p=295129</t>
  </si>
  <si>
    <t>Altered States : Globalisation, Sovereignty and Governance</t>
  </si>
  <si>
    <t>Smith, Gordon; Naím, Moisés; International Development Research Centre Staff</t>
  </si>
  <si>
    <t>JC327 -- .S625 2000eb</t>
  </si>
  <si>
    <t>Democracy.; Electronic books. -- local; Globalization.; International economic relations.; Legitimacy of governments.; Sovereignty.</t>
  </si>
  <si>
    <t>http://public.eblib.com/choice/PublicFullRecord.aspx?p=295130</t>
  </si>
  <si>
    <t>Assessing Community Telecentres : Guidelines for Researchers</t>
  </si>
  <si>
    <t>Whyte, Anne</t>
  </si>
  <si>
    <t>Business/Management; Computer Science/IT; Engineering; Engineering: General</t>
  </si>
  <si>
    <t>T58.5 -- .W49 2000eb</t>
  </si>
  <si>
    <t>384.096; 384/.096</t>
  </si>
  <si>
    <t>Electronic books. -- local; Information services -- Developing countries.; Telecommuting centers -- Developing countries.</t>
  </si>
  <si>
    <t>http://public.eblib.com/choice/PublicFullRecord.aspx?p=295131</t>
  </si>
  <si>
    <t>Choix Cruciaux : Les Nations Unies, Les Réseaux Et L'avenir De La Gouvernance Mondiale</t>
  </si>
  <si>
    <t>Reinicke, Wolfgang H.; Deng, Francis</t>
  </si>
  <si>
    <t>Political Science; Law</t>
  </si>
  <si>
    <t>JX1977 -- .R45 2000eb</t>
  </si>
  <si>
    <t>Electronic books. -- local; International cooperation.; International organization.; United Nations.</t>
  </si>
  <si>
    <t>http://public.eblib.com/choice/PublicFullRecord.aspx?p=295132</t>
  </si>
  <si>
    <t>Cités horticoles en sursis?  L'agriculture urbaine dans les grandes Niayes au Sénégal</t>
  </si>
  <si>
    <t>Fall, Safiétou Touré; Fall, Abdou Salam</t>
  </si>
  <si>
    <t>S473.S4 -- C53 2001eb</t>
  </si>
  <si>
    <t>Electronic books. -- local; Horticulture -- Senegal.; Urban agriculture -- Senegal.; Urban vegetation management -- Senegal.</t>
  </si>
  <si>
    <t>http://public.eblib.com/choice/PublicFullRecord.aspx?p=295133</t>
  </si>
  <si>
    <t>Conocimiento Indigena : Guia Para El Investigador</t>
  </si>
  <si>
    <t>GN476 -- .G74 1999eb</t>
  </si>
  <si>
    <t>Electronic books. -- local; Ethnoscience -- Research.; Sustainable development.; Technical assistance -- Anthropological aspects.</t>
  </si>
  <si>
    <t>http://public.eblib.com/choice/PublicFullRecord.aspx?p=295134</t>
  </si>
  <si>
    <t>Critical Choices : The United Nations, Networks and the Future of Global Governance</t>
  </si>
  <si>
    <t>Reinicke, Wolfgang H.; Deng, Francis; Witte, Jan Martin</t>
  </si>
  <si>
    <t>JX1977 -- .R4 2000eb</t>
  </si>
  <si>
    <t>http://public.eblib.com/choice/PublicFullRecord.aspx?p=295135</t>
  </si>
  <si>
    <t>Cultivar La Paz : Conflicto Y Colaboracion En El Manejo De Los Recursos Naturales</t>
  </si>
  <si>
    <t>Buckles, Daniel</t>
  </si>
  <si>
    <t>HC59.7 -- .C825 2000eb</t>
  </si>
  <si>
    <t>Conflict management -- Developing countries -- Congresses.; Conservation of natural resources -- Developing countries -- Congresses.; Electronic books. -- local; Natural resources -- Developing countries -- Congresses.; Sustainable development -- Developing countries -- Congresses.</t>
  </si>
  <si>
    <t>http://public.eblib.com/choice/PublicFullRecord.aspx?p=295136</t>
  </si>
  <si>
    <t>Cultiver La Paix : Conflits Et Collaboration Dans La Gestion Des Ressources Naturelles</t>
  </si>
  <si>
    <t>HC59.7 -- C845 2001eb</t>
  </si>
  <si>
    <t>http://public.eblib.com/choice/PublicFullRecord.aspx?p=295137</t>
  </si>
  <si>
    <t>Des États Remaniés : Mondialisation, Souveraineté Et Gouvernance</t>
  </si>
  <si>
    <t>Smith, Gordon; Naím, Moisés</t>
  </si>
  <si>
    <t>JC327 -- .S65 2000eb</t>
  </si>
  <si>
    <t>Democracy.; Electronic books. -- local; International economic relations.; Legitimacy of governments.; Sovereignty.</t>
  </si>
  <si>
    <t>http://public.eblib.com/choice/PublicFullRecord.aspx?p=295138</t>
  </si>
  <si>
    <t>Development Cooperation in a Fractured Global Order : An Arduous Transition</t>
  </si>
  <si>
    <t>Sagasti, Francisco; Alcalde, Gonzalo</t>
  </si>
  <si>
    <t>Economics; Business/Management; Law</t>
  </si>
  <si>
    <t>HD82 -- .S24 1999eb</t>
  </si>
  <si>
    <t>338.9; 341.2</t>
  </si>
  <si>
    <t>Developing countries -- Economic conditions.; Economic assistance.; Economic development.; Electronic books. -- local; World politics.</t>
  </si>
  <si>
    <t>http://public.eblib.com/choice/PublicFullRecord.aspx?p=295139</t>
  </si>
  <si>
    <t>Du Bureau À L'espace : Comment Utiliser Efficacement Les Listes Électroniques</t>
  </si>
  <si>
    <t>HE7551 -- .J36 1998eb</t>
  </si>
  <si>
    <t>Electronic books. -- local; Electronic mail systems.; Office equipment and supplies.</t>
  </si>
  <si>
    <t>http://public.eblib.com/choice/PublicFullRecord.aspx?p=295140</t>
  </si>
  <si>
    <t>Évaluation des telecentres communautaires : Un guide a l'intention des chercheurs</t>
  </si>
  <si>
    <t>HE8464 -- .W4914 2001eb</t>
  </si>
  <si>
    <t>http://public.eblib.com/choice/PublicFullRecord.aspx?p=295141</t>
  </si>
  <si>
    <t>Gender and the Information Revolution in Africa</t>
  </si>
  <si>
    <t>Rathgeber, Eva M.; Adera, Edith Ofwona</t>
  </si>
  <si>
    <t>HQ1240.5.A35 -- G46 2000eb</t>
  </si>
  <si>
    <t>Electronic books. -- local; Information technology -- Africa -- Congresses.; Women in development -- Africa -- Congresses.</t>
  </si>
  <si>
    <t>http://public.eblib.com/choice/PublicFullRecord.aspx?p=295142</t>
  </si>
  <si>
    <t>Gender, Land, and Livelihoods in East Africa : Through Farmers' Eyes</t>
  </si>
  <si>
    <t>Verma, Ritu</t>
  </si>
  <si>
    <t>Social Science; Agriculture</t>
  </si>
  <si>
    <t>S473.K42 -- M38 2001eb</t>
  </si>
  <si>
    <t>Electronic books. -- local; Land use -- Kenya -- Maragoli Region.; Maragoli (Kenya) -- Social conditions.; Sustainable agriculture -- Kenya -- Maragoli Region.</t>
  </si>
  <si>
    <t>http://public.eblib.com/choice/PublicFullRecord.aspx?p=295143</t>
  </si>
  <si>
    <t>Grandes Minas Y La Comunidad : Efectos Socioeconomicos Y Ambientales En Latinoamérica, Canada Y Espana</t>
  </si>
  <si>
    <t>McMahon, Gary; Remy, Felix</t>
  </si>
  <si>
    <t>Computer Science/IT; Business/Management</t>
  </si>
  <si>
    <t>HD9506.L292 -- G736 2003eb</t>
  </si>
  <si>
    <t>Electronic books. -- local; Mineral industries -- Canada -- Case studies.; Mineral industries -- Environmental aspects -- Canada -- Case studies.; Mineral industries -- Environmental aspects -- Latin America -- Case studies.; Mineral industries -- Environmental aspects -- Spain -- Case studies.; Mineral industries -- Latin America -- Case studies.; Mineral industries -- Spain -- Case studies.</t>
  </si>
  <si>
    <t>http://public.eblib.com/choice/PublicFullRecord.aspx?p=295144</t>
  </si>
  <si>
    <t>Human Security and Mutual Vulnerability : The Global Political Economy of Development and Underdevelopment</t>
  </si>
  <si>
    <t>Nef, Jorge</t>
  </si>
  <si>
    <t>JX1391 -- .N44 1999eb</t>
  </si>
  <si>
    <t>Electronic books. -- local; International economic relations.; International relations.; Security, International.</t>
  </si>
  <si>
    <t>http://public.eblib.com/choice/PublicFullRecord.aspx?p=295145</t>
  </si>
  <si>
    <t>Large Mines and the Community : Socioeconomic and Environmental Effects in Latin America, Canada and Spain</t>
  </si>
  <si>
    <t>Gary McMahon, Felix Remy; Remy, Felix</t>
  </si>
  <si>
    <t>HD9506.L253 -- L37 2001eb</t>
  </si>
  <si>
    <t>Mineral industries -- Canada -- Case studies.; Mineral industries -- Environmental aspects -- Canada -- Case studies.; Mineral industries -- Environmental aspects -- Latin America -- Case studies.; Mineral industries -- Environmental aspects -- Spain -- Case studies.; Mineral industries -- Latin America -- Case studies.; Mineral industries -- Spain -- Case studies.</t>
  </si>
  <si>
    <t>http://public.eblib.com/choice/PublicFullRecord.aspx?p=295146</t>
  </si>
  <si>
    <t>Le Débat Des Semences, Volume 1 : Solutions Politiques Pour Les Ressources Génétiques (Un Brevet Pour La Vie Revisité)</t>
  </si>
  <si>
    <t>Groupe Crucible II</t>
  </si>
  <si>
    <t>SB123.5 -- .G76 2001eb</t>
  </si>
  <si>
    <t>Biodiversity conservation.; Electronic books. -- local; Germplasm resources, Plant.; Patents.; Plant varieties -- Patents.; Plant varieties -- Protection.; Plants, Cultivated -- Patents.</t>
  </si>
  <si>
    <t>http://public.eblib.com/choice/PublicFullRecord.aspx?p=295147</t>
  </si>
  <si>
    <t>L'inégalité  Des Sexes Et La Révolution De L'information En Afrique</t>
  </si>
  <si>
    <t>Economics; Business/Management; Social Science</t>
  </si>
  <si>
    <t>HQ1240.5.A47 -- R38 2000eb</t>
  </si>
  <si>
    <t>Electronic books. -- local; Information technology -- Africa.; Women in development -- Africa.</t>
  </si>
  <si>
    <t>http://public.eblib.com/choice/PublicFullRecord.aspx?p=295148</t>
  </si>
  <si>
    <t>Managing Small-Scale Fisheries : Alternative Directions and Methods</t>
  </si>
  <si>
    <t>Berkes, Fikret; Mahon, Robin; McConney, Patrick</t>
  </si>
  <si>
    <t>Economics; Environmental Studies; Agriculture</t>
  </si>
  <si>
    <t>SH329.S53 -- M36 2001eb</t>
  </si>
  <si>
    <t>333.95/6/091724</t>
  </si>
  <si>
    <t>Fishery management -- Developing countries.; Small-scale fisheries.</t>
  </si>
  <si>
    <t>http://public.eblib.com/choice/PublicFullRecord.aspx?p=295149</t>
  </si>
  <si>
    <t>Marketing Information Products and Services : A Primer for Librarians and Information Professionals</t>
  </si>
  <si>
    <t>Jambhekar, Ashok; Jain, Abhinandan K.; Rao, T.P.Rama</t>
  </si>
  <si>
    <t>Business/Management; Library Science</t>
  </si>
  <si>
    <t>HF5415.124 -- .M375 1999eb</t>
  </si>
  <si>
    <t>025.5/2/0688</t>
  </si>
  <si>
    <t>Electronic books. -- local; Information resources -- Marketing.; Information services -- Marketing.; Marketing -- Management.</t>
  </si>
  <si>
    <t>http://public.eblib.com/choice/PublicFullRecord.aspx?p=295150</t>
  </si>
  <si>
    <t>Mining and the Environment : Case Studies from the Americas</t>
  </si>
  <si>
    <t>Warhurst, Alyson</t>
  </si>
  <si>
    <t>Environmental Studies; Engineering: Environmental; Economics; Engineering</t>
  </si>
  <si>
    <t>TD195.M5 -- M564 1999eb</t>
  </si>
  <si>
    <t>Electronic books. -- local; Green technology.; Mineral industries -- Environmental aspects -- America -- Case studies.</t>
  </si>
  <si>
    <t>http://public.eblib.com/choice/PublicFullRecord.aspx?p=295151</t>
  </si>
  <si>
    <t>Modern and Traditional Irrigation Technologies in the Eastern Mediterranean</t>
  </si>
  <si>
    <t>Özay Mehmet, Hasan Ali Biçak; Mehmet, Özay</t>
  </si>
  <si>
    <t>S616.M65 -- M64 2002eb</t>
  </si>
  <si>
    <t>Irrigation engineering -- Middle East.; Water-supply, Agricultural -- Middle East -- Management.</t>
  </si>
  <si>
    <t>http://public.eblib.com/choice/PublicFullRecord.aspx?p=295152</t>
  </si>
  <si>
    <t>Net Gain : A New Method for Preventing Malaria Deaths</t>
  </si>
  <si>
    <t>Cattani, Jacqueline; Lengeler, Christian; Savigny, Don de</t>
  </si>
  <si>
    <t>Medicine; Health; Social Science</t>
  </si>
  <si>
    <t>RA644.M2 -- N48 1996eb</t>
  </si>
  <si>
    <t>Electronic books. -- local; Insecticides.; Malaria -- Prevention.; Mosquitoes -- Control.</t>
  </si>
  <si>
    <t>http://public.eblib.com/choice/PublicFullRecord.aspx?p=295153</t>
  </si>
  <si>
    <t>Oficina De Hoy, Oficina Virtual : Como Utilizar Las Listas Del Correo Electronico Para Trabajar En Conjunto</t>
  </si>
  <si>
    <t>Engineering; Engineering: Electrical; Business/Management</t>
  </si>
  <si>
    <t>HE7551 -- .J364 1999eb</t>
  </si>
  <si>
    <t>Data transmission systems.; Electronic books. -- local; Electronic mail systems.</t>
  </si>
  <si>
    <t>http://public.eblib.com/choice/PublicFullRecord.aspx?p=295154</t>
  </si>
  <si>
    <t>People, Plants, and Patents : The Impact of Intellectual Property on Trade, Plant Biodiversity, and Rural Society</t>
  </si>
  <si>
    <t>Group, The Crucible</t>
  </si>
  <si>
    <t>Economics; Environmental Studies; Law</t>
  </si>
  <si>
    <t>K3876 -- .P46 1994eb</t>
  </si>
  <si>
    <t>333.95316; 341.7586</t>
  </si>
  <si>
    <t>Biodiversity conservation.; Electronic books. -- local; Germplasm resources, Plant.; Patents.; Plant varieties -- Protection.; Plants, Cultivated -- Patents.</t>
  </si>
  <si>
    <t>http://public.eblib.com/choice/PublicFullRecord.aspx?p=295155</t>
  </si>
  <si>
    <t>Research for Development in the Middle East and North Africa</t>
  </si>
  <si>
    <t>Rached, Eglal; Craissati, Dina</t>
  </si>
  <si>
    <t>HC415.15.Z9 R47 2000eb</t>
  </si>
  <si>
    <t>Economic development.; Middle East - Economic conditions - Research.</t>
  </si>
  <si>
    <t>http://public.eblib.com/choice/PublicFullRecord.aspx?p=295156</t>
  </si>
  <si>
    <t>Reshaping Health Care in Latin America : A Comparative Analysis of Health Care Reform in Argentina, Brazil, and Mexico</t>
  </si>
  <si>
    <t>Fleury, Sonia; Belmartino, Susana; Baris, Enis</t>
  </si>
  <si>
    <t>RA410.55.L29 -- R474 2000eb</t>
  </si>
  <si>
    <t>Electronic books. -- local; Health care reform -- Argentina.; Health care reform -- Brazil.; Health care reform -- Mexico.</t>
  </si>
  <si>
    <t>http://public.eblib.com/choice/PublicFullRecord.aspx?p=295157</t>
  </si>
  <si>
    <t>Science, Technology, and Innovation in Chile</t>
  </si>
  <si>
    <t>Mullin, James; Adam, Robert M.; Halliwell, Janet E.</t>
  </si>
  <si>
    <t>Economics; Science: General; Science; Business/Management</t>
  </si>
  <si>
    <t>Q127.C47 -- S35 2000eb</t>
  </si>
  <si>
    <t>338.983; 509.83</t>
  </si>
  <si>
    <t>Electronic books. -- local; Science and state -- Chile.; Technological innovations -- Chile.; Technology and state -- Chile.</t>
  </si>
  <si>
    <t>http://public.eblib.com/choice/PublicFullRecord.aspx?p=295158</t>
  </si>
  <si>
    <t>Seeding Solutions, Volume 1 : Policy Options for Genetic Resources (People, Plants and Patents Revisited)</t>
  </si>
  <si>
    <t>The Crucible Group II; Dag Hammarskjhold Foundation Staff; International Development Research Centre Staff</t>
  </si>
  <si>
    <t>Economics; Environmental Studies; Business/Management; Law</t>
  </si>
  <si>
    <t>K3876 -- C78 2000eb</t>
  </si>
  <si>
    <t>333.9534; 338.927</t>
  </si>
  <si>
    <t>Biodiversity conservation.; Electronic books. -- local; Germplasm resources, Plant.; Intellectual property.; Patents.; Plant varieties -- Protection.; Plants, Cultivated -- Patents.</t>
  </si>
  <si>
    <t>http://public.eblib.com/choice/PublicFullRecord.aspx?p=295159</t>
  </si>
  <si>
    <t>Siembra De Soluciones, Tomo 1 : Alternativas Politicas En Materia De Recursos Geneticos (Actualizacion De Gente, Plantas Y Patentes)</t>
  </si>
  <si>
    <t>II, Grupo Crucible II</t>
  </si>
  <si>
    <t>Business/Management; Law; Economics</t>
  </si>
  <si>
    <t>K3876 -- .C781 2001eb</t>
  </si>
  <si>
    <t>Biodiversity conservation.; Electronic books. -- local; Germplasm resources, Plant.; Patents.; Plant varieties -- Patents.; Plants, Cultivated -- Patents.</t>
  </si>
  <si>
    <t>http://public.eblib.com/choice/PublicFullRecord.aspx?p=295160</t>
  </si>
  <si>
    <t>Social Policy in a Global Society : Parallels and Lessons from the Canada–Latin America Experience</t>
  </si>
  <si>
    <t>Morales-Gómez, Daniel; A., Mario Torres</t>
  </si>
  <si>
    <t>HN107 -- .S64 1995eb</t>
  </si>
  <si>
    <t>361.6/1/0971</t>
  </si>
  <si>
    <t>Canada -- Economic policy.; Canada -- Social policy.; Electronic books. -- local; Latin America -- Economic policy.; Latin America -- Social policy.; Social problems -- Canada.</t>
  </si>
  <si>
    <t>http://public.eblib.com/choice/PublicFullRecord.aspx?p=295161</t>
  </si>
  <si>
    <t>Socioeconomic Renovation in Viet Nam : the OrigIn, Evolution, and Impact of Doi Moi</t>
  </si>
  <si>
    <t>Boothroyd, Peter; Nam, Pham Xuan</t>
  </si>
  <si>
    <t>HC444 -- .S63 2000eb</t>
  </si>
  <si>
    <t>Electronic books. -- local; Housing -- Vietnam.; Rural development -- Vietnam.; Vietnam -- Economic conditions.; Vietnam -- Rural conditions.; Vietnam -- Social policy.</t>
  </si>
  <si>
    <t>http://public.eblib.com/choice/PublicFullRecord.aspx?p=295162</t>
  </si>
  <si>
    <t>Female Client and the Health-Care Provider</t>
  </si>
  <si>
    <t>Roberts, Janet Hatcher; Vlassoff, Carol</t>
  </si>
  <si>
    <t>RA564.85 -- F46 1995eb</t>
  </si>
  <si>
    <t>362.1082; 362.83</t>
  </si>
  <si>
    <t>Electronic books. -- local; Women -- Health and hygiene.; Women''s health services.</t>
  </si>
  <si>
    <t>http://public.eblib.com/choice/PublicFullRecord.aspx?p=295163</t>
  </si>
  <si>
    <t>Theoretical Perspectives on Gender and Development</t>
  </si>
  <si>
    <t>Parpart, Jane L.; Connelly, M. Patricia; Barriteau, Eudine; Barriteau, V Eudine</t>
  </si>
  <si>
    <t>Economics; Social Science</t>
  </si>
  <si>
    <t>HQ1240 -- .T477 2000eb</t>
  </si>
  <si>
    <t>330/.082</t>
  </si>
  <si>
    <t>Electronic books. -- local; Feminism.; Feminist theory.; Sex role.; Women in development.</t>
  </si>
  <si>
    <t>http://public.eblib.com/choice/PublicFullRecord.aspx?p=295164</t>
  </si>
  <si>
    <t>Un Mur Contre La Malaria : Du Nouveau Dans La Prévention Des Décès Dus Au Paludisme</t>
  </si>
  <si>
    <t>Lengeler, Christian; Cattani, Jacqueline; de Savigny, Don</t>
  </si>
  <si>
    <t>Health; Medicine; Social Science</t>
  </si>
  <si>
    <t>RA644.M2 -- M87 1997eb</t>
  </si>
  <si>
    <t>http://public.eblib.com/choice/PublicFullRecord.aspx?p=295165</t>
  </si>
  <si>
    <t>Une Santé  Branchée Sur La Recherche : Perspectives Du Conseil De La Recherche En Santé Pour Le Développement</t>
  </si>
  <si>
    <t>Neufeld, Victor; Johnson, Nancy</t>
  </si>
  <si>
    <t>Health; Philosophy; Social Science</t>
  </si>
  <si>
    <t>RA441.5 -- F6714 2000eb</t>
  </si>
  <si>
    <t>Commission on Health Research for Development.; Medical care -- Developing countries.; Medical care -- Research -- Developing countries.; Public health -- Developing countries.; Public health -- Research -- Developing countries.; Public health -- Social aspects -- Developing countries.; World health.</t>
  </si>
  <si>
    <t>http://public.eblib.com/choice/PublicFullRecord.aspx?p=295166</t>
  </si>
  <si>
    <t>Viet Nam at the Crossroads : The Role of Science and Technology</t>
  </si>
  <si>
    <t>Bezanson, K.; Annerstedt, J.; Chung, K.; Sagasti, F</t>
  </si>
  <si>
    <t>HC79.T4 -- V538 1999eb</t>
  </si>
  <si>
    <t>Electronic books. -- local; Information technology -- Vietnam.; Science and state -- Vietnam.; Technological innovations -- Vietnam.; Technology transfer -- Vietnam.</t>
  </si>
  <si>
    <t>http://public.eblib.com/choice/PublicFullRecord.aspx?p=295167</t>
  </si>
  <si>
    <t>Water Balances in the Eastern Mediterranean</t>
  </si>
  <si>
    <t>Brooks, David B.; Mehmet, Ozay</t>
  </si>
  <si>
    <t>HD1696.5.M628 -- W38 2000eb</t>
  </si>
  <si>
    <t>Electronic books. -- local; Water balance (Hydrology) -- Middle East.; Water resources development -- Middle East.</t>
  </si>
  <si>
    <t>http://public.eblib.com/choice/PublicFullRecord.aspx?p=295168</t>
  </si>
  <si>
    <t>Water Hyacinth in Africa and the Middle East : A Survey of Problems and Solutions</t>
  </si>
  <si>
    <t>Navarro, Luis A.; Phiri, George</t>
  </si>
  <si>
    <t>Agriculture; Engineering; Engineering: Environmental</t>
  </si>
  <si>
    <t>SB615.W3 -- W375 2000eb</t>
  </si>
  <si>
    <t>Electronic books. -- local; Water hyacinth -- Africa -- Congresses.; Water hyacinth -- Control -- Congresses.; Water hyacinth -- Middle East -- Congresses.</t>
  </si>
  <si>
    <t>http://public.eblib.com/choice/PublicFullRecord.aspx?p=295169</t>
  </si>
  <si>
    <t>Health Gap : Beyond Pregnancy and Reproduction</t>
  </si>
  <si>
    <t>Kitts, Jennifer; Roberts, Janet Hatcher</t>
  </si>
  <si>
    <t>RA778 -- .K58 1996eb</t>
  </si>
  <si>
    <t>362.1/082</t>
  </si>
  <si>
    <t>Electronic books. -- local; Women -- Health and hygiene -- Developing countries -- Congresses.</t>
  </si>
  <si>
    <t>http://public.eblib.com/choice/PublicFullRecord.aspx?p=295203</t>
  </si>
  <si>
    <t>Return to Resistance : Breeding Crops to Reduce Pesticide Dependence</t>
  </si>
  <si>
    <t>Robinson, Raoul; Robinson, Raoul A.</t>
  </si>
  <si>
    <t>Science; Agriculture; Science: Botany</t>
  </si>
  <si>
    <t>SB123 -- .R653 1996eb</t>
  </si>
  <si>
    <t>581.1; 632/.96</t>
  </si>
  <si>
    <t>Crops -- Genetics.; Electronic books. -- local; Plant breeding.; Plants -- Disease and pest resistance -- Genetic aspects.</t>
  </si>
  <si>
    <t>http://public.eblib.com/choice/PublicFullRecord.aspx?p=295204</t>
  </si>
  <si>
    <t>Un Nouveau Monde De Savoir : Les Universités Canadiennes Et La Mondialisation</t>
  </si>
  <si>
    <t>LC1090 -- N3814 1999eb</t>
  </si>
  <si>
    <t>378/.016/0971</t>
  </si>
  <si>
    <t>Electronic books. -- local; International education -- Canada.; Universities and colleges -- Canada.</t>
  </si>
  <si>
    <t>http://public.eblib.com/choice/PublicFullRecord.aspx?p=295205</t>
  </si>
  <si>
    <t>Learning from Change : Issues and Experiences in Participatory Monitoring and Evaluation</t>
  </si>
  <si>
    <t>Estrella, Marisol; Blauert, Jutta; Campilan, Dindo</t>
  </si>
  <si>
    <t>HC79.E44 -- L43 2000eb</t>
  </si>
  <si>
    <t>307.1/4</t>
  </si>
  <si>
    <t>Community development -- Evaluation.; Economic development projects -- Citizen participation.; Economic development projects -- Evaluation.; Electronic books. -- local</t>
  </si>
  <si>
    <t>http://public.eblib.com/choice/PublicFullRecord.aspx?p=295206</t>
  </si>
  <si>
    <t>Population Et Santé Dans Les Pays En Développement : Population, Santé Et Survie Dans Les Sites Du Réseau Indepth</t>
  </si>
  <si>
    <t>Réseau</t>
  </si>
  <si>
    <t>Medicine; Social Science; Health</t>
  </si>
  <si>
    <t>RA652.2 P82 -- P6614 2003eb</t>
  </si>
  <si>
    <t>614.4/26</t>
  </si>
  <si>
    <t>Africa -- Population -- Statistics.; Electronic books. -- local; Health status indicators.; Mortality -- Africa -- Statistics.; Public health -- Africa -- Statistics.; Public health surveillance -- Africa.; Public health surveillance -- Developing countries.</t>
  </si>
  <si>
    <t>http://public.eblib.com/choice/PublicFullRecord.aspx?p=295207</t>
  </si>
  <si>
    <t>Cruel Paradise : Journals of an International Relief Worker</t>
  </si>
  <si>
    <t>Olson, Leanne</t>
  </si>
  <si>
    <t>HV639 -- .O47 1999eb</t>
  </si>
  <si>
    <t>361.77; 363.34/988/092 21</t>
  </si>
  <si>
    <t>International relief.; Médecins sans frontières (Association); Nurses -- Canada -- Diaries.; Nurses -- Personal narratives.; Olson, Leanne, -- 1963- -- Diaries.; War -- Personal narratives.; War relief.</t>
  </si>
  <si>
    <t>http://public.eblib.com/choice/PublicFullRecord.aspx?p=299564</t>
  </si>
  <si>
    <t>Quilted Heart</t>
  </si>
  <si>
    <t>Vaughan, R.M.</t>
  </si>
  <si>
    <t>Literature; Fiction</t>
  </si>
  <si>
    <t>PR9199.3.V389 -- Q58 1998eb</t>
  </si>
  <si>
    <t>813/.54</t>
  </si>
  <si>
    <t>Electronic books. -- local; English fiction.; English literature.</t>
  </si>
  <si>
    <t>http://public.eblib.com/choice/PublicFullRecord.aspx?p=299566</t>
  </si>
  <si>
    <t>Ruckus of Awkward Stacking</t>
  </si>
  <si>
    <t>Literature</t>
  </si>
  <si>
    <t>PR9199.4.R63 -- R83 2001eb</t>
  </si>
  <si>
    <t>811/.6</t>
  </si>
  <si>
    <t>Electronic books. -- local; Poetry.; Robinson, Matt, -- 1974-</t>
  </si>
  <si>
    <t>http://public.eblib.com/choice/PublicFullRecord.aspx?p=299567</t>
  </si>
  <si>
    <t>Year in the Life : The Journals of Michelle Wright</t>
  </si>
  <si>
    <t>Wright, Michelle</t>
  </si>
  <si>
    <t>Fine Arts</t>
  </si>
  <si>
    <t>ML420 -- .W754 2005eb</t>
  </si>
  <si>
    <t>782.421642/092 22</t>
  </si>
  <si>
    <t>Country musicians -- Canada -- Diaries.; Electronic books. -- local; Wright, Michelle, -- 1961-</t>
  </si>
  <si>
    <t>http://public.eblib.com/choice/PublicFullRecord.aspx?p=299568</t>
  </si>
  <si>
    <t>Abundantly Simple : Everywoman's Gratitude Journal</t>
  </si>
  <si>
    <t>Kafka, Helen; Hellen, Laura</t>
  </si>
  <si>
    <t>PR9199.3.K33 -- A38 1999eb</t>
  </si>
  <si>
    <t>818.54; 818.5402</t>
  </si>
  <si>
    <t>Ban Breathnach, Sarah -- Parodies, imitations, etc.; Ban Breathnach, Sarah. -- Simple abundance.; Electronic books. -- local; Women -- Humor.</t>
  </si>
  <si>
    <t>http://public.eblib.com/choice/PublicFullRecord.aspx?p=299569</t>
  </si>
  <si>
    <t>Alien Invasion : How the Harris Tories Mismanaged Ontario:How the Harris Tories Mismanages Ontario</t>
  </si>
  <si>
    <t>Cohen, Ruth</t>
  </si>
  <si>
    <t>F1058 -- .A63 2001eb</t>
  </si>
  <si>
    <t>971.3/03</t>
  </si>
  <si>
    <t>Harris, Mike, -- 1945-; Ontario -- Politics and government.</t>
  </si>
  <si>
    <t>http://public.eblib.com/choice/PublicFullRecord.aspx?p=299570</t>
  </si>
  <si>
    <t>Amuse Bouche : A Russell Quant Mystery</t>
  </si>
  <si>
    <t>Bidulka, Anthony</t>
  </si>
  <si>
    <t>PR9199.4.B497 -- A84 2005eb</t>
  </si>
  <si>
    <t>813/.6 21</t>
  </si>
  <si>
    <t>Detective and mystery stories.; Electronic books. -- local; Gay men -- Fiction.; Private investigators -- Saskatchewan -- Saskatoon -- Fiction.; Quant, Russell (Fictitious character)</t>
  </si>
  <si>
    <t>http://public.eblib.com/choice/PublicFullRecord.aspx?p=299571</t>
  </si>
  <si>
    <t>Ashes Are Bone and Dust</t>
  </si>
  <si>
    <t>Battson, Jill</t>
  </si>
  <si>
    <t>PR9199.3.B37576 -- A9 2001eb</t>
  </si>
  <si>
    <t>811/.54</t>
  </si>
  <si>
    <t>Canadian poetry.; Electronic books. -- local; Loss (Psychology) -- Poetry.</t>
  </si>
  <si>
    <t>http://public.eblib.com/choice/PublicFullRecord.aspx?p=299572</t>
  </si>
  <si>
    <t>Asthmatica</t>
  </si>
  <si>
    <t>Fiorentino, Jon Paul</t>
  </si>
  <si>
    <t>PR9199.3.F5325 -- A78 2005eb</t>
  </si>
  <si>
    <t>813/.6 22</t>
  </si>
  <si>
    <t>Canada -- Social life and customs -- Fiction.; Humorous stories, Canadian.</t>
  </si>
  <si>
    <t>http://public.eblib.com/choice/PublicFullRecord.aspx?p=299573</t>
  </si>
  <si>
    <t>At Last There Is Nothing Left To Say</t>
  </si>
  <si>
    <t>Good, Matthew</t>
  </si>
  <si>
    <t>PR9199.4.G66 -- A92 2001eb</t>
  </si>
  <si>
    <t>813/.6</t>
  </si>
  <si>
    <t>Canadian essays -- 20th century.; Electronic books. -- local; Good, Matthew, -- 1971-; Short stories, Candian.</t>
  </si>
  <si>
    <t>http://public.eblib.com/choice/PublicFullRecord.aspx?p=299574</t>
  </si>
  <si>
    <t>Awful Gestures</t>
  </si>
  <si>
    <t>Weiss, Adrienne</t>
  </si>
  <si>
    <t>PR9199.4.W44 -- A96 2001eb</t>
  </si>
  <si>
    <t>Electronic books. -- local; Poetry -- 21st century.; Weiss, Adrienne, -- 1973-</t>
  </si>
  <si>
    <t>http://public.eblib.com/choice/PublicFullRecord.aspx?p=299575</t>
  </si>
  <si>
    <t>Bafflegab</t>
  </si>
  <si>
    <t>Rogal, Stan</t>
  </si>
  <si>
    <t>PR9199.3.R548 -- B3 2001eb</t>
  </si>
  <si>
    <t>813/.54 21</t>
  </si>
  <si>
    <t>Antiheroes -- Fiction.; Authors -- Fiction.; Electronic books. -- local</t>
  </si>
  <si>
    <t>http://public.eblib.com/choice/PublicFullRecord.aspx?p=299576</t>
  </si>
  <si>
    <t>Balance Act</t>
  </si>
  <si>
    <t>Cormier, Ken</t>
  </si>
  <si>
    <t>PS3553.O6528 -- B35 2000eb</t>
  </si>
  <si>
    <t>American literature.; American poetry.; Electronic books. -- local</t>
  </si>
  <si>
    <t>http://public.eblib.com/choice/PublicFullRecord.aspx?p=299577</t>
  </si>
  <si>
    <t>Being Black</t>
  </si>
  <si>
    <t>Prince, Althea</t>
  </si>
  <si>
    <t>Social Science; History</t>
  </si>
  <si>
    <t>F1059.5.T689 -- N455 2001eb</t>
  </si>
  <si>
    <t>305.896/071</t>
  </si>
  <si>
    <t>Blacks -- Ontario -- Toronto.; Prince, Althea, -- 1945-; Toronto (Ont.) -- Race relations.; Women, Black -- Ontario -- Toronto.</t>
  </si>
  <si>
    <t>http://public.eblib.com/choice/PublicFullRecord.aspx?p=299578</t>
  </si>
  <si>
    <t>Belong : A TV Journalist's Search for Urban Culture from Beirut to Bamako, from Havana to Ho Chi Minh City</t>
  </si>
  <si>
    <t>Morton, Jennifer</t>
  </si>
  <si>
    <t>Fine Arts; Social Science; Geography/Travel</t>
  </si>
  <si>
    <t>NX180.S6 -- M67 2004eb</t>
  </si>
  <si>
    <t>307.76; 700/.1/03 22; 910.4</t>
  </si>
  <si>
    <t>Arts and society.; City and town life.; Street art.</t>
  </si>
  <si>
    <t>http://public.eblib.com/choice/PublicFullRecord.aspx?p=299579</t>
  </si>
  <si>
    <t>Beneath the Beauty : Poems</t>
  </si>
  <si>
    <t>Arima, Phlip</t>
  </si>
  <si>
    <t>PR9199.3.A533 -- B4 1996eb</t>
  </si>
  <si>
    <t>C811/.54</t>
  </si>
  <si>
    <t>Canadian literature.; Canadian poetry.; Electronic books. -- local</t>
  </si>
  <si>
    <t>http://public.eblib.com/choice/PublicFullRecord.aspx?p=299580</t>
  </si>
  <si>
    <t>Black Like Who? : Writing Black Canada</t>
  </si>
  <si>
    <t>Walcott, Rinaldo</t>
  </si>
  <si>
    <t>History; Social Science</t>
  </si>
  <si>
    <t>F1035.N3 -- W325 2003eb</t>
  </si>
  <si>
    <t>Arts, Black -- Canada.; Blacks -- Canada.; Blacks -- Race identity -- Canada.</t>
  </si>
  <si>
    <t>http://public.eblib.com/choice/PublicFullRecord.aspx?p=299581</t>
  </si>
  <si>
    <t>Breaking Out : The Complete Guide to a Positive Gay Identity</t>
  </si>
  <si>
    <t>Alderson, Kevin</t>
  </si>
  <si>
    <t>HQ76.25 -- .A434 2002eb</t>
  </si>
  <si>
    <t>305.9/0664</t>
  </si>
  <si>
    <t>Electronic books. -- local; Gays -- Identity.; Gays -- Psychology.; Self-esteem.</t>
  </si>
  <si>
    <t>http://public.eblib.com/choice/PublicFullRecord.aspx?p=299582</t>
  </si>
  <si>
    <t>Broken Accidents</t>
  </si>
  <si>
    <t>PR9199.3.A536 -- B76 2003eb</t>
  </si>
  <si>
    <t>Arima, Phlip, -- 1963-; Canadian fiction.; Electronic books. -- local</t>
  </si>
  <si>
    <t>http://public.eblib.com/choice/PublicFullRecord.aspx?p=299583</t>
  </si>
  <si>
    <t>Bull</t>
  </si>
  <si>
    <t>Sinnett, Mark</t>
  </si>
  <si>
    <t>PR9199.3.S56 -- B84 1998eb</t>
  </si>
  <si>
    <t>C813/.54</t>
  </si>
  <si>
    <t>Canadian fiction.; Electronic books. -- local; Short stories, Canadian.</t>
  </si>
  <si>
    <t>http://public.eblib.com/choice/PublicFullRecord.aspx?p=299584</t>
  </si>
  <si>
    <t>Carnival : A Scream in High Park Reader</t>
  </si>
  <si>
    <t>McPhee, Peter</t>
  </si>
  <si>
    <t>PR9195.7 -- .C37 1996eb</t>
  </si>
  <si>
    <t>C810.8/054</t>
  </si>
  <si>
    <t>Canadian poetry -- 20th century.; Electronic books. -- local; Short stories, Canadian -- 20th century.</t>
  </si>
  <si>
    <t>http://public.eblib.com/choice/PublicFullRecord.aspx?p=299585</t>
  </si>
  <si>
    <t>Certifiable : Fictions</t>
  </si>
  <si>
    <t>McGimpsey, David</t>
  </si>
  <si>
    <t>PR9199.3.M42418 -- C47 2004eb</t>
  </si>
  <si>
    <t>Curiosities and wonders -- Fiction.; United States -- Social life and customs -- Fiction.</t>
  </si>
  <si>
    <t>http://public.eblib.com/choice/PublicFullRecord.aspx?p=299586</t>
  </si>
  <si>
    <t>Chewing On Tinfoil</t>
  </si>
  <si>
    <t>Ollmann, Joe</t>
  </si>
  <si>
    <t>PN6733.O42 -- C449 2002eb</t>
  </si>
  <si>
    <t>813.6; 813/.6 21</t>
  </si>
  <si>
    <t>Electronic books. -- local; Graphic novels.; Ollmann, Joe, -- 1966-</t>
  </si>
  <si>
    <t>http://public.eblib.com/choice/PublicFullRecord.aspx?p=299587</t>
  </si>
  <si>
    <t>Consider Her Ways</t>
  </si>
  <si>
    <t>Philip Grove, Frederick</t>
  </si>
  <si>
    <t>PR9199.3.G77 -- C66 2001eb</t>
  </si>
  <si>
    <t>C813/.52</t>
  </si>
  <si>
    <t>Ants -- Fiction.</t>
  </si>
  <si>
    <t>http://public.eblib.com/choice/PublicFullRecord.aspx?p=299588</t>
  </si>
  <si>
    <t>Contract with the World</t>
  </si>
  <si>
    <t>Rule, Jane</t>
  </si>
  <si>
    <t>PR9199.3.R78 -- C6 2005eb</t>
  </si>
  <si>
    <t>813/.54 22</t>
  </si>
  <si>
    <t>Art dealers -- Fiction.; Artists -- Fiction.; Electronic books. -- local; Gays -- Fiction.; Lesbians -- Fiction.; Vancouver (B.C.) -- Fiction.</t>
  </si>
  <si>
    <t>http://public.eblib.com/choice/PublicFullRecord.aspx?p=299589</t>
  </si>
  <si>
    <t>Contrarian Investor 13 : How to Earn Superior Returns in the Stockmarket</t>
  </si>
  <si>
    <t>Gallander, Benj</t>
  </si>
  <si>
    <t>HG4521 -- .G35 2003eb</t>
  </si>
  <si>
    <t>332.63/22 21</t>
  </si>
  <si>
    <t>Electronic books. -- local; Investments.; Stocks.</t>
  </si>
  <si>
    <t>http://public.eblib.com/choice/PublicFullRecord.aspx?p=299590</t>
  </si>
  <si>
    <t>Control Freaked</t>
  </si>
  <si>
    <t>Breslin, Mark; Barnum, P T</t>
  </si>
  <si>
    <t>PN2308.B74 -- A3 2000eb</t>
  </si>
  <si>
    <t>792.7/028/092; B</t>
  </si>
  <si>
    <t>Breslin, Mark.; Comedians -- Canada -- Biography.; Electronic books. -- local</t>
  </si>
  <si>
    <t>http://public.eblib.com/choice/PublicFullRecord.aspx?p=299591</t>
  </si>
  <si>
    <t>Creating Love : A Guide to Finding and Attracting Love</t>
  </si>
  <si>
    <t>Stevens, Samantha</t>
  </si>
  <si>
    <t>Religion; Philosophy</t>
  </si>
  <si>
    <t>BL626.4 -- .S74 2004eb</t>
  </si>
  <si>
    <t>128/.46</t>
  </si>
  <si>
    <t>Electronic books. -- local; Love -- Religious aspects -- New Age movement.; Love.</t>
  </si>
  <si>
    <t>http://public.eblib.com/choice/PublicFullRecord.aspx?p=299593</t>
  </si>
  <si>
    <t>Creating Money : Spiritual Prescriptions for Prosperity</t>
  </si>
  <si>
    <t>Religion; Economics</t>
  </si>
  <si>
    <t>BL65.W42 -- S74 2004eb</t>
  </si>
  <si>
    <t>Electronic books. -- local; Money -- Religious aspects -- New Age movement.; Wealth -- Religious aspects -- New Age movement.</t>
  </si>
  <si>
    <t>http://public.eblib.com/choice/PublicFullRecord.aspx?p=299594</t>
  </si>
  <si>
    <t>Cupboard Love 2 : A Dictionary of Culinary Curiosities</t>
  </si>
  <si>
    <t>Morton, Mark</t>
  </si>
  <si>
    <t>Health; Home Economics</t>
  </si>
  <si>
    <t>TX349 -- .M68 2004eb</t>
  </si>
  <si>
    <t>641.5/03</t>
  </si>
  <si>
    <t>Cooking -- Dictionaries.; Electronic books. -- local; Nutrition -- Dictionaries.</t>
  </si>
  <si>
    <t>http://public.eblib.com/choice/PublicFullRecord.aspx?p=299595</t>
  </si>
  <si>
    <t>Damaged</t>
  </si>
  <si>
    <t>PR9199.3.A536 -- D36 1998eb</t>
  </si>
  <si>
    <t>http://public.eblib.com/choice/PublicFullRecord.aspx?p=299596</t>
  </si>
  <si>
    <t>Desire High Heels Red Wine : A Gay and Lesbian Anthology</t>
  </si>
  <si>
    <t>Archer, Timothy; Gilbert, Sky; Mills, Sonja</t>
  </si>
  <si>
    <t>PS8237.H65 -- D47 1995eb</t>
  </si>
  <si>
    <t>810.8/0353 20</t>
  </si>
  <si>
    <t>Canadian literature.; Electronic books. -- local; Homosexuality -- Literary collections.</t>
  </si>
  <si>
    <t>http://public.eblib.com/choice/PublicFullRecord.aspx?p=299598</t>
  </si>
  <si>
    <t>Dubwise : Reasoning from the Reggae Underground</t>
  </si>
  <si>
    <t>Walker, Klive</t>
  </si>
  <si>
    <t>ML3532 -- .W35 2005eb</t>
  </si>
  <si>
    <t>Reggae music -- History and criticism.</t>
  </si>
  <si>
    <t>http://public.eblib.com/choice/PublicFullRecord.aspx?p=299599</t>
  </si>
  <si>
    <t>Dying for Veronica</t>
  </si>
  <si>
    <t>Remski, Matthew</t>
  </si>
  <si>
    <t>PS3568.E5715 -- D94 1997eb</t>
  </si>
  <si>
    <t>http://public.eblib.com/choice/PublicFullRecord.aspx?p=299600</t>
  </si>
  <si>
    <t>Early Poems</t>
  </si>
  <si>
    <t>Moritz, A.F.</t>
  </si>
  <si>
    <t>PS3563.O87168 -- A6 2002eb</t>
  </si>
  <si>
    <t>Electronic books. -- local; Moritz, A. F. -- (Albert Frank); Poetry, Modern -- 20th century.</t>
  </si>
  <si>
    <t>http://public.eblib.com/choice/PublicFullRecord.aspx?p=299601</t>
  </si>
  <si>
    <t>Eloise : Letters to A Lost Child</t>
  </si>
  <si>
    <t>Lavallee, Loise; Stone, Christopher</t>
  </si>
  <si>
    <t>BF575.G7 -- L3855 2002eb</t>
  </si>
  <si>
    <t>155.9/37; 155.937</t>
  </si>
  <si>
    <t>Children -- Death -- Psychological aspects.; Electronic books. -- local; Lavallée, Éloïse.; Lavallée, Loïse.; Lavallée, Loïse.; Mothers and daughters.</t>
  </si>
  <si>
    <t>http://public.eblib.com/choice/PublicFullRecord.aspx?p=299602</t>
  </si>
  <si>
    <t>Endless Knot : A Spiritual Odyssey Through Sado-Masochism</t>
  </si>
  <si>
    <t>Styranka, Matthew</t>
  </si>
  <si>
    <t>HQ79 -- S89 2001eb</t>
  </si>
  <si>
    <t>306.77/5/092 21; 306.775092</t>
  </si>
  <si>
    <t>Sadomasochism -- Canada -- Biography.; Styranka, Mathew, -- 1964-</t>
  </si>
  <si>
    <t>http://public.eblib.com/choice/PublicFullRecord.aspx?p=299604</t>
  </si>
  <si>
    <t>Every Inadequate Name : Poems</t>
  </si>
  <si>
    <t>Thran, Nick</t>
  </si>
  <si>
    <t>PR9199.4.T473 -- E84 2006eb</t>
  </si>
  <si>
    <t>811/.6 22; 821.92</t>
  </si>
  <si>
    <t>Electronic books. -- local; Poetry, Modern.; Poetry.</t>
  </si>
  <si>
    <t>http://public.eblib.com/choice/PublicFullRecord.aspx?p=299605</t>
  </si>
  <si>
    <t>Exstatic Almanac : AWOL Love Vibe</t>
  </si>
  <si>
    <t>AWOL Love Vibe,</t>
  </si>
  <si>
    <t>PR9199.3.F453 -- E9 1997eb</t>
  </si>
  <si>
    <t>http://public.eblib.com/choice/PublicFullRecord.aspx?p=299606</t>
  </si>
  <si>
    <t>Fatal Distraction</t>
  </si>
  <si>
    <t>Ahlers, Sonja</t>
  </si>
  <si>
    <t>PR9199.4.A36 -- F38 2004eb</t>
  </si>
  <si>
    <t>818/.607</t>
  </si>
  <si>
    <t>Ahlers, Sonja.; Canadian literature -- 21st century.; Electronic books. -- local</t>
  </si>
  <si>
    <t>http://public.eblib.com/choice/PublicFullRecord.aspx?p=299607</t>
  </si>
  <si>
    <t>Financial Self-Defense for Investors</t>
  </si>
  <si>
    <t>Gutowski, George</t>
  </si>
  <si>
    <t>HG4521 -- G88 2005eb</t>
  </si>
  <si>
    <t>Corporation reports.; Electronic books. -- local; Finance, Personal.; Investments.</t>
  </si>
  <si>
    <t>http://public.eblib.com/choice/PublicFullRecord.aspx?p=299609</t>
  </si>
  <si>
    <t>Flame of Separation</t>
  </si>
  <si>
    <t>Kennedy, Des</t>
  </si>
  <si>
    <t>PR9199.3.K41797 -- F57 2004eb</t>
  </si>
  <si>
    <t>Canadian literature.; Electronic books. -- local; Kennedy, Des, -- 1945-</t>
  </si>
  <si>
    <t>http://public.eblib.com/choice/PublicFullRecord.aspx?p=299610</t>
  </si>
  <si>
    <t>Flight of Aquavit : A Russell Quant Mystery</t>
  </si>
  <si>
    <t>PS8553.I319 -- F55 2006eb</t>
  </si>
  <si>
    <t>C813/.6</t>
  </si>
  <si>
    <t>Bidulka, Anthony, -- 1962-; Canadian literature.; Electronic books. -- local</t>
  </si>
  <si>
    <t>http://public.eblib.com/choice/PublicFullRecord.aspx?p=299611</t>
  </si>
  <si>
    <t>Fool's Bells</t>
  </si>
  <si>
    <t>D'anna, Lynnette</t>
  </si>
  <si>
    <t>PR9199.3.D26 -- F66 1999eb</t>
  </si>
  <si>
    <t>Electronic books. -- local; Victims of crimes -- Fiction.; Women -- Crimes against -- Fiction.</t>
  </si>
  <si>
    <t>http://public.eblib.com/choice/PublicFullRecord.aspx?p=299612</t>
  </si>
  <si>
    <t>Gardening in the Tropics</t>
  </si>
  <si>
    <t>Senior, Olive</t>
  </si>
  <si>
    <t>PR9265.9.S4 -- G37 2005eb</t>
  </si>
  <si>
    <t>811/.54 22</t>
  </si>
  <si>
    <t>Caribbean Area -- Poetry.; Caribbean Area -- Social life and customs -- Poetry.; Electronic books. -- local; Poetry, Modern -- 20th century.</t>
  </si>
  <si>
    <t>http://public.eblib.com/choice/PublicFullRecord.aspx?p=299613</t>
  </si>
  <si>
    <t>Get Stuffed Toronto : Eating out in Toronto for under $15</t>
  </si>
  <si>
    <t>Crysler, Julie</t>
  </si>
  <si>
    <t>Tourism/Hospitality</t>
  </si>
  <si>
    <t>TX907.5.C22 -- T67 1998eb</t>
  </si>
  <si>
    <t>647.95713/541 21</t>
  </si>
  <si>
    <t>Electronic books. -- local; Food -- Guidebooks.; Restaurants -- Ontario -- Toronto Metropolitan Area -- Guidebooks.</t>
  </si>
  <si>
    <t>http://public.eblib.com/choice/PublicFullRecord.aspx?p=299614</t>
  </si>
  <si>
    <t>Grade Power : The Complete Guide to Improving Your Grades Through Self-Hypnosis</t>
  </si>
  <si>
    <t>Education; Medicine</t>
  </si>
  <si>
    <t>RC499.A8 -- A434 2004eb</t>
  </si>
  <si>
    <t>Academic achievement.; Autogenic training.; Electronic books. -- local</t>
  </si>
  <si>
    <t>http://public.eblib.com/choice/PublicFullRecord.aspx?p=299616</t>
  </si>
  <si>
    <t>Guilty</t>
  </si>
  <si>
    <t>Gilbert , Sky</t>
  </si>
  <si>
    <t>PR9199.3.G5248 -- G8 1998eb</t>
  </si>
  <si>
    <t>Canadian fiction.; Electronic books. -- local; Gay men -- Fiction.</t>
  </si>
  <si>
    <t>http://public.eblib.com/choice/PublicFullRecord.aspx?p=299617</t>
  </si>
  <si>
    <t>Habits and Love</t>
  </si>
  <si>
    <t>Schumacher, Rod</t>
  </si>
  <si>
    <t>PR9199.4.S395 -- H33 2002eb</t>
  </si>
  <si>
    <t>Electronic books. -- local; Schumacher, Rodney Donald, -- 1951-; Short stories.</t>
  </si>
  <si>
    <t>http://public.eblib.com/choice/PublicFullRecord.aspx?p=299618</t>
  </si>
  <si>
    <t>Happy Pilgrims</t>
  </si>
  <si>
    <t>Finucan, Stephen</t>
  </si>
  <si>
    <t>PS8561.I72 -- H36 2000eb</t>
  </si>
  <si>
    <t>http://public.eblib.com/choice/PublicFullRecord.aspx?p=299619</t>
  </si>
  <si>
    <t>How to Survive the Recession and the Recovery : The Insomniac's Guide</t>
  </si>
  <si>
    <t>Farago, Anna</t>
  </si>
  <si>
    <t>HG179 -- .F373 2002eb</t>
  </si>
  <si>
    <t>Electronic books. -- local; Finance, Personal.; Saving and investment.</t>
  </si>
  <si>
    <t>http://public.eblib.com/choice/PublicFullRecord.aspx?p=299621</t>
  </si>
  <si>
    <t>Iced : The New Noir Anthology of Cold, Hard Fiction</t>
  </si>
  <si>
    <t>Schooley , Kerry J; Sellers, Peter</t>
  </si>
  <si>
    <t>PR9197.35.D48 -- I28 2001eb</t>
  </si>
  <si>
    <t>813/.087208971</t>
  </si>
  <si>
    <t>Detective and mystery stories, Canadian.; Noir fiction.</t>
  </si>
  <si>
    <t>http://public.eblib.com/choice/PublicFullRecord.aspx?p=299622</t>
  </si>
  <si>
    <t>if i knew, don't you think I'd tell you : Selected Journals of Jann Arden</t>
  </si>
  <si>
    <t>Arden, Jann</t>
  </si>
  <si>
    <t>ML420.A738 -- A734 2002eb</t>
  </si>
  <si>
    <t>782.42164/092; 782.42164092</t>
  </si>
  <si>
    <t>Arden, Jann -- Diaries.; Arden, Jann, -- Journal intime.; Electronic books. -- local; Singers -- Canada -- Biography.</t>
  </si>
  <si>
    <t>http://public.eblib.com/choice/PublicFullRecord.aspx?p=299623</t>
  </si>
  <si>
    <t>i'll tell you one damn thing and that's all i know</t>
  </si>
  <si>
    <t>ML420.A676 -- A3 2004eb</t>
  </si>
  <si>
    <t>Arden, Jann -- Diaries.; Arden, Jann, -- Journal intime.; Chanteurs -- Canada -- Biographies.; Electronic books. -- local; Singers -- Canada -- Biography.</t>
  </si>
  <si>
    <t>http://public.eblib.com/choice/PublicFullRecord.aspx?p=299624</t>
  </si>
  <si>
    <t>Julian the Magician</t>
  </si>
  <si>
    <t>MacEwen, Gwendolyn</t>
  </si>
  <si>
    <t>PR9199.3.M313 -- J85 2004eb</t>
  </si>
  <si>
    <t>Alchemy -- Fiction.; Electronic books. -- local; Historical fiction.</t>
  </si>
  <si>
    <t>http://public.eblib.com/choice/PublicFullRecord.aspx?p=299626</t>
  </si>
  <si>
    <t>King of Egypt, King of Dreams</t>
  </si>
  <si>
    <t>PR9199.3.M313 -- K56 2004eb</t>
  </si>
  <si>
    <t>813.54; 813/.54 22</t>
  </si>
  <si>
    <t>Akhenaton, -- King of Egypt -- Fiction.; Electronic books. -- local; Historical fiction.</t>
  </si>
  <si>
    <t>http://public.eblib.com/choice/PublicFullRecord.aspx?p=299627</t>
  </si>
  <si>
    <t>Ladies of the Night and other stories : Stories</t>
  </si>
  <si>
    <t>PR9199.3.P746 -- L3 2005eb</t>
  </si>
  <si>
    <t>Antigua -- Social life and customs -- Fiction.; Electronic books. -- local; Toronto (Ont.) -- Fiction.; Women, Black -- Fiction.</t>
  </si>
  <si>
    <t>http://public.eblib.com/choice/PublicFullRecord.aspx?p=299628</t>
  </si>
  <si>
    <t>Late Capitalist Sublime</t>
  </si>
  <si>
    <t>Kamstra, Ryan</t>
  </si>
  <si>
    <t>PR9199.4.K36 -- L38 2002eb</t>
  </si>
  <si>
    <t>Canadian poetry -- 21st century.; Electronic books. -- local; Kamstra, Ryan, -- 1975-</t>
  </si>
  <si>
    <t>http://public.eblib.com/choice/PublicFullRecord.aspx?p=299629</t>
  </si>
  <si>
    <t>Loving This Man : A Novel</t>
  </si>
  <si>
    <t>PR9199.3.P746 -- L68 2001eb</t>
  </si>
  <si>
    <t>Antigua -- Fiction.; Antiguans -- Ontario -- Toronto -- Fiction.; Mothers and daughters -- Fiction.; Toronto (Ont.) -- Fiction.</t>
  </si>
  <si>
    <t>http://public.eblib.com/choice/PublicFullRecord.aspx?p=299631</t>
  </si>
  <si>
    <t>Man and Beast</t>
  </si>
  <si>
    <t>Cole, Eric</t>
  </si>
  <si>
    <t>PR9199.4.C645 -- M36 2005eb</t>
  </si>
  <si>
    <t>821/.92 22</t>
  </si>
  <si>
    <t>Cole, Eric, -- 1959-; Electronic books. -- local; Poetry.</t>
  </si>
  <si>
    <t>http://public.eblib.com/choice/PublicFullRecord.aspx?p=299632</t>
  </si>
  <si>
    <t>Meet Me in the Parking Lot</t>
  </si>
  <si>
    <t>Leggat, Alexandra</t>
  </si>
  <si>
    <t>PR9199.3.L3943 -- M4 2004eb</t>
  </si>
  <si>
    <t>Electronic books. -- local; Leggat, Alexandra, -- 1964-; Short stories, Canadian.</t>
  </si>
  <si>
    <t>http://public.eblib.com/choice/PublicFullRecord.aspx?p=299633</t>
  </si>
  <si>
    <t>Mental Hygiene : Essays on Writers and Writing</t>
  </si>
  <si>
    <t>Robertson, Ray</t>
  </si>
  <si>
    <t>PR9199.3.R5319 -- Z47 2003eb</t>
  </si>
  <si>
    <t>Books -- Reviews.; Robertson, Ray, -- 1966-</t>
  </si>
  <si>
    <t>http://public.eblib.com/choice/PublicFullRecord.aspx?p=299634</t>
  </si>
  <si>
    <t>Misceallenous Female : The Journals of Dahmnait Doyle</t>
  </si>
  <si>
    <t>Doyle, Damhnait</t>
  </si>
  <si>
    <t>ML420.D69 -- A3 2005eb</t>
  </si>
  <si>
    <t>782.42164/092 22</t>
  </si>
  <si>
    <t>Doyle, Damhnait -- Diaries.; Doyle, Damhnait -- Journal intime.; Electronic books. -- local; Singers -- Canada -- Diaries.</t>
  </si>
  <si>
    <t>http://public.eblib.com/choice/PublicFullRecord.aspx?p=299636</t>
  </si>
  <si>
    <t>Naked Millionaire : A Women's Guide to Building a Healthy Relationship with Money</t>
  </si>
  <si>
    <t>Hyndman, Maxine</t>
  </si>
  <si>
    <t>HG179 -- .H96 2005eb</t>
  </si>
  <si>
    <t>Electronic books. -- local; Finance, Personal.; Women -- Finance, Personal.</t>
  </si>
  <si>
    <t>http://public.eblib.com/choice/PublicFullRecord.aspx?p=299637</t>
  </si>
  <si>
    <t>No One Can Stop the Rain : A Chronicle of Two Foreign Aid Workers During the Angolan Civil War</t>
  </si>
  <si>
    <t>Moorhouse, Karin</t>
  </si>
  <si>
    <t>DT1424.M66 -- A3 2005eb</t>
  </si>
  <si>
    <t>Angola -- History -- Civil War, 1975-2002 -- Participation, Cuban.; Angola -- History -- Civil War, 1975-2002 -- Personal narratives, Australian.; Angola -- History -- South African Incursions, 1978-1990.; Angola -- History -- South African Invasion, 1975-1976.; Cheng, Wei, -- 1958-; Moorhouse, Karin, -- 1961-</t>
  </si>
  <si>
    <t>http://public.eblib.com/choice/PublicFullRecord.aspx?p=299640</t>
  </si>
  <si>
    <t>Only the Ghost has Lasted</t>
  </si>
  <si>
    <t>Dembowski, Nancy</t>
  </si>
  <si>
    <t>PS8557.E466 -- O54 2000eb</t>
  </si>
  <si>
    <t>http://public.eblib.com/choice/PublicFullRecord.aspx?p=299642</t>
  </si>
  <si>
    <t>Organic Entrepreneur : Cultivating the Conscious Capitalist</t>
  </si>
  <si>
    <t>Philosophy; Economics; Business/Management</t>
  </si>
  <si>
    <t>HF5387 -- .H963 2006eb</t>
  </si>
  <si>
    <t>174/.4 22; 338.04</t>
  </si>
  <si>
    <t>Business ethics.; Electronic books. -- local; Social responsibility of business.</t>
  </si>
  <si>
    <t>http://public.eblib.com/choice/PublicFullRecord.aspx?p=299643</t>
  </si>
  <si>
    <t>Over the Roofs of the World</t>
  </si>
  <si>
    <t>PR9265.9.S4 -- O94 2005eb</t>
  </si>
  <si>
    <t>Electronic books. -- local; Jamaican poetry.; Senior, Olive.</t>
  </si>
  <si>
    <t>http://public.eblib.com/choice/PublicFullRecord.aspx?p=299644</t>
  </si>
  <si>
    <t>Parts Unknown : Wrestling, Gimmicks and Other Works</t>
  </si>
  <si>
    <t>Holmes, Michael</t>
  </si>
  <si>
    <t>PR9199.3.H5815 -- P37 2004eb</t>
  </si>
  <si>
    <t>Canadian poetry.; Electronic books. -- local; Holmes, Michael, -- 1966-</t>
  </si>
  <si>
    <t>http://public.eblib.com/choice/PublicFullRecord.aspx?p=299645</t>
  </si>
  <si>
    <t>Pause : Putting the Brakes on a Runaway Life</t>
  </si>
  <si>
    <t>Gibson, Katherine</t>
  </si>
  <si>
    <t>HQ2037 -- .G537 2006eb</t>
  </si>
  <si>
    <t>Electronic books. -- local; Quality of life.; Simplicity.</t>
  </si>
  <si>
    <t>http://public.eblib.com/choice/PublicFullRecord.aspx?p=299647</t>
  </si>
  <si>
    <t>Pedigree Girls</t>
  </si>
  <si>
    <t>Tija, Sherwin</t>
  </si>
  <si>
    <t>Literature; Fine Arts</t>
  </si>
  <si>
    <t>PN6734.P42 -- T54 2001eb</t>
  </si>
  <si>
    <t>741.5/971 21; 741.5971</t>
  </si>
  <si>
    <t>Comic books, strips, etc. -- Canada.; Electronic books. -- local; High schools -- Fiction.; Private schools -- Humor -- Fiction.</t>
  </si>
  <si>
    <t>http://public.eblib.com/choice/PublicFullRecord.aspx?p=299648</t>
  </si>
  <si>
    <t>Phases and Stages : The Terri Clark Journals</t>
  </si>
  <si>
    <t>Clark, Terri</t>
  </si>
  <si>
    <t>ML420.C538 -- A3 2003eb</t>
  </si>
  <si>
    <t>782.421642/092; B</t>
  </si>
  <si>
    <t>Clark, Terri -- Diaries.; Country musicians -- Diaries.</t>
  </si>
  <si>
    <t>http://public.eblib.com/choice/PublicFullRecord.aspx?p=299649</t>
  </si>
  <si>
    <t>Pink Icing</t>
  </si>
  <si>
    <t>Mordecai, Pamela</t>
  </si>
  <si>
    <t>PR9199.3.M6358 -- P55 2006eb</t>
  </si>
  <si>
    <t>811/.54; 813/.54 22</t>
  </si>
  <si>
    <t>Electronic books. -- local; Jamaica -- Social life and customs -- Fiction.; Short stories.</t>
  </si>
  <si>
    <t>http://public.eblib.com/choice/PublicFullRecord.aspx?p=299650</t>
  </si>
  <si>
    <t>Professional Financial Advisor II : How the Financial Services Industry Hides the Ugly Truth</t>
  </si>
  <si>
    <t>de Goey, John</t>
  </si>
  <si>
    <t>HG179.5 -- .D44 2006eb</t>
  </si>
  <si>
    <t>332.6/2/0971 22</t>
  </si>
  <si>
    <t>Electronic books. -- local; Financial planners -- Canada.; Financial services industry -- Canada.; Investment advisors -- Canada.</t>
  </si>
  <si>
    <t>http://public.eblib.com/choice/PublicFullRecord.aspx?p=299652</t>
  </si>
  <si>
    <t>Psychic Self Defense : Spiritual Prescriptions for Inner Peace</t>
  </si>
  <si>
    <t>Philosophy</t>
  </si>
  <si>
    <t>BF1389.A8 -- S74 2003eb</t>
  </si>
  <si>
    <t>133.8; 133.8/92; 133.892</t>
  </si>
  <si>
    <t>Aura.; Electronic books. -- local; Peace of mind -- New Age movement.</t>
  </si>
  <si>
    <t>http://public.eblib.com/choice/PublicFullRecord.aspx?p=299653</t>
  </si>
  <si>
    <t>Psychic Unrest</t>
  </si>
  <si>
    <t>Allen, Lillian</t>
  </si>
  <si>
    <t>PR9199.3.A392 -- P78 1999eb</t>
  </si>
  <si>
    <t>Blacks -- Canada -- Poetry.; Canadian poetry.; Electronic books. -- local</t>
  </si>
  <si>
    <t>http://public.eblib.com/choice/PublicFullRecord.aspx?p=299654</t>
  </si>
  <si>
    <t>Public Power : The Fight for Publicly Owned Electricity</t>
  </si>
  <si>
    <t>Hampton, Howard; Reno, Bill</t>
  </si>
  <si>
    <t>HD9685.C2 -- H36 2003eb</t>
  </si>
  <si>
    <t>333.793/2/0971</t>
  </si>
  <si>
    <t>Electric utilities -- Government ownership -- Canada.; Electric utilities -- Government ownership -- United States.; Privatization -- Canada.; Privatization -- United States.</t>
  </si>
  <si>
    <t>http://public.eblib.com/choice/PublicFullRecord.aspx?p=299655</t>
  </si>
  <si>
    <t>Pull Gently, Tear Here</t>
  </si>
  <si>
    <t>PR9199.3.L3943 -- P8 2001eb</t>
  </si>
  <si>
    <t>Canadian fiction.; Electronic books. -- local; Leggat, Alexandra, -- 1964-</t>
  </si>
  <si>
    <t>http://public.eblib.com/choice/PublicFullRecord.aspx?p=299656</t>
  </si>
  <si>
    <t>Pupa</t>
  </si>
  <si>
    <t>Graham, Catherine</t>
  </si>
  <si>
    <t>PR6057.R2325 -- P86 2003eb</t>
  </si>
  <si>
    <t>821/.914</t>
  </si>
  <si>
    <t>Parents -- Death -- Poetry.</t>
  </si>
  <si>
    <t>http://public.eblib.com/choice/PublicFullRecord.aspx?p=299657</t>
  </si>
  <si>
    <t>Quantum Jump : A Survival Guide for the Next Renaissance</t>
  </si>
  <si>
    <t>Clement, W. R.</t>
  </si>
  <si>
    <t>HM451 -- .C54 1998eb</t>
  </si>
  <si>
    <t>Abstraction -- Social aspects.; Civilization, Modern -- 1950-; Electronic books. -- local; Information technology -- Social aspects.; Postmodernism -- Social aspects.; Social history -- 1970-; Twenty-first century.</t>
  </si>
  <si>
    <t>http://public.eblib.com/choice/PublicFullRecord.aspx?p=299658</t>
  </si>
  <si>
    <t>Reforming the Prophet : The Dawn of the Islamic Reformation</t>
  </si>
  <si>
    <t>Clement, W.R.</t>
  </si>
  <si>
    <t>Religion</t>
  </si>
  <si>
    <t>BP60 -- .C57 2002eb</t>
  </si>
  <si>
    <t>297/.09/04</t>
  </si>
  <si>
    <t>Islam -- 21st century.; Islam and politics.; Islamic renewal.; Religious awakening -- Islam.</t>
  </si>
  <si>
    <t>http://public.eblib.com/choice/PublicFullRecord.aspx?p=299659</t>
  </si>
  <si>
    <t>Resources Rock : How to Invest in and Profit from the Next Global Boom in Natural Resources</t>
  </si>
  <si>
    <t>Spooner, Mal; Clarke, Pamela</t>
  </si>
  <si>
    <t>HC85 -- .S66 2005eb</t>
  </si>
  <si>
    <t>332.67/8</t>
  </si>
  <si>
    <t>Electronic books. -- local; Finance, Personal.; Investments.; Natural resources.</t>
  </si>
  <si>
    <t>http://public.eblib.com/choice/PublicFullRecord.aspx?p=299660</t>
  </si>
  <si>
    <t>Restless</t>
  </si>
  <si>
    <t>PR9199.3.R548 -- R47 1998eb</t>
  </si>
  <si>
    <t>Canada -- Social life and customs -- Fiction.; Canadian fiction.; Electronic books. -- local</t>
  </si>
  <si>
    <t>http://public.eblib.com/choice/PublicFullRecord.aspx?p=299661</t>
  </si>
  <si>
    <t>River Suite : A Collection of Poetry</t>
  </si>
  <si>
    <t>Blades, Joe</t>
  </si>
  <si>
    <t>PR9199.3.B52 -- R58 1998eb</t>
  </si>
  <si>
    <t>811.54; 811/.54 21</t>
  </si>
  <si>
    <t>http://public.eblib.com/choice/PublicFullRecord.aspx?p=299662</t>
  </si>
  <si>
    <t>Same-Sex Marriage : The Personal and the Political</t>
  </si>
  <si>
    <t>Alderson, Kevin; Lahey, Kathleen</t>
  </si>
  <si>
    <t>HQ1033 -- .L34 2004eb</t>
  </si>
  <si>
    <t>306.84/8</t>
  </si>
  <si>
    <t>Gay couples -- Interviews.; Same-sex marriage.</t>
  </si>
  <si>
    <t>http://public.eblib.com/choice/PublicFullRecord.aspx?p=299663</t>
  </si>
  <si>
    <t>Sap : A Mystery</t>
  </si>
  <si>
    <t>Swan, John</t>
  </si>
  <si>
    <t>PR9199.3.S933 -- S27 2003eb</t>
  </si>
  <si>
    <t>Private investigators -- Canada -- Fiction.</t>
  </si>
  <si>
    <t>http://public.eblib.com/choice/PublicFullRecord.aspx?p=299664</t>
  </si>
  <si>
    <t>Scavenger</t>
  </si>
  <si>
    <t>Smith, Dennison</t>
  </si>
  <si>
    <t>PS3569.M525 -- S23 1997eb</t>
  </si>
  <si>
    <t>Arizona -- Fiction.; Electronic books. -- local; Girls -- Fiction.; Irish American families -- Fiction.; Navajo philosophy -- Fiction.</t>
  </si>
  <si>
    <t>http://public.eblib.com/choice/PublicFullRecord.aspx?p=299666</t>
  </si>
  <si>
    <t>Scotch : A Journal of Single-Malt Whiskies</t>
  </si>
  <si>
    <t>Lee, Alma</t>
  </si>
  <si>
    <t>Engineering; Home Economics; Engineering: Chemical</t>
  </si>
  <si>
    <t>TP605 -- L44 2001eb</t>
  </si>
  <si>
    <t>641.2/52/09411</t>
  </si>
  <si>
    <t>Diaries (Blank-books); Electronic books. -- local; Whiskey -- Scotland.</t>
  </si>
  <si>
    <t>http://public.eblib.com/choice/PublicFullRecord.aspx?p=299667</t>
  </si>
  <si>
    <t>Scouts are Cancelled : The Annapolis Valley Poems and One Short Story</t>
  </si>
  <si>
    <t>Stiles, John</t>
  </si>
  <si>
    <t>PR9199.4.S75 -- S38 2002eb</t>
  </si>
  <si>
    <t>Annapolis Valley (Annapolis County and Kings County, N.S.) -- Literary collections.; Nova Scotia -- Literary collections.</t>
  </si>
  <si>
    <t>http://public.eblib.com/choice/PublicFullRecord.aspx?p=299668</t>
  </si>
  <si>
    <t>Seven Rays : A Universal Guide to the Archangels, 1</t>
  </si>
  <si>
    <t>Lypchuk, Donna</t>
  </si>
  <si>
    <t>Philosophy; Religion</t>
  </si>
  <si>
    <t>BF1442.S49 -- S74 2003eb</t>
  </si>
  <si>
    <t>Electronic books. -- local; Seven rays (Occultism); Seven rays (Occultism) -- Handbooks, manuals, etc.</t>
  </si>
  <si>
    <t>http://public.eblib.com/choice/PublicFullRecord.aspx?p=299669</t>
  </si>
  <si>
    <t>Side/Lines : A New Poetics</t>
  </si>
  <si>
    <t>mclennan, rob</t>
  </si>
  <si>
    <t>PR9190.2 -- .S53 2002eb</t>
  </si>
  <si>
    <t>Canadian poetry -- 20th century.; Canadian poetry -- 21st century.; Canadian poetry -- History and criticism -- Theory, etc.; Poetics.; Poetry -- Authorship.</t>
  </si>
  <si>
    <t>http://public.eblib.com/choice/PublicFullRecord.aspx?p=299670</t>
  </si>
  <si>
    <t>Some Sunny Day</t>
  </si>
  <si>
    <t>Davies, Paul</t>
  </si>
  <si>
    <t>PR9199.3.D295 -- S66 2005eb</t>
  </si>
  <si>
    <t>Gods, Greek -- Fiction.</t>
  </si>
  <si>
    <t>http://public.eblib.com/choice/PublicFullRecord.aspx?p=299671</t>
  </si>
  <si>
    <t>St. Stephen's</t>
  </si>
  <si>
    <t>Gilbert, Sky</t>
  </si>
  <si>
    <t>PS8563.I44 -- S7 1999eb</t>
  </si>
  <si>
    <t>813.54; 813/.54 21</t>
  </si>
  <si>
    <t>College teachers -- Fiction.; Electronic books. -- local; Gay men -- Fiction.</t>
  </si>
  <si>
    <t>http://public.eblib.com/choice/PublicFullRecord.aspx?p=299672</t>
  </si>
  <si>
    <t>Stain of the Berry : A Russell Quant Mystery</t>
  </si>
  <si>
    <t>PR9199.4.B497 -- S73 2006eb</t>
  </si>
  <si>
    <t>Gay men -- Fiction.; Private investigators -- Saskatchewan -- Saskatoon -- Fiction.; Quant, Russell (Fictitious character) -- Fiction.; Saskatoon (Sask.) -- Fiction.</t>
  </si>
  <si>
    <t>http://public.eblib.com/choice/PublicFullRecord.aspx?p=299673</t>
  </si>
  <si>
    <t>Swimming in the Ocean</t>
  </si>
  <si>
    <t>Jenkins, Catherine</t>
  </si>
  <si>
    <t>PR9199.3.J395 -- S95 2002eb</t>
  </si>
  <si>
    <t>Caribbean Area -- Fiction.</t>
  </si>
  <si>
    <t>http://public.eblib.com/choice/PublicFullRecord.aspx?p=299676</t>
  </si>
  <si>
    <t>Tapas on the Ramblas : A Russell Quant Mystery</t>
  </si>
  <si>
    <t>PR9199.4.B497 -- T37 2005eb</t>
  </si>
  <si>
    <t>Gay men -- Fiction.; Private investigators -- Fiction.; Quant, Russell (Fictitious character) -- Fiction.</t>
  </si>
  <si>
    <t>http://public.eblib.com/choice/PublicFullRecord.aspx?p=299677</t>
  </si>
  <si>
    <t>Tell Him You're Married</t>
  </si>
  <si>
    <t>PR9199.3.R548 -- T45 2002eb</t>
  </si>
  <si>
    <t>Electronic books. -- local; Rogal, Stanley Wm. -- (Stanley William); Short stories, Canadian.</t>
  </si>
  <si>
    <t>http://public.eblib.com/choice/PublicFullRecord.aspx?p=299678</t>
  </si>
  <si>
    <t>Book of Emma</t>
  </si>
  <si>
    <t>Agnant, Marie-Célie</t>
  </si>
  <si>
    <t>PQ3919.2.A38 -- L5813 2006eb</t>
  </si>
  <si>
    <t>843.54; 843/.54 22</t>
  </si>
  <si>
    <t>Agnant, Marie-Célie.; Electronic books. -- local; Fiction.; Haiti -- Fiction.</t>
  </si>
  <si>
    <t>http://public.eblib.com/choice/PublicFullRecord.aspx?p=299679</t>
  </si>
  <si>
    <t>Friendly Banker</t>
  </si>
  <si>
    <t>Baughman, Richard</t>
  </si>
  <si>
    <t>HG179 -- .B38 1999eb</t>
  </si>
  <si>
    <t>332.024/02</t>
  </si>
  <si>
    <t>Debt.; Electronic books. -- local; Finance, Personal.; Mortgage loans.</t>
  </si>
  <si>
    <t>http://public.eblib.com/choice/PublicFullRecord.aspx?p=299680</t>
  </si>
  <si>
    <t>Heart is its own Reason</t>
  </si>
  <si>
    <t>Caple, Natalee</t>
  </si>
  <si>
    <t>PR9199.3.C3 -- H43 1998eb</t>
  </si>
  <si>
    <t>http://public.eblib.com/choice/PublicFullRecord.aspx?p=299681</t>
  </si>
  <si>
    <t>Inactivist</t>
  </si>
  <si>
    <t>Eaton, Chris</t>
  </si>
  <si>
    <t>PR9199.4.E24 -- I53 2003eb</t>
  </si>
  <si>
    <t>Copy writers -- Fiction.; Environmentalists -- Fiction.</t>
  </si>
  <si>
    <t>http://public.eblib.com/choice/PublicFullRecord.aspx?p=299682</t>
  </si>
  <si>
    <t>Insolent Boy</t>
  </si>
  <si>
    <t>PR9199.4.S75 -- I57 2001eb</t>
  </si>
  <si>
    <t>Canada -- Fiction.; Canadian fiction.; Electronic books. -- local</t>
  </si>
  <si>
    <t>http://public.eblib.com/choice/PublicFullRecord.aspx?p=299683</t>
  </si>
  <si>
    <t>IV Lounge Reader</t>
  </si>
  <si>
    <t>Vermeersch, Paul</t>
  </si>
  <si>
    <t>PS8251 -- .I82 2001eb</t>
  </si>
  <si>
    <t>C810.8/006</t>
  </si>
  <si>
    <t>Canadian fiction -- 21st century.; Canadian poetry -- 21st century.; Electronic books. -- local; Short stories, Canadian.</t>
  </si>
  <si>
    <t>http://public.eblib.com/choice/PublicFullRecord.aspx?p=299684</t>
  </si>
  <si>
    <t>Last Word : An Insomniac Anthology of Canadian Poetry</t>
  </si>
  <si>
    <t>PR9194.4 -- .L37 1995eb</t>
  </si>
  <si>
    <t>811/.5408 20</t>
  </si>
  <si>
    <t>Canadian literature.; Canadian poetry -- 20th century.; Electronic books. -- local</t>
  </si>
  <si>
    <t>http://public.eblib.com/choice/PublicFullRecord.aspx?p=299685</t>
  </si>
  <si>
    <t>Long Drive Home</t>
  </si>
  <si>
    <t>PR9199.3.R548 -- L66 1999eb</t>
  </si>
  <si>
    <t>Canadian fiction.; Electronic books. -- local; Québec (Province) -- Fiction.</t>
  </si>
  <si>
    <t>http://public.eblib.com/choice/PublicFullRecord.aspx?p=299686</t>
  </si>
  <si>
    <t>Lover's Tongue : A Merry Romp Through the Language of Love and Sex</t>
  </si>
  <si>
    <t>HQ23 -- .M67 2003eb</t>
  </si>
  <si>
    <t>306.7/01/4</t>
  </si>
  <si>
    <t>English language -- Etymology.; English language -- Terms and phrases.; Love -- Terminology.; Sex -- Terminology.</t>
  </si>
  <si>
    <t>http://public.eblib.com/choice/PublicFullRecord.aspx?p=299687</t>
  </si>
  <si>
    <t>Mole Chronicles</t>
  </si>
  <si>
    <t>Brown, Andy</t>
  </si>
  <si>
    <t>PR6052.R58723 -- M65 2006eb</t>
  </si>
  <si>
    <t>Canadian fiction.; Electronic books. -- local; Families -- Fiction.</t>
  </si>
  <si>
    <t>http://public.eblib.com/choice/PublicFullRecord.aspx?p=299688</t>
  </si>
  <si>
    <t>Patron Saint of Business Management : A New Management Style from a Wise Monk</t>
  </si>
  <si>
    <t>HF5549 -- .F373 2002eb</t>
  </si>
  <si>
    <t>658.3 21</t>
  </si>
  <si>
    <t>Benedict, -- Saint, Abbot of Monte Cassino. -- Regula.; Electronic books. -- local; Personnel management.</t>
  </si>
  <si>
    <t>http://public.eblib.com/choice/PublicFullRecord.aspx?p=299690</t>
  </si>
  <si>
    <t>Pension Strategy : The Ultimate Guide to Personal Investing</t>
  </si>
  <si>
    <t>HG179 -- .S5325 2004eb</t>
  </si>
  <si>
    <t>332.024/014/0971</t>
  </si>
  <si>
    <t>Electronic books. -- local; Investments.; Portfolio management.; Retirement income -- Planning.; Retirement income -- United States -- Planning.</t>
  </si>
  <si>
    <t>http://public.eblib.com/choice/PublicFullRecord.aspx?p=299691</t>
  </si>
  <si>
    <t>Pleasures of Time : Two Men, a Life</t>
  </si>
  <si>
    <t>Harold Riggins, Stephen</t>
  </si>
  <si>
    <t>HQ75.8.R54 -- A3 2003eb</t>
  </si>
  <si>
    <t>305.38/9664/0922</t>
  </si>
  <si>
    <t>Bouissac, Paul.; Gay men -- Biography.; Riggins, Stephen Harold, -- 1946-</t>
  </si>
  <si>
    <t>http://public.eblib.com/choice/PublicFullRecord.aspx?p=299692</t>
  </si>
  <si>
    <t>Power of Appreciation</t>
  </si>
  <si>
    <t>Nelson, Noelle</t>
  </si>
  <si>
    <t>BF637.S4 -- N457 2006eb</t>
  </si>
  <si>
    <t>158.1 22</t>
  </si>
  <si>
    <t>Electronic books. -- local; Gratitude.; Man-woman relationships.; Self-actualization (Psychology); Values -- Psychological aspects.; Work -- Psychological aspects.</t>
  </si>
  <si>
    <t>http://public.eblib.com/choice/PublicFullRecord.aspx?p=299693</t>
  </si>
  <si>
    <t>Retirement Guide : A Comprehensive Handbook on Aging, Retirement, Caregiving and Health - How to Plan and Pay For It</t>
  </si>
  <si>
    <t>Midlam, Michael; McWaters, Graham; Page, John</t>
  </si>
  <si>
    <t>HG179 -- .M53 2004eb</t>
  </si>
  <si>
    <t>332.024/01 22</t>
  </si>
  <si>
    <t>Electronic books. -- local; Retirement -- United States -- Planning.; Retirement income -- United States -- Planning.</t>
  </si>
  <si>
    <t>http://public.eblib.com/choice/PublicFullRecord.aspx?p=299696</t>
  </si>
  <si>
    <t>Uncommon Entrepreneur</t>
  </si>
  <si>
    <t>HD62.5 -- .G35 2000eb</t>
  </si>
  <si>
    <t>658.1/141 21</t>
  </si>
  <si>
    <t>Electronic books. -- local; New business enterprises -- Planning.; Small business -- Management.</t>
  </si>
  <si>
    <t>http://public.eblib.com/choice/PublicFullRecord.aspx?p=299698</t>
  </si>
  <si>
    <t>Uncommon Investor</t>
  </si>
  <si>
    <t>Gallander, Benjamin</t>
  </si>
  <si>
    <t>HG4521 -- .G35 1998eb</t>
  </si>
  <si>
    <t>332.024 21</t>
  </si>
  <si>
    <t>Electronic books. -- local; Finance, Personal.; Investments.</t>
  </si>
  <si>
    <t>http://public.eblib.com/choice/PublicFullRecord.aspx?p=299699</t>
  </si>
  <si>
    <t>This Is Not For You</t>
  </si>
  <si>
    <t>PR9199.3.R78 -- T457 2005eb</t>
  </si>
  <si>
    <t>Electronic books. -- local; Female friendship -- Fiction.; Lesbianism -- Fiction.</t>
  </si>
  <si>
    <t>http://public.eblib.com/choice/PublicFullRecord.aspx?p=299701</t>
  </si>
  <si>
    <t>This Will All End in Tears</t>
  </si>
  <si>
    <t>Literature; Fine Arts; Fiction</t>
  </si>
  <si>
    <t>PN6733.O42 -- T457 2006eb</t>
  </si>
  <si>
    <t>741.5/971 22</t>
  </si>
  <si>
    <t>Comic books, strips, etc. -- Canada.; Electronic books. -- local; Graphic novels.</t>
  </si>
  <si>
    <t>http://public.eblib.com/choice/PublicFullRecord.aspx?p=299702</t>
  </si>
  <si>
    <t>Uncivilizing : A Collection of Poetry</t>
  </si>
  <si>
    <t>Davidson, Caroline; Nash, Roger; Dunn, Sonja; Lever, Bernice ; Reaney, James ; Sward, Robert</t>
  </si>
  <si>
    <t>PR9195.7 -- .U49 1997eb</t>
  </si>
  <si>
    <t>C811/.5408</t>
  </si>
  <si>
    <t>http://public.eblib.com/choice/PublicFullRecord.aspx?p=299703</t>
  </si>
  <si>
    <t>Vixen</t>
  </si>
  <si>
    <t>PR9199.3.D26 -- V58 2001eb</t>
  </si>
  <si>
    <t>Canadian fiction.; D''anna, Lynnette, -- 1955-; Electronic books. -- local</t>
  </si>
  <si>
    <t>http://public.eblib.com/choice/PublicFullRecord.aspx?p=299704</t>
  </si>
  <si>
    <t>What Passes for Love : A Collection of Short Stories</t>
  </si>
  <si>
    <t>PR9199.3.R548 -- W53 1996eb</t>
  </si>
  <si>
    <t>Canada -- Social life and customs -- Fiction.; Electronic books. -- local; Love stories, Canadian.</t>
  </si>
  <si>
    <t>http://public.eblib.com/choice/PublicFullRecord.aspx?p=299706</t>
  </si>
  <si>
    <t>What's a Black Critic To Do? : Interviews, Profiles and Reviews of Black Writers</t>
  </si>
  <si>
    <t>Bailey Nurse, Donna</t>
  </si>
  <si>
    <t>PR9188.2.B57 -- B35 2003eb</t>
  </si>
  <si>
    <t>810.9/896072</t>
  </si>
  <si>
    <t>African Americans -- Intellectual life.; African Americans in literature.; American literature -- African American authors -- History and criticism.; Blacks -- Canada -- Intellectual life.; Blacks in literature.; Canadian literature -- Black authors -- History and criticism.; Race in literature.</t>
  </si>
  <si>
    <t>http://public.eblib.com/choice/PublicFullRecord.aspx?p=299708</t>
  </si>
  <si>
    <t>Why We Go To Zoos</t>
  </si>
  <si>
    <t>Leznoff, Noah</t>
  </si>
  <si>
    <t>PR9199.3.L4698 -- W49 1997eb</t>
  </si>
  <si>
    <t>http://public.eblib.com/choice/PublicFullRecord.aspx?p=299710</t>
  </si>
  <si>
    <t>Digital Poverty : Latin American and Caribbean Perspectives</t>
  </si>
  <si>
    <t>Galperin, Hernan; Mariscal, Judith</t>
  </si>
  <si>
    <t>HC130.I55 -- D55 2007eb</t>
  </si>
  <si>
    <t>Digital divide -- Caribbean Area.; Digital divide -- Latin America.; Electronic books. -- local; Information technology -- Economic aspects -- Caribbean Area.; Information technology -- Economic aspects -- Latin America.; Information technology -- Social aspects -- Caribbean Area.; Information technology -- Social aspects -- Latin America.</t>
  </si>
  <si>
    <t>http://public.eblib.com/choice/PublicFullRecord.aspx?p=306088</t>
  </si>
  <si>
    <t>Power Of Peer Learning : Networks and Development Cooperation</t>
  </si>
  <si>
    <t>Guilmette, Jean-H.</t>
  </si>
  <si>
    <t>HD75.8 -- .G85 2007eb</t>
  </si>
  <si>
    <t>338.91 22</t>
  </si>
  <si>
    <t>Economic development projects -- Europe, Eastern.; Economic development projects -- International cooperation.; Economic development projects -- Political aspects.; Electronic books. -- local; Knowledge management.</t>
  </si>
  <si>
    <t>http://public.eblib.com/choice/PublicFullRecord.aspx?p=306089</t>
  </si>
  <si>
    <t>Sustainable Development At Risk : Ignoring the Past</t>
  </si>
  <si>
    <t>Hulse, Joseph H.</t>
  </si>
  <si>
    <t>Business/Management; Environmental Studies</t>
  </si>
  <si>
    <t>HC79.E5 -- H84 2007eb</t>
  </si>
  <si>
    <t>363.738; 363.7384</t>
  </si>
  <si>
    <t>Electronic books. -- local; Human ecology.; Sustainable development.</t>
  </si>
  <si>
    <t>http://public.eblib.com/choice/PublicFullRecord.aspx?p=306090</t>
  </si>
  <si>
    <t>Paz, Conflicto Y Sociedad Civil En América Latina Y El Caribe</t>
  </si>
  <si>
    <t>Serbin, Andrés</t>
  </si>
  <si>
    <t>HN110.5.Z9 -- P39 2007eb</t>
  </si>
  <si>
    <t>Civil society -- Latin America.; Electronic books. -- local; National security -- Latin America.</t>
  </si>
  <si>
    <t>http://public.eblib.com/choice/PublicFullRecord.aspx?p=306091</t>
  </si>
  <si>
    <t>E-Goverance in Africa : A Handbook on ICTs for Local Governance</t>
  </si>
  <si>
    <t>Misuraca, Gianluca</t>
  </si>
  <si>
    <t>JQ1875.A55 -- A86 2007eb</t>
  </si>
  <si>
    <t>352.3/802854678</t>
  </si>
  <si>
    <t>Electronic books. -- local; Information technology -- Africa.; Internet in public administration -- Africa.</t>
  </si>
  <si>
    <t>http://public.eblib.com/choice/PublicFullRecord.aspx?p=312182</t>
  </si>
  <si>
    <t>Chiva : A Village Takes on the Global Heroin Trade</t>
  </si>
  <si>
    <t>HV5822.H4 -- G54 2005eb</t>
  </si>
  <si>
    <t>Alienation (Social psychology); Drug abuse -- New Mexico -- Chimayo -- Prevention.; Drug abuse -- Psychological aspects.; Drug abuse -- Social aspects.; Drug traffic -- New Mexico -- Chimayo.; Heroin abuse -- New Mexico -- Chimayo -- History.; Heroin industry.</t>
  </si>
  <si>
    <t>http://public.eblib.com/choice/PublicFullRecord.aspx?p=316342</t>
  </si>
  <si>
    <t>Design for Water : Rainwater Harvesting, Stormwater Catchment, and Alternate Water Reuse</t>
  </si>
  <si>
    <t>Kinkade-Levario, Heather</t>
  </si>
  <si>
    <t>Engineering: Environmental; Engineering</t>
  </si>
  <si>
    <t>TD353 -- .K56 2007eb</t>
  </si>
  <si>
    <t>Electronic books. -- local; Water conservation.; Water harvesting.</t>
  </si>
  <si>
    <t>http://public.eblib.com/choice/PublicFullRecord.aspx?p=316343</t>
  </si>
  <si>
    <t>The Economics of Happiness : Building Genuine Wealth</t>
  </si>
  <si>
    <t>Anielski, Mark</t>
  </si>
  <si>
    <t>HB74.P8 -- A63 2007eb</t>
  </si>
  <si>
    <t>330.01/9</t>
  </si>
  <si>
    <t>Economics -- Psychological aspects.; Electronic books. -- local; Happiness -- Economic aspects.; Wealth.; Well-being.</t>
  </si>
  <si>
    <t>http://public.eblib.com/choice/PublicFullRecord.aspx?p=316344</t>
  </si>
  <si>
    <t>The Great Neighborhood Book : A Do-it-Yourself Guide to Placemaking</t>
  </si>
  <si>
    <t>Walljasper, Jay; Project for Public Spaces</t>
  </si>
  <si>
    <t>HT166 -- .W234 2007eb</t>
  </si>
  <si>
    <t>307.3/36216</t>
  </si>
  <si>
    <t>Community development, Urban.; Community life.; Electronic books. -- local; Neighborhoods -- Social aspects.</t>
  </si>
  <si>
    <t>http://public.eblib.com/choice/PublicFullRecord.aspx?p=316345</t>
  </si>
  <si>
    <t>The New Village Green : Living Light, Living Local, Living Large</t>
  </si>
  <si>
    <t>Editors of Green Living; Morris, Stephen</t>
  </si>
  <si>
    <t>Social Science; Environmental Studies</t>
  </si>
  <si>
    <t>GE195 -- .N49 2007eb</t>
  </si>
  <si>
    <t>304.2/8</t>
  </si>
  <si>
    <t>Electronic books. -- local; Environmental protection.; Environmentalism.; Human ecology.</t>
  </si>
  <si>
    <t>http://public.eblib.com/choice/PublicFullRecord.aspx?p=316347</t>
  </si>
  <si>
    <t>How to Re-imagine the World : A Pocket Guide for Practical Visionaries</t>
  </si>
  <si>
    <t>Weston, Anthony</t>
  </si>
  <si>
    <t>Psychology; Social Science</t>
  </si>
  <si>
    <t>BF408 -- .W48 2007eb</t>
  </si>
  <si>
    <t>153.35; 303.4833</t>
  </si>
  <si>
    <t>Creative thinking.; Electronic books. -- local; Social change -- Citizen participation.; Social change.; Social problems.</t>
  </si>
  <si>
    <t>http://public.eblib.com/choice/PublicFullRecord.aspx?p=316349</t>
  </si>
  <si>
    <t>Urban Meltdown : Cities, Climate Change and Politics-as-Usual</t>
  </si>
  <si>
    <t>Doucet, Clive</t>
  </si>
  <si>
    <t>HT241 -- .D83 2007eb</t>
  </si>
  <si>
    <t>363.738/74/091732</t>
  </si>
  <si>
    <t>City planning -- Environmental aspects.; Climatic changes.; Environmental degradation.; Global warming -- Political aspects.; Municipal government.; Urban ecology (Sociology); Urbanization -- Environmental aspects.</t>
  </si>
  <si>
    <t>http://public.eblib.com/choice/PublicFullRecord.aspx?p=316350</t>
  </si>
  <si>
    <t>Your Green Home : A Guide to Planning a Healthy, Environmentally Friendly New Home</t>
  </si>
  <si>
    <t>Wilson, Alex</t>
  </si>
  <si>
    <t>TH4860 -- .W55 2006eb</t>
  </si>
  <si>
    <t>690/.8047; 728.047</t>
  </si>
  <si>
    <t>Dwellings -- Energy conservation.; Ecological houses -- Design and construction.; Electronic books. -- local; Green products.</t>
  </si>
  <si>
    <t>http://public.eblib.com/choice/PublicFullRecord.aspx?p=316351</t>
  </si>
  <si>
    <t>Electric Water : The Emerging Revolution in Water and Energy</t>
  </si>
  <si>
    <t>Swan, Christopher C.</t>
  </si>
  <si>
    <t>Engineering: Mechanical; Engineering; Environmental Studies; Economics</t>
  </si>
  <si>
    <t>TJ163.2 -- .S93 2007eb</t>
  </si>
  <si>
    <t>Electronic books. -- local; Energy development.; Environmental engineering -- Technological innovations.; Renewable energy sources.; Sustainable engineering.</t>
  </si>
  <si>
    <t>http://public.eblib.com/choice/PublicFullRecord.aspx?p=316352</t>
  </si>
  <si>
    <t>Extreme Weather Hits Home : Protecting Your Buildings from Climate Change</t>
  </si>
  <si>
    <t>Banta, John</t>
  </si>
  <si>
    <t>TH9025 -- .B36 2007eb</t>
  </si>
  <si>
    <t>Building failures -- Prevention.; Buildings -- Protection.; Climatic changes.; Dwellings -- Maintenance and repair.; Dwellings -- Safety measures.; Natural disasters.; Preparedness.</t>
  </si>
  <si>
    <t>http://public.eblib.com/choice/PublicFullRecord.aspx?p=316353</t>
  </si>
  <si>
    <t>Green Building A to Z : Understanding the Language of Green Building</t>
  </si>
  <si>
    <t>Yudelson, Jerry</t>
  </si>
  <si>
    <t>Architecture; Engineering; Engineering: Construction</t>
  </si>
  <si>
    <t>TH880 -- .Y633 2007eb</t>
  </si>
  <si>
    <t>720/.47</t>
  </si>
  <si>
    <t>Electronic books. -- local; Green technology -- Terminology.; Sustainable buildings -- Design and construction -- Terminology.; Sustainable buildings -- Terminology.</t>
  </si>
  <si>
    <t>http://public.eblib.com/choice/PublicFullRecord.aspx?p=316354</t>
  </si>
  <si>
    <t>Not Just a Pretty Face : The Ugly Side of the Beauty Industry</t>
  </si>
  <si>
    <t>Malkan, Stacy</t>
  </si>
  <si>
    <t>HD9970.5.C672 -- M35 2007eb</t>
  </si>
  <si>
    <t>338.4/7646720973; 363.196</t>
  </si>
  <si>
    <t>Cosmetics -- Environmental aspects.; Cosmetics -- Health aspects.; Cosmetics -- Social aspects.; Cosmetics -- Toxicology.; Cosmetics industry -- Environmental aspects.; Cosmetics industry -- Moral and ethical aspects.; Cosmetics industry -- Social aspects.</t>
  </si>
  <si>
    <t>http://public.eblib.com/choice/PublicFullRecord.aspx?p=316355</t>
  </si>
  <si>
    <t>Policy Paradox In Africa : Strengthening Links between Economic Research and Policymaking</t>
  </si>
  <si>
    <t>Ayuk, Elias T.; Marouani, Mohamed Ali</t>
  </si>
  <si>
    <t>HC800 -- .P633 2007eb</t>
  </si>
  <si>
    <t>Africa -- Economic conditions -- Research.; Africa -- Economic policy -- 21st century.; Economic assistance -- Africa.; Economic development -- Research -- Africa.; Electronic books. -- local</t>
  </si>
  <si>
    <t>http://public.eblib.com/choice/PublicFullRecord.aspx?p=317934</t>
  </si>
  <si>
    <t>Escalonando la agroecología : Procesos y aprendizajes de cuatro experiencias en Chile, Cuba, Honduras y Perú</t>
  </si>
  <si>
    <t>Ranaboldo, Claudia; Venegas, Carlos</t>
  </si>
  <si>
    <t>S473.9 -- .R36 2007eb</t>
  </si>
  <si>
    <t>Agricultural ecology -- Latin America.; Electronic books. -- local; Sustainable agriculture -- Latin America.</t>
  </si>
  <si>
    <t>http://public.eblib.com/choice/PublicFullRecord.aspx?p=320331</t>
  </si>
  <si>
    <t>Globalization, Labour Markets and Inequality in India</t>
  </si>
  <si>
    <t>Routledge Studies in the Growth Economies of Asia</t>
  </si>
  <si>
    <t>Mazumdar, Dipak; Sarkar, Sandip</t>
  </si>
  <si>
    <t>HC433 -- .M39 2008eb</t>
  </si>
  <si>
    <t>Electronic books. -- local; Equality -- India.; Globalization -- Economic aspects -- India.; India -- Economic conditions.; India -- Foreign economic relations.; Labor market -- India.</t>
  </si>
  <si>
    <t>http://public.eblib.com/choice/PublicFullRecord.aspx?p=327898</t>
  </si>
  <si>
    <t>Future Control of Food : A Guide to International Negotiations and Rules on Intellectual Property, Biodiversity and Food Security</t>
  </si>
  <si>
    <t>Geoff Tansey; Rajotte, Tasmin</t>
  </si>
  <si>
    <t>K3926 -- .F88 2008eb</t>
  </si>
  <si>
    <t>Biodiversity conservation -- Law and legislation.; Food industry and trade -- Standards.; Food law and legislation.; Germplasm resources conservation -- Law and legislation.; Intellectual property (International law); Plant varieties -- Patents -- Government policy.; Produce trade -- Law and legislation.</t>
  </si>
  <si>
    <t>http://public.eblib.com/choice/PublicFullRecord.aspx?p=327899</t>
  </si>
  <si>
    <t>Justicía de género, ciudadanía y desarrollo</t>
  </si>
  <si>
    <t>Singh, Navsharan; Singh, Navsharan</t>
  </si>
  <si>
    <t>HQ1236 -- .G462218 2007eb</t>
  </si>
  <si>
    <t>Electronic books. -- local; Sex discrimination against women -- Developing countries.; Sex discrimination in justice administration -- Developing countries.; Women -- Developing countries -- Economic conditions.; Women -- Developing countries -- Social conditions.; Women''s rights -- Cross-cultural studies.; Women''s rights -- Developing countries.</t>
  </si>
  <si>
    <t>http://public.eblib.com/choice/PublicFullRecord.aspx?p=327900</t>
  </si>
  <si>
    <t>Safeguarding the Health Sector in Times of Macroeconomic Instability : Policy Lessons for Low- and Middle-Income Countries</t>
  </si>
  <si>
    <t>Haddad, Slim; Bar, Enis; Narayana, Delampady</t>
  </si>
  <si>
    <t>RA395.D44 -- S34 2007eb</t>
  </si>
  <si>
    <t>362.109172/4</t>
  </si>
  <si>
    <t>Economic stabilization -- Developing countries.; Electronic books. -- local; Health care reform -- Economic aspects -- Developing countries.; Medical economics -- Developing countries.; Medical policy -- Economic aspects -- Developing countries.; Political planning -- Developing countries -- Finance.; Structural adjustment (Economic policy) -- Developing countries.</t>
  </si>
  <si>
    <t>http://public.eblib.com/choice/PublicFullRecord.aspx?p=327901</t>
  </si>
  <si>
    <t>ICT Infrastructure in Emerging Asia : Policy and Regulatory Roadblocks</t>
  </si>
  <si>
    <t>Samarajiva, Rohan; Zainudeen, Ayesha</t>
  </si>
  <si>
    <t>HE8343 -- .I28 2008eb</t>
  </si>
  <si>
    <t>Infrastructure (Economics) -- Asia.; Telecommunication policy -- Asia.</t>
  </si>
  <si>
    <t>http://public.eblib.com/choice/PublicFullRecord.aspx?p=327902</t>
  </si>
  <si>
    <t>Knowledge Systems and Natural Resources : Management, Policy, and Institutions in Nepal</t>
  </si>
  <si>
    <t>Ojha, Hemant R.; Timsina, Netra P.; Chhetri, Ram B.; Iau UNESCO Information Centre on Higher Education, ; Paudel, Krishna P</t>
  </si>
  <si>
    <t>HC425 -- .K56 2008eb</t>
  </si>
  <si>
    <t>330.9549/6</t>
  </si>
  <si>
    <t>Electronic books. -- local; Ethnoscience -- Nepal.; Natural resources -- Government policy -- Nepal.; Natural resources -- Nepal -- Management -- Citizen participation.; Traditional ecological knowledge -- Nepal.</t>
  </si>
  <si>
    <t>http://public.eblib.com/choice/PublicFullRecord.aspx?p=327903</t>
  </si>
  <si>
    <t>Construyendo la democracía en sociedades posconflicto : Un enfoque comparado entre Guatemala y El Salvador</t>
  </si>
  <si>
    <t>Azpuru, Dinorah; Blanco, Ligia; Macías, Ricardo Córdova; Zapata, Adri</t>
  </si>
  <si>
    <t>JL1496 -- .A89 2007eb</t>
  </si>
  <si>
    <t>Democracy -- El Salvador.; Democracy -- Guatemala.; Democratization -- El Salvador.; Democratization -- Guatemala.; Guatemala -- Politics and government -- 1985-; Peace-building -- El Salvador.; Peace-building -- Guatemala.</t>
  </si>
  <si>
    <t>http://public.eblib.com/choice/PublicFullRecord.aspx?p=327904</t>
  </si>
  <si>
    <t>Competition and Development : The Power of Competitive Markets</t>
  </si>
  <si>
    <t>In-Focus Collection</t>
  </si>
  <si>
    <t>Joekes, Susan; Evans, Phil</t>
  </si>
  <si>
    <t>HC59.7 -- .J64 2008eb</t>
  </si>
  <si>
    <t>338.6/048091724</t>
  </si>
  <si>
    <t>Antitrust law -- Developing countries.; Competition -- Developing countries.; Competition, Unfair -- Developing countries.; Free trade -- Developing countries.; International trade.; Restraint of trade -- Developing countries.; Trade regulation -- Developing countries.</t>
  </si>
  <si>
    <t>http://public.eblib.com/choice/PublicFullRecord.aspx?p=340732</t>
  </si>
  <si>
    <t>WHO Global Report on Falls Prevention in Older Age : Prevention in Older Age</t>
  </si>
  <si>
    <t>World Health Organization</t>
  </si>
  <si>
    <t>WHO</t>
  </si>
  <si>
    <t>Medicine</t>
  </si>
  <si>
    <t>RC952.5 -- .W48 2008eb</t>
  </si>
  <si>
    <t>Falls (Accidents) in old age.</t>
  </si>
  <si>
    <t>http://public.eblib.com/choice/PublicFullRecord.aspx?p=349983</t>
  </si>
  <si>
    <t>Water as a Human Right for the Middle East and North Africa</t>
  </si>
  <si>
    <t>Routledge</t>
  </si>
  <si>
    <t>Tortajada, Cecilia; Biswas, Asit K.; Rached, Eglal</t>
  </si>
  <si>
    <t>Agriculture; Law; Business/Management</t>
  </si>
  <si>
    <t>HD1698.M53</t>
  </si>
  <si>
    <t>Human rights -- Africa, North.; Human rights -- Middle East.; Water rights -- Africa, North.; Water rights -- Middle East.</t>
  </si>
  <si>
    <t>http://public.eblib.com/choice/PublicFullRecord.aspx?p=353173</t>
  </si>
  <si>
    <t>Digital Review of Asia Pacitic 2007–2008</t>
  </si>
  <si>
    <t>Sage</t>
  </si>
  <si>
    <t>Librero, Felix; Arinto, Patricia B.</t>
  </si>
  <si>
    <t>302.231091823; 303.48</t>
  </si>
  <si>
    <t>Community development -- Asia.; Information technology -- Asia.; Internet -- Asia.; Telecommunication -- Asia.; Telecommuting centers -- Asia.</t>
  </si>
  <si>
    <t>http://public.eblib.com/choice/PublicFullRecord.aspx?p=353174</t>
  </si>
  <si>
    <t>La concurrence et le développement : La puissance des marchés concurrentiels</t>
  </si>
  <si>
    <t>HF1414 -- .J64 2008eb</t>
  </si>
  <si>
    <t>http://public.eblib.com/choice/PublicFullRecord.aspx?p=353175</t>
  </si>
  <si>
    <t>Competencia y desarrollo : El poder de los mercados competitivos</t>
  </si>
  <si>
    <t>HC59.7 C65 -- J6318 2008eb</t>
  </si>
  <si>
    <t>338.6/048091724; 338.60480917</t>
  </si>
  <si>
    <t>http://public.eblib.com/choice/PublicFullRecord.aspx?p=353176</t>
  </si>
  <si>
    <t>Fixing Health Systems</t>
  </si>
  <si>
    <t>RA395.T34 -- F59 2008eb</t>
  </si>
  <si>
    <t>362.1/0425709678</t>
  </si>
  <si>
    <t>Electronic books. -- local; Health planning -- Developing countries.; Health planning -- Tanzania.; Medical policy -- Tanzania.; Public health administration -- Tanzania.; Rural health -- Tanzania.</t>
  </si>
  <si>
    <t>http://public.eblib.com/choice/PublicFullRecord.aspx?p=353177</t>
  </si>
  <si>
    <t>La réforme du système de santé : Deuxième édition</t>
  </si>
  <si>
    <t>RA395.T34 -- R44 2008eb</t>
  </si>
  <si>
    <t>362.1; 362.104250973</t>
  </si>
  <si>
    <t>http://public.eblib.com/choice/PublicFullRecord.aspx?p=353178</t>
  </si>
  <si>
    <t>Learning from the Field : Innovating China’s Higher Education System</t>
  </si>
  <si>
    <t>Foundation Books</t>
  </si>
  <si>
    <t>Xiuli, Xu; Vernooy, Ronnie; Xiaoyun, Li ; Min, Lu</t>
  </si>
  <si>
    <t>LA1133 -- .L43 2008eb</t>
  </si>
  <si>
    <t>Education, Higher -- China.; Electronic books. -- local; Universities and colleges -- China.</t>
  </si>
  <si>
    <t>http://public.eblib.com/choice/PublicFullRecord.aspx?p=353179</t>
  </si>
  <si>
    <t>L’apprentissage par les pairs : Réseaux et coopération pour le développement</t>
  </si>
  <si>
    <t>Guilmette, Jean-H</t>
  </si>
  <si>
    <t>HD75.8 -- .G85 2008eb</t>
  </si>
  <si>
    <t>Economic development projects -- International cooperation.; Electronic books. -- local; International cooperation.</t>
  </si>
  <si>
    <t>http://public.eblib.com/choice/PublicFullRecord.aspx?p=353180</t>
  </si>
  <si>
    <t>Competition Policies in Emerging Economies : Lessons and Challenges from Central America and Mexico</t>
  </si>
  <si>
    <t>Springer</t>
  </si>
  <si>
    <t>Schatan, Claudia; Urrutia, Eugenio Rivera</t>
  </si>
  <si>
    <t>HF1414 -- .C6614 2008eb</t>
  </si>
  <si>
    <t>Banks and banking -- Government policy -- Central America.; Banks and banking -- Government policy -- Mexico.; Competition -- Government policy -- Central America.; Competition -- Government policy -- Mexico.; Telecommunication policy -- Central America.; Telecommunication policy -- Mexico.</t>
  </si>
  <si>
    <t>http://public.eblib.com/choice/PublicFullRecord.aspx?p=353181</t>
  </si>
  <si>
    <t>Regional Trade Integration and Conflict Resolution</t>
  </si>
  <si>
    <t>Khan, Shaheen Rafi</t>
  </si>
  <si>
    <t>Business/Management; Political Science</t>
  </si>
  <si>
    <t>HF1418.7 .R443 2008</t>
  </si>
  <si>
    <t>327.172; 382.911724</t>
  </si>
  <si>
    <t>Developing countries -- Commercial treaties.; Developing countries -- Foreign economic relations.; Peace-building -- Developing countries.; Regionalism -- Developing countries.; Trade blocs -- Developing countries.</t>
  </si>
  <si>
    <t>http://public.eblib.com/choice/PublicFullRecord.aspx?p=369567</t>
  </si>
  <si>
    <t>Security and Democracy in Southern Africa</t>
  </si>
  <si>
    <t>Wits University Press</t>
  </si>
  <si>
    <t>Cawthra, Gavin; Pisani, Andre du; Omari, Abillah</t>
  </si>
  <si>
    <t>JQ2720.A58 -- S45 2007eb</t>
  </si>
  <si>
    <t>Democratization -- Africa, Southern.; Electronic books. -- local; National security -- Africa, Southern.</t>
  </si>
  <si>
    <t>http://public.eblib.com/choice/PublicFullRecord.aspx?p=369568</t>
  </si>
  <si>
    <t>El manejo de las pesquerías en ríos de Sudamérica</t>
  </si>
  <si>
    <t>Mayol Ediciones</t>
  </si>
  <si>
    <t>Pinedo, Danny; Soria, Carlos</t>
  </si>
  <si>
    <t>SH328 -- .M36 2008eb</t>
  </si>
  <si>
    <t>338.3/727</t>
  </si>
  <si>
    <t>Electronic books. -- local; Fishery management.; Fishery sciences.</t>
  </si>
  <si>
    <t>http://public.eblib.com/choice/PublicFullRecord.aspx?p=369569</t>
  </si>
  <si>
    <t>SAS2 : A Guide to Collaborative Inquiry and Social Engagement</t>
  </si>
  <si>
    <t>Chevalier, Jacques M.; Buckles, Daniel J.</t>
  </si>
  <si>
    <t>H62 -- .C376 2008eb</t>
  </si>
  <si>
    <t>Social sciences -- Methodology.; Social sciences -- Research.; Sociology -- Research.</t>
  </si>
  <si>
    <t>http://public.eblib.com/choice/PublicFullRecord.aspx?p=407915</t>
  </si>
  <si>
    <t>African Women and ICTs : Investigating Technology, Gender and Empowerment</t>
  </si>
  <si>
    <t>Zed Books</t>
  </si>
  <si>
    <t>Buskens, Ineke; Webb, Anne</t>
  </si>
  <si>
    <t>Social Science; Computer Science/IT; Engineering; Engineering: General</t>
  </si>
  <si>
    <t>T58.5 -- .A396 2009eb</t>
  </si>
  <si>
    <t>Electronic books. -- local; Information technology -- Social aspects -- Africa.; Women -- Effect of technological innovations on -- Africa.; Women in community organization -- Africa.</t>
  </si>
  <si>
    <t>http://public.eblib.com/choice/PublicFullRecord.aspx?p=434145</t>
  </si>
  <si>
    <t>Fuelling Economic Growth : The Role of Public-Private Sector Research in Development</t>
  </si>
  <si>
    <t>Practical Action Publishing</t>
  </si>
  <si>
    <t>Graham, Michael; Woo, Jean</t>
  </si>
  <si>
    <t>HD2961 -- .F84 2009eb</t>
  </si>
  <si>
    <t>Economic development.; Electronic books. -- local; Public-private sector cooperation.</t>
  </si>
  <si>
    <t>http://public.eblib.com/choice/PublicFullRecord.aspx?p=434146</t>
  </si>
  <si>
    <t>Local Agenda 21 Planning Guide : Introduction to Sustainable Development Planning</t>
  </si>
  <si>
    <t>International Development Research Centre,Canada</t>
  </si>
  <si>
    <t>International Council for Local Environmental Initiatives</t>
  </si>
  <si>
    <t>HC79.E5 -- L63 1996eb</t>
  </si>
  <si>
    <t>Community development -- Environmental aspects -- Planning -- Handbooks, manuals, etc.; Economic development -- Environmental aspects -- Planning -- Handbooks, manuals, etc.; Sustainable development -- Planning -- Handbooks, manuals, etc.</t>
  </si>
  <si>
    <t>http://public.eblib.com/choice/PublicFullRecord.aspx?p=434156</t>
  </si>
  <si>
    <t>Le Gestion Forestal Municipal En America Latina</t>
  </si>
  <si>
    <t>ITDG Publishing</t>
  </si>
  <si>
    <t>Ferroukhi, Lyès</t>
  </si>
  <si>
    <t>SD575 -- .G47 2003eb</t>
  </si>
  <si>
    <t>333.75; 333.75/098; 333.750973</t>
  </si>
  <si>
    <t>Community forests -- Latin America -- Management.; Forest management -- Latin America.</t>
  </si>
  <si>
    <t>http://public.eblib.com/choice/PublicFullRecord.aspx?p=434157</t>
  </si>
  <si>
    <t>Unprotected : Palestinians in Egypt Since 1948</t>
  </si>
  <si>
    <t>El-Abed, Oroub</t>
  </si>
  <si>
    <t>DT72.P35 -- E53 2009eb</t>
  </si>
  <si>
    <t>305.892/74062</t>
  </si>
  <si>
    <t>Palestinian Arabs -- Civil rights -- Egypt.; Palestinian Arabs -- Egypt.; Palestinian Arabs -- Legal status, laws, etc. -- Egypt.</t>
  </si>
  <si>
    <t>http://public.eblib.com/choice/PublicFullRecord.aspx?p=434159</t>
  </si>
  <si>
    <t>Fighting Poverty with Facts : Community-based Monitoriing Systems</t>
  </si>
  <si>
    <t>In_focus collection</t>
  </si>
  <si>
    <t>Reyes, Celia</t>
  </si>
  <si>
    <t>HC59.72.P6 -- R49 2009eb</t>
  </si>
  <si>
    <t>Community development -- Developing countries.; Electronic books. -- local; Poor -- Developing countries.; Poverty -- Research -- Developing countries -- Citizen participation.; Poverty -- Research -- Methodology.</t>
  </si>
  <si>
    <t>http://public.eblib.com/choice/PublicFullRecord.aspx?p=448482</t>
  </si>
  <si>
    <t>British and Canadian Perspectives on International Law</t>
  </si>
  <si>
    <t>BRILL</t>
  </si>
  <si>
    <t>Waters, Christopher P. M.</t>
  </si>
  <si>
    <t>K302.B75 2006</t>
  </si>
  <si>
    <t>International and municipal law -- Canada.; International and municipal law -- Great Britain.; International law -- Canada.; International law -- Great Britain.</t>
  </si>
  <si>
    <t>http://public.eblib.com/choice/PublicFullRecord.aspx?p=468502</t>
  </si>
  <si>
    <t>Beyond Proprietorship : Murphree’s Laws on Community-based Natural Resource Management in Southern Africa</t>
  </si>
  <si>
    <t>Weaver Press</t>
  </si>
  <si>
    <t>Mukamuri, B.B.; Manjengwa, J.M.; Anstey, S.</t>
  </si>
  <si>
    <t>HC900.Z65 -- B3 2009eb</t>
  </si>
  <si>
    <t>Community-based conservation -- Africa, Southern.; Electronic books. -- local; Natural resources, Communal -- Africa, Southern -- Management.; Natural resources, Communal -- Zimbabwe -- Management.</t>
  </si>
  <si>
    <t>http://public.eblib.com/choice/PublicFullRecord.aspx?p=471327</t>
  </si>
  <si>
    <t>Naturally Clean : The Seventh Generation Guide to Safe &amp; Healthy, Non-Toxic Cleaning</t>
  </si>
  <si>
    <t>Hollender, Jeffrey; Davis, Geoff; Hollender, Meika</t>
  </si>
  <si>
    <t>Home Economics</t>
  </si>
  <si>
    <t>TX324 -- .H63 2006eb</t>
  </si>
  <si>
    <t>648; 648.5</t>
  </si>
  <si>
    <t>Cleaning compounds -- Toxicology.; Electronic books. -- local; House cleaning -- Environmental aspects.; Household supplies -- Toxicology.; Indoor air pollution.; Natural products.</t>
  </si>
  <si>
    <t>http://public.eblib.com/choice/PublicFullRecord.aspx?p=478308</t>
  </si>
  <si>
    <t>The Better World Handbook : Small Changes That Make A Big Difference</t>
  </si>
  <si>
    <t>Jones, Ellis; Johnson, Brett; Johnson, Brett</t>
  </si>
  <si>
    <t>HM831 -- .J66 2007eb</t>
  </si>
  <si>
    <t>306; 361.7</t>
  </si>
  <si>
    <t>Electronic books. -- local; Environmental protection -- Citizen participation.; Social action.; Social change -- Citizen participation.; Sustainable development -- Citizen participation.</t>
  </si>
  <si>
    <t>http://public.eblib.com/choice/PublicFullRecord.aspx?p=478310</t>
  </si>
  <si>
    <t>Hollyhock Cooks : Food to Nourish Body, Mind and Soil</t>
  </si>
  <si>
    <t>Hollyhock Cooks, The; Solomon, Linda; Jolar, Moreka</t>
  </si>
  <si>
    <t>TX715.6 -- .S656 2003eb</t>
  </si>
  <si>
    <t>Cooking (Natural foods); Cooking, Canadian -- British Columbia style.; Electronic books. -- local; Hollyhock (Cortes Island, B.C.)</t>
  </si>
  <si>
    <t>http://public.eblib.com/choice/PublicFullRecord.aspx?p=478311</t>
  </si>
  <si>
    <t>How to Build with Grid Beam : A Fast, Easy and Affordable System for Constructing Almost Anything</t>
  </si>
  <si>
    <t>Jergenson, Phil; Jergenson, Richard; Keppel, Wilma</t>
  </si>
  <si>
    <t>Engineering; Engineering: General; Engineering: Civil; Engineering: Construction</t>
  </si>
  <si>
    <t>TA633 -- .J47 2008eb</t>
  </si>
  <si>
    <t>625.8; 691</t>
  </si>
  <si>
    <t>Building -- Amateurs'' manuals.; Do-it-yourself work.; Girders.; Modular construction.; Structural frames.</t>
  </si>
  <si>
    <t>http://public.eblib.com/choice/PublicFullRecord.aspx?p=478312</t>
  </si>
  <si>
    <t>The Natural Step for Business : Wealth, Ecology &amp; the Evolutionary Corporation</t>
  </si>
  <si>
    <t>Nattrass, Brian; Altomare, Mary; Hawken, Paul</t>
  </si>
  <si>
    <t>HD30.255 -- .N388 1999eb</t>
  </si>
  <si>
    <t>Business enterprises -- Environmental aspects.; Environmental protection -- Economic aspects.; Industrial management -- Environmental aspects.; Social responsibility of business.; Sustainable development.</t>
  </si>
  <si>
    <t>http://public.eblib.com/choice/PublicFullRecord.aspx?p=478316</t>
  </si>
  <si>
    <t>Where Fire Speaks : A Visit With the Himba</t>
  </si>
  <si>
    <t>Arsenal Pulp Press</t>
  </si>
  <si>
    <t>Parallax</t>
  </si>
  <si>
    <t>Shields, Sandra; Brody, Hugh</t>
  </si>
  <si>
    <t>DT1558.H56 -- S54 2002eb</t>
  </si>
  <si>
    <t>968.81/0049639</t>
  </si>
  <si>
    <t>Himba (African people) -- Pictorial works.; Himba (African people) -- Social life and customs.</t>
  </si>
  <si>
    <t>http://public.eblib.com/choice/PublicFullRecord.aspx?p=478324</t>
  </si>
  <si>
    <t>Enough Blood Shed : 101 Solutions to Violence, Terror and War</t>
  </si>
  <si>
    <t>Ashford, Mary-Wynne; Dauncey, Guy</t>
  </si>
  <si>
    <t>HM1281 -- .A74 2006eb</t>
  </si>
  <si>
    <t>303.6; 303.69</t>
  </si>
  <si>
    <t>Electronic books. -- local; Pacifists.; Peace.; Social action.; Violence -- Prevention.</t>
  </si>
  <si>
    <t>http://public.eblib.com/choice/PublicFullRecord.aspx?p=478326</t>
  </si>
  <si>
    <t>Building an Ark : 101 Solutions to Animal Suffering</t>
  </si>
  <si>
    <t>The Solutions Series</t>
  </si>
  <si>
    <t>Smith, Ethan; Dauncey, Guy</t>
  </si>
  <si>
    <t>Philosophy; Social Science</t>
  </si>
  <si>
    <t>HV4708 -- .S5835 2007eb</t>
  </si>
  <si>
    <t>Animal rights movement.; Animal welfare.</t>
  </si>
  <si>
    <t>http://public.eblib.com/choice/PublicFullRecord.aspx?p=478327</t>
  </si>
  <si>
    <t>Ecopreneuring : Putting Purpose and the Planet Before Profits</t>
  </si>
  <si>
    <t>Ivanko, John D.; Kivirist, Lisa</t>
  </si>
  <si>
    <t>HD30.255 -- .I93 2008eb</t>
  </si>
  <si>
    <t>Business enterprises -- Environmental aspects.; Electronic books. -- local; Entrepreneurship.; Green marketing.; Industrial management -- Environmental aspects.; Social responsibility of business.</t>
  </si>
  <si>
    <t>http://public.eblib.com/choice/PublicFullRecord.aspx?p=478339</t>
  </si>
  <si>
    <t>The Natural Step for Communities : How Cities and Towns can Change to Sustainable Practices</t>
  </si>
  <si>
    <t>James, Sarah; Lahti, TorbjÃ¶rn</t>
  </si>
  <si>
    <t>HT241 -- .J34 2004eb</t>
  </si>
  <si>
    <t>304.2091732; 333.72</t>
  </si>
  <si>
    <t>Electronic books. -- local; Sustainable development -- Sweden.; Sustainable development.</t>
  </si>
  <si>
    <t>http://public.eblib.com/choice/PublicFullRecord.aspx?p=478343</t>
  </si>
  <si>
    <t>Everyone Wins! : Cooperative Games and Activities</t>
  </si>
  <si>
    <t>Luvmour, Josette; Luvmour, Sambhava</t>
  </si>
  <si>
    <t>Education; Sport &amp; Recreation</t>
  </si>
  <si>
    <t>GV1203 -- .L89 2007eb</t>
  </si>
  <si>
    <t>371.337; 796.14</t>
  </si>
  <si>
    <t>Cooperativeness in children.; Electronic books. -- local; Games.; Group games.</t>
  </si>
  <si>
    <t>http://public.eblib.com/choice/PublicFullRecord.aspx?p=478346</t>
  </si>
  <si>
    <t>Living Green : Communities that Sustain</t>
  </si>
  <si>
    <t>Fosket, Jennifer; Mamo, Laura</t>
  </si>
  <si>
    <t>HT241 -- .F67 2009eb</t>
  </si>
  <si>
    <t>307.10971; 307.770973</t>
  </si>
  <si>
    <t>Community development -- Canada -- Case studies.; Community development -- United States -- Case studies.; Green movement.; Sustainable development -- Citizen participation -- Case studies.; Sustainable development -- Social aspects -- Canada.; Sustainable development -- Social aspects -- United States.; Urban ecology (Sociology)</t>
  </si>
  <si>
    <t>http://public.eblib.com/choice/PublicFullRecord.aspx?p=478347</t>
  </si>
  <si>
    <t>Green Remodeling : Changing the World One Room at a Time</t>
  </si>
  <si>
    <t>Johnston, David R.; Master, Kim</t>
  </si>
  <si>
    <t>Engineering; Engineering: Construction; Home Economics</t>
  </si>
  <si>
    <t>TH4860 -- .J64 2004eb</t>
  </si>
  <si>
    <t>643.7; 643/.7</t>
  </si>
  <si>
    <t>Dwellings -- Environmental engineering.; Dwellings -- Remodeling -- Environmental aspects.; Electronic books. -- local</t>
  </si>
  <si>
    <t>http://public.eblib.com/choice/PublicFullRecord.aspx?p=478349</t>
  </si>
  <si>
    <t>Green Building Products : The GreenSpecÂ® Guide to Residential Building Materials--3rd Edition</t>
  </si>
  <si>
    <t>Wilson, Alex; Piepkorn, Mark</t>
  </si>
  <si>
    <t>TH455 -- .G74 2008eb</t>
  </si>
  <si>
    <t>691; 691.0297/3; 691.02973</t>
  </si>
  <si>
    <t>Building -- Environmental aspects -- Handbooks, manuals, etc.; Building materials -- Canada -- Catalogs.; Building materials -- United States -- Catalogs.; Green products -- Canada -- Catalogs.; Green products -- United States -- Catalogs.</t>
  </si>
  <si>
    <t>http://public.eblib.com/choice/PublicFullRecord.aspx?p=478362</t>
  </si>
  <si>
    <t>Green Careers : Choosing Work for a Sustainable Future</t>
  </si>
  <si>
    <t>Cassio, Jim; Rush, Alice</t>
  </si>
  <si>
    <t>GE60 -- .C37 2009eb</t>
  </si>
  <si>
    <t>333.72023; 363.70023</t>
  </si>
  <si>
    <t>Environmental engineering -- Vocational guidance.; Environmental protection -- Vocational guidance.; Environmental sciences -- Vocational guidance.</t>
  </si>
  <si>
    <t>http://public.eblib.com/choice/PublicFullRecord.aspx?p=478367</t>
  </si>
  <si>
    <t>Planet U : Sustaining the World, Reinventing the University</t>
  </si>
  <si>
    <t>M'Gonigle, Michael; Starke, Justine</t>
  </si>
  <si>
    <t>LC189 -- .M48 2006eb</t>
  </si>
  <si>
    <t>Education and globalization.; Education, Higher -- Aims and objectives.; Education, Higher -- Social aspects.</t>
  </si>
  <si>
    <t>http://public.eblib.com/choice/PublicFullRecord.aspx?p=478372</t>
  </si>
  <si>
    <t>Wild Foresting : Practicing Nature's Wisdom</t>
  </si>
  <si>
    <t>Drengson, Alan; Taylor, Duncan</t>
  </si>
  <si>
    <t>SD411 -- .D74 2009eb</t>
  </si>
  <si>
    <t>Community forestry.; Forest ecology.; Forest restoration.</t>
  </si>
  <si>
    <t>http://public.eblib.com/choice/PublicFullRecord.aspx?p=478376</t>
  </si>
  <si>
    <t>Less is More : Embracing Simplicity for a Healthy Planet, a Caring Economy and Lasting Happiness</t>
  </si>
  <si>
    <t>Andrews, Cecile; Urbanska, Wanda</t>
  </si>
  <si>
    <t>Philosophy; Economics; Environmental Studies</t>
  </si>
  <si>
    <t>BJ1496 -- .L47 2009eb</t>
  </si>
  <si>
    <t>178; 333.72</t>
  </si>
  <si>
    <t>Conduct of life.; Electronic books. -- local; Simplicity.; Social values.; Sustainable living.</t>
  </si>
  <si>
    <t>http://public.eblib.com/choice/PublicFullRecord.aspx?p=478379</t>
  </si>
  <si>
    <t>Slow is Beautiful : New Visions of Community, Leisure and Joie de Vivre</t>
  </si>
  <si>
    <t>Andrews, Cecile</t>
  </si>
  <si>
    <t>Psychology; Philosophy</t>
  </si>
  <si>
    <t>BJ1581.2 -- .A535 2006eb</t>
  </si>
  <si>
    <t>Conduct of life.; Electronic books. -- local; Lifestyles.; Quality of life.</t>
  </si>
  <si>
    <t>http://public.eblib.com/choice/PublicFullRecord.aspx?p=478393</t>
  </si>
  <si>
    <t>Anarchy and Art : From the Paris Commune to the Fall of the Berlin Wall</t>
  </si>
  <si>
    <t>Antliff, Allan</t>
  </si>
  <si>
    <t>N72.P6 -- A585 2007eb</t>
  </si>
  <si>
    <t>Anarchism in art.; Anarchism.; Art -- Political aspects.; Art and society.; Artists -- Political activity.; Electronic books. -- local</t>
  </si>
  <si>
    <t>http://public.eblib.com/choice/PublicFullRecord.aspx?p=478394</t>
  </si>
  <si>
    <t>Independence Days : A Guide to Sustainable Food Storage &amp; Preservation</t>
  </si>
  <si>
    <t>Astyk, Sharon</t>
  </si>
  <si>
    <t>Home Economics; Health</t>
  </si>
  <si>
    <t>TX601 -- .A78 2009eb</t>
  </si>
  <si>
    <t>641.3; 641.4</t>
  </si>
  <si>
    <t>Cookbooks.; Cooking.; Electronic books. -- local; Food -- Preservation.; Food -- Storage.; Self-reliant living.</t>
  </si>
  <si>
    <t>http://public.eblib.com/choice/PublicFullRecord.aspx?p=478400</t>
  </si>
  <si>
    <t>Depletion and Abundance : Life on the New Home Front</t>
  </si>
  <si>
    <t>TX159 -- .A88 2008eb</t>
  </si>
  <si>
    <t>Electronic books. -- local; Families.; Home economics.; Self-reliant living.; Subsistence economy.; Sustainable development -- Citizen participation.; Sustainable living.</t>
  </si>
  <si>
    <t>http://public.eblib.com/choice/PublicFullRecord.aspx?p=478401</t>
  </si>
  <si>
    <t>Comfort Food for Breakups : The Memoir of a Hungry Girl</t>
  </si>
  <si>
    <t>Bociurkiw, Marusya</t>
  </si>
  <si>
    <t>PR9199.3.B558 -- C65 2007eb</t>
  </si>
  <si>
    <t>Bociurkiw, Marusya, -- 1958-; Bociurkiw, Marusya, -- 1958- -- Family.; Cookbooks.; Cooking.; Electronic books. -- local; Food -- Psychological aspects.; Motion picture producers and directors -- Canada -- Biography.</t>
  </si>
  <si>
    <t>http://public.eblib.com/choice/PublicFullRecord.aspx?p=478454</t>
  </si>
  <si>
    <t>College Without High School : A Teenager's Guide to Skipping High School and Going to College</t>
  </si>
  <si>
    <t>Boles, Blake</t>
  </si>
  <si>
    <t>LB2351 -- .B65 2009eb</t>
  </si>
  <si>
    <t>371.82350973; 378.198</t>
  </si>
  <si>
    <t>Education, Higher.; Electronic books. -- local; Universities and colleges -- United States -- Entrance requirements.</t>
  </si>
  <si>
    <t>http://public.eblib.com/choice/PublicFullRecord.aspx?p=478455</t>
  </si>
  <si>
    <t>I Am a Red Dress : Incantations on a Grandmother, a Mother, and a Daughter</t>
  </si>
  <si>
    <t>Camilleri, Anna</t>
  </si>
  <si>
    <t>CT310.C33 -- A3 2004eb</t>
  </si>
  <si>
    <t>306.8740971; B</t>
  </si>
  <si>
    <t>Camilleri, Anna -- Family.; Canada -- Biography.; Intergenerational relations.; Women -- Canada -- Biography.; Women -- Family relationships.</t>
  </si>
  <si>
    <t>http://public.eblib.com/choice/PublicFullRecord.aspx?p=478479</t>
  </si>
  <si>
    <t>Power from the Sun : A Practical Guide to Solar Electricity</t>
  </si>
  <si>
    <t>Engineering; Engineering: Electrical</t>
  </si>
  <si>
    <t>TK1087 -- .C4 2009eb</t>
  </si>
  <si>
    <t>Dwellings -- Power supply.; Electronic books. -- local; Photovoltaic power generation.; Photovoltaic power systems.; Solar houses.</t>
  </si>
  <si>
    <t>http://public.eblib.com/choice/PublicFullRecord.aspx?p=478486</t>
  </si>
  <si>
    <t>Finding Community : How to Join an Ecovillage or Intentional Community</t>
  </si>
  <si>
    <t>NONE</t>
  </si>
  <si>
    <t>Christian, Diana Leafe</t>
  </si>
  <si>
    <t>HX635 -- .C47 2007eb</t>
  </si>
  <si>
    <t>307.7; 309.173092</t>
  </si>
  <si>
    <t>Collective settlements -- North America.; Communal living -- North America.; Electronic books. -- local; Housing, Cooperative -- North America.; Sustainable living -- North America.</t>
  </si>
  <si>
    <t>http://public.eblib.com/choice/PublicFullRecord.aspx?p=478488</t>
  </si>
  <si>
    <t>Branded! : How the 'Certification Revolution' is Transforming Global Corporations</t>
  </si>
  <si>
    <t>Conroy, Michael E.</t>
  </si>
  <si>
    <t>HD60 -- .C633 2007eb</t>
  </si>
  <si>
    <t>Branding (Marketing); Commercial products -- Certification.; Environmental responsibility.; International business enterprises -- Social aspects.; Non-governmental organizations.; Social responsibility of business.</t>
  </si>
  <si>
    <t>http://public.eblib.com/choice/PublicFullRecord.aspx?p=478498</t>
  </si>
  <si>
    <t>Out of the Darkness : Teens Talk About Suicide</t>
  </si>
  <si>
    <t>Crook, Marion</t>
  </si>
  <si>
    <t>HV6546 -- .C758 2003eb</t>
  </si>
  <si>
    <t>362.28/0835</t>
  </si>
  <si>
    <t>Suicide -- Prevention.; Suicide -- Psychological aspects.; Teenagers -- Interviews.; Teenagers -- Suicidal behavior.</t>
  </si>
  <si>
    <t>http://public.eblib.com/choice/PublicFullRecord.aspx?p=478504</t>
  </si>
  <si>
    <t>Microhydro : Clean Power from Water</t>
  </si>
  <si>
    <t>Davis, Scott; Laschuk, Corrie</t>
  </si>
  <si>
    <t>Engineering; Environmental Studies; Engineering: Electrical; Economics</t>
  </si>
  <si>
    <t>TK1081 -- .D38 2003eb</t>
  </si>
  <si>
    <t>333.794; 621.312134</t>
  </si>
  <si>
    <t>Electronic books. -- local; Hydroelectric power plants.; Renewable energy sources.</t>
  </si>
  <si>
    <t>http://public.eblib.com/choice/PublicFullRecord.aspx?p=478514</t>
  </si>
  <si>
    <t>The Human-Powered Home : Choosing Muscles Over Motors</t>
  </si>
  <si>
    <t>Dean, Tamara</t>
  </si>
  <si>
    <t>TX298 -- .D43 2008eb</t>
  </si>
  <si>
    <t>643; 643.6</t>
  </si>
  <si>
    <t>Household appliances -- Design and construction.; Household appliances.; Pedal-powered mechanisms.</t>
  </si>
  <si>
    <t>http://public.eblib.com/choice/PublicFullRecord.aspx?p=478516</t>
  </si>
  <si>
    <t>Rhetoric for Radicals : A Handbook for 21st Century Activists</t>
  </si>
  <si>
    <t>Del Gandio, Jason</t>
  </si>
  <si>
    <t>HN175 -- .D45 2008eb</t>
  </si>
  <si>
    <t>808/.066303484</t>
  </si>
  <si>
    <t>Persuasion (Rhetoric) -- Handbooks, manuals, etc.; Radicalism -- Handbooks, manuals, etc.</t>
  </si>
  <si>
    <t>http://public.eblib.com/choice/PublicFullRecord.aspx?p=478519</t>
  </si>
  <si>
    <t>The Troublemaker's Teaparty : A Manual for Effective Citizen Action</t>
  </si>
  <si>
    <t>Dobson, Charles</t>
  </si>
  <si>
    <t>HM766 -- .D62 2003eb</t>
  </si>
  <si>
    <t>Citizens'' associations -- Handbooks, manuals, etc.; Community organization -- Handbooks, manuals, etc.; Social action -- Handbooks, manuals, etc.</t>
  </si>
  <si>
    <t>http://public.eblib.com/choice/PublicFullRecord.aspx?p=478523</t>
  </si>
  <si>
    <t>The Senior Cohousing Handbook : A Community Approach to Independent Living</t>
  </si>
  <si>
    <t>Durrett, Charles</t>
  </si>
  <si>
    <t>HQ1063 -- .D87 2009eb</t>
  </si>
  <si>
    <t>Community life.; Housing, Cooperative.; Older people -- Dwellings -- Economic aspects.; Older people -- Dwellings.; Older people -- Social networks.</t>
  </si>
  <si>
    <t>http://public.eblib.com/choice/PublicFullRecord.aspx?p=478531</t>
  </si>
  <si>
    <t>Small is Possible : Life in a Local Economy</t>
  </si>
  <si>
    <t>Estill, Lyle</t>
  </si>
  <si>
    <t>HC107.N82 -- C452 2008eb</t>
  </si>
  <si>
    <t>Autarchy -- Case studies.; Chatham County (N.C.) -- Economic conditions.; Community development -- Case studies.; Community organization -- Case studies.; Electronic books. -- local; Small business -- Case studies.; Sustainable development -- Citizen participation -- Case studies.</t>
  </si>
  <si>
    <t>http://public.eblib.com/choice/PublicFullRecord.aspx?p=478549</t>
  </si>
  <si>
    <t>Biodiesel Power : The Passion, the People, and the Politics of the Next Renewable Fuel</t>
  </si>
  <si>
    <t>HD9579.D53 -- U63 2005eb</t>
  </si>
  <si>
    <t>338.4/7662669</t>
  </si>
  <si>
    <t>Biodiesel fuel industry; Biodiesel fuels -- United States.; Diesel fuels industry -- Environmental aspects -- United States.</t>
  </si>
  <si>
    <t>http://public.eblib.com/choice/PublicFullRecord.aspx?p=478550</t>
  </si>
  <si>
    <t>Making a Living While Making a Difference : Conscious Careers in an Era of Independence</t>
  </si>
  <si>
    <t>Revised Edition</t>
  </si>
  <si>
    <t>Everett, Melissa</t>
  </si>
  <si>
    <t>HF5381 -- .E853 2007eb</t>
  </si>
  <si>
    <t>Electronic books. -- local; Job satisfaction.; Self-actualization (Psychology); Social values.; Vocational guidance.</t>
  </si>
  <si>
    <t>http://public.eblib.com/choice/PublicFullRecord.aspx?p=478551</t>
  </si>
  <si>
    <t>The Solar Food Dryer : How to Make and Use Your Own Low-Cost, High Performance, Sun-Powered Food Dehydrator</t>
  </si>
  <si>
    <t>TX609 -- .F635 2005eb</t>
  </si>
  <si>
    <t>Dried foods.; Electronic books. -- local; Food -- Solar drying.; Solar food dryers -- Design and construction.; Solar food dryers.</t>
  </si>
  <si>
    <t>http://public.eblib.com/choice/PublicFullRecord.aspx?p=478562</t>
  </si>
  <si>
    <t>Boat Green : 50 Steps Boaters Can Take to Save Our Waters</t>
  </si>
  <si>
    <t>Ford, Clyde W.</t>
  </si>
  <si>
    <t>Engineering; Engineering: Environmental; Sport &amp; Recreation</t>
  </si>
  <si>
    <t>TD195.B63 -- F67 2008eb</t>
  </si>
  <si>
    <t>797.1; 797.109771</t>
  </si>
  <si>
    <t>Boats and boating -- Environmental aspects.; Boats and boating -- Maintenance and repair -- Environmental aspects.; Electronic books. -- local; Marine pollution -- Prevention.; Water -- Pollution -- Prevention.</t>
  </si>
  <si>
    <t>http://public.eblib.com/choice/PublicFullRecord.aspx?p=478564</t>
  </si>
  <si>
    <t>Somebodies and Nobodies : Overcoming the Abuse of Rank</t>
  </si>
  <si>
    <t>Fuller, Robert W.</t>
  </si>
  <si>
    <t>HM821 -- .F85 2003eb</t>
  </si>
  <si>
    <t>Discrimination.; Equality.; Marginality, Social.; Social stratification.</t>
  </si>
  <si>
    <t>http://public.eblib.com/choice/PublicFullRecord.aspx?p=478571</t>
  </si>
  <si>
    <t>Weapons of Mass Instruction : A Schoolteacher's Journey Through the Dark World of Compulsory Schooling</t>
  </si>
  <si>
    <t>Gatto, John Taylor</t>
  </si>
  <si>
    <t>LC131 -- .G38 2009eb</t>
  </si>
  <si>
    <t>379.2/30973</t>
  </si>
  <si>
    <t>Education -- Aims and objectives -- United States.; Education -- Philosophy.; Education, Compulsory -- United States.; Educational sociology -- United States.</t>
  </si>
  <si>
    <t>http://public.eblib.com/choice/PublicFullRecord.aspx?p=478574</t>
  </si>
  <si>
    <t>As Fresh as It Gets : Everyday Recipes from the Tomato Fresh Food Café</t>
  </si>
  <si>
    <t>Gaudreault, Christian; Spilos, Star</t>
  </si>
  <si>
    <t>TX714 -- .G38 2006eb</t>
  </si>
  <si>
    <t>Cookbooks.; Cooking (Tomatoes); Cooking.; Tomato Fresh Food Café.</t>
  </si>
  <si>
    <t>http://public.eblib.com/choice/PublicFullRecord.aspx?p=478575</t>
  </si>
  <si>
    <t>The Rice Queen Diaries : A Memoir</t>
  </si>
  <si>
    <t>Gawthrop, Daniel</t>
  </si>
  <si>
    <t>HQ75.8.G38 -- A3 2005eb</t>
  </si>
  <si>
    <t>306.76/62092</t>
  </si>
  <si>
    <t>Gawthrop, Daniel, -- 1963-; Gawthrop, Daniel, -- 1963- -- Travel -- Asia.; Gay men -- Asia.; Gay men -- Canada -- Biography.; Gays -- Travel -- Asia.</t>
  </si>
  <si>
    <t>http://public.eblib.com/choice/PublicFullRecord.aspx?p=478576</t>
  </si>
  <si>
    <t>queersexlife : Autobiographical Notes on Sexuality, Gender &amp; Identity</t>
  </si>
  <si>
    <t>Goldie, Terry</t>
  </si>
  <si>
    <t>HQ76.25 -- .G65 2008eb</t>
  </si>
  <si>
    <t>Gay men -- Canada -- Biography.; Gays -- Identity.; Gender identity.; Goldie, Terry.; Homosexuality.; Sex (Psychology)</t>
  </si>
  <si>
    <t>http://public.eblib.com/choice/PublicFullRecord.aspx?p=478584</t>
  </si>
  <si>
    <t>The Long Descent : A User's Guide to the End of the Industrial Age</t>
  </si>
  <si>
    <t>Greer, John Michael</t>
  </si>
  <si>
    <t>HN18.3 -- .G43 2008eb</t>
  </si>
  <si>
    <t>303.4; 306.0905</t>
  </si>
  <si>
    <t>Civilization, Modern -- 21st century.; Electronic books. -- local; Social change.; Social evolution.; Twenty-first century -- Forecasts.</t>
  </si>
  <si>
    <t>http://public.eblib.com/choice/PublicFullRecord.aspx?p=478596</t>
  </si>
  <si>
    <t>The Ecotechnic Future : Envisioning a Post-Peak World</t>
  </si>
  <si>
    <t>Environmental Studies; Geography/Travel; Economics; Business/Management</t>
  </si>
  <si>
    <t>GF47 -- .G74 2009eb</t>
  </si>
  <si>
    <t>338.927; 901</t>
  </si>
  <si>
    <t>Ecology.; Electronic books. -- local; Forecasting.; Human ecology.; Social change.</t>
  </si>
  <si>
    <t>http://public.eblib.com/choice/PublicFullRecord.aspx?p=478597</t>
  </si>
  <si>
    <t>SVO : Powering Your Vehicle With Straight Vegetable Oil</t>
  </si>
  <si>
    <t>Gregg, Forest; Goodwin, Christopher</t>
  </si>
  <si>
    <t>Engineering: Chemical; Engineering: General; Engineering</t>
  </si>
  <si>
    <t>TP359.V44 -- G74 2008eb</t>
  </si>
  <si>
    <t>Diesel motor -- Alternative fuels.; Vegetable oils as fuel.</t>
  </si>
  <si>
    <t>http://public.eblib.com/choice/PublicFullRecord.aspx?p=478599</t>
  </si>
  <si>
    <t>Integral City : Evolutionary Intelligences for the Human Hive</t>
  </si>
  <si>
    <t>Hamilton, Marilyn</t>
  </si>
  <si>
    <t>HT151 -- .H316 2008eb</t>
  </si>
  <si>
    <t>Cities and towns.; City and town life.; Electronic books. -- local; Sociology, Urban.</t>
  </si>
  <si>
    <t>http://public.eblib.com/choice/PublicFullRecord.aspx?p=478607</t>
  </si>
  <si>
    <t>The Joy of Conflict Resolution : Transforming Victims, Villains and Heroes in the Workplace and at Home</t>
  </si>
  <si>
    <t>Harper, Gary</t>
  </si>
  <si>
    <t>HM1126 -- .H37 2004eb</t>
  </si>
  <si>
    <t>Conflict management.; Electronic books. -- local; Interpersonal conflict.</t>
  </si>
  <si>
    <t>http://public.eblib.com/choice/PublicFullRecord.aspx?p=478612</t>
  </si>
  <si>
    <t>The Practical Cyclist : Bicycling for Real People</t>
  </si>
  <si>
    <t>Haynes, Chip</t>
  </si>
  <si>
    <t>GV1043.7 -- .H39 2009eb</t>
  </si>
  <si>
    <t>Cycling.</t>
  </si>
  <si>
    <t>http://public.eblib.com/choice/PublicFullRecord.aspx?p=478618</t>
  </si>
  <si>
    <t>Wearing Smaller Shoes : Living Light on the Big Blue Marble</t>
  </si>
  <si>
    <t>Economics; Environmental Studies; Home Economics</t>
  </si>
  <si>
    <t>GE196 -- .H39 2009eb</t>
  </si>
  <si>
    <t>333.72; 640</t>
  </si>
  <si>
    <t>Conservation of natural resources -- Citizen participation.; Electronic books. -- local; Sustainable living.</t>
  </si>
  <si>
    <t>http://public.eblib.com/choice/PublicFullRecord.aspx?p=478619</t>
  </si>
  <si>
    <t>The Oil Depletion Protocol : A Plan to Avert Oil Wars, Terrorism and Economic Collapse</t>
  </si>
  <si>
    <t>Heinberg, Richard; Campbell, Colin</t>
  </si>
  <si>
    <t>HD9560.6 -- .H448 2006eb</t>
  </si>
  <si>
    <t>333.8/23217</t>
  </si>
  <si>
    <t>Petroleum industry and trade -- Government policy.; Petroleum industry and trade.; Petroleum reserves -- Government policy.; Petroleum reserves.</t>
  </si>
  <si>
    <t>http://public.eblib.com/choice/PublicFullRecord.aspx?p=478621</t>
  </si>
  <si>
    <t>Blackout : Coal, Climate and the Last Energy Crisis</t>
  </si>
  <si>
    <t>HD9540.5 -- .H52 2009eb</t>
  </si>
  <si>
    <t>Coal -- Environmental aspects.; Coal trade.; Coal.; Electric power.; Electronic books. -- local</t>
  </si>
  <si>
    <t>http://public.eblib.com/choice/PublicFullRecord.aspx?p=478622</t>
  </si>
  <si>
    <t>One Ring Circus : Extreme Wrestling in the Minor Leagues</t>
  </si>
  <si>
    <t>Osborne, Stephen</t>
  </si>
  <si>
    <t>GV1195 -- .H69 2002eb</t>
  </si>
  <si>
    <t>Wrestlers -- Canada -- Pictorial works.; Wrestlers -- Canada.; Wrestlers -- United States.; Wrestling -- Northwest, Pacific -- Pictorial works.; Wrestling -- Northwest, Pacific.</t>
  </si>
  <si>
    <t>http://public.eblib.com/choice/PublicFullRecord.aspx?p=478636</t>
  </si>
  <si>
    <t>The Greenpeace to Amchitka : An Environmental Odyssey</t>
  </si>
  <si>
    <t>Hunter, Robert</t>
  </si>
  <si>
    <t>GE56.H86 -- A3 2004eb</t>
  </si>
  <si>
    <t>333.72/06/01</t>
  </si>
  <si>
    <t>Greenpeace (Boat); Greenpeace Foundation -- History.; Hunter, Robert, -- 1941-2005 -- Travel -- Alaska -- Amchitka Island.; Keziere, Robert -- Travel -- Alaska -- Amchitka Island.</t>
  </si>
  <si>
    <t>http://public.eblib.com/choice/PublicFullRecord.aspx?p=478637</t>
  </si>
  <si>
    <t>I, Shithead : A Life in Punk</t>
  </si>
  <si>
    <t>Keithley, Joey; Rabid, Jack</t>
  </si>
  <si>
    <t>ML420.K254 -- A3 2003eb</t>
  </si>
  <si>
    <t>782.42166/092; B</t>
  </si>
  <si>
    <t>D.O.A. (Musical group); Keithley, Joe, -- 1956-; Punk rock musicians -- Canada -- Biography.</t>
  </si>
  <si>
    <t>http://public.eblib.com/choice/PublicFullRecord.aspx?p=478649</t>
  </si>
  <si>
    <t>Automaton Biographies</t>
  </si>
  <si>
    <t>Lai, Larissa</t>
  </si>
  <si>
    <t>PR9199.3.L2815 -- A88 2009eb</t>
  </si>
  <si>
    <t>Canadian poetry -- 21st century.; Electronic books. -- local; Human beings.</t>
  </si>
  <si>
    <t>http://public.eblib.com/choice/PublicFullRecord.aspx?p=478678</t>
  </si>
  <si>
    <t>ExtraVeganZa : Original Recipes from Phoenix Organic Farm</t>
  </si>
  <si>
    <t>Matthias, Laura</t>
  </si>
  <si>
    <t>TX837 -- .M2367 2006eb</t>
  </si>
  <si>
    <t>Cooking (Natural foods); Electronic books. -- local; Vegan cooking.</t>
  </si>
  <si>
    <t>http://public.eblib.com/choice/PublicFullRecord.aspx?p=478717</t>
  </si>
  <si>
    <t>Patience &amp; Sarah</t>
  </si>
  <si>
    <t>Little Sister's Classics</t>
  </si>
  <si>
    <t>Miller, Isabel; Donoghue, Emma</t>
  </si>
  <si>
    <t>PS3563.I39 -- P53 2005eb</t>
  </si>
  <si>
    <t>Electronic books. -- local; Lesbian couples -- Fiction.; Lesbians -- Fiction.</t>
  </si>
  <si>
    <t>http://public.eblib.com/choice/PublicFullRecord.aspx?p=478735</t>
  </si>
  <si>
    <t>Energy Switch : Proven Solutions for a Renewable Future</t>
  </si>
  <si>
    <t>Morris, Craig</t>
  </si>
  <si>
    <t>Engineering: Mechanical; Economics; Engineering; Environmental Studies</t>
  </si>
  <si>
    <t>TJ808 -- .M67 2006eb</t>
  </si>
  <si>
    <t>Electronic books. -- local; Power resources -- Environmental aspects.; Renewable energy sources.</t>
  </si>
  <si>
    <t>http://public.eblib.com/choice/PublicFullRecord.aspx?p=478742</t>
  </si>
  <si>
    <t>Plan C : Community Survival Strategies for Peak Oil and Climate Change</t>
  </si>
  <si>
    <t>Murphy, Pat</t>
  </si>
  <si>
    <t>HC79.E5 -- M883 2008eb</t>
  </si>
  <si>
    <t>333.72; 363.7</t>
  </si>
  <si>
    <t>Capitalism -- Environmental aspects.; Communities.; Electronic books. -- local; Globalization -- Environmental aspects.; Sustainable development -- Citizen participation.; Sustainable development.</t>
  </si>
  <si>
    <t>http://public.eblib.com/choice/PublicFullRecord.aspx?p=478750</t>
  </si>
  <si>
    <t>McPoems</t>
  </si>
  <si>
    <t>Nickerson, Billeh</t>
  </si>
  <si>
    <t>PS3564.I285 -- M36 2009eb</t>
  </si>
  <si>
    <t>C811/.6</t>
  </si>
  <si>
    <t>Fast food restaurants -- Poetry.</t>
  </si>
  <si>
    <t>http://public.eblib.com/choice/PublicFullRecord.aspx?p=478759</t>
  </si>
  <si>
    <t>Life, Money and Illusion : Living on Earth as if we want to stay</t>
  </si>
  <si>
    <t>Nickerson, Mike</t>
  </si>
  <si>
    <t>HD75 -- .N53 2009eb</t>
  </si>
  <si>
    <t>Economic development -- Environmental aspects.; Economic policy.; Electronic books. -- local; Sustainable development.</t>
  </si>
  <si>
    <t>http://public.eblib.com/choice/PublicFullRecord.aspx?p=478760</t>
  </si>
  <si>
    <t>Eating Fossil Fuels : Oil, Food and the Coming Crisis in Agriculture</t>
  </si>
  <si>
    <t>Pfeiffer, Dale Allen</t>
  </si>
  <si>
    <t>HD9000.5 -- P44 2006eb</t>
  </si>
  <si>
    <t>Agriculture -- Korea (North) -- History.; Agriculture and energy.; Agriculture and state -- Cuba.; Food industry and trade.; Food supply -- Forecasting.; Fossil fuels.; Petroleum industry and trade -- Forecasting.</t>
  </si>
  <si>
    <t>http://public.eblib.com/choice/PublicFullRecord.aspx?p=478783</t>
  </si>
  <si>
    <t>Law of Desire : A Queer Film Classic</t>
  </si>
  <si>
    <t>Queer Film Classics</t>
  </si>
  <si>
    <t>Quiroga, José</t>
  </si>
  <si>
    <t>PN1995.9.H55 -- Q57 2009eb</t>
  </si>
  <si>
    <t>Electronic books. -- local; Gays in motion picturs.; Law of desire (Motion picture)</t>
  </si>
  <si>
    <t>http://public.eblib.com/choice/PublicFullRecord.aspx?p=478794</t>
  </si>
  <si>
    <t>EcoCities : Rebuilding Cities in Balance with Nature</t>
  </si>
  <si>
    <t>Register, Richard</t>
  </si>
  <si>
    <t>Social Science; Fine Arts</t>
  </si>
  <si>
    <t>HT241 -- .R44 2006eb</t>
  </si>
  <si>
    <t>307.12; 711.4</t>
  </si>
  <si>
    <t>City planning -- Environmental aspects.; Sustainable development.; Urban ecology (Sociology)</t>
  </si>
  <si>
    <t>http://public.eblib.com/choice/PublicFullRecord.aspx?p=478800</t>
  </si>
  <si>
    <t>Earth-Sheltered Houses : How to Build an Affordable...</t>
  </si>
  <si>
    <t>Roy, Rob</t>
  </si>
  <si>
    <t>TH4819.E27 -- R679 2006eb</t>
  </si>
  <si>
    <t>690.8; 690.837</t>
  </si>
  <si>
    <t>Earth sheltered houses -- Design and construction.; Electronic books. -- local; House construction.</t>
  </si>
  <si>
    <t>http://public.eblib.com/choice/PublicFullRecord.aspx?p=478817</t>
  </si>
  <si>
    <t>Timber Framing for the Rest of Us : A Guide to Contemporary Post and Beam Construction</t>
  </si>
  <si>
    <t>TH1101 -- .R69 2004eb</t>
  </si>
  <si>
    <t>Electronic books. -- local; Framing (Building); Wooden-frame buildings -- Design and construction.</t>
  </si>
  <si>
    <t>http://public.eblib.com/choice/PublicFullRecord.aspx?p=478818</t>
  </si>
  <si>
    <t>Stoneview : How to Build an Eco-Friendly Little Guesthouse</t>
  </si>
  <si>
    <t>TH4860 -- .R69 2008eb</t>
  </si>
  <si>
    <t>690.85047; 690/.837</t>
  </si>
  <si>
    <t>Electronic books. -- local; Guesthouses -- Design and construction.; House construction -- Environmental aspects.; Log-end houses -- Design and construction.</t>
  </si>
  <si>
    <t>http://public.eblib.com/choice/PublicFullRecord.aspx?p=478819</t>
  </si>
  <si>
    <t>Becoming the Kind Father : A Son's Journey</t>
  </si>
  <si>
    <t>Sandborn, Calvin</t>
  </si>
  <si>
    <t>HQ756 -- .S223 2007eb</t>
  </si>
  <si>
    <t>306.8742; 306.8742092</t>
  </si>
  <si>
    <t>Electronic books. -- local; Fatherhood.; Fathers and sons.; Masculinity.; Mental health.; Sandborn, Calvin -- Family.</t>
  </si>
  <si>
    <t>http://public.eblib.com/choice/PublicFullRecord.aspx?p=478823</t>
  </si>
  <si>
    <t>The Green Teen : The Eco-Friendly Teen's Guide to Saving the Planet</t>
  </si>
  <si>
    <t>Savedge, Jenn</t>
  </si>
  <si>
    <t>GE195.7 -- .S28 2009eb</t>
  </si>
  <si>
    <t>333.7; 333.72</t>
  </si>
  <si>
    <t>Electronic books. -- local; Environmental protection -- Citizen participation.; Environmental responsibility.; Green movement.; Sustainable living.; Teenagers and the environment.</t>
  </si>
  <si>
    <t>http://public.eblib.com/choice/PublicFullRecord.aspx?p=478825</t>
  </si>
  <si>
    <t>Five Ring Circus : Myths and Realities of the Olympic Games</t>
  </si>
  <si>
    <t>Shaw, Christopher A.</t>
  </si>
  <si>
    <t>GV721.5 -- .S53 2008eb</t>
  </si>
  <si>
    <t>796.48; 796.98</t>
  </si>
  <si>
    <t>Electronic books. -- local; International Olympic Committee.; Olympic Winter Games -- (21st : -- 2010 : -- Vancouver, B.C.); Olympics -- Economic aspects.; Olympics -- Environmental aspects.; Olympics -- History.; Olympics -- Political aspects.</t>
  </si>
  <si>
    <t>http://public.eblib.com/choice/PublicFullRecord.aspx?p=478845</t>
  </si>
  <si>
    <t>Seeing Red : An Anger Management and Peacemaking Curriculum for Kids</t>
  </si>
  <si>
    <t>Simmonds, Jennifer</t>
  </si>
  <si>
    <t>Psychology; Education</t>
  </si>
  <si>
    <t>BF723.A4 -- S56 2003eb</t>
  </si>
  <si>
    <t>371.93; 372.8</t>
  </si>
  <si>
    <t>Anger in children -- Study and teaching (Elementary); Conflict management -- Study and teaching (Elementary); Interpersonal relations in children -- Study and teaching (Elementary)</t>
  </si>
  <si>
    <t>http://public.eblib.com/choice/PublicFullRecord.aspx?p=478855</t>
  </si>
  <si>
    <t>Gardening When It Counts : Growing Food in Hard Times</t>
  </si>
  <si>
    <t>Solomon, Steve</t>
  </si>
  <si>
    <t>SB321 -- .S64 2005eb</t>
  </si>
  <si>
    <t>Electronic books. -- local; Organic gardening.; Vegetable gardening -- Economic aspects.; Vegetable gardening.; Vegetables -- Varieties.</t>
  </si>
  <si>
    <t>http://public.eblib.com/choice/PublicFullRecord.aspx?p=478864</t>
  </si>
  <si>
    <t>Dreaming in the Rain : How Vancouver Became Hollywood North by Northwest</t>
  </si>
  <si>
    <t>Spaner, David</t>
  </si>
  <si>
    <t>Fine Arts; Business/Management</t>
  </si>
  <si>
    <t>PN1993.5.C2 -- S73 2003eb</t>
  </si>
  <si>
    <t>384.80971133; 384.80973</t>
  </si>
  <si>
    <t>Electronic books. -- local; Motion picture industry -- British Columbia -- Vancouver Metropolitan Area -- History.; Motion pictures -- British Columbia -- Vancouver Metropolitan Area -- History.</t>
  </si>
  <si>
    <t>http://public.eblib.com/choice/PublicFullRecord.aspx?p=478869</t>
  </si>
  <si>
    <t>Diabetes: Sugar-Coated Crisis</t>
  </si>
  <si>
    <t>Spero, David</t>
  </si>
  <si>
    <t>Health; Social Science; Medicine</t>
  </si>
  <si>
    <t>RC660.4 -- .S64 2006eb</t>
  </si>
  <si>
    <t>362.19642; 616.462</t>
  </si>
  <si>
    <t>Diabetes -- Environmental aspects.; Diabetes -- Popular works.; Diabetes -- Social aspects.; Electronic books. -- local; Oppression (Psychology) -- Physiological aspects.</t>
  </si>
  <si>
    <t>http://public.eblib.com/choice/PublicFullRecord.aspx?p=478872</t>
  </si>
  <si>
    <t>The Carbon Buster's Home Energy Handbook : Slowing Climate Change and Saving Money</t>
  </si>
  <si>
    <t>Stoyke, Godo</t>
  </si>
  <si>
    <t>Architecture; Engineering: Mechanical; Engineering; Home Economics</t>
  </si>
  <si>
    <t>TJ163.5.D86 -- S765 2007eb</t>
  </si>
  <si>
    <t>644; 720.47</t>
  </si>
  <si>
    <t>Dwellings -- Energy conservation -- Handbooks, manuals, etc.; Dwellings -- Energy consumption -- Handbooks, manuals, etc.; Renewable energy sources -- Handbooks, manuals, etc.; Sustainable living -- Handbooks, manuals, etc.</t>
  </si>
  <si>
    <t>http://public.eblib.com/choice/PublicFullRecord.aspx?p=478881</t>
  </si>
  <si>
    <t>Guerrilla Gardening : A Manualfesto</t>
  </si>
  <si>
    <t>Tracey, David</t>
  </si>
  <si>
    <t>Agriculture; Fine Arts</t>
  </si>
  <si>
    <t>SB472.7 -- .T73 2007eb</t>
  </si>
  <si>
    <t>635.091732; 712.6</t>
  </si>
  <si>
    <t>Community gardens.; Electronic books. -- local; Garden ecology.; Landscape gardening.; Urban beautification.; Urban gardening.</t>
  </si>
  <si>
    <t>http://public.eblib.com/choice/PublicFullRecord.aspx?p=478896</t>
  </si>
  <si>
    <t>Gods and Monsters : A Queer Film Classic</t>
  </si>
  <si>
    <t>Tsika, Noah</t>
  </si>
  <si>
    <t>PN1997.2.G63 -- T75 2009eb</t>
  </si>
  <si>
    <t>Electronic books. -- local; Gods and monsters (Motion picture); Motion pictures -- United States -- 20th century.</t>
  </si>
  <si>
    <t>http://public.eblib.com/choice/PublicFullRecord.aspx?p=478899</t>
  </si>
  <si>
    <t>The Power and Promise of Humane Education</t>
  </si>
  <si>
    <t>LC268 -- .W43 2004eb</t>
  </si>
  <si>
    <t>370.11/4</t>
  </si>
  <si>
    <t>Environmental education.; Humane education.; Moral education.</t>
  </si>
  <si>
    <t>http://public.eblib.com/choice/PublicFullRecord.aspx?p=478915</t>
  </si>
  <si>
    <t>Food Security for the Faint of Heart</t>
  </si>
  <si>
    <t>Wheeler, Robin</t>
  </si>
  <si>
    <t>TX601 -- .W458 2008eb</t>
  </si>
  <si>
    <t>Electronic books. -- local; Emergency food supply.; Food -- Storage.; Survival and emergency equipment.</t>
  </si>
  <si>
    <t>http://public.eblib.com/choice/PublicFullRecord.aspx?p=478919</t>
  </si>
  <si>
    <t>The Sustainability Champion's Guidebook : How to Transform Your Company</t>
  </si>
  <si>
    <t>Willard, Bob</t>
  </si>
  <si>
    <t>HD30.255 -- .W55 2009eb</t>
  </si>
  <si>
    <t>658.4/083; 658.408</t>
  </si>
  <si>
    <t>Business enterprises -- Environmental aspects.; Environmental protection -- Economic aspects.; Environmental responsibility.; Industrial management -- Environmental aspects.; Management -- Environmental aspects.; Social responsibility of business.; Sustainable development.</t>
  </si>
  <si>
    <t>http://public.eblib.com/choice/PublicFullRecord.aspx?p=478923</t>
  </si>
  <si>
    <t>Choosing Green : The Homebuyer's Guide to Good Green Homes</t>
  </si>
  <si>
    <t>Architecture; Engineering; Engineering: Construction; Home Economics</t>
  </si>
  <si>
    <t>TH4860 -- .Y83 2008eb</t>
  </si>
  <si>
    <t>643.12; 720.47</t>
  </si>
  <si>
    <t>Ecological houses -- North America.; Ecological houses.; Electronic books. -- local; Sustainable living.</t>
  </si>
  <si>
    <t>http://public.eblib.com/choice/PublicFullRecord.aspx?p=478934</t>
  </si>
  <si>
    <t>Towers of Deception : The Media Cover-up of 9/11</t>
  </si>
  <si>
    <t>Zwicker, Barrie</t>
  </si>
  <si>
    <t>HV6432.7 -- .Z85 2006eb</t>
  </si>
  <si>
    <t>September 11 Terrorist Attacks, 2001, in mass media.; September 11 Terrorist Attacks, 2001.; Terrorism and mass media -- United States.; Terrorism in mass media.</t>
  </si>
  <si>
    <t>http://public.eblib.com/choice/PublicFullRecord.aspx?p=478939</t>
  </si>
  <si>
    <t>Digital Review of Asia Pacific 2009-2010</t>
  </si>
  <si>
    <t>Sage/Orbicom</t>
  </si>
  <si>
    <t>Akhtar, Shahid; Arinto, Patricia</t>
  </si>
  <si>
    <t>Education; Business/Management</t>
  </si>
  <si>
    <t>HC681.3.I55 -- D54 2010eb</t>
  </si>
  <si>
    <t>Information technology -- Asia -- Periodicals.; Information technology -- Government policy -- Asia -- Periodicals.; Information technology -- Government policy -- Pacific Area -- Periodicals.; Information technology -- Pacific Area -- Periodicals.; Information technology -- Technological innovations -- Economic aspects -- Pacific Area -- Periodicals.; Information technology projects -- Asia -- Periodicals.; Information technology projects -- Pacific Area -- Periodicals.</t>
  </si>
  <si>
    <t>http://public.eblib.com/choice/PublicFullRecord.aspx?p=480284</t>
  </si>
  <si>
    <t>Success Stories in Asian Aquaculture</t>
  </si>
  <si>
    <t>De Silva, Sena S.; Davy, F. Brian</t>
  </si>
  <si>
    <t>SH103 -- .S83 2009eb</t>
  </si>
  <si>
    <t>Agriculture -- Asia.; Aquaculture -- Asia.; Electronic books. -- local</t>
  </si>
  <si>
    <t>http://public.eblib.com/choice/PublicFullRecord.aspx?p=480285</t>
  </si>
  <si>
    <t>Analysis of Multidimensional Poverty : Theory and Case Studies</t>
  </si>
  <si>
    <t>Asselin, LouisMarie</t>
  </si>
  <si>
    <t>HC79.P6 -- A86 2009eb</t>
  </si>
  <si>
    <t>Economics.; Electronic books. -- local; Poverty.</t>
  </si>
  <si>
    <t>http://public.eblib.com/choice/PublicFullRecord.aspx?p=480287</t>
  </si>
  <si>
    <t>Canada : A Survival Guide to Customs and Etiquette</t>
  </si>
  <si>
    <t>Marshall Cavendish International (Asia) Ptd Ltd</t>
  </si>
  <si>
    <t>Marshall Cavendish Editions</t>
  </si>
  <si>
    <t>Culture Shock!</t>
  </si>
  <si>
    <t>Pang, Guek-Cheng; Barlas, Robert</t>
  </si>
  <si>
    <t>F1021.2 -- .C44 2009eb</t>
  </si>
  <si>
    <t>Canada -- Description and travel.; Canada -- Guidebooks.; Etiquette -- Canada.</t>
  </si>
  <si>
    <t>http://public.eblib.com/choice/PublicFullRecord.aspx?p=480547</t>
  </si>
  <si>
    <t>Market Dynamics and Productivity in Developing Countries : Economic Reforms in the Middle East and North Africa</t>
  </si>
  <si>
    <t>Sekkat, Khalid</t>
  </si>
  <si>
    <t>HC59.7 -- .M37 2010eb</t>
  </si>
  <si>
    <t>337.1/61</t>
  </si>
  <si>
    <t>Economic development -- Africa, North.; Economic development -- Middle East.; Electronic books. -- local; Industrial productivity -- Africa, North.; Industrial productivity -- Middle East.</t>
  </si>
  <si>
    <t>http://public.eblib.com/choice/PublicFullRecord.aspx?p=487614</t>
  </si>
  <si>
    <t>El Aprendizaje Colaborativo En Acción : Ejemplos del manejo de los recursos naturales en Asia</t>
  </si>
  <si>
    <t>LB1032 -- .A674 2010eb</t>
  </si>
  <si>
    <t>Electronic books. -- local; Group work in education -- Asia.; Group work in education -- Case studies.; Natural resources -- Management -- Study and teaching -- Asia.</t>
  </si>
  <si>
    <t>http://public.eblib.com/choice/PublicFullRecord.aspx?p=487615</t>
  </si>
  <si>
    <t>A Nation of Farmers : Defeating the Food Crisis on American Soil</t>
  </si>
  <si>
    <t>Astyk, Sharon; Newton, Aaron</t>
  </si>
  <si>
    <t>HD9005 -- .A88 2009eb</t>
  </si>
  <si>
    <t>338.1/973; 338.10973090511</t>
  </si>
  <si>
    <t>Food relief -- International cooperation.; Food relief, American.; Food supply -- United States -- Forecasting.; Food supply -- United States.</t>
  </si>
  <si>
    <t>http://public.eblib.com/choice/PublicFullRecord.aspx?p=496465</t>
  </si>
  <si>
    <t>Transport Revolutions : Moving People and Freight Without Oil</t>
  </si>
  <si>
    <t>Gilbert, Richard; Perl, Anthony</t>
  </si>
  <si>
    <t>HE147.65 -- .G55 2010eb</t>
  </si>
  <si>
    <t>Electronic books. -- local; Transportation -- Energy conservation.; Transportation -- Environmental aspects.; Transportation -- Forecasting.</t>
  </si>
  <si>
    <t>http://public.eblib.com/choice/PublicFullRecord.aspx?p=515434</t>
  </si>
  <si>
    <t>Wind Power Basics : A Green Energy Guide</t>
  </si>
  <si>
    <t>A Green Energy Guide</t>
  </si>
  <si>
    <t>Engineering: Mechanical; Environmental Studies; Engineering; Economics</t>
  </si>
  <si>
    <t>TJ820 -- .C45 2010eb</t>
  </si>
  <si>
    <t>Wind energy conversion systems.; Wind power.</t>
  </si>
  <si>
    <t>http://public.eblib.com/choice/PublicFullRecord.aspx?p=515437</t>
  </si>
  <si>
    <t>Thriving Beyond Sustainability : Pathways to a Resilient Society</t>
  </si>
  <si>
    <t>Edwards, Andres R.; McKibben, Bill</t>
  </si>
  <si>
    <t>HC79.E5 -- E39 2010eb</t>
  </si>
  <si>
    <t>338.927; 363.7</t>
  </si>
  <si>
    <t>Electronic books. -- local; Environmental protection.; Green movement.; Social change.; Sustainable development.</t>
  </si>
  <si>
    <t>http://public.eblib.com/choice/PublicFullRecord.aspx?p=515439</t>
  </si>
  <si>
    <t>From Container to Kitchen : Growing Fruits and Vegetables in Pots</t>
  </si>
  <si>
    <t>Herda, D.J.</t>
  </si>
  <si>
    <t>SB418 -- .H47 2010eb</t>
  </si>
  <si>
    <t>635.9/86; 635.986</t>
  </si>
  <si>
    <t>Container gardening.; Electronic books. -- local; Gardening.</t>
  </si>
  <si>
    <t>http://public.eblib.com/choice/PublicFullRecord.aspx?p=515441</t>
  </si>
  <si>
    <t>Green Restorations : Sustainable Building and Historic Homes</t>
  </si>
  <si>
    <t>Lubeck, Aaron</t>
  </si>
  <si>
    <t>TH4812 -- .L83 2010eb</t>
  </si>
  <si>
    <t>Dwellings -- Conservation and restoration.; Dwellings -- Remodeling.; Electronic books. -- local; Historic buildings -- Conservation and restoration.; Sustainable buildings.</t>
  </si>
  <si>
    <t>http://public.eblib.com/choice/PublicFullRecord.aspx?p=515445</t>
  </si>
  <si>
    <t>On Gandhi's Path : Bob Swann's Work for Peace and Community Economics</t>
  </si>
  <si>
    <t>Mills, Stephanie</t>
  </si>
  <si>
    <t>JZ5540.2.S93 -- M55 2010eb</t>
  </si>
  <si>
    <t>327.1/72092</t>
  </si>
  <si>
    <t>Bioregionalism.; Communities -- Economic aspects.; Pacifists -- United States -- Biography.; Sustainable development.; Swann, Robert S.</t>
  </si>
  <si>
    <t>http://public.eblib.com/choice/PublicFullRecord.aspx?p=515447</t>
  </si>
  <si>
    <t>Estimular el crecimiento de la economia : El papel de la investigacion publico-privada en el desarrollo</t>
  </si>
  <si>
    <t>Economics; Engineering: General; Engineering</t>
  </si>
  <si>
    <t>T175.5 -- .F75 2009eb</t>
  </si>
  <si>
    <t>http://public.eblib.com/choice/PublicFullRecord.aspx?p=533905</t>
  </si>
  <si>
    <t>African Languages in a Digital Age : Challenges and Opportunites for Indigenous Language Computing</t>
  </si>
  <si>
    <t>HSRC Press</t>
  </si>
  <si>
    <t>Osborn, Don</t>
  </si>
  <si>
    <t>Social Science; Language/Linguistics</t>
  </si>
  <si>
    <t>P98 -- .O87 2010eb</t>
  </si>
  <si>
    <t>African languages.; Computational linguistics.; Electronic books. -- local</t>
  </si>
  <si>
    <t>http://public.eblib.com/choice/PublicFullRecord.aspx?p=533906</t>
  </si>
  <si>
    <t>Greywater Use in the Middle East : Technical, Social, Economic and Policy Issues</t>
  </si>
  <si>
    <t>McIlwaine, Stephen; Redwood, Mark</t>
  </si>
  <si>
    <t>Engineering: Construction; Engineering; Engineering: Environmental</t>
  </si>
  <si>
    <t>TH6523 -- .G74 2010eb</t>
  </si>
  <si>
    <t>Electronic books. -- local; Graywater (Domestic wastewater) -- Middle East.; Water -- Waste.</t>
  </si>
  <si>
    <t>http://public.eblib.com/choice/PublicFullRecord.aspx?p=533907</t>
  </si>
  <si>
    <t>Canada Travel Complete Profile : The All-Inclusive Travel Report for Canada</t>
  </si>
  <si>
    <t>World Trade Press</t>
  </si>
  <si>
    <t>Geography/Travel; History</t>
  </si>
  <si>
    <t>F1017 -- .C36 2010eb</t>
  </si>
  <si>
    <t>910.202; 917.123</t>
  </si>
  <si>
    <t>Canada -- Description and travel.; Canada -- History.; Electronic books. -- local</t>
  </si>
  <si>
    <t>http://public.eblib.com/choice/PublicFullRecord.aspx?p=535694</t>
  </si>
  <si>
    <t>National Dreams : Myth, Memory, and Canadian History</t>
  </si>
  <si>
    <t>Francis, Daniel</t>
  </si>
  <si>
    <t>F1026 -- .F73 1997eb</t>
  </si>
  <si>
    <t>Canada -- History.; Group identity -- Canada.; Popular culture -- Canada.</t>
  </si>
  <si>
    <t>http://public.eblib.com/choice/PublicFullRecord.aspx?p=544613</t>
  </si>
  <si>
    <t>Victims of Benevolence : The Dark Legacy of the Williams Lake Residential School</t>
  </si>
  <si>
    <t>Furniss, Elizabeth</t>
  </si>
  <si>
    <t>Education; History</t>
  </si>
  <si>
    <t>E78.B9 -- F87 2000eb</t>
  </si>
  <si>
    <t>371.82997/9; 371.97979</t>
  </si>
  <si>
    <t>Electronic books. -- local; Indians of North America -- British Columbia -- Williams Lake -- History.; Indians, Treatment of -- British Columbia -- Williams Lake -- History.; Shuswap Indians.</t>
  </si>
  <si>
    <t>http://public.eblib.com/choice/PublicFullRecord.aspx?p=544615</t>
  </si>
  <si>
    <t>Resistance and Renewal : Surviving the Indian Residential School</t>
  </si>
  <si>
    <t>Haig-Brown, Celia</t>
  </si>
  <si>
    <t>History; Education</t>
  </si>
  <si>
    <t>E78.B9 -- H35 2006eb</t>
  </si>
  <si>
    <t>371.829/97943</t>
  </si>
  <si>
    <t>Electronic books. -- local; Indians of North America -- Education -- British Columbia.; Indians of North America -- Education -- Canada.; Kamloops Indian Residential School.; Residence and education.; Shuswap Indians -- Education.</t>
  </si>
  <si>
    <t>http://public.eblib.com/choice/PublicFullRecord.aspx?p=544625</t>
  </si>
  <si>
    <t>O-bon in Chimunesu : A Community Remembered</t>
  </si>
  <si>
    <t>Lang, Catherine</t>
  </si>
  <si>
    <t>F1089.5.C45 -- L36 1996eb</t>
  </si>
  <si>
    <t>971.1/203/0922</t>
  </si>
  <si>
    <t>Chemainus (B.C.) -- Biography.; Japanese -- British Columbia -- Chemainus -- Biography.</t>
  </si>
  <si>
    <t>http://public.eblib.com/choice/PublicFullRecord.aspx?p=544635</t>
  </si>
  <si>
    <t>Carry Tiger to Mountain : The Tao te Ching for Activists</t>
  </si>
  <si>
    <t>Legault, Stephen</t>
  </si>
  <si>
    <t>BL1923 -- .L44 2006eb</t>
  </si>
  <si>
    <t>299.5/1417</t>
  </si>
  <si>
    <t>Electronic books. -- local; Laozi. -- Dao de jing.; Leadership -- Religious aspects -- Taoism.; Social justice -- Religious aspects -- Taoism.; Taoism.</t>
  </si>
  <si>
    <t>http://public.eblib.com/choice/PublicFullRecord.aspx?p=544637</t>
  </si>
  <si>
    <t>Stoney Creek Woman : The Story of Mary John</t>
  </si>
  <si>
    <t>Moran, Bridget</t>
  </si>
  <si>
    <t>E99.T17 -- J655 1997eb</t>
  </si>
  <si>
    <t>971.1/82; B</t>
  </si>
  <si>
    <t>Carrier Indians -- Social life and customs.; Carrier women -- Biography.; John, Mary, -- 1913-; Stoney Creek Indian Reserve (B.C.) -- Biography.; Stoney Creek Indian Reserve (B.C.) -- Social life and customs.</t>
  </si>
  <si>
    <t>http://public.eblib.com/choice/PublicFullRecord.aspx?p=544645</t>
  </si>
  <si>
    <t>A Little Rebellion</t>
  </si>
  <si>
    <t>HV40.32.M66 -- L58 2005eb</t>
  </si>
  <si>
    <t>Electronic books. -- local; Moran, Bridget, -- 1923-; Social service -- British Columbia -- History.; Social workers -- British Columbia -- Biography.</t>
  </si>
  <si>
    <t>http://public.eblib.com/choice/PublicFullRecord.aspx?p=544646</t>
  </si>
  <si>
    <t>Judgement at Stoney Creek</t>
  </si>
  <si>
    <t>KE229.R43 -- M67 1998eb</t>
  </si>
  <si>
    <t>Discrimination in criminal justice administration -- British Columbia.; Redekop, Richard -- Trials, litigation, etc.; Thomas, Coreen.; Trials (Manslaughter) -- British Columbia -- Vanderhoof.</t>
  </si>
  <si>
    <t>http://public.eblib.com/choice/PublicFullRecord.aspx?p=544647</t>
  </si>
  <si>
    <t>NESA : Activites Handbook for Native and Multicultural Classrooms</t>
  </si>
  <si>
    <t>Sawyer, Don; Native Education Services Associates; Green, Howard</t>
  </si>
  <si>
    <t>E96.2 -- .N47 1989eb</t>
  </si>
  <si>
    <t>371.97/97; 371.9797</t>
  </si>
  <si>
    <t>Electronic books. -- local; Experience.; Indians of North America -- Education.; Minorities -- Education.</t>
  </si>
  <si>
    <t>http://public.eblib.com/choice/PublicFullRecord.aspx?p=544654</t>
  </si>
  <si>
    <t>NESA : Activites Handbook for Native and Multicultural Classrooms, Volume 2</t>
  </si>
  <si>
    <t>Sawyer, Don; Native Education Services Associates; Napoleon, Art</t>
  </si>
  <si>
    <t>E96.2 -- .N47 1995eb</t>
  </si>
  <si>
    <t>371.97/97</t>
  </si>
  <si>
    <t>Experience.; Indians of North America -- Education.; Minorities -- Education.</t>
  </si>
  <si>
    <t>http://public.eblib.com/choice/PublicFullRecord.aspx?p=544655</t>
  </si>
  <si>
    <t>NESA : Activites Handbook for Native and Multicultural Classrooms, Volume 3</t>
  </si>
  <si>
    <t>Sawyer, Don; Native Education Services Associates; Lundeberg, Wayne</t>
  </si>
  <si>
    <t>E96.2 -- .N47 1993eb</t>
  </si>
  <si>
    <t>http://public.eblib.com/choice/PublicFullRecord.aspx?p=544656</t>
  </si>
  <si>
    <t>103 Hikes in Southwestern British Columbia</t>
  </si>
  <si>
    <t>Greystone Books</t>
  </si>
  <si>
    <t>Bryceland, Jack; Macaree, David; Macaree, Mary</t>
  </si>
  <si>
    <t>Geography/Travel; Sport &amp; Recreation</t>
  </si>
  <si>
    <t>GV199.44.C22 -- B746 2008eb</t>
  </si>
  <si>
    <t>British Columbia -- Guidebooks.; Electronic books. -- local; Hiking -- British Columbia -- Guidebooks.; Hiking -- British Columbia -- Lower Mainland -- Guidebooks.; Lower Mainland (B.C.) -- Guidebooks.; Trails -- British Columbia -- Guidebooks.; Trails -- British Columbia -- Lower Mainland -- Guidebooks.</t>
  </si>
  <si>
    <t>http://public.eblib.com/choice/PublicFullRecord.aspx?p=547505</t>
  </si>
  <si>
    <t>Notes from Canada's Young Activists : A Generation Stands Up for Change</t>
  </si>
  <si>
    <t>Cullis-Suzuki, Severn; Frederickson, Kris; MacKenzie, Cynthia; Nutt, Samantha; Cohen, Daniel Aldana; Kayssi, Ahmed</t>
  </si>
  <si>
    <t>HN49.C6 -- N675 2007eb</t>
  </si>
  <si>
    <t>Community development.; Generation Y -- Canada.; Leadership.; Young volunteers -- Canada.; Young volunteers in community development.</t>
  </si>
  <si>
    <t>http://public.eblib.com/choice/PublicFullRecord.aspx?p=547506</t>
  </si>
  <si>
    <t>Choosing Wildness : My Life Among the Ospreys</t>
  </si>
  <si>
    <t>Arbour, Claude; Irving, Joan</t>
  </si>
  <si>
    <t>Science; Science: Biology/Natural History; Science: General</t>
  </si>
  <si>
    <t>QH31.A73 -- A313 2008eb</t>
  </si>
  <si>
    <t>508.714/418</t>
  </si>
  <si>
    <t>Arbour, Claude, -- 1954-; Bird watching -- QuÃÂ©bec (Province) -- Villiers, Lake, Region.; Conservationists -- QuÃÂ©bec (Province) -- Biography.; Ornithologists -- QuÃÂ©bec (Province) -- Biography.; Osprey -- QuÃÂ©bec (Province) -- Villiers, Lake, Region.; Outdoor life -- QuÃÂ©bec (Province) -- Villiers, Lake, Region.; Wildlife watching -- QuÃÂ©bec (Province) -- Villiers, Lake, Region.</t>
  </si>
  <si>
    <t>http://public.eblib.com/choice/PublicFullRecord.aspx?p=547508</t>
  </si>
  <si>
    <t>Jean BÃÂ©liveau : My Life in Hockey</t>
  </si>
  <si>
    <t>Beliveau, Jean</t>
  </si>
  <si>
    <t>GV848.5.B4 -- A3 2005eb</t>
  </si>
  <si>
    <t>BÃÂ©liveau, Jean, -- 1931-; Electronic books. -- local; Hockey players -- Canada -- Biography.; Montreal Canadiens (Hockey team) -- Biography.</t>
  </si>
  <si>
    <t>http://public.eblib.com/choice/PublicFullRecord.aspx?p=547510</t>
  </si>
  <si>
    <t>In the Path of an Avalanche : A True Story</t>
  </si>
  <si>
    <t>Bowers, Vivien</t>
  </si>
  <si>
    <t>History; Science: Physics; Science</t>
  </si>
  <si>
    <t>QC929.A8 -- B68 2003eb</t>
  </si>
  <si>
    <t>971.1/68</t>
  </si>
  <si>
    <t>Avalanches -- British Columbia -- Kokanee Glacier Provincial Park -- History -- 20th century.; Avalanches -- Selkirk Range -- History -- 20th century.</t>
  </si>
  <si>
    <t>http://public.eblib.com/choice/PublicFullRecord.aspx?p=547511</t>
  </si>
  <si>
    <t>Neil Young Nation : A Quest, an Obsession (and a True Story)</t>
  </si>
  <si>
    <t>Chong, Kevin</t>
  </si>
  <si>
    <t>ML420.Y75 -- C55 2005eb</t>
  </si>
  <si>
    <t>Electronic books. -- local; Rock musicians -- Canada -- Biography.; Young, Neil, -- 1945-</t>
  </si>
  <si>
    <t>http://public.eblib.com/choice/PublicFullRecord.aspx?p=547514</t>
  </si>
  <si>
    <t>Whistler Book : All-Season Outdoor Guide</t>
  </si>
  <si>
    <t>Greystone Books, a division of D&amp;M</t>
  </si>
  <si>
    <t>Christie, Jack</t>
  </si>
  <si>
    <t>Sport &amp; Recreation; Geography/Travel</t>
  </si>
  <si>
    <t>GV191.46.B74 -- C57 2005eb</t>
  </si>
  <si>
    <t>917.11/31</t>
  </si>
  <si>
    <t>Electronic books. -- local; Outdoor recreation -- British Columbia -- Whistler -- Guidebooks.; Whistler (B.C.) -- Guidebooks.</t>
  </si>
  <si>
    <t>http://public.eblib.com/choice/PublicFullRecord.aspx?p=547515</t>
  </si>
  <si>
    <t>Deserts : A Literary Companion</t>
  </si>
  <si>
    <t>Greystone Nature</t>
  </si>
  <si>
    <t>Grady, Wayne</t>
  </si>
  <si>
    <t>PN6071.D44 -- D47 2008eb</t>
  </si>
  <si>
    <t>Deserts -- Literary collections.</t>
  </si>
  <si>
    <t>http://public.eblib.com/choice/PublicFullRecord.aspx?p=547519</t>
  </si>
  <si>
    <t>Paris Times Eight : Finding Myself in the City of Dreams</t>
  </si>
  <si>
    <t>Kelly, Deirdre</t>
  </si>
  <si>
    <t>Journalism; History</t>
  </si>
  <si>
    <t>DC705.K45 -- A3 2009eb</t>
  </si>
  <si>
    <t>Electronic books. -- local; Journalists -- Canada -- Biography.; Kelly, Deirdre, -- 1960-; Paris (France) -- Biography.; Paris (France) -- Social life and customs.</t>
  </si>
  <si>
    <t>http://public.eblib.com/choice/PublicFullRecord.aspx?p=547521</t>
  </si>
  <si>
    <t>The Unofficial Guide to Baseball's Most Unusual Records</t>
  </si>
  <si>
    <t>Mackin, Bob</t>
  </si>
  <si>
    <t>GV877 -- .M26 2004eb</t>
  </si>
  <si>
    <t>796.357/021</t>
  </si>
  <si>
    <t>Baseball -- Miscellanea.; Baseball -- Records.</t>
  </si>
  <si>
    <t>http://public.eblib.com/choice/PublicFullRecord.aspx?p=547524</t>
  </si>
  <si>
    <t>No Time : Stress and the Crisis of Modern Life</t>
  </si>
  <si>
    <t>D &amp; M Publishers</t>
  </si>
  <si>
    <t>Douglas &amp; McIntyre</t>
  </si>
  <si>
    <t>Menzies, Heather</t>
  </si>
  <si>
    <t>Social Science; Engineering; Engineering: General</t>
  </si>
  <si>
    <t>T14.5 -- .M484 2005eb</t>
  </si>
  <si>
    <t>303.48/3</t>
  </si>
  <si>
    <t>Technology -- Social aspects.</t>
  </si>
  <si>
    <t>http://public.eblib.com/choice/PublicFullRecord.aspx?p=547525</t>
  </si>
  <si>
    <t>It Ain't Easy : Long John Baldry and the Birth of the British Blues</t>
  </si>
  <si>
    <t>Myers, Paul</t>
  </si>
  <si>
    <t>ML420.B153 -- M94 2007eb</t>
  </si>
  <si>
    <t>Baldry, Long John, -- 1941-2005.; Blues musicians -- Canada -- Biography.; Blues musicians -- England -- Biography.; Singers -- Canada -- Biography.; Singers -- England -- Biography.</t>
  </si>
  <si>
    <t>http://public.eblib.com/choice/PublicFullRecord.aspx?p=547526</t>
  </si>
  <si>
    <t>Chronicle of a War Foretold : How Mideast Peace Became America's Fight</t>
  </si>
  <si>
    <t>Spector, Norman</t>
  </si>
  <si>
    <t>DS119.76 -- .S794 2003eb</t>
  </si>
  <si>
    <t>956.05/3</t>
  </si>
  <si>
    <t>Arab-Israeli conflict -- 1993- -- Peace.; Middle East -- Relations -- United States.; United States -- Relations -- Middle East.</t>
  </si>
  <si>
    <t>http://public.eblib.com/choice/PublicFullRecord.aspx?p=547529</t>
  </si>
  <si>
    <t>Drink in the Wild : Teas, Cordials, Jams and More</t>
  </si>
  <si>
    <t>Stewart, Hilary</t>
  </si>
  <si>
    <t>Science: Botany; Home Economics; Science</t>
  </si>
  <si>
    <t>QK98.5.U6 -- S78 2002eb</t>
  </si>
  <si>
    <t>Coffee substitutes -- Northwest, Pacific.; Herbal teas.; Jam -- Northwest, Pacific.; Liqueurs -- Northwest, Pacific.; Wild plants, Edible -- Northwest, Pacific.</t>
  </si>
  <si>
    <t>http://public.eblib.com/choice/PublicFullRecord.aspx?p=547530</t>
  </si>
  <si>
    <t>Me Funny</t>
  </si>
  <si>
    <t>Hayden Taylor, Drew</t>
  </si>
  <si>
    <t>E98.H77 -- M4 2006eb</t>
  </si>
  <si>
    <t>970.004/9700207</t>
  </si>
  <si>
    <t>Canadian literature -- Indian authors -- History and criticism.; Indians of North America -- Humor.</t>
  </si>
  <si>
    <t>http://public.eblib.com/choice/PublicFullRecord.aspx?p=547531</t>
  </si>
  <si>
    <t>Food, Sex and Salmonella : Why Our Food Is Making Us Sick</t>
  </si>
  <si>
    <t>Waltner-Toews, David</t>
  </si>
  <si>
    <t>RA601.5 -- .W35 2008eb</t>
  </si>
  <si>
    <t>Foodborne diseases -- Prevention.; Foodborne diseases.</t>
  </si>
  <si>
    <t>http://public.eblib.com/choice/PublicFullRecord.aspx?p=547533</t>
  </si>
  <si>
    <t>Red-Hot Hockey Trivia : Puzzles, Games, Quizzes</t>
  </si>
  <si>
    <t>Weekes, Don</t>
  </si>
  <si>
    <t>GV847 -- .W437 2003eb</t>
  </si>
  <si>
    <t>Hockey -- Miscellanea.</t>
  </si>
  <si>
    <t>http://public.eblib.com/choice/PublicFullRecord.aspx?p=547534</t>
  </si>
  <si>
    <t>The Big Book of Hockey Trivia</t>
  </si>
  <si>
    <t>GV847.8.N3 -- W416 2005eb</t>
  </si>
  <si>
    <t>Electronic books. -- local; Hockey -- Miscellanea.; National Hockey League -- Miscellanea.</t>
  </si>
  <si>
    <t>http://public.eblib.com/choice/PublicFullRecord.aspx?p=547535</t>
  </si>
  <si>
    <t>Hockey's Top 100 : The Game's Greatest Records</t>
  </si>
  <si>
    <t>Weekes, Don; Banks, Kerry</t>
  </si>
  <si>
    <t>GV847.8.N3 -- W44 2008eb</t>
  </si>
  <si>
    <t>Hockey -- Miscellanea.; Hockey -- Records.; National Hockey League -- Miscellanea.</t>
  </si>
  <si>
    <t>http://public.eblib.com/choice/PublicFullRecord.aspx?p=557372</t>
  </si>
  <si>
    <t>The Best and Worst of Hockey's Firsts : The Unofficial Guide</t>
  </si>
  <si>
    <t>GV847.8.N3 -- W413 2003eb</t>
  </si>
  <si>
    <t>796.962/06</t>
  </si>
  <si>
    <t>Hockey -- Miscellanea.; National Hockey League -- Miscellanea.</t>
  </si>
  <si>
    <t>http://public.eblib.com/choice/PublicFullRecord.aspx?p=557373</t>
  </si>
  <si>
    <t>David Suzuki's Green Guide</t>
  </si>
  <si>
    <t>Suzuki, David; Boyd, David R.</t>
  </si>
  <si>
    <t>Engineering; Engineering: Environmental; Environmental Studies</t>
  </si>
  <si>
    <t>TD171.7 -- .S89 2008eb</t>
  </si>
  <si>
    <t>Electronic books. -- local; Environmental protection -- Citizen participation -- Handbooks, manuals, etc.; Green products -- Handbooks, manuals, etc.; Sustainable living -- Handbooks, manuals, etc.</t>
  </si>
  <si>
    <t>http://public.eblib.com/choice/PublicFullRecord.aspx?p=557374</t>
  </si>
  <si>
    <t>Good News for a Change : How Everyday People are Helping the Planet</t>
  </si>
  <si>
    <t>Suzuki, David; Dressel, Holly</t>
  </si>
  <si>
    <t>GE195 -- .S877 2002eb</t>
  </si>
  <si>
    <t>363.7/0525</t>
  </si>
  <si>
    <t>Environmental protection -- Citizen participation.; Environmentalism.</t>
  </si>
  <si>
    <t>http://public.eblib.com/choice/PublicFullRecord.aspx?p=557377</t>
  </si>
  <si>
    <t>From Naked Ape to Superspecies : Humanity and the Global Eco-Crisis</t>
  </si>
  <si>
    <t>GF75 -- .S86 2004eb</t>
  </si>
  <si>
    <t>Human ecology.; Human evolution.; Nature -- Effect of human beings on.; Renewable natural resources.; Social change.; Social ecology.; Social evolution.</t>
  </si>
  <si>
    <t>http://public.eblib.com/choice/PublicFullRecord.aspx?p=557378</t>
  </si>
  <si>
    <t>Tree : A Life Story</t>
  </si>
  <si>
    <t>Suzuki, David; Grady, Wayne; Bateman, Robert</t>
  </si>
  <si>
    <t>QK494.5.P66 -- S89 2004eb</t>
  </si>
  <si>
    <t>Douglas fir -- Development.; Douglas fir -- Growth.; Douglas fir -- Life cycles.</t>
  </si>
  <si>
    <t>http://public.eblib.com/choice/PublicFullRecord.aspx?p=557382</t>
  </si>
  <si>
    <t>Climate Cover-Up : The Crusade to Deny Global Warming</t>
  </si>
  <si>
    <t>Hoggan, James</t>
  </si>
  <si>
    <t>Science: Physics; Environmental Studies; Science</t>
  </si>
  <si>
    <t>QC903 -- .H64 2009eb</t>
  </si>
  <si>
    <t>Climatic changes -- Government policy.; Climatic changes.; Electronic books. -- local</t>
  </si>
  <si>
    <t>http://public.eblib.com/choice/PublicFullRecord.aspx?p=557387</t>
  </si>
  <si>
    <t>The Big Picture : Reflections on Science, Humanity, and a Quickly Changing Planet</t>
  </si>
  <si>
    <t>Suzuki, David; Taylor, David</t>
  </si>
  <si>
    <t>Environmental Studies; Social Science</t>
  </si>
  <si>
    <t>GF41 -- .S89 2009eb</t>
  </si>
  <si>
    <t>304.2; 304.5</t>
  </si>
  <si>
    <t>Human ecology.; Social ecology.</t>
  </si>
  <si>
    <t>http://public.eblib.com/choice/PublicFullRecord.aspx?p=557396</t>
  </si>
  <si>
    <t>Marathon and Half-Marathon : The Beginner's Guide</t>
  </si>
  <si>
    <t>Caron, Marnie; SportMedBC; Taunton, Jack</t>
  </si>
  <si>
    <t>GV1065 -- .C37 2006eb</t>
  </si>
  <si>
    <t>Electronic books. -- local; Marathon running -- Training.; Running.</t>
  </si>
  <si>
    <t>http://public.eblib.com/choice/PublicFullRecord.aspx?p=557397</t>
  </si>
  <si>
    <t>Walking for Fitness : The Beginner's Handbook</t>
  </si>
  <si>
    <t>Caron, Marnie; SportMedBC</t>
  </si>
  <si>
    <t>RA781.65 -- .C38 2007eb</t>
  </si>
  <si>
    <t>Aerobic exercises.; Electronic books. -- local; Fitness walking -- Handbooks, manuals, etc.; Health.; Physical fitness.</t>
  </si>
  <si>
    <t>http://public.eblib.com/choice/PublicFullRecord.aspx?p=557398</t>
  </si>
  <si>
    <t>Teenagers : A Natural History</t>
  </si>
  <si>
    <t>Bainbridge, David; Neufeld, Gordon</t>
  </si>
  <si>
    <t>HQ796 -- .B35 2009eb</t>
  </si>
  <si>
    <t>Adolescence.; Adolescent psychology.; Electronic books. -- local; Teenagers.</t>
  </si>
  <si>
    <t>http://public.eblib.com/choice/PublicFullRecord.aspx?p=557401</t>
  </si>
  <si>
    <t>The Unofficial Guide to Basketball's Nastiest and Most Unusual Records</t>
  </si>
  <si>
    <t>Banks, Kerry</t>
  </si>
  <si>
    <t>GV885.7 -- .B33 2005eb</t>
  </si>
  <si>
    <t>796.323/64</t>
  </si>
  <si>
    <t>Basketball -- Records -- United States.; Basketball -- United States -- Anecdotes.; Basketball -- United States -- Humor.</t>
  </si>
  <si>
    <t>http://public.eblib.com/choice/PublicFullRecord.aspx?p=557402</t>
  </si>
  <si>
    <t>A Passion for This Earth : Writers, Scientists, and Activists Explore Our Relationship with Nature and the Environment</t>
  </si>
  <si>
    <t>Bass, Rick; Weisman, Alan; Mabey, Richard; Caldicott, Helen; Benjamin, Michelle</t>
  </si>
  <si>
    <t>GF41 -- .P37 2008eb</t>
  </si>
  <si>
    <t>Environmental policy.; Environmental protection.; Environmentalism.; Human ecology.; Nature -- Psychological aspects.</t>
  </si>
  <si>
    <t>http://public.eblib.com/choice/PublicFullRecord.aspx?p=557405</t>
  </si>
  <si>
    <t>Opposite Contraries : The Unknown Journals of Emily Carr and Other Writings</t>
  </si>
  <si>
    <t>Carr, Emily; Crean, Susan</t>
  </si>
  <si>
    <t>ND249.C3 -- A2 2003eb</t>
  </si>
  <si>
    <t>Carr, Emily, -- 1871-1945.; Painters -- Canada -- Biography.</t>
  </si>
  <si>
    <t>http://public.eblib.com/choice/PublicFullRecord.aspx?p=557421</t>
  </si>
  <si>
    <t>The Heart of a Peacock</t>
  </si>
  <si>
    <t>Carr, Emily; Neering, Rosemary</t>
  </si>
  <si>
    <t>ND249.C3 -- A345 2005eb</t>
  </si>
  <si>
    <t>813/.52</t>
  </si>
  <si>
    <t>Carr, Emily, -- 1871-1945 -- Notebooks, sketchbooks, etc.</t>
  </si>
  <si>
    <t>http://public.eblib.com/choice/PublicFullRecord.aspx?p=557422</t>
  </si>
  <si>
    <t>Best Weekend Getaways from Vancouver : Favourite Trips and Overnight Destinations</t>
  </si>
  <si>
    <t>History; Geography/Travel</t>
  </si>
  <si>
    <t>F1089.P2 -- C475 2008eb</t>
  </si>
  <si>
    <t>British Columbia -- Tours.; Electronic books. -- local; Outdoor recreation -- British Columbia -- Guidebooks.</t>
  </si>
  <si>
    <t>http://public.eblib.com/choice/PublicFullRecord.aspx?p=557424</t>
  </si>
  <si>
    <t>What the Psychic Told the Pilgrim : A Midlife Misadventure on Spain's Camino de Santiago</t>
  </si>
  <si>
    <t>Christmas, Jane</t>
  </si>
  <si>
    <t>DP285 -- .C47 2007eb</t>
  </si>
  <si>
    <t>Christmas, Jane -- Travel -- Spain, Northern.; Electronic books. -- local; Santiago de Compostela (Spain); Self-actualization (Psychology); Spain, Northern -- Description and travel.</t>
  </si>
  <si>
    <t>http://public.eblib.com/choice/PublicFullRecord.aspx?p=557425</t>
  </si>
  <si>
    <t>Adventures of a Sea Hunter : In Search of Famous Shipwrecks</t>
  </si>
  <si>
    <t>Delgado, James; Cussler, Clive</t>
  </si>
  <si>
    <t>Geography/Travel</t>
  </si>
  <si>
    <t>G525 -- .D378 2004eb</t>
  </si>
  <si>
    <t>Delgado, James P.; Electronic books. -- local; Shipwrecks.; Underwater archaeology.</t>
  </si>
  <si>
    <t>http://public.eblib.com/choice/PublicFullRecord.aspx?p=557428</t>
  </si>
  <si>
    <t>Sea Kayaking : A Manual for Long-Distance Touring</t>
  </si>
  <si>
    <t>Dowd, John</t>
  </si>
  <si>
    <t>GV788.5 -- .D68 2004eb</t>
  </si>
  <si>
    <t>797.122/4</t>
  </si>
  <si>
    <t>Sea kayaking -- Safety measures.; Sea kayaking.</t>
  </si>
  <si>
    <t>http://public.eblib.com/choice/PublicFullRecord.aspx?p=557429</t>
  </si>
  <si>
    <t>13 Women : Parables from Prison</t>
  </si>
  <si>
    <t>Faith, Karlene</t>
  </si>
  <si>
    <t>HV9468 -- .A15 2006eb</t>
  </si>
  <si>
    <t>365/.4309227</t>
  </si>
  <si>
    <t>Electronic books. -- local; Women prisoners -- British Columbia -- Biography.; Women prisoners -- California -- Biography.</t>
  </si>
  <si>
    <t>http://public.eblib.com/choice/PublicFullRecord.aspx?p=557436</t>
  </si>
  <si>
    <t>Dark Waters Dancing to a Breeze : A Literary Companion to Rivers and Lakes</t>
  </si>
  <si>
    <t>PN6071.W37 -- D37 2007eb</t>
  </si>
  <si>
    <t>808.84; 813</t>
  </si>
  <si>
    <t>Electronic books. -- local; Lakes -- Literary collections.; Rivers -- Literary collections.; Water -- Literary collections.</t>
  </si>
  <si>
    <t>http://public.eblib.com/choice/PublicFullRecord.aspx?p=557447</t>
  </si>
  <si>
    <t>Mom, Will This Chicken Give Me Man Boobs? : My Confused, Guilt-Ridden and Stressful Struggle to Raise a Green Family</t>
  </si>
  <si>
    <t>Harding, Robyn</t>
  </si>
  <si>
    <t>Literature; Home Economics</t>
  </si>
  <si>
    <t>PN6231.E66 -- H373 2009eb</t>
  </si>
  <si>
    <t>Electronic books. -- local; Environmental protection -- Humor.; Suburban life -- Humor.; Sustainable living -- Humor.</t>
  </si>
  <si>
    <t>http://public.eblib.com/choice/PublicFullRecord.aspx?p=557449</t>
  </si>
  <si>
    <t>Early in the Season : A British Columbia Journal</t>
  </si>
  <si>
    <t>Hoagland, Edward; Hume, Stephen</t>
  </si>
  <si>
    <t>F1087 -- .H63 2008eb</t>
  </si>
  <si>
    <t>910.4; 917.1104/4</t>
  </si>
  <si>
    <t>British Columbia -- Description and travel.; British Columbia -- Social life and customs.; Hoagland, Edward -- Travel -- British Columbia, Northern.; Pioneers -- British Columbia, Northern.</t>
  </si>
  <si>
    <t>http://public.eblib.com/choice/PublicFullRecord.aspx?p=557453</t>
  </si>
  <si>
    <t>The Passionate Gardener : Adventures of an Ardent Green Thumb</t>
  </si>
  <si>
    <t>SB455 -- .K46 2006eb</t>
  </si>
  <si>
    <t>635; 635.0207</t>
  </si>
  <si>
    <t>Gardening -- Anecdotes.; Gardening -- Humor.</t>
  </si>
  <si>
    <t>http://public.eblib.com/choice/PublicFullRecord.aspx?p=557459</t>
  </si>
  <si>
    <t>With the Boys : Field Notes on Being a Guy</t>
  </si>
  <si>
    <t>MacDonald, Jake</t>
  </si>
  <si>
    <t>Social Science; Sport &amp; Recreation</t>
  </si>
  <si>
    <t>GV191.4 -- .M25 2005eb</t>
  </si>
  <si>
    <t>Electronic books. -- local; MacDonald, Jake, -- 1949- -- Anecdotes.; Male friendship -- Anecdotes.; Outdoor recreation -- Anecdotes.</t>
  </si>
  <si>
    <t>http://public.eblib.com/choice/PublicFullRecord.aspx?p=557468</t>
  </si>
  <si>
    <t>A Test of Will : One Man's Extraordinary Story of Survival</t>
  </si>
  <si>
    <t>MacDonald, Warren; Van Keulen, Geert</t>
  </si>
  <si>
    <t>GV199.92.M33 -- A3 2004eb</t>
  </si>
  <si>
    <t>796.52/2/092; B</t>
  </si>
  <si>
    <t>Amputees -- Australia -- Biography.; Athletes with disabilities -- Australia -- Biography.; Macdonald, Warren, -- 1965-; Mountaineering accidents -- Australia -- Bowen (Qld.); Mountaineers -- Australia -- Biography.</t>
  </si>
  <si>
    <t>http://public.eblib.com/choice/PublicFullRecord.aspx?p=557469</t>
  </si>
  <si>
    <t>Straight from the Top : The Truth About Air Canada</t>
  </si>
  <si>
    <t>Milton, Robert A.</t>
  </si>
  <si>
    <t>HE9815.A95 -- M55 2006eb</t>
  </si>
  <si>
    <t>387.706/571</t>
  </si>
  <si>
    <t>Air Canada -- History.; Airlines -- Canada -- History.; Electronic books. -- local; Milton, Robert, -- 1960-</t>
  </si>
  <si>
    <t>http://public.eblib.com/choice/PublicFullRecord.aspx?p=557475</t>
  </si>
  <si>
    <t>Gardens : A Literary Companion</t>
  </si>
  <si>
    <t>Simonds, Merilyn</t>
  </si>
  <si>
    <t>PN6071.G27 -- G373 2008eb</t>
  </si>
  <si>
    <t>Electronic books. -- local; Gardening -- Literary collections.; Gardens -- Literary collections.</t>
  </si>
  <si>
    <t>http://public.eblib.com/choice/PublicFullRecord.aspx?p=557494</t>
  </si>
  <si>
    <t>The Sacred Balance : Rediscovering Our Place in Nature</t>
  </si>
  <si>
    <t>Suzuki, David</t>
  </si>
  <si>
    <t>GF21 -- .S87 2007eb</t>
  </si>
  <si>
    <t>Electronic books. -- local; Human ecology.; Social ecology.</t>
  </si>
  <si>
    <t>http://public.eblib.com/choice/PublicFullRecord.aspx?p=557499</t>
  </si>
  <si>
    <t>David Suzuki : The Autobiography</t>
  </si>
  <si>
    <t>GE56.S8 -- A3 2006eb</t>
  </si>
  <si>
    <t>333.72092; 576.5092</t>
  </si>
  <si>
    <t>Broadcasters -- Canada -- Biography.; Electronic books. -- local; Environmentalists -- Canada -- Biography.; Suzuki, David T., -- 1936-; Vancouver (B.C.) -- Biography.</t>
  </si>
  <si>
    <t>http://public.eblib.com/choice/PublicFullRecord.aspx?p=557500</t>
  </si>
  <si>
    <t>A Place Between the Tides : A Naturalist's Reflections on the Salt Marsh</t>
  </si>
  <si>
    <t>Thurston, Harry</t>
  </si>
  <si>
    <t>QH106.2.C55 -- T58 2004eb</t>
  </si>
  <si>
    <t>578.769/09716</t>
  </si>
  <si>
    <t>Natural history -- Chignecto Isthmus (N.B. and N.S.); Salt marsh ecology -- Chignecto Isthmus (N.B. and N.S.)</t>
  </si>
  <si>
    <t>http://public.eblib.com/choice/PublicFullRecord.aspx?p=557504</t>
  </si>
  <si>
    <t>The Chickens Fight Back : Pandemic Panics and Deadly Diseases That Jump from Animals to Humans</t>
  </si>
  <si>
    <t>Social Science; Health; Medicine</t>
  </si>
  <si>
    <t>RA639 -- .W35 2007eb</t>
  </si>
  <si>
    <t>Animals as carriers of disease.; Electronic books. -- local; Epidemics.; Zoonoses.</t>
  </si>
  <si>
    <t>http://public.eblib.com/choice/PublicFullRecord.aspx?p=557511</t>
  </si>
  <si>
    <t>Shootout Hockey Trivia : Games and Quizzes</t>
  </si>
  <si>
    <t>GV847.8.N3 -- W445 2006eb</t>
  </si>
  <si>
    <t>http://public.eblib.com/choice/PublicFullRecord.aspx?p=557512</t>
  </si>
  <si>
    <t>Crease-Crashing Hockey Trivia</t>
  </si>
  <si>
    <t>GV847.8.N3 -- W44 2007eb</t>
  </si>
  <si>
    <t>http://public.eblib.com/choice/PublicFullRecord.aspx?p=557513</t>
  </si>
  <si>
    <t>Hardcore Hockey Trivia</t>
  </si>
  <si>
    <t>GV847 -- .W436 2004eb</t>
  </si>
  <si>
    <t>http://public.eblib.com/choice/PublicFullRecord.aspx?p=557514</t>
  </si>
  <si>
    <t>Juno Beach : Canada's D-Day Victory ÃÂ June 6, 1944</t>
  </si>
  <si>
    <t>Zuehlke, Mark</t>
  </si>
  <si>
    <t>D756.5.N6 -- Z84 2005eb</t>
  </si>
  <si>
    <t>Canada. -- Canadian Army -- History -- World War, 1939-1945.; Electronic books. -- local; World War, 1939-1945 -- Campaigns -- France -- Normandy.</t>
  </si>
  <si>
    <t>http://public.eblib.com/choice/PublicFullRecord.aspx?p=557521</t>
  </si>
  <si>
    <t>Ortona : Canada's Epic World War II Battle</t>
  </si>
  <si>
    <t>D763.I82 -- O789 2004eb</t>
  </si>
  <si>
    <t>940.54/215713</t>
  </si>
  <si>
    <t>Canada. -- Canadian Army. -- Canadian Infantry Division, 1st -- History.; Ortona (Italy) -- History, Military -- 20th century.; World War, 1939-1945 -- Campaigns -- Italy -- Ortona.; World War, 1939-1945 -- Regimental histories -- Canada.</t>
  </si>
  <si>
    <t>http://public.eblib.com/choice/PublicFullRecord.aspx?p=557522</t>
  </si>
  <si>
    <t>The Gothic Line : Canada's Month of Hell in World War II Italy</t>
  </si>
  <si>
    <t>D763.I8 -- .Z84 2003eb</t>
  </si>
  <si>
    <t>940.54/215</t>
  </si>
  <si>
    <t>Canada. -- Canadian Army. -- Canadian Armoured Division, 5th -- History.; Canada. -- Canadian Army. -- Canadian Infantry Division, 1st -- History.; Electronic books. -- local; World War, 1939-1945 -- Campaigns -- Italy.; World War, 1939-1945 -- Regimental histories -- Canada.</t>
  </si>
  <si>
    <t>http://public.eblib.com/choice/PublicFullRecord.aspx?p=557523</t>
  </si>
  <si>
    <t>Terrible Victory : First Canadian Army and the Scheldt Estuary Campaign: September 13 - November 6, 1944</t>
  </si>
  <si>
    <t>D756.5.S34 -- Z84 2007eb</t>
  </si>
  <si>
    <t>940.5421; 973.7456</t>
  </si>
  <si>
    <t>Canada. -- Canadian Army -- History -- World War, 1939-1945.; Scheldt, Battle of the, 1944.; World War, 1939-1945 -- Campaigns -- Belgium.; World War, 1939-1945 -- Campaigns -- Netherlands.</t>
  </si>
  <si>
    <t>http://public.eblib.com/choice/PublicFullRecord.aspx?p=557524</t>
  </si>
  <si>
    <t>Dry Water : A Novel by Robert J.C. Stead</t>
  </si>
  <si>
    <t>University of Ottawa Press</t>
  </si>
  <si>
    <t>Canadian Literature Collection</t>
  </si>
  <si>
    <t>Stead, Robert J.C.; Querengesser, Neil; Horton, Jean</t>
  </si>
  <si>
    <t>PR9199.3.S76 -- D79 2008eb</t>
  </si>
  <si>
    <t>Canada, Western -- Fiction.; Electronic books. -- local</t>
  </si>
  <si>
    <t>http://public.eblib.com/choice/PublicFullRecord.aspx?p=565322</t>
  </si>
  <si>
    <t>Ivory Thought : Essays on Al Purdy</t>
  </si>
  <si>
    <t>Reappraisals: Canadian Writers</t>
  </si>
  <si>
    <t>Lynch, Gerald; Ganz, Shoshannah; Kealey, Josephene</t>
  </si>
  <si>
    <t>PR9199.3.P8 -- Z69 2008eb</t>
  </si>
  <si>
    <t>Canadian literature.; Electronic books. -- local; Purdy, Al, -- 1918-2000 -- Criticism and interpretation.</t>
  </si>
  <si>
    <t>http://public.eblib.com/choice/PublicFullRecord.aspx?p=565323</t>
  </si>
  <si>
    <t>Evolving Physiology of Government : Canadian Public Administration in Transition</t>
  </si>
  <si>
    <t>Governance Series</t>
  </si>
  <si>
    <t>Dwivedi, O. P.; Mau, Tim A.; Sheldrick, Byron M.</t>
  </si>
  <si>
    <t>JL75 -- .E86 2009eb</t>
  </si>
  <si>
    <t>Canada -- Politics and government.; Electronic books. -- local; Public administration -- Canada -- Congresses.; Public administration -- Canada.</t>
  </si>
  <si>
    <t>http://public.eblib.com/choice/PublicFullRecord.aspx?p=565324</t>
  </si>
  <si>
    <t>Entre lieux et mémoire : L'inscription de la francophonie canadienne dans la durée</t>
  </si>
  <si>
    <t>Les Presses de l'Université d'Ottawa</t>
  </si>
  <si>
    <t>Collection Amérique française</t>
  </si>
  <si>
    <t>Gilbert, Anne; Bock, Michel; Thériault, Joseph-Yvon</t>
  </si>
  <si>
    <t>HM1033 -- .E58 2009eb</t>
  </si>
  <si>
    <t>305.811/4</t>
  </si>
  <si>
    <t>Collective memory.; Electronic books. -- local; French-Canadians -- Ethnic identity.; Group identity.; Historic sites.</t>
  </si>
  <si>
    <t>http://public.eblib.com/choice/PublicFullRecord.aspx?p=565325</t>
  </si>
  <si>
    <t>Wrong World : Selected Stories and Essays of Bertram Brooker</t>
  </si>
  <si>
    <t>Brooker, Bertram; Betts, Gregory</t>
  </si>
  <si>
    <t>PR9199.3.B69714 -- W76 2009eb</t>
  </si>
  <si>
    <t>Brooker, Bertram, -- 1888-1955.; Canadian literature.; Electronic books. -- local</t>
  </si>
  <si>
    <t>http://public.eblib.com/choice/PublicFullRecord.aspx?p=565326</t>
  </si>
  <si>
    <t>Defending a Contested Ideal : Merit and the Public Service Commission, 1908–2008</t>
  </si>
  <si>
    <t>Juillet, Luc; Rasmussen, Ken</t>
  </si>
  <si>
    <t>JL108 -- .J8413 2008eb</t>
  </si>
  <si>
    <t>352.2/60971</t>
  </si>
  <si>
    <t>Civil service -- Canada -- History.; Electronic books. -- local; Public Service Commission of Canada -- History.</t>
  </si>
  <si>
    <t>http://public.eblib.com/choice/PublicFullRecord.aspx?p=565328</t>
  </si>
  <si>
    <t>Philosophical Apprenticeships : Contemporary Continental Philosophy in Canada</t>
  </si>
  <si>
    <t>Philosophica</t>
  </si>
  <si>
    <t>Lampert, Jay; Robinson, Jason</t>
  </si>
  <si>
    <t>B981 -- .P45 2009eb</t>
  </si>
  <si>
    <t>Electronic books. -- local; Philosophy, Canadian.; Philosophy, Modern.</t>
  </si>
  <si>
    <t>http://public.eblib.com/choice/PublicFullRecord.aspx?p=565330</t>
  </si>
  <si>
    <t>Confronting Discrimination and Inequality in China : Chinese and Canadian Perspectives</t>
  </si>
  <si>
    <t>Mendes, Errol P.; Srighanthan, Sakunthala</t>
  </si>
  <si>
    <t>HN733.5 -- .C66 2009eb</t>
  </si>
  <si>
    <t>China -- Social conditions -- 2000-; China -- Social policy.; Discrimination -- China.; Equality -- China.; Human rights -- Canada.; Human rights -- China.; Human rights advocacy -- China.</t>
  </si>
  <si>
    <t>http://public.eblib.com/choice/PublicFullRecord.aspx?p=565332</t>
  </si>
  <si>
    <t>Way Ahead : Meeting Canada's Productivity Challenge</t>
  </si>
  <si>
    <t>Brzustowski, Tom</t>
  </si>
  <si>
    <t>HC120.L3 -- B79 2008eb</t>
  </si>
  <si>
    <t>Canada -- Economic conditions -- 21st century.; Electronic books. -- local; Industrial productivity -- Canada.; Labor productivity -- Canada.; Research, Industrial -- Economic aspects -- Canada.; Technological innovations -- Economic aspects -- Canada.</t>
  </si>
  <si>
    <t>http://public.eblib.com/choice/PublicFullRecord.aspx?p=565335</t>
  </si>
  <si>
    <t>Aboriginal Canada Revisited</t>
  </si>
  <si>
    <t>International Canadian Studies Series</t>
  </si>
  <si>
    <t>Knopf, Kerstin</t>
  </si>
  <si>
    <t>E78.C2 -- A26 2008eb</t>
  </si>
  <si>
    <t>Electronic books. -- local; Indians in literature.; Indians in mass media.; Indians of North America -- Canada.</t>
  </si>
  <si>
    <t>http://public.eblib.com/choice/PublicFullRecord.aspx?p=565340</t>
  </si>
  <si>
    <t>Les Belles Étrangères : Canadians in Paris</t>
  </si>
  <si>
    <t>Perspectives on Translation</t>
  </si>
  <si>
    <t>Koustas, Jane</t>
  </si>
  <si>
    <t>PR9189.6 -- .K68 2008eb</t>
  </si>
  <si>
    <t>Canadian fiction -- Publishing -- France -- History -- 20th century.; Canadian fiction -- Translations into French -- History and criticism.; Canadian literature -- Translations into French -- History and criticism.; Electronic books. -- local; Translating and interpreting -- France -- History -- 20th century.</t>
  </si>
  <si>
    <t>http://public.eblib.com/choice/PublicFullRecord.aspx?p=565341</t>
  </si>
  <si>
    <t>Priesthood of Science : A Work of Utopian Fiction</t>
  </si>
  <si>
    <t>Cangrande</t>
  </si>
  <si>
    <t>Leiss, William</t>
  </si>
  <si>
    <t>PR9199.4.L454 -- P75 2008eb</t>
  </si>
  <si>
    <t>Electronic books. -- local; Genetic engineering -- Fiction.; Nevada -- Fiction.</t>
  </si>
  <si>
    <t>http://public.eblib.com/choice/PublicFullRecord.aspx?p=565344</t>
  </si>
  <si>
    <t>Freedom, Nature, and World</t>
  </si>
  <si>
    <t>Loptson, Peter</t>
  </si>
  <si>
    <t>B995.L668 -- F74 2007eb</t>
  </si>
  <si>
    <t>Electronic books. -- local; Epic poetry, Greek -- History and criticism.; Metaphysics.; Naturalism.; Philosophy.</t>
  </si>
  <si>
    <t>http://public.eblib.com/choice/PublicFullRecord.aspx?p=565345</t>
  </si>
  <si>
    <t>Lire le monde : Les littératies multiples et l'éducation dans les communautés francophones</t>
  </si>
  <si>
    <t>Collection Questions en éducation</t>
  </si>
  <si>
    <t>Masny, Diana</t>
  </si>
  <si>
    <t>Social Science; Education</t>
  </si>
  <si>
    <t>LC149 -- .L57 2009eb</t>
  </si>
  <si>
    <t>Electronic books. -- local; Family literacy programs -- Canada.; French-Canadians -- Education -- Canada.; Language and education.; Literacy -- Social aspects -- Canada.; Literacy -- Social aspects.</t>
  </si>
  <si>
    <t>http://public.eblib.com/choice/PublicFullRecord.aspx?p=565346</t>
  </si>
  <si>
    <t>Deep Cultural Diversity : A Governance Challenge</t>
  </si>
  <si>
    <t>Paquet, Gilles</t>
  </si>
  <si>
    <t>F1035.A1 -- P36 2008eb</t>
  </si>
  <si>
    <t>Canada -- Social policy.; Electronic books. -- local; Multiculturalism -- Canada.</t>
  </si>
  <si>
    <t>http://public.eblib.com/choice/PublicFullRecord.aspx?p=565347</t>
  </si>
  <si>
    <t>Crippling Epistemologies and Governance Failures : A Plea for Experimentalism</t>
  </si>
  <si>
    <t>H61 -- .P36 2009eb</t>
  </si>
  <si>
    <t>Electronic books. -- local; Policy sciences.; Social epistemology -- Canada.; Social sciences -- Methodology.; Social sciences -- Philosophy.</t>
  </si>
  <si>
    <t>http://public.eblib.com/choice/PublicFullRecord.aspx?p=565348</t>
  </si>
  <si>
    <t>Tableau d'avancement : Petite ethnographie interprétative d'un certain Canada français</t>
  </si>
  <si>
    <t>Collection Gouvernance</t>
  </si>
  <si>
    <t>F1053.2 -- .P37 2008eb</t>
  </si>
  <si>
    <t>Electronic books. -- local; Group identity -- Québec (Province); Québec (Province) -- History.</t>
  </si>
  <si>
    <t>http://public.eblib.com/choice/PublicFullRecord.aspx?p=565349</t>
  </si>
  <si>
    <t>Northrop Frye : New Directions from Old</t>
  </si>
  <si>
    <t>Frye, Northrop; Rampton, David</t>
  </si>
  <si>
    <t>PN75.F7 -- N673 2009eb</t>
  </si>
  <si>
    <t>Critics -- Canada -- Biography.; Electronic books. -- local; Frye, Northrop -- Criticism and interpretation.</t>
  </si>
  <si>
    <t>http://public.eblib.com/choice/PublicFullRecord.aspx?p=565350</t>
  </si>
  <si>
    <t>Colonial Systems of Control : Criminal Justice in Nigeria</t>
  </si>
  <si>
    <t>Alternative Perspectives in Criminology</t>
  </si>
  <si>
    <t>Saleh-Hanna, Viviane</t>
  </si>
  <si>
    <t>KTA4798 -- .S25 2008eb</t>
  </si>
  <si>
    <t>365/.9669</t>
  </si>
  <si>
    <t>Alternatives to imprisonment -- Nigeria.; Criminal justice, Administration of -- Nigeria.; Imprisonment -- Nigeria.; Prisoners -- Civil rights -- Nigeria.; Prisoners -- Legal status, laws, etc. -- Nigeria.; Women prisoners -- Civil rights -- Nigeria.; Women prisoners -- Legal status, laws, etc. -- Nigeria.</t>
  </si>
  <si>
    <t>http://public.eblib.com/choice/PublicFullRecord.aspx?p=565351</t>
  </si>
  <si>
    <t>Rephrasing Heidegger : A Companion to 'Being and Time'</t>
  </si>
  <si>
    <t>Sembera, Richard</t>
  </si>
  <si>
    <t>B3279.H49 -- S4123 2007eb</t>
  </si>
  <si>
    <t>Electronic books. -- local; Heidegger, Martin, -- 1889-1976. -- Sein und Zeit.; Ontology.; Phenomenology.; Space and time.</t>
  </si>
  <si>
    <t>http://public.eblib.com/choice/PublicFullRecord.aspx?p=565353</t>
  </si>
  <si>
    <t>Russia and the North</t>
  </si>
  <si>
    <t>Wilson Rowe, Elana</t>
  </si>
  <si>
    <t>JZ1616 -- .R86 2009eb</t>
  </si>
  <si>
    <t>320.947/090511</t>
  </si>
  <si>
    <t>Electronic books. -- local; Geopolitics -- Russia (Federation); Russia, Northern -- Politics and government.</t>
  </si>
  <si>
    <t>http://public.eblib.com/choice/PublicFullRecord.aspx?p=565355</t>
  </si>
  <si>
    <t>Cigar Box Banjo : Notes on Music and Life</t>
  </si>
  <si>
    <t>Quarrington, Paul; Doyle, Roddy</t>
  </si>
  <si>
    <t>PR9199.3.Q34 -- C54 2010eb</t>
  </si>
  <si>
    <t>Authors, Canadian -- Biography.; Electronic books. -- local; Music, Influence of.; Musicians -- Canada -- Biography.; Quarrington, Paul.</t>
  </si>
  <si>
    <t>http://public.eblib.com/choice/PublicFullRecord.aspx?p=565480</t>
  </si>
  <si>
    <t>Solar Water Heating--Revised &amp; Expanded Edition : A Comprehensive Guide to Solar Water and Space Heating Systems</t>
  </si>
  <si>
    <t>Ramlow, Bob; Nusz, Benjamin</t>
  </si>
  <si>
    <t>TH6561.7 -- .R36 2010eb</t>
  </si>
  <si>
    <t>Electronic books. -- local; Solar collectors.; Solar heating.; Solar space heating.; Solar water heaters.</t>
  </si>
  <si>
    <t>http://public.eblib.com/choice/PublicFullRecord.aspx?p=565501</t>
  </si>
  <si>
    <t>Cordwood Building : The State of the Art</t>
  </si>
  <si>
    <t>TH4818.W6 -- R69 2003eb</t>
  </si>
  <si>
    <t>690.837; 694</t>
  </si>
  <si>
    <t>Electronic books. -- local; Log-end houses -- Design and construction -- Amateurs'' manuals.; Log-end houses.</t>
  </si>
  <si>
    <t>http://public.eblib.com/choice/PublicFullRecord.aspx?p=565642</t>
  </si>
  <si>
    <t>Dry Run : Preventing the Next Urban Water Crisis</t>
  </si>
  <si>
    <t>Engineering; Engineering: Environmental; Environmental Studies; Economics</t>
  </si>
  <si>
    <t>TD388 -- .Y83 2010eb</t>
  </si>
  <si>
    <t>333.91; 333.91/16</t>
  </si>
  <si>
    <t>Electronic books. -- local; Municipal water supply.; Water conservation projects.; Water efficiency.</t>
  </si>
  <si>
    <t>http://public.eblib.com/choice/PublicFullRecord.aspx?p=565682</t>
  </si>
  <si>
    <t>Operation Husky : The Canadian Invasion of Sicily, July 10 - August 7, 1943</t>
  </si>
  <si>
    <t>D763.S5 -- Z84 2008eb</t>
  </si>
  <si>
    <t>Canada. -- Canadian Army -- History -- World War, 1939-1945.; Canada. -- Canadian Army. -- Canadian Infantry Division, 1st -- History.; Canada. -- Canadian Army. -- Canadian Tank Brigade, 1st -- History.; Operation Husky, 1943.; World War, 1939-1945 -- Campaigns -- Italy -- Sicily.</t>
  </si>
  <si>
    <t>http://public.eblib.com/choice/PublicFullRecord.aspx?p=589753</t>
  </si>
  <si>
    <t>Art Smart : The Intelligent Guide to Investing in the Canadian Art Market</t>
  </si>
  <si>
    <t>Dundurn</t>
  </si>
  <si>
    <t>Bryce, Alan D.</t>
  </si>
  <si>
    <t>Fine Arts; Economics</t>
  </si>
  <si>
    <t>N8600 -- .B79 2007eb</t>
  </si>
  <si>
    <t>Art as an investment.; Art, Canadian -- Collectors and collecting.; Electronic books. -- local</t>
  </si>
  <si>
    <t>http://public.eblib.com/choice/PublicFullRecord.aspx?p=610818</t>
  </si>
  <si>
    <t>Empire and Communications</t>
  </si>
  <si>
    <t>Voyageur Classics</t>
  </si>
  <si>
    <t>Innis, Harold A.</t>
  </si>
  <si>
    <t>Social Science; Fiction</t>
  </si>
  <si>
    <t>P90 -- .I66 2007eb</t>
  </si>
  <si>
    <t>Communication -- History.; Electronic books. -- local; Sociology.</t>
  </si>
  <si>
    <t>http://public.eblib.com/choice/PublicFullRecord.aspx?p=610828</t>
  </si>
  <si>
    <t>F.H. Varley : Portraits into the Light/Mise en lumière des portraits</t>
  </si>
  <si>
    <t>Atanassova, Katerina</t>
  </si>
  <si>
    <t>ND1329.V37 -- A4 2007eb</t>
  </si>
  <si>
    <t>Electronic books. -- local; Painters -- Canada.; Portrait painters -- Canada.; Portraits, Canadian -- 20th century -- Pictorial works.; Varley, Frederick Horsman.</t>
  </si>
  <si>
    <t>http://public.eblib.com/choice/PublicFullRecord.aspx?p=610829</t>
  </si>
  <si>
    <t>Playing Sarah Bernhardt</t>
  </si>
  <si>
    <t>Givner, Joan</t>
  </si>
  <si>
    <t>PR9199.3.G566 -- P58 2004eb</t>
  </si>
  <si>
    <t>Actresses -- Fiction.; Amateur plays -- Fiction.; De la Roche, Mazo, -- 1879-1961 -- Fiction.; Saskatchewan -- Fiction.</t>
  </si>
  <si>
    <t>http://public.eblib.com/choice/PublicFullRecord.aspx?p=610892</t>
  </si>
  <si>
    <t>True Tales of the Paranormal : Hauntings, Poltergeists, Near Death Experiences, and Other Mysterious Events</t>
  </si>
  <si>
    <t>Molto, Kimberly</t>
  </si>
  <si>
    <t>Literature; Philosophy; Psychology</t>
  </si>
  <si>
    <t>BF1031 -- .M65 2002eb</t>
  </si>
  <si>
    <t>133; 800</t>
  </si>
  <si>
    <t>Parapsychology and science.; Parapsychology.</t>
  </si>
  <si>
    <t>http://public.eblib.com/choice/PublicFullRecord.aspx?p=610908</t>
  </si>
  <si>
    <t>Unsolved Mysteries of the Sea</t>
  </si>
  <si>
    <t>Mysteries and Secrets</t>
  </si>
  <si>
    <t>Fanthorpe, Lionel and Patricia</t>
  </si>
  <si>
    <t>GC21 -- .F36 2004eb</t>
  </si>
  <si>
    <t>Electronic books. -- local; Ocean -- Popular works.; Seas -- Popular works.</t>
  </si>
  <si>
    <t>http://public.eblib.com/choice/PublicFullRecord.aspx?p=610910</t>
  </si>
  <si>
    <t>Confessions of a Curator : Adventures in Canadian Art</t>
  </si>
  <si>
    <t>Murray, Joan</t>
  </si>
  <si>
    <t>N6540 -- .M87 1996eb</t>
  </si>
  <si>
    <t>Art museum curators -- Canada.; Art museums -- Canada.; Art, Canadian.; Electronic books. -- local</t>
  </si>
  <si>
    <t>http://public.eblib.com/choice/PublicFullRecord.aspx?p=610991</t>
  </si>
  <si>
    <t>Ecstasy of the Beats : On the Road to Understanding</t>
  </si>
  <si>
    <t>Creighton, David</t>
  </si>
  <si>
    <t>PS228.B6 -- C74 2007eb</t>
  </si>
  <si>
    <t>810.9/0054</t>
  </si>
  <si>
    <t>Authors, American -- 20th century -- Biography.; Beat generation -- Biography.; Beat generation in literature.; Bohemianism.; Cassady, Carolyn.; Creighton, David -- Travel.; Electronic books. -- local</t>
  </si>
  <si>
    <t>http://public.eblib.com/choice/PublicFullRecord.aspx?p=611004</t>
  </si>
  <si>
    <t>Fergus : A Scottish Town By Birthright</t>
  </si>
  <si>
    <t>Natural Heritage</t>
  </si>
  <si>
    <t>Mestern, Pat</t>
  </si>
  <si>
    <t>F1059.5.F47 -- M47 1995eb</t>
  </si>
  <si>
    <t>971.3/42; 971.342</t>
  </si>
  <si>
    <t>Cities and towns -- Ontario -- History.; Electronic books. -- local; Fergus (Ont.) -- Biography.; Fergus (Ont.) -- History.; Fergus (Ont.) -- Social life and customs.</t>
  </si>
  <si>
    <t>http://public.eblib.com/choice/PublicFullRecord.aspx?p=611016</t>
  </si>
  <si>
    <t>How to be a Spy : The World War II SOE Training Manual</t>
  </si>
  <si>
    <t>Rigden, Denis</t>
  </si>
  <si>
    <t>D810.S7 -- H69 2004eb</t>
  </si>
  <si>
    <t>940.54/8641</t>
  </si>
  <si>
    <t>Electronic books. -- local; Great Britain. -- Special Operations Executive -- Handbooks, manuals, etc.; World War, 1939-1945 -- Secret service -- Great Britain.</t>
  </si>
  <si>
    <t>http://public.eblib.com/choice/PublicFullRecord.aspx?p=611044</t>
  </si>
  <si>
    <t>Light for a Cold Land : Lawren Harris's Life and Work</t>
  </si>
  <si>
    <t>Larisey, Peter</t>
  </si>
  <si>
    <t>ND249.H28 -- L375 1993eb</t>
  </si>
  <si>
    <t>Electronic books. -- local; Harris, Lawren, -- 1885-1970.; Painters -- Canada -- Biography.</t>
  </si>
  <si>
    <t>http://public.eblib.com/choice/PublicFullRecord.aspx?p=611064</t>
  </si>
  <si>
    <t>Posted to Canada : The Watercolours of George Russell Dartnell, 1835-1844</t>
  </si>
  <si>
    <t>de Pencier, Honor</t>
  </si>
  <si>
    <t>ND1942.D36 -- D42 1987eb</t>
  </si>
  <si>
    <t>Dartnell, George R., -- 1799-1878.; Electronic books. -- local; Landscape painting, English.; Ontario -- In art.; Québec (Province) -- In art.</t>
  </si>
  <si>
    <t>http://public.eblib.com/choice/PublicFullRecord.aspx?p=611113</t>
  </si>
  <si>
    <t>Tom Thomson : Design for a Canadian Hero</t>
  </si>
  <si>
    <t>ND249.T5 -- M838 1998eb</t>
  </si>
  <si>
    <t>700; 759.11</t>
  </si>
  <si>
    <t>Electronic books. -- local; Painters -- Canada -- Biography.; Thomson, Tom, -- 1877-1917.</t>
  </si>
  <si>
    <t>http://public.eblib.com/choice/PublicFullRecord.aspx?p=611208</t>
  </si>
  <si>
    <t>Charlie Salter Omnibus : A Charlie Salter Mystery</t>
  </si>
  <si>
    <t>A Charlie Salter Mystery</t>
  </si>
  <si>
    <t>Wright, Eric</t>
  </si>
  <si>
    <t>PR9199.3.W66 -- C43 2003eb</t>
  </si>
  <si>
    <t>Police -- Ontario -- Toronto -- Fiction.; Salter, Charlie (Fictitious character) -- Fiction.</t>
  </si>
  <si>
    <t>http://public.eblib.com/choice/PublicFullRecord.aspx?p=611235</t>
  </si>
  <si>
    <t>By the Skin of His Teeth : A Barkerville Mystery</t>
  </si>
  <si>
    <t>A Barkerville Mystery</t>
  </si>
  <si>
    <t>Walsh, Ann</t>
  </si>
  <si>
    <t>Literature; Juvenile Literature</t>
  </si>
  <si>
    <t>PR9199.3.W35 -- B9 2006eb</t>
  </si>
  <si>
    <t>jC813/.54</t>
  </si>
  <si>
    <t>Barkerville (B.C.) -- History -- Juvenile fiction.; Chinese -- British Columbia -- History -- Juvenile fiction.; Electronic books. -- local</t>
  </si>
  <si>
    <t>http://public.eblib.com/choice/PublicFullRecord.aspx?p=611262</t>
  </si>
  <si>
    <t>Cold Clear Morning</t>
  </si>
  <si>
    <t>Choyce, Lesley</t>
  </si>
  <si>
    <t>PR9199.3.C497 -- C65 2002eb</t>
  </si>
  <si>
    <t>813.54; 813/.54</t>
  </si>
  <si>
    <t>Dysfunctional families -- Fiction.; Electronic books. -- local; Nova Scotia -- Fiction.</t>
  </si>
  <si>
    <t>http://public.eblib.com/choice/PublicFullRecord.aspx?p=611267</t>
  </si>
  <si>
    <t>Ghosts of James Bay</t>
  </si>
  <si>
    <t>Wilson, John</t>
  </si>
  <si>
    <t>History; Juvenile Literature</t>
  </si>
  <si>
    <t>F1059.J3 -- W55 2009eb</t>
  </si>
  <si>
    <t>Canadian literature.; Electronic books. -- local; Hudson, Henry, -- d. 1611 -- Juvenile fiction.; James Bay Region -- Juvenile fiction.</t>
  </si>
  <si>
    <t>http://public.eblib.com/choice/PublicFullRecord.aspx?p=611298</t>
  </si>
  <si>
    <t>I Am Not Most Places</t>
  </si>
  <si>
    <t>Cumyn, Richard</t>
  </si>
  <si>
    <t>PR9199.3.C776 -- I2 1996eb</t>
  </si>
  <si>
    <t>Canadian literature.; Electronic books. -- local; Short stories, Canadian.</t>
  </si>
  <si>
    <t>http://public.eblib.com/choice/PublicFullRecord.aspx?p=611310</t>
  </si>
  <si>
    <t>Inappropriate Behaviour</t>
  </si>
  <si>
    <t>Mock, Irene</t>
  </si>
  <si>
    <t>PR9199.3.M57988 -- I63 1997eb</t>
  </si>
  <si>
    <t>Electronic books. -- local; Short stories, Canadian.; Women -- Fiction.</t>
  </si>
  <si>
    <t>http://public.eblib.com/choice/PublicFullRecord.aspx?p=611312</t>
  </si>
  <si>
    <t>Moving Water</t>
  </si>
  <si>
    <t>Skogan, Joan</t>
  </si>
  <si>
    <t>PR9199.3.S543 -- M68 1998eb</t>
  </si>
  <si>
    <t>Electronic books. -- local; Quests (Expeditions) -- Fiction.; Waterways -- British Columbia -- Prince Rupert -- Fiction.</t>
  </si>
  <si>
    <t>http://public.eblib.com/choice/PublicFullRecord.aspx?p=611333</t>
  </si>
  <si>
    <t>Repeat This and You're Dead</t>
  </si>
  <si>
    <t>Russell, Lawrence</t>
  </si>
  <si>
    <t>PR9199.3.R8 -- R4 1995eb</t>
  </si>
  <si>
    <t>Canadian literature.; Electronic books. -- local; Ireland -- Fiction.</t>
  </si>
  <si>
    <t>http://public.eblib.com/choice/PublicFullRecord.aspx?p=611353</t>
  </si>
  <si>
    <t>Sophie's Exile : 0</t>
  </si>
  <si>
    <t>Boissery, Beverley</t>
  </si>
  <si>
    <t>PR9199.3.B65 -- S6749 2008eb</t>
  </si>
  <si>
    <t>jC813/.6</t>
  </si>
  <si>
    <t>Electronic books. -- local; Maturation (Psychology) -- Juvenile fiction.; Penal colonies -- Australia -- Juvenile fiction.</t>
  </si>
  <si>
    <t>http://public.eblib.com/choice/PublicFullRecord.aspx?p=611369</t>
  </si>
  <si>
    <t>Accidental Orphan</t>
  </si>
  <si>
    <t>Horne, Constance</t>
  </si>
  <si>
    <t>Literature; Fiction; Juvenile Literature</t>
  </si>
  <si>
    <t>PR9199.4.H676 -- A23 1998eb</t>
  </si>
  <si>
    <t>Electronic books. -- local; Manitoba -- Juvenile fiction.; Orphans -- Juvenile fiction.</t>
  </si>
  <si>
    <t>http://public.eblib.com/choice/PublicFullRecord.aspx?p=611382</t>
  </si>
  <si>
    <t>Gambler's Daughter</t>
  </si>
  <si>
    <t>Smith-Matheson, Shirlee</t>
  </si>
  <si>
    <t>PR9199.3.M38 -- G36 2009eb</t>
  </si>
  <si>
    <t>Electronic books. -- local; Families -- Juvenile fiction.; Gambling -- Juvenile fiction.</t>
  </si>
  <si>
    <t>http://public.eblib.com/choice/PublicFullRecord.aspx?p=611398</t>
  </si>
  <si>
    <t>Ghost of Soda Creek</t>
  </si>
  <si>
    <t>PR9199.3.W35 -- G46 2009eb</t>
  </si>
  <si>
    <t>Electronic books. -- local; Fathers and daughters -- Juvenile fiction.; Ghost stories, Canadian.</t>
  </si>
  <si>
    <t>http://public.eblib.com/choice/PublicFullRecord.aspx?p=611399</t>
  </si>
  <si>
    <t>Moor is Dark Beneath the Moon</t>
  </si>
  <si>
    <t>Watmough, David</t>
  </si>
  <si>
    <t>PR9199.3.W37 -- M66 2002eb</t>
  </si>
  <si>
    <t>Cornwall (England : County) -- Fiction.; Electronic books. -- local; Gay men -- Fiction.</t>
  </si>
  <si>
    <t>http://public.eblib.com/choice/PublicFullRecord.aspx?p=611411</t>
  </si>
  <si>
    <t>Tiger by the Tail</t>
  </si>
  <si>
    <t>Walters, Eric</t>
  </si>
  <si>
    <t>Science: Zoology; Science; Juvenile Literature</t>
  </si>
  <si>
    <t>QL76 -- .W35 2009eb</t>
  </si>
  <si>
    <t>Electronic books. -- local; Escapes -- Juvenile fiction.; Tiger -- Juvenile fiction.; Zoos -- Juvenile fiction.</t>
  </si>
  <si>
    <t>http://public.eblib.com/choice/PublicFullRecord.aspx?p=611427</t>
  </si>
  <si>
    <t>Tiger in Trouble</t>
  </si>
  <si>
    <t>PR9199.4.W358 -- T54 2001eb</t>
  </si>
  <si>
    <t>Camps -- Juvenile fiction.; Electronic books. -- local; Tiger -- Juvenile fiction.</t>
  </si>
  <si>
    <t>http://public.eblib.com/choice/PublicFullRecord.aspx?p=611428</t>
  </si>
  <si>
    <t>Tiger Town</t>
  </si>
  <si>
    <t>Science; Science: Zoology; Juvenile Literature</t>
  </si>
  <si>
    <t>QL50.5 -- .W35 2006eb</t>
  </si>
  <si>
    <t>Electronic books. -- local; Endangered species -- Juvenile fiction.; Zoo keepers -- Juvenile fiction.</t>
  </si>
  <si>
    <t>http://public.eblib.com/choice/PublicFullRecord.aspx?p=611429</t>
  </si>
  <si>
    <t>Ultimatum 2</t>
  </si>
  <si>
    <t>Rohmer, Richard</t>
  </si>
  <si>
    <t>PR9199.3.R58 -- U48 2007eb</t>
  </si>
  <si>
    <t>http://public.eblib.com/choice/PublicFullRecord.aspx?p=611435</t>
  </si>
  <si>
    <t>Under Emily's Sky</t>
  </si>
  <si>
    <t>Alma, Ann</t>
  </si>
  <si>
    <t>PR9199.3.A46 -- U53 1997eb</t>
  </si>
  <si>
    <t>Artists -- Juvenile fiction.; Carr, Emily, -- 1871-1945 -- Juvenile fiction.; Electronic books. -- local; Group of Seven (Group of artists) -- Juvenile fiction.; Vancouver Island (B.C.) -- Juvenile fiction.</t>
  </si>
  <si>
    <t>http://public.eblib.com/choice/PublicFullRecord.aspx?p=611436</t>
  </si>
  <si>
    <t>White Jade Tiger</t>
  </si>
  <si>
    <t>Lawson, Julie</t>
  </si>
  <si>
    <t>PR9199.3.L39 -- W45 2006eb</t>
  </si>
  <si>
    <t>Canadian Pacific Railway Company -- History -- Juvenile fiction.; Chinatown (Victoria, B.C.) -- History -- Juvenile fiction.; Chinese -- British Columbia -- History -- Juvenile fiction.; Electronic books. -- local; Victoria (B.C.) -- History -- Juvenile fiction.</t>
  </si>
  <si>
    <t>http://public.eblib.com/choice/PublicFullRecord.aspx?p=611444</t>
  </si>
  <si>
    <t>Winds Through Time : An Anthology of Canadian Historical Young Adult Fiction</t>
  </si>
  <si>
    <t>PR9197.35.H5 -- W55 1998eb</t>
  </si>
  <si>
    <t>Canada -- History -- Fiction.; Canadian literature.; Electronic books. -- local</t>
  </si>
  <si>
    <t>http://public.eblib.com/choice/PublicFullRecord.aspx?p=611446</t>
  </si>
  <si>
    <t>Your Time, My Time</t>
  </si>
  <si>
    <t>PR9199.3.W35 -- Y68 2009eb</t>
  </si>
  <si>
    <t>Barkerville (B.C.) -- Fiction.; Electronic books. -- local; Space and time -- Fiction.</t>
  </si>
  <si>
    <t>http://public.eblib.com/choice/PublicFullRecord.aspx?p=611447</t>
  </si>
  <si>
    <t>Unexpected and Fictional Career Change of Jim Kearns</t>
  </si>
  <si>
    <t>Munroe, David</t>
  </si>
  <si>
    <t>PR9199.4.M864 -- U54 2005eb</t>
  </si>
  <si>
    <t>Career changes -- Fiction.; Midlife crisis -- Fiction.</t>
  </si>
  <si>
    <t>http://public.eblib.com/choice/PublicFullRecord.aspx?p=611448</t>
  </si>
  <si>
    <t>Last Hand : A Charlie Salter Mystery</t>
  </si>
  <si>
    <t>PR9199.3.W66 -- L37 2001eb</t>
  </si>
  <si>
    <t>Electronic books. -- local; Police -- Ontario -- Toronto -- Fiction.; Salter, Charlie (Fictitious character) -- Fiction.; Toronto (Ont.) -- Fiction.</t>
  </si>
  <si>
    <t>http://public.eblib.com/choice/PublicFullRecord.aspx?p=611477</t>
  </si>
  <si>
    <t>Canadian Style : A Guide to Writing and Editing</t>
  </si>
  <si>
    <t>Public Works and Government Services Canada Translation Bureau; Dundurn Press Limited; Translation Bureau, Government Services Canada; Public Works and Government Services Canada Translation Bureau, ; Dundurn Press Limited,</t>
  </si>
  <si>
    <t>PN147 -- .C363 1996eb</t>
  </si>
  <si>
    <t>808.0420971; 808/.02</t>
  </si>
  <si>
    <t>Authorship -- Handbooks, manuals, etc.; Editing -- Handbooks, manuals, etc.; Electronic books. -- local</t>
  </si>
  <si>
    <t>http://public.eblib.com/choice/PublicFullRecord.aspx?p=611527</t>
  </si>
  <si>
    <t>Scoundrels, Dreamers &amp; Second Sons : British Remittance Men in the Canadian West</t>
  </si>
  <si>
    <t>F1060.97.B7 -- Z84 2001eb</t>
  </si>
  <si>
    <t>971.05; 971.2/00421</t>
  </si>
  <si>
    <t>British -- Canada, Western -- History.; Canada, Western -- Emigration and immigration -- History.; Electronic books. -- local; Gentry -- Great Britain -- History.; Great Britain -- Emigration and immigration -- History.; Immigrants -- Canada, Western -- History.; Remittance men -- Canada, Western.</t>
  </si>
  <si>
    <t>http://public.eblib.com/choice/PublicFullRecord.aspx?p=611548</t>
  </si>
  <si>
    <t>Carry Tiger to Mountain : An Elias McCann Mystery</t>
  </si>
  <si>
    <t>An Elias McCann Mystery</t>
  </si>
  <si>
    <t>PR9199.4.Z84 -- C37 2002eb</t>
  </si>
  <si>
    <t>Detective and mystery stories, Canadian.</t>
  </si>
  <si>
    <t>http://public.eblib.com/choice/PublicFullRecord.aspx?p=611573</t>
  </si>
  <si>
    <t>Arctic Fox : Francis Leopold-McClintock, Discoverer of the Fate of Franklin</t>
  </si>
  <si>
    <t>G635.M385 -- M87 2004eb</t>
  </si>
  <si>
    <t>917.1904/1092</t>
  </si>
  <si>
    <t>Admirals -- Great Britain -- Biography.; Arctic regions -- Discovery and exploration -- British.; Electronic books. -- local; Explorers -- Arctic regions -- Biography.; Explorers -- Great Britain -- Biography.; M''Clintock, Francis Leopold, -- Sir, -- 1819-1907.</t>
  </si>
  <si>
    <t>http://public.eblib.com/choice/PublicFullRecord.aspx?p=611622</t>
  </si>
  <si>
    <t>Sweep Lotus : An Elias McCann Mystery</t>
  </si>
  <si>
    <t>PR9199.4.Z84 -- S84 2004eb</t>
  </si>
  <si>
    <t>Electronic books. -- local; McCann, Elias (Fictitious character) -- Fiction.; Murder -- Investigation -- Fiction.</t>
  </si>
  <si>
    <t>http://public.eblib.com/choice/PublicFullRecord.aspx?p=611625</t>
  </si>
  <si>
    <t>Loose Ends : A Jack Taggart Mystery</t>
  </si>
  <si>
    <t>A Jack Taggart Mystery</t>
  </si>
  <si>
    <t>Easton, Don</t>
  </si>
  <si>
    <t>PR9199.4.E27 -- L66 2005eb</t>
  </si>
  <si>
    <t>Taggart, Jack (Fictitious character) -- Fiction.; Undercover operations -- Fiction.</t>
  </si>
  <si>
    <t>http://public.eblib.com/choice/PublicFullRecord.aspx?p=611639</t>
  </si>
  <si>
    <t>Tiger Trap</t>
  </si>
  <si>
    <t>Tiger</t>
  </si>
  <si>
    <t>PR9199.3.W35 -- T54 2007eb</t>
  </si>
  <si>
    <t>Brothers and sisters -- Juvenile fiction.; Electronic books. -- local; Exotic animals -- Juvenile fiction.</t>
  </si>
  <si>
    <t>http://public.eblib.com/choice/PublicFullRecord.aspx?p=611690</t>
  </si>
  <si>
    <t>Above Ground : A Jack Taggart Mystery</t>
  </si>
  <si>
    <t>PR9199.4.E27 -- A61 2007eb</t>
  </si>
  <si>
    <t>Motorcycle gangs -- Fiction.; Royal Canadian Mounted Police -- Fiction.; Taggart, Jack (Fictitious character) -- Fiction.</t>
  </si>
  <si>
    <t>http://public.eblib.com/choice/PublicFullRecord.aspx?p=611693</t>
  </si>
  <si>
    <t>Very Fine Class of Immigrants : Prince Edward Island's Scottish Pioneers, 1770-1850</t>
  </si>
  <si>
    <t>Campey, Lucille H.</t>
  </si>
  <si>
    <t>F1049.7 .S4 C36 2007</t>
  </si>
  <si>
    <t>304.8/7170411; 971.70049163</t>
  </si>
  <si>
    <t>Prince Edward Island -- Emigration and immigration -- History.; Scotland -- Emigration and immigration -- History.; Scots -- Prince Edward Island -- History.</t>
  </si>
  <si>
    <t>http://public.eblib.com/choice/PublicFullRecord.aspx?p=611746</t>
  </si>
  <si>
    <t>Angel in the Full Moon : A Jack Taggart Mystery</t>
  </si>
  <si>
    <t>PR9199.4.E27 -- A66 2008eb</t>
  </si>
  <si>
    <t>http://public.eblib.com/choice/PublicFullRecord.aspx?p=611780</t>
  </si>
  <si>
    <t>Faster Than Wind</t>
  </si>
  <si>
    <t>Pitt, Steve</t>
  </si>
  <si>
    <t>PR9199.3.P59 -- F38 2009eb</t>
  </si>
  <si>
    <t>Electronic books. -- local; Friendship -- Fiction.; Gangs -- Fiction.; Iceboating -- Juvenile fiction.; Racing -- Fiction.; Toronto (Ont.) -- History -- 20th century -- Fiction.</t>
  </si>
  <si>
    <t>http://public.eblib.com/choice/PublicFullRecord.aspx?p=611789</t>
  </si>
  <si>
    <t>Snakes &amp; Ladders</t>
  </si>
  <si>
    <t>Smith, Shaun</t>
  </si>
  <si>
    <t>PR9199.3.S65 -- S63 2009eb</t>
  </si>
  <si>
    <t>Brothers and sisters -- Juvenile fiction.; Electronic books. -- local; Environmental protection -- Juvenile fiction.; Family secrets -- Juvenile fiction.; Friendship -- Juvenile fiction.; Muskoka (Ont. : District municipality) -- Juvenile fiction.</t>
  </si>
  <si>
    <t>http://public.eblib.com/choice/PublicFullRecord.aspx?p=611791</t>
  </si>
  <si>
    <t>Doom Lake Holiday</t>
  </si>
  <si>
    <t>Henighan, Tom</t>
  </si>
  <si>
    <t>PR9199.3.H4516 -- D66 2009eb</t>
  </si>
  <si>
    <t>Adventure stories.; Blessing and cursing -- Juvenile fiction.; Detective and mystery stories.; Electronic books. -- local</t>
  </si>
  <si>
    <t>http://public.eblib.com/choice/PublicFullRecord.aspx?p=611798</t>
  </si>
  <si>
    <t>Hate Cell : A Casey Templeton Mystery</t>
  </si>
  <si>
    <t>A Casey Templeton Mystery</t>
  </si>
  <si>
    <t>Molnar, Gwen</t>
  </si>
  <si>
    <t>PR9199.3.M65 -- H39 2009eb</t>
  </si>
  <si>
    <t>Alberta -- Juvenile fiction.; Detective and mystery stories.; Electronic books. -- local; Hate -- Juvenile fiction.; Racism -- Juvenile fiction.; Royal Canadian Mounted Police -- Juvenile fiction.</t>
  </si>
  <si>
    <t>http://public.eblib.com/choice/PublicFullRecord.aspx?p=611801</t>
  </si>
  <si>
    <t>Depth of Field : A Granville Island Mystery</t>
  </si>
  <si>
    <t>A Granville Island Mystery</t>
  </si>
  <si>
    <t>Blair, Michael</t>
  </si>
  <si>
    <t>PR9199.4.B56 -- D47 2009eb</t>
  </si>
  <si>
    <t>Photographers -- Fiction.; Vancouver (B.C.) -- Fiction.</t>
  </si>
  <si>
    <t>http://public.eblib.com/choice/PublicFullRecord.aspx?p=611806</t>
  </si>
  <si>
    <t>Outside the Line : A Peter Ellis Mystery</t>
  </si>
  <si>
    <t>A Peter Ellis Mystery</t>
  </si>
  <si>
    <t>Petersen, Christian</t>
  </si>
  <si>
    <t>PR9199.3.P4518 -- O98 2009eb</t>
  </si>
  <si>
    <t>British Columbia -- Fiction.; Probation officers -- British Columbia -- Fiction.</t>
  </si>
  <si>
    <t>http://public.eblib.com/choice/PublicFullRecord.aspx?p=611807</t>
  </si>
  <si>
    <t>Mary Wakefield</t>
  </si>
  <si>
    <t>Jalna</t>
  </si>
  <si>
    <t>de la Roche, Mazo</t>
  </si>
  <si>
    <t>PR9199.3.D42 -- M37 2009eb</t>
  </si>
  <si>
    <t>Electronic books. -- local; Fantasy fiction, Canadian.; Whiteoak family (Fictitious characters) -- Fiction.</t>
  </si>
  <si>
    <t>http://public.eblib.com/choice/PublicFullRecord.aspx?p=611820</t>
  </si>
  <si>
    <t>Building of Jalna</t>
  </si>
  <si>
    <t>PR9199.3.D42 -- B85 2009eb</t>
  </si>
  <si>
    <t>Electronic books. -- local; Families -- Canada -- Fiction.; Whiteoak family (Fictitious characters) -- Fiction.</t>
  </si>
  <si>
    <t>http://public.eblib.com/choice/PublicFullRecord.aspx?p=611821</t>
  </si>
  <si>
    <t>Jewels of Sofia Tate</t>
  </si>
  <si>
    <t>Etienne, Doris</t>
  </si>
  <si>
    <t>PR9199.3.E85 -- J49 2009eb</t>
  </si>
  <si>
    <t>Electronic books. -- local; Jewelry -- Juvenile fiction.; Widows -- Juvenile fiction.</t>
  </si>
  <si>
    <t>http://public.eblib.com/choice/PublicFullRecord.aspx?p=611828</t>
  </si>
  <si>
    <t>Grave Doubts : A Quin and Morgan Mystery</t>
  </si>
  <si>
    <t>A Quin and Morgan Mystery</t>
  </si>
  <si>
    <t>Moss, John</t>
  </si>
  <si>
    <t>PR9199.4.M675 -- G73 2009eb</t>
  </si>
  <si>
    <t>Murder -- Investigation -- Ontario -- Toronto -- Fiction.; Toronto (Ont.) -- Fiction.</t>
  </si>
  <si>
    <t>http://public.eblib.com/choice/PublicFullRecord.aspx?p=611843</t>
  </si>
  <si>
    <t>Northern Rover : The Life Story of Olaf Hanson</t>
  </si>
  <si>
    <t>Athabasca University Press</t>
  </si>
  <si>
    <t>AU Press</t>
  </si>
  <si>
    <t>Karras, A.L.</t>
  </si>
  <si>
    <t>F1074.L65 -- K37 2008eb</t>
  </si>
  <si>
    <t>971.24/202092; 971.2402092</t>
  </si>
  <si>
    <t>Fisheries -- Saskatchewan -- Love Region -- History.; Fishers -- Saskatchewan -- Biography.; Frontier and pioneer life -- Saskatchewan -- Love Region.; Hanson Lake Road (Sask.) -- History.; Hanson, Olaf.; Outdoor life -- Saskatchewan -- Love Region -- History.; Trappers -- Saskatchewan -- Biography.</t>
  </si>
  <si>
    <t>http://public.eblib.com/choice/PublicFullRecord.aspx?p=617510</t>
  </si>
  <si>
    <t>Mountain Masculinity : The Life and Writing of Nello "Tex" Vernon-Wood in the Canadian Rockies, 1906-1938</t>
  </si>
  <si>
    <t>Gow, Andrew; Rak, Julie</t>
  </si>
  <si>
    <t>History; Sport &amp; Recreation</t>
  </si>
  <si>
    <t>GV191.42.R63 -- M68 2008eb</t>
  </si>
  <si>
    <t>971.23/302092</t>
  </si>
  <si>
    <t>Banff Region (Alta.) -- Biography.; Canada, Western -- In literature.; Electronic books. -- local; Hunting guides -- Alberta -- Biography.; Outdoor writers -- Alberta -- Biography.; Wood, Tex, -- 1882-1978.</t>
  </si>
  <si>
    <t>http://public.eblib.com/choice/PublicFullRecord.aspx?p=617513</t>
  </si>
  <si>
    <t>Theory and Practice of Online Learning</t>
  </si>
  <si>
    <t>Issues in Distance Education</t>
  </si>
  <si>
    <t>Anderson, Terry</t>
  </si>
  <si>
    <t>LB1028.5 -- .T496 2008eb</t>
  </si>
  <si>
    <t>Computer-assisted instruction.; Distance education.; Electronic books. -- local; Internet in education.</t>
  </si>
  <si>
    <t>http://public.eblib.com/choice/PublicFullRecord.aspx?p=617514</t>
  </si>
  <si>
    <t>Poems for a Small Park</t>
  </si>
  <si>
    <t>Mingling Voices</t>
  </si>
  <si>
    <t>Blodgett, E.D.</t>
  </si>
  <si>
    <t>PR9199.3.B54 -- P64 2008eb</t>
  </si>
  <si>
    <t>Blodgett, E. D.; Canadian poetry.; Electronic books. -- local</t>
  </si>
  <si>
    <t>http://public.eblib.com/choice/PublicFullRecord.aspx?p=617515</t>
  </si>
  <si>
    <t>Imagining Head Smashed In : Aboriginal Buffalo Hunting on the Northern Plains</t>
  </si>
  <si>
    <t>Brink, Jack W</t>
  </si>
  <si>
    <t>SK297 -- .B75 2008eb</t>
  </si>
  <si>
    <t>639.11643097; 639/.1164308997</t>
  </si>
  <si>
    <t>American bison hunting -- History.; American bison.; Buffalo jump -- Alberta.; Excavations (Archaeology) -- Alberta.; Indians of North America -- Alberta -- Antiquities.; Indians of North America -- Hunting -- Alberta.; Indians of North America -- Hunting -- Great Plains.</t>
  </si>
  <si>
    <t>http://public.eblib.com/choice/PublicFullRecord.aspx?p=617516</t>
  </si>
  <si>
    <t>Lost Tracks : Buffalo National Park, 1909-1939</t>
  </si>
  <si>
    <t>Brower, Jennifer</t>
  </si>
  <si>
    <t>F1079.5.B79 -- B76 2008eb</t>
  </si>
  <si>
    <t>American bison -- Conservation -- Alberta -- Buffalo National Park.; Bison d''Amérique -- Conservation -- Alberta -- Buffalo National Park.; Buffalo National Park (Alb.) -- Histoire.; Buffalo National Park (Alta.) -- History.; Electronic books. -- local</t>
  </si>
  <si>
    <t>http://public.eblib.com/choice/PublicFullRecord.aspx?p=617517</t>
  </si>
  <si>
    <t>Icon, Brand, Myth : The Calgary Exhibition and Stampede</t>
  </si>
  <si>
    <t>The West Unbound: Social and Cultural Studies</t>
  </si>
  <si>
    <t>Foran, Max</t>
  </si>
  <si>
    <t>Fine Arts; Sport &amp; Recreation</t>
  </si>
  <si>
    <t>GV1834.56 C22 -- I37 2008eb</t>
  </si>
  <si>
    <t>791.8/409712338</t>
  </si>
  <si>
    <t>Calgary (Alb.) -- Histoire.; Calgary (Alta.) -- History.; Calgary (Alta.) -- Social conditions.; Calgary Stampede -- Aspect social.; Calgary Stampede -- Histoire.; Calgary Stampede -- History.; Calgary Stampede -- Social aspects.</t>
  </si>
  <si>
    <t>http://public.eblib.com/choice/PublicFullRecord.aspx?p=617519</t>
  </si>
  <si>
    <t>Northern Love : An exploration of Canadian Masculinity</t>
  </si>
  <si>
    <t>Cultural Dialectics</t>
  </si>
  <si>
    <t>Nonnekes, Paul</t>
  </si>
  <si>
    <t>HQ1090.7.C2 -- N65 2008eb</t>
  </si>
  <si>
    <t>Kroetsch, Robert, -- 1927-2011.; Love -- Psychological aspects.; Love in literature.; Masculinity -- Canada.; Masculinity -- Social aspects -- Canada.; Masculinity in literature.; Wiebe, Rudy Henry, -- 1934-</t>
  </si>
  <si>
    <t>http://public.eblib.com/choice/PublicFullRecord.aspx?p=617520</t>
  </si>
  <si>
    <t>Hot Thespian Action! : 10 Premiere Plays from Walterdale Playhouse</t>
  </si>
  <si>
    <t>Canadian Plays</t>
  </si>
  <si>
    <t>Whittaker, Robin C.</t>
  </si>
  <si>
    <t>PR9196.62 -- .H68 2008eb</t>
  </si>
  <si>
    <t>Canadian drama -- 21st century.; Electronic books. -- local; Walterdale Playhouse (Edmonton, Canada)</t>
  </si>
  <si>
    <t>http://public.eblib.com/choice/PublicFullRecord.aspx?p=617522</t>
  </si>
  <si>
    <t>Why Mexicans Don't Drink Molson : Rescuing Canadian Business From the Suds of Global Obscurity</t>
  </si>
  <si>
    <t>Mandel-Campbell, Andrea</t>
  </si>
  <si>
    <t>HF3226.5 -- .M36 2007eb</t>
  </si>
  <si>
    <t>Business enterprises -- Canada.; Canada -- Commerce.; Competition -- Canada.; Competition, International.; Corporate culture -- Canada.; Export marketing -- Canada.; Globalization -- Economic aspects -- Canada.</t>
  </si>
  <si>
    <t>http://public.eblib.com/choice/PublicFullRecord.aspx?p=619005</t>
  </si>
  <si>
    <t>The Storyteller : A Memoir of Secrets, Magic and Lies</t>
  </si>
  <si>
    <t>History; Literature</t>
  </si>
  <si>
    <t>DB955.6.R33 -- P67 2006eb</t>
  </si>
  <si>
    <t>Electronic books. -- local; Hungary -- History -- 20th century.; Hungary -- History -- Revolution, 1956.; RÃÂ¡cz, Vilmos -- Family.; World War, 1939-1945 -- Hungary.</t>
  </si>
  <si>
    <t>http://public.eblib.com/choice/PublicFullRecord.aspx?p=619012</t>
  </si>
  <si>
    <t>Madness, Betrayal and the Lash : The Epic Voyage of Captain George Vancouver</t>
  </si>
  <si>
    <t>Bown, Stephen R.</t>
  </si>
  <si>
    <t>G246.V3 -- B69 2008eb</t>
  </si>
  <si>
    <t>910.92; 979.501</t>
  </si>
  <si>
    <t>Explorers -- England -- Biography.; Northwest Coast of North America -- Discovery and exploration -- British.; Vancouver, George, -- 1757-1798.</t>
  </si>
  <si>
    <t>http://public.eblib.com/choice/PublicFullRecord.aspx?p=619041</t>
  </si>
  <si>
    <t>One Native Life</t>
  </si>
  <si>
    <t>Wagamese, Richard</t>
  </si>
  <si>
    <t>Literature; History</t>
  </si>
  <si>
    <t>E99.C6 -- W34 2008eb</t>
  </si>
  <si>
    <t>Authors, Canadian -- 20th century -- Biography.; Indian authors -- Canada -- Biography.; Ojibwa Indians -- Biography.; Wagamese, Richard.</t>
  </si>
  <si>
    <t>http://public.eblib.com/choice/PublicFullRecord.aspx?p=619156</t>
  </si>
  <si>
    <t>Wild Words : Essays on Alberta Literature</t>
  </si>
  <si>
    <t>Coates, Donna; Melnyk, George</t>
  </si>
  <si>
    <t>PS8131.A43 -- W55 2009eb</t>
  </si>
  <si>
    <t>Alberta -- In literature.; Canadian literature -- Alberta -- History and criticism.; Electronic books. -- local</t>
  </si>
  <si>
    <t>http://public.eblib.com/choice/PublicFullRecord.aspx?p=624068</t>
  </si>
  <si>
    <t>Bomb Canada and Other Unkind Remarks in the American Media : And Other Unkind Remarks in the American Media</t>
  </si>
  <si>
    <t>Global Peace Studies</t>
  </si>
  <si>
    <t>Allan, Chantal</t>
  </si>
  <si>
    <t>F1059.5.U6 -- A45 2009eb</t>
  </si>
  <si>
    <t>303.48/271073</t>
  </si>
  <si>
    <t>Canada -- Relations -- United States.; United States -- Relations -- Canada.</t>
  </si>
  <si>
    <t>http://public.eblib.com/choice/PublicFullRecord.aspx?p=624071</t>
  </si>
  <si>
    <t>Making Game : An Essay on Hunting, Familiar Things, and the Strangeness of Being Who One Is</t>
  </si>
  <si>
    <t>Atkinson, Peter L.</t>
  </si>
  <si>
    <t>Philosophy; Agriculture; Sport &amp; Recreation</t>
  </si>
  <si>
    <t>SK17.A85 -- A3 2009eb</t>
  </si>
  <si>
    <t>179.3; 799.292</t>
  </si>
  <si>
    <t>Atkinson, Peter, -- 1952-; Electronic books. -- local; Hunters -- United States -- Biography.; Hunting -- Moral and ethical aspects.; Hunting -- Philosophy.</t>
  </si>
  <si>
    <t>http://public.eblib.com/choice/PublicFullRecord.aspx?p=624074</t>
  </si>
  <si>
    <t>Beaver Hills Country : A History of Land and Life</t>
  </si>
  <si>
    <t>MacDonald, Graham A.</t>
  </si>
  <si>
    <t>F1079.S87 -- M33 2009eb</t>
  </si>
  <si>
    <t>971.23/3</t>
  </si>
  <si>
    <t>Electronic books. -- local; History.; Strathcona (Edmonton, Alta.) -- Biography.; Strathcona (Edmonton, Alta.) -- History.</t>
  </si>
  <si>
    <t>http://public.eblib.com/choice/PublicFullRecord.aspx?p=624080</t>
  </si>
  <si>
    <t>The Biochar Solution : Carbon Farming and Climate Change</t>
  </si>
  <si>
    <t>Bates, Albert</t>
  </si>
  <si>
    <t>Engineering: Chemical; Engineering</t>
  </si>
  <si>
    <t>TP331 -- .B38 2010eb</t>
  </si>
  <si>
    <t>662/.74</t>
  </si>
  <si>
    <t>Agriculture -- Environmental aspects.; Carbon sequestration.; Charcoal.; Electronic books. -- local; Soil amendments.</t>
  </si>
  <si>
    <t>http://public.eblib.com/choice/PublicFullRecord.aspx?p=625062</t>
  </si>
  <si>
    <t>Whitewash : The Disturbing Truth About Cow's Milk and Your Health</t>
  </si>
  <si>
    <t>Keon, Joseph</t>
  </si>
  <si>
    <t>RA602.M54 -- K466 2010eb</t>
  </si>
  <si>
    <t>Calcium in human nutrition.; Electronic books. -- local; Milk -- Health aspects.; Milk contamination.; Nutritionally induced diseases.</t>
  </si>
  <si>
    <t>http://public.eblib.com/choice/PublicFullRecord.aspx?p=625123</t>
  </si>
  <si>
    <t>Winter Harvest Cookbook : How to Select and Prepare Fresh Seasonal Produce All Winter Long</t>
  </si>
  <si>
    <t>Morgan, Lane</t>
  </si>
  <si>
    <t>TX801 -- .M68 2010eb</t>
  </si>
  <si>
    <t>641.6/5</t>
  </si>
  <si>
    <t>Cooking (Vegetables); Electronic books. -- local; Seasonal cooking.</t>
  </si>
  <si>
    <t>http://public.eblib.com/choice/PublicFullRecord.aspx?p=625146</t>
  </si>
  <si>
    <t>Humanizing the Economy : Co-operatives in the Age of Capital</t>
  </si>
  <si>
    <t>Restakis, John</t>
  </si>
  <si>
    <t>HD2963 -- .R47 2010eb</t>
  </si>
  <si>
    <t>Cooperative societies.; Economics -- Sociological aspects.; Electronic books. -- local</t>
  </si>
  <si>
    <t>http://public.eblib.com/choice/PublicFullRecord.aspx?p=625170</t>
  </si>
  <si>
    <t>Choosing a Sustainable Future : Ideas and Inspiration from Ithaca, NY</t>
  </si>
  <si>
    <t>HC79.E5 -- W355 2010eb</t>
  </si>
  <si>
    <t>Community development -- New York (State) -- Ithaca.; Electronic books. -- local; Environmental management -- New York (State) -- Ithaca.; Sustainable development -- New York (State) -- Ithaca.; Sustainable living -- New York (State) -- Ithaca.</t>
  </si>
  <si>
    <t>http://public.eblib.com/choice/PublicFullRecord.aspx?p=625195</t>
  </si>
  <si>
    <t>Expansive Discourses : Residential Urban Sprawl in Calgary, 1945-1978</t>
  </si>
  <si>
    <t>HT384.C32 -- C35 2009eb</t>
  </si>
  <si>
    <t>Calgary (Alta.) -- History -- 20th century.; Calgary (Alta.) -- Politics and government.; Cities and towns -- Alberta -- Calgary -- Growth -- History.; City planning -- Alberta -- Calgary -- History.; Electronic books. -- local; Real estate development -- Alberta -- Calgary -- History.</t>
  </si>
  <si>
    <t>http://public.eblib.com/choice/PublicFullRecord.aspx?p=625459</t>
  </si>
  <si>
    <t>After Canaan : Essays on Race, Writing, and Region</t>
  </si>
  <si>
    <t>Compton, Wayde</t>
  </si>
  <si>
    <t>HM1271 -- .C6523 2010eb</t>
  </si>
  <si>
    <t>Compton, Wayde, -- 1972-; Compton, Wayde, -- 1972-; Multiculturalism -- Canada.; Multiculturalisme -- Canada.; Post-racialism -- Canada.; Race in literature.; SociÃ©tÃ© postraciale -- Canada.</t>
  </si>
  <si>
    <t>http://public.eblib.com/choice/PublicFullRecord.aspx?p=634469</t>
  </si>
  <si>
    <t>Private Sector and Enterprise Development : Fostering Growth in the Middle East and North Africa</t>
  </si>
  <si>
    <t>Edward Elgar</t>
  </si>
  <si>
    <t>Stevenson, Lois</t>
  </si>
  <si>
    <t>HC415.15</t>
  </si>
  <si>
    <t>Economic development -- Africa, North.; Economic development -- Middle East.; Small business -- Africa, North.; Small business -- Middle East.</t>
  </si>
  <si>
    <t>http://public.eblib.com/choice/PublicFullRecord.aspx?p=647871</t>
  </si>
  <si>
    <t>Histoires de Kanatha - Histories of Kanatha : Vues et contées - Seen and Told</t>
  </si>
  <si>
    <t>Sioui, Georges</t>
  </si>
  <si>
    <t>E77.2 -- .S56 2008eb</t>
  </si>
  <si>
    <t>305.897/071</t>
  </si>
  <si>
    <t>Electronic books. -- local; Indian philosophy -- Canada.; Indians of North America -- Canada -- History.; Indians of North America -- Canada.</t>
  </si>
  <si>
    <t>http://public.eblib.com/choice/PublicFullRecord.aspx?p=653314</t>
  </si>
  <si>
    <t>New Readings of Yiddish Montreal - Traduire le Montréal yiddish</t>
  </si>
  <si>
    <t>Anctil, Pierre; Ravvin, Norman; Simon, Sherry</t>
  </si>
  <si>
    <t>Literature; Language/Linguistics</t>
  </si>
  <si>
    <t>PJ5152.1 -- .N48 2007eb</t>
  </si>
  <si>
    <t>Electronic books. -- local; Jews -- Québec (Province) -- Montréal -- Intellectual life -- Congresses.; Translating and interpreting -- Congresses.; Yiddish literature -- 20th century -- Translations -- History and criticism -- Congresses.; Yiddish literature -- Québec (Province) -- Montréal -- Congresses.; Yiddish literature -- Québec (Province) -- Montréal -- Translations -- History and criticism -- Congresses.</t>
  </si>
  <si>
    <t>http://public.eblib.com/choice/PublicFullRecord.aspx?p=653315</t>
  </si>
  <si>
    <t>Droits et voix - Rights and Voices : La criminologie à l'Université d'Ottawa - Criminology at the University of Ottawa</t>
  </si>
  <si>
    <t>Strimelle, Veronique; Vanhamme, Françoise</t>
  </si>
  <si>
    <t>HV6024.D765 2010</t>
  </si>
  <si>
    <t>Criminology--Study and teaching (Higher)</t>
  </si>
  <si>
    <t>http://public.eblib.com/choice/PublicFullRecord.aspx?p=653318</t>
  </si>
  <si>
    <t>L'Ère électrique - The Electric Age</t>
  </si>
  <si>
    <t>Cultural Transfers</t>
  </si>
  <si>
    <t>Asselin, Olivier; Mariniello, Silvestra; Oberhuber, Andrea</t>
  </si>
  <si>
    <t>Science; Science: Physics</t>
  </si>
  <si>
    <t>QC527.2</t>
  </si>
  <si>
    <t>Electricity -- Social aspects.; Electricity in art.; Electricity in literature.</t>
  </si>
  <si>
    <t>http://public.eblib.com/choice/PublicFullRecord.aspx?p=653324</t>
  </si>
  <si>
    <t>Pioneering Women : Short Stories by Canadian Women, Beginnings to 1880</t>
  </si>
  <si>
    <t>Canadian Short Story Library</t>
  </si>
  <si>
    <t>McMullen, Lorraine; Campbell, Sandra</t>
  </si>
  <si>
    <t>PR9197.32 -- .P56 1993eb</t>
  </si>
  <si>
    <t>813/.01089287</t>
  </si>
  <si>
    <t>Canadian fiction -- 19th century.; Canadian fiction -- Women authors.; Electronic books. -- local; Short stories, Canadian.; Women -- Canada -- Social life and customs -- Fiction.</t>
  </si>
  <si>
    <t>http://public.eblib.com/choice/PublicFullRecord.aspx?p=653337</t>
  </si>
  <si>
    <t>Gay[Grey Moose : Essays on the Ecologies and Mythologies of Canadian Poetry 1690-1990</t>
  </si>
  <si>
    <t>Bentley, D.M.R.</t>
  </si>
  <si>
    <t>PR9190.2 -- .B45 1992eb</t>
  </si>
  <si>
    <t>Canada -- In literature.; Electronic books. -- local; Landscapes in literature.</t>
  </si>
  <si>
    <t>http://public.eblib.com/choice/PublicFullRecord.aspx?p=653338</t>
  </si>
  <si>
    <t>Quarter-Century of Normalization and Social Role Valorization : Evolution and Impact</t>
  </si>
  <si>
    <t>Flynn, Robert J.; Lemay, Raymond</t>
  </si>
  <si>
    <t>HV3004 -- .Q34 1999eb</t>
  </si>
  <si>
    <t>Electronic books. -- local; People with disabilities -- Social conditions -- Congresses.; Social role -- Congresses.; Sociology of disability -- Congresses.</t>
  </si>
  <si>
    <t>http://public.eblib.com/choice/PublicFullRecord.aspx?p=653339</t>
  </si>
  <si>
    <t>From Cognition to Being : Prolegomena for Teachers</t>
  </si>
  <si>
    <t>Mentor Series</t>
  </si>
  <si>
    <t>McHenry, Henry Davis</t>
  </si>
  <si>
    <t>Education; Language/Linguistics</t>
  </si>
  <si>
    <t>P40.8 -- .M34 1998eb</t>
  </si>
  <si>
    <t>371.102/01</t>
  </si>
  <si>
    <t>Electronic books. -- local; Linguistics -- Philosophy.; Teaching -- Philosophy.</t>
  </si>
  <si>
    <t>http://public.eblib.com/choice/PublicFullRecord.aspx?p=653340</t>
  </si>
  <si>
    <t>Southern Version of Cursor Mundi, Vol. III</t>
  </si>
  <si>
    <t>Ottawa Mediaeval Texts and Studies</t>
  </si>
  <si>
    <t>Stauffenberg, Henry J.</t>
  </si>
  <si>
    <t>PR1966 -- .C873 1985eb</t>
  </si>
  <si>
    <t>821; 821.2; 821/.2</t>
  </si>
  <si>
    <t>Christian poetry, English (Middle); World history -- Early works to 1800.</t>
  </si>
  <si>
    <t>http://public.eblib.com/choice/PublicFullRecord.aspx?p=653341</t>
  </si>
  <si>
    <t>Duncan Campbell Scott Symposium</t>
  </si>
  <si>
    <t>Stich, K. P.</t>
  </si>
  <si>
    <t>PR6037.C9 -- Z65 1980eb</t>
  </si>
  <si>
    <t>Electronic books. -- local; English literature.; Scott, Duncan Campbell, -- 1862-1947 -- Congresses.</t>
  </si>
  <si>
    <t>http://public.eblib.com/choice/PublicFullRecord.aspx?p=653342</t>
  </si>
  <si>
    <t>On All Frontiers : Four Centuries of Canadian Nursing</t>
  </si>
  <si>
    <t>Bates, Christina; Dodd, Dianne; Rousseau, Nicole</t>
  </si>
  <si>
    <t>Nursing</t>
  </si>
  <si>
    <t>RT6.A1 -- O54 2005eb</t>
  </si>
  <si>
    <t>610.73; 610.73/0971</t>
  </si>
  <si>
    <t>Electronic books. -- local; Nurses -- Canada -- History.; Nursing -- Canada -- History.</t>
  </si>
  <si>
    <t>http://public.eblib.com/choice/PublicFullRecord.aspx?p=653343</t>
  </si>
  <si>
    <t>Fictions of John Fowles : Power, Creativity, Femininity</t>
  </si>
  <si>
    <t>Cooper, Pamela</t>
  </si>
  <si>
    <t>PR6056.O85 -- Z632 1991eb</t>
  </si>
  <si>
    <t>823/.914</t>
  </si>
  <si>
    <t>Creative ability in literature.; Electronic books. -- local; Femininity in literature.; Fowles, John, -- 1926-2005 -- Criticism and interpretation.; Power (Social sciences) in literature.; Psychological fiction, English -- History and criticism.</t>
  </si>
  <si>
    <t>http://public.eblib.com/choice/PublicFullRecord.aspx?p=653344</t>
  </si>
  <si>
    <t>God and Argument - Dieu et l'argumentation philosophique</t>
  </si>
  <si>
    <t>Actexpress</t>
  </si>
  <si>
    <t>Sweet, William</t>
  </si>
  <si>
    <t>BT102 -- .G62 1999eb</t>
  </si>
  <si>
    <t>Electronic books. -- local; God -- Proof.; God.</t>
  </si>
  <si>
    <t>http://public.eblib.com/choice/PublicFullRecord.aspx?p=653345</t>
  </si>
  <si>
    <t>Stories Subversive : Through the Field with Gloves Off: Short Fiction by Nellie L. McClung</t>
  </si>
  <si>
    <t>McClung, Nellie; Davis, Marilyn I.</t>
  </si>
  <si>
    <t>PR9199.3.M293 -- S76 1996eb</t>
  </si>
  <si>
    <t>813/.52; C813/.52</t>
  </si>
  <si>
    <t>Canada -- History -- Fiction.; Electronic books. -- local; Short stories, Canadian.</t>
  </si>
  <si>
    <t>http://public.eblib.com/choice/PublicFullRecord.aspx?p=653346</t>
  </si>
  <si>
    <t>Aboriginal People and Other Canadians : Shaping New Relationships</t>
  </si>
  <si>
    <t>Thornton, Martin; Todd, Roy</t>
  </si>
  <si>
    <t>E78.C2 -- A148 2001eb</t>
  </si>
  <si>
    <t>305.897; 305.897/071; 305.897071</t>
  </si>
  <si>
    <t>Canada -- Race relations.; Electronic books. -- local; Indigenous peoples -- Canada -- Ethnic identity.; Indigenous peoples -- Canada -- Social conditions.</t>
  </si>
  <si>
    <t>http://public.eblib.com/choice/PublicFullRecord.aspx?p=653347</t>
  </si>
  <si>
    <t>Context North America : Canadian-U.S. Literary Relations</t>
  </si>
  <si>
    <t>La Bossière, Camille</t>
  </si>
  <si>
    <t>PR9185.3 -- .C66 1994eb</t>
  </si>
  <si>
    <t>810.9/971</t>
  </si>
  <si>
    <t>American literature -- History and criticism.; Canadian literature -- History and criticism.; Comparative literature -- American and Canadian.; Comparative literature -- Canadian and American.; Electronic books. -- local</t>
  </si>
  <si>
    <t>http://public.eblib.com/choice/PublicFullRecord.aspx?p=653348</t>
  </si>
  <si>
    <t>The Southern Version of Cursor Mundi, Vol. V</t>
  </si>
  <si>
    <t>Eldredge, Laurence M.; Klinck, Anne L.</t>
  </si>
  <si>
    <t>PR1966 -- .C875 2000eb</t>
  </si>
  <si>
    <t>821.2; 821/.2</t>
  </si>
  <si>
    <t>Bible -- History of Biblical events -- Poetry.; Christian poetry, English (Middle); Manuscripts, Medieval.</t>
  </si>
  <si>
    <t>http://public.eblib.com/choice/PublicFullRecord.aspx?p=653351</t>
  </si>
  <si>
    <t>Genealogica &amp; Heraldica : Ottawa 1996</t>
  </si>
  <si>
    <t>Vachon, Auguste; Boudreau, Claire; Cogné, Daniel</t>
  </si>
  <si>
    <t>CS2 -- .I58 1996eb</t>
  </si>
  <si>
    <t>Electronic books. -- local; Genealogy -- Congresses.; Heraldry -- Congresses.</t>
  </si>
  <si>
    <t>http://public.eblib.com/choice/PublicFullRecord.aspx?p=653352</t>
  </si>
  <si>
    <t>Robertson Davies : A Mingling of Contrarieties</t>
  </si>
  <si>
    <t>La Bossière, Camille; Morra, Linda M.</t>
  </si>
  <si>
    <t>PS8507.A67 -- Z848 2001eb</t>
  </si>
  <si>
    <t>Canadian literature.; Davies, Robertson, -- 1913-1995 -- Criticism and interpretation.; Electronic books. -- local</t>
  </si>
  <si>
    <t>http://public.eblib.com/choice/PublicFullRecord.aspx?p=653353</t>
  </si>
  <si>
    <t>Poles Apart : A Study in Contrasts</t>
  </si>
  <si>
    <t>Lewkowicz, Antoni G.</t>
  </si>
  <si>
    <t>G578 -- .I54 1997eb</t>
  </si>
  <si>
    <t>909; 909.091; 909/.091</t>
  </si>
  <si>
    <t>Electronic books. -- local; Polar regions -- Congresses.</t>
  </si>
  <si>
    <t>http://public.eblib.com/choice/PublicFullRecord.aspx?p=653354</t>
  </si>
  <si>
    <t>Accounting for Culture : Thinking Through Cultural Citizenship</t>
  </si>
  <si>
    <t>Andrew, Caroline; Gattinger, Monica; Jeannotte, M. Sharon</t>
  </si>
  <si>
    <t>F1021.2 -- .A28 2005eb</t>
  </si>
  <si>
    <t>306/.0971</t>
  </si>
  <si>
    <t>Canada -- Civilisation -- 21e siècle.; Canada -- Civilization -- 21st century.; Canada -- Cultural policy.; Canada -- Intellectual life -- 21st century -- Citizen participation.; Canada -- Politique culturelle.; Canada -- Vie intellectuelle -- 21e siècle -- Participation des citoyens.</t>
  </si>
  <si>
    <t>http://public.eblib.com/choice/PublicFullRecord.aspx?p=653355</t>
  </si>
  <si>
    <t>From Subjects to Citizens : A Hundred Years of Citizenship in Australia and Canada</t>
  </si>
  <si>
    <t>Boyer, Pierre; Cardinal, Linda; Headon, David</t>
  </si>
  <si>
    <t>JQ4083 -- .F76 2004eb</t>
  </si>
  <si>
    <t>323.6/0971</t>
  </si>
  <si>
    <t>Citizenship -- Australia -- History.; Citizenship -- Canada -- History.; Nationalité -- Australie -- Histoire.; Nationalité -- Canada -- Histoire.</t>
  </si>
  <si>
    <t>http://public.eblib.com/choice/PublicFullRecord.aspx?p=653356</t>
  </si>
  <si>
    <t>Roman Ingarden's Ontology and Aesthetics</t>
  </si>
  <si>
    <t>Mitsecherling, Jeff</t>
  </si>
  <si>
    <t>B4691.I534 -- M58 1996eb</t>
  </si>
  <si>
    <t>111; 111/.85; 111/.85/092; 199</t>
  </si>
  <si>
    <t>Electronic books. -- local; Ingarden, Roman, -- 1893-1970 -- Aesthetics.; Ingarden, Roman, -- 1893-1970 -- Contributions in ontology.; Philosophy, Modern.</t>
  </si>
  <si>
    <t>http://public.eblib.com/choice/PublicFullRecord.aspx?p=653357</t>
  </si>
  <si>
    <t>Apperception, Knowledge, and Experience</t>
  </si>
  <si>
    <t>Bossart, W. H.</t>
  </si>
  <si>
    <t>B3181 -- .B67 1994eb</t>
  </si>
  <si>
    <t>Electronic books. -- local; Kant, Immanuel, -- 1724-1804 -- Contributions in theory of knowledge.; Knowledge, Theory of.; Philosophy, Modern -- 19th century.; Philosophy, Modern -- 20th century.; Transcendentalism.</t>
  </si>
  <si>
    <t>http://public.eblib.com/choice/PublicFullRecord.aspx?p=653358</t>
  </si>
  <si>
    <t>Shaping Nations : Constitutionalism and Society in Australia and Canada</t>
  </si>
  <si>
    <t>Cardinal, Linda; Headon, David</t>
  </si>
  <si>
    <t>KE4226 -- .S53 2002eb</t>
  </si>
  <si>
    <t>Australia -- Politics and government -- Congresses.; Canada -- Politics and government -- Congresses.; Constitutional history -- Australia -- Congresses.; Constitutional history -- Canada -- Congresses.; Electronic books. -- local; Federal government -- Australia -- Congresses.; Federal government -- Canada -- Congresses.</t>
  </si>
  <si>
    <t>http://public.eblib.com/choice/PublicFullRecord.aspx?p=653359</t>
  </si>
  <si>
    <t>Charting the Future of Translation History</t>
  </si>
  <si>
    <t>Bandia, Paul F.; Bastin, Georges L.</t>
  </si>
  <si>
    <t>Language/Linguistics</t>
  </si>
  <si>
    <t>P306 -- .C49 2006eb</t>
  </si>
  <si>
    <t>418; 418.0209; 418/.0209</t>
  </si>
  <si>
    <t>Electronic books. -- local; Translating and interpreting -- History.; Translating and interpreting -- Methodology.</t>
  </si>
  <si>
    <t>http://public.eblib.com/choice/PublicFullRecord.aspx?p=653361</t>
  </si>
  <si>
    <t>Gomery's Blinders and Canadian Federalism</t>
  </si>
  <si>
    <t>Hubbard, Ruth; Paquet, Gilles</t>
  </si>
  <si>
    <t>JL86.P8 -- H82 2007eb</t>
  </si>
  <si>
    <t>Canada. -- Commission of Inquiry into the Sponsorship Program and Advertising Activities.; Electronic books. -- local; Federal government -- Canada.</t>
  </si>
  <si>
    <t>http://public.eblib.com/choice/PublicFullRecord.aspx?p=653362</t>
  </si>
  <si>
    <t>Assisted Suicide : Canadian Perspectives</t>
  </si>
  <si>
    <t>Prado, C. G.</t>
  </si>
  <si>
    <t>Medicine; Philosophy</t>
  </si>
  <si>
    <t>R726 -- .A86 2000eb</t>
  </si>
  <si>
    <t>Assisted suicide -- Law and legislation -- Canada.; Assisted suicide -- Moral and ethical aspects -- Canada.; Electronic books. -- local</t>
  </si>
  <si>
    <t>http://public.eblib.com/choice/PublicFullRecord.aspx?p=653363</t>
  </si>
  <si>
    <t>Bolder Flights : Essays on the Canadian Long Poem</t>
  </si>
  <si>
    <t>Tierney, Frank; Arnold Robbeson, Angela</t>
  </si>
  <si>
    <t>PR9190.4 -- .B65 1998eb</t>
  </si>
  <si>
    <t>800; 811.009</t>
  </si>
  <si>
    <t>Canadian poetry -- 19th century -- History and criticism.; Canadian poetry -- 20th century -- History and criticism.; Electronic books. -- local</t>
  </si>
  <si>
    <t>http://public.eblib.com/choice/PublicFullRecord.aspx?p=653365</t>
  </si>
  <si>
    <t>Translation and Gender : Translating in the 'Era of Feminism'</t>
  </si>
  <si>
    <t>von Flotow, Luise</t>
  </si>
  <si>
    <t>P306.2 -- .V66 1997eb</t>
  </si>
  <si>
    <t>418; 418.02; 418/.02</t>
  </si>
  <si>
    <t>Electronic books. -- local; Feminism and literature.; Language and languages -- Sex differences.; Translating and interpreting.</t>
  </si>
  <si>
    <t>http://public.eblib.com/choice/PublicFullRecord.aspx?p=653367</t>
  </si>
  <si>
    <t>Myths We Live By</t>
  </si>
  <si>
    <t>Religion and Beliefs Series</t>
  </si>
  <si>
    <t>Grant, Colin</t>
  </si>
  <si>
    <t>Religion; Literature</t>
  </si>
  <si>
    <t>BL304 -- .G73 1998eb</t>
  </si>
  <si>
    <t>821/.2</t>
  </si>
  <si>
    <t>Civilization, Modern -- 20th century.; Electronic books. -- local; Myth.</t>
  </si>
  <si>
    <t>http://public.eblib.com/choice/PublicFullRecord.aspx?p=653368</t>
  </si>
  <si>
    <t>Echoing Silence : Essays on Arctic Narrative</t>
  </si>
  <si>
    <t>PR9185.2 -- .E34 1997eb</t>
  </si>
  <si>
    <t>Canada, Northern -- In literature -- Congresses.; Canadian literature -- History and criticism -- Congresses.; Electronic books. -- local</t>
  </si>
  <si>
    <t>http://public.eblib.com/choice/PublicFullRecord.aspx?p=653369</t>
  </si>
  <si>
    <t>Rethinking the Future of the University</t>
  </si>
  <si>
    <t>Jeffrey, David Lyle; Manganiello, Dominic</t>
  </si>
  <si>
    <t>Education; Social Science</t>
  </si>
  <si>
    <t>LA184 -- .R48 1998eb</t>
  </si>
  <si>
    <t>Education, Higher.; Electronic books. -- local; Universities and colleges.</t>
  </si>
  <si>
    <t>http://public.eblib.com/choice/PublicFullRecord.aspx?p=653370</t>
  </si>
  <si>
    <t>Theology for the Earth : The Contributions of Thomas Berry and Bernard Lonergan</t>
  </si>
  <si>
    <t>Dalton, Anne Marie</t>
  </si>
  <si>
    <t>BT695.5 -- .D35 1999eb</t>
  </si>
  <si>
    <t>Berry, Thomas, -- 1914-2009 -- Contributions in ecological theology.; Electronic books. -- local; Human ecology -- Religious aspects -- Christianity.; Lonergan, Bernard J. F. -- Contributions in ecological theology.</t>
  </si>
  <si>
    <t>http://public.eblib.com/choice/PublicFullRecord.aspx?p=653372</t>
  </si>
  <si>
    <t>Bliss Carman : A Reappraisal</t>
  </si>
  <si>
    <t>Lynch, Gerald</t>
  </si>
  <si>
    <t>PR9199.2.C3 -- Z55 1990eb</t>
  </si>
  <si>
    <t>811; 811.4; 811.52; 811/.4</t>
  </si>
  <si>
    <t>Canadian literature.; Carman, Bliss, -- 1861-1929 -- Criticism and interpretation.; Electronic books. -- local</t>
  </si>
  <si>
    <t>http://public.eblib.com/choice/PublicFullRecord.aspx?p=653373</t>
  </si>
  <si>
    <t>New Women : Short Stories by Canadian Women, 1900-1920</t>
  </si>
  <si>
    <t>Campbell, Sandra; McMullen, Lorraine</t>
  </si>
  <si>
    <t>PR9197.33.W65 -- N49 1991eb</t>
  </si>
  <si>
    <t>Canadian fiction -- 20th century.; Canadian fiction -- Women authors.; Electronic books. -- local; Short stories, Canadian -- Women authors.</t>
  </si>
  <si>
    <t>http://public.eblib.com/choice/PublicFullRecord.aspx?p=653374</t>
  </si>
  <si>
    <t>Ethical Deliberation in Multiprofessional Health Care Teams</t>
  </si>
  <si>
    <t>Doucet, Hubert; Larouche, Jean-Marc; Melchin, Kenneth R.</t>
  </si>
  <si>
    <t>Engineering: General; Medicine; Engineering</t>
  </si>
  <si>
    <t>R724 -- .E782 2001eb</t>
  </si>
  <si>
    <t>Chronically ill children -- Care -- Moral and ethical aspects.; Electronic books. -- local; Medical ethics.</t>
  </si>
  <si>
    <t>http://public.eblib.com/choice/PublicFullRecord.aspx?p=653375</t>
  </si>
  <si>
    <t>Acute Resuscitation and Crisis Management : Acute Critical Events Simulation (ACES)</t>
  </si>
  <si>
    <t>Neilipovitz, David</t>
  </si>
  <si>
    <t>RC86.7 -- .A24 2005eb</t>
  </si>
  <si>
    <t>616.02/5</t>
  </si>
  <si>
    <t>Critical care medicine -- Simulation methods.; Electronic books. -- local; Resuscitation -- Simulation methods.</t>
  </si>
  <si>
    <t>http://public.eblib.com/choice/PublicFullRecord.aspx?p=653376</t>
  </si>
  <si>
    <t>Between Actor and Presence : The European Union and the Future for the Transatlantic Relationship</t>
  </si>
  <si>
    <t>Social Sciences</t>
  </si>
  <si>
    <t>MacLean, George</t>
  </si>
  <si>
    <t>Law; History</t>
  </si>
  <si>
    <t>F1029.5.E85 -- B48 2001eb</t>
  </si>
  <si>
    <t>Canada -- Relations -- European Union countries.; Electronic books. -- local; European Union countries -- Foreign relations.; European Union countries -- Relations -- Canada.; European Union.; National security -- European Union countries.</t>
  </si>
  <si>
    <t>http://public.eblib.com/choice/PublicFullRecord.aspx?p=653378</t>
  </si>
  <si>
    <t>Pro-Poor Land Reform : A Critique</t>
  </si>
  <si>
    <t>Studies in International Development and Globalization</t>
  </si>
  <si>
    <t>Borras, Saturnino</t>
  </si>
  <si>
    <t>HD1333.P6 -- B673 2007eb</t>
  </si>
  <si>
    <t>333.3/1599</t>
  </si>
  <si>
    <t>Comprehensive Agrarian Reform Program (Philippines); Electronic books. -- local; Land reform -- Government policy -- Philippines.; Land reform -- Philippines.; Land reform.; Rural poor -- Philippines.</t>
  </si>
  <si>
    <t>http://public.eblib.com/choice/PublicFullRecord.aspx?p=653379</t>
  </si>
  <si>
    <t>Translation Quality Assessment : An Argumentation-Centred Approach</t>
  </si>
  <si>
    <t>Williams, Malcolm</t>
  </si>
  <si>
    <t>P306.2 -- .W47 2004eb</t>
  </si>
  <si>
    <t>418/.02076</t>
  </si>
  <si>
    <t>Translating and interpreting -- Evaluation.</t>
  </si>
  <si>
    <t>http://public.eblib.com/choice/PublicFullRecord.aspx?p=653380</t>
  </si>
  <si>
    <t>Stephen Leacock : A Reappraisal</t>
  </si>
  <si>
    <t>Staines, David</t>
  </si>
  <si>
    <t>PR9199.3.L367 -- Z87 1986eb</t>
  </si>
  <si>
    <t>818; 818.5209; 818/.5209</t>
  </si>
  <si>
    <t>Canada -- In literature -- Congresses.; Electronic books. -- local; Humorists, Canadian -- 20th century -- Biography.; Leacock, Stephen, -- 1869-1944 -- Bibliography.; Leacock, Stephen, -- 1869-1944 -- Criticism and interpretation -- Congresses.</t>
  </si>
  <si>
    <t>http://public.eblib.com/choice/PublicFullRecord.aspx?p=653381</t>
  </si>
  <si>
    <t>Feminist Success Stories - Célébrons nos réussites féministes</t>
  </si>
  <si>
    <t>Blackford, Karen A.; Garceau, Marie-Luce; Kirby, Sandra</t>
  </si>
  <si>
    <t>HQ1453 -- .F46 1999eb</t>
  </si>
  <si>
    <t>Electronic books. -- local; Feminism -- Canada.; Volunteers -- Canada.; Women -- Education -- Canada.; Women -- Employment -- Canada.; Women -- Health and hygiene -- Canada.</t>
  </si>
  <si>
    <t>http://public.eblib.com/choice/PublicFullRecord.aspx?p=653382</t>
  </si>
  <si>
    <t>Voyages : Short Narratives of Susanna Moodie</t>
  </si>
  <si>
    <t>Moodie, Susanna; Thurston, John</t>
  </si>
  <si>
    <t>PR9199.2.M65 -- V65 1991eb</t>
  </si>
  <si>
    <t>813/.3</t>
  </si>
  <si>
    <t>Canadian fiction -- Women authors.; Electronic books. -- local; Short stories, Canadian.</t>
  </si>
  <si>
    <t>http://public.eblib.com/choice/PublicFullRecord.aspx?p=653383</t>
  </si>
  <si>
    <t>Dominant Impressions : Essays on the Canadian Short Story</t>
  </si>
  <si>
    <t>Lynch, Gerald; Arnold Robbeson, Angela</t>
  </si>
  <si>
    <t>PS8187 -- .D65 1999eb</t>
  </si>
  <si>
    <t>Canadian literature -- History and criticism.; Electronic books. -- local; Short stories, Canadian -- History and criticism.</t>
  </si>
  <si>
    <t>http://public.eblib.com/choice/PublicFullRecord.aspx?p=653384</t>
  </si>
  <si>
    <t>Changing the Terms : Translating in the Postcolonial Era</t>
  </si>
  <si>
    <t>Simon, Sherry; St-Pierre, Paul</t>
  </si>
  <si>
    <t>PN241 -- .C52 2000eb</t>
  </si>
  <si>
    <t>Acculturation.; Electronic books. -- local; Language and culture.; Literature and society.; Postcolonialism.; Translating and interpreting -- Social aspects.</t>
  </si>
  <si>
    <t>http://public.eblib.com/choice/PublicFullRecord.aspx?p=653385</t>
  </si>
  <si>
    <t>Southern Version of Cursor Mundi, Vol. I</t>
  </si>
  <si>
    <t>Horral, Sarah M.</t>
  </si>
  <si>
    <t>PR1966 -- .C871 1978eb</t>
  </si>
  <si>
    <t>Bible -- History of Biblical events -- Poetry.; Christian poetry, English (Middle); Manuscripts, Medieval.; World history -- Early works to 1800.</t>
  </si>
  <si>
    <t>http://public.eblib.com/choice/PublicFullRecord.aspx?p=653387</t>
  </si>
  <si>
    <t>Waste Heritage : A Novel</t>
  </si>
  <si>
    <t>Baird, Irene; Hill, Colin</t>
  </si>
  <si>
    <t>PR9199.3.B35 -- W37 2007eb</t>
  </si>
  <si>
    <t>Depressions -- Fiction.; Electronic books. -- local</t>
  </si>
  <si>
    <t>http://public.eblib.com/choice/PublicFullRecord.aspx?p=653389</t>
  </si>
  <si>
    <t>Home-Work : Postcolonialism, Pedagogy, and Canadian Literature</t>
  </si>
  <si>
    <t>Sugars, Cynthia</t>
  </si>
  <si>
    <t>PR9182.2 -- .H66 2004eb</t>
  </si>
  <si>
    <t>810.9/971/071</t>
  </si>
  <si>
    <t>Canadian literature -- History and criticism -- Theory, etc.; Canadian literature -- Study and teaching -- Canada.; Postcolonialism -- Canada.; Postcolonialism in literature.</t>
  </si>
  <si>
    <t>http://public.eblib.com/choice/PublicFullRecord.aspx?p=653390</t>
  </si>
  <si>
    <t>Existence of the External World : The Pascal-Hume Principle</t>
  </si>
  <si>
    <t>Vernes, Jean-René; Baker, Mary</t>
  </si>
  <si>
    <t>BD162 -- .V47 2000eb</t>
  </si>
  <si>
    <t>Electronic books. -- local; Knowledge, Theory of.; Matter.; Probabilities.; Reason.</t>
  </si>
  <si>
    <t>http://public.eblib.com/choice/PublicFullRecord.aspx?p=653391</t>
  </si>
  <si>
    <t>From the Heart of the Heartland : The Fiction of Sinclair Ross</t>
  </si>
  <si>
    <t>PR9199.3.R68 -- Z8 1992eb</t>
  </si>
  <si>
    <t>Electronic books. -- local; Ross, Sinclair -- Criticism and interpretation.; Western stories -- History and criticism.</t>
  </si>
  <si>
    <t>http://public.eblib.com/choice/PublicFullRecord.aspx?p=653392</t>
  </si>
  <si>
    <t>Understanding History : An Introduction to Analytical Philosophy of History</t>
  </si>
  <si>
    <t>Gorman, Jonathan</t>
  </si>
  <si>
    <t>D16.8 -- .G658 1992eb</t>
  </si>
  <si>
    <t>Electronic books. -- local; Historiography.; History -- Philosophy.</t>
  </si>
  <si>
    <t>http://public.eblib.com/choice/PublicFullRecord.aspx?p=653393</t>
  </si>
  <si>
    <t>Interpreters as Diplomats : A Diplomatic History of the Role of Interpreters in World Politics</t>
  </si>
  <si>
    <t>Roland, Ruth</t>
  </si>
  <si>
    <t>JZ1305 -- .R64 1999eb</t>
  </si>
  <si>
    <t>Electronic books. -- local; International relations -- Translating -- History.; Translating and interpreting -- History.; World politics -- Translating.</t>
  </si>
  <si>
    <t>http://public.eblib.com/choice/PublicFullRecord.aspx?p=653394</t>
  </si>
  <si>
    <t>Canadian Distinctiveness into the XXIst Century - La distinction canadienne au tournant du XXIe siècle</t>
  </si>
  <si>
    <t>Gaffield, Chad; Gould, Karen</t>
  </si>
  <si>
    <t>F1021.2 -- .C3685 2003eb</t>
  </si>
  <si>
    <t>971.064/8</t>
  </si>
  <si>
    <t>Canada -- Civilization -- Congresses.; Canada -- Civilization -- Forecasting -- Congresses.; Canada -- Congresses.; Canada -- Forecasting -- Congresses.; Electronic books. -- local; Social evolution.</t>
  </si>
  <si>
    <t>http://public.eblib.com/choice/PublicFullRecord.aspx?p=653395</t>
  </si>
  <si>
    <t>Managing Diversity : Practices of Citizenship</t>
  </si>
  <si>
    <t>Cardinal, Linda; Brown, Nicholas</t>
  </si>
  <si>
    <t>JF801 -- .M35 2007eb</t>
  </si>
  <si>
    <t>Citizenship -- Congresses.; Electronic books. -- local; Multiculturalism -- Australia -- Congresses.; Multiculturalism -- Canada -- Congresses.; Multiculturalism -- Ireland -- Congresses.</t>
  </si>
  <si>
    <t>http://public.eblib.com/choice/PublicFullRecord.aspx?p=653396</t>
  </si>
  <si>
    <t>The Viandier of Taillevent : An edition of all extant manuscripts</t>
  </si>
  <si>
    <t>Scully, Terrence</t>
  </si>
  <si>
    <t>TX707 -- .T313 1988eb</t>
  </si>
  <si>
    <t>Cookbooks -- France.; Cooking -- France.; Cooking, French -- Early works to 1800.; Electronic books. -- local</t>
  </si>
  <si>
    <t>http://public.eblib.com/choice/PublicFullRecord.aspx?p=653399</t>
  </si>
  <si>
    <t>Quintessence of Sartrism - La quintessence de Sartre</t>
  </si>
  <si>
    <t>Harvest House</t>
  </si>
  <si>
    <t>Cranston, Maurice; Berloty, C.; Berloty, C</t>
  </si>
  <si>
    <t>B2430.S34 -- C713 1970eb</t>
  </si>
  <si>
    <t>Electronic books. -- local; Philosophy, French.; Sartre, Jean-Paul, -- 1905-1980.</t>
  </si>
  <si>
    <t>http://public.eblib.com/choice/PublicFullRecord.aspx?p=653400</t>
  </si>
  <si>
    <t>Something To Reckon With : The Logic of Terms</t>
  </si>
  <si>
    <t>Englebretsen, George</t>
  </si>
  <si>
    <t>Language/Linguistics; Philosophy</t>
  </si>
  <si>
    <t>BC135 -- .E54 1996eb</t>
  </si>
  <si>
    <t>Electronic books. -- local; Language and logic.; Logic, Symbolic and mathematical.</t>
  </si>
  <si>
    <t>http://public.eblib.com/choice/PublicFullRecord.aspx?p=653401</t>
  </si>
  <si>
    <t>Other Selves : Animals in the Canadian Literary Imagination</t>
  </si>
  <si>
    <t>Fiamengo, Janice</t>
  </si>
  <si>
    <t>PS169.A54 -- O84 2007eb</t>
  </si>
  <si>
    <t>810.9/362</t>
  </si>
  <si>
    <t>Animals in literature.; Electronic books. -- local; Human-animal relationships in literature.</t>
  </si>
  <si>
    <t>http://public.eblib.com/choice/PublicFullRecord.aspx?p=653402</t>
  </si>
  <si>
    <t>Cyberidentities : Canadian and European Presence in Cyberspace</t>
  </si>
  <si>
    <t>D'Haenens, Leen</t>
  </si>
  <si>
    <t>Library Science; Social Science</t>
  </si>
  <si>
    <t>ZA3225 -- .C93 1999eb</t>
  </si>
  <si>
    <t>Electronic books. -- local; Information superhighway -- Canada.; Information superhighway -- European Union countries.; Information technology -- Canada.; Information technology -- European Union countries.; Internet -- Canada.; Internet -- European Union countries.</t>
  </si>
  <si>
    <t>http://public.eblib.com/choice/PublicFullRecord.aspx?p=653403</t>
  </si>
  <si>
    <t>Margaret Laurence : Critical Reflections</t>
  </si>
  <si>
    <t>PR9199.3.L33 -- Z778 2001eb</t>
  </si>
  <si>
    <t>Electronic books. -- local; Laurence, Margaret -- Criticism and interpretation.; Women and literature -- Canada -- History -- 20th century.</t>
  </si>
  <si>
    <t>http://public.eblib.com/choice/PublicFullRecord.aspx?p=653404</t>
  </si>
  <si>
    <t>Diary of Abraham Ulrikab : Text and Context</t>
  </si>
  <si>
    <t>Lutz, Hartmut; Blohm, Hans-Ludwig</t>
  </si>
  <si>
    <t>LC1059 -- .L43 2005eb</t>
  </si>
  <si>
    <t>305.897; 305.897/1207182; 305.897/1207182/09034</t>
  </si>
  <si>
    <t>Enseignement professionnel -- Canada -- Histoire.; Professional education -- Canada -- History.</t>
  </si>
  <si>
    <t>http://public.eblib.com/choice/PublicFullRecord.aspx?p=653405</t>
  </si>
  <si>
    <t>Canadian Migration Patterns from Britain and North America</t>
  </si>
  <si>
    <t>Messamore, Barbara J.</t>
  </si>
  <si>
    <t>JV7220 -- .C37 2004eb</t>
  </si>
  <si>
    <t>325.71/09</t>
  </si>
  <si>
    <t>British -- Canada -- History -- Congresses.; Canada -- Emigration and immigration -- History -- Congresses.; Great Britain -- Emigration and immigration -- History -- Congresses.; North America -- Emigration and immigration -- History -- Congresses.</t>
  </si>
  <si>
    <t>http://public.eblib.com/choice/PublicFullRecord.aspx?p=653406</t>
  </si>
  <si>
    <t>Myth, Symbol, and Colonial Encounter : British and Mi'kmaq in Acadia, 1700-1867</t>
  </si>
  <si>
    <t>Reid, Jennifer</t>
  </si>
  <si>
    <t>E99.M6 -- R45 1995eb</t>
  </si>
  <si>
    <t>971.5/004973</t>
  </si>
  <si>
    <t>Acadia -- History.; Electronic books. -- local; Micmac Indians -- Maritime Provinces -- Government relations.; Micmac Indians -- Maritime Provinces -- History.; Micmac Indians -- Religion.</t>
  </si>
  <si>
    <t>http://public.eblib.com/choice/PublicFullRecord.aspx?p=653407</t>
  </si>
  <si>
    <t>Second Finding : A Poetics of Translation</t>
  </si>
  <si>
    <t>Folkart, Barbara</t>
  </si>
  <si>
    <t>PN1059.T7 -- F64 2007eb</t>
  </si>
  <si>
    <t>418/.02</t>
  </si>
  <si>
    <t>Electronic books. -- local; Poetics.; Poetry -- Translating.</t>
  </si>
  <si>
    <t>http://public.eblib.com/choice/PublicFullRecord.aspx?p=653408</t>
  </si>
  <si>
    <t>Origins of Simultaneous Interpretation : The Nuremberg Trial</t>
  </si>
  <si>
    <t>Gaiba, Francesca</t>
  </si>
  <si>
    <t>JX5437.8 -- .F73 1998eb</t>
  </si>
  <si>
    <t>341.6/9</t>
  </si>
  <si>
    <t>Court interpreting and translating -- Germany -- Nuremberg -- History.; Electronic books. -- local; Nuremberg War Crime Trials, Nuremberg, Germany, 1946-1949.</t>
  </si>
  <si>
    <t>http://public.eblib.com/choice/PublicFullRecord.aspx?p=653409</t>
  </si>
  <si>
    <t>Southern Version of Cursor Mundi, Vol. II</t>
  </si>
  <si>
    <t>Fowler, Roger R.</t>
  </si>
  <si>
    <t>PR1966 -- .C872 1990eb</t>
  </si>
  <si>
    <t>Christian poetry, English (Middle); World history -- Early worksk to 1800.</t>
  </si>
  <si>
    <t>http://public.eblib.com/choice/PublicFullRecord.aspx?p=653410</t>
  </si>
  <si>
    <t>Computer-Aided Translation Technology : A Practical Introduction</t>
  </si>
  <si>
    <t>Didactics of Translation</t>
  </si>
  <si>
    <t>Bowker, Lynne</t>
  </si>
  <si>
    <t>P308 -- .B68 2002eb</t>
  </si>
  <si>
    <t>418/.02/0285</t>
  </si>
  <si>
    <t>Electronic books. -- local; Machine translating.; Translating machines.</t>
  </si>
  <si>
    <t>http://public.eblib.com/choice/PublicFullRecord.aspx?p=653411</t>
  </si>
  <si>
    <t>Canada's Religions : An Historical Introduction</t>
  </si>
  <si>
    <t>Choquette, Robert</t>
  </si>
  <si>
    <t>BL2530.C2 -- C46 2004eb</t>
  </si>
  <si>
    <t>200/.971</t>
  </si>
  <si>
    <t>Canada -- Church history.; Canada -- Religion.; Religion and sociology -- Canada.</t>
  </si>
  <si>
    <t>http://public.eblib.com/choice/PublicFullRecord.aspx?p=653412</t>
  </si>
  <si>
    <t>Whence They Came : Deportation from Canada 1900 - 1935</t>
  </si>
  <si>
    <t>Roberts, Barbara</t>
  </si>
  <si>
    <t>JV6308 -- .R62 1988eb</t>
  </si>
  <si>
    <t>364.6; 364.6/8; 364.68</t>
  </si>
  <si>
    <t>Canada -- Emigration and immigration -- Government policy -- History.; Deportation -- Canada -- History.; Electronic books. -- local</t>
  </si>
  <si>
    <t>http://public.eblib.com/choice/PublicFullRecord.aspx?p=653413</t>
  </si>
  <si>
    <t>Husserl and the Sciences : Selected Perspectives</t>
  </si>
  <si>
    <t>Feist, Richard A.</t>
  </si>
  <si>
    <t>B829 .5 -- H828 2004eb</t>
  </si>
  <si>
    <t>Husserl, Edmund, -- 1859-1938.; Phenomenology.; Philosophy and science.</t>
  </si>
  <si>
    <t>http://public.eblib.com/choice/PublicFullRecord.aspx?p=653414</t>
  </si>
  <si>
    <t>Kierkegaard's Romantic Legacy : Two Theories of the Self</t>
  </si>
  <si>
    <t>Gupta, Anoop</t>
  </si>
  <si>
    <t>B4378.S4 -- G86 2005eb</t>
  </si>
  <si>
    <t>Electronic books. -- local; Kierkegaard, Søren, -- 1813-1855.; Self (Philosophy)</t>
  </si>
  <si>
    <t>http://public.eblib.com/choice/PublicFullRecord.aspx?p=653415</t>
  </si>
  <si>
    <t>Ashore and Afloat : The British Navy and the Halifax Naval Yard Before 1820</t>
  </si>
  <si>
    <t>Gwyn, Julian</t>
  </si>
  <si>
    <t>Military Science</t>
  </si>
  <si>
    <t>VA401.N6 -- G99 2004eb</t>
  </si>
  <si>
    <t>359.3; 359.3/70971</t>
  </si>
  <si>
    <t>Electronic books. -- local; Great Britain. -- Royal Navy -- History -- 18th century.; Great Britain. -- Royal Navy -- History -- 19th century.; Halifax (N.S.) -- History, Military.; Halifax Dockyard (Halifax, N.S.); Navy-yards and naval stations -- Nova Scotia -- Halifax -- History.</t>
  </si>
  <si>
    <t>http://public.eblib.com/choice/PublicFullRecord.aspx?p=653417</t>
  </si>
  <si>
    <t>Chevalier de Montmagny : First Governor of New France</t>
  </si>
  <si>
    <t>French America Series</t>
  </si>
  <si>
    <t>Dubé, Jean-Claude; Rapley, Elizabeth</t>
  </si>
  <si>
    <t>F1030.M65 -- D8213 2005eb</t>
  </si>
  <si>
    <t>971.01; 971.01/6; 971.01/6/092; 971.016092</t>
  </si>
  <si>
    <t>Canada -- Biography.; Electronic books. -- local; France -- Biography.; Governors -- Canada -- Biography.; Knights of Malta -- Biography.; Montmagny, Charles Huault de, -- 1601-1657.</t>
  </si>
  <si>
    <t>http://public.eblib.com/choice/PublicFullRecord.aspx?p=653418</t>
  </si>
  <si>
    <t>New Geo-Governance : A Baroque Approach</t>
  </si>
  <si>
    <t>JC319 -- .P26 2005eb</t>
  </si>
  <si>
    <t>Electronic books. -- local; Geopolitics.; Global commons.; Natural resources.; Territory, National.</t>
  </si>
  <si>
    <t>http://public.eblib.com/choice/PublicFullRecord.aspx?p=653419</t>
  </si>
  <si>
    <t>Lexicography, Terminology, and Translation : Text-based Studies in Honour of Ingrid Meyer</t>
  </si>
  <si>
    <t>P306 -- .L45 2006eb</t>
  </si>
  <si>
    <t>Electronic books. -- local; Lexicography.; Terms and phrases.; Translating and interpreting.</t>
  </si>
  <si>
    <t>http://public.eblib.com/choice/PublicFullRecord.aspx?p=653420</t>
  </si>
  <si>
    <t>Windows and Words : A Look at Canadian Children's Literature in English</t>
  </si>
  <si>
    <t>Hudson, Aïda; Cooper, Susan-Ann</t>
  </si>
  <si>
    <t>PR9193.9 -- .C35 1999eb</t>
  </si>
  <si>
    <t>810.9/92820904</t>
  </si>
  <si>
    <t>Children''s literature, Canadian -- History and criticism -- Congresses.</t>
  </si>
  <si>
    <t>http://public.eblib.com/choice/PublicFullRecord.aspx?p=653422</t>
  </si>
  <si>
    <t>Calling for Change : Women, Law, and the Legal Profession</t>
  </si>
  <si>
    <t>McIntyre, Sheila; Sheehy, Elizabeth</t>
  </si>
  <si>
    <t>KE332.W6 -- S54 2006eb</t>
  </si>
  <si>
    <t>340.082; 340.082/0971; 340.0820971</t>
  </si>
  <si>
    <t>Sex discrimination against women -- Canada.; Sex discrimination in employment -- Canada.; Sex role in the work environment -- Canada.; Women lawyers -- Canada.</t>
  </si>
  <si>
    <t>http://public.eblib.com/choice/PublicFullRecord.aspx?p=653423</t>
  </si>
  <si>
    <t>Canadian Modernists Meet</t>
  </si>
  <si>
    <t>Irvine, Dean</t>
  </si>
  <si>
    <t>PR9189.6 -- .C36 2005eb</t>
  </si>
  <si>
    <t>810.9; 810.9112</t>
  </si>
  <si>
    <t>Canadian literature -- 20th century -- History and criticism.; Electronic books. -- local; Modernism (Literature) -- Canada.</t>
  </si>
  <si>
    <t>http://public.eblib.com/choice/PublicFullRecord.aspx?p=653424</t>
  </si>
  <si>
    <t>Not Written in Stone : Jews, Constitutions, and Constitutionalism in Canada</t>
  </si>
  <si>
    <t>Elazar, Daniel J.; Brown, Michael; Robinson, Ira</t>
  </si>
  <si>
    <t>F1035.J5 -- N68 2003eb</t>
  </si>
  <si>
    <t>971/.004924</t>
  </si>
  <si>
    <t>Jews -- Canada -- History -- Sources.; Jews -- Canada -- Societies, etc. -- By-laws.; Synagogues -- Canada -- History -- Sources.</t>
  </si>
  <si>
    <t>http://public.eblib.com/choice/PublicFullRecord.aspx?p=653426</t>
  </si>
  <si>
    <t>Language Testing Reconsidered</t>
  </si>
  <si>
    <t>Fox, Janna; Wesche, Mari; Bayliss, Doreen</t>
  </si>
  <si>
    <t>P53.4 -- .L376 2007eb</t>
  </si>
  <si>
    <t>Electronic books. -- local; Language and languages -- Ability testing.; Language and languages -- Examinations -- Research.; Language and languages -- Examinations.</t>
  </si>
  <si>
    <t>http://public.eblib.com/choice/PublicFullRecord.aspx?p=653427</t>
  </si>
  <si>
    <t>Dear Marian, Dear Hugh : The Maclennan-Engel Correspondence</t>
  </si>
  <si>
    <t>Verduyn, Christl</t>
  </si>
  <si>
    <t>PR9199.3.M334 -- Z49 1995eb</t>
  </si>
  <si>
    <t>Authors, Canadian -- 20th century -- Correspondence.; Electronic books. -- local; Engel, Marian -- Correspondence.; MacLennan, Hugh, -- 1907-1990 -- Correspondence.</t>
  </si>
  <si>
    <t>http://public.eblib.com/choice/PublicFullRecord.aspx?p=653428</t>
  </si>
  <si>
    <t>Homo Interrogans : Questioning and the Intentional Structure of Cognition</t>
  </si>
  <si>
    <t>Bruin, John</t>
  </si>
  <si>
    <t>Social Science; Philosophy</t>
  </si>
  <si>
    <t>BC199.Q4 -- B78 2001eb</t>
  </si>
  <si>
    <t>Electronic books. -- local; Husserl, Edmund, -- 1859-1938 -- Contributions in philosophy of intentionality.; Intentionality (Philosophy); Questioning.</t>
  </si>
  <si>
    <t>http://public.eblib.com/choice/PublicFullRecord.aspx?p=653429</t>
  </si>
  <si>
    <t>Promoting Resilience in Child Welfare</t>
  </si>
  <si>
    <t>Flynn, Robert J.; Dudding, Peter M.; Barber, James G.</t>
  </si>
  <si>
    <t>HV715 -- .P76 2006eb</t>
  </si>
  <si>
    <t>Children -- Institutional care.; Electronic books. -- local; Foster children.; Foster home care.</t>
  </si>
  <si>
    <t>http://public.eblib.com/choice/PublicFullRecord.aspx?p=653430</t>
  </si>
  <si>
    <t>Looking After Children : A Practitioner's Guide</t>
  </si>
  <si>
    <t>Lemay, Raymond; Ghazal, Hayat</t>
  </si>
  <si>
    <t>HV887.C2 -- L45 2007eb</t>
  </si>
  <si>
    <t>Child welfare -- Canada.; Children -- Institutional care -- Canada.; Electronic books. -- local; Foster home care -- Canada.</t>
  </si>
  <si>
    <t>http://public.eblib.com/choice/PublicFullRecord.aspx?p=653431</t>
  </si>
  <si>
    <t>The Southern Version of Cursor Mundi, Vol. IV : Volume IV Lines 17289-21346</t>
  </si>
  <si>
    <t>Mous, Peter H. J.</t>
  </si>
  <si>
    <t>PR1966 -- .A344 1986eb</t>
  </si>
  <si>
    <t>http://public.eblib.com/choice/PublicFullRecord.aspx?p=653433</t>
  </si>
  <si>
    <t>Quebec and Its Historians : The Twentieth Century</t>
  </si>
  <si>
    <t>Gagnon, Serge; Brierley, Jane</t>
  </si>
  <si>
    <t>F1053 -- .G34 1985eb</t>
  </si>
  <si>
    <t>971.4/0072</t>
  </si>
  <si>
    <t>Electronic books. -- local; Historians -- Québec (Province); Québec (Province) -- Historiography.; Québec (Province) -- History.</t>
  </si>
  <si>
    <t>http://public.eblib.com/choice/PublicFullRecord.aspx?p=653434</t>
  </si>
  <si>
    <t>Is There a Canadian Philosophy? : Reflections on the Canadian Identity</t>
  </si>
  <si>
    <t>Madison, G.B.; Fairfield, Paul; Harris, Ingrid</t>
  </si>
  <si>
    <t>F1021.2 -- .M34 2000eb</t>
  </si>
  <si>
    <t>Civil rights -- Canada.; Democracy -- Canada.; Electronic books. -- local; Multiculturalism -- Canada.; Nationalism -- Canada.</t>
  </si>
  <si>
    <t>http://public.eblib.com/choice/PublicFullRecord.aspx?p=653435</t>
  </si>
  <si>
    <t>Governance Through Social Learning</t>
  </si>
  <si>
    <t>Political Science; Business/Management</t>
  </si>
  <si>
    <t>JF1351 -- .P36 1999eb</t>
  </si>
  <si>
    <t>Corporate governance -- Social aspects.; Electronic books. -- local; Public administration -- Social aspects.; Social learning.</t>
  </si>
  <si>
    <t>http://public.eblib.com/choice/PublicFullRecord.aspx?p=653436</t>
  </si>
  <si>
    <t>To Serve Canada : A History of the Royal Military College of Canada</t>
  </si>
  <si>
    <t>Preston, Richard</t>
  </si>
  <si>
    <t>U444.K5 -- L1 1991eb</t>
  </si>
  <si>
    <t>355/.0071/171</t>
  </si>
  <si>
    <t>Electronic books. -- local; Military education -- Canada -- History.; Royal Military College of Canada -- History.</t>
  </si>
  <si>
    <t>http://public.eblib.com/choice/PublicFullRecord.aspx?p=653438</t>
  </si>
  <si>
    <t>Borderlands : Comparing Border Security in North America and Europe</t>
  </si>
  <si>
    <t>Brunet-Jailly, Emmanuel</t>
  </si>
  <si>
    <t>JC323 -- .B6666 2007eb</t>
  </si>
  <si>
    <t>320; 320.1; 320.1/2; 320.12</t>
  </si>
  <si>
    <t>Border security -- Europe.; Border security -- North America.; Boundaries.; Electronic books. -- local; Globalization.; National security -- Europe.; National security -- North America.</t>
  </si>
  <si>
    <t>http://public.eblib.com/choice/PublicFullRecord.aspx?p=653439</t>
  </si>
  <si>
    <t>Fallacy of Race and the Shoah</t>
  </si>
  <si>
    <t>Kramer, Naomi; Headland, Ronald</t>
  </si>
  <si>
    <t>D804.3 -- .K728 1998eb</t>
  </si>
  <si>
    <t>940.53; 940.53/18; 940.5318</t>
  </si>
  <si>
    <t>Antisemitism -- Germany -- History.; Electronic books. -- local; Holocaust, Jewish (1939-1945); Persecution -- Germany -- History.; Racism -- Germany -- History.</t>
  </si>
  <si>
    <t>http://public.eblib.com/choice/PublicFullRecord.aspx?p=653440</t>
  </si>
  <si>
    <t>E-Government in Canada : Transformation for the Digital Age</t>
  </si>
  <si>
    <t>Roy, Jeffrey</t>
  </si>
  <si>
    <t>JL86.A8 -- R69 2006eb</t>
  </si>
  <si>
    <t>Electronic books. -- local; Electronic government information -- Canada.; Internet in public administration -- Canada.; Organizational change -- Canada.; Public administration -- Canada.; Security, International.</t>
  </si>
  <si>
    <t>http://public.eblib.com/choice/PublicFullRecord.aspx?p=653441</t>
  </si>
  <si>
    <t>Social Question and the Democratic Revolution : Marx and the Legacy of 1848</t>
  </si>
  <si>
    <t>Moggach, Douglas; Leduc Browne, Paul</t>
  </si>
  <si>
    <t>Social Science; History; Economics</t>
  </si>
  <si>
    <t>D387 -- .S66 2000eb</t>
  </si>
  <si>
    <t>335.4/22</t>
  </si>
  <si>
    <t>Communism -- History.; Electronic books. -- local; Europe -- History -- 1848-1849.; Labor movement -- History.; Marx, Karl, -- 1818-1883. -- Manifest der Kommunistischen Partei.; Revolutions -- Europe -- History -- 19th century.; Socialism -- History.</t>
  </si>
  <si>
    <t>http://public.eblib.com/choice/PublicFullRecord.aspx?p=653442</t>
  </si>
  <si>
    <t>Images of Canadianness : Visions on Canada's Politics, Culture, and Economics</t>
  </si>
  <si>
    <t>F1008 -- .I63 1998eb</t>
  </si>
  <si>
    <t>Canada -- History.; Economics -- Canada.; Electronic books. -- local; Political science -- Canada.</t>
  </si>
  <si>
    <t>http://public.eblib.com/choice/PublicFullRecord.aspx?p=653443</t>
  </si>
  <si>
    <t>Taking It to the Hill : The Complete Guide to Appearing Before Parliamentary Committees</t>
  </si>
  <si>
    <t>McInnes, David</t>
  </si>
  <si>
    <t>JL148.5 -- .M33 2005eb</t>
  </si>
  <si>
    <t>328.71; 328.71/0765; 328.710765</t>
  </si>
  <si>
    <t>Canada. -- Parliament -- Committees.; Electronic books. -- local; Parliamentary practice -- Canada.</t>
  </si>
  <si>
    <t>http://public.eblib.com/choice/PublicFullRecord.aspx?p=653444</t>
  </si>
  <si>
    <t>God and the Grounding of Morality</t>
  </si>
  <si>
    <t>Nielsen, Kai</t>
  </si>
  <si>
    <t>BJ47 -- .N46 1991eb</t>
  </si>
  <si>
    <t>Electronic books. -- local; Human rights -- Moral and ethical aspects.; Natural law.; Religion and ethics.</t>
  </si>
  <si>
    <t>http://public.eblib.com/choice/PublicFullRecord.aspx?p=653445</t>
  </si>
  <si>
    <t>Race and Other Stories by Sinclair Ross</t>
  </si>
  <si>
    <t>Ross, Sinclair; McMullen, Lorraine</t>
  </si>
  <si>
    <t>PR9199.3.R599 -- R3 1982eb</t>
  </si>
  <si>
    <t>Canada -- Social life and customs -- Fiction.; Electronic books. -- local; Prairie Provinces -- Social life and customs -- Fiction.; Western stories.</t>
  </si>
  <si>
    <t>http://public.eblib.com/choice/PublicFullRecord.aspx?p=653448</t>
  </si>
  <si>
    <t>Grove Symposium</t>
  </si>
  <si>
    <t>Nause, John</t>
  </si>
  <si>
    <t>PR9199.3.G77 -- Z7 1974eb</t>
  </si>
  <si>
    <t>813; 813.52; 813/.5/2</t>
  </si>
  <si>
    <t>Canada -- In literature.; Canadian literature.; Electronic books. -- local; Grove, Frederick Philip, -- 1879-1948 -- Criticism and interpretation.</t>
  </si>
  <si>
    <t>http://public.eblib.com/choice/PublicFullRecord.aspx?p=653449</t>
  </si>
  <si>
    <t>Reflections : Autobiography and Canadian Literature</t>
  </si>
  <si>
    <t>PR9192.6.A88 -- R42 1988eb</t>
  </si>
  <si>
    <t>Autobiographical fiction, English -- Canada -- History and criticism.; Canadian literature -- 20th century -- History and criticism.; Electronic books. -- local</t>
  </si>
  <si>
    <t>http://public.eblib.com/choice/PublicFullRecord.aspx?p=653450</t>
  </si>
  <si>
    <t>Building New Bridges - Bâtir de nouveaux ponts : Sources, Methods and Interdisciplinarity - Sources, méthodes et interdisciplinarité</t>
  </si>
  <si>
    <t>Keshen, Jeff; Perrier, Sylvie</t>
  </si>
  <si>
    <t>H61 -- .B85 2005eb</t>
  </si>
  <si>
    <t>300; 300/.1</t>
  </si>
  <si>
    <t>Electronic books. -- local; Humanities -- Methodology -- Congresses.; Social sciences -- Methodology -- Congresses.</t>
  </si>
  <si>
    <t>http://public.eblib.com/choice/PublicFullRecord.aspx?p=653452</t>
  </si>
  <si>
    <t>At the Speed of Light There is Only Illumination : A Reappraisal of Marshall McLuhan</t>
  </si>
  <si>
    <t>Moss, John; Morra, Linda M.</t>
  </si>
  <si>
    <t>P92.5.M3 -- A88 2004eb</t>
  </si>
  <si>
    <t>302.23/092</t>
  </si>
  <si>
    <t>McLuhan, Marshall, -- 1911-1980.</t>
  </si>
  <si>
    <t>http://public.eblib.com/choice/PublicFullRecord.aspx?p=653453</t>
  </si>
  <si>
    <t>Thomas Chandler Haliburton Symposium</t>
  </si>
  <si>
    <t>Tierney, Frank</t>
  </si>
  <si>
    <t>PR9199.2.H34 -- Z88 1984eb</t>
  </si>
  <si>
    <t>813; 818.307; 818/.307</t>
  </si>
  <si>
    <t>Authors, Canadian -- 19th century -- Biography -- Congresses.; Electronic books. -- local; Haliburton, Thomas Chandler, -- 1796-1865 -- Congresses.; Humorists, Canadian -- 19th century -- Biography -- Congresses.; Nova Scotia -- In literature -- Congresses.</t>
  </si>
  <si>
    <t>http://public.eblib.com/choice/PublicFullRecord.aspx?p=653454</t>
  </si>
  <si>
    <t>Ethel Wilson Symposium</t>
  </si>
  <si>
    <t>McMullen, Lorraine</t>
  </si>
  <si>
    <t>PR6073.I464 -- Z62 1981eb</t>
  </si>
  <si>
    <t>Authors, Canadian -- 20th century -- Biography -- Congresses.; Electronic books. -- local; Wilson, Ethel, -- 1888-1980 -- Congresses.</t>
  </si>
  <si>
    <t>http://public.eblib.com/choice/PublicFullRecord.aspx?p=653455</t>
  </si>
  <si>
    <t>Teaching Translation from Spanish to English : Worlds Beyond Words</t>
  </si>
  <si>
    <t>Beeby-Lonsdale, Allison</t>
  </si>
  <si>
    <t>PC4498 -- .B44 1996eb</t>
  </si>
  <si>
    <t>428; 428.0261; 428.026107; 428/.0261</t>
  </si>
  <si>
    <t>Electronic books. -- local; Spanish language -- Translating into English -- Study and teaching (Higher); Translating and interpreting -- Study and teaching (Higher)</t>
  </si>
  <si>
    <t>http://public.eblib.com/choice/PublicFullRecord.aspx?p=653457</t>
  </si>
  <si>
    <t>Business and Government in Canada</t>
  </si>
  <si>
    <t>Political Science; Economics; Business/Management</t>
  </si>
  <si>
    <t>HD3616.C23 -- R69 2007eb</t>
  </si>
  <si>
    <t>322.30971; 332</t>
  </si>
  <si>
    <t>Business and politics -- Canada.; Electronic books. -- local; Industrial policy -- Canada.</t>
  </si>
  <si>
    <t>http://public.eblib.com/choice/PublicFullRecord.aspx?p=653458</t>
  </si>
  <si>
    <t>Women and Political Representation in Canada</t>
  </si>
  <si>
    <t>Women's Studies</t>
  </si>
  <si>
    <t>Tremblay, Manon; Andrew, Caroline</t>
  </si>
  <si>
    <t>HQ1236.5.C2 -- W654 1998eb</t>
  </si>
  <si>
    <t>324; 324.08900971; 324/.08900971</t>
  </si>
  <si>
    <t>Electronic books. -- local; Women -- Political activity -- Canada.; Women''s rights -- Canada.</t>
  </si>
  <si>
    <t>http://public.eblib.com/choice/PublicFullRecord.aspx?p=653459</t>
  </si>
  <si>
    <t>Philosophical Theory and the Universal Declaration of Human Rights</t>
  </si>
  <si>
    <t>JC571 -- .P475 2003eb</t>
  </si>
  <si>
    <t>323/.01</t>
  </si>
  <si>
    <t>Droits de l''homme (Droit international) -- Philosophie.; Human rights -- Philosophy.; Nations Unies. -- Assemblée générale. -- Déclaration universelle des droits de l''homme.; United Nations. -- General Assembly. -- Universal Declaration of Human Rights.</t>
  </si>
  <si>
    <t>http://public.eblib.com/choice/PublicFullRecord.aspx?p=653460</t>
  </si>
  <si>
    <t>From Arabye to Engelond : Medieval Studies in Honour of Mahmoud Manzalaoui</t>
  </si>
  <si>
    <t>Canitz, A. E. Christa; Weiland, Gernot R.</t>
  </si>
  <si>
    <t>PN681 -- .F76 1999eb</t>
  </si>
  <si>
    <t>820.9/001</t>
  </si>
  <si>
    <t>Electronic books. -- local; English literature -- Middle English, 1100-1500.; Literature, Medieval -- History and criticism.</t>
  </si>
  <si>
    <t>http://public.eblib.com/choice/PublicFullRecord.aspx?p=653461</t>
  </si>
  <si>
    <t>Future Indicative : Literary Theory and Canadian Literature</t>
  </si>
  <si>
    <t>PR9180 -- .F88 1987eb</t>
  </si>
  <si>
    <t>810.9; 810/.9</t>
  </si>
  <si>
    <t>Canadian literature -- History and criticism -- Congresses.; Criticism -- Congresses.; Electronic books. -- local</t>
  </si>
  <si>
    <t>http://public.eblib.com/choice/PublicFullRecord.aspx?p=653462</t>
  </si>
  <si>
    <t>Forest and Other Gleanings : The Fugitive Writings of Catharine Parr Traill</t>
  </si>
  <si>
    <t>Traill, Catherine Parr; Peterman, Michael; Ballstadt, Carl</t>
  </si>
  <si>
    <t>PR9199.2.T73 -- F67 1994eb</t>
  </si>
  <si>
    <t>Electronic books. -- local; Frontier and pioneer life -- Ontario -- Fiction.; Frontier and pioneer life -- Ontario.; Ontario -- Social life and customs -- Fiction.; Ontario -- Social life and customs.</t>
  </si>
  <si>
    <t>http://public.eblib.com/choice/PublicFullRecord.aspx?p=653463</t>
  </si>
  <si>
    <t>Caring and Curing : Historical Perspectives on Women and Healing in Canada</t>
  </si>
  <si>
    <t>Dodd, Dianne; Gorham, Deborah</t>
  </si>
  <si>
    <t>Medicine; Social Science</t>
  </si>
  <si>
    <t>R692 -- .C38 1994eb</t>
  </si>
  <si>
    <t>305.43/61/0971</t>
  </si>
  <si>
    <t>Electronic books. -- local; Medical care -- Canada -- History.; Women in medicine -- Canada -- History.</t>
  </si>
  <si>
    <t>http://public.eblib.com/choice/PublicFullRecord.aspx?p=653465</t>
  </si>
  <si>
    <t>Quebec Anthology : 1830-1990</t>
  </si>
  <si>
    <t>Cohen, Matt; Grady, Wayne</t>
  </si>
  <si>
    <t>PQ3917.Q32 -- Q425 1996eb</t>
  </si>
  <si>
    <t>Electronic books. -- local; French-Canadian fiction -- 19th century.; French-Canadian fiction -- 20th century.; Short stories, French-Canadian -- Québec (Province) -- Translations into English.</t>
  </si>
  <si>
    <t>http://public.eblib.com/choice/PublicFullRecord.aspx?p=653466</t>
  </si>
  <si>
    <t>Ottawa : Making a Capital - Constuire une capitale</t>
  </si>
  <si>
    <t>Keshen, Jeff; St-Onge, Nicole</t>
  </si>
  <si>
    <t>F1059.5.O9 -- O77 2001eb</t>
  </si>
  <si>
    <t>Architecture -- Ontario -- Ottawa -- Congresses.; Minorities -- Ontario -- Ottawa -- Congresses.; Ottawa (Ont.) -- History -- Congresses.; Ottawa (Ont.) -- Social conditions -- Congresses.</t>
  </si>
  <si>
    <t>http://public.eblib.com/choice/PublicFullRecord.aspx?p=653467</t>
  </si>
  <si>
    <t>Re(dis)covering Our Foremothers : Nineteenth-Century Canadian Women's Writers</t>
  </si>
  <si>
    <t>PR9188 -- .R43 1990eb</t>
  </si>
  <si>
    <t>810.9; 810.9/9287; 810.9/9287/0971</t>
  </si>
  <si>
    <t>Canadian literature -- 19th century -- History and criticism.; Canadian literature -- Women authors -- History and criticism.; Electronic books. -- local; Women -- Canada -- Intellectual life.; Women and literature -- Canada -- History -- 19th century.</t>
  </si>
  <si>
    <t>http://public.eblib.com/choice/PublicFullRecord.aspx?p=653468</t>
  </si>
  <si>
    <t>Modernité en transit - Modernity in Transit</t>
  </si>
  <si>
    <t>Dubé, Richard; Gin, Pascal; Moser, Walter; Pires, Alvaro</t>
  </si>
  <si>
    <t>CB430.M634 2009</t>
  </si>
  <si>
    <t>Civilization, Modern--21st century.</t>
  </si>
  <si>
    <t>http://public.eblib.com/choice/PublicFullRecord.aspx?p=653482</t>
  </si>
  <si>
    <t>Amériques transculturelles - Transcultural Americas</t>
  </si>
  <si>
    <t>Benessaieh, Afef</t>
  </si>
  <si>
    <t>E20.A475 2010</t>
  </si>
  <si>
    <t>Group identity--America.</t>
  </si>
  <si>
    <t>http://public.eblib.com/choice/PublicFullRecord.aspx?p=653498</t>
  </si>
  <si>
    <t>Vision-Division : L'oeuvre de Nancy Huston</t>
  </si>
  <si>
    <t>Collection internationale d'études canadiennes</t>
  </si>
  <si>
    <t>Dvorák, Marta; Koustas, Jane</t>
  </si>
  <si>
    <t>PQ3919.2.H87 -- Z92 2004eb</t>
  </si>
  <si>
    <t>843/.914</t>
  </si>
  <si>
    <t>Doubles in literature.; Huston, Nancy, -- 1953- -- Criticism and interpretation.; Hypocrisy in literature.</t>
  </si>
  <si>
    <t>http://public.eblib.com/choice/PublicFullRecord.aspx?p=653501</t>
  </si>
  <si>
    <t>De France en Nouvelle-France : Société fondatrice et société nouvelle</t>
  </si>
  <si>
    <t>Watelet, Hubert</t>
  </si>
  <si>
    <t>DC33.4 -- .D4 1994eb</t>
  </si>
  <si>
    <t>944/.033</t>
  </si>
  <si>
    <t>Canada -- Religious life and customs.; Canada -- Social life and customs.; Electronic books. -- local; France -- History -- 17th century.; France -- Religious life and customs.; France -- Social life and customs -- 17th century -- Congresses.</t>
  </si>
  <si>
    <t>http://public.eblib.com/choice/PublicFullRecord.aspx?p=653556</t>
  </si>
  <si>
    <t>Chercheurs de dieux dans l'espace public - Frontier Religions in Public Space</t>
  </si>
  <si>
    <t>Pauline , Côté</t>
  </si>
  <si>
    <t>BL60 -- .C44 2001eb</t>
  </si>
  <si>
    <t>Electronic books. -- local; Freedom of religion -- Congresses.; Psychology, Religious -- Congresses.; Religion and sociology -- Congresses.; Religions -- Social aspects -- Congresses.; Sects -- Social aspects -- Congresses.</t>
  </si>
  <si>
    <t>http://public.eblib.com/choice/PublicFullRecord.aspx?p=653559</t>
  </si>
  <si>
    <t>Vatican II : Expériences canadiennes – Canadian experiences</t>
  </si>
  <si>
    <t>Attridge, Michael; Clifford, Catherine E.; Routhier, Gilles</t>
  </si>
  <si>
    <t>BR479.V385 2011</t>
  </si>
  <si>
    <t>Church history--20th century.</t>
  </si>
  <si>
    <t>http://public.eblib.com/choice/PublicFullRecord.aspx?p=656340</t>
  </si>
  <si>
    <t>Bioshelter Market Garden : A Permaculture Farm</t>
  </si>
  <si>
    <t>Frey, Darrell</t>
  </si>
  <si>
    <t>S494.5.P47 -- F74 2011eb</t>
  </si>
  <si>
    <t>631.5/8; 631.58</t>
  </si>
  <si>
    <t>Electronic books. -- local; Farms, Small -- Management.; Permaculture.</t>
  </si>
  <si>
    <t>http://public.eblib.com/choice/PublicFullRecord.aspx?p=665793</t>
  </si>
  <si>
    <t>Eco-yards : Simple Steps to Earth-Friendly Landscapes</t>
  </si>
  <si>
    <t>Rama, Laureen</t>
  </si>
  <si>
    <t>SB472.3 -- .R36 2011eb</t>
  </si>
  <si>
    <t>Electronic books. -- local; Horticulture -- Environmental aspects.; Landscape gardening -- Environmental aspects.</t>
  </si>
  <si>
    <t>http://public.eblib.com/choice/PublicFullRecord.aspx?p=665853</t>
  </si>
  <si>
    <t>Palestinian Refugees : Challenges of Repatriation and Development</t>
  </si>
  <si>
    <t>I.B.Tauris</t>
  </si>
  <si>
    <t>Library of Modern Middle East Studies</t>
  </si>
  <si>
    <t>Brynen, Rex; El-Rifai, Roula; El-Rifai, Roula</t>
  </si>
  <si>
    <t>Social Science; Engineering: Construction; Engineering</t>
  </si>
  <si>
    <t>HV640.5.P36 -- P345 2007eb</t>
  </si>
  <si>
    <t>Electronic books. -- local; Refugees -- Palestine -- Social conditions.; Refugees, Palestinian Arab -- Social conditions.; Repatriation -- Palestine.</t>
  </si>
  <si>
    <t>http://public.eblib.com/choice/PublicFullRecord.aspx?p=676454</t>
  </si>
  <si>
    <t>Democracy, Citizenship and Youth : Towards Social and Political Participation in Brazil</t>
  </si>
  <si>
    <t>International Library of Political Studies</t>
  </si>
  <si>
    <t>Silva, Itamar; Souto, Anna Luiza Salles</t>
  </si>
  <si>
    <t>HQ799.2.P6 -- D468 2009eb</t>
  </si>
  <si>
    <t>Electronic books. -- local; Social participation -- Brazil.; Youth -- Brazil -- Attitudes.; Youth -- Brazil -- Social conditions.; Youth -- Government policy -- Brazil.; Youth -- Political activity -- Brazil.</t>
  </si>
  <si>
    <t>http://public.eblib.com/choice/PublicFullRecord.aspx?p=676521</t>
  </si>
  <si>
    <t>Surviving the Apocalypse in the Suburbs : The Thrivalist's Guide to Life Without Oil</t>
  </si>
  <si>
    <t>Brown, Wendy</t>
  </si>
  <si>
    <t>Home Economics; Environmental Studies</t>
  </si>
  <si>
    <t>GF78 -- .B76 2011eb</t>
  </si>
  <si>
    <t>640; 646.7</t>
  </si>
  <si>
    <t>Electronic books. -- local; Self-reliance.; Suburban life.; Sustainable living.</t>
  </si>
  <si>
    <t>http://public.eblib.com/choice/PublicFullRecord.aspx?p=679776</t>
  </si>
  <si>
    <t>Backyard Bounty : The Complete Guide to Year-Round Organic Gardening in the Pacific Northwest</t>
  </si>
  <si>
    <t>Gilkeson, Linda</t>
  </si>
  <si>
    <t>SB453.5 -- .G55 2011eb</t>
  </si>
  <si>
    <t>Backyard gardens -- Northwest Coast of North America.; Electronic books. -- local; Organic gardening -- Northwest Coast of North America.</t>
  </si>
  <si>
    <t>http://public.eblib.com/choice/PublicFullRecord.aspx?p=679879</t>
  </si>
  <si>
    <t>Consensus-Oriented Decision-Making : The CODM Model for Facilitating Groups to Widespread Agreement</t>
  </si>
  <si>
    <t>Hartnett, Tim</t>
  </si>
  <si>
    <t>HM746 -- .H37 2011eb</t>
  </si>
  <si>
    <t>Consensus (Social sciences); Electronic books. -- local; Group decision making.; Group facilitation.</t>
  </si>
  <si>
    <t>http://public.eblib.com/choice/PublicFullRecord.aspx?p=679891</t>
  </si>
  <si>
    <t>Fostering Sustainable Behavior : An Introduction to Community-Based Social Marketing</t>
  </si>
  <si>
    <t>McKenzie-Mohr, Doug</t>
  </si>
  <si>
    <t>GE195.7 -- .M36 2011eb</t>
  </si>
  <si>
    <t>Behavior modification.; Electronic books. -- local; Social marketing.; Sustainable development.</t>
  </si>
  <si>
    <t>http://public.eblib.com/choice/PublicFullRecord.aspx?p=679957</t>
  </si>
  <si>
    <t>Ricochet : Word Sonnets - Sonnets d'un mot</t>
  </si>
  <si>
    <t>Mayne, Seymour; Huynh, Sabine</t>
  </si>
  <si>
    <t>PR9195.85.S57.M396 2011</t>
  </si>
  <si>
    <t>Sonnets, Canadian.</t>
  </si>
  <si>
    <t>http://public.eblib.com/choice/PublicFullRecord.aspx?p=680650</t>
  </si>
  <si>
    <t>Before Wings</t>
  </si>
  <si>
    <t>Orca Book Publishers</t>
  </si>
  <si>
    <t>Goobie, Beth</t>
  </si>
  <si>
    <t>PZ7.G597 -- Be 2001eb</t>
  </si>
  <si>
    <t>[Fic]</t>
  </si>
  <si>
    <t>Aneurysms -- Fiction.; Camps -- Fiction.; Paranormal fiction.</t>
  </si>
  <si>
    <t>http://public.eblib.com/choice/PublicFullRecord.aspx?p=682815</t>
  </si>
  <si>
    <t>The Lottery</t>
  </si>
  <si>
    <t>PZ7.G597 -- Lo 2002eb</t>
  </si>
  <si>
    <t>Bullying -- Fiction.; Canada -- Fiction.; Cliques (Sociology) -- Fiction.; High schools -- Fiction.; Lotteries -- Fiction.; Mental health -- Fiction.; Schools -- Fiction.</t>
  </si>
  <si>
    <t>http://public.eblib.com/choice/PublicFullRecord.aspx?p=682816</t>
  </si>
  <si>
    <t>Orca Sports Resource Guide</t>
  </si>
  <si>
    <t>Harvey, Sarah; Greye, Susan; Reynolds, Janice</t>
  </si>
  <si>
    <t>LB1631 -- .H37 2010eb</t>
  </si>
  <si>
    <t>428.407/12</t>
  </si>
  <si>
    <t>Language arts (Middle school); Language arts.</t>
  </si>
  <si>
    <t>http://public.eblib.com/choice/PublicFullRecord.aspx?p=682818</t>
  </si>
  <si>
    <t>Orca Currents Resource Guide</t>
  </si>
  <si>
    <t>Orca Currents</t>
  </si>
  <si>
    <t>Hill, Kate; Greye, Susan; Reynolds, Janice; Various, Orca</t>
  </si>
  <si>
    <t>LB1573 -- .G74 2013eb</t>
  </si>
  <si>
    <t>Reading -- Remedial teaching.; Reading (Middle school)</t>
  </si>
  <si>
    <t>http://public.eblib.com/choice/PublicFullRecord.aspx?p=682819</t>
  </si>
  <si>
    <t>Buttercup's Lovely Day</t>
  </si>
  <si>
    <t>Beck, Carolyn; Beck, Andrea</t>
  </si>
  <si>
    <t>PZ8.3.B389 -- Bu 2008eb</t>
  </si>
  <si>
    <t>[E]</t>
  </si>
  <si>
    <t>Cows -- Fiction.; Nature stories.; Stories in rhyme.</t>
  </si>
  <si>
    <t>http://public.eblib.com/choice/PublicFullRecord.aspx?p=682820</t>
  </si>
  <si>
    <t>The West is Calling : Imagining British Columbia</t>
  </si>
  <si>
    <t>Harvey, Sarah; Bonder, Dianna</t>
  </si>
  <si>
    <t>PR9199.4.H3775 -- W47 2008eb</t>
  </si>
  <si>
    <t>jC811/.6</t>
  </si>
  <si>
    <t>British Columbia -- History -- Juvenile poetry.; Children''s poetry, Canadian.</t>
  </si>
  <si>
    <t>http://public.eblib.com/choice/PublicFullRecord.aspx?p=682821</t>
  </si>
  <si>
    <t>Smuggler's Cave</t>
  </si>
  <si>
    <t>Orca Echoes</t>
  </si>
  <si>
    <t>Bates, Sonya; Charko, Kasia</t>
  </si>
  <si>
    <t>PR9199.4.B38 -- S68 2010eb</t>
  </si>
  <si>
    <t>Boats and boating -- Fiction.; Boats and boating -- Juvenile fiction.</t>
  </si>
  <si>
    <t>http://public.eblib.com/choice/PublicFullRecord.aspx?p=682822</t>
  </si>
  <si>
    <t>Marsh Island</t>
  </si>
  <si>
    <t>PR9199.4.B38 -- M37 2009eb</t>
  </si>
  <si>
    <t>Canadian fiction.; Wilderness survival -- Juvenile fiction.</t>
  </si>
  <si>
    <t>http://public.eblib.com/choice/PublicFullRecord.aspx?p=682823</t>
  </si>
  <si>
    <t>Sharing Snowy</t>
  </si>
  <si>
    <t>Helmer, Marilyn; Charko, Kasia</t>
  </si>
  <si>
    <t>PR9199.4.H45 -- S53 2008eb</t>
  </si>
  <si>
    <t>Canadian fiction.; Cats -- Juvenile fiction.</t>
  </si>
  <si>
    <t>http://public.eblib.com/choice/PublicFullRecord.aspx?p=682824</t>
  </si>
  <si>
    <t>The Summer of the Marco Polo</t>
  </si>
  <si>
    <t>Manuel, Lynn; Charko, Kasia</t>
  </si>
  <si>
    <t>PR9199.4.M36 -- S86 2007eb</t>
  </si>
  <si>
    <t>Clipper ships -- New Brunswick -- History -- 19th century -- Juvenile fiction.; Marco Polo (Clipper ship) -- Juvenile fiction.; Montgomery, L. M. -- (Lucy Maud), -- 1874-1942 -- Juvenile fiction.; Prince Edward Island -- Juvenile fiction.; Shipwrecks -- Prince Edward Island -- Juvenile fiction.</t>
  </si>
  <si>
    <t>http://public.eblib.com/choice/PublicFullRecord.aspx?p=682825</t>
  </si>
  <si>
    <t>Puppies on Board</t>
  </si>
  <si>
    <t>Harvey, Sarah; Cowles, Rose</t>
  </si>
  <si>
    <t>PZ7.H3784 -- Pu 2005eb</t>
  </si>
  <si>
    <t>Communities -- Juvenile fiction.; Picture books for children.; Problem solving -- Juvenile fiction.; Puppies -- Juvenile fiction.</t>
  </si>
  <si>
    <t>http://public.eblib.com/choice/PublicFullRecord.aspx?p=682826</t>
  </si>
  <si>
    <t>Adventures at Camp Lots-o-Fun</t>
  </si>
  <si>
    <t>Helmer, Marilyn; Deas, Mike</t>
  </si>
  <si>
    <t>PR9199.4.H45 -- A38 2010eb</t>
  </si>
  <si>
    <t>Camps -- Juvenile fiction.; Canadian fiction.</t>
  </si>
  <si>
    <t>http://public.eblib.com/choice/PublicFullRecord.aspx?p=682827</t>
  </si>
  <si>
    <t>Out of the Deeps</t>
  </si>
  <si>
    <t>Carter, Anne; Debon, Nicholas</t>
  </si>
  <si>
    <t>PR9199.4.C37 -- O88 2008eb</t>
  </si>
  <si>
    <t>Coal mines and mining -- Juvenile fiction.; Fathers and sons -- Juvenile fiction.; Pit pony -- Juvenile fiction.</t>
  </si>
  <si>
    <t>http://public.eblib.com/choice/PublicFullRecord.aspx?p=682832</t>
  </si>
  <si>
    <t>George Most Wanted</t>
  </si>
  <si>
    <t>Lee, Ingrid; Denis, Stephane</t>
  </si>
  <si>
    <t>PS3562.E4 -- G46 2005eb</t>
  </si>
  <si>
    <t>Toys -- Juvenile fiction.; Voyages and travels -- Juvenile fiction.</t>
  </si>
  <si>
    <t>http://public.eblib.com/choice/PublicFullRecord.aspx?p=682833</t>
  </si>
  <si>
    <t>George the Best of All</t>
  </si>
  <si>
    <t>PS3562.E4 -- G46 2006eb</t>
  </si>
  <si>
    <t>http://public.eblib.com/choice/PublicFullRecord.aspx?p=682834</t>
  </si>
  <si>
    <t>The True Story of George</t>
  </si>
  <si>
    <t>PR9199.4.L44 -- T78 2004eb</t>
  </si>
  <si>
    <t>Heroes -- Juvenile fiction.; Toys -- Juvenile fiction.</t>
  </si>
  <si>
    <t>http://public.eblib.com/choice/PublicFullRecord.aspx?p=682835</t>
  </si>
  <si>
    <t>Ghost Wolf</t>
  </si>
  <si>
    <t>Bradford, Karleen; Drew-Brook, Deborah</t>
  </si>
  <si>
    <t>PS3552.R33 -- G56 2006eb</t>
  </si>
  <si>
    <t>FIC</t>
  </si>
  <si>
    <t>Animal rescue -- Juvenile fiction.; Camps -- Juvenile fiction.; Fear -- Juvenile fiction.; Wolves -- Juvenile fiction.</t>
  </si>
  <si>
    <t>http://public.eblib.com/choice/PublicFullRecord.aspx?p=682836</t>
  </si>
  <si>
    <t>Bruno for Real</t>
  </si>
  <si>
    <t>Adderson, Caroline</t>
  </si>
  <si>
    <t>PR9199.4.A33 -- B78 2009eb</t>
  </si>
  <si>
    <t>Boys -- Juvenile fiction.; Problem solving -- Juvenile fiction.</t>
  </si>
  <si>
    <t>http://public.eblib.com/choice/PublicFullRecord.aspx?p=682837</t>
  </si>
  <si>
    <t>I, Bruno</t>
  </si>
  <si>
    <t>PR9199.3.A319 -- I37 2007eb</t>
  </si>
  <si>
    <t>Imagination -- Juvenile fiction.; Play -- Juvenile fiction.</t>
  </si>
  <si>
    <t>http://public.eblib.com/choice/PublicFullRecord.aspx?p=682838</t>
  </si>
  <si>
    <t>Pocket Rocks</t>
  </si>
  <si>
    <t>Fitch, Sheree</t>
  </si>
  <si>
    <t>PR9199.4.F58 -- P63 2004eb</t>
  </si>
  <si>
    <t>Imagination -- Juvenile fiction.; Picture books for children.; Schools -- Juvenile fiction.; Slow learning children -- Juvenile fiction.</t>
  </si>
  <si>
    <t>http://public.eblib.com/choice/PublicFullRecord.aspx?p=682839</t>
  </si>
  <si>
    <t>Who's in Maxine's Tree</t>
  </si>
  <si>
    <t>Leger, Diane; Gait, Darlene</t>
  </si>
  <si>
    <t>Science; Science: Biology/Natural History; General Works/Reference; Juvenile Literature</t>
  </si>
  <si>
    <t>QH75 -- .L37140 2006eb</t>
  </si>
  <si>
    <t>Nature conservation -- Juvenile literature.</t>
  </si>
  <si>
    <t>http://public.eblib.com/choice/PublicFullRecord.aspx?p=682841</t>
  </si>
  <si>
    <t>Secret of the Dance</t>
  </si>
  <si>
    <t>Spalding, Andrea; Scow, Alfred; Gait, Darlene</t>
  </si>
  <si>
    <t>General Works/Reference; Literature; Juvenile Literature</t>
  </si>
  <si>
    <t>PZ7.S6353 -- Se 2006eb</t>
  </si>
  <si>
    <t>Kwakiutl Indians.; Picture books for children.; Potlatch.</t>
  </si>
  <si>
    <t>http://public.eblib.com/choice/PublicFullRecord.aspx?p=682842</t>
  </si>
  <si>
    <t>Out and About with the Big Tree Gang</t>
  </si>
  <si>
    <t>Bogart, Jo; Griffiths, Dean</t>
  </si>
  <si>
    <t>PS3552.O53 -- B55 2005eb</t>
  </si>
  <si>
    <t>Friendship -- Juvenile fiction.; Nature stories.</t>
  </si>
  <si>
    <t>http://public.eblib.com/choice/PublicFullRecord.aspx?p=682843</t>
  </si>
  <si>
    <t>The Big Tree Gang</t>
  </si>
  <si>
    <t>Brothers and sisters -- Juvenile fiction.; Nature stories.</t>
  </si>
  <si>
    <t>http://public.eblib.com/choice/PublicFullRecord.aspx?p=682844</t>
  </si>
  <si>
    <t>Timberwolf Challenge</t>
  </si>
  <si>
    <t>Brouwer, Sigmund; Griffiths, Dean</t>
  </si>
  <si>
    <t>PS3552.R6825 -- T56 2006eb</t>
  </si>
  <si>
    <t>Competition (Psychology) -- Juvenile fiction.; Hockey stories.; Practical jokes -- Juvenile fiction.; Sex role -- Juvenile fiction.</t>
  </si>
  <si>
    <t>http://public.eblib.com/choice/PublicFullRecord.aspx?p=682845</t>
  </si>
  <si>
    <t>Timberwolf Chase</t>
  </si>
  <si>
    <t>Hockey stories.; Teamwork (Sports) -- Juvenile fiction.; Teasing -- Juvenile fiction.</t>
  </si>
  <si>
    <t>http://public.eblib.com/choice/PublicFullRecord.aspx?p=682846</t>
  </si>
  <si>
    <t>Timberwolf Hunt</t>
  </si>
  <si>
    <t>PS3552.R6825 -- T56 2007eb</t>
  </si>
  <si>
    <t>Hockey stories.; Practical jokes -- Juvenile fiction.; Teamwork (Sports) -- Juvenile fiction.; Teasing -- Juvenile fiction.</t>
  </si>
  <si>
    <t>http://public.eblib.com/choice/PublicFullRecord.aspx?p=682847</t>
  </si>
  <si>
    <t>Timberwolf Revenge</t>
  </si>
  <si>
    <t>Practical jokes -- Juvenile fiction.; Revenge -- Juvenile fiction.</t>
  </si>
  <si>
    <t>http://public.eblib.com/choice/PublicFullRecord.aspx?p=682848</t>
  </si>
  <si>
    <t>Timberwolf Trap</t>
  </si>
  <si>
    <t>Hockey stories.; Practical jokes -- Juvenile fiction.</t>
  </si>
  <si>
    <t>http://public.eblib.com/choice/PublicFullRecord.aspx?p=682849</t>
  </si>
  <si>
    <t>Perfect Man</t>
  </si>
  <si>
    <t>Wilson, Troy; Griffiths, Dean</t>
  </si>
  <si>
    <t>Literature; General Works/Reference; Juvenile Literature</t>
  </si>
  <si>
    <t>PZ7.W69886 -- Pe 2004eb</t>
  </si>
  <si>
    <t>Creative writing -- Juvenile fiction.; Heroes -- Juvenile fiction.; Picture books for children -- Juvenile fiction.; Self-confidence -- Juvenile fiction.; Teachers -- Juvenile fiction.</t>
  </si>
  <si>
    <t>http://public.eblib.com/choice/PublicFullRecord.aspx?p=682850</t>
  </si>
  <si>
    <t>Maybe Later</t>
  </si>
  <si>
    <t>Lee, Ingrid; Grimard, Gabrielle</t>
  </si>
  <si>
    <t>PS3562.E4 -- M39 2008eb</t>
  </si>
  <si>
    <t>Bottles -- Juvenile fiction.; Grandfathers -- Juvenile fiction.; Imagination -- Juvenile fiction.; Storytelling -- Juvenile fiction.</t>
  </si>
  <si>
    <t>http://public.eblib.com/choice/PublicFullRecord.aspx?p=682851</t>
  </si>
  <si>
    <t>Captain Jake</t>
  </si>
  <si>
    <t>Stewart, Shannon; Hodson, Ben</t>
  </si>
  <si>
    <t>PR9199.4.S74 -- C37 2008eb</t>
  </si>
  <si>
    <t>Canadian fiction.; Kidd, William, -- -1701 -- Fiction.</t>
  </si>
  <si>
    <t>http://public.eblib.com/choice/PublicFullRecord.aspx?p=682853</t>
  </si>
  <si>
    <t>Jeffrey and Sloth</t>
  </si>
  <si>
    <t>Winters, Kari-Lynn; Hodson, Ben</t>
  </si>
  <si>
    <t>PZ7.W7674 -- Je 2007eb</t>
  </si>
  <si>
    <t>Canada -- Fiction.; Creative writing -- Fiction.; Doodles -- Fiction.; Drawing -- Fiction.; Sloths -- Fiction.</t>
  </si>
  <si>
    <t>http://public.eblib.com/choice/PublicFullRecord.aspx?p=682854</t>
  </si>
  <si>
    <t>Sam and Nate</t>
  </si>
  <si>
    <t>Collins, PJ; Jin, Katherine</t>
  </si>
  <si>
    <t>PR9199.4.C65 -- S26 2005eb</t>
  </si>
  <si>
    <t>Best friends -- Juvenile fiction.; Schools -- Juvenile fiction.</t>
  </si>
  <si>
    <t>http://public.eblib.com/choice/PublicFullRecord.aspx?p=682855</t>
  </si>
  <si>
    <t>The Twelve Days of Summer</t>
  </si>
  <si>
    <t>Andrews, Jan; Jolliffe, Susan</t>
  </si>
  <si>
    <t>PR9199.4.A53 -- T94 2005eb</t>
  </si>
  <si>
    <t>Nature stories.; Summer -- Juvenile fiction.</t>
  </si>
  <si>
    <t>http://public.eblib.com/choice/PublicFullRecord.aspx?p=682856</t>
  </si>
  <si>
    <t>Kelly's Cabin</t>
  </si>
  <si>
    <t>Smith, Linda; Krasulja, Zorica</t>
  </si>
  <si>
    <t>PR9199.4.S65 -- K45 2006eb</t>
  </si>
  <si>
    <t>Canada -- Fiction.; Children''s playhouses -- Juvenile fiction.; Friendship -- Fiction.; Imagination -- Fiction.; Imagination -- Juvenile fiction.</t>
  </si>
  <si>
    <t>http://public.eblib.com/choice/PublicFullRecord.aspx?p=682857</t>
  </si>
  <si>
    <t>Carl the Christmas Carp</t>
  </si>
  <si>
    <t>Kykorka, Ian; Krykorka, Vladyana</t>
  </si>
  <si>
    <t>PZ7.K9468 -- Ca 2006eb</t>
  </si>
  <si>
    <t>Christmas stories.</t>
  </si>
  <si>
    <t>http://public.eblib.com/choice/PublicFullRecord.aspx?p=682858</t>
  </si>
  <si>
    <t>Dimples Delight</t>
  </si>
  <si>
    <t>Wishinsky, Frieda; Laliberte, Louise-Andree</t>
  </si>
  <si>
    <t>PS3573.I85 -- D56 2005eb</t>
  </si>
  <si>
    <t>Bullying -- Juvenile fiction.; Teasing -- Juvenile fiction.</t>
  </si>
  <si>
    <t>http://public.eblib.com/choice/PublicFullRecord.aspx?p=682859</t>
  </si>
  <si>
    <t>A Frog in My Throat</t>
  </si>
  <si>
    <t>PS3573.I85 -- F76 2005eb</t>
  </si>
  <si>
    <t>Best friends -- Juvenile fiction.; Jealousy -- Juvenile fiction.; Problem solving -- Juvenile fiction.</t>
  </si>
  <si>
    <t>http://public.eblib.com/choice/PublicFullRecord.aspx?p=682860</t>
  </si>
  <si>
    <t>A Bee in Your Ear</t>
  </si>
  <si>
    <t>PS3573.I85 -- B44 2004eb</t>
  </si>
  <si>
    <t>Competition (Psychology) -- Juvenile fiction.; Friendship -- Juvenile fiction.; Spelling bees -- Juvenile fiction.</t>
  </si>
  <si>
    <t>http://public.eblib.com/choice/PublicFullRecord.aspx?p=682861</t>
  </si>
  <si>
    <t>A Noodle Up Your Nose</t>
  </si>
  <si>
    <t>PR9199.4.W57 -- N66 2004eb</t>
  </si>
  <si>
    <t>Birthdays -- Juvenile fiction.; Friendship -- Juvenile fiction.; Parties -- Juvenile fiction.; Pirates -- Juvenile fiction.</t>
  </si>
  <si>
    <t>http://public.eblib.com/choice/PublicFullRecord.aspx?p=682862</t>
  </si>
  <si>
    <t>The Birthday Girl</t>
  </si>
  <si>
    <t>Little, Jean; Lawrason, June</t>
  </si>
  <si>
    <t>PR9199.3.L555 -- B57 2004eb</t>
  </si>
  <si>
    <t>Birthdays -- Juvenile fiction.; Cats -- Juvenile fiction.; Frustration -- Juvenile fiction.</t>
  </si>
  <si>
    <t>http://public.eblib.com/choice/PublicFullRecord.aspx?p=682863</t>
  </si>
  <si>
    <t>A Puppy is for Loving</t>
  </si>
  <si>
    <t>Labatt, Mary; Liwiska, Renata</t>
  </si>
  <si>
    <t>PS3562.A33 -- P86 2007eb</t>
  </si>
  <si>
    <t>Grandmothers -- Juvenile fiction.; Grandparent and child -- Juvenile fiction.; Puppies -- Juvenile fiction.</t>
  </si>
  <si>
    <t>http://public.eblib.com/choice/PublicFullRecord.aspx?p=682864</t>
  </si>
  <si>
    <t>Sam's Ride</t>
  </si>
  <si>
    <t>Citra, Becky; Meissner, Amy</t>
  </si>
  <si>
    <t>PR9199.4.C58 -- S26 2009eb</t>
  </si>
  <si>
    <t>Grandfathers -- Juvenile fiction.; Horses -- Juvenile fiction.; Ranches -- Juvenile fiction.</t>
  </si>
  <si>
    <t>http://public.eblib.com/choice/PublicFullRecord.aspx?p=682865</t>
  </si>
  <si>
    <t>Sea Dog</t>
  </si>
  <si>
    <t>Gaetz, Dayle; Meissner, Amy</t>
  </si>
  <si>
    <t>PR9199.4.G34 -- S43 2006eb</t>
  </si>
  <si>
    <t>E</t>
  </si>
  <si>
    <t>Beaches -- Juvenile fiction.; Boats and boating -- Juvenile fiction.; Canada -- Juvenile fiction.; Dogs -- Juvenile fiction.; Friendship -- Juvenile fiction.; Single-parent families -- Juvenile fiction.</t>
  </si>
  <si>
    <t>http://public.eblib.com/choice/PublicFullRecord.aspx?p=682866</t>
  </si>
  <si>
    <t>Grandpa's Clock</t>
  </si>
  <si>
    <t>Rachna, Rachna; Meissner, Amy</t>
  </si>
  <si>
    <t>PR9199.4.G55 -- G73 2006eb</t>
  </si>
  <si>
    <t>Clocks and watches -- Juvenile fiction.; Families -- Juvenile fiction.; Grandparent and child -- Juvenile fiction.</t>
  </si>
  <si>
    <t>http://public.eblib.com/choice/PublicFullRecord.aspx?p=682867</t>
  </si>
  <si>
    <t>Dragon Tide</t>
  </si>
  <si>
    <t>Lee, Ingrid; Meister, Soizick</t>
  </si>
  <si>
    <t>PR9199.4.L44 -- D73 2006eb</t>
  </si>
  <si>
    <t>Beaches -- Juvenile fiction.; Dragons -- Juvenile fiction.</t>
  </si>
  <si>
    <t>http://public.eblib.com/choice/PublicFullRecord.aspx?p=682868</t>
  </si>
  <si>
    <t>Jeremy and the Fantastic Flying Machine</t>
  </si>
  <si>
    <t>Citra, Becky; Milne, Jessica</t>
  </si>
  <si>
    <t>PR9199.4.C58 -- J47 2008eb</t>
  </si>
  <si>
    <t>Inventors -- Juvenile fiction.; Space and time -- Juvenile fiction.</t>
  </si>
  <si>
    <t>http://public.eblib.com/choice/PublicFullRecord.aspx?p=682869</t>
  </si>
  <si>
    <t>Jeremy and the Golden Fleece</t>
  </si>
  <si>
    <t>PS3553.I87 -- J47 2007eb</t>
  </si>
  <si>
    <t>Jason (Greek mythology) -- Juvenile fiction.; Time travel -- Juvenile fiction.</t>
  </si>
  <si>
    <t>http://public.eblib.com/choice/PublicFullRecord.aspx?p=682870</t>
  </si>
  <si>
    <t>Jeremy in the Underworld</t>
  </si>
  <si>
    <t>PS3553.I87 -- J47 2006eb</t>
  </si>
  <si>
    <t>Hades (Greek deity) -- Juvenile fiction.; Mythology, Greek -- Juvenile fiction.; Time travel -- Juvenile fiction.</t>
  </si>
  <si>
    <t>http://public.eblib.com/choice/PublicFullRecord.aspx?p=682871</t>
  </si>
  <si>
    <t>Jeremy and the Enchanted Theater</t>
  </si>
  <si>
    <t>PR9199.4.C58 -- J47 2004eb</t>
  </si>
  <si>
    <t>Heroes -- Juvenile fiction.; Time travel -- Juvenile fiction.; Zeus (Greek deity) -- Juvenile fiction.</t>
  </si>
  <si>
    <t>http://public.eblib.com/choice/PublicFullRecord.aspx?p=682872</t>
  </si>
  <si>
    <t>The Raspberry Room</t>
  </si>
  <si>
    <t>Lohans, Alison; Newland, Gillian</t>
  </si>
  <si>
    <t>PR9199.3.L638 -- R37 2006eb</t>
  </si>
  <si>
    <t>Friendship -- Juvenile fiction.; Loneliness -- Juvenile fiction.</t>
  </si>
  <si>
    <t>http://public.eblib.com/choice/PublicFullRecord.aspx?p=682873</t>
  </si>
  <si>
    <t>Ben's Robot</t>
  </si>
  <si>
    <t>Stevenson, Robin; Parkins, David</t>
  </si>
  <si>
    <t>PR9199.4.S74 -- B46 2010eb</t>
  </si>
  <si>
    <t>Canadian fiction.; Robots -- Juvenile fiction.</t>
  </si>
  <si>
    <t>http://public.eblib.com/choice/PublicFullRecord.aspx?p=682874</t>
  </si>
  <si>
    <t>The Salmon Bears : Giants of the Great Bear Rainforest</t>
  </si>
  <si>
    <t>McAllister, Ian; Read, Nicholas</t>
  </si>
  <si>
    <t>QL737.C27 -- M3556 2010eb</t>
  </si>
  <si>
    <t>j599.7809711/1</t>
  </si>
  <si>
    <t>Bears -- British Columbia -- Great Bear Rainforest -- Juvenile literature.; Great Bear Rainforest (B.C.) -- Juvenile literature.; Rain forest ecology -- British Columbia -- Juvenile literature.</t>
  </si>
  <si>
    <t>http://public.eblib.com/choice/PublicFullRecord.aspx?p=682875</t>
  </si>
  <si>
    <t>A Sack Full of Feathers</t>
  </si>
  <si>
    <t>Waldman, Debby; Revell, Cindy</t>
  </si>
  <si>
    <t>PZ7.W1443 -- Sa 2006eb</t>
  </si>
  <si>
    <t>Gossip -- Juvenile fiction.; Jews -- Juvenile fiction.; Picture books for children.; Villages -- Juvenile fiction.</t>
  </si>
  <si>
    <t>http://public.eblib.com/choice/PublicFullRecord.aspx?p=682876</t>
  </si>
  <si>
    <t>Clever Rachel</t>
  </si>
  <si>
    <t>PR9199.4 -- .W35 2009eb</t>
  </si>
  <si>
    <t>Brothers and sisters -- Fiction.; Jews -- Fiction.; Judaism -- Fiction.; Riddles -- Fiction.</t>
  </si>
  <si>
    <t>http://public.eblib.com/choice/PublicFullRecord.aspx?p=682877</t>
  </si>
  <si>
    <t>The Paper Wagon : A Folktale from Friesland</t>
  </si>
  <si>
    <t>attema, martha; Ross, Graham</t>
  </si>
  <si>
    <t>PR9199.4.A88 -- P37 2005eb</t>
  </si>
  <si>
    <t>Hens -- Juvenile fiction.; Problem solving -- Juvenile fiction.; Rescues -- Juvenile fiction.</t>
  </si>
  <si>
    <t>http://public.eblib.com/choice/PublicFullRecord.aspx?p=682878</t>
  </si>
  <si>
    <t>Alphabetter</t>
  </si>
  <si>
    <t>Bar-el, Dan; Ross, Graham</t>
  </si>
  <si>
    <t>PZ7.B250315 -- Al 2007eb</t>
  </si>
  <si>
    <t>Alphabet books.; English language -- Alphabet.</t>
  </si>
  <si>
    <t>http://public.eblib.com/choice/PublicFullRecord.aspx?p=682879</t>
  </si>
  <si>
    <t>Timberwolf Prey</t>
  </si>
  <si>
    <t>Brouwer, Sigmund; Ross, Graham</t>
  </si>
  <si>
    <t>PS3602.R68 -- T563 2010eb</t>
  </si>
  <si>
    <t>Families -- Juvenile fiction.; Hockey stories.</t>
  </si>
  <si>
    <t>http://public.eblib.com/choice/PublicFullRecord.aspx?p=682880</t>
  </si>
  <si>
    <t>Timberwolf Rivals</t>
  </si>
  <si>
    <t>PS3602.R68 -- T56 2009eb</t>
  </si>
  <si>
    <t>American fiction.; Hockey stories.</t>
  </si>
  <si>
    <t>http://public.eblib.com/choice/PublicFullRecord.aspx?p=682881</t>
  </si>
  <si>
    <t>Timberwolf Tracks</t>
  </si>
  <si>
    <t>PS3552.R6825 -- T56 2009eb</t>
  </si>
  <si>
    <t>Competition (Psychology) -- Juvenile fiction.; Hockey stories.; Practical jokes -- Juvenile fiction.</t>
  </si>
  <si>
    <t>http://public.eblib.com/choice/PublicFullRecord.aspx?p=682882</t>
  </si>
  <si>
    <t>By A Thread</t>
  </si>
  <si>
    <t>Dickens, Ned; Ross, Graham</t>
  </si>
  <si>
    <t>PZ7.D53546 -- By 2005eb</t>
  </si>
  <si>
    <t>Bears.; Imagination.; Picture books for children.; Problem solving.; Toys.</t>
  </si>
  <si>
    <t>http://public.eblib.com/choice/PublicFullRecord.aspx?p=682883</t>
  </si>
  <si>
    <t>Under the Sea with Googol and Googolplex</t>
  </si>
  <si>
    <t>Kazenbroot, Nelly; Ross, Graham</t>
  </si>
  <si>
    <t>PR9199.4.K394 -- U53 2005eb</t>
  </si>
  <si>
    <t>Human-alien encounters -- Juvenile fiction.; Robots -- Juvenile fiction.</t>
  </si>
  <si>
    <t>http://public.eblib.com/choice/PublicFullRecord.aspx?p=682884</t>
  </si>
  <si>
    <t>Cheetah</t>
  </si>
  <si>
    <t>Lewis, Wendy; Ross, Graham</t>
  </si>
  <si>
    <t>PR9199.4.L49 -- C54 2007eb</t>
  </si>
  <si>
    <t>Canadian fiction.; Frogs -- Juvenile fiction.</t>
  </si>
  <si>
    <t>http://public.eblib.com/choice/PublicFullRecord.aspx?p=682885</t>
  </si>
  <si>
    <t>Monster Lunch</t>
  </si>
  <si>
    <t>Skene, Pat; Ross, Graham</t>
  </si>
  <si>
    <t>PR9199.4.S54 -- M66 2008eb</t>
  </si>
  <si>
    <t>Food -- Juvenile poetry.; Humorous poetry, Canadian.</t>
  </si>
  <si>
    <t>http://public.eblib.com/choice/PublicFullRecord.aspx?p=682886</t>
  </si>
  <si>
    <t>Rhyme Stones</t>
  </si>
  <si>
    <t>PR9199.3.S5383 -- R49 2007eb</t>
  </si>
  <si>
    <t>Canadian poetry.; Children''s poetry, Canadian.</t>
  </si>
  <si>
    <t>http://public.eblib.com/choice/PublicFullRecord.aspx?p=682887</t>
  </si>
  <si>
    <t>Theodora Bear</t>
  </si>
  <si>
    <t>Jones, Carolyn; Spurll, Barbara</t>
  </si>
  <si>
    <t>PS3610.O643 -- T44 2007eb</t>
  </si>
  <si>
    <t>Play -- Juvenile fiction.; Stuffed animals (Toys) -- Juvenile fiction.; Teddy bears -- Juvenile fiction.</t>
  </si>
  <si>
    <t>http://public.eblib.com/choice/PublicFullRecord.aspx?p=682888</t>
  </si>
  <si>
    <t>Ben's Big Dig</t>
  </si>
  <si>
    <t>Wakeman, Daniel; Van Stralen, Dirk</t>
  </si>
  <si>
    <t>PZ7.W1336 -- Be 2005eb</t>
  </si>
  <si>
    <t>Grandmothers -- Fiction.; Stories without words.; Tunnels -- Fiction.</t>
  </si>
  <si>
    <t>http://public.eblib.com/choice/PublicFullRecord.aspx?p=682889</t>
  </si>
  <si>
    <t>Ben's Bunny Trouble</t>
  </si>
  <si>
    <t>PR9199.4 -- .W35 2007eb</t>
  </si>
  <si>
    <t>Rabbits -- Juvenile fiction.</t>
  </si>
  <si>
    <t>http://public.eblib.com/choice/PublicFullRecord.aspx?p=682890</t>
  </si>
  <si>
    <t>The Fossil Hunters</t>
  </si>
  <si>
    <t>Helmer, Marilyn; Walshe, Dermot</t>
  </si>
  <si>
    <t>PR9199.4.H45 -- F67 2009eb</t>
  </si>
  <si>
    <t>Canadian fiction.; Canadian literature.</t>
  </si>
  <si>
    <t>http://public.eblib.com/choice/PublicFullRecord.aspx?p=682891</t>
  </si>
  <si>
    <t>Peek a Little Boo</t>
  </si>
  <si>
    <t>Fitch, Sheree; Watson, Laura</t>
  </si>
  <si>
    <t>PR9199.4.F58 -- P44 205eb</t>
  </si>
  <si>
    <t>English language -- Alphabet -- Juvenile literature.; Ethnic groups -- Juvenile poetry.</t>
  </si>
  <si>
    <t>http://public.eblib.com/choice/PublicFullRecord.aspx?p=682892</t>
  </si>
  <si>
    <t>Hero</t>
  </si>
  <si>
    <t>Orca Young Readers</t>
  </si>
  <si>
    <t>attema, martha; McCallum, Stephen</t>
  </si>
  <si>
    <t>PR9199.3.A88 -- H47 2003eb</t>
  </si>
  <si>
    <t>Courage -- Juvenile fiction.; Farm life -- Juvenile fiction.; Horses -- Juvenile fiction.; World War, 1939-1945 -- Jews -- Netherlands -- Juvenile fiction.; World War, 1939-1945 -- Netherlands -- Juvenile fiction.</t>
  </si>
  <si>
    <t>http://public.eblib.com/choice/PublicFullRecord.aspx?p=682894</t>
  </si>
  <si>
    <t>Walking Backward</t>
  </si>
  <si>
    <t>Austen, Catherine</t>
  </si>
  <si>
    <t>PR9199.4.A87 -- W35 2009eb</t>
  </si>
  <si>
    <t>Bereavement -- Juvenile fiction.; Children and death -- Juvenile fiction.; Mothers -- Death -- Juvenile fiction.; Phobias -- Juvenile fiction.</t>
  </si>
  <si>
    <t>http://public.eblib.com/choice/PublicFullRecord.aspx?p=682895</t>
  </si>
  <si>
    <t>Things Are Looking Grimm, Jill</t>
  </si>
  <si>
    <t>Bar-el, Dan</t>
  </si>
  <si>
    <t>PR9199.4.B37 -- T45 2006eb</t>
  </si>
  <si>
    <t>813.54; jC813/.54 22</t>
  </si>
  <si>
    <t>Kinder- und Hausmärchen juv -- Juvenile fiction.; Mothers and daughters -- Juvenile fiction.</t>
  </si>
  <si>
    <t>http://public.eblib.com/choice/PublicFullRecord.aspx?p=682896</t>
  </si>
  <si>
    <t>Elliot's Fire Truck</t>
  </si>
  <si>
    <t>Elliot Moose</t>
  </si>
  <si>
    <t>Beck, Andrea</t>
  </si>
  <si>
    <t>PR9199.4 -- .B43 2010eb</t>
  </si>
  <si>
    <t>Elliot Moose (Fictitious character); Fire engines -- Fiction.</t>
  </si>
  <si>
    <t>http://public.eblib.com/choice/PublicFullRecord.aspx?p=682897</t>
  </si>
  <si>
    <t>Pierre's Friends</t>
  </si>
  <si>
    <t>Pierre le Poof</t>
  </si>
  <si>
    <t>PZ7.B380767 -- Pi 2010eb</t>
  </si>
  <si>
    <t>Dogs -- Juvenile fiction.; Friendship -- Juvenile fiction.</t>
  </si>
  <si>
    <t>http://public.eblib.com/choice/PublicFullRecord.aspx?p=682898</t>
  </si>
  <si>
    <t>PZ7.B380767 -- Ph 2009eb</t>
  </si>
  <si>
    <t>Poodles -- Juvenile fiction.; Show dogs -- Juvenile fiction.</t>
  </si>
  <si>
    <t>http://public.eblib.com/choice/PublicFullRecord.aspx?p=682899</t>
  </si>
  <si>
    <t>Casey Little, Yo-Yo Queen</t>
  </si>
  <si>
    <t>Belgue, Nancy</t>
  </si>
  <si>
    <t>PR9199.4.B46 -- C37 2005eb</t>
  </si>
  <si>
    <t>Determination (Personality trait) -- Juvenile fiction.; Yo-yos -- Juvenile fiction.</t>
  </si>
  <si>
    <t>http://public.eblib.com/choice/PublicFullRecord.aspx?p=682900</t>
  </si>
  <si>
    <t>Colette and the Silver Samovar</t>
  </si>
  <si>
    <t>PR9199.4.B45 -- C65 2010eb</t>
  </si>
  <si>
    <t>[Fic]; 813/.6</t>
  </si>
  <si>
    <t>Fortune-tellers -- Juvenile fiction.; Prophecies -- Juvenile fiction.; Superstition -- Juvenile fiction.</t>
  </si>
  <si>
    <t>http://public.eblib.com/choice/PublicFullRecord.aspx?p=682901</t>
  </si>
  <si>
    <t>Juggling Fire</t>
  </si>
  <si>
    <t>Bell, Joanne</t>
  </si>
  <si>
    <t>PR9199.2.B45 -- J85 2009eb</t>
  </si>
  <si>
    <t>Missing persons -- Juvenile fiction.; Shipwreck survival -- Juvenile fiction.; Teenage girls -- Fiction.; Yukon -- Juvenile fiction.</t>
  </si>
  <si>
    <t>http://public.eblib.com/choice/PublicFullRecord.aspx?p=682903</t>
  </si>
  <si>
    <t>Death Wind</t>
  </si>
  <si>
    <t>Orca Soundings</t>
  </si>
  <si>
    <t>Bell, William</t>
  </si>
  <si>
    <t>PR9199.4.B46 -- D43 2002eb</t>
  </si>
  <si>
    <t>Skateboarding -- Juvenile fiction.; Teenage pregnancy -- Juvenile fiction.; Tornadoes -- Juvenile fiction.</t>
  </si>
  <si>
    <t>http://public.eblib.com/choice/PublicFullRecord.aspx?p=682905</t>
  </si>
  <si>
    <t>Shapeshifter</t>
  </si>
  <si>
    <t>Bennett, Holly</t>
  </si>
  <si>
    <t>PR9199.4.B46 -- S53 2010eb</t>
  </si>
  <si>
    <t>Ireland -- History -- To 1172 -- Juvenile fiction.; Shapeshifting -- Juvenile fiction.</t>
  </si>
  <si>
    <t>http://public.eblib.com/choice/PublicFullRecord.aspx?p=682906</t>
  </si>
  <si>
    <t>The Bonemender</t>
  </si>
  <si>
    <t>PR9199.4.B46 -- B66 2005eb</t>
  </si>
  <si>
    <t>Fic</t>
  </si>
  <si>
    <t>Elves -- Juvenile fiction.; Women healers -- Juvenile fiction.</t>
  </si>
  <si>
    <t>http://public.eblib.com/choice/PublicFullRecord.aspx?p=682907</t>
  </si>
  <si>
    <t>The Bonemender's Choice</t>
  </si>
  <si>
    <t>PR9199.4.B46 -- B66 2007eb</t>
  </si>
  <si>
    <t>Elves -- Juvenile fiction.; Healers -- Juvenile fiction.; Pirates -- Juvenile fiction.; Quests (Expeditions) -- Juvenile fiction.</t>
  </si>
  <si>
    <t>http://public.eblib.com/choice/PublicFullRecord.aspx?p=682908</t>
  </si>
  <si>
    <t>The Bonemender's Oath</t>
  </si>
  <si>
    <t>PR9199.4.B46 -- B66 2006eb</t>
  </si>
  <si>
    <t>Elves -- Juvenile fiction.; Fantasy fiction.; First loves -- Juvenile fiction.; Healers -- Juvenile fiction.</t>
  </si>
  <si>
    <t>http://public.eblib.com/choice/PublicFullRecord.aspx?p=682909</t>
  </si>
  <si>
    <t>The Warrior's Daughter</t>
  </si>
  <si>
    <t>PR9199.4.B46 -- W37 2007eb</t>
  </si>
  <si>
    <t>Celts -- Fiction.; Ireland -- Fiction.</t>
  </si>
  <si>
    <t>http://public.eblib.com/choice/PublicFullRecord.aspx?p=682910</t>
  </si>
  <si>
    <t>The Bone Flute</t>
  </si>
  <si>
    <t>Bow, Patricia</t>
  </si>
  <si>
    <t>PR9199.4.B69 -- B66 2004eb</t>
  </si>
  <si>
    <t>Fairies -- Juvenile fiction.; Magic -- Juvenile fiction.</t>
  </si>
  <si>
    <t>http://public.eblib.com/choice/PublicFullRecord.aspx?p=682919</t>
  </si>
  <si>
    <t>Feather Brain</t>
  </si>
  <si>
    <t>Orca Young Reader (Quality)</t>
  </si>
  <si>
    <t>Bush, Maureen</t>
  </si>
  <si>
    <t>PR9199.4.B87 -- F43 2008eb</t>
  </si>
  <si>
    <t>Canada -- Juvenile fiction.; Dinosaurs -- Juvenile fiction.; Friendship -- Juvenile fiction.</t>
  </si>
  <si>
    <t>http://public.eblib.com/choice/PublicFullRecord.aspx?p=682939</t>
  </si>
  <si>
    <t>Cursed!</t>
  </si>
  <si>
    <t>PR9199.4.B87 -- C87 2010eb</t>
  </si>
  <si>
    <t>Grandparent and child -- Juvenile fiction.; Masks -- Juvenile fiction.</t>
  </si>
  <si>
    <t>http://public.eblib.com/choice/PublicFullRecord.aspx?p=682940</t>
  </si>
  <si>
    <t>Cheat</t>
  </si>
  <si>
    <t>Butcher, Kristen</t>
  </si>
  <si>
    <t>PR9199.4.B87 -- C43 2010eb</t>
  </si>
  <si>
    <t>Brothers and sisters -- Fiction.; High schools -- Fiction.; Investigative reporting -- Fiction.; Student newspapers and periodicals -- Fiction.; Teenage girls -- Fiction.; Teenage journalists -- Fiction.; Teenagers -- Fiction.</t>
  </si>
  <si>
    <t>http://public.eblib.com/choice/PublicFullRecord.aspx?p=682942</t>
  </si>
  <si>
    <t>The Trouble With Liberty</t>
  </si>
  <si>
    <t>PR9199.4.B88 -- T76 2003eb</t>
  </si>
  <si>
    <t>Child sexual abuse by teachers -- Juvenile fiction.; High schools -- Juvenile fiction.; Malicious accusation -- Juvenile fiction.; Rape -- Juvenile fiction.; Teenage girls -- Juvenile fiction.; Truthfulness and falsehood -- Juvenile fiction.</t>
  </si>
  <si>
    <t>http://public.eblib.com/choice/PublicFullRecord.aspx?p=682943</t>
  </si>
  <si>
    <t>The Hemingway Tradition</t>
  </si>
  <si>
    <t>PR9199.4.B88 -- H46 2002eb</t>
  </si>
  <si>
    <t>Canadian fiction.; Suicide -- Juvenile fiction.</t>
  </si>
  <si>
    <t>http://public.eblib.com/choice/PublicFullRecord.aspx?p=682944</t>
  </si>
  <si>
    <t>Zee's Way</t>
  </si>
  <si>
    <t>PR9199.4.B88 -- Z44 2004eb</t>
  </si>
  <si>
    <t>Gangs -- Juvenile fiction.; Graffiti -- Juvenile fiction.; Intergenerational relations -- Juvenile fiction.; Merchants -- Juvenile fiction.; Mural painting and decoration -- Juvenile fiction.; Teenage boys -- Juvenile fiction.</t>
  </si>
  <si>
    <t>http://public.eblib.com/choice/PublicFullRecord.aspx?p=682945</t>
  </si>
  <si>
    <t>Rock Star</t>
  </si>
  <si>
    <t>Chamberlain, Adrian</t>
  </si>
  <si>
    <t>PR9199.4.C43 -- R63 2010eb</t>
  </si>
  <si>
    <t>Music -- Fiction.; Teenage musicians -- Fiction.</t>
  </si>
  <si>
    <t>http://public.eblib.com/choice/PublicFullRecord.aspx?p=682947</t>
  </si>
  <si>
    <t>Reaction</t>
  </si>
  <si>
    <t>PR9199.4.C46 -- R43 2010eb</t>
  </si>
  <si>
    <t>Teenage pregnancy -- Fiction.; Teenagers -- Fiction.</t>
  </si>
  <si>
    <t>http://public.eblib.com/choice/PublicFullRecord.aspx?p=682951</t>
  </si>
  <si>
    <t>Wave Warrior</t>
  </si>
  <si>
    <t>PR9199.4.C46 -- W38 2007eb</t>
  </si>
  <si>
    <t>Determination (Personality trait) -- Young adult fiction.; Surfing -- Young adult fiction.</t>
  </si>
  <si>
    <t>http://public.eblib.com/choice/PublicFullRecord.aspx?p=682952</t>
  </si>
  <si>
    <t>Refuge Cove</t>
  </si>
  <si>
    <t>PR9199.4.C46 -- R44 2002eb</t>
  </si>
  <si>
    <t>Canadian fiction.; Refugees -- Newfoundland and Labrador -- Juvenile fiction.</t>
  </si>
  <si>
    <t>http://public.eblib.com/choice/PublicFullRecord.aspx?p=682953</t>
  </si>
  <si>
    <t>Running the Risk</t>
  </si>
  <si>
    <t>PR9199.4.C56 -- R86 2009eb</t>
  </si>
  <si>
    <t>Outlaws -- Juvenile fiction.; Robbery investigation -- Juvenile fiction.</t>
  </si>
  <si>
    <t>http://public.eblib.com/choice/PublicFullRecord.aspx?p=682954</t>
  </si>
  <si>
    <t>Thunderbowl</t>
  </si>
  <si>
    <t>PR9199.4.C56 -- T58 2004eb</t>
  </si>
  <si>
    <t>Education -- Juvenile fiction.; High schools -- Juvenile fiction.; Musicians -- Juvenile fiction.; Rock groups -- Juvenile fiction.; Teenage boys -- Juvenile fiction.</t>
  </si>
  <si>
    <t>http://public.eblib.com/choice/PublicFullRecord.aspx?p=682956</t>
  </si>
  <si>
    <t>Strawberry Moon</t>
  </si>
  <si>
    <t>Citra, Becky</t>
  </si>
  <si>
    <t>PR9199.4.C58 -- S87 2005eb</t>
  </si>
  <si>
    <t>British -- Canada -- 19th century -- Juvenile fiction.; Etiquette for girls -- Juvenile fiction.; Friendship -- Juvenile fiction.; Frontier and pioneer life -- Canada -- 19th century -- Juvenile fiction.; Girls -- Conduct of life -- Juvenile fiction.; Grandmothers -- Juvenile fiction.</t>
  </si>
  <si>
    <t>http://public.eblib.com/choice/PublicFullRecord.aspx?p=682957</t>
  </si>
  <si>
    <t>Whiteout</t>
  </si>
  <si>
    <t>PR9199.4.C58 -- W55 2009eb</t>
  </si>
  <si>
    <t>Cousins -- Juvenile fiction.; Guilt -- Juvenile fiction.; Maturation (Psychology) -- Juvenile fiction.</t>
  </si>
  <si>
    <t>http://public.eblib.com/choice/PublicFullRecord.aspx?p=682958</t>
  </si>
  <si>
    <t>After the Fire</t>
  </si>
  <si>
    <t>PZ7.C49985 -- Af 2010eb</t>
  </si>
  <si>
    <t>Friendship -- Juvenile fiction.; Vacations -- Juvenile fiction.</t>
  </si>
  <si>
    <t>http://public.eblib.com/choice/PublicFullRecord.aspx?p=682959</t>
  </si>
  <si>
    <t>Dog Days</t>
  </si>
  <si>
    <t>PR9199.3.C58 -- D64 2003eb</t>
  </si>
  <si>
    <t>Children''s stories.; Dogs -- Juvenile fiction.</t>
  </si>
  <si>
    <t>http://public.eblib.com/choice/PublicFullRecord.aspx?p=682960</t>
  </si>
  <si>
    <t>Never to be Told</t>
  </si>
  <si>
    <t>Literature; Religion; Juvenile Literature</t>
  </si>
  <si>
    <t>PZ7.C58 -- Ne 2006eb</t>
  </si>
  <si>
    <t>Abandoned farms.; Ghost stories.; Ghosts.; Intergenerational relations.; Mothers and daughters.; Secrecy.; Teenage girls.</t>
  </si>
  <si>
    <t>http://public.eblib.com/choice/PublicFullRecord.aspx?p=682962</t>
  </si>
  <si>
    <t>Runaway</t>
  </si>
  <si>
    <t>PR9199.3.C58 -- R86 2003eb</t>
  </si>
  <si>
    <t>Child abuse -- Juvenile fiction.; Frontier and pioneer life -- Canada -- Juvenile fiction.; Runaway children -- Juvenile fiction.</t>
  </si>
  <si>
    <t>http://public.eblib.com/choice/PublicFullRecord.aspx?p=682963</t>
  </si>
  <si>
    <t>Feral</t>
  </si>
  <si>
    <t>Cooke, Bev</t>
  </si>
  <si>
    <t>PR9199.4.C66 -- F47 2008eb</t>
  </si>
  <si>
    <t>Feral cats -- Juvenile fiction.; Gangs -- Juvenile fiction.; Subway stations -- Juvenile fiction.</t>
  </si>
  <si>
    <t>http://public.eblib.com/choice/PublicFullRecord.aspx?p=682964</t>
  </si>
  <si>
    <t>On the Trail of the Bushman</t>
  </si>
  <si>
    <t>Daher, Anita</t>
  </si>
  <si>
    <t>PR9199.4.D35 -- O6 2009eb</t>
  </si>
  <si>
    <t>Camps -- Juvenile fiction.; Wilderness survival -- Juvenile fiction.; Windigos -- Juvenile fiction.</t>
  </si>
  <si>
    <t>http://public.eblib.com/choice/PublicFullRecord.aspx?p=682966</t>
  </si>
  <si>
    <t>Poachers in the Pingos</t>
  </si>
  <si>
    <t>PR9199.4.D34 -- P63 2008eb</t>
  </si>
  <si>
    <t>Canada -- Juvenile fiction.; Poaching -- Juvenile fiction.</t>
  </si>
  <si>
    <t>http://public.eblib.com/choice/PublicFullRecord.aspx?p=682967</t>
  </si>
  <si>
    <t>Racing for Diamonds</t>
  </si>
  <si>
    <t>PR9199.4.D34 -- R33 2007eb</t>
  </si>
  <si>
    <t>Children of divorced parents -- Juvenile fiction.; Diamond industry and trade -- Juvenile fiction.; Sled dogs -- Juvenile fiction.</t>
  </si>
  <si>
    <t>http://public.eblib.com/choice/PublicFullRecord.aspx?p=682968</t>
  </si>
  <si>
    <t>Flight From Bear Canyon</t>
  </si>
  <si>
    <t>Daher, Anita; McCallum, Stephen</t>
  </si>
  <si>
    <t>PR9199.4.D35 -- F65 2004eb</t>
  </si>
  <si>
    <t>Aircraft accidents -- Juvenile fiction.; Bears -- Juvenile fiction.; Children as air pilots -- Juvenile fiction.; Rescues -- Juvenile fiction.</t>
  </si>
  <si>
    <t>http://public.eblib.com/choice/PublicFullRecord.aspx?p=682969</t>
  </si>
  <si>
    <t>Flight From Big Tangle</t>
  </si>
  <si>
    <t>PR9199.4.D35 -- F65 2002eb</t>
  </si>
  <si>
    <t>Airtankers (Forest fire control) -- Juvenile fiction.; Forest fires -- Juvenile fiction.</t>
  </si>
  <si>
    <t>http://public.eblib.com/choice/PublicFullRecord.aspx?p=682970</t>
  </si>
  <si>
    <t>Scum</t>
  </si>
  <si>
    <t>Dekker, James</t>
  </si>
  <si>
    <t>PR9199.4.D45 -- S38 2008eb</t>
  </si>
  <si>
    <t>Crime -- Juvenile fiction.; Murder -- Juvenile fiction.</t>
  </si>
  <si>
    <t>http://public.eblib.com/choice/PublicFullRecord.aspx?p=682971</t>
  </si>
  <si>
    <t>Impact</t>
  </si>
  <si>
    <t>PR9199.4.D45 -- I66 2009eb</t>
  </si>
  <si>
    <t>Guilt -- Juvenile fiction.; Teenagers and death -- Juvenile fiction.</t>
  </si>
  <si>
    <t>http://public.eblib.com/choice/PublicFullRecord.aspx?p=682972</t>
  </si>
  <si>
    <t>Perfect Revenge</t>
  </si>
  <si>
    <t>Denman, K. L.</t>
  </si>
  <si>
    <t>PR9199.4.D46 -- P47 2009eb</t>
  </si>
  <si>
    <t>Cliques (Sociology) -- Fiction.; Interpersonal relations -- Fiction.; Magic -- Fiction.; Middle schools -- Fiction.; Revenge -- Fiction.; Schools -- Fiction.; Teenage girls -- Fiction.</t>
  </si>
  <si>
    <t>http://public.eblib.com/choice/PublicFullRecord.aspx?p=682974</t>
  </si>
  <si>
    <t>The Shade</t>
  </si>
  <si>
    <t>PR9199.4.D464 -- S43 2008eb</t>
  </si>
  <si>
    <t>Ghost stories.; Sisters -- Juvenile fiction.</t>
  </si>
  <si>
    <t>http://public.eblib.com/choice/PublicFullRecord.aspx?p=682976</t>
  </si>
  <si>
    <t>Battle of the Bands</t>
  </si>
  <si>
    <t>PR9199.4.D46 -- B38 2006eb</t>
  </si>
  <si>
    <t>Music -- Competitions -- Juvenile fiction.; Rock groups -- Juvenile fiction.</t>
  </si>
  <si>
    <t>http://public.eblib.com/choice/PublicFullRecord.aspx?p=682977</t>
  </si>
  <si>
    <t>Spiral</t>
  </si>
  <si>
    <t>PR9199.4.D46 -- S75 2008eb</t>
  </si>
  <si>
    <t>Courage -- Juvenile fiction.; Drug abuse -- Juvenile fiction.; Horses -- Juvenile fiction.; Teenagers with disabilities -- Juvenile fiction.</t>
  </si>
  <si>
    <t>http://public.eblib.com/choice/PublicFullRecord.aspx?p=682978</t>
  </si>
  <si>
    <t>Me, Myself and Ike</t>
  </si>
  <si>
    <t>PZ7.D42480 -- Me 2009eb</t>
  </si>
  <si>
    <t>Brothers -- Fiction.; Mental illness -- Fiction.; Schizophrenia -- Fiction.; Suicide -- Fiction.</t>
  </si>
  <si>
    <t>http://public.eblib.com/choice/PublicFullRecord.aspx?p=682980</t>
  </si>
  <si>
    <t>The Undergardeners</t>
  </si>
  <si>
    <t>Ellis, Desmond</t>
  </si>
  <si>
    <t>PR9199.4.E45 -- U53 2006eb</t>
  </si>
  <si>
    <t>Heroes -- Juvenile fiction.; Stature, Short -- Juvenile fiction.; Underground areas -- Juvenile fiction.</t>
  </si>
  <si>
    <t>http://public.eblib.com/choice/PublicFullRecord.aspx?p=682982</t>
  </si>
  <si>
    <t>One More Step</t>
  </si>
  <si>
    <t>PR9199.4.F58 -- O64 2002eb</t>
  </si>
  <si>
    <t>Children of divorced parents -- Juvenile fiction.; Maturation (Psychology) -- Juvenile fiction.; Stepfathers -- Juvenile fiction.</t>
  </si>
  <si>
    <t>http://public.eblib.com/choice/PublicFullRecord.aspx?p=682983</t>
  </si>
  <si>
    <t>Chill</t>
  </si>
  <si>
    <t>Frizzell, Colin</t>
  </si>
  <si>
    <t>PR9199.4.F75 -- C45 2006eb</t>
  </si>
  <si>
    <t>Bullying -- Juvenile fiction.; Revenge -- Juvenile fiction.; Teachers -- Juvenile fiction.; Teenagers with disabilities -- Juvenile fiction.</t>
  </si>
  <si>
    <t>http://public.eblib.com/choice/PublicFullRecord.aspx?p=682984</t>
  </si>
  <si>
    <t>Just J</t>
  </si>
  <si>
    <t>PR9199.4.F75 -- J87 2007eb</t>
  </si>
  <si>
    <t>Aunts -- Juvenile fiction.; Beaches -- Juvenile fiction.; Fathers and daughters -- Juvenile fiction.; Friendship -- Juvenile fiction.; Loss (Psychology) -- Juvenile fiction.; Mothers -- Death -- Juvenile fiction.; Teenage girls -- Juvenile fiction.</t>
  </si>
  <si>
    <t>http://public.eblib.com/choice/PublicFullRecord.aspx?p=682985</t>
  </si>
  <si>
    <t>No Problem</t>
  </si>
  <si>
    <t>Gaetz, Dayle</t>
  </si>
  <si>
    <t>PR9199.4.G34 -- N6 2003eb</t>
  </si>
  <si>
    <t>Baseball players -- Drug use -- Juvenile fiction.; Conduct of life -- Juvenile fiction.; Drug abuse -- Juvenile fiction.; Drug addiction -- Juvenile fiction.; Teenage boys -- Juvenile fiction.; Teenagers -- Drug use -- Juvenile fiction.</t>
  </si>
  <si>
    <t>http://public.eblib.com/choice/PublicFullRecord.aspx?p=682988</t>
  </si>
  <si>
    <t>Alberta Alibi</t>
  </si>
  <si>
    <t>PZ7.G128 -- Al 2005eb</t>
  </si>
  <si>
    <t>Detective and mystery stories.; Housing developers -- Fiction.; Land use -- Fiction.; Nature conservation -- Fiction.; Ranches -- Fiction.; Real estate development -- Fiction.; Wildlife conservation -- Fiction.</t>
  </si>
  <si>
    <t>http://public.eblib.com/choice/PublicFullRecord.aspx?p=682989</t>
  </si>
  <si>
    <t>Barkerville Gold</t>
  </si>
  <si>
    <t>PZ7.G1185 -- Ba 2004eb</t>
  </si>
  <si>
    <t>Barkerville (B.C.) -- History -- Juvenile fiction.; Cariboo (B.C. : Regional district) -- Gold discoveries -- Juvenile fiction.; Detective and mystery stories.; Ghost stories.</t>
  </si>
  <si>
    <t>http://public.eblib.com/choice/PublicFullRecord.aspx?p=682990</t>
  </si>
  <si>
    <t>Something Suspicious in Saskatchewan</t>
  </si>
  <si>
    <t>PZ7.G1185 -- So 2006eb</t>
  </si>
  <si>
    <t>Detective and mystery stories.; Farm life -- Juvenile fiction.; Saskatchewan -- Juvenile literature.</t>
  </si>
  <si>
    <t>http://public.eblib.com/choice/PublicFullRecord.aspx?p=682991</t>
  </si>
  <si>
    <t>Something Girl</t>
  </si>
  <si>
    <t>PR9199.4.G66 -- S66 2005eb</t>
  </si>
  <si>
    <t>Abused teenagers -- Juvenile fiction.; Abusive parents -- Juvenile fiction.; Friendship -- Juvenile fiction.; Self-esteem -- Juvenile fiction.; Teenage girls -- Juvenile fiction.</t>
  </si>
  <si>
    <t>http://public.eblib.com/choice/PublicFullRecord.aspx?p=682993</t>
  </si>
  <si>
    <t>Fixed</t>
  </si>
  <si>
    <t>PZ7.G597 -- Fi 2005eb</t>
  </si>
  <si>
    <t>Brainwashing -- Fiction.; Memory -- Fiction.; Science fiction.; Sisters -- Fiction.; Twins -- Fiction.</t>
  </si>
  <si>
    <t>http://public.eblib.com/choice/PublicFullRecord.aspx?p=682996</t>
  </si>
  <si>
    <t>Flux</t>
  </si>
  <si>
    <t>PZ7.G597 -- Fl 2004eb</t>
  </si>
  <si>
    <t>Human experimentation in medicine -- Juvenile fiction.; Identity (Psychology) -- Juvenile fiction.; Missing persons -- Juvenile fiction.; Mothers -- Juvenile fiction.; Science fiction.; Spirits -- Juvenile fiction.</t>
  </si>
  <si>
    <t>http://public.eblib.com/choice/PublicFullRecord.aspx?p=682997</t>
  </si>
  <si>
    <t>Kicked Out</t>
  </si>
  <si>
    <t>PR9199.4.G66 -- K53 2002eb</t>
  </si>
  <si>
    <t>Brothers and sisters -- Juvenile fiction.; Self-esteem in adolescence -- Juvenile fiction.; Self-realization -- Juvenile fiction.; Teenage girls -- Family relationships -- Juvenile fiction.</t>
  </si>
  <si>
    <t>http://public.eblib.com/choice/PublicFullRecord.aspx?p=682999</t>
  </si>
  <si>
    <t>Sticks and Stones</t>
  </si>
  <si>
    <t>PR9199.4.G66 -- S75 2002eb</t>
  </si>
  <si>
    <t>Dating (Social customs) -- Juvenile fiction.; Gossip -- Juvenile fiction.; High schools -- Juvenile fiction.; Interpersonal relations -- Juvenile fiction.; Schools -- Juvenile fiction.; Self-esteem -- Juvenile fiction.</t>
  </si>
  <si>
    <t>http://public.eblib.com/choice/PublicFullRecord.aspx?p=683000</t>
  </si>
  <si>
    <t>The Dream Where the Losers Go</t>
  </si>
  <si>
    <t>PR9199.3.G613 -- D74 2006eb</t>
  </si>
  <si>
    <t>Dreams -- Fiction.; Gangs -- Fiction.; Rape -- Fiction.; Teenagers -- Mental health services -- Fiction.; Teenagers -- Suicidal behavior -- Fiction.</t>
  </si>
  <si>
    <t>http://public.eblib.com/choice/PublicFullRecord.aspx?p=683001</t>
  </si>
  <si>
    <t>Who Owns Kelly Paddik?</t>
  </si>
  <si>
    <t>PR9199.4.G66 -- W47 2003eb</t>
  </si>
  <si>
    <t>Child abuse -- Juvenile fiction.; Self-esteem -- Juvenile fiction.; Suicide -- Juvenile fiction.; Teenage girls -- Juvenile fiction.; Teenagers -- Suicidal behavior -- Juvenile fiction.</t>
  </si>
  <si>
    <t>http://public.eblib.com/choice/PublicFullRecord.aspx?p=683002</t>
  </si>
  <si>
    <t>Comeback</t>
  </si>
  <si>
    <t>Grant, Vicki</t>
  </si>
  <si>
    <t>PR9199.4.G73 -- C66 2010eb</t>
  </si>
  <si>
    <t>High interest-low vocabulary books.; Parent and child -- Fiction.</t>
  </si>
  <si>
    <t>http://public.eblib.com/choice/PublicFullRecord.aspx?p=683004</t>
  </si>
  <si>
    <t>Dead End Job</t>
  </si>
  <si>
    <t>PR9199.4.G73 -- D43 2005eb</t>
  </si>
  <si>
    <t>Fear -- Juvenile fiction.; Stalking -- Juvenile fiction.</t>
  </si>
  <si>
    <t>http://public.eblib.com/choice/PublicFullRecord.aspx?p=683005</t>
  </si>
  <si>
    <t>I.D.</t>
  </si>
  <si>
    <t>PR9199.4.G73 -- I3 2007eb</t>
  </si>
  <si>
    <t>Identity (Psychology) -- Juvenile fiction.; Identity theft -- Juvenile fiction.; Teenage boys -- Juvenile fiction.</t>
  </si>
  <si>
    <t>http://public.eblib.com/choice/PublicFullRecord.aspx?p=683006</t>
  </si>
  <si>
    <t>Quid Pro Quo</t>
  </si>
  <si>
    <t>PZ7.G7693 -- Qui 2005eb</t>
  </si>
  <si>
    <t>Detective and mystery stories.; Missing persons -- Juvenile fiction.; Mothers and sons -- Juvenile fiction.</t>
  </si>
  <si>
    <t>http://public.eblib.com/choice/PublicFullRecord.aspx?p=683010</t>
  </si>
  <si>
    <t>Res Judicata</t>
  </si>
  <si>
    <t>PR9199.4.G7265 -- R47 2008eb</t>
  </si>
  <si>
    <t>Criminals -- Juvenile fiction.; Mothers and sons -- Juvenile fiction.</t>
  </si>
  <si>
    <t>http://public.eblib.com/choice/PublicFullRecord.aspx?p=683011</t>
  </si>
  <si>
    <t>The Puppet Wrangler</t>
  </si>
  <si>
    <t>PZ7.G7693 -- Pu 2004eb</t>
  </si>
  <si>
    <t>Adventure stories.; Puppets -- Juvenile fiction.; Television -- Production and direction -- Juvenile fiction.</t>
  </si>
  <si>
    <t>http://public.eblib.com/choice/PublicFullRecord.aspx?p=683012</t>
  </si>
  <si>
    <t>Secret Signs</t>
  </si>
  <si>
    <t>Guest, Jacqueline; Harvey, Sarah N</t>
  </si>
  <si>
    <t>PR9199.4.G84 -- S43 2006eb</t>
  </si>
  <si>
    <t>Depressions -- 1929 -- Canada -- Juvenile fiction.; Families -- Juvenile fiction.; Friendship -- Juvenile fiction.; Railroad trains -- Canada -- Juvenile fiction.; Railroad travel -- Canada -- Juvenile fiction.; Runaway teenagers -- Juvenile fiction.; Tramps -- Juvenile fiction.</t>
  </si>
  <si>
    <t>http://public.eblib.com/choice/PublicFullRecord.aspx?p=683013</t>
  </si>
  <si>
    <t>Belle of Batoche</t>
  </si>
  <si>
    <t>Guest, Jacqueline</t>
  </si>
  <si>
    <t>PR9199.4.G84 -- B45 2004eb</t>
  </si>
  <si>
    <t>Batoche, Battle of, Batoche, Sask., 1885 -- Juvenile fiction.; Jealousy -- Juvenile fiction.; Maturation (Psychology) -- Juvenile fiction.; Métis -- Juvenile fiction.</t>
  </si>
  <si>
    <t>http://public.eblib.com/choice/PublicFullRecord.aspx?p=683014</t>
  </si>
  <si>
    <t>Peggy's Letters</t>
  </si>
  <si>
    <t>Halsey, Jacqueline</t>
  </si>
  <si>
    <t>PR9199.4.H35 -- P44 2005eb</t>
  </si>
  <si>
    <t>Friendship -- Juvenile fiction.; World War, 1939-1945 -- England -- London -- Juvenile fiction.</t>
  </si>
  <si>
    <t>http://public.eblib.com/choice/PublicFullRecord.aspx?p=683015</t>
  </si>
  <si>
    <t>Blue Moon</t>
  </si>
  <si>
    <t>Halvorson, Marilyn</t>
  </si>
  <si>
    <t>PR9199.4.H36 -- B58 2004eb</t>
  </si>
  <si>
    <t>Determination (Personality trait) -- Juvenile fiction.; Horses -- Juvenile fiction.</t>
  </si>
  <si>
    <t>http://public.eblib.com/choice/PublicFullRecord.aspx?p=683016</t>
  </si>
  <si>
    <t>Bull Rider</t>
  </si>
  <si>
    <t>PR9199.4.H36 -- B86 2003eb</t>
  </si>
  <si>
    <t>Bull riding -- Juvenile fiction.; Rodeos -- Juvenile fiction.</t>
  </si>
  <si>
    <t>http://public.eblib.com/choice/PublicFullRecord.aspx?p=683017</t>
  </si>
  <si>
    <t>Home Before Dark</t>
  </si>
  <si>
    <t>Hammond, Jo</t>
  </si>
  <si>
    <t>PR9199.4.H36 -- H66 2005eb</t>
  </si>
  <si>
    <t>Boats and boating -- Juvenile fiction.; British Columbia -- Juvenile fiction.; Criminal investigation -- Juvenile fiction.; Loggers -- Crimes against -- Juvenile fiction.; Teenage boys -- Juvenile fiction.</t>
  </si>
  <si>
    <t>http://public.eblib.com/choice/PublicFullRecord.aspx?p=683018</t>
  </si>
  <si>
    <t>Bull's Eye</t>
  </si>
  <si>
    <t>Harvey, Sarah</t>
  </si>
  <si>
    <t>PR9199.4.H37 -- B85 2007eb</t>
  </si>
  <si>
    <t>Adoption -- Juvenile fiction.; Canada -- Juvenile fiction.; Identity (Psychology) -- Juvenile fiction.; Mothers and daughters -- Juvenile fiction.; Victoria (B.C.) -- Juvenile fiction.</t>
  </si>
  <si>
    <t>http://public.eblib.com/choice/PublicFullRecord.aspx?p=683019</t>
  </si>
  <si>
    <t>Plastic</t>
  </si>
  <si>
    <t>PR9199.4.H37 -- P53 2010eb</t>
  </si>
  <si>
    <t>Friendship -- Fiction.; Surgery, Plastic -- Fiction.; Teenagers -- Fiction.</t>
  </si>
  <si>
    <t>http://public.eblib.com/choice/PublicFullRecord.aspx?p=683020</t>
  </si>
  <si>
    <t>Death Benefits</t>
  </si>
  <si>
    <t>PZ7.H26795 -- De 2010eb</t>
  </si>
  <si>
    <t>Caregivers -- Juvenile fiction.; Families -- Juvenile fiction.; Grandfathers -- Care -- Juvenile fiction.; Grandparent and child -- Juvenile fiction.</t>
  </si>
  <si>
    <t>http://public.eblib.com/choice/PublicFullRecord.aspx?p=683022</t>
  </si>
  <si>
    <t>The Lit Report</t>
  </si>
  <si>
    <t>PZ7.H26795 -- Li 2008eb</t>
  </si>
  <si>
    <t>Friendship -- Juvenile fiction.; Infants -- Juvenile fiction.; Loyalty -- Juvenile fiction.; Teenage pregnancy -- Juvenile fiction.</t>
  </si>
  <si>
    <t>http://public.eblib.com/choice/PublicFullRecord.aspx?p=683023</t>
  </si>
  <si>
    <t>Waking : A Fairy Tale</t>
  </si>
  <si>
    <t>Harvey-Fitzhenry, Alyxandra</t>
  </si>
  <si>
    <t>Literature; Philosophy; Juvenile Literature</t>
  </si>
  <si>
    <t>PZ7.H3785 -- Wa 2006eb</t>
  </si>
  <si>
    <t>Confidence.; Dreams.; Friendship.; Mothers -- Death.; Nightmares.; Schools.; Self-realization.</t>
  </si>
  <si>
    <t>http://public.eblib.com/choice/PublicFullRecord.aspx?p=683024</t>
  </si>
  <si>
    <t>A Kind of Courage</t>
  </si>
  <si>
    <t>Heffernan, Colleen</t>
  </si>
  <si>
    <t>PR9199.4.H44 -- K56 2005eb</t>
  </si>
  <si>
    <t>Betrayal -- Juvenile fiction.; Brothers and sisters -- Juvenile fiction.; Courage -- Juvenile fiction.; Farms -- Canada -- Juvenile fiction.; Teenage girls -- Canada -- Juvenile fiction.; World War, 1914-1918 -- Canada -- Juvenile fiction.; World War, 1914-1918 -- Conscientious objectors -- Canada -- Juvenile fiction.</t>
  </si>
  <si>
    <t>http://public.eblib.com/choice/PublicFullRecord.aspx?p=683025</t>
  </si>
  <si>
    <t>All Sleek and Skimming : Stories</t>
  </si>
  <si>
    <t>Heggum, Lisa</t>
  </si>
  <si>
    <t>PR9197.35.T44 -- A66 2006eb</t>
  </si>
  <si>
    <t>813/.0108</t>
  </si>
  <si>
    <t>Adolescence -- Fiction.; Canadian fiction -- 21st century.; Short stories, Canadian.; Teenagers -- Fiction.</t>
  </si>
  <si>
    <t>http://public.eblib.com/choice/PublicFullRecord.aspx?p=683026</t>
  </si>
  <si>
    <t>Dinosaurs on the Beach</t>
  </si>
  <si>
    <t>Helmer, Marilyn</t>
  </si>
  <si>
    <t>PR9199.4.H45 -- D56 2003eb</t>
  </si>
  <si>
    <t>Dinosaur tracks -- Juvenile fiction.; Paleontology -- Juvenile fiction.</t>
  </si>
  <si>
    <t>http://public.eblib.com/choice/PublicFullRecord.aspx?p=683027</t>
  </si>
  <si>
    <t>Bank Job</t>
  </si>
  <si>
    <t>Heneghan, James; Charles, Norma</t>
  </si>
  <si>
    <t>PR9199.3.H4513 -- B36 2009eb</t>
  </si>
  <si>
    <t>Bank robberies -- Juvenile fiction.; Foster home care -- Juvenile fiction.; Teenagers -- Juvenile fiction.</t>
  </si>
  <si>
    <t>http://public.eblib.com/choice/PublicFullRecord.aspx?p=683028</t>
  </si>
  <si>
    <t>Safe House</t>
  </si>
  <si>
    <t>Heneghan, James</t>
  </si>
  <si>
    <t>PZ7.H3865 -- Saf 2006eb</t>
  </si>
  <si>
    <t>Belfast (Northern Ireland) -- Juvenile fiction.; Children of murder victims -- Juvenile fiction.; Murder -- Juvenile fiction.; Witnesses -- Protection -- Juvenile fiction.</t>
  </si>
  <si>
    <t>http://public.eblib.com/choice/PublicFullRecord.aspx?p=683030</t>
  </si>
  <si>
    <t>Torn Away</t>
  </si>
  <si>
    <t>PZ7.H3865 -- To 2003eb</t>
  </si>
  <si>
    <t>Immigrants -- Canada -- Juvenile fiction.; Irish -- Canada -- Juvenile fiction.; Terrorism -- Juvenile fiction.</t>
  </si>
  <si>
    <t>http://public.eblib.com/choice/PublicFullRecord.aspx?p=683031</t>
  </si>
  <si>
    <t>The Big Snapper</t>
  </si>
  <si>
    <t>Holubitsky, Katherine</t>
  </si>
  <si>
    <t>PR9199.3.H65 -- B54 2006eb</t>
  </si>
  <si>
    <t>Fishing stories.; Grandfathers -- Juvenile fiction.; Grandparent and child -- Juvenile fiction.; Maturation (Psychology) -- Juvenile fiction.</t>
  </si>
  <si>
    <t>http://public.eblib.com/choice/PublicFullRecord.aspx?p=683032</t>
  </si>
  <si>
    <t>The Hippie House</t>
  </si>
  <si>
    <t>PZ7.H74279 -- Hip 2004eb</t>
  </si>
  <si>
    <t>Detective and mystery stories.; Hippies -- Fiction.; Murder -- Fiction.</t>
  </si>
  <si>
    <t>http://public.eblib.com/choice/PublicFullRecord.aspx?p=683034</t>
  </si>
  <si>
    <t>The Mountain That Walked</t>
  </si>
  <si>
    <t>PZ7.H657 -- Mo 2005eb</t>
  </si>
  <si>
    <t>Home children (Canadian immigrants) -- Alberta -- Juvenile fiction.; Runaway teenagers -- Juvenile fiction.</t>
  </si>
  <si>
    <t>http://public.eblib.com/choice/PublicFullRecord.aspx?p=683035</t>
  </si>
  <si>
    <t>Tweaked</t>
  </si>
  <si>
    <t>PZ7.H7428 -- Tw 2008eb</t>
  </si>
  <si>
    <t>Brothers -- Juvenile fiction.; Methamphetamine abuse -- Juvenile fiction.; Teenagers -- Drug use -- Juvenile fiction.</t>
  </si>
  <si>
    <t>http://public.eblib.com/choice/PublicFullRecord.aspx?p=683036</t>
  </si>
  <si>
    <t>Gotcha</t>
  </si>
  <si>
    <t>Hrdlitschka, Shelley</t>
  </si>
  <si>
    <t>PZ7.H85613 -- Go 2008eb</t>
  </si>
  <si>
    <t>Betrayal.; Games.; Teenagers.</t>
  </si>
  <si>
    <t>http://public.eblib.com/choice/PublicFullRecord.aspx?p=683038</t>
  </si>
  <si>
    <t>Sister Wife</t>
  </si>
  <si>
    <t>PR9199.4.H73 -- S57 2008eb</t>
  </si>
  <si>
    <t>Polygamy -- Fiction.; Polygamy -- Religious aspects -- Fiction.; Teenagers -- Fiction.</t>
  </si>
  <si>
    <t>http://public.eblib.com/choice/PublicFullRecord.aspx?p=683039</t>
  </si>
  <si>
    <t>Going Places</t>
  </si>
  <si>
    <t>Hurcomb, Fran</t>
  </si>
  <si>
    <t>PR9199.4.H87 -- G65 2009eb</t>
  </si>
  <si>
    <t>Hockey for girls -- Juvenile fiction.; Northwest Territories -- Juvenile fiction.; Vandalism -- Juvenile fiction.</t>
  </si>
  <si>
    <t>http://public.eblib.com/choice/PublicFullRecord.aspx?p=683040</t>
  </si>
  <si>
    <t>TJ and the Quiz Kids</t>
  </si>
  <si>
    <t>Hutchins, Hazel</t>
  </si>
  <si>
    <t>PR9199.3.H88 -- T57 2007eb</t>
  </si>
  <si>
    <t>[Fic]; 813/.54</t>
  </si>
  <si>
    <t>Competition -- Fiction.; Questions and answers -- Fiction.; Schools -- Fiction.</t>
  </si>
  <si>
    <t>http://public.eblib.com/choice/PublicFullRecord.aspx?p=683041</t>
  </si>
  <si>
    <t>TJ and the Sports Fanatic</t>
  </si>
  <si>
    <t>Hutchins, Hazel; Brooker, Kyrsten</t>
  </si>
  <si>
    <t>PR9199.3.H88 -- T573 2006eb</t>
  </si>
  <si>
    <t>Football stories.; Problem solving -- Juvenile fiction.</t>
  </si>
  <si>
    <t>http://public.eblib.com/choice/PublicFullRecord.aspx?p=683042</t>
  </si>
  <si>
    <t>TJ and the Cats</t>
  </si>
  <si>
    <t>PR9199.4.H88 -- T5 2002eb</t>
  </si>
  <si>
    <t>Cats -- Juvenile fiction.; Science projects -- Juvenile fiction.</t>
  </si>
  <si>
    <t>http://public.eblib.com/choice/PublicFullRecord.aspx?p=683043</t>
  </si>
  <si>
    <t>TJ and the Haunted House</t>
  </si>
  <si>
    <t>PR9199.3.H88 -- T54 2003eb</t>
  </si>
  <si>
    <t>Children''s stories.; Haunted houses -- Juvenile fiction.</t>
  </si>
  <si>
    <t>http://public.eblib.com/choice/PublicFullRecord.aspx?p=683044</t>
  </si>
  <si>
    <t>TJ and the Rockets</t>
  </si>
  <si>
    <t>PR9199.4.H88 -- T5 2004eb</t>
  </si>
  <si>
    <t>Inventions -- Juvenile fiction.; Rockets (Aeronautics) -- Juvenile fiction.; Schools -- Juvenile fiction.; Science projects -- Juvenile fiction.; Shoplifting -- Juvenile fiction.; Theft -- Juvenile fiction.</t>
  </si>
  <si>
    <t>http://public.eblib.com/choice/PublicFullRecord.aspx?p=683045</t>
  </si>
  <si>
    <t>Queen of Disguises</t>
  </si>
  <si>
    <t>Dinah Galloway Mysteries</t>
  </si>
  <si>
    <t>Jackson, Melanie</t>
  </si>
  <si>
    <t>PR9199.4.J33 -- Q84 2009eb</t>
  </si>
  <si>
    <t>Canadian fiction.; Detective and mystery stories, Canadian.</t>
  </si>
  <si>
    <t>http://public.eblib.com/choice/PublicFullRecord.aspx?p=683046</t>
  </si>
  <si>
    <t>Shadows on the Train</t>
  </si>
  <si>
    <t>PR9199.4.J33 -- S53 2007eb</t>
  </si>
  <si>
    <t>Detective and mystery stories, Canadian.; Friendship -- Fiction.</t>
  </si>
  <si>
    <t>http://public.eblib.com/choice/PublicFullRecord.aspx?p=683047</t>
  </si>
  <si>
    <t>The Summer of the Spotted Owl : A Dinah Galloway Mystery</t>
  </si>
  <si>
    <t>Dinah Galloway</t>
  </si>
  <si>
    <t>PR9199.4.J33 -- S86 2005eb</t>
  </si>
  <si>
    <t>Endangered ecosystems -- Juvenile fiction.; Endangered species -- Juvenile fiction.; Hang gliding -- Juvenile fiction.; Housesitting -- Juvenile fiction.; Sisters -- Juvenile fiction.; Spotted owl -- Juvenile fiction.; Vancouver (B.C.) -- Juvenile fiction.</t>
  </si>
  <si>
    <t>http://public.eblib.com/choice/PublicFullRecord.aspx?p=683050</t>
  </si>
  <si>
    <t>The Mask on the Cruise Ship</t>
  </si>
  <si>
    <t>PR9199.4.J33 -- M37 2004eb</t>
  </si>
  <si>
    <t>Cruise ships -- Juvenile fiction.; Deception -- Juvenile fiction.; Girls -- British Columbia -- Vancouver -- Juvenile fiction.; Masks -- Juvenile fiction.; Singers -- Juvenile fiction.; Theft -- Juvenile fiction.; Truth -- Juvenile fiction.</t>
  </si>
  <si>
    <t>http://public.eblib.com/choice/PublicFullRecord.aspx?p=683051</t>
  </si>
  <si>
    <t>Dunces Anonymous</t>
  </si>
  <si>
    <t>Jaimet, Kate</t>
  </si>
  <si>
    <t>PZ7.J153543 -- Du 2009eb</t>
  </si>
  <si>
    <t>Clubs -- Juvenile fiction.; Schools -- Juvenile fiction.</t>
  </si>
  <si>
    <t>http://public.eblib.com/choice/PublicFullRecord.aspx?p=683053</t>
  </si>
  <si>
    <t>Lady Ginny's Tea Parties</t>
  </si>
  <si>
    <t>Jolliffe, Susan</t>
  </si>
  <si>
    <t>PR9199.4.J65 -- L33 2007eb</t>
  </si>
  <si>
    <t>Animals -- Juvenile fiction.; Parties -- Juvenile fiction.</t>
  </si>
  <si>
    <t>http://public.eblib.com/choice/PublicFullRecord.aspx?p=683054</t>
  </si>
  <si>
    <t>Over the Rainbow with Googol and Googolplex</t>
  </si>
  <si>
    <t>Kazenbroot, Nelly</t>
  </si>
  <si>
    <t>PS3561.A94 -- O94 2006eb</t>
  </si>
  <si>
    <t>http://public.eblib.com/choice/PublicFullRecord.aspx?p=683055</t>
  </si>
  <si>
    <t>Down the Chimney with Googol and Googolplex</t>
  </si>
  <si>
    <t>PS3561.A94 -- D69 2004eb</t>
  </si>
  <si>
    <t>http://public.eblib.com/choice/PublicFullRecord.aspx?p=683056</t>
  </si>
  <si>
    <t>The Gnome's Eye</t>
  </si>
  <si>
    <t>Kerz, Anna</t>
  </si>
  <si>
    <t>PZ7.K478 -- Gn 2010eb</t>
  </si>
  <si>
    <t>Austria -- History -- 20th century -- Fiction.; Canada -- History -- 20th century -- Fiction.; Emigration and immigration -- Fiction.; Families -- Canada -- Fiction.; Friendship -- Fiction.; Immigrants -- Fiction.; Talismans -- Fiction.</t>
  </si>
  <si>
    <t>http://public.eblib.com/choice/PublicFullRecord.aspx?p=683057</t>
  </si>
  <si>
    <t>The Mealworm Diaries</t>
  </si>
  <si>
    <t>Psychology; Literature; Juvenile Literature</t>
  </si>
  <si>
    <t>PZ7.K477 -- Me 2009eb</t>
  </si>
  <si>
    <t>Children and death -- Juvenile fiction.; Compassion -- Juvenile fiction.; Schools -- Juvenile fiction.</t>
  </si>
  <si>
    <t>http://public.eblib.com/choice/PublicFullRecord.aspx?p=683058</t>
  </si>
  <si>
    <t>My Time as Caz Hazard</t>
  </si>
  <si>
    <t>Kyi, Tanya</t>
  </si>
  <si>
    <t>PR9199.4.K95 -- M9 2004eb</t>
  </si>
  <si>
    <t>Conduct of life -- Fiction.; Suicide -- Fiction.; Teasing -- Fiction.</t>
  </si>
  <si>
    <t>http://public.eblib.com/choice/PublicFullRecord.aspx?p=683062</t>
  </si>
  <si>
    <t>Exit Point</t>
  </si>
  <si>
    <t>Langston, Laura</t>
  </si>
  <si>
    <t>PR9199.4.L36 -- E95 2006eb</t>
  </si>
  <si>
    <t>Child sexual abuse -- Juvenile fiction.; Spirits -- Juvenile fiction.; Teenagers and death -- Juvenile fiction.</t>
  </si>
  <si>
    <t>http://public.eblib.com/choice/PublicFullRecord.aspx?p=683064</t>
  </si>
  <si>
    <t>Hannah's Touch</t>
  </si>
  <si>
    <t>PR9199.4.L36 -- H36 2009eb</t>
  </si>
  <si>
    <t>Bee stings -- Fiction.; Healers -- Fiction.</t>
  </si>
  <si>
    <t>http://public.eblib.com/choice/PublicFullRecord.aspx?p=683065</t>
  </si>
  <si>
    <t>Cougar Cove</t>
  </si>
  <si>
    <t>PR9199.4.L38 -- C68 2004eb</t>
  </si>
  <si>
    <t>Cousins -- Juvenile fiction.; Homesickness -- Juvenile fiction.; Maturation (Psychology) -- Juvenile fiction.; Practical jokes -- Juvenile fiction.; Puma -- Juvenile fiction.</t>
  </si>
  <si>
    <t>http://public.eblib.com/choice/PublicFullRecord.aspx?p=683066</t>
  </si>
  <si>
    <t>Jake Reynolds : Chicken or Eagle?</t>
  </si>
  <si>
    <t>Leach, Sara</t>
  </si>
  <si>
    <t>PR9199.4.L43 -- J35 2009eb</t>
  </si>
  <si>
    <t>Islands -- Juvenile fiction.; Wolves -- Juvenile fiction.</t>
  </si>
  <si>
    <t>http://public.eblib.com/choice/PublicFullRecord.aspx?p=683067</t>
  </si>
  <si>
    <t>Gravity</t>
  </si>
  <si>
    <t>Lieberman, Leanne</t>
  </si>
  <si>
    <t>PZ7.L61633 -- Gr 2008eb</t>
  </si>
  <si>
    <t>Decision making -- Juvenile fiction.; Homosexuality -- Juvenile fiction.; Jews -- Juvenile fiction.; Judaism -- Juvenile fiction.; Lesbian teenagers -- Juvenile fiction.; Self-acceptance -- Juvenile fiction.; Teenage girls -- Juvenile fiction.</t>
  </si>
  <si>
    <t>http://public.eblib.com/choice/PublicFullRecord.aspx?p=683068</t>
  </si>
  <si>
    <t>The Book of Trees</t>
  </si>
  <si>
    <t>PZ7.L61633 -- Bo 2010eb</t>
  </si>
  <si>
    <t>Jerusalem -- Juvenile fiction.; Middle East -- Politics and government -- Juvenile fiction.</t>
  </si>
  <si>
    <t>http://public.eblib.com/choice/PublicFullRecord.aspx?p=683069</t>
  </si>
  <si>
    <t>Forward, Shakespeare</t>
  </si>
  <si>
    <t>Little, Jean</t>
  </si>
  <si>
    <t>PR9199.3.L58 -- F67 2005eb</t>
  </si>
  <si>
    <t>Dogs -- Juvenile fiction.; Guide dogs -- Juvenile fiction.</t>
  </si>
  <si>
    <t>http://public.eblib.com/choice/PublicFullRecord.aspx?p=683070</t>
  </si>
  <si>
    <t>Birdie for Now</t>
  </si>
  <si>
    <t>PR9199.4.L58 -- B57 2002eb</t>
  </si>
  <si>
    <t>Animals -- Juvenile fiction.; Dogs -- Juvenile fiction.</t>
  </si>
  <si>
    <t>http://public.eblib.com/choice/PublicFullRecord.aspx?p=683071</t>
  </si>
  <si>
    <t>Rescue Pup</t>
  </si>
  <si>
    <t>PR9199.3.L58 -- R47 2004eb</t>
  </si>
  <si>
    <t>Dogs -- Juvenile fiction.; Guide dogs -- Juvenile fiction.; Labrador retriever -- Juvenile fiction.</t>
  </si>
  <si>
    <t>http://public.eblib.com/choice/PublicFullRecord.aspx?p=683072</t>
  </si>
  <si>
    <t>All-Season Edie</t>
  </si>
  <si>
    <t>Lyon, Annabel</t>
  </si>
  <si>
    <t>PR9199.3.L98 -- A45 2008eb</t>
  </si>
  <si>
    <t>Families -- Juvenile fiction.; Identity (Psychology) -- Juvenile fiction.</t>
  </si>
  <si>
    <t>http://public.eblib.com/choice/PublicFullRecord.aspx?p=683076</t>
  </si>
  <si>
    <t>Crush</t>
  </si>
  <si>
    <t>Mac, Carrie</t>
  </si>
  <si>
    <t>PR9199.4.M33 -- C78 2006eb</t>
  </si>
  <si>
    <t>Gay youth -- Juvenile fiction.; Self-acceptance -- Juvenile fiction.</t>
  </si>
  <si>
    <t>http://public.eblib.com/choice/PublicFullRecord.aspx?p=683077</t>
  </si>
  <si>
    <t>Jacked</t>
  </si>
  <si>
    <t>PR9199.4.M33 -- J33 2009eb</t>
  </si>
  <si>
    <t>Carjacking -- Juvenile fiction.; Kidnapping -- Juvenile fiction.</t>
  </si>
  <si>
    <t>http://public.eblib.com/choice/PublicFullRecord.aspx?p=683078</t>
  </si>
  <si>
    <t>Pain &amp; Wastings</t>
  </si>
  <si>
    <t>PR9199.4.M33 -- P35 2008eb</t>
  </si>
  <si>
    <t>Allied health personnel -- Juvenile fiction.; Mothers -- Death -- Juvenile fiction.; Problem youth -- Juvenile fiction.</t>
  </si>
  <si>
    <t>http://public.eblib.com/choice/PublicFullRecord.aspx?p=683079</t>
  </si>
  <si>
    <t>Charmed</t>
  </si>
  <si>
    <t>PR9199.4.M33 -- C43 2004eb</t>
  </si>
  <si>
    <t>Drugs -- Juvenile fiction.; Problem youth -- Juvenile fiction.; Teenage prostitution -- Juvenile fiction.</t>
  </si>
  <si>
    <t>http://public.eblib.com/choice/PublicFullRecord.aspx?p=683080</t>
  </si>
  <si>
    <t>The Beckoners</t>
  </si>
  <si>
    <t>PZ7.M11835 -- Be 2004eb</t>
  </si>
  <si>
    <t>Bullying -- Juvenile fiction.; Children of alcoholics -- Juvenile fiction.; Female gangs -- Juvenile fiction.</t>
  </si>
  <si>
    <t>http://public.eblib.com/choice/PublicFullRecord.aspx?p=683081</t>
  </si>
  <si>
    <t>Fastback Beach</t>
  </si>
  <si>
    <t>Matheson, Shirlee</t>
  </si>
  <si>
    <t>PR9199.4.M38 -- F37 2003eb</t>
  </si>
  <si>
    <t>Automobiles -- Juvenile fiction.; Theft -- Juvenile fiction.</t>
  </si>
  <si>
    <t>http://public.eblib.com/choice/PublicFullRecord.aspx?p=683082</t>
  </si>
  <si>
    <t>Lucky's Mountain</t>
  </si>
  <si>
    <t>Maycock, Dianne</t>
  </si>
  <si>
    <t>PR9199.4.M39 -- L83 2007eb</t>
  </si>
  <si>
    <t>Dogs -- Juvenile fiction.; Families -- Juvenile fiction.; Moving, Household -- Juvenile fiction.</t>
  </si>
  <si>
    <t>http://public.eblib.com/choice/PublicFullRecord.aspx?p=683083</t>
  </si>
  <si>
    <t>Bang</t>
  </si>
  <si>
    <t>McClintock, Norah</t>
  </si>
  <si>
    <t>PR9199.4.M33 -- B36 2007eb</t>
  </si>
  <si>
    <t>Firearms -- Juvenile fiction.; Murder -- Juvenile fiction.; Shooting -- Juvenile fiction.; Teenage boys -- Juvenile fiction.; Teenagers -- Juvenile fiction.</t>
  </si>
  <si>
    <t>http://public.eblib.com/choice/PublicFullRecord.aspx?p=683088</t>
  </si>
  <si>
    <t>Down</t>
  </si>
  <si>
    <t>PR9199.4.M33 -- D69 2007eb</t>
  </si>
  <si>
    <t>Anger -- Juvenile fiction.; Gangs -- Juvenile fiction.; Problem youth -- Juvenile fiction.; Racism -- Juvenile fiction.</t>
  </si>
  <si>
    <t>http://public.eblib.com/choice/PublicFullRecord.aspx?p=683089</t>
  </si>
  <si>
    <t>Masked</t>
  </si>
  <si>
    <t>PR9199.4.M33 -- M37 2010eb</t>
  </si>
  <si>
    <t>Robbery -- Juvenile fiction.; Teenage pregnancy -- Juvenile fiction.</t>
  </si>
  <si>
    <t>http://public.eblib.com/choice/PublicFullRecord.aspx?p=683090</t>
  </si>
  <si>
    <t>Picture This</t>
  </si>
  <si>
    <t>PR9199.4.M33 -- P53 2009eb</t>
  </si>
  <si>
    <t>Foster children -- Juvenile fiction.; Problem youth -- Juvenile fiction.</t>
  </si>
  <si>
    <t>http://public.eblib.com/choice/PublicFullRecord.aspx?p=683091</t>
  </si>
  <si>
    <t>Snitch</t>
  </si>
  <si>
    <t>PR9199.4.M33 -- S65 2005eb</t>
  </si>
  <si>
    <t>Anger -- Juvenile fiction.; Dogs -- Juvenile fiction.; Problem youth -- Juvenile fiction.</t>
  </si>
  <si>
    <t>http://public.eblib.com/choice/PublicFullRecord.aspx?p=683092</t>
  </si>
  <si>
    <t>Tell</t>
  </si>
  <si>
    <t>PR9199.4.M33 -- T46 2006eb</t>
  </si>
  <si>
    <t>Murder -- Investigation -- Juvenile fiction.; Murder -- Juvenile fiction.; Police questioning -- Juvenile fiction.; Stepfathers -- Juvenile fiction.; Teenage boys -- Juvenile fiction.; Truthfulness and falsehood -- Juvenile fiction.</t>
  </si>
  <si>
    <t>http://public.eblib.com/choice/PublicFullRecord.aspx?p=683093</t>
  </si>
  <si>
    <t>Back</t>
  </si>
  <si>
    <t>PR9199.4.M33 -- B33 2009eb</t>
  </si>
  <si>
    <t>Murder -- Juvenile fiction.; Revenge -- Juvenile fiction.; Teenagers -- Juvenile fiction.</t>
  </si>
  <si>
    <t>http://public.eblib.com/choice/PublicFullRecord.aspx?p=683095</t>
  </si>
  <si>
    <t>Klutzhood</t>
  </si>
  <si>
    <t>McMahen, Chris</t>
  </si>
  <si>
    <t>PR9199.4.M1615 -- K58 2007eb</t>
  </si>
  <si>
    <t>Canada -- Juvenile fiction.; Hockey stories.; Moving, Household -- Juvenile fiction.; Schools -- Juvenile fiction.; Self-confidence -- Juvenile fiction.</t>
  </si>
  <si>
    <t>http://public.eblib.com/choice/PublicFullRecord.aspx?p=683097</t>
  </si>
  <si>
    <t>Tabloidology</t>
  </si>
  <si>
    <t>PR9199.4.M1615 -- T32 2009eb</t>
  </si>
  <si>
    <t>Journalism -- Juvenile fiction.; Schools -- Juvenile fiction.; Student newspapers and periodicals -- Juvenile fiction.</t>
  </si>
  <si>
    <t>http://public.eblib.com/choice/PublicFullRecord.aspx?p=683098</t>
  </si>
  <si>
    <t>Addison Addley and the Things That Aren't There</t>
  </si>
  <si>
    <t>McMillan, Melody DeFields</t>
  </si>
  <si>
    <t>PR9199.4.M36 -- A33 2008eb</t>
  </si>
  <si>
    <t>Canada -- Juvenile fiction.; Humorous stories.; Mathematics -- Juvenile fiction.; Public speaking -- Juvenile fiction.; Schools -- Juvenile fiction.</t>
  </si>
  <si>
    <t>http://public.eblib.com/choice/PublicFullRecord.aspx?p=683099</t>
  </si>
  <si>
    <t>Addison Addley and the Trick of the Eye</t>
  </si>
  <si>
    <t>PR9199.4.M36 -- A33 2009eb</t>
  </si>
  <si>
    <t>Detective and mystery stories.; Optical illusions -- Juvenile fiction.</t>
  </si>
  <si>
    <t>http://public.eblib.com/choice/PublicFullRecord.aspx?p=683100</t>
  </si>
  <si>
    <t>Tough Trails</t>
  </si>
  <si>
    <t>Morck, Irene</t>
  </si>
  <si>
    <t>PR9199.4.M67 -- T68 2003eb</t>
  </si>
  <si>
    <t>Horse owners -- Juvenile fiction.; Horses -- Juvenile fiction.</t>
  </si>
  <si>
    <t>http://public.eblib.com/choice/PublicFullRecord.aspx?p=683101</t>
  </si>
  <si>
    <t>After Peaches</t>
  </si>
  <si>
    <t>Mulder, Michelle</t>
  </si>
  <si>
    <t>PR9199.4.M85 -- A38 2009eb</t>
  </si>
  <si>
    <t>Canada -- Juvenile fiction.; Migrant agricultural laborers -- Juvenile fiction.; Political refugees -- Juvenile fiction.</t>
  </si>
  <si>
    <t>http://public.eblib.com/choice/PublicFullRecord.aspx?p=683102</t>
  </si>
  <si>
    <t>Ten Thumb Sam</t>
  </si>
  <si>
    <t>Muller, Rachel</t>
  </si>
  <si>
    <t>PR9199.4.M86 -- T46 2007eb</t>
  </si>
  <si>
    <t>Circus -- Juvenile fiction.; Families -- Juvenile fiction.; Identity (Psychology) -- Juvenile fiction.</t>
  </si>
  <si>
    <t>http://public.eblib.com/choice/PublicFullRecord.aspx?p=683104</t>
  </si>
  <si>
    <t>When the Curtain Rises</t>
  </si>
  <si>
    <t>PZ7.M8554 -- Whe 2007eb</t>
  </si>
  <si>
    <t>Families.; Great-grandfathers.; Magicians.; Missing persons.; Pianists.; Stage fright.; Teenage girls.</t>
  </si>
  <si>
    <t>http://public.eblib.com/choice/PublicFullRecord.aspx?p=683106</t>
  </si>
  <si>
    <t>Exposure</t>
  </si>
  <si>
    <t>Murdoch, Patricia</t>
  </si>
  <si>
    <t>PR9199.4.M87 -- E97 2006eb</t>
  </si>
  <si>
    <t>-Fic-</t>
  </si>
  <si>
    <t>Bullying -- Juvenile fiction.; Revenge -- Juvenile fiction.</t>
  </si>
  <si>
    <t>http://public.eblib.com/choice/PublicFullRecord.aspx?p=683107</t>
  </si>
  <si>
    <t>Fred and Pete at the Beach</t>
  </si>
  <si>
    <t>Nugent, Cynthia</t>
  </si>
  <si>
    <t>PR9199.4.N84 -- F74 2009eb</t>
  </si>
  <si>
    <t>Beaches -- Juvenile fiction.; Dogs -- Juvenile fiction.</t>
  </si>
  <si>
    <t>http://public.eblib.com/choice/PublicFullRecord.aspx?p=683108</t>
  </si>
  <si>
    <t>Middle Row</t>
  </si>
  <si>
    <t>Olsen, Sylvia</t>
  </si>
  <si>
    <t>PR9199.4.O47 -- M53 2008eb</t>
  </si>
  <si>
    <t>Indians of North America -- Canada -- Juvenile fiction.; Interracial dating -- Juvenile fiction.; Missing persons -- Juvenile fiction.</t>
  </si>
  <si>
    <t>http://public.eblib.com/choice/PublicFullRecord.aspx?p=683109</t>
  </si>
  <si>
    <t>Yellow Line</t>
  </si>
  <si>
    <t>PR9199.4.O67 -- Y46 2005eb</t>
  </si>
  <si>
    <t>First loves -- Juvenile fiction.; Indigenous peoples -- Canada -- Juvenile fiction.; Prejudices -- Juvenile fiction.; Teenagers -- Juvenile fiction.; Whites -- Canada -- Juvenile fiction.</t>
  </si>
  <si>
    <t>http://public.eblib.com/choice/PublicFullRecord.aspx?p=683110</t>
  </si>
  <si>
    <t>Murphy &amp; Mousetrap</t>
  </si>
  <si>
    <t>Orca Young Reader</t>
  </si>
  <si>
    <t>PR9199.4.O67 -- M87 2005eb</t>
  </si>
  <si>
    <t>Boys -- British Columbia -- Juvenile fiction.; Cats -- Juvenile fiction.; Indian reservations -- Alberta -- Juvenile fiction.; Moving, Household -- Juvenile fiction.; Nootka Indians -- Juvenile fiction.; Racially mixed children -- Juvenile fiction.; Soccer players -- Juvenile fiction.</t>
  </si>
  <si>
    <t>http://public.eblib.com/choice/PublicFullRecord.aspx?p=683111</t>
  </si>
  <si>
    <t>Different Game</t>
  </si>
  <si>
    <t>PR9199.4.O67 -- D54 2010eb</t>
  </si>
  <si>
    <t>Leukemia -- Fiction.; Soccer stories.</t>
  </si>
  <si>
    <t>http://public.eblib.com/choice/PublicFullRecord.aspx?p=683112</t>
  </si>
  <si>
    <t>Catching Spring</t>
  </si>
  <si>
    <t>PR9199.4.O67 -- C38 2004eb</t>
  </si>
  <si>
    <t>Determination (Personality trait) -- Juvenile fiction.; Fishing stories.; Sportsmanship -- Juvenile fiction.</t>
  </si>
  <si>
    <t>http://public.eblib.com/choice/PublicFullRecord.aspx?p=683113</t>
  </si>
  <si>
    <t>Orca Soundings Resource Guide</t>
  </si>
  <si>
    <t>Geye, Susan; Various, Orca</t>
  </si>
  <si>
    <t>Language/Linguistics; Education</t>
  </si>
  <si>
    <t>LB1632 -- .O72 2009eb</t>
  </si>
  <si>
    <t>428.4071/2</t>
  </si>
  <si>
    <t>Creative activities and seat work.; Language arts -- Remedial teaching.; Language arts (Secondary); Literature -- Study and teaching (Secondary); Readers (Secondary); Reading -- Remedial teaching.; Young adult literature -- Study and teaching (Secondary)</t>
  </si>
  <si>
    <t>http://public.eblib.com/choice/PublicFullRecord.aspx?p=683114</t>
  </si>
  <si>
    <t>Emily's Dream</t>
  </si>
  <si>
    <t>Pearce, Jacqueline</t>
  </si>
  <si>
    <t>PR9199.4.P43 -- E45 2005eb</t>
  </si>
  <si>
    <t>Artists -- Juvenile fiction.; Carr, Emily, -- 1871-1945 -- Childhood and youth -- Juvenile fiction.; Determination (Personality trait) -- Juvenile fiction.; Maturation (Psychology) -- Juvenile fiction.; Sisters -- Juvenile fiction.</t>
  </si>
  <si>
    <t>http://public.eblib.com/choice/PublicFullRecord.aspx?p=683117</t>
  </si>
  <si>
    <t>Discovering Emily</t>
  </si>
  <si>
    <t>PR9199.4.P43 -- D57 2004eb</t>
  </si>
  <si>
    <t>Artists -- Juvenile fiction.; Carr, Emily, -- 1871-1945 -- Childhood and youth -- Juvenile fiction.; Identity (Psychology) -- Juvenile fiction.</t>
  </si>
  <si>
    <t>http://public.eblib.com/choice/PublicFullRecord.aspx?p=683118</t>
  </si>
  <si>
    <t>The Reunion</t>
  </si>
  <si>
    <t>PR9199.4.P43 -- R48 2002eb</t>
  </si>
  <si>
    <t>Fighting (Psychology) -- Juvenile fiction.; Friendship -- Juvenile fiction.; Girls -- Juvenile fiction.; Grandmothers -- Juvenile fiction.; Japanese -- Canada -- Evacuation and relocation, 1942-1945 -- Juvenile fiction.</t>
  </si>
  <si>
    <t>http://public.eblib.com/choice/PublicFullRecord.aspx?p=683119</t>
  </si>
  <si>
    <t>Ballad of Knuckles McGraw</t>
  </si>
  <si>
    <t>Peterson, Lois</t>
  </si>
  <si>
    <t>PR9199.4.P48 -- B36 2010eb</t>
  </si>
  <si>
    <t>Abandoned children -- Juvenile fiction.; Foster children -- Juvenile fiction.; Foster home care -- Juvenile fiction.; Grandparent and child -- Juvenile fiction.</t>
  </si>
  <si>
    <t>http://public.eblib.com/choice/PublicFullRecord.aspx?p=683121</t>
  </si>
  <si>
    <t>Meeting Miss 405</t>
  </si>
  <si>
    <t>PR9199.4.P48 -- M44 2008eb</t>
  </si>
  <si>
    <t>Canada -- Juvenile fiction.; Families -- Juvenile fiction.; Friendship -- Juvenile fiction.</t>
  </si>
  <si>
    <t>http://public.eblib.com/choice/PublicFullRecord.aspx?p=683122</t>
  </si>
  <si>
    <t>Silver Rain</t>
  </si>
  <si>
    <t>Philosophy; Literature; Juvenile Literature</t>
  </si>
  <si>
    <t>PZ7.P44513 -- Si 2010eb</t>
  </si>
  <si>
    <t>Abandoned children -- Juvenile fiction.; Dance marathons -- Juvenile fiction.; Depressions -- Juvenile fiction.; Missing persons -- Juvenile fiction.; United States -- Juvenile fiction.; Vancouver (B.C.) -- Juvenile fiction.; Young adult fiction.</t>
  </si>
  <si>
    <t>http://public.eblib.com/choice/PublicFullRecord.aspx?p=683123</t>
  </si>
  <si>
    <t>Home Invasion</t>
  </si>
  <si>
    <t>Polak, Monique</t>
  </si>
  <si>
    <t>PR9199.4.P65 -- H66 2005eb</t>
  </si>
  <si>
    <t>Montréal (Québec) -- Juvenile fiction.; Robbery -- Juvenile fiction.; Stepfathers -- Juvenile fiction.; Teenage boys -- Juvenile fiction.</t>
  </si>
  <si>
    <t>http://public.eblib.com/choice/PublicFullRecord.aspx?p=683127</t>
  </si>
  <si>
    <t>No More Pranks</t>
  </si>
  <si>
    <t>PN6231.P67 -- N6 2004eb</t>
  </si>
  <si>
    <t>Practical jokes -- Juvenile literature.; Wit and humor.</t>
  </si>
  <si>
    <t>http://public.eblib.com/choice/PublicFullRecord.aspx?p=683128</t>
  </si>
  <si>
    <t>The Middle of Everywhere</t>
  </si>
  <si>
    <t>PZ7.P75226 -- Mi 2009eb</t>
  </si>
  <si>
    <t>Inuit -- Québec (Province) -- Nunavik -- Social conditions -- Juvenile fiction.</t>
  </si>
  <si>
    <t>http://public.eblib.com/choice/PublicFullRecord.aspx?p=683129</t>
  </si>
  <si>
    <t>What World is Left</t>
  </si>
  <si>
    <t>Young Adult Novels</t>
  </si>
  <si>
    <t>PZ7.P75226 -- Wha 2008eb</t>
  </si>
  <si>
    <t>Children -- Juvenile fiction.; Families -- Juvenile fiction.; Netherlands -- Juvenile fiction.; Survival -- Juvenile fiction.; World War, 1939-1945 -- Juvenile fiction.</t>
  </si>
  <si>
    <t>http://public.eblib.com/choice/PublicFullRecord.aspx?p=683130</t>
  </si>
  <si>
    <t>Making Change : Tips from an Underage Overachiever</t>
  </si>
  <si>
    <t>Rajan, Bilaal; Fisher, Nigel</t>
  </si>
  <si>
    <t>HV41.2 -- .R355 2008eb</t>
  </si>
  <si>
    <t>361.7068/1</t>
  </si>
  <si>
    <t>Fund raising -- Juvenile literature.; Humanitarianism -- Juvenile literature.</t>
  </si>
  <si>
    <t>http://public.eblib.com/choice/PublicFullRecord.aspx?p=683131</t>
  </si>
  <si>
    <t>Orphan Ahwak</t>
  </si>
  <si>
    <t>Rivera, Raquel</t>
  </si>
  <si>
    <t>PR9199.4.R58 -- O76 2007eb</t>
  </si>
  <si>
    <t>Hunting stories -- Juvenile fiction.; Inuit -- Juvenile fiction.; Massacres -- Juvenile fiction.; Orphans -- Juvenile fiction.; Wilderness survival -- Juvenile fiction.</t>
  </si>
  <si>
    <t>http://public.eblib.com/choice/PublicFullRecord.aspx?p=683132</t>
  </si>
  <si>
    <t>First and Ten</t>
  </si>
  <si>
    <t>South Side Sports</t>
  </si>
  <si>
    <t>Rud, Jeff</t>
  </si>
  <si>
    <t>PR9194.4.R83 -- F57 2007eb</t>
  </si>
  <si>
    <t>Football stories.; Parent and child -- Juvenile fiction.</t>
  </si>
  <si>
    <t>http://public.eblib.com/choice/PublicFullRecord.aspx?p=683137</t>
  </si>
  <si>
    <t>High and Inside</t>
  </si>
  <si>
    <t>PR9199.4 -- .R83 2006eb</t>
  </si>
  <si>
    <t>Baseball stories -- Fiction.; Courage -- Fiction.; Marijuana -- Fiction.; Peer pressure -- Fiction.; Teenage boys -- Fiction.</t>
  </si>
  <si>
    <t>http://public.eblib.com/choice/PublicFullRecord.aspx?p=683138</t>
  </si>
  <si>
    <t>Responsible</t>
  </si>
  <si>
    <t>Ryan, Darlene</t>
  </si>
  <si>
    <t>PR9199.4.R93 -- R47 2007eb</t>
  </si>
  <si>
    <t>Bullying -- Juvenile fiction.; Fathers and sons -- Juvenile fiction.; High schools -- Juvenile fiction.; Responsibility -- Juvenile fiction.</t>
  </si>
  <si>
    <t>http://public.eblib.com/choice/PublicFullRecord.aspx?p=683139</t>
  </si>
  <si>
    <t>Saving Grace</t>
  </si>
  <si>
    <t>PR9199.4.R93 -- S38 2006eb</t>
  </si>
  <si>
    <t>Kidnapping -- Juvenile fiction.; Runaway teenagers -- Juvenile fiction.; Teenage mothers -- Juvenile fiction.</t>
  </si>
  <si>
    <t>http://public.eblib.com/choice/PublicFullRecord.aspx?p=683140</t>
  </si>
  <si>
    <t>Five Minutes More</t>
  </si>
  <si>
    <t>PZ7.R949 -- Fi 2009eb</t>
  </si>
  <si>
    <t>Fathers -- Death.; Grief.; Suicide.; Teenagers and death.</t>
  </si>
  <si>
    <t>http://public.eblib.com/choice/PublicFullRecord.aspx?p=683142</t>
  </si>
  <si>
    <t>Rules for Life</t>
  </si>
  <si>
    <t>PZ7.R9487 -- Ru 2004eb</t>
  </si>
  <si>
    <t>Brothers and sisters -- Juvenile fiction.; Fathers and daughters -- Juvenile fiction.; Maturation (Psychology) -- Juvenile fiction.; Stepmothers -- Juvenile fiction.</t>
  </si>
  <si>
    <t>http://public.eblib.com/choice/PublicFullRecord.aspx?p=683143</t>
  </si>
  <si>
    <t>Robbie Packford - Alien Monster</t>
  </si>
  <si>
    <t>Sander, Heather</t>
  </si>
  <si>
    <t>PR9199.4.S36 -- R63 2003eb</t>
  </si>
  <si>
    <t>Extraterrestrial beings -- Juvenile fiction.; Good and evil -- Juvenile fiction.; Life on other planets -- Juvenile fiction.; Monsters -- Juvenile fiction.; Quests (Expeditions) -- Juvenile fiction.; Robots -- Juvenile fiction.</t>
  </si>
  <si>
    <t>http://public.eblib.com/choice/PublicFullRecord.aspx?p=683145</t>
  </si>
  <si>
    <t>Leaving Fletchville</t>
  </si>
  <si>
    <t>Schmidt, Rene</t>
  </si>
  <si>
    <t>PR9199.4.S36 -- L43 2008eb</t>
  </si>
  <si>
    <t>Family secrets -- Juvenile fiction.; Friendship -- Juvenile fiction.; Schools -- Juvenile fiction.; Teenage boys -- Juvenile fiction.; Toleration -- Juvenile fiction.</t>
  </si>
  <si>
    <t>http://public.eblib.com/choice/PublicFullRecord.aspx?p=683146</t>
  </si>
  <si>
    <t>Cellular</t>
  </si>
  <si>
    <t>Schwartz, Ellen</t>
  </si>
  <si>
    <t>PR9199.4.S35 -- C46 2010eb</t>
  </si>
  <si>
    <t>Leukemia -- Fiction.; Leukemia -- Patients -- Fiction.</t>
  </si>
  <si>
    <t>http://public.eblib.com/choice/PublicFullRecord.aspx?p=683147</t>
  </si>
  <si>
    <t>Jesse's Star</t>
  </si>
  <si>
    <t>PR9199.3.S39 -- J47 2000eb</t>
  </si>
  <si>
    <t>Emigration and immigration -- Juvenile fiction.; Jews -- Russia -- History -- Juvenile fiction.; Russia -- History -- Alexander III, 1881-1894 -- Juvenile fiction.</t>
  </si>
  <si>
    <t>http://public.eblib.com/choice/PublicFullRecord.aspx?p=683148</t>
  </si>
  <si>
    <t>Yossi's Goal</t>
  </si>
  <si>
    <t>Schwartz, Ellen; Bevilacqua, Silvana</t>
  </si>
  <si>
    <t>PR9199.3.S39 -- Y67 2006eb</t>
  </si>
  <si>
    <t>Immigrants -- Canada -- Juvenile fiction.; Jews -- Juvenile fiction.; Montréal (Québec) -- Social conditions -- 19th century -- Juvenile fiction.; Poor families -- Juvenile fiction.</t>
  </si>
  <si>
    <t>http://public.eblib.com/choice/PublicFullRecord.aspx?p=683149</t>
  </si>
  <si>
    <t>Any Pet Will Do</t>
  </si>
  <si>
    <t>Shouse, Nancy</t>
  </si>
  <si>
    <t>PR9199.4.S46 -- A69 2005eb</t>
  </si>
  <si>
    <t>816/.6</t>
  </si>
  <si>
    <t>Pet sitting -- Juvenile fiction.; Pets -- Juvenile fiction.</t>
  </si>
  <si>
    <t>http://public.eblib.com/choice/PublicFullRecord.aspx?p=683150</t>
  </si>
  <si>
    <t>Under a Living Sky</t>
  </si>
  <si>
    <t>Simons, Joseph</t>
  </si>
  <si>
    <t>PR9199.4.S56 -- U63 2005eb</t>
  </si>
  <si>
    <t>Christmas stories.; Depressions -- 1929 -- Saskatchewan -- Juvenile fiction.; Dolls -- Juvenile fiction.; Jealousy -- Juvenile fiction.; Sibling rivalry -- Juvenile fiction.; Sisters -- Juvenile fiction.</t>
  </si>
  <si>
    <t>http://public.eblib.com/choice/PublicFullRecord.aspx?p=683151</t>
  </si>
  <si>
    <t>What a Hippopota-Mess</t>
  </si>
  <si>
    <t>PR9199.4.S54 -- W43 2006eb</t>
  </si>
  <si>
    <t>Animals -- Juvenile poetry.; Canadian poetry.</t>
  </si>
  <si>
    <t>http://public.eblib.com/choice/PublicFullRecord.aspx?p=683152</t>
  </si>
  <si>
    <t>Heart of the Hill</t>
  </si>
  <si>
    <t>Summer of Magic Quarter</t>
  </si>
  <si>
    <t>Spalding, Andrea</t>
  </si>
  <si>
    <t>PZ7.S7319 -- He 2005eb</t>
  </si>
  <si>
    <t>England.; Good and evil.; Imaginary places.; Magic.; Quests (Expeditions)</t>
  </si>
  <si>
    <t>http://public.eblib.com/choice/PublicFullRecord.aspx?p=683154</t>
  </si>
  <si>
    <t>Behind the Sorcerer's Cloak</t>
  </si>
  <si>
    <t>Summer of Magic Quartet</t>
  </si>
  <si>
    <t>PZ7.S7319 -- Be 2006eb</t>
  </si>
  <si>
    <t>Fantasy fiction.; Good and evil.; Mythology, Celtic.; Quests (Expeditions)</t>
  </si>
  <si>
    <t>http://public.eblib.com/choice/PublicFullRecord.aspx?p=683155</t>
  </si>
  <si>
    <t>Big Guy</t>
  </si>
  <si>
    <t>Stevenson, Robin</t>
  </si>
  <si>
    <t>PR9199.4.S84 -- B54 2008eb</t>
  </si>
  <si>
    <t>Body image -- Juvenile fiction.; Gay teenagers -- Juvenile fiction.; Self-acceptance -- Juvenile fiction.</t>
  </si>
  <si>
    <t>http://public.eblib.com/choice/PublicFullRecord.aspx?p=683158</t>
  </si>
  <si>
    <t>In the Woods</t>
  </si>
  <si>
    <t>PR9199.4.S84 -- I6 2009eb</t>
  </si>
  <si>
    <t>Abandoned children -- Juvenile fiction.; Brothers and sisters -- Juvenile fiction.</t>
  </si>
  <si>
    <t>http://public.eblib.com/choice/PublicFullRecord.aspx?p=683159</t>
  </si>
  <si>
    <t>A Thousand Shades of Blue</t>
  </si>
  <si>
    <t>PR9199.4.S84 -- T46 2008eb</t>
  </si>
  <si>
    <t>Bahamas -- Juvenile fiction.; Family problems -- Juvenile fiction.; Interpersonal relations -- Juvenile fiction.; Sailing -- Juvenile fiction.; Self-perception -- Juvenile fiction.</t>
  </si>
  <si>
    <t>http://public.eblib.com/choice/PublicFullRecord.aspx?p=683161</t>
  </si>
  <si>
    <t>Impossible Things</t>
  </si>
  <si>
    <t>PR9199.4.S74 -- I47 2008eb</t>
  </si>
  <si>
    <t>Canada -- Fiction.; Families -- Canada -- Fiction.; Friendship -- Fiction.; Mothers and daughters -- Fiction.; Schools -- Fiction.</t>
  </si>
  <si>
    <t>http://public.eblib.com/choice/PublicFullRecord.aspx?p=683162</t>
  </si>
  <si>
    <t>Inferno</t>
  </si>
  <si>
    <t>PR9199.4.S84 -- I64 2009eb</t>
  </si>
  <si>
    <t>Identity (Psychology) -- Juvenile fiction.; Lesbian teenagers -- Juvenile fiction.; Problem youth -- Juvenile fiction.</t>
  </si>
  <si>
    <t>http://public.eblib.com/choice/PublicFullRecord.aspx?p=683163</t>
  </si>
  <si>
    <t>Liars and Fools</t>
  </si>
  <si>
    <t>PR9199.4.S84 -- L53 2010eb</t>
  </si>
  <si>
    <t>Bereavement -- Fiction.; Fathers and daughters -- Fiction.; Mothers -- Death -- Fiction.; Psychics -- Fiction.; Spiritualism -- Fiction.</t>
  </si>
  <si>
    <t>http://public.eblib.com/choice/PublicFullRecord.aspx?p=683164</t>
  </si>
  <si>
    <t>Out of Order</t>
  </si>
  <si>
    <t>PR9199.4.S74 -- O98 2007eb</t>
  </si>
  <si>
    <t>Canada -- Juvenile fiction.; Friendship -- Juvenile fiction.; High schools -- Juvenile fiction.; Schools -- Juvenile fiction.; Self-esteem -- Juvenile fiction.; Self-perception -- Juvenile fiction.</t>
  </si>
  <si>
    <t>http://public.eblib.com/choice/PublicFullRecord.aspx?p=683165</t>
  </si>
  <si>
    <t>My Name is Mitch</t>
  </si>
  <si>
    <t>Supeene, Shelagh</t>
  </si>
  <si>
    <t>PR9199.4.S87 -- M9 2003eb</t>
  </si>
  <si>
    <t>Bullying -- Juvenile fiction.; Canadian fiction.</t>
  </si>
  <si>
    <t>http://public.eblib.com/choice/PublicFullRecord.aspx?p=683166</t>
  </si>
  <si>
    <t>Jo's Journey</t>
  </si>
  <si>
    <t>Tate, Nikki; Carrington, Emily</t>
  </si>
  <si>
    <t>PR9199.4.T38 -- J67 2006eb</t>
  </si>
  <si>
    <t>Cariboo (B.C. : Regional district) -- Gold discoveries -- Juvenile fiction.; Sex role -- Juvenile fiction.</t>
  </si>
  <si>
    <t>http://public.eblib.com/choice/PublicFullRecord.aspx?p=683169</t>
  </si>
  <si>
    <t>Jo's Triumph</t>
  </si>
  <si>
    <t>Tate, Nikki</t>
  </si>
  <si>
    <t>PR9199.4.T38 -- J67 2002eb</t>
  </si>
  <si>
    <t>Girls -- Juvenile fiction.; Nevada -- Juvenile fiction.; Orphans -- Juvenile fiction.; Pony express -- Juvenile fiction.; Sex role -- Juvenile fiction.</t>
  </si>
  <si>
    <t>http://public.eblib.com/choice/PublicFullRecord.aspx?p=683170</t>
  </si>
  <si>
    <t>First Time</t>
  </si>
  <si>
    <t>Tilly, Meg</t>
  </si>
  <si>
    <t>PR9199.4.T55 -- F57 2008eb</t>
  </si>
  <si>
    <t>Friendship -- Juvenile fiction.; Mothers and daughters -- Juvenile fiction.; Sexually abused teenagers -- Juvenile fiction.</t>
  </si>
  <si>
    <t>http://public.eblib.com/choice/PublicFullRecord.aspx?p=683173</t>
  </si>
  <si>
    <t>Art's Supplies</t>
  </si>
  <si>
    <t>Tougas, Chris</t>
  </si>
  <si>
    <t>PZ7.T6473 -- Ar 2008eb</t>
  </si>
  <si>
    <t>Artists'' materials -- Juvenile fiction.; Artists'' tools -- Juvenile fiction.; Picture books for children -- Juvenile fiction.; Puns and punning -- Juvenile fiction.</t>
  </si>
  <si>
    <t>http://public.eblib.com/choice/PublicFullRecord.aspx?p=683174</t>
  </si>
  <si>
    <t>Mechanimals</t>
  </si>
  <si>
    <t>PZ7.T64717 -- Me 2007eb</t>
  </si>
  <si>
    <t>Farm life.; Picture books for children.; Robots.</t>
  </si>
  <si>
    <t>http://public.eblib.com/choice/PublicFullRecord.aspx?p=683175</t>
  </si>
  <si>
    <t>Emville Confidential</t>
  </si>
  <si>
    <t>Trembath, Don</t>
  </si>
  <si>
    <t>PR9199.4.T74 -- E68 2007eb</t>
  </si>
  <si>
    <t>Alberta -- Juvenile fiction.; Brothers and sisters -- Juvenile fiction.; Detective and mystery stories.; Epilepsy -- Juvenile fiction.; Friendship -- Juvenile fiction.</t>
  </si>
  <si>
    <t>http://public.eblib.com/choice/PublicFullRecord.aspx?p=683177</t>
  </si>
  <si>
    <t>Rooster</t>
  </si>
  <si>
    <t>PR9199.4.T74 -- R66 2005eb</t>
  </si>
  <si>
    <t>Bowling -- Juvenile fiction.; Maturation (Psychology) -- Juvenile fiction.; People with mental disabilities -- Juvenile fiction.; Problem youth -- Juvenile fiction.</t>
  </si>
  <si>
    <t>http://public.eblib.com/choice/PublicFullRecord.aspx?p=683178</t>
  </si>
  <si>
    <t>Lockdown</t>
  </si>
  <si>
    <t>Tullson, Diane</t>
  </si>
  <si>
    <t>PR9199.4.T86 -- L63 2008eb</t>
  </si>
  <si>
    <t>Bullying -- Juvenile fiction.; School shootings -- Juvenile fiction.; Teenage boys -- Juvenile fiction.</t>
  </si>
  <si>
    <t>http://public.eblib.com/choice/PublicFullRecord.aspx?p=683179</t>
  </si>
  <si>
    <t>Sea Change</t>
  </si>
  <si>
    <t>PR9199.4.T86 -- S42 2010eb</t>
  </si>
  <si>
    <t>Accidents -- Juvenile fiction.; British Columbia -- Juvenile fiction.; Children of divorced parents -- Juvenile fiction.</t>
  </si>
  <si>
    <t>http://public.eblib.com/choice/PublicFullRecord.aspx?p=683180</t>
  </si>
  <si>
    <t>The Darwin Expedition</t>
  </si>
  <si>
    <t>PR9199.4.T86 -- D37 2007eb</t>
  </si>
  <si>
    <t>Grizzly bear -- Juvenile fiction.; Wilderness survival -- Juvenile fiction.</t>
  </si>
  <si>
    <t>http://public.eblib.com/choice/PublicFullRecord.aspx?p=683181</t>
  </si>
  <si>
    <t>Red Sea</t>
  </si>
  <si>
    <t>PZ7.T82318 -- Re 2005eb</t>
  </si>
  <si>
    <t>Boats and boating -- Fiction.; Mothers and daughters -- Fiction.; Pirates -- Fiction.; Survival -- Fiction.; Voyages and travels -- Fiction.</t>
  </si>
  <si>
    <t>http://public.eblib.com/choice/PublicFullRecord.aspx?p=683182</t>
  </si>
  <si>
    <t>Riley Park</t>
  </si>
  <si>
    <t>PR9199.4.T85 -- R55 2009eb</t>
  </si>
  <si>
    <t>Assault and battery -- Juvenile fiction.; Murder -- Juvenile fiction.; Victims of crimes -- Juvenile fiction.</t>
  </si>
  <si>
    <t>http://public.eblib.com/choice/PublicFullRecord.aspx?p=683183</t>
  </si>
  <si>
    <t>Last Loon</t>
  </si>
  <si>
    <t>Upjohn, Rebecca</t>
  </si>
  <si>
    <t>PR9199.4.U65 -- L37 2010eb</t>
  </si>
  <si>
    <t>Aunts -- Juvenile fiction.; Human-animal relationships -- Juvenile fiction.; Loons -- Juvenile fiction.</t>
  </si>
  <si>
    <t>http://public.eblib.com/choice/PublicFullRecord.aspx?p=683184</t>
  </si>
  <si>
    <t>Knifepoint</t>
  </si>
  <si>
    <t>Van Tol, Alex</t>
  </si>
  <si>
    <t>PR9199.4.V36 -- K65 2010eb</t>
  </si>
  <si>
    <t>Dude ranches -- Juvenile fiction.; Escapes -- Juvenile fiction.</t>
  </si>
  <si>
    <t>http://public.eblib.com/choice/PublicFullRecord.aspx?p=683185</t>
  </si>
  <si>
    <t>Orca Echoes Resource Guide</t>
  </si>
  <si>
    <t>LB1576 -- V357 2010eb</t>
  </si>
  <si>
    <t>372.6/044</t>
  </si>
  <si>
    <t>Language arts -- Correlation with content subjects.; Language arts (Elementary)</t>
  </si>
  <si>
    <t>http://public.eblib.com/choice/PublicFullRecord.aspx?p=683186</t>
  </si>
  <si>
    <t>Leftovers</t>
  </si>
  <si>
    <t>Waldorf, Heather</t>
  </si>
  <si>
    <t>PR9199.4.W36 -- L44 2009eb</t>
  </si>
  <si>
    <t>Cancer -- Patients -- Juvenile fiction.; Child sexual abuse -- Juvenile fiction.; Dogs -- Juvenile fiction.; Fathers and daughters -- Juvenile fiction.</t>
  </si>
  <si>
    <t>http://public.eblib.com/choice/PublicFullRecord.aspx?p=683187</t>
  </si>
  <si>
    <t>Five Stars for Emily</t>
  </si>
  <si>
    <t>Waldron, Kathleen</t>
  </si>
  <si>
    <t>PR9199.3.W35 -- F58 2004eb</t>
  </si>
  <si>
    <t>Disappointment -- Juvenile fiction.; Vacations -- Juvenile fiction.; Winter -- Juvenile fiction.</t>
  </si>
  <si>
    <t>http://public.eblib.com/choice/PublicFullRecord.aspx?p=683188</t>
  </si>
  <si>
    <t>Underdog</t>
  </si>
  <si>
    <t>Eric Walters' Basketball Books</t>
  </si>
  <si>
    <t>PR9199.3.W35 -- U53 2004eb</t>
  </si>
  <si>
    <t>Basketball stories.; Racism -- Juvenile fiction.; Teamwork (Sports) -- Juvenile fiction.</t>
  </si>
  <si>
    <t>http://public.eblib.com/choice/PublicFullRecord.aspx?p=683191</t>
  </si>
  <si>
    <t>House Party</t>
  </si>
  <si>
    <t>PR9199.4.W36 -- H68 2007eb</t>
  </si>
  <si>
    <t>Parties -- Juvenile fiction.; Responsibility -- Juvenile fiction.; Teenagers -- Juvenile fiction.</t>
  </si>
  <si>
    <t>http://public.eblib.com/choice/PublicFullRecord.aspx?p=683198</t>
  </si>
  <si>
    <t>Juice</t>
  </si>
  <si>
    <t>PR9199.4.W36 -- J85 2005eb</t>
  </si>
  <si>
    <t>Doping in sports -- Juvenile fiction.; Football stories.; High schools -- Juvenile fiction.; School sports -- Juvenile fiction.; Steroids -- Juvenile fiction.</t>
  </si>
  <si>
    <t>http://public.eblib.com/choice/PublicFullRecord.aspx?p=683199</t>
  </si>
  <si>
    <t>Stuffed</t>
  </si>
  <si>
    <t>PR9199.4.W36 -- S88 2006eb</t>
  </si>
  <si>
    <t>Boycotts -- Juvenile fiction.; Electronic mail messages -- Juvenile fiction.; Fast food restaurants -- Juvenile fiction.; High schools -- Juvenile fiction.; Student movements -- Juvenile fiction.; Teenage boys -- Juvenile fiction.</t>
  </si>
  <si>
    <t>http://public.eblib.com/choice/PublicFullRecord.aspx?p=683200</t>
  </si>
  <si>
    <t>Home Team</t>
  </si>
  <si>
    <t>Walters, Eric; Williams, Jerome ; Williams, Johnnie , III</t>
  </si>
  <si>
    <t>PR9199.3.W35 -- H64 2010eb</t>
  </si>
  <si>
    <t>Basketball stories.</t>
  </si>
  <si>
    <t>http://public.eblib.com/choice/PublicFullRecord.aspx?p=683201</t>
  </si>
  <si>
    <t>Triple Threat</t>
  </si>
  <si>
    <t>PR9199.3 W35 -- T75 2004eb</t>
  </si>
  <si>
    <t>Basketball stories.; Books and reading -- Juvenile fiction.; Bullying -- Juvenile fiction.</t>
  </si>
  <si>
    <t>http://public.eblib.com/choice/PublicFullRecord.aspx?p=683202</t>
  </si>
  <si>
    <t>When Elephants Fight : The Lives of Children in Conflict in Afghanistan, Bosnia, Sri Lanka, Sudan and Uganda</t>
  </si>
  <si>
    <t>Walters, Eric; Bradbury, Adrian</t>
  </si>
  <si>
    <t>General Works/Reference; Social Science</t>
  </si>
  <si>
    <t>HQ784.W3 -- W29 2009eb</t>
  </si>
  <si>
    <t>Children and war.</t>
  </si>
  <si>
    <t>http://public.eblib.com/choice/PublicFullRecord.aspx?p=683204</t>
  </si>
  <si>
    <t>Boot Camp</t>
  </si>
  <si>
    <t>Walters, Eric; Williams, Johnnie , III</t>
  </si>
  <si>
    <t>PR9199.4.W36 -- B66 2007eb</t>
  </si>
  <si>
    <t>Basketball stories.; Teamwork (Sports) -- Juvenile fiction.</t>
  </si>
  <si>
    <t>http://public.eblib.com/choice/PublicFullRecord.aspx?p=683205</t>
  </si>
  <si>
    <t>Caged Eagles</t>
  </si>
  <si>
    <t>PZ7.W17129 -- Cag 2000eb</t>
  </si>
  <si>
    <t>World War, 1939-1945 -- Canada -- Juvenile fiction.</t>
  </si>
  <si>
    <t>http://public.eblib.com/choice/PublicFullRecord.aspx?p=683206</t>
  </si>
  <si>
    <t>Full Court Press</t>
  </si>
  <si>
    <t>PR9199.3.W35 -- F84 2000eb</t>
  </si>
  <si>
    <t>Basketball stories.; Determination (Personality trait) -- Juvenile fiction.; Friendship -- Juvenile fiction.; Teamwork (Sports) -- Juvenile fiction.</t>
  </si>
  <si>
    <t>http://public.eblib.com/choice/PublicFullRecord.aspx?p=683207</t>
  </si>
  <si>
    <t>Grind</t>
  </si>
  <si>
    <t>PR9199.4.W35 -- G75 2004eb</t>
  </si>
  <si>
    <t>Canadian fiction.; Right and wrong -- Juvenile fiction.</t>
  </si>
  <si>
    <t>http://public.eblib.com/choice/PublicFullRecord.aspx?p=683208</t>
  </si>
  <si>
    <t>Long Shot</t>
  </si>
  <si>
    <t>PR9199.4.W36 -- L66 2001eb</t>
  </si>
  <si>
    <t>Basketball coaches -- Juvenile fiction.; Basketball stories.; Courage -- Juvenile fiction.; Leadership -- Juvenile fiction.</t>
  </si>
  <si>
    <t>http://public.eblib.com/choice/PublicFullRecord.aspx?p=683210</t>
  </si>
  <si>
    <t>Off Season</t>
  </si>
  <si>
    <t>PR9199.4.W36 -- O44 2003eb</t>
  </si>
  <si>
    <t>Basketball players -- Juvenile fiction.; Cousins -- Juvenile fiction.; Forest fires -- Juvenile fiction.; National parks and reserves -- British Columbia -- Juvenile fiction.; Vacations -- British Columbia -- Juvenile fiction.</t>
  </si>
  <si>
    <t>http://public.eblib.com/choice/PublicFullRecord.aspx?p=683211</t>
  </si>
  <si>
    <t>Overdrive</t>
  </si>
  <si>
    <t>PR9199.4.W36 -- O84 2004eb</t>
  </si>
  <si>
    <t>Drag racing -- Juvenile fiction.; Guilt -- Juvenile fiction.; Teenage boys -- Juvenile fiction.; Traffic accidents -- Juvenile fiction.</t>
  </si>
  <si>
    <t>http://public.eblib.com/choice/PublicFullRecord.aspx?p=683212</t>
  </si>
  <si>
    <t>Road Trip</t>
  </si>
  <si>
    <t>PR9199.3.W35 -- R63 2002eb</t>
  </si>
  <si>
    <t>Basketball stories.; Coaches (Athletics) -- Juvenile fiction.; Contests -- Juvenile fiction.</t>
  </si>
  <si>
    <t>http://public.eblib.com/choice/PublicFullRecord.aspx?p=683213</t>
  </si>
  <si>
    <t>Fouling Out</t>
  </si>
  <si>
    <t>Walters, Gregory</t>
  </si>
  <si>
    <t>PZ7.W17145 -- Fo 2008eb</t>
  </si>
  <si>
    <t>Abused teenagers -- Juvenile fiction.; Friendship -- Juvenile fiction.; Popularity.; Problem youth -- Juvenile fiction.; Runaway teenagers -- Juvenile fiction.</t>
  </si>
  <si>
    <t>http://public.eblib.com/choice/PublicFullRecord.aspx?p=683217</t>
  </si>
  <si>
    <t>Simon Says Gold : Simon Whitfield's Pursuit of Athletic Excellence</t>
  </si>
  <si>
    <t>Whitfield, Simon; Dheensaw, Cleve</t>
  </si>
  <si>
    <t>Literature; Sport &amp; Recreation</t>
  </si>
  <si>
    <t>PR9199.4.W45 -- S56 2009eb</t>
  </si>
  <si>
    <t>796.42/57092</t>
  </si>
  <si>
    <t>Athletes -- Canada -- Biography -- Juvenile literature.; Olympics -- Participation, Canadian -- Juvenile literature.; Triathlon -- Juvenile literature.; Whitfield, Simon, -- 1975- -- Juvenile literature.</t>
  </si>
  <si>
    <t>http://public.eblib.com/choice/PublicFullRecord.aspx?p=683218</t>
  </si>
  <si>
    <t>Death on the River</t>
  </si>
  <si>
    <t>PZ7.W6964 -- De 2009eb</t>
  </si>
  <si>
    <t>United States -- History -- Civil War, 1861-1865 -- Prisoners and prisons -- Juvenile fiction.</t>
  </si>
  <si>
    <t>http://public.eblib.com/choice/PublicFullRecord.aspx?p=683220</t>
  </si>
  <si>
    <t>Written in Blood</t>
  </si>
  <si>
    <t>PZ7.W6964 -- Wr 2010eb</t>
  </si>
  <si>
    <t>Absentee fathers -- West (U.S.) -- Juvenile fiction.</t>
  </si>
  <si>
    <t>http://public.eblib.com/choice/PublicFullRecord.aspx?p=683221</t>
  </si>
  <si>
    <t>Blob</t>
  </si>
  <si>
    <t>Wishinsky, Frieda</t>
  </si>
  <si>
    <t>PR9199.4.W57 -- B4 2010eb</t>
  </si>
  <si>
    <t>High school students -- Juvenile fiction.; High schools -- Juvenile fiction.; Schools -- Juvenile fiction.; Teenagers -- Juvenile fiction.; Weight gain -- Juvenile fiction.</t>
  </si>
  <si>
    <t>http://public.eblib.com/choice/PublicFullRecord.aspx?p=683222</t>
  </si>
  <si>
    <t>Just Call Me Joe</t>
  </si>
  <si>
    <t>Wishinsky, Frieda; McCallum, Stephen</t>
  </si>
  <si>
    <t>PR9199.3.W57 -- J87 2003eb</t>
  </si>
  <si>
    <t>Gangs -- Juvenile fiction.; Homesickness -- Juvenile fiction.; Immigrants -- United States -- Juvenile fiction.</t>
  </si>
  <si>
    <t>http://public.eblib.com/choice/PublicFullRecord.aspx?p=683224</t>
  </si>
  <si>
    <t>Breathless</t>
  </si>
  <si>
    <t>Withers, Pam</t>
  </si>
  <si>
    <t>PR9199.4.W58 -- B74 2005eb</t>
  </si>
  <si>
    <t>Body image -- Juvenile fiction.; First loves -- Juvenile fiction.; Scuba diving -- Juvenile fiction.</t>
  </si>
  <si>
    <t>http://public.eblib.com/choice/PublicFullRecord.aspx?p=683228</t>
  </si>
  <si>
    <t>Learning to Fly</t>
  </si>
  <si>
    <t>Yee, Paul</t>
  </si>
  <si>
    <t>PR9199.4.Y44 -- L43 2008eb</t>
  </si>
  <si>
    <t>Canadian fiction.; Chinese -- Canada -- Juvenile fiction.</t>
  </si>
  <si>
    <t>http://public.eblib.com/choice/PublicFullRecord.aspx?p=683230</t>
  </si>
  <si>
    <t>Fleeing Vesuvius : Overcoming the Risks of Economic and Environmental Collapse</t>
  </si>
  <si>
    <t>Fallon, Gillian; Douthwaite, Richard; Heinberg, Richard</t>
  </si>
  <si>
    <t>HC79.E5 -- F58 2011eb</t>
  </si>
  <si>
    <t>Electronic books. -- local; Environmental economics.; Finance.; Global Financial Crisis, 2008-2009.; Sustainable development.</t>
  </si>
  <si>
    <t>http://public.eblib.com/choice/PublicFullRecord.aspx?p=684143</t>
  </si>
  <si>
    <t>Reinventing Collapse : The Soviet Experience and American Prospects</t>
  </si>
  <si>
    <t>Orlov, Dmitry</t>
  </si>
  <si>
    <t>History; Business/Management</t>
  </si>
  <si>
    <t>HC106.83 -- .O75 2011eb</t>
  </si>
  <si>
    <t>Economic forecasting -- United States.; Electronic books. -- local; Soviet Union -- History -- 1985-1991.; United States -- Economic conditions -- 2001-2009.; United States -- Politics and government -- 2001-2009.</t>
  </si>
  <si>
    <t>http://public.eblib.com/choice/PublicFullRecord.aspx?p=684254</t>
  </si>
  <si>
    <t>Urban Agriculture : Ideas and Designs for the New Food Revolution</t>
  </si>
  <si>
    <t>S494.5.U72 -- T73 2011eb</t>
  </si>
  <si>
    <t>Community gardens.; Electronic books. -- local; Urban agriculture.; Urban gardening.</t>
  </si>
  <si>
    <t>http://public.eblib.com/choice/PublicFullRecord.aspx?p=684279</t>
  </si>
  <si>
    <t>Huguenots and French Opinion, 1685-1787 : The Enlightenment Debate on Toleration</t>
  </si>
  <si>
    <t>Wilfrid Laurier University Press</t>
  </si>
  <si>
    <t>Editions SR</t>
  </si>
  <si>
    <t>Adams, Geoffrey</t>
  </si>
  <si>
    <t>BX9454.2 -- .A33 1991eb</t>
  </si>
  <si>
    <t>272/.4/0944</t>
  </si>
  <si>
    <t>Huguenots -- France -- History.; Religious tolerance -- France -- History -- 18th century.</t>
  </si>
  <si>
    <t>http://public.eblib.com/choice/PublicFullRecord.aspx?p=685488</t>
  </si>
  <si>
    <t>Call of Conscience : French Protestant Responses to the Algerian War, 1954-1962</t>
  </si>
  <si>
    <t>History; Religion</t>
  </si>
  <si>
    <t>BX4843 -- .A33 1998eb</t>
  </si>
  <si>
    <t>965/.046/0882044</t>
  </si>
  <si>
    <t>Algeria -- History -- Revolution, 1954-1962 -- Foreign public opinion, French.; Protestants -- France -- Attitudes -- History -- 20th century.; Public opinion -- France -- History -- 20th century.</t>
  </si>
  <si>
    <t>http://public.eblib.com/choice/PublicFullRecord.aspx?p=685489</t>
  </si>
  <si>
    <t>Where I Come From</t>
  </si>
  <si>
    <t>Life Writing</t>
  </si>
  <si>
    <t>Agnew, Vijay</t>
  </si>
  <si>
    <t>FC106.E2 -- Z7 2003eb</t>
  </si>
  <si>
    <t>971/.00491411/0092</t>
  </si>
  <si>
    <t>Agnew, Vijay, -- 1946-; College teachers -- Canada -- Biography.; Electronic books. -- local; Immigrants -- Canada -- Biography.</t>
  </si>
  <si>
    <t>http://public.eblib.com/choice/PublicFullRecord.aspx?p=685490</t>
  </si>
  <si>
    <t>Cruel but Not Unusual : Violence in Canadian Families</t>
  </si>
  <si>
    <t>Alaggia, Ramona; Vine, Cathy</t>
  </si>
  <si>
    <t>HV6626.23.C3 -- C79 2006eb</t>
  </si>
  <si>
    <t>362.82/92/0971</t>
  </si>
  <si>
    <t>Abused elderly -- Canada.; Children and violence -- Canada.; Electronic books. -- local; Family violence -- Canada.; Women -- Violence against -- Canada.</t>
  </si>
  <si>
    <t>http://public.eblib.com/choice/PublicFullRecord.aspx?p=685492</t>
  </si>
  <si>
    <t>Reflections on Cultural Policy : Past, Present and Future</t>
  </si>
  <si>
    <t>Alderson, Evan; Blaser, Robin; Coward, Harold</t>
  </si>
  <si>
    <t>NX720 -- .R44 1993eb</t>
  </si>
  <si>
    <t>Art and state.; Cultural policy.; Electronic books. -- local</t>
  </si>
  <si>
    <t>http://public.eblib.com/choice/PublicFullRecord.aspx?p=685493</t>
  </si>
  <si>
    <t>Can the World Be Governed? : Possibilities for Effective Multilateralism</t>
  </si>
  <si>
    <t>Studies in International Governance</t>
  </si>
  <si>
    <t>Alexandroff, Alan S.</t>
  </si>
  <si>
    <t>JZ1318 -- .C36 2008eb</t>
  </si>
  <si>
    <t>Electronic books. -- local; International cooperation.; International economic relations.; International organization.; International relations.; Security, International.</t>
  </si>
  <si>
    <t>http://public.eblib.com/choice/PublicFullRecord.aspx?p=685495</t>
  </si>
  <si>
    <t>Developments in Buddhist Thought : Canadian Contributions to Buddhist Studies</t>
  </si>
  <si>
    <t>SR Supplements</t>
  </si>
  <si>
    <t>Amore, Roy C.</t>
  </si>
  <si>
    <t>BQ4165 -- .D47 1979eb</t>
  </si>
  <si>
    <t>294.3/4; 294.342</t>
  </si>
  <si>
    <t>Buddhism -- Doctrines.; Electronic books. -- local; Religions.</t>
  </si>
  <si>
    <t>http://public.eblib.com/choice/PublicFullRecord.aspx?p=685496</t>
  </si>
  <si>
    <t>Life Writings of Mary Baker McQuesten : Victorian Matriarch</t>
  </si>
  <si>
    <t>Anderson, Mary J.</t>
  </si>
  <si>
    <t>FC3098.26.M36 -- A4 2004eb</t>
  </si>
  <si>
    <t>971.3/5203/092</t>
  </si>
  <si>
    <t>Electronic books. -- local; Hamilton (Ont.) -- Biography.; Hamilton (Ont.) -- History.; McQuesten, Mary Baker, -- 1849-1934 -- Correspondence.</t>
  </si>
  <si>
    <t>http://public.eblib.com/choice/PublicFullRecord.aspx?p=685497</t>
  </si>
  <si>
    <t>Weaving Relationships : Canada-Guatemala Solidarity</t>
  </si>
  <si>
    <t>Comparative Ethics</t>
  </si>
  <si>
    <t>Anderson, Kathryn</t>
  </si>
  <si>
    <t>BV4466 -- .A53 2003eb</t>
  </si>
  <si>
    <t>261.8/328/0897415207281</t>
  </si>
  <si>
    <t>Church work with refugees -- Guatemala.; Electronic books. -- local; Mayas -- Crimes against -- Guatemala.</t>
  </si>
  <si>
    <t>http://public.eblib.com/choice/PublicFullRecord.aspx?p=685498</t>
  </si>
  <si>
    <t>Faces of Reason : An Essay on Philosophy and Culture in English Canada1850-1950</t>
  </si>
  <si>
    <t>Armour, Leslie; Trott, Elizabeth</t>
  </si>
  <si>
    <t>B981 -- .A75 1981eb</t>
  </si>
  <si>
    <t>Canada -- Intellectual life.; Electronic books. -- local; Philosophy -- Canada -- History.</t>
  </si>
  <si>
    <t>http://public.eblib.com/choice/PublicFullRecord.aspx?p=685501</t>
  </si>
  <si>
    <t>Seven Eggs Today : The Diaries of Mary Armstrong, 1859 and 1869</t>
  </si>
  <si>
    <t>Armstrong, Jackson Webster</t>
  </si>
  <si>
    <t>FC3097.26.A74 -- A3 2004eb</t>
  </si>
  <si>
    <t>971.3/54102/092</t>
  </si>
  <si>
    <t>Armstrong, Mary, -- 1819-1881 -- Diaries.; Electronic books. -- local; Toronto Region (Ont.) -- Biography.; Toronto Region (Ont.) -- History -- Sources.; Toronto Région de (Ont.) -- Histoire -- Sources.</t>
  </si>
  <si>
    <t>http://public.eblib.com/choice/PublicFullRecord.aspx?p=685502</t>
  </si>
  <si>
    <t>Religious Rivalries and the Struggle for Success in Sardis and Smyrna</t>
  </si>
  <si>
    <t>Studies in Christianity and Judaism</t>
  </si>
  <si>
    <t>Ascough, Richard S.</t>
  </si>
  <si>
    <t>BL1060 -- .R44 2005eb</t>
  </si>
  <si>
    <t>200/.939/22</t>
  </si>
  <si>
    <t>Electronic books. -- local; İzmir (Turkey) -- Religion.; Sardis (Extinct city) -- Religion.</t>
  </si>
  <si>
    <t>http://public.eblib.com/choice/PublicFullRecord.aspx?p=685504</t>
  </si>
  <si>
    <t>Studies in the Book of Job</t>
  </si>
  <si>
    <t>Aufrecht, Walter E.</t>
  </si>
  <si>
    <t>BS1415.2 -- .S89 1985eb</t>
  </si>
  <si>
    <t>223; 223.106; 223/.106</t>
  </si>
  <si>
    <t>Bible as literature.; Bible. -- O.T. -- Job -- Criticism, interpretation, etc. -- Congresses.; Electronic books. -- local</t>
  </si>
  <si>
    <t>http://public.eblib.com/choice/PublicFullRecord.aspx?p=685505</t>
  </si>
  <si>
    <t>Education as and for Legitimacy : Developments in West Indian Education Between 1846 and 1895</t>
  </si>
  <si>
    <t>Bacchus, M. Kazim</t>
  </si>
  <si>
    <t>LA476 -- .B3 1994eb</t>
  </si>
  <si>
    <t>370; 370.9729</t>
  </si>
  <si>
    <t>Education -- West Indies, British -- History -- 19th century.; Education and state -- West Indies, British -- History -- 19th century.; Electronic books. -- local</t>
  </si>
  <si>
    <t>http://public.eblib.com/choice/PublicFullRecord.aspx?p=685508</t>
  </si>
  <si>
    <t>Education for Development or Underdevelopment? : Guyana's Educational System and its Implications for the Third World</t>
  </si>
  <si>
    <t>Bacchus, M.K.; Boyd, Rosalind E.</t>
  </si>
  <si>
    <t>LC2607 -- .B33 1980eb</t>
  </si>
  <si>
    <t>370.9881; 370/.988/1</t>
  </si>
  <si>
    <t>Developing countries -- Education.; Electronic books. -- local; Guyana -- Economic conditions.; Guyana -- Social conditions.; School management and organization -- Guyana.</t>
  </si>
  <si>
    <t>http://public.eblib.com/choice/PublicFullRecord.aspx?p=685509</t>
  </si>
  <si>
    <t>Utilization, Misuse, and Development of Human Resources in the Early West Indian Colonies</t>
  </si>
  <si>
    <t>LA476 -- .B33 1990eb</t>
  </si>
  <si>
    <t>Blacks -- Education -- West Indies, British -- History.; Education -- Social aspects -- West Indies, British -- History.; Education -- West Indies, British -- History.; Electronic books. -- local; West Indies, British -- Social conditions.</t>
  </si>
  <si>
    <t>http://public.eblib.com/choice/PublicFullRecord.aspx?p=685510</t>
  </si>
  <si>
    <t>Religious Studies in Manitoba and Saskatchewan : A State-of-the-Art Review</t>
  </si>
  <si>
    <t>Study of Religion in Canada</t>
  </si>
  <si>
    <t>Badertscher, John M.; Harland, Gordon; Miller, Roland E.</t>
  </si>
  <si>
    <t>BL41 -- .B33 1993eb</t>
  </si>
  <si>
    <t>200/.71/1712</t>
  </si>
  <si>
    <t>Electronic books. -- local; Religion -- Study and teaching (Higher) -- Manitoba.; Religion -- Study and teaching (Higher) -- Saskatchewan.; Theology -- Study and teaching (Higher) -- Manitoba.; Theology -- Study and teaching (Higher) -- Saskatchewan.</t>
  </si>
  <si>
    <t>http://public.eblib.com/choice/PublicFullRecord.aspx?p=685511</t>
  </si>
  <si>
    <t>Babies for the Nation : The Medicalization of Motherhood in Quebec, 1910-1970</t>
  </si>
  <si>
    <t>Studies in Childhood and Family in Canada</t>
  </si>
  <si>
    <t>Baillargeon, Denyse; Wilson, W. Donald</t>
  </si>
  <si>
    <t>Social Science; Medicine; Health</t>
  </si>
  <si>
    <t>RG963.C2 -- Q43 2009eb</t>
  </si>
  <si>
    <t>362.198; 362.1982009714</t>
  </si>
  <si>
    <t>Child care -- Québec (Province) -- History -- 20th century.; Electronic books. -- local; Maternal health services -- Québec (Province) -- History -- 20th century.; Newborn infants -- Care -- Québec (Province) -- History -- 20th century.; Newborn infants -- Mortality -- Québec (Province) -- History -- 20th century.; Obstetrics -- Social aspects -- Québec (Province) -- History -- 20th century.; Social control -- Québec (Province) -- History -- 20th century.</t>
  </si>
  <si>
    <t>http://public.eblib.com/choice/PublicFullRecord.aspx?p=685512</t>
  </si>
  <si>
    <t>Imperial Power and Regional Trade : The Caribbean Basin Initiative</t>
  </si>
  <si>
    <t>Bakan, Abigail B.; Cox, David; Leys, Colin</t>
  </si>
  <si>
    <t>Business/Management; Law</t>
  </si>
  <si>
    <t>HF1456.5.C27 -- I56 1993eb</t>
  </si>
  <si>
    <t>Caribbean Area -- Foreign economic relations -- United States.; Caribbean Basin Initiative, 1983-; Commerce.; Electronic books. -- local; United States -- Foreign economic relations -- Caribbean Area.</t>
  </si>
  <si>
    <t>http://public.eblib.com/choice/PublicFullRecord.aspx?p=685513</t>
  </si>
  <si>
    <t>Lord, Giver of Life : Toward a Pneumatological Complement to George Lindbeck's Theory of Doctrine</t>
  </si>
  <si>
    <t>Barter Moulaison, Jane</t>
  </si>
  <si>
    <t>BT83.595 -- .B37 2007eb</t>
  </si>
  <si>
    <t>230; 230.09; 230.0904</t>
  </si>
  <si>
    <t>Dogma.; Lindbeck, George A. -- Criticism and interpretation.; Postliberal theology.; Theology, Doctrinal.</t>
  </si>
  <si>
    <t>http://public.eblib.com/choice/PublicFullRecord.aspx?p=685515</t>
  </si>
  <si>
    <t>In Search of Alberto Guerrero</t>
  </si>
  <si>
    <t>Beckwith, John</t>
  </si>
  <si>
    <t>ML417.G934 -- B39 2006eb</t>
  </si>
  <si>
    <t>786.2/092</t>
  </si>
  <si>
    <t>Electronic books. -- local; Guerrero, Alberto.; Music teachers -- Canada -- Biography.; Pianists -- Canada -- Biography.; Pianists -- Chile -- Biography.</t>
  </si>
  <si>
    <t>http://public.eblib.com/choice/PublicFullRecord.aspx?p=685517</t>
  </si>
  <si>
    <t>Baptism, Peace and the State in the Reformed and Mennonite Traditions</t>
  </si>
  <si>
    <t>Bender, Ross T.; Sell, Alan P.F.</t>
  </si>
  <si>
    <t>BX9419.5.M46 -- B37 1991eb</t>
  </si>
  <si>
    <t>230/.5</t>
  </si>
  <si>
    <t>Baptism -- Mennonites -- Congresses.; Baptism -- Reformed Church -- Congresses.; Church and state -- Mennonites -- Congresses.; Church and state -- Reformed Church -- Congresses.; Peace -- Religious aspects -- Mennonites -- Congresses.; Peace -- Religious aspects -- Reformed Church -- Congresses.; Reformed Church -- Doctrines -- Congresses.</t>
  </si>
  <si>
    <t>http://public.eblib.com/choice/PublicFullRecord.aspx?p=685520</t>
  </si>
  <si>
    <t>From Civil Strife to Peace Building : Examining Private Sector Involvement in West African Reconstruction</t>
  </si>
  <si>
    <t>Besada, Hany</t>
  </si>
  <si>
    <t>JZ5584.A358 -- F76 2009eb</t>
  </si>
  <si>
    <t>Africa, West -- Economic conditions -- 1960-; Conflict management -- Africa, West.; Economic development -- Africa, West.; Electronic books. -- local; Peace-building -- Africa, West.; Postwar reconstruction -- Africa, West.</t>
  </si>
  <si>
    <t>http://public.eblib.com/choice/PublicFullRecord.aspx?p=685522</t>
  </si>
  <si>
    <t>Politics of Enchantment : Romanticism, Media, and Cultural Studies</t>
  </si>
  <si>
    <t>Cultural Studies</t>
  </si>
  <si>
    <t>Black, J. David</t>
  </si>
  <si>
    <t>B836.5 -- .B58 2002eb</t>
  </si>
  <si>
    <t>306/.01</t>
  </si>
  <si>
    <t>Culture -- Philosophy.; Culture -- Study and teaching.; Electronic books. -- local; Mass media -- Philosophy.; Mass media criticism.; Romanticism.</t>
  </si>
  <si>
    <t>http://public.eblib.com/choice/PublicFullRecord.aspx?p=685523</t>
  </si>
  <si>
    <t>Silence, the Word and the Sacred</t>
  </si>
  <si>
    <t>Blodgett, E.D.; Coward, H.G.; Wiebe, Rudy</t>
  </si>
  <si>
    <t>PN49 -- .S56 1989eb</t>
  </si>
  <si>
    <t>Electronic books. -- local; Holy, The, in literature -- Congresses.; Language and languages -- Religious aspects -- Congresses.; Poetry -- History and criticism -- Congresses.; Silence -- Religious aspects -- Congresses.</t>
  </si>
  <si>
    <t>http://public.eblib.com/choice/PublicFullRecord.aspx?p=685524</t>
  </si>
  <si>
    <t>William Wilfred Campbell : Selected Poetry and Essays</t>
  </si>
  <si>
    <t>Boone, Laurel</t>
  </si>
  <si>
    <t>PR9199.2.C28 -- A6 1987eb</t>
  </si>
  <si>
    <t>Canadian essays.; Canadian poetry.; Electronic books. -- local</t>
  </si>
  <si>
    <t>http://public.eblib.com/choice/PublicFullRecord.aspx?p=685526</t>
  </si>
  <si>
    <t>Persons - What Philosophers Say about You : What Philosophers Say about You</t>
  </si>
  <si>
    <t>Bourgeois, Warren</t>
  </si>
  <si>
    <t>BD450 -- B68 2003eb</t>
  </si>
  <si>
    <t>Electronic books. -- local; Identity (Philosophical concept); Persons.; Self (Philosophy)</t>
  </si>
  <si>
    <t>http://public.eblib.com/choice/PublicFullRecord.aspx?p=685527</t>
  </si>
  <si>
    <t>Religious Studies in Atlantic Canada : A State-of-the-Art Review</t>
  </si>
  <si>
    <t>Bowlby, Paul W.R.; Faulkner, Tom</t>
  </si>
  <si>
    <t>BL41 -- .B69 2001eb</t>
  </si>
  <si>
    <t>200/.71/1715</t>
  </si>
  <si>
    <t>Electronic books. -- local; Religion -- Study and teaching (Higher) -- Atlantic Provinces.; Theology -- Study and teaching (Higher) -- Atlantic Provinces.</t>
  </si>
  <si>
    <t>http://public.eblib.com/choice/PublicFullRecord.aspx?p=685529</t>
  </si>
  <si>
    <t>Unsettling Narratives : Postcolonial Readings of Children's Literature</t>
  </si>
  <si>
    <t>Bradford, Clare</t>
  </si>
  <si>
    <t>PN1009.5.H57 -- B73 2007eb</t>
  </si>
  <si>
    <t>809; 809.89282; 809/.89282</t>
  </si>
  <si>
    <t>Children -- Books and reading.; Children''s literature -- History and criticism.; Children''s literature -- Political aspects.; Electronic books. -- local; Indigenous peoples in literature.; Postcolonialism in literature.</t>
  </si>
  <si>
    <t>http://public.eblib.com/choice/PublicFullRecord.aspx?p=685530</t>
  </si>
  <si>
    <t>Rhetoric and Reality in Early Christianities</t>
  </si>
  <si>
    <t>Braun, Willi</t>
  </si>
  <si>
    <t>BR166 -- .R48 2005eb</t>
  </si>
  <si>
    <t>Church history -- Primitive and early church, ca. 30-600.; Electronic books. -- local; Persuasion (Rhetoric) -- Religious aspects -- Christianity -- History.; Persuasion (Rhetoric) -- Social aspects -- Mediterranean Region.; Rhetoric, Ancient.</t>
  </si>
  <si>
    <t>http://public.eblib.com/choice/PublicFullRecord.aspx?p=685531</t>
  </si>
  <si>
    <t>Taking Responsibility for Children</t>
  </si>
  <si>
    <t>Brennan, Samantha; Noggle, Robert</t>
  </si>
  <si>
    <t>HQ769 -- .T23 2007eb</t>
  </si>
  <si>
    <t>Child rearing -- Moral and ethical aspects.; Child rearing.; Child welfare -- Moral and ethical aspects.; Children -- Government policy -- Canada.; Children -- Government policy -- United States.; Children''s rights.; Parenting -- Moral and ethical aspects.</t>
  </si>
  <si>
    <t>http://public.eblib.com/choice/PublicFullRecord.aspx?p=685532</t>
  </si>
  <si>
    <t>Mark's Other Gospel : Rethinking Morton Smith's Controversial Discovery</t>
  </si>
  <si>
    <t>Brown, Scott G.</t>
  </si>
  <si>
    <t>BS2860.S42 -- B76 2005eb</t>
  </si>
  <si>
    <t>229/.8</t>
  </si>
  <si>
    <t>Secret Gospel according to Mark.</t>
  </si>
  <si>
    <t>http://public.eblib.com/choice/PublicFullRecord.aspx?p=685533</t>
  </si>
  <si>
    <t>Political Thought in Japanese Historical Writing : From Kojiki (712) to Tokushi Yoron (1712)</t>
  </si>
  <si>
    <t>Brownlee, John S.</t>
  </si>
  <si>
    <t>DS871.5 -- .B76 1991eb</t>
  </si>
  <si>
    <t>952/.01/072</t>
  </si>
  <si>
    <t>Electronic books. -- local; Japan -- History -- To 1868 -- Historiography.; Japan -- History -- To 1868.; Japan -- Politics and government -- To 1868 -- Historiography.</t>
  </si>
  <si>
    <t>http://public.eblib.com/choice/PublicFullRecord.aspx?p=685534</t>
  </si>
  <si>
    <t>Methodist Education in Peru : Social Gospel, Politics, and American Ideological andEconomic Penetration, 1888-1930</t>
  </si>
  <si>
    <t>Bruno-Jofré, Rosa del Carmen</t>
  </si>
  <si>
    <t>LC624.P4 -- B785 1987eb</t>
  </si>
  <si>
    <t>Church and education -- Peru -- History.; Education -- Political aspects -- Peru -- History.; Electronic books. -- local; Methodist Episcopal Church -- Education -- Peru -- History.; Methodist Episcopal Church -- Missions -- Peru -- History.; Social gospel -- History.</t>
  </si>
  <si>
    <t>http://public.eblib.com/choice/PublicFullRecord.aspx?p=685538</t>
  </si>
  <si>
    <t>Killing Women : The Visual Culture of Gender and Violence</t>
  </si>
  <si>
    <t>Burfoot, Annette; Lord, Susan</t>
  </si>
  <si>
    <t>HM1116 -- .K55 2006eb</t>
  </si>
  <si>
    <t>305.4/896949</t>
  </si>
  <si>
    <t>Electronic books. -- local; Mass media -- Social aspects.; Motion pictures -- Social aspects.; Violence in women.; Women -- Crimes against -- Social aspects.; Women -- Violence against.; Women murderers in motion pictures.</t>
  </si>
  <si>
    <t>http://public.eblib.com/choice/PublicFullRecord.aspx?p=685539</t>
  </si>
  <si>
    <t>Working in Women's Archives : Researching Women's Private Literature and Archival Documents</t>
  </si>
  <si>
    <t>Kadar, Marlene; Buss, Helen M.</t>
  </si>
  <si>
    <t>PR9188 -- .W685 2001eb</t>
  </si>
  <si>
    <t>Canadian literature -- Women authors -- History and criticism -- Theory, etc.; Electronic books. -- local; Women authors, Canadian -- Archives.; Women authors, Canadian -- Biography -- History and criticism.; Women authors.</t>
  </si>
  <si>
    <t>http://public.eblib.com/choice/PublicFullRecord.aspx?p=685540</t>
  </si>
  <si>
    <t>Mary Wollstonecraft and Mary Shelley : Writing Lives</t>
  </si>
  <si>
    <t>Buss, Helen M.; Macdonald, D.L.; McWhir, Anne</t>
  </si>
  <si>
    <t>PR5841.W8 -- Z7564 2001eb</t>
  </si>
  <si>
    <t>828/.609</t>
  </si>
  <si>
    <t>Electronic books. -- local; English literature -- 19th century.; Shelley, Mary Wollstonecraft, -- 1797-1851 -- Criticism and interpretation.; Shelley, Mary Wollstonecraft, -- 1797-1851 -- Drama.; Wollstonecraft, Mary, -- 1759-1797 -- Criticism and interpretation.; Wollstonecraft, Mary, -- 1759-1797 -- Drama.</t>
  </si>
  <si>
    <t>http://public.eblib.com/choice/PublicFullRecord.aspx?p=685541</t>
  </si>
  <si>
    <t>Repossessing the World : Reading Memoirs by Contemporary Women</t>
  </si>
  <si>
    <t>Buss, Helen M.</t>
  </si>
  <si>
    <t>CT25 -- B88 2002eb</t>
  </si>
  <si>
    <t>809/.93592072</t>
  </si>
  <si>
    <t>Autobiography -- Women authors.; Electronic books. -- local; Prose literature -- 20th century -- History and criticism.; Women -- Biography -- History and criticism.</t>
  </si>
  <si>
    <t>http://public.eblib.com/choice/PublicFullRecord.aspx?p=685542</t>
  </si>
  <si>
    <t>False Laws of Narrative : The Poetry of Fred Wah</t>
  </si>
  <si>
    <t>Laurier Poetry</t>
  </si>
  <si>
    <t>Cabri, Louis; Wah, Fred</t>
  </si>
  <si>
    <t>PR9199.3.W32 -- A6 2009eb</t>
  </si>
  <si>
    <t>Canadian literature -- Minority authors -- History and criticism.; Electronic books. -- local; Wah, Fred, -- 1939- -- Criticism and interpretation.</t>
  </si>
  <si>
    <t>http://public.eblib.com/choice/PublicFullRecord.aspx?p=685545</t>
  </si>
  <si>
    <t>A.S. Byatt and the Heliotropic Imagination</t>
  </si>
  <si>
    <t>Campbell, Jane</t>
  </si>
  <si>
    <t>PR6052.Y2 -- Z62 2004eb</t>
  </si>
  <si>
    <t>Byatt, A. S. -- (Antonia Susan), -- 1936- -- Criticism and interpretation.; Electronic books. -- local; Imagination in literature.; Women in literature.</t>
  </si>
  <si>
    <t>http://public.eblib.com/choice/PublicFullRecord.aspx?p=685547</t>
  </si>
  <si>
    <t>Bearing Witness : Living with Ovarian Cancer</t>
  </si>
  <si>
    <t>Carter, Kathryn; Elit, Laurie</t>
  </si>
  <si>
    <t>RC280.O8 -- B43 2009eb</t>
  </si>
  <si>
    <t>362.1/969946500922</t>
  </si>
  <si>
    <t>Electronic books. -- local; Ovaries -- Cancer -- Patients -- Canada -- Biography.; Women -- Canada -- Biography.</t>
  </si>
  <si>
    <t>http://public.eblib.com/choice/PublicFullRecord.aspx?p=685551</t>
  </si>
  <si>
    <t>Animal Subjects : An Ethical Reader in a Posthuman World</t>
  </si>
  <si>
    <t>Environmental Humanities</t>
  </si>
  <si>
    <t>Castricano, Jodey</t>
  </si>
  <si>
    <t>HV4708 -- .A64 2008eb</t>
  </si>
  <si>
    <t>179/.3</t>
  </si>
  <si>
    <t>Animal rights.; Animal welfare -- Moral and ethical aspects.; Animal welfare.; Electronic books. -- local; Human-animal relationships.</t>
  </si>
  <si>
    <t>http://public.eblib.com/choice/PublicFullRecord.aspx?p=685553</t>
  </si>
  <si>
    <t>Battle for Berlin, Ontario : An Historical Drama</t>
  </si>
  <si>
    <t>Chadwick, W.R.</t>
  </si>
  <si>
    <t>F1059.5.K6 -- C48 1992eb</t>
  </si>
  <si>
    <t>971.3/45</t>
  </si>
  <si>
    <t>Electronic books. -- local; Kitchener (Ont.) -- History.; Kitchener (Ont.) -- Name.; World War, 1914-1918 -- Ontario -- Kitchener.</t>
  </si>
  <si>
    <t>http://public.eblib.com/choice/PublicFullRecord.aspx?p=685556</t>
  </si>
  <si>
    <t>Canadian Cultural Exchange / Échanges culturels au Canada : Translation and Transculturation / traduction et transculturation</t>
  </si>
  <si>
    <t>Cheadle, Norman; Pelletier, Lucien</t>
  </si>
  <si>
    <t>Language/Linguistics; Social Science</t>
  </si>
  <si>
    <t>P306.8.C3 -- C35 2007eb</t>
  </si>
  <si>
    <t>303.48271; 418.020971; 418/.020971</t>
  </si>
  <si>
    <t>Canadian literature -- Translations -- History and criticism.; Cross-cultural studies -- Canada.; Electronic books. -- local; Literature -- Translations -- History and criticism.; Multiculturalism -- Canada.; Translating and interpreting -- Canada.</t>
  </si>
  <si>
    <t>http://public.eblib.com/choice/PublicFullRecord.aspx?p=685557</t>
  </si>
  <si>
    <t>Henry Fielding : A Political Writer</t>
  </si>
  <si>
    <t>Cleary, Thomas R.</t>
  </si>
  <si>
    <t>PR3458.P6 -- C5 1984eb</t>
  </si>
  <si>
    <t>823/.5</t>
  </si>
  <si>
    <t>Electronic books. -- local; Fielding, Henry, -- 1707-1754 -- Political and social views.; Political fiction, English -- History and criticism.; Politics and literature -- Great Britain -- History -- 18th century.</t>
  </si>
  <si>
    <t>http://public.eblib.com/choice/PublicFullRecord.aspx?p=685562</t>
  </si>
  <si>
    <t>Dominion of Youth : Adolescence and the Making of Modern Canada, 1920 to 1950</t>
  </si>
  <si>
    <t>Comacchio, Cynthia</t>
  </si>
  <si>
    <t>HQ799.C3 -- C64 2006eb</t>
  </si>
  <si>
    <t>305.235; 305.235/097109041; 306.2350971/09042</t>
  </si>
  <si>
    <t>Electronic books. -- local; Teenagers -- Canada -- History -- 20th century.; Teenagers -- Canada -- Social life and customs.</t>
  </si>
  <si>
    <t>http://public.eblib.com/choice/PublicFullRecord.aspx?p=685563</t>
  </si>
  <si>
    <t>Early History of Elora, Ontario and Vicinity</t>
  </si>
  <si>
    <t>Connon, John</t>
  </si>
  <si>
    <t>F1059.5.E42 -- C66 1975eb</t>
  </si>
  <si>
    <t>Electronic books. -- local; Elora (Ont.) -- Biography.; Elora (Ont.) -- History.</t>
  </si>
  <si>
    <t>http://public.eblib.com/choice/PublicFullRecord.aspx?p=685564</t>
  </si>
  <si>
    <t>Emerging Powers in Global Governance : Lessons from the Heiligendamm Process</t>
  </si>
  <si>
    <t>Cooper, Andrew F.; Antkiewicz, Agata</t>
  </si>
  <si>
    <t>JZ1318 -- .E44 2008eb</t>
  </si>
  <si>
    <t>327.73; 341.2</t>
  </si>
  <si>
    <t>Electronic books. -- local; G8 Heiligendamm Process.; Group of Eight (Organization); International cooperation.; International organization.; International relations.</t>
  </si>
  <si>
    <t>http://public.eblib.com/choice/PublicFullRecord.aspx?p=685565</t>
  </si>
  <si>
    <t>Challenge of Children's Rights for Canada</t>
  </si>
  <si>
    <t>Covell, Katherine; Howe, R. Brian; Howe, R Brian</t>
  </si>
  <si>
    <t>HQ792.C3 -- C69 2001eb</t>
  </si>
  <si>
    <t>323.3/52/0971</t>
  </si>
  <si>
    <t>Child welfare -- Canada.; Children -- Government policy -- Canada.; Children''s rights -- Canada.; Convention on the Rights of the Child -- (1989); Electronic books. -- local</t>
  </si>
  <si>
    <t>http://public.eblib.com/choice/PublicFullRecord.aspx?p=685566</t>
  </si>
  <si>
    <t>Hard Choices : Climate Change in Canada</t>
  </si>
  <si>
    <t>Coward, Harold; Weaver, Andrew J.</t>
  </si>
  <si>
    <t>Science: Geology; Science; Science: Physics</t>
  </si>
  <si>
    <t>QC981.8.C5 -- H37 2004eb</t>
  </si>
  <si>
    <t>Climatic changes -- Canada.; Climatology.; Electronic books. -- local</t>
  </si>
  <si>
    <t>http://public.eblib.com/choice/PublicFullRecord.aspx?p=685572</t>
  </si>
  <si>
    <t>Ethics and Climate Change : The Greenhouse Effect</t>
  </si>
  <si>
    <t>Coward, Harold; Hurka, Thomas</t>
  </si>
  <si>
    <t>Philosophy; Science: Physics; Science</t>
  </si>
  <si>
    <t>QC981.8.G56 -- E84 1993eb</t>
  </si>
  <si>
    <t>179.1; 179/.1</t>
  </si>
  <si>
    <t>Electronic books. -- local; Global warming -- Decision making -- Moral and ethical aspects.; Greenhouse effect, Atmospheric -- Decision making -- Moral and ethical aspects.</t>
  </si>
  <si>
    <t>http://public.eblib.com/choice/PublicFullRecord.aspx?p=685573</t>
  </si>
  <si>
    <t>Racial Attitudes in English-Canadian Fiction, 1905-1980</t>
  </si>
  <si>
    <t>Craig, Terrence</t>
  </si>
  <si>
    <t>PR9192.6.R33 -- C72eb</t>
  </si>
  <si>
    <t>813/.5/09355</t>
  </si>
  <si>
    <t>Canadian fiction -- 20th century -- History and criticism.; Electronic books. -- local; Racism in literature.</t>
  </si>
  <si>
    <t>http://public.eblib.com/choice/PublicFullRecord.aspx?p=685574</t>
  </si>
  <si>
    <t>From Civil to Political Religion : The Intersection of Culture, Religion and Politics</t>
  </si>
  <si>
    <t>Cristi, Marcela</t>
  </si>
  <si>
    <t>Political Science; Religion</t>
  </si>
  <si>
    <t>BL98.5 -- .C74 2001eb</t>
  </si>
  <si>
    <t>322/.1</t>
  </si>
  <si>
    <t>Civil religion.; Electronic books. -- local; Religion.</t>
  </si>
  <si>
    <t>http://public.eblib.com/choice/PublicFullRecord.aspx?p=685575</t>
  </si>
  <si>
    <t>Noble Savage : Allegory of Freedom</t>
  </si>
  <si>
    <t>Cro, Stelio</t>
  </si>
  <si>
    <t>PN56.3.I6 -- .C76 1990eb</t>
  </si>
  <si>
    <t>Comparative literature -- Themes, motives.; Electronic books. -- local; European literature -- History and criticism.; French literature -- 18th century -- History and criticism.; Noble savage in literature.</t>
  </si>
  <si>
    <t>http://public.eblib.com/choice/PublicFullRecord.aspx?p=685576</t>
  </si>
  <si>
    <t>Weaving a Canadian Allegory : Anonymous Writing, Personal Reading</t>
  </si>
  <si>
    <t>Czernis, Loretta</t>
  </si>
  <si>
    <t>F1027 -- .C94 1994eb</t>
  </si>
  <si>
    <t>971.4/04</t>
  </si>
  <si>
    <t>Electronic books. -- local; Federal government -- Canada -- Historiography.; Governmental investigations -- Canada -- Historiography.; Nationalism -- Canada -- Historiography.; Task Force on Canadian Unity.</t>
  </si>
  <si>
    <t>http://public.eblib.com/choice/PublicFullRecord.aspx?p=685577</t>
  </si>
  <si>
    <t>Feminine Gaze : A Canadian Compendium of Non-Fiction Women Authors and Their Books, 1836-1945</t>
  </si>
  <si>
    <t>Dagg, Anne Innis</t>
  </si>
  <si>
    <t>PR9188 -- .D34 2001eb</t>
  </si>
  <si>
    <t>Canada -- Bio-bibliography.; Canadian prose literature -- Women authors -- Bibliography.; Electronic books. -- local; Women authors, Canadian -- Bio-bibliography.</t>
  </si>
  <si>
    <t>http://public.eblib.com/choice/PublicFullRecord.aspx?p=685578</t>
  </si>
  <si>
    <t>Pursuing Giraffe : A 1950s Adventure</t>
  </si>
  <si>
    <t>QL31.D34 -- A3 2006eb</t>
  </si>
  <si>
    <t>590/.92</t>
  </si>
  <si>
    <t>Africa -- Description and travel.; Dagg, Anne Innis -- Travel -- Africa.; Electronic books. -- local; Giraffe -- Behavior -- Africa.; Zoologists -- Canada -- Biography.</t>
  </si>
  <si>
    <t>http://public.eblib.com/choice/PublicFullRecord.aspx?p=685579</t>
  </si>
  <si>
    <t>Bountiful Island : A Study of Land Tenure on a Micronesian Atoll</t>
  </si>
  <si>
    <t>Damas, David</t>
  </si>
  <si>
    <t>DU568.B68 -- D353 1994eb</t>
  </si>
  <si>
    <t>306.3; 306.3/2; 306.3/2/09966</t>
  </si>
  <si>
    <t>Electronic books. -- local; Ethnology -- Micronesia (Federated States) -- Pingelap Island.; Land tenure -- Micronesia (Federated States) -- Pingelap Island.; Pingelap (Micronesia) -- Social life and customs.</t>
  </si>
  <si>
    <t>http://public.eblib.com/choice/PublicFullRecord.aspx?p=685581</t>
  </si>
  <si>
    <t>Book of Gomorrah : An Eleventh-Century Treatise against Clerical Homosexual Practices</t>
  </si>
  <si>
    <t>Damian, Peter; Payer, Pierre J.</t>
  </si>
  <si>
    <t>BX1912.9 -- .P4813 1982eb</t>
  </si>
  <si>
    <t>241/.66</t>
  </si>
  <si>
    <t>Catholic Church -- Clergy -- Sexual behavior.; Electronic books. -- local; Gay clergy.; Homosexuality -- Religious aspects -- Catholic Church.</t>
  </si>
  <si>
    <t>http://public.eblib.com/choice/PublicFullRecord.aspx?p=685582</t>
  </si>
  <si>
    <t>Social Origins of the Welfare State : Quebec Families, Compulsory Education, and Family Allowances, 1940-1955</t>
  </si>
  <si>
    <t>Marshall, Dominique; Danby, Nicola Doone</t>
  </si>
  <si>
    <t>HV109.Q84 -- M37 2006eb</t>
  </si>
  <si>
    <t>361.6/50971409044</t>
  </si>
  <si>
    <t>Child labor -- Québec (Province) -- History -- 20th century.; Education, Compulsory -- Québec (Province) -- History -- 20th century.; Electronic books. -- local; Families -- Québec (Province) -- History -- 20th century.; Family allowances -- Québec (Province) -- History -- 20th century.; Family policy -- Québec (Province); Welfare state.</t>
  </si>
  <si>
    <t>http://public.eblib.com/choice/PublicFullRecord.aspx?p=685583</t>
  </si>
  <si>
    <t>Leaving Fundamentalism : Personal Stories</t>
  </si>
  <si>
    <t>Dann, G. Elijah</t>
  </si>
  <si>
    <t>BT82.2 -- .L43 2008eb</t>
  </si>
  <si>
    <t>277.3082; 277.30820922</t>
  </si>
  <si>
    <t>Christian biography.; Electronic books. -- local; Ex-church members -- Biography.; Fundamentalism.</t>
  </si>
  <si>
    <t>http://public.eblib.com/choice/PublicFullRecord.aspx?p=685584</t>
  </si>
  <si>
    <t>Rupert's Land : A Cultural Tapestry</t>
  </si>
  <si>
    <t>Davis, Richard C.</t>
  </si>
  <si>
    <t>F1060 .R86 2006</t>
  </si>
  <si>
    <t>Electronic books. -- local; Northwest, Canadian -- Description and travel -- Congresses.; Northwest, Canadian -- History -- Congresses.; Northwest, Canadian -- History.; Rupert''s Land -- Congresses.</t>
  </si>
  <si>
    <t>http://public.eblib.com/choice/PublicFullRecord.aspx?p=685586</t>
  </si>
  <si>
    <t>Religion in History / La religion dans l'histoire : The Word, the Idea, the Reality / Le mot, l'idée, la realité</t>
  </si>
  <si>
    <t>Despland, Michel; Vallée, Gérard</t>
  </si>
  <si>
    <t>BL51 -- .R455 1992eb</t>
  </si>
  <si>
    <t>Electronic books. -- local; Religion -- Philosophy -- Congresses.; Religion -- Philosophy -- History -- Congresses.; Smith, Wilfred Cantwell, -- 1916-2000 -- Congresses.</t>
  </si>
  <si>
    <t>http://public.eblib.com/choice/PublicFullRecord.aspx?p=685590</t>
  </si>
  <si>
    <t>Queen of Peace Room</t>
  </si>
  <si>
    <t>Dominic, Magie</t>
  </si>
  <si>
    <t>HV6570 -- .D65 2002eb</t>
  </si>
  <si>
    <t>362.76/4/092; B</t>
  </si>
  <si>
    <t>Adult child sexual abuse victims -- Biography.; Dominic, Magie, -- 1944-; Enfants victimes d''abus sexuels devenus adultes -- Biographies.; Violence contre les femmes -- Biographies.; Women -- Violence against -- Case studies.</t>
  </si>
  <si>
    <t>http://public.eblib.com/choice/PublicFullRecord.aspx?p=685594</t>
  </si>
  <si>
    <t>Public Realm and the Public Self : The Political Theory of Hannah Arendt</t>
  </si>
  <si>
    <t>Dossa, Shiraz</t>
  </si>
  <si>
    <t>JC251.A74 -- D67 1989eb</t>
  </si>
  <si>
    <t>Arendt, Hannah, -- 1906-1975.; Electronic books. -- local; Political science -- Philosophy.</t>
  </si>
  <si>
    <t>http://public.eblib.com/choice/PublicFullRecord.aspx?p=685595</t>
  </si>
  <si>
    <t>Ethical Choices and Global Greenhouse Warming</t>
  </si>
  <si>
    <t>Dotto, Lydia</t>
  </si>
  <si>
    <t>Science: Physics; Philosophy; Science</t>
  </si>
  <si>
    <t>QC981.8.G56 -- D6 1993eb</t>
  </si>
  <si>
    <t>179/.1</t>
  </si>
  <si>
    <t>http://public.eblib.com/choice/PublicFullRecord.aspx?p=685596</t>
  </si>
  <si>
    <t>Progressive Heritage : The Evolution of a Politically Radical Literary Tradition in Canada</t>
  </si>
  <si>
    <t>Doyle, James</t>
  </si>
  <si>
    <t>PR9185.5.C65 -- D69 2002eb</t>
  </si>
  <si>
    <t>810.9/358</t>
  </si>
  <si>
    <t>Canada -- Intellectual life -- 20th century.; Canadian literature -- 20th century -- History and criticism.; Communism and literature -- Canada -- History -- 20th century.; Politics and literature -- Canada -- History -- 20th century.; Progressivism in literature.; Radicalism -- Canada -- History -- 20th century.; Radicalism in literature.</t>
  </si>
  <si>
    <t>http://public.eblib.com/choice/PublicFullRecord.aspx?p=685598</t>
  </si>
  <si>
    <t>Big Picture Realities : Canada and Mexico at the Crossroads</t>
  </si>
  <si>
    <t>Drache, Daniel</t>
  </si>
  <si>
    <t>History; Political Science</t>
  </si>
  <si>
    <t>F1029.5.M6 -- B53 2008eb</t>
  </si>
  <si>
    <t>Canada -- Foreign relations -- Mexico.; Canada -- History.; Electronic books. -- local; Mexico -- Foreign relations -- Canada.; Mexico -- History.</t>
  </si>
  <si>
    <t>http://public.eblib.com/choice/PublicFullRecord.aspx?p=685599</t>
  </si>
  <si>
    <t>Surprise of My Life : An Autobiography</t>
  </si>
  <si>
    <t>Drainie Taylor, Claire</t>
  </si>
  <si>
    <t>PN1991.4.T39 -- A3 1998eb</t>
  </si>
  <si>
    <t>791/.092</t>
  </si>
  <si>
    <t>Actresses -- Canada -- Biography.; Electronic books. -- local; Radio writers -- Canada -- Biography.; Taylor, Claire Drainie, -- 1917-</t>
  </si>
  <si>
    <t>http://public.eblib.com/choice/PublicFullRecord.aspx?p=685600</t>
  </si>
  <si>
    <t>Ethnic Armies : Polyethnic Armed Forces from the Time of the Habsburgs to the Age of the Superpowers</t>
  </si>
  <si>
    <t>Military History Symposium</t>
  </si>
  <si>
    <t>Dreisziger, N.F.</t>
  </si>
  <si>
    <t>Social Science; Military Science</t>
  </si>
  <si>
    <t>UB416 -- .M55 1990eb</t>
  </si>
  <si>
    <t>306.2; 306.27</t>
  </si>
  <si>
    <t>Armed Forces -- Minorities -- History -- Congresses.; Electronic books. -- local; Military art and science -- Minorities -- History -- Congresses.</t>
  </si>
  <si>
    <t>http://public.eblib.com/choice/PublicFullRecord.aspx?p=685601</t>
  </si>
  <si>
    <t>Programming Reality : Perspectives on English-Canadian Television</t>
  </si>
  <si>
    <t>Film and Media Studies</t>
  </si>
  <si>
    <t>Druick, Zoë; Kotsopoulos, Aspa</t>
  </si>
  <si>
    <t>Business/Management; Fine Arts; Economics</t>
  </si>
  <si>
    <t>PN1992.3.C2 -- P76 2008eb</t>
  </si>
  <si>
    <t>Canada -- Cultural policy.; Canadian Broadcasting Corporation.; Electronic books. -- local; Television broadcasting -- Canada.; Television broadcasting -- Social aspects -- Canada.; Television broadcasting policy -- Canada.; Television programs -- Canada.</t>
  </si>
  <si>
    <t>http://public.eblib.com/choice/PublicFullRecord.aspx?p=685604</t>
  </si>
  <si>
    <t>Negotiating Freer Trade : The United Kingdom, the United States, Canada, and the Trade Agreements of 1938</t>
  </si>
  <si>
    <t>Drummond, Ian M.; Hillmer, Norman</t>
  </si>
  <si>
    <t>HF1721 -- .D78 1989eb</t>
  </si>
  <si>
    <t>Canada -- Commercial treaties.; Electronic books. -- local; Free trade -- Canada.; Free trade -- Great Britain.; Free trade -- United States.; Great Britain -- Commercial treaties.; United States -- Commercial treaties.</t>
  </si>
  <si>
    <t>http://public.eblib.com/choice/PublicFullRecord.aspx?p=685605</t>
  </si>
  <si>
    <t>This Spot of Ground : Spiritual Baptists in Toronto</t>
  </si>
  <si>
    <t>Duncan, Carol B.</t>
  </si>
  <si>
    <t>BX9798.S6534 -- T67 2008eb</t>
  </si>
  <si>
    <t>Electronic books. -- local; Spiritual Baptists -- Interviews.; Spiritual Baptists -- Ontario -- Toronto -- History.; Women immigrants -- Religious life -- Ontario -- Toronto.</t>
  </si>
  <si>
    <t>http://public.eblib.com/choice/PublicFullRecord.aspx?p=685606</t>
  </si>
  <si>
    <t>Ernest Buckler : Rediscovery and Reassessment</t>
  </si>
  <si>
    <t>Dvorák, Marta</t>
  </si>
  <si>
    <t>PR9199.3.B763 -- Z67 2001eb</t>
  </si>
  <si>
    <t>Buckler, Ernest -- Criticism and interpretation.; Canadian literature.; Electronic books. -- local</t>
  </si>
  <si>
    <t>http://public.eblib.com/choice/PublicFullRecord.aspx?p=685607</t>
  </si>
  <si>
    <t>Montreal Massacre : A Story of Membership Categorization Analysis</t>
  </si>
  <si>
    <t>Eglin, Peter; Hester, Stephen</t>
  </si>
  <si>
    <t>Journalism; Social Science</t>
  </si>
  <si>
    <t>HV6535.C33 -- M65 2003eb</t>
  </si>
  <si>
    <t>070.4/493641523/0820971428</t>
  </si>
  <si>
    <t>Crime and the press -- Ontario -- Case studies.; Electronic books. -- local; Journalism -- Methodology.; Journalism -- Social aspects -- Ontario -- Case studies.</t>
  </si>
  <si>
    <t>http://public.eblib.com/choice/PublicFullRecord.aspx?p=685608</t>
  </si>
  <si>
    <t>Image and Identity : Reflections on Canadian Film and Culture</t>
  </si>
  <si>
    <t>Elder, R. Bruce</t>
  </si>
  <si>
    <t>PN1993.5.C2 -- E43 1989eb</t>
  </si>
  <si>
    <t>791.43/0971</t>
  </si>
  <si>
    <t>Electronic books. -- local; Experimental films -- Canada -- History and criticism.; Motion pictures -- Canada -- History.; Motion pictures and the arts -- Canada.</t>
  </si>
  <si>
    <t>http://public.eblib.com/choice/PublicFullRecord.aspx?p=685609</t>
  </si>
  <si>
    <t>Films of Stan Brakhage in the American Tradition of Ezra Pound, Gertrude Stein and Charles Olson</t>
  </si>
  <si>
    <t>PN1998.3.B74 -- E42 1998eb</t>
  </si>
  <si>
    <t>791.43; 791.430233092</t>
  </si>
  <si>
    <t>Brakhage, Stan -- Criticism and interpretation.; Electronic books. -- local; Motion pictures -- Biography.</t>
  </si>
  <si>
    <t>http://public.eblib.com/choice/PublicFullRecord.aspx?p=685610</t>
  </si>
  <si>
    <t>Harmony and Dissent : Film and Avant-garde Art Movements in the Early Twentieth Century</t>
  </si>
  <si>
    <t>NX175 -- .E43 2008eb</t>
  </si>
  <si>
    <t>Art and motion pictures.; Avant-garde (Aesthetics); Eisenstein, Sergei, -- 1898-1948 -- Criticism and interpretation.; Electronic books. -- local; Modernism (Art)</t>
  </si>
  <si>
    <t>http://public.eblib.com/choice/PublicFullRecord.aspx?p=685611</t>
  </si>
  <si>
    <t>China Diary : The Life of Mary Austin Endicott</t>
  </si>
  <si>
    <t>Endicott, Shirley Jane</t>
  </si>
  <si>
    <t>BV3427.E53 -- E53 2003eb</t>
  </si>
  <si>
    <t>266/.792/092</t>
  </si>
  <si>
    <t>Electronic books. -- local; Endicott, Mary Austin -- Diaries.; Endicott, Mary Austin.; Missionaries'' spouses -- China -- Biography.; Missionaries'' spouses -- China -- Diaries.; United Church of Canada -- Missions -- China.</t>
  </si>
  <si>
    <t>http://public.eblib.com/choice/PublicFullRecord.aspx?p=685616</t>
  </si>
  <si>
    <t>163256 : A Memoir of Resistance</t>
  </si>
  <si>
    <t>Englishman, Michael</t>
  </si>
  <si>
    <t>DS135.N6 -- E54 2007eb</t>
  </si>
  <si>
    <t>Electronic books. -- local; Englishman, Michael, -- 1921-; Holocaust survivors -- Canada -- Biography.; Holocaust, Jewish (1939-1945) -- Personal narratives.; Jews -- Netherlands -- Biography.</t>
  </si>
  <si>
    <t>http://public.eblib.com/choice/PublicFullRecord.aspx?p=685617</t>
  </si>
  <si>
    <t>Persistence of the Gift : Tongan Tradition in Transnational Context</t>
  </si>
  <si>
    <t>Evans, Mike</t>
  </si>
  <si>
    <t>DU880 -- .E92 2001eb</t>
  </si>
  <si>
    <t>306/.099612</t>
  </si>
  <si>
    <t>Ceremonial exchange -- Tonga -- Haano Island.; Ha''ano Island (Tonga) -- Economic conditions.; Ha''ano Island (Tonga) -- Social life and customs.</t>
  </si>
  <si>
    <t>http://public.eblib.com/choice/PublicFullRecord.aspx?p=685618</t>
  </si>
  <si>
    <t>Will Gorlitz : nowhere if not here</t>
  </si>
  <si>
    <t>Ferguson, Bruce W.; Gale, Peggy; Spalding, Jeffrey</t>
  </si>
  <si>
    <t>ND249.G67 -- A4 2009eb</t>
  </si>
  <si>
    <t>Electronic books. -- local; Gorlitz, Will, -- 1952- -- Exhibitions.; Installations (Art)</t>
  </si>
  <si>
    <t>http://public.eblib.com/choice/PublicFullRecord.aspx?p=685620</t>
  </si>
  <si>
    <t>Blues and Bliss : The Poetry of George Elliott Clarke</t>
  </si>
  <si>
    <t>Fiorentino, Jon Paul; Clarke, George Elliott</t>
  </si>
  <si>
    <t>PR9199.3.C5265 -- B58 2008eb</t>
  </si>
  <si>
    <t>Blacks -- Canada -- Poetry.; Canadian poetry -- Black authors.; Electronic books. -- local</t>
  </si>
  <si>
    <t>http://public.eblib.com/choice/PublicFullRecord.aspx?p=685622</t>
  </si>
  <si>
    <t>Social Sciences in Canada : 50 Years of National Activity by the Social Science Federation of Canada</t>
  </si>
  <si>
    <t>Fisher, Donald</t>
  </si>
  <si>
    <t>H62.5.C22 -- F57 1991eb</t>
  </si>
  <si>
    <t>300/.971</t>
  </si>
  <si>
    <t>Electronic books. -- local; Social Science Federation of Canada -- History.; Social sciences -- Canada -- History.</t>
  </si>
  <si>
    <t>http://public.eblib.com/choice/PublicFullRecord.aspx?p=685623</t>
  </si>
  <si>
    <t>Les sciences sociales au Canada : 50 ans d'activités à l'échelle nationale par la Fédération canadienne des sciences sociales</t>
  </si>
  <si>
    <t>H62.5.C3 -- F57 1991eb</t>
  </si>
  <si>
    <t>300; 300.971; 300/.971</t>
  </si>
  <si>
    <t>http://public.eblib.com/choice/PublicFullRecord.aspx?p=685624</t>
  </si>
  <si>
    <t>Study of Religion in British Columbia : A State-of-the-Art Review</t>
  </si>
  <si>
    <t>Fraser, Brian J.</t>
  </si>
  <si>
    <t>BL41 -- .F73 1995eb</t>
  </si>
  <si>
    <t>200/.71/1711</t>
  </si>
  <si>
    <t>Electronic books. -- local; Religion -- Study and teaching (Higher) -- British Columbia.; Theology -- Study and teaching (Higher) -- British Columbia.</t>
  </si>
  <si>
    <t>http://public.eblib.com/choice/PublicFullRecord.aspx?p=685627</t>
  </si>
  <si>
    <t>Female Crucifix : Images of St. Wilgefortis Since the Middle Ages</t>
  </si>
  <si>
    <t>Friesen, Ilse E.</t>
  </si>
  <si>
    <t>N8080.W55 -- F75 2001eb</t>
  </si>
  <si>
    <t>704.9/4863</t>
  </si>
  <si>
    <t>Electronic books. -- local; Wilgefortis (Legendary saint) -- Art.; Wilgefortis (Legendary saint) -- Cult.</t>
  </si>
  <si>
    <t>http://public.eblib.com/choice/PublicFullRecord.aspx?p=685631</t>
  </si>
  <si>
    <t>False Alarm : The Computerization of Eight Social Welfare Organizations</t>
  </si>
  <si>
    <t>Gandy, John M.; Tepperman, Lorne</t>
  </si>
  <si>
    <t>HV29.5.C2 -- G36 1990eb</t>
  </si>
  <si>
    <t>361; 361.00285</t>
  </si>
  <si>
    <t>Electronic books. -- local; Social service -- Canada -- Data processing.; Social workers -- Effect of automation on -- Canada.</t>
  </si>
  <si>
    <t>http://public.eblib.com/choice/PublicFullRecord.aspx?p=685633</t>
  </si>
  <si>
    <t>Eagle Minds : Selected Correspondence of Istvan Anhalt and George Rochberg (1961-2005)</t>
  </si>
  <si>
    <t>Gillmor, Alan M.</t>
  </si>
  <si>
    <t>ML410.A59 -- A4 2007eb</t>
  </si>
  <si>
    <t>780.92; 780.922</t>
  </si>
  <si>
    <t>Anhalt, István -- Correspondence.; Composers -- Correspondence.; Electronic books. -- local; Rochberg, George -- Correspondence.</t>
  </si>
  <si>
    <t>http://public.eblib.com/choice/PublicFullRecord.aspx?p=685635</t>
  </si>
  <si>
    <t>Wider Boundaries of Daring : The Modernist Impulse in Canadian Women's Poetry</t>
  </si>
  <si>
    <t>Brandt, Di; Godard, Barbara</t>
  </si>
  <si>
    <t>PR9188 -- .W44 2009eb</t>
  </si>
  <si>
    <t>814/.6080357</t>
  </si>
  <si>
    <t>Canadian poetry -- 20th century -- History and criticism.; Canadian poetry -- 21st century -- History and criticism.; Canadian poetry -- Women authors -- History and criticism.; Electronic books. -- local; Modernism (Literature) -- Canada.</t>
  </si>
  <si>
    <t>http://public.eblib.com/choice/PublicFullRecord.aspx?p=685636</t>
  </si>
  <si>
    <t>Between Worlds : A Study of the Plays of John Webster</t>
  </si>
  <si>
    <t>Goldberg, Dena</t>
  </si>
  <si>
    <t>PR3187 -- .G64 1987eb</t>
  </si>
  <si>
    <t>Electronic books. -- local; English drama.; Webster, John, -- 1580?-1625? -- Criticism and interpretation.</t>
  </si>
  <si>
    <t>http://public.eblib.com/choice/PublicFullRecord.aspx?p=685638</t>
  </si>
  <si>
    <t>Love and the Soul : Psychological Interpretations of the Eros and Psyche Myth</t>
  </si>
  <si>
    <t>Gollnick, James</t>
  </si>
  <si>
    <t>Psychology; Religion</t>
  </si>
  <si>
    <t>BF575.L8 -- G655 1992eb</t>
  </si>
  <si>
    <t>Apuleius. -- Metamorphoses.; Electronic books. -- local; Eros (Greek deity); Love.; Psyche (Greek deity); Soul.</t>
  </si>
  <si>
    <t>http://public.eblib.com/choice/PublicFullRecord.aspx?p=685639</t>
  </si>
  <si>
    <t>Religious Dreamworld of Apuleius' Metamorphoses : Recovering a Forgotten Hermeneutic</t>
  </si>
  <si>
    <t>PA6217 -- .G64 1999eb</t>
  </si>
  <si>
    <t>873; 873.01; 873/.01</t>
  </si>
  <si>
    <t>Apuleius. -- Metamorphoses.; Dreams in literature.; Electronic books. -- local</t>
  </si>
  <si>
    <t>http://public.eblib.com/choice/PublicFullRecord.aspx?p=685640</t>
  </si>
  <si>
    <t>Dangerous Food : 1 Corinthians 8-10 in Its Context</t>
  </si>
  <si>
    <t>Gooch, Peter D.</t>
  </si>
  <si>
    <t>BS2675.2 -- .G67 1993eb</t>
  </si>
  <si>
    <t>227/.2067</t>
  </si>
  <si>
    <t>Bible. -- N.T. -- Corinthians, 1st, VIII-X -- Criticism, interpretation, etc.; Electronic books. -- local; Food in the Bible.; Jewish Christians -- History -- Early church, ca. 30-600.</t>
  </si>
  <si>
    <t>http://public.eblib.com/choice/PublicFullRecord.aspx?p=685641</t>
  </si>
  <si>
    <t>Becoming My Mother's Daughter : A Story of Survival and Renewal</t>
  </si>
  <si>
    <t>Gottlieb, Erika</t>
  </si>
  <si>
    <t>DS135.H93 -- G68 2008eb</t>
  </si>
  <si>
    <t>940.53; 940.53180922; 943.9/004924024</t>
  </si>
  <si>
    <t>Budapest (Hungary) -- Biography.; Electronic books. -- local; Gottlieb family.; Gottlieb, Erika -- Family.; Gottlieb, Erika.; Holocaust, Jewish (1939-1945) -- Hungary -- Budapest -- Personal narratives.; Mothers and daughters -- Biography.</t>
  </si>
  <si>
    <t>http://public.eblib.com/choice/PublicFullRecord.aspx?p=685642</t>
  </si>
  <si>
    <t>Stranger at the Door : Writers and the Act of Writing</t>
  </si>
  <si>
    <t>Gunnars, Kristjana</t>
  </si>
  <si>
    <t>PN149 -- .G85 2004eb</t>
  </si>
  <si>
    <t>808/.02</t>
  </si>
  <si>
    <t>Authors.; Authorship.; Creative writing.; Electronic books. -- local</t>
  </si>
  <si>
    <t>http://public.eblib.com/choice/PublicFullRecord.aspx?p=685646</t>
  </si>
  <si>
    <t>Continuity and Change Among Canadian Mennonite Brethren</t>
  </si>
  <si>
    <t>Hamm, Peter M.</t>
  </si>
  <si>
    <t>BX8129.B7 -- H35 1987eb</t>
  </si>
  <si>
    <t>Canada -- Church history.; Electronic books. -- local; Mennonite Brethren Church of North America. -- Canadian Conference.; Mennonites -- Canada.</t>
  </si>
  <si>
    <t>http://public.eblib.com/choice/PublicFullRecord.aspx?p=685648</t>
  </si>
  <si>
    <t>Diverse Worlds of Unemployed Adults : Consequences for Leisure, Lifestyle, and Well-being</t>
  </si>
  <si>
    <t>Havitz, Mark E.; Morden, Peter A.; Samdahl, Diane M.</t>
  </si>
  <si>
    <t>HD5708 -- .H38 2004eb</t>
  </si>
  <si>
    <t>305.9/0694/09713</t>
  </si>
  <si>
    <t>Electronic books. -- local; Leisure -- Ontario.; Unemployed -- Ontario -- Psychology.; Unemployed -- Ontario -- Social conditions.; Unemployed -- Services for -- Ontario.</t>
  </si>
  <si>
    <t>http://public.eblib.com/choice/PublicFullRecord.aspx?p=685653</t>
  </si>
  <si>
    <t>Christ and Modernity : Christian Self-Understanding in a Technological Age</t>
  </si>
  <si>
    <t>Hawkin, David J.</t>
  </si>
  <si>
    <t>BR121.2 -- .H3555 1985eb</t>
  </si>
  <si>
    <t>240.1; 261.5</t>
  </si>
  <si>
    <t>Christianity -- 20th century.; Electronic books. -- local; Technology -- Religious aspects -- Christianity.</t>
  </si>
  <si>
    <t>http://public.eblib.com/choice/PublicFullRecord.aspx?p=685654</t>
  </si>
  <si>
    <t>Sam Hughes : The Public Career of a Controversial Canadian, 1885-1916</t>
  </si>
  <si>
    <t>Haycock, Ronald G.</t>
  </si>
  <si>
    <t>F1033 -- .H39 1986eb</t>
  </si>
  <si>
    <t>971.05; 971.05/092; 971.05/092/4</t>
  </si>
  <si>
    <t>Canada -- Militia -- Biography.; Canada -- Politics and government -- 1867-1914.; Electronic books. -- local; Generals -- Canada -- Biography.; Hughes, Samuel, -- Sir, -- 1853-1921.; Statesmen -- Canada -- Biography.</t>
  </si>
  <si>
    <t>http://public.eblib.com/choice/PublicFullRecord.aspx?p=685655</t>
  </si>
  <si>
    <t>Image of the Indian</t>
  </si>
  <si>
    <t>Haycock, Ronald</t>
  </si>
  <si>
    <t>E78.C2 -- H3 1972eb</t>
  </si>
  <si>
    <t>971.004/97</t>
  </si>
  <si>
    <t>Canadian periodicals.; Electronic books. -- local; Indians in literature.; Indians of North America -- Canada.; Indians of North America -- Ethnic identity -- Canada.</t>
  </si>
  <si>
    <t>http://public.eblib.com/choice/PublicFullRecord.aspx?p=685656</t>
  </si>
  <si>
    <t>Vimy Ridge : A Canadian Reassessment</t>
  </si>
  <si>
    <t>Hayes, Geoffrey; Iarocci, Andrew; Bechthold, Mike</t>
  </si>
  <si>
    <t>D545.V5 -- V56 2007eb</t>
  </si>
  <si>
    <t>940.4/32</t>
  </si>
  <si>
    <t>Canada. -- Armée canadienne -- Histoire -- Guerre mondiale, 1914-1918.; Canada. -- Armée canadienne. -- Corps canadien -- Histoire.; Canada. -- Canadian Army -- History -- World War, 1914-1918.; Canada. -- Canadian Army. -- Canadian Corps -- History.; Vimy Ridge, Battle of, France, 1917.; World War, 1914-1918 -- Campaigns -- France.; World War, 1914-1918 -- Canada.</t>
  </si>
  <si>
    <t>http://public.eblib.com/choice/PublicFullRecord.aspx?p=685657</t>
  </si>
  <si>
    <t>Afghanistan : Transition under Threat</t>
  </si>
  <si>
    <t>Hayes, Geoffrey; Sedra, Mark</t>
  </si>
  <si>
    <t>DS371.4 -- .A34 2008eb</t>
  </si>
  <si>
    <t>Afghanistan -- Economic conditions -- 21st century.; Afghanistan -- History -- 2001-; Afghanistan -- History, Military -- 21st century.; Afghanistan -- Politics and government -- 2001-; Canada -- Military policy.; Electronic books. -- local; History, Modern.</t>
  </si>
  <si>
    <t>http://public.eblib.com/choice/PublicFullRecord.aspx?p=685658</t>
  </si>
  <si>
    <t>John Ruskin and Switzerland</t>
  </si>
  <si>
    <t>Hayman, John</t>
  </si>
  <si>
    <t>NC242.R8 -- A4 1990eb</t>
  </si>
  <si>
    <t>Ruskin, John, -- 1819-1900 -- Catalogs.; Switzerland -- In art -- Catalogs.</t>
  </si>
  <si>
    <t>http://public.eblib.com/choice/PublicFullRecord.aspx?p=685659</t>
  </si>
  <si>
    <t>Men, Machines, and War</t>
  </si>
  <si>
    <t>Haycock, Ronald; Neilson, Keith</t>
  </si>
  <si>
    <t>U39 -- .M46 1988eb</t>
  </si>
  <si>
    <t>Electronic books. -- local; Military art and science -- History -- Congresses.; Military history -- Congresses.</t>
  </si>
  <si>
    <t>http://public.eblib.com/choice/PublicFullRecord.aspx?p=685660</t>
  </si>
  <si>
    <t>Ogoki River Guides : Emergent Leadership among the Northern Ojibwa</t>
  </si>
  <si>
    <t>Hedican, Edward J.</t>
  </si>
  <si>
    <t>E99.C6 -- H39 1986eb</t>
  </si>
  <si>
    <t>970.3; 971.3; 971.312</t>
  </si>
  <si>
    <t>Collins (Ont.) -- Economic conditions.; Electronic books. -- local; Indian business enterprises -- Ontario -- Collins.; Indians of North America -- Ontario -- Collins -- Economic conditions.; Ogoki River Guides Ltd.; Ojibwa business enterprises.; Ojibwa Indians -- Economic conditions.</t>
  </si>
  <si>
    <t>http://public.eblib.com/choice/PublicFullRecord.aspx?p=685663</t>
  </si>
  <si>
    <t>Propensity to Protect : Butter, Margarine and the Rise of Urban Culture in Canada</t>
  </si>
  <si>
    <t>Heick, W.H.</t>
  </si>
  <si>
    <t>Geography/Travel; Business/Management</t>
  </si>
  <si>
    <t>HD9330.M373 -- C3 1991eb</t>
  </si>
  <si>
    <t>Butter trade -- Canada -- History.; Butter trade -- Government policy -- Canada.; Consumers -- Canada -- Attitudes.; Electronic books. -- local; Margarine industry -- Canada -- History.; Margarine industry -- Government policy -- Canada.; Urbanization -- Canada -- History.</t>
  </si>
  <si>
    <t>http://public.eblib.com/choice/PublicFullRecord.aspx?p=685664</t>
  </si>
  <si>
    <t>Postwar Novel in Canada : Narrative Patterns and Reader Response</t>
  </si>
  <si>
    <t>Canadian Review of Comparative Literature</t>
  </si>
  <si>
    <t>Heidenreich, Rosmarin; Hutcheon, Linda</t>
  </si>
  <si>
    <t>PR9192.5 -- .H44 1989eb</t>
  </si>
  <si>
    <t>810.99287; 813.09</t>
  </si>
  <si>
    <t>Canadian fiction -- 20th century -- History and criticism.; Electronic books. -- local; French-Canadian fiction -- 20th century -- History and criticism.</t>
  </si>
  <si>
    <t>http://public.eblib.com/choice/PublicFullRecord.aspx?p=685665</t>
  </si>
  <si>
    <t>Irrelevant or Indispensable? : The United Nations in the Twenty-first Century</t>
  </si>
  <si>
    <t>Heinbecker, Paul; Goff, Patricia</t>
  </si>
  <si>
    <t>JZ4984 -- .I77 2005eb</t>
  </si>
  <si>
    <t>341.23/01/3</t>
  </si>
  <si>
    <t>Economic development -- Congresses.; Electronic books. -- local; Security, International -- Congresses.; United Nations -- Congresses.</t>
  </si>
  <si>
    <t>http://public.eblib.com/choice/PublicFullRecord.aspx?p=685666</t>
  </si>
  <si>
    <t>Lines Drawn upon the Water : First Nations and the Great Lakes Borders and Borderlands</t>
  </si>
  <si>
    <t>Indigenous Studies</t>
  </si>
  <si>
    <t>Hele, Karl S.</t>
  </si>
  <si>
    <t>E78.G7 -- L55 2008eb</t>
  </si>
  <si>
    <t>971.3004/97</t>
  </si>
  <si>
    <t>Canada -- Boundaries -- United States.; Indians of North America -- Great Lakes Region (North America) -- History -- Congresses.; Indians of North America -- Great Lakes Region (North America) -- History.; Métis -- Great Lakes Region (North America) -- History -- Congresses.; Métis -- Great Lakes Region (North America) -- History.; Water boundaries -- Ontario.; Water boundaries -- United States.</t>
  </si>
  <si>
    <t>http://public.eblib.com/choice/PublicFullRecord.aspx?p=685667</t>
  </si>
  <si>
    <t>Simone Weil : An Introduction to Her Thought</t>
  </si>
  <si>
    <t>Hellman, John</t>
  </si>
  <si>
    <t>B2430.W474 -- H39 1982eb</t>
  </si>
  <si>
    <t>Electronic books. -- local; Philosophy, Modern.; Weil, Simone, -- 1909-1943.</t>
  </si>
  <si>
    <t>http://public.eblib.com/choice/PublicFullRecord.aspx?p=685669</t>
  </si>
  <si>
    <t>Desire for Development : Whiteness, Gender, and the Helping Imperative</t>
  </si>
  <si>
    <t>Heron, Barbara</t>
  </si>
  <si>
    <t>HD82 -- .H47 2007eb</t>
  </si>
  <si>
    <t>305.42096; 305.48/9622</t>
  </si>
  <si>
    <t>Economic development -- Social aspects.; Electronic books. -- local; Imperialism.; Power (Social sciences); Women in development -- Developing countries.; Women, White -- Developing countries.; Women, White -- Race identity.</t>
  </si>
  <si>
    <t>http://public.eblib.com/choice/PublicFullRecord.aspx?p=685670</t>
  </si>
  <si>
    <t>Shape of the Great Pyramid</t>
  </si>
  <si>
    <t>Herz-Fischler, Roger</t>
  </si>
  <si>
    <t>DT63 -- .H47 2000eb</t>
  </si>
  <si>
    <t>Electronic books. -- local; Great Pyramid (Egypt) -- Miscellanea.; Weights and measures -- Egypt -- Miscellanea.</t>
  </si>
  <si>
    <t>http://public.eblib.com/choice/PublicFullRecord.aspx?p=685671</t>
  </si>
  <si>
    <t>Moral Mystic</t>
  </si>
  <si>
    <t>Horne, James R.</t>
  </si>
  <si>
    <t>BV5083 -- .H58 1983eb</t>
  </si>
  <si>
    <t>Electronic books. -- local; Mysticism.; Religious ethics.</t>
  </si>
  <si>
    <t>http://public.eblib.com/choice/PublicFullRecord.aspx?p=685676</t>
  </si>
  <si>
    <t>Eternity and Eternal Life : Speculative Theology and Science in Discourse</t>
  </si>
  <si>
    <t>Horvath, S.J., Tibor</t>
  </si>
  <si>
    <t>BT912 -- .H67 1993eb</t>
  </si>
  <si>
    <t>236/.2</t>
  </si>
  <si>
    <t>Electronic books. -- local; Eternity.; Future life -- Christianity.; Time -- Religious aspects -- Christianity.</t>
  </si>
  <si>
    <t>http://public.eblib.com/choice/PublicFullRecord.aspx?p=685679</t>
  </si>
  <si>
    <t>Question of Commitment : Children's Rights in Canada</t>
  </si>
  <si>
    <t>Howe, R. Brian; Covell, Katherine</t>
  </si>
  <si>
    <t>HQ789 -- .Q47 2007eb</t>
  </si>
  <si>
    <t>323.3; 323.3/520971; 323.3520971</t>
  </si>
  <si>
    <t>http://public.eblib.com/choice/PublicFullRecord.aspx?p=685680</t>
  </si>
  <si>
    <t>Narcissistic Narrative : The Metafictional Paradox</t>
  </si>
  <si>
    <t>Hutcheon, Linda</t>
  </si>
  <si>
    <t>PN3503 -- .H8 1980eb</t>
  </si>
  <si>
    <t>809.3; 809.3/04; 809.304</t>
  </si>
  <si>
    <t>Electronic books. -- local; Fiction -- 20th century -- History and criticism.; Fiction -- Technique.</t>
  </si>
  <si>
    <t>http://public.eblib.com/choice/PublicFullRecord.aspx?p=685684</t>
  </si>
  <si>
    <t>Prophets, Pastors and Public Choices : Canadian Churches and the Mackenzie Valley Pipeline Debate</t>
  </si>
  <si>
    <t>BV4404.C2 -- H873 1992eb</t>
  </si>
  <si>
    <t>Church and social problems -- Canada.; Electronic books. -- local; Mackenzie Valley Pipeline (N.W.T.) -- Environmental aspects.; Mackenzie Valley Pipeline (N.W.T.) -- Moral and ethical aspects.</t>
  </si>
  <si>
    <t>http://public.eblib.com/choice/PublicFullRecord.aspx?p=685685</t>
  </si>
  <si>
    <t>Cross and the Rising Sun, Volume 1 : The Canadian Protestant Missionary Movement in the Japanese Empire, 1872-1931</t>
  </si>
  <si>
    <t>Ion, A. Hamish</t>
  </si>
  <si>
    <t>BV3445.2 -- .I54 1990eb</t>
  </si>
  <si>
    <t>266/.023710171252/09034; 266/.02371052</t>
  </si>
  <si>
    <t>East Asia -- Church history.; Japan -- Church history.; Protestant churches -- Missions -- Japan -- History.; Protestant churches -- Missions -- Korea -- History.; Protestant churches -- Missions -- Taiwan -- History.</t>
  </si>
  <si>
    <t>http://public.eblib.com/choice/PublicFullRecord.aspx?p=685687</t>
  </si>
  <si>
    <t>Cross and the Rising Sun, Volume 2 : The British Protestant Missionary Movement in Japan, Korea and Taiwan, 1865-1945</t>
  </si>
  <si>
    <t>BV3445.2 -- .I542 1993eb</t>
  </si>
  <si>
    <t>http://public.eblib.com/choice/PublicFullRecord.aspx?p=685688</t>
  </si>
  <si>
    <t>War and Diplomacy across the Pacific, 1919-1952</t>
  </si>
  <si>
    <t>Ion, A. Hamish; Hunt, Barry D.</t>
  </si>
  <si>
    <t>DU29 -- .W37 1988eb</t>
  </si>
  <si>
    <t>940.54/25</t>
  </si>
  <si>
    <t>Electronic books. -- local; Pacific Area -- Foreign relations -- Congresses.; Pacific Area -- History, Military -- Congresses.; Pacific Area -- History.</t>
  </si>
  <si>
    <t>http://public.eblib.com/choice/PublicFullRecord.aspx?p=685690</t>
  </si>
  <si>
    <t>Watermelon Syrup : A Novel</t>
  </si>
  <si>
    <t>Jacobsen, Annie; Finlay-Young, Jane; Brandt, Di</t>
  </si>
  <si>
    <t>PR9199.4.J34 -- W38 2007eb</t>
  </si>
  <si>
    <t>Canadian fiction.; Electronic books. -- local; Ontario -- Social conditions -- Fiction.</t>
  </si>
  <si>
    <t>http://public.eblib.com/choice/PublicFullRecord.aspx?p=685691</t>
  </si>
  <si>
    <t>Luther and Late Medieval Thomism : A Study in Theological Anthropology</t>
  </si>
  <si>
    <t>Janz, Denis R.</t>
  </si>
  <si>
    <t>BR333.5.A5 -- J36 1983eb</t>
  </si>
  <si>
    <t>233; 233/.09; 233/.09/024</t>
  </si>
  <si>
    <t>Electronic books. -- local; Luther, Martin, -- 1483-1546.; Theological anthropology -- Christianity -- History of doctrines.; Thomists.</t>
  </si>
  <si>
    <t>http://public.eblib.com/choice/PublicFullRecord.aspx?p=685693</t>
  </si>
  <si>
    <t>Of God and Maxim Guns : Presbyterianism in Nigeria, 1846-1966</t>
  </si>
  <si>
    <t>Johnston, Geoffrey</t>
  </si>
  <si>
    <t>BX9162.N5 -- J64 1988eb</t>
  </si>
  <si>
    <t>285/.2669</t>
  </si>
  <si>
    <t>Electronic books. -- local; Presbyterian Church -- Missions -- Nigeria -- History.; Presbyterian Church -- Nigeria -- History.; Presbyterian Church of Nigeria -- History.</t>
  </si>
  <si>
    <t>http://public.eblib.com/choice/PublicFullRecord.aspx?p=685695</t>
  </si>
  <si>
    <t>Agent in the Margin : Nayantara Sahgal's Gandhian Fiction</t>
  </si>
  <si>
    <t>Joseph, Clara A.B.</t>
  </si>
  <si>
    <t>PR9499.3.S154 -- Z734 2008eb</t>
  </si>
  <si>
    <t>Althusser, Louis, -- 1918-1990 -- Influence.; Althusser, Louis, -- 1918-1990 -- Political and social views.; Electronic books. -- local; Gandhi, -- Mahatma, -- 1869-1948 -- Influence.; Gandhi, -- Mahatma, -- 1869-1948 -- Political and social views.; Sahgal, Nayantara, -- 1927- -- Criticism and interpretation.</t>
  </si>
  <si>
    <t>http://public.eblib.com/choice/PublicFullRecord.aspx?p=685698</t>
  </si>
  <si>
    <t>Gender, Genre and Religion : Feminist Reflections</t>
  </si>
  <si>
    <t>Joy, Morny; Neumaier-Dargyay, Eva K.</t>
  </si>
  <si>
    <t>BL458 -- .G45 1995eb</t>
  </si>
  <si>
    <t>200/.82; 291/.082</t>
  </si>
  <si>
    <t>Electronic books. -- local; Feminism -- Religious aspects -- Congresses.; Feminist theology -- Congresses.; Women and religion -- Congresses.</t>
  </si>
  <si>
    <t>http://public.eblib.com/choice/PublicFullRecord.aspx?p=685700</t>
  </si>
  <si>
    <t>Flora Tells a Story : The Apocalypse of Paul and Its Contexts</t>
  </si>
  <si>
    <t>Kaler, Michael</t>
  </si>
  <si>
    <t>BT1392.A6372 -- K35 2008eb</t>
  </si>
  <si>
    <t>Apocalypse of Paul (Coptic version) -- Criticism, interpretation, etc.; Coptic literature -- Translations.; Electronic books. -- local</t>
  </si>
  <si>
    <t>http://public.eblib.com/choice/PublicFullRecord.aspx?p=685701</t>
  </si>
  <si>
    <t>Trans.Can.Lit : Resituating the Study of Canadian Literature</t>
  </si>
  <si>
    <t>TransCanada</t>
  </si>
  <si>
    <t>Kamboureli, Smaro; Miki, Roy</t>
  </si>
  <si>
    <t>PR9189.6 -- .T73 2007eb</t>
  </si>
  <si>
    <t>810.9; 810.90054</t>
  </si>
  <si>
    <t>Canadian literature -- 20th century -- History and criticism.; Canadian literature -- 21st century -- History and criticism.; Canadian literature -- Minority authors -- History and criticism.; Electronic books. -- local; Literature and globalization -- Canada.; Literature and state -- Canada.</t>
  </si>
  <si>
    <t>http://public.eblib.com/choice/PublicFullRecord.aspx?p=685703</t>
  </si>
  <si>
    <t>Counterrealism and Indo-Anglian Fiction</t>
  </si>
  <si>
    <t>Kanaganayakam, Chelva</t>
  </si>
  <si>
    <t>PR9480.1 -- .K36 2002eb</t>
  </si>
  <si>
    <t>823/.91409954</t>
  </si>
  <si>
    <t>Electronic books. -- local; Indic fiction (English) -- 20th century -- History and criticism.; Indic literature (English) -- 20th century -- History and criticism.</t>
  </si>
  <si>
    <t>http://public.eblib.com/choice/PublicFullRecord.aspx?p=685704</t>
  </si>
  <si>
    <t>Figuring Redemption : Resighting My Self in the Art of Michael Snow</t>
  </si>
  <si>
    <t>Kellman, Tila L.</t>
  </si>
  <si>
    <t>N6549.S64 -- K44 2002eb</t>
  </si>
  <si>
    <t>709/.2</t>
  </si>
  <si>
    <t>Electronic books. -- local; Self-perception in art.; Snow, Michael, -- 1929- -- Criticism and interpretation.</t>
  </si>
  <si>
    <t>http://public.eblib.com/choice/PublicFullRecord.aspx?p=685708</t>
  </si>
  <si>
    <t>Widowed Self : The Older Woman's Journey through Widowhood</t>
  </si>
  <si>
    <t>van den Hoonaard, Deborah Kestin</t>
  </si>
  <si>
    <t>HQ1058 -- .V36 2001eb</t>
  </si>
  <si>
    <t>Electronic books. -- local; Widowhood.; Widows -- New Brunswick.</t>
  </si>
  <si>
    <t>http://public.eblib.com/choice/PublicFullRecord.aspx?p=685709</t>
  </si>
  <si>
    <t>Rites of Way : The Politics and Poetics of Public Space</t>
  </si>
  <si>
    <t>Canadian Commentaries</t>
  </si>
  <si>
    <t>Kingwell, Mark; Turmel, Patrick</t>
  </si>
  <si>
    <t>Social Science; Architecture</t>
  </si>
  <si>
    <t>NA9053.S6 -- R58 2009eb</t>
  </si>
  <si>
    <t>307.1/216</t>
  </si>
  <si>
    <t>Electronic books. -- local; Public spaces -- Political aspects.; Public spaces -- Social aspects.; Public spaces.</t>
  </si>
  <si>
    <t>http://public.eblib.com/choice/PublicFullRecord.aspx?p=685712</t>
  </si>
  <si>
    <t>Going by the Moon and the Stars : Stories of Two Russian Mennonite Women</t>
  </si>
  <si>
    <t>Klassen, Pamela E.</t>
  </si>
  <si>
    <t>Religion; Social Science</t>
  </si>
  <si>
    <t>BX8143.J36 -- K55 1994eb</t>
  </si>
  <si>
    <t>305.48; 305.48/687022713; 305.48687022713</t>
  </si>
  <si>
    <t>Enns, Katja, -- 1925-; Janzen, Agatha.; Mennonites -- Ontario -- Kitchener -- Biography.; Mennonites -- Ukraine -- Molochansʹk -- Biography.; Women -- Ukraine -- Molochansʹk -- Biography.; World War, 1939-1945 -- Mennonites.; World War, 1939-1945 -- Personal narratives, Ukrainian.</t>
  </si>
  <si>
    <t>http://public.eblib.com/choice/PublicFullRecord.aspx?p=685713</t>
  </si>
  <si>
    <t>Chasing the Comet : A Scottish-Canadian Life</t>
  </si>
  <si>
    <t>Koretchuk, Patricia; Caldow, David</t>
  </si>
  <si>
    <t>S417.C24 -- K67 2002eb</t>
  </si>
  <si>
    <t>630/.92</t>
  </si>
  <si>
    <t>Caldow, David.; Electronic books. -- local; Farm managers -- British Columbia -- Biography.</t>
  </si>
  <si>
    <t>http://public.eblib.com/choice/PublicFullRecord.aspx?p=685718</t>
  </si>
  <si>
    <t>Child Welfare : Connecting Research, Policy, and Practice</t>
  </si>
  <si>
    <t>WLU Press</t>
  </si>
  <si>
    <t>Kufeldt, Kathleen; McKenzie, Brad</t>
  </si>
  <si>
    <t>HV745.A6 -- C48 2003eb</t>
  </si>
  <si>
    <t>362.7/0971</t>
  </si>
  <si>
    <t>Child welfare -- Canada.; Child welfare -- Research -- Canada.; Electronic books. -- local</t>
  </si>
  <si>
    <t>http://public.eblib.com/choice/PublicFullRecord.aspx?p=685719</t>
  </si>
  <si>
    <t>Jews and French Quebecers : Two Hundred Years of Shared History</t>
  </si>
  <si>
    <t>Langlais, Jacques; Rome, David; Young, Barbara</t>
  </si>
  <si>
    <t>F1055.J5 -- L3 1991eb</t>
  </si>
  <si>
    <t>971.4; 971.4004924</t>
  </si>
  <si>
    <t>Antisemitism -- Québec (Province) -- History.; Electronic books. -- local; French-Canadians -- Québec (Province) -- History.; Jews -- Québec (Province) -- History.; Québec (Province) -- Ethnic relations.</t>
  </si>
  <si>
    <t>http://public.eblib.com/choice/PublicFullRecord.aspx?p=685723</t>
  </si>
  <si>
    <t>Horn of Africa as Common Homeland : The State and Self-Determination in the Era of Heightened Globalization</t>
  </si>
  <si>
    <t>Lata, Leenco</t>
  </si>
  <si>
    <t>DT367.59 -- .L37 2004eb</t>
  </si>
  <si>
    <t>963.07/2</t>
  </si>
  <si>
    <t>Africa, Northeast -- History.; Africa, Northeast -- Politics and government -- 1974-; Globalization -- Political aspects -- Africa, Northeast.; Self-determination -- Africa, Northeast.</t>
  </si>
  <si>
    <t>http://public.eblib.com/choice/PublicFullRecord.aspx?p=685724</t>
  </si>
  <si>
    <t>Perils of Patient Government : Professionals and Patients in a Chronic-Care Hospital</t>
  </si>
  <si>
    <t>Lella, Joseph W.; Bayne, J.R.; Csank, J.Z.</t>
  </si>
  <si>
    <t>RA997 -- .L45 1986eb</t>
  </si>
  <si>
    <t>362.1/6; 362.16</t>
  </si>
  <si>
    <t>Chronically ill -- Social conditions.; Electronic books. -- local; Long-term care facilities -- Administration.; Long-term care facilities -- Sociological aspects.; Medical personnel and patient.; Veterans -- Medical care.</t>
  </si>
  <si>
    <t>http://public.eblib.com/choice/PublicFullRecord.aspx?p=685725</t>
  </si>
  <si>
    <t>Depicting Canada's Children</t>
  </si>
  <si>
    <t>Lerner, Loren</t>
  </si>
  <si>
    <t>N7640 -- .D46 2009eb</t>
  </si>
  <si>
    <t>704.9/4250971</t>
  </si>
  <si>
    <t>Art, Canadian.; Children -- Canada -- History.; Children -- Canada -- Pictorial works -- History.; Children -- Canada -- Social conditions.; Children in art -- Canada.; Electronic books. -- local; Photography of children -- Canada -- History.</t>
  </si>
  <si>
    <t>http://public.eblib.com/choice/PublicFullRecord.aspx?p=685727</t>
  </si>
  <si>
    <t>Freedom to Play : We Made Our Own Fun</t>
  </si>
  <si>
    <t>Lewis, Norah L.</t>
  </si>
  <si>
    <t>Sport &amp; Recreation; Fine Arts</t>
  </si>
  <si>
    <t>GV1204 .15 -- .F74 2002eb</t>
  </si>
  <si>
    <t>790.1/922/0971/0904</t>
  </si>
  <si>
    <t>Amusements -- Canada -- History -- 20th century.; Electronic books. -- local; Play -- Canada -- History -- 20th century.</t>
  </si>
  <si>
    <t>http://public.eblib.com/choice/PublicFullRecord.aspx?p=685730</t>
  </si>
  <si>
    <t>Water Lily Pond : A Village Girl's Journey in Maoist China</t>
  </si>
  <si>
    <t>Li, Han Z.</t>
  </si>
  <si>
    <t>PS8573.I15 -- W38 2004eb</t>
  </si>
  <si>
    <t>China -- History -- 1949-1976 -- Fiction.; Chine -- Histoire -- 1949-1976 -- Romans, nouvelles, etc.; Electronic books. -- local</t>
  </si>
  <si>
    <t>http://public.eblib.com/choice/PublicFullRecord.aspx?p=685732</t>
  </si>
  <si>
    <t>Rhetoric of the Babylonian Talmud, Its Social Meaning and Context</t>
  </si>
  <si>
    <t>Lightstone, Jack N.</t>
  </si>
  <si>
    <t>BM504.2 -- .L54 1994eb</t>
  </si>
  <si>
    <t>296.1/25066</t>
  </si>
  <si>
    <t>Electronic books. -- local; Rabbinical literature.; Talmud -- Criticism, interpretation, etc.</t>
  </si>
  <si>
    <t>http://public.eblib.com/choice/PublicFullRecord.aspx?p=685733</t>
  </si>
  <si>
    <t>Society, the Sacred and Scripture in Ancient Judaism : A Sociology of Knowledge</t>
  </si>
  <si>
    <t>BS1199.S6 -- L5 1988eb</t>
  </si>
  <si>
    <t>296.1/2067</t>
  </si>
  <si>
    <t>Bible. -- O.T. -- Pentateuch -- History.; Electronic books. -- local; Judaism -- History -- Talmudic period, 10-425.; Judaism -- History -- To 70 A.D.; Rabbinical literature -- History and criticism.</t>
  </si>
  <si>
    <t>http://public.eblib.com/choice/PublicFullRecord.aspx?p=685734</t>
  </si>
  <si>
    <t>Mishnah and the Social Formation of the Early Rabbinic Guild : A Socio-Rhetorical Approach</t>
  </si>
  <si>
    <t>BM497.8 -- .L54 2002eb</t>
  </si>
  <si>
    <t>296.1/2306</t>
  </si>
  <si>
    <t>Electronic books. -- local; Judaism -- History -- Talmudic period, 10-425.; Mishnah -- Socio-rhetorical criticism.</t>
  </si>
  <si>
    <t>http://public.eblib.com/choice/PublicFullRecord.aspx?p=685736</t>
  </si>
  <si>
    <t>Love Strong as Death : Lucy Peel's Canadian Journal, 1833-1836</t>
  </si>
  <si>
    <t>Little, J.I.</t>
  </si>
  <si>
    <t>FC2949.S47 -- Z49 2001eb</t>
  </si>
  <si>
    <t>971.4/6602/092</t>
  </si>
  <si>
    <t>Electronic books. -- local; Frontier and pioneer life -- Québec (Province) -- Sherbrooke Region.; Peel, Lucy, -- fl. 1833-1836 -- Diaries.; Pioneers -- Québec (Province) -- Sherbrooke Region -- Diaries.; Sherbrooke Region (Québec) -- Biography.</t>
  </si>
  <si>
    <t>http://public.eblib.com/choice/PublicFullRecord.aspx?p=685740</t>
  </si>
  <si>
    <t>Last Effort of Dreams : Essays on the Poetry of Pier Giorgio Di Cicco</t>
  </si>
  <si>
    <t>Loriggio, Francesco</t>
  </si>
  <si>
    <t>PR9199.3.D497 -- Z75 2007eb</t>
  </si>
  <si>
    <t>Di Cicco, Pier Giorgio, -- 1949- -- Criticism and interpretation.; Electronic books. -- local; English poetry -- 20th century.</t>
  </si>
  <si>
    <t>http://public.eblib.com/choice/PublicFullRecord.aspx?p=685743</t>
  </si>
  <si>
    <t>NFB Kids : Portrayals of Children by the National Film Board of Canada, 1939-1989</t>
  </si>
  <si>
    <t>Low, Brian J.</t>
  </si>
  <si>
    <t>HQ792.C3 -- L68 2002eb</t>
  </si>
  <si>
    <t>791.43/652054/0971</t>
  </si>
  <si>
    <t>Children in motion pictures -- History.; Electronic books. -- local; Motion pictures -- Canada -- History.; Motion pictures -- Social aspects -- Canada.; National Film Board of Canada -- History.</t>
  </si>
  <si>
    <t>http://public.eblib.com/choice/PublicFullRecord.aspx?p=685744</t>
  </si>
  <si>
    <t>Guide to Historical Resources in the Regional Municipality of Waterloo : in the Regional Municipality of Waterloo</t>
  </si>
  <si>
    <t>Macnaughton, Elizabeth; Wagner, Pat</t>
  </si>
  <si>
    <t>General Works/Reference; History</t>
  </si>
  <si>
    <t>F1059.W32 -- M336 1989eb</t>
  </si>
  <si>
    <t>011/.31</t>
  </si>
  <si>
    <t>Archives -- Ontario -- Waterloo (Regional municipality) -- Directories.; Electronic books. -- local; Waterloo (Ont. : Regional municipality) -- Archival resources -- Directories.; Waterloo (Ont. : Regional municipality) -- History -- Sources -- Directories.</t>
  </si>
  <si>
    <t>http://public.eblib.com/choice/PublicFullRecord.aspx?p=685747</t>
  </si>
  <si>
    <t>Social Setting of the Ministry as Reflected in the Writings of Hermas, Clement and Ignatius</t>
  </si>
  <si>
    <t>Maier, Harry O.</t>
  </si>
  <si>
    <t>BV648 -- .M35 1991eb</t>
  </si>
  <si>
    <t>Church history -- Primitive and early church, ca. 30-600.; Church polity -- History -- Early church, ca. 30-600.; Clement -- I, -- Pope.; Electronic books. -- local; Hermas, -- 2nd cent.; Ignatius, -- Saint, Bishop of Antioch, -- d. ca. 110.; Pastoral theology.</t>
  </si>
  <si>
    <t>http://public.eblib.com/choice/PublicFullRecord.aspx?p=685748</t>
  </si>
  <si>
    <t>Structural Idealism : A Theory of Social and Historical Explanation</t>
  </si>
  <si>
    <t>Mann, Douglas</t>
  </si>
  <si>
    <t>HM484 -- M35 2002eb</t>
  </si>
  <si>
    <t>300/.1</t>
  </si>
  <si>
    <t>Culture -- Philosophy.; Electronic books. -- local; History -- Philosophy.; Idealism.; Social sciences -- Philosophy.</t>
  </si>
  <si>
    <t>http://public.eblib.com/choice/PublicFullRecord.aspx?p=685751</t>
  </si>
  <si>
    <t>By Word of Mouth : The Poetry of Dennis Cooley</t>
  </si>
  <si>
    <t>Markotic, Nicole; Cooley, Dennis</t>
  </si>
  <si>
    <t>PR9199.3.C642 -- B665 2007eb</t>
  </si>
  <si>
    <t>Cooley, Dennis, -- 1944-; Electronic books. -- local; English poetry.</t>
  </si>
  <si>
    <t>http://public.eblib.com/choice/PublicFullRecord.aspx?p=685753</t>
  </si>
  <si>
    <t>Le messianisme de Louis Riel</t>
  </si>
  <si>
    <t>Martel, Gilles</t>
  </si>
  <si>
    <t>F1060.9.R53 -- M37 1984eb</t>
  </si>
  <si>
    <t>Indians of North America -- Manitoba -- Religion.; Métis -- History.; Métis -- Religion.; Millennialism -- Manitoba -- History -- 19th century.; Red River Settlement.; Riel Rebellion, 1885.; Riel, Louis, -- 1844-1885.</t>
  </si>
  <si>
    <t>http://public.eblib.com/choice/PublicFullRecord.aspx?p=685755</t>
  </si>
  <si>
    <t>W.B. Yeats : Metaphysician as Dramatist</t>
  </si>
  <si>
    <t>Martin, Heather C.</t>
  </si>
  <si>
    <t>PR5906 -- .M37 1986eb</t>
  </si>
  <si>
    <t>821/.8</t>
  </si>
  <si>
    <t>Electronic books. -- local; Poets, Irish -- 20th century -- Biography.; Yeats, W. B. -- (William Butler), -- 1865-1939 -- Dramatic works.; Yeats, W. B. -- (William Butler), -- 1865-1939 -- Philosophy.; Yeats, W. B. -- (William Butler), -- 1865-1939 -- Symbolism.</t>
  </si>
  <si>
    <t>http://public.eblib.com/choice/PublicFullRecord.aspx?p=685756</t>
  </si>
  <si>
    <t>Reading In : Alice Munro's Archives</t>
  </si>
  <si>
    <t>McCaig, JoAnn</t>
  </si>
  <si>
    <t>PR9199.3.M8 -- Z75 2002eb</t>
  </si>
  <si>
    <t>Feminism and literature -- Canada -- History -- 20th century.; Munro, Alice, -- 1931- -- Archives.; Munro, Alice, -- 1931- -- Criticism and interpretation.; Women and literature -- Canada -- History -- 20th century.</t>
  </si>
  <si>
    <t>http://public.eblib.com/choice/PublicFullRecord.aspx?p=685759</t>
  </si>
  <si>
    <t>Florence Nightingale : An Introduction to Her Life and Family:Collected Works of Florence Nightingale, Volume 1</t>
  </si>
  <si>
    <t>Collected Works of Florence Nightingale</t>
  </si>
  <si>
    <t>Nightingale, Florence; McDonald, Lynn</t>
  </si>
  <si>
    <t>RT37.N5 -- A2 2001eb</t>
  </si>
  <si>
    <t>610.73/092</t>
  </si>
  <si>
    <t>Electronic books. -- local; Nightingale, Florence, -- 1820-1910.; Nurses -- England -- Biography.</t>
  </si>
  <si>
    <t>http://public.eblib.com/choice/PublicFullRecord.aspx?p=685762</t>
  </si>
  <si>
    <t>Florence Nightingale on Social Change in India : Collected Works of Florence Nightingale, Volume 10</t>
  </si>
  <si>
    <t>Vallée, Gérard</t>
  </si>
  <si>
    <t>HN683 -- .N53 2007eb</t>
  </si>
  <si>
    <t>306.0954; 306.095409034; 954.03</t>
  </si>
  <si>
    <t>Electronic books. -- local; India -- Politics and government -- 1857-1919.; India -- Social conditions -- 19th century.; Nightingale, Florence, -- 1820-1910.; Public health -- India -- History -- 19th century.; Social change -- India -- History -- 19th century.</t>
  </si>
  <si>
    <t>http://public.eblib.com/choice/PublicFullRecord.aspx?p=685763</t>
  </si>
  <si>
    <t>Florence Nightingale's Suggestions for Thought : Collected Works of Florence Nightingale, Volume 11</t>
  </si>
  <si>
    <t>McDonald, Lynn</t>
  </si>
  <si>
    <t>RT37.N5 -- A211 2008eb</t>
  </si>
  <si>
    <t>Ethics.; Nightingale, Florence, -- 1820-1910 -- Religion.; Religion.; Women -- Great Britain -- Social conditions -- 19th century.</t>
  </si>
  <si>
    <t>http://public.eblib.com/choice/PublicFullRecord.aspx?p=685764</t>
  </si>
  <si>
    <t>Florence Nightingale : The Nightingale School:Collected Works of Florence Nightingale, Volume 12</t>
  </si>
  <si>
    <t>RT37.N5 -- A3 2009eb</t>
  </si>
  <si>
    <t>Electronic books. -- local; Nightingale Training School (London, England) -- History.; Nightingale, Florence, -- 1820-1910.; Nurses -- Great Britain -- Biography.; Nursing -- Europe.; Nursing -- Study and teaching -- Great Britain -- History.; Nursing.</t>
  </si>
  <si>
    <t>http://public.eblib.com/choice/PublicFullRecord.aspx?p=685765</t>
  </si>
  <si>
    <t>Florence Nightingale : Extending Nursing:Collected Works of Florence Nightingale, Volume 13</t>
  </si>
  <si>
    <t>RT81.G7 -- N54 2009eb</t>
  </si>
  <si>
    <t>610.73094109/034</t>
  </si>
  <si>
    <t>Electronic books. -- local; Nightingale Training School (London, England) -- History.; Nightingale, Florence, -- 1820-1910.; Nurses -- Training of -- Great Britain -- History -- 19th century.; Nurses -- Training of -- History -- 19th century.; Nursing -- Great Britain -- History -- 19th century.</t>
  </si>
  <si>
    <t>http://public.eblib.com/choice/PublicFullRecord.aspx?p=685766</t>
  </si>
  <si>
    <t>Florence Nightingale's Spiritual Journey : Biblical Annotations, Sermons and Journal Notes:Collected Works of Florence Nightingale, Volume 2</t>
  </si>
  <si>
    <t>Nursing; Religion</t>
  </si>
  <si>
    <t>230/.092</t>
  </si>
  <si>
    <t>http://public.eblib.com/choice/PublicFullRecord.aspx?p=685768</t>
  </si>
  <si>
    <t>Florence Nightingale's Theology : Essays, Letters and Journal Notes:Collected Works of Florence Nightingale, Volume 3</t>
  </si>
  <si>
    <t>RT37.N5 -- A2 2002eb</t>
  </si>
  <si>
    <t>Church -- Catholicity.; Electronic books. -- local; Nightingale, Florence, -- 1820-1910 -- Correspondence.; Nightingale, Florence, -- 1820-1910 -- Religion.; Protestantism.; Theology.</t>
  </si>
  <si>
    <t>http://public.eblib.com/choice/PublicFullRecord.aspx?p=685769</t>
  </si>
  <si>
    <t>Florence Nightingale on Mysticism and Eastern Religions : Collected Works of Florence Nightingale, Volume 4</t>
  </si>
  <si>
    <t>Vallée, Gérard; Vallee, Gerard</t>
  </si>
  <si>
    <t>Religion; Social Science; Health</t>
  </si>
  <si>
    <t>BL625 -- .N54 2003eb</t>
  </si>
  <si>
    <t>362.1/0942/09034</t>
  </si>
  <si>
    <t>Asia -- Religion.; Christianity and other religions.; Mysticism.; Nightingale, Florence, -- 1820-1910 -- Correspondence.; Nightingale, Florence, -- 1820-1910 -- Diaries.; Nightingale, Florence, -- 1820-1910 -- Religion.; Nightingale, Florence, -- 1820-1910 -- Travel -- Egypt.</t>
  </si>
  <si>
    <t>http://public.eblib.com/choice/PublicFullRecord.aspx?p=685770</t>
  </si>
  <si>
    <t>Florence Nightingale on Society and Politics, Philosophy, Science, Education and Literature : Collected Works of Florence Nightingale, Volume 5</t>
  </si>
  <si>
    <t>Social Science; Nursing</t>
  </si>
  <si>
    <t>RT37.N5 -- A2 2003eb</t>
  </si>
  <si>
    <t>http://public.eblib.com/choice/PublicFullRecord.aspx?p=685771</t>
  </si>
  <si>
    <t>Florence Nightingale on Public Health Care : Collected Works of Florence Nightingale, Volume 6</t>
  </si>
  <si>
    <t>Social Science; Health; Nursing</t>
  </si>
  <si>
    <t>RT37 N5 -- A2 2001eb</t>
  </si>
  <si>
    <t>http://public.eblib.com/choice/PublicFullRecord.aspx?p=685772</t>
  </si>
  <si>
    <t>Florence Nightingale's European Travels : Collected Works of Florence Nightingale, Volume 7</t>
  </si>
  <si>
    <t>Geography/Travel; Nursing</t>
  </si>
  <si>
    <t>RT37.N5 -- N54 2004eb</t>
  </si>
  <si>
    <t>914.04/283</t>
  </si>
  <si>
    <t>Electronic books. -- local; Europe -- Description and travel.; Nightingale, Florence, -- 1820-1910 -- Travel -- Europe.; Nurses -- England -- Biography.; Women social reformers -- England -- Biography.</t>
  </si>
  <si>
    <t>http://public.eblib.com/choice/PublicFullRecord.aspx?p=685773</t>
  </si>
  <si>
    <t>Florence Nightingale on Women, Medicine, Midwifery and Prostitution : Collected Works of Florence Nightingale, Volume 8</t>
  </si>
  <si>
    <t>Nursing; Social Science</t>
  </si>
  <si>
    <t>HQ1593 -- .F56 2005eb</t>
  </si>
  <si>
    <t>610.73; 610.73092</t>
  </si>
  <si>
    <t>Electronic books. -- local; Nightingale, Florence, -- 1820-1910.; Women -- Great Britain -- Social conditions.; Women''s health services -- Great Britain.</t>
  </si>
  <si>
    <t>http://public.eblib.com/choice/PublicFullRecord.aspx?p=685774</t>
  </si>
  <si>
    <t>Florence Nightingale on Health in India : Collected Works of Florence Nightingale, Volume 9</t>
  </si>
  <si>
    <t>RA529 -- N44 2006eb</t>
  </si>
  <si>
    <t>362.1/095409034</t>
  </si>
  <si>
    <t>Electronic books. -- local; Great Britain -- Armed Forces -- India -- Medical care -- History -- 19th century.; Medical care -- India -- History -- 19th century.; Nightingale, Florence, -- 1820-1910.; Public health -- India -- History -- 19th century.; Royal Commission on the Sanitary State of the Army in India -- History.; Sanitation -- India -- History -- 19th century.</t>
  </si>
  <si>
    <t>http://public.eblib.com/choice/PublicFullRecord.aspx?p=685775</t>
  </si>
  <si>
    <t>He Was Some Kind of a Man : Masculinities in the B Western</t>
  </si>
  <si>
    <t>McGillis, Roderick</t>
  </si>
  <si>
    <t>PN1995.9.M46 -- M34 2009eb</t>
  </si>
  <si>
    <t>791.43/6278</t>
  </si>
  <si>
    <t>Electronic books. -- local; Masculinity in motion pictures.; Western films -- History and criticism.</t>
  </si>
  <si>
    <t>http://public.eblib.com/choice/PublicFullRecord.aspx?p=685777</t>
  </si>
  <si>
    <t>EcCentric Visions : Re Constructing Australia</t>
  </si>
  <si>
    <t>McGregor, Gaile</t>
  </si>
  <si>
    <t>DU117.14 -- .M233 1994eb</t>
  </si>
  <si>
    <t>Australia -- Civilization -- 1976-1990.; Australia -- Social conditions -- 1976-; Australian literature -- History and criticism.; Electronic books. -- local</t>
  </si>
  <si>
    <t>http://public.eblib.com/choice/PublicFullRecord.aspx?p=685778</t>
  </si>
  <si>
    <t>Prometheus Rebound : The Irony of Atheism</t>
  </si>
  <si>
    <t>McLelland, Joseph C.</t>
  </si>
  <si>
    <t>BL2747.3 -- .M6 1988eb</t>
  </si>
  <si>
    <t>Atheism -- History.; Electronic books. -- local; Prometheus (Greek deity); Theism -- History.</t>
  </si>
  <si>
    <t>http://public.eblib.com/choice/PublicFullRecord.aspx?p=685781</t>
  </si>
  <si>
    <t>Augustine : From Rhetor to Theologian</t>
  </si>
  <si>
    <t>McWilliam, Joanne; Barnes, Timothy; Fahey, Michael</t>
  </si>
  <si>
    <t>BR65.A9 -- M373 1992eb</t>
  </si>
  <si>
    <t>270.2/092</t>
  </si>
  <si>
    <t>Augustine, -- Saint, Bishop of Hippo -- Congresses.; Christian literature, Early.; Electronic books. -- local</t>
  </si>
  <si>
    <t>http://public.eblib.com/choice/PublicFullRecord.aspx?p=685784</t>
  </si>
  <si>
    <t>Spirituality and Health : Multidisciplinary Explorations</t>
  </si>
  <si>
    <t>Meier, Augustine; O'Connor, Thomas St. James; VanKatwyk, Peter L.</t>
  </si>
  <si>
    <t>BL65.M4 -- S675 2005eb</t>
  </si>
  <si>
    <t>201/.661</t>
  </si>
  <si>
    <t>Electronic books. -- local; Health -- Religious aspects.; Holistic medicine -- Religious aspects.; Medical care -- Religious aspects.; Pastoral counseling.; Spiritual healing.; Spirituality.</t>
  </si>
  <si>
    <t>http://public.eblib.com/choice/PublicFullRecord.aspx?p=685785</t>
  </si>
  <si>
    <t>Young, the Restless, and the Dead : Interviews with Canadian Filmmakers</t>
  </si>
  <si>
    <t>Melnyk, George</t>
  </si>
  <si>
    <t>PN1993.5.C2 -- Y68 2008eb</t>
  </si>
  <si>
    <t>Electronic books. -- local; Motion picture producers and directors -- Canada -- Biography.; Motion picture producers and directors -- Canada -- Interviews.; Motion pictures -- Canada -- History.</t>
  </si>
  <si>
    <t>http://public.eblib.com/choice/PublicFullRecord.aspx?p=685786</t>
  </si>
  <si>
    <t>Romantic Hospitality and the Resistance to Accommodation</t>
  </si>
  <si>
    <t>Melville, Peter</t>
  </si>
  <si>
    <t>PN751 -- .M45 2007eb</t>
  </si>
  <si>
    <t>Aliens in literature.; Coleridge, Samuel Taylor, -- 1772-1834 -- Criticism and interpretation.; Hospitality in literature.; Kant, Immanuel, -- 1724-1804 -- Criticism and interpretation.; Rousseau, Jean-Jacques, -- 1712-1778 -- Criticism and interpretation.; Shelley, Mary Wollstonecraft, -- 1797-1851 -- Criticism and interpretation.; Strangers in literature.</t>
  </si>
  <si>
    <t>http://public.eblib.com/choice/PublicFullRecord.aspx?p=685787</t>
  </si>
  <si>
    <t>Terrier Town : Summer of '49</t>
  </si>
  <si>
    <t>Menary, David</t>
  </si>
  <si>
    <t>Sport &amp; Recreation; Literature</t>
  </si>
  <si>
    <t>PR9199.4.M46 -- T47 2003eb</t>
  </si>
  <si>
    <t>Canadian fiction.; Electronic books. -- local; Galt Terriers (Baseball team) -- Fiction.</t>
  </si>
  <si>
    <t>http://public.eblib.com/choice/PublicFullRecord.aspx?p=685788</t>
  </si>
  <si>
    <t>Dante &amp; the Unorthodox : The Aesthetics of Transgression</t>
  </si>
  <si>
    <t>Miller, James</t>
  </si>
  <si>
    <t>PQ4416 -- .D35 2005eb</t>
  </si>
  <si>
    <t>851/.1</t>
  </si>
  <si>
    <t>Christianity in literature.; Dante Alighieri, -- 1265-1321 -- Criticism and interpretation.; Dante Alighieri, -- 1265-1321 -- Religion.; Dante Alighieri, -- 1265-1321. -- Divina commedia.; Electronic books. -- local</t>
  </si>
  <si>
    <t>http://public.eblib.com/choice/PublicFullRecord.aspx?p=685795</t>
  </si>
  <si>
    <t>Averroës' Doctrine of Immortality : A Matter of Controversy</t>
  </si>
  <si>
    <t>Mohammed, Ovey N.</t>
  </si>
  <si>
    <t>B749.Z7 -- M64 1984eb</t>
  </si>
  <si>
    <t>Averroës, -- 1126-1198.; Electronic books. -- local; Immortality -- History of doctrines -- Middle Ages, 600-1500.; Philosophical anthropology -- History.; Soul -- History of doctrines -- Middle Ages, 600-1500.</t>
  </si>
  <si>
    <t>http://public.eblib.com/choice/PublicFullRecord.aspx?p=685797</t>
  </si>
  <si>
    <t>Canada and the Middle East : In Theory and Practice</t>
  </si>
  <si>
    <t>Heinbecker, Paul; Momani, Bessma</t>
  </si>
  <si>
    <t>Political Science; History</t>
  </si>
  <si>
    <t>DS63.2.C2 -- C355 2007eb</t>
  </si>
  <si>
    <t>Canada -- Foreign relations -- Middle East.; Canada -- Relations -- Middle East.; Electronic books. -- local; International relations.; Middle East -- Foreign relations -- Canada.; Middle East -- Relations -- Canada.</t>
  </si>
  <si>
    <t>http://public.eblib.com/choice/PublicFullRecord.aspx?p=685800</t>
  </si>
  <si>
    <t>Collective Autonomy : A History of the Council of Ontario Universities, 1962-2000</t>
  </si>
  <si>
    <t>Monahan, Edward</t>
  </si>
  <si>
    <t>LB2301 -- .M66 2004eb</t>
  </si>
  <si>
    <t>378/.006/0713</t>
  </si>
  <si>
    <t>Council of Ontario Universities -- History.; Electronic books. -- local; Universities and colleges -- Ontario -- History -- 20th century.</t>
  </si>
  <si>
    <t>http://public.eblib.com/choice/PublicFullRecord.aspx?p=685801</t>
  </si>
  <si>
    <t>Welfare State in Canada : A Selected Bibliography, 1840 to 1978</t>
  </si>
  <si>
    <t>Moscovitch, Allan</t>
  </si>
  <si>
    <t>General Works/Reference</t>
  </si>
  <si>
    <t>Z7164.C4 -- M672 1983eb</t>
  </si>
  <si>
    <t>016.3616; 016.3616/5; 016.3616/5/0971</t>
  </si>
  <si>
    <t>Canada -- Social policy -- Bibliography.; Charities -- Canada -- Bibliography.; Electronic books. -- local; Public welfare -- Canada -- Bibliography.</t>
  </si>
  <si>
    <t>http://public.eblib.com/choice/PublicFullRecord.aspx?p=685806</t>
  </si>
  <si>
    <t>Is Canada Postcolonial? : Unsettling Canadian Literature</t>
  </si>
  <si>
    <t>Moss, Laura</t>
  </si>
  <si>
    <t>PR9184.6 -- .I8 2003eb</t>
  </si>
  <si>
    <t>Canadian fiction -- History and criticism.; Electronic books. -- local; Postcolonialism.</t>
  </si>
  <si>
    <t>http://public.eblib.com/choice/PublicFullRecord.aspx?p=685807</t>
  </si>
  <si>
    <t>Playing a Jewish Game : Gentile Christian Judaizing in the First and Second Centuries CE</t>
  </si>
  <si>
    <t>Murray, Michele</t>
  </si>
  <si>
    <t>BR195.J8 -- M87 2004eb</t>
  </si>
  <si>
    <t>Christianity and other religions -- Judaism.; Church history -- Primitive and early church, ca. 30-600.; Electronic books. -- local; Judaism -- Relations -- Christianity.</t>
  </si>
  <si>
    <t>http://public.eblib.com/choice/PublicFullRecord.aspx?p=685809</t>
  </si>
  <si>
    <t>Mental Philosophy of John Henry Newman</t>
  </si>
  <si>
    <t>Newman, Jay</t>
  </si>
  <si>
    <t>BR100.N5 -- N49 1986eb</t>
  </si>
  <si>
    <t>Electronic books. -- local; Faith.; Newman, John Henry, -- 1801-1890. -- Essay in aid of a grammar of assent.; Theism.</t>
  </si>
  <si>
    <t>http://public.eblib.com/choice/PublicFullRecord.aspx?p=685817</t>
  </si>
  <si>
    <t>Competition in Religious Life</t>
  </si>
  <si>
    <t>BL85 -- .N496 1989eb</t>
  </si>
  <si>
    <t>291.1; 291.172</t>
  </si>
  <si>
    <t>Electronic books. -- local; Religion.; Religions.</t>
  </si>
  <si>
    <t>http://public.eblib.com/choice/PublicFullRecord.aspx?p=685818</t>
  </si>
  <si>
    <t>Modernity and Religion</t>
  </si>
  <si>
    <t>Nicholls, William</t>
  </si>
  <si>
    <t>BL85 -- .M64 1987eb</t>
  </si>
  <si>
    <t>Electronic books. -- local; Religion.; Religious thought.</t>
  </si>
  <si>
    <t>http://public.eblib.com/choice/PublicFullRecord.aspx?p=685819</t>
  </si>
  <si>
    <t>Biomedical Ethics and Fetal Therapy</t>
  </si>
  <si>
    <t>Nimrod, Carl; Griener, Glenn</t>
  </si>
  <si>
    <t>RG627 -- .B56 1988eb</t>
  </si>
  <si>
    <t>Electronic books. -- local; Fetus -- Abnormalities -- Treatment -- Moral and ethical aspects -- Congresses.; Fetus -- Research -- Moral and ethical aspects -- Congresses.</t>
  </si>
  <si>
    <t>http://public.eblib.com/choice/PublicFullRecord.aspx?p=685821</t>
  </si>
  <si>
    <t>Broad Is the Way : Stories from Mayerthorpe</t>
  </si>
  <si>
    <t>Norquay, Margaret</t>
  </si>
  <si>
    <t>FC3699.M39 -- N67 2008eb</t>
  </si>
  <si>
    <t>971.23/303092</t>
  </si>
  <si>
    <t>Electronic books. -- local; Mayerthorpe (Alta.) -- Biography.; Mayerthorpe (Alta.) -- History.; Norquay, Margaret, -- 1920-; Spouses of clergy -- Alberta -- Mayerthorpe -- Biography.</t>
  </si>
  <si>
    <t>http://public.eblib.com/choice/PublicFullRecord.aspx?p=685823</t>
  </si>
  <si>
    <t>Clinical Pastoral Supervision and the Theology of Charles Gerkin</t>
  </si>
  <si>
    <t>O'Connor, Thomas St. James</t>
  </si>
  <si>
    <t>BV4012.2 -- .O28 1998eb</t>
  </si>
  <si>
    <t>253/.5</t>
  </si>
  <si>
    <t>Electronic books. -- local; Gerkin, Charles V., -- 1922-; Pastoral counseling -- Study and teaching -- Supervision.; Theology, Practical.</t>
  </si>
  <si>
    <t>http://public.eblib.com/choice/PublicFullRecord.aspx?p=685825</t>
  </si>
  <si>
    <t>Rage and Resistance : A Theological Reflection on the Montreal Massacre</t>
  </si>
  <si>
    <t>Studies in Women and Religion</t>
  </si>
  <si>
    <t>O'Donovan, Theresa</t>
  </si>
  <si>
    <t>HV6535.C33 -- M65 2007eb</t>
  </si>
  <si>
    <t>261.8/331523082</t>
  </si>
  <si>
    <t>Christianity and culture -- Canada.; Church and social problems.; Electronic books. -- local; Passive resistance.; Women -- Crimes against -- Religious aspects -- Christianity.; Women -- Violence against.</t>
  </si>
  <si>
    <t>http://public.eblib.com/choice/PublicFullRecord.aspx?p=685826</t>
  </si>
  <si>
    <t>Towards an Ethics of Community : Negotiations of Difference in a Pluralist Society</t>
  </si>
  <si>
    <t>Canadian Corporation for Studies in Religion Staff; Olthuis, James</t>
  </si>
  <si>
    <t>BD394 -- .T68 2000eb</t>
  </si>
  <si>
    <t>Difference (Philosophy); Electronic books. -- local; Pluralism.</t>
  </si>
  <si>
    <t>http://public.eblib.com/choice/PublicFullRecord.aspx?p=685827</t>
  </si>
  <si>
    <t>L'étude des religions dans les écoles : L'expérience américaine, anglaise et canadienne</t>
  </si>
  <si>
    <t>Ouellet, Fernand</t>
  </si>
  <si>
    <t>BL42.5.U5 -- O94 1985eb</t>
  </si>
  <si>
    <t>200/.71</t>
  </si>
  <si>
    <t>Electronic books. -- local; Religion -- Study and teaching -- Canada.; Religion -- Study and teaching -- Great Britain.; Religion -- Study and teaching -- United States.</t>
  </si>
  <si>
    <t>http://public.eblib.com/choice/PublicFullRecord.aspx?p=685830</t>
  </si>
  <si>
    <t>Clothed in Integrity : Weaving Just Cultural Relations and the Garment Industry</t>
  </si>
  <si>
    <t>Paleczny, Barbara; Canadian Corporation for Studies in Religion Staff</t>
  </si>
  <si>
    <t>Business/Management; Religion</t>
  </si>
  <si>
    <t>HD6073.C62 -- C3 2000eb</t>
  </si>
  <si>
    <t>261.8/5</t>
  </si>
  <si>
    <t>Christian ethics.; Clothing trade -- Moral and ethical aspects.; Electronic books. -- local; Feminist theology.; Home labor -- Ontario -- Toronto.; Women clothing workers -- Ontario -- Toronto.</t>
  </si>
  <si>
    <t>http://public.eblib.com/choice/PublicFullRecord.aspx?p=685831</t>
  </si>
  <si>
    <t>Biblical Politics of John Locke</t>
  </si>
  <si>
    <t>Parker, Kim Ian</t>
  </si>
  <si>
    <t>B1298.R4 -- P37 2004eb</t>
  </si>
  <si>
    <t>Electronic books. -- local; Locke, John, -- 1632-1704 -- Contributions in political science.; Locke, John, -- 1632-1704 -- Religion.; Politics in the Bible.</t>
  </si>
  <si>
    <t>http://public.eblib.com/choice/PublicFullRecord.aspx?p=685834</t>
  </si>
  <si>
    <t>Tramp Room</t>
  </si>
  <si>
    <t>Patterson, Nancy-Lou</t>
  </si>
  <si>
    <t>PS3566.A8236 -- T7 1999eb</t>
  </si>
  <si>
    <t>Electronic books. -- local; Joseph Schneider Haus (Kitchener, Ont.) -- Fiction.; Mennonites -- Ontario -- Waterloo (Regional municipality) -- Fiction.</t>
  </si>
  <si>
    <t>http://public.eblib.com/choice/PublicFullRecord.aspx?p=685836</t>
  </si>
  <si>
    <t>Faith and Fiction : A Theological Critique of the Narrative Strategies of Hugh MacLennan and Morley Callaghan</t>
  </si>
  <si>
    <t>Pell, Barbara</t>
  </si>
  <si>
    <t>PR9199.3.M334 -- Z85 1998eb</t>
  </si>
  <si>
    <t>Callaghan, Morley, -- 1903-1990 -- Criticism and interpretation.; Electronic books. -- local; MacLennan, Hugh, -- 1907-1990 -- Criticism and interpretation.; Religion in literature.</t>
  </si>
  <si>
    <t>http://public.eblib.com/choice/PublicFullRecord.aspx?p=685838</t>
  </si>
  <si>
    <t>Panic Signs</t>
  </si>
  <si>
    <t>Peri Rossi, Cristina; Rowinsky-Geurts, Mercedes; Borrás, Angelo A.</t>
  </si>
  <si>
    <t>PQ8520.26.E74 -- I513 2002eb</t>
  </si>
  <si>
    <t>Electronic books. -- local; Uruguay -- Social conditions -- Fiction.; Uruguayan fiction.</t>
  </si>
  <si>
    <t>http://public.eblib.com/choice/PublicFullRecord.aspx?p=685839</t>
  </si>
  <si>
    <t>Textual Mothers/Maternal Texts : Motherhood in Contemporary Women's Literatures</t>
  </si>
  <si>
    <t>Podnieks, Elizabeth; O'Reilly, Andrea</t>
  </si>
  <si>
    <t>PR9192.6.M64 -- T45 2010eb</t>
  </si>
  <si>
    <t>820.9/35252</t>
  </si>
  <si>
    <t>American literature -- 20th century -- History and criticism.; American literature -- Women authors -- History and criticism.; Canadian literature -- 20th century -- History and criticism.; Canadian literature -- Women authors -- History and criticism.; Mother and child in literature.; Motherhood in literature.; Mothers in literature.</t>
  </si>
  <si>
    <t>http://public.eblib.com/choice/PublicFullRecord.aspx?p=685841</t>
  </si>
  <si>
    <t>Dilemmas of Reconciliation : Cases and Concepts</t>
  </si>
  <si>
    <t>Prager, Carol; Govier, Trudy</t>
  </si>
  <si>
    <t>Philosophy; Political Science</t>
  </si>
  <si>
    <t>JA79 -- .D44 2003eb</t>
  </si>
  <si>
    <t>172/.4</t>
  </si>
  <si>
    <t>Electronic books. -- local; International relations -- Moral and ethical aspects.; Political ethics.; Reconciliation.</t>
  </si>
  <si>
    <t>http://public.eblib.com/choice/PublicFullRecord.aspx?p=685842</t>
  </si>
  <si>
    <t>Animal Welfare and Human Values</t>
  </si>
  <si>
    <t>Preece, Rod; Chamberlain, Lorna</t>
  </si>
  <si>
    <t>HV4708 -- .P74 1993eb</t>
  </si>
  <si>
    <t>Animal welfare -- Moral and ethical aspects.; Animals -- Social aspects.; Electronic books. -- local</t>
  </si>
  <si>
    <t>http://public.eblib.com/choice/PublicFullRecord.aspx?p=685844</t>
  </si>
  <si>
    <t>Kindly Scrutiny of Human Nature : Essays in Honour of Richard Slobodin</t>
  </si>
  <si>
    <t>Preston, Richard J.</t>
  </si>
  <si>
    <t>GN29 -- .K46 2009eb</t>
  </si>
  <si>
    <t>Anthropologists -- Canada -- Biography.; Electronic books. -- local; Ethnology -- Canada, Northern.; Slobodin, Richard, -- 1915-2005.</t>
  </si>
  <si>
    <t>http://public.eblib.com/choice/PublicFullRecord.aspx?p=685845</t>
  </si>
  <si>
    <t>Armies of Occupation</t>
  </si>
  <si>
    <t>Prete, Roy A.; Ion, A. Hamish</t>
  </si>
  <si>
    <t>D25.5 -- .A76 1984eb</t>
  </si>
  <si>
    <t>Electronic books. -- local; Military government -- History -- Congresses.; Military history, Modern -- Congresses.; Military occupation -- History -- Congresses.</t>
  </si>
  <si>
    <t>http://public.eblib.com/choice/PublicFullRecord.aspx?p=685846</t>
  </si>
  <si>
    <t>Beowulf and the Celtic Tradition</t>
  </si>
  <si>
    <t>Puhvel, Martin</t>
  </si>
  <si>
    <t>PR1587.C4 -- P8 1979eb</t>
  </si>
  <si>
    <t>Beowulf.; Celtic literature -- History and criticism.; Celts -- Folklore.; Electronic books. -- local</t>
  </si>
  <si>
    <t>http://public.eblib.com/choice/PublicFullRecord.aspx?p=685848</t>
  </si>
  <si>
    <t>And Peace Never Came</t>
  </si>
  <si>
    <t>Raab, Elisabeth M.</t>
  </si>
  <si>
    <t>DS135.H93 -- R33 1997eb</t>
  </si>
  <si>
    <t>940.53; 940.53/18; 940.53/18/092</t>
  </si>
  <si>
    <t>Auschwitz (Concentration camp); Electronic books. -- local; Holocaust survivors -- Canada -- Biography.; Holocaust, Jewish (1939-1945) -- Hungary -- Personal narratives.; Jews -- Hungary -- Biography.; Raab, Elisabeth M., -- 1921-</t>
  </si>
  <si>
    <t>http://public.eblib.com/choice/PublicFullRecord.aspx?p=685849</t>
  </si>
  <si>
    <t>Auto/biography in Canada : Critical Directions</t>
  </si>
  <si>
    <t>Rak, Julie</t>
  </si>
  <si>
    <t>PS8119 -- .A87 2005eb</t>
  </si>
  <si>
    <t>920/.00971</t>
  </si>
  <si>
    <t>Autobiography.; Biography as a literary form.; Canada -- Biography -- History and criticism.; Electronic books. -- local</t>
  </si>
  <si>
    <t>http://public.eblib.com/choice/PublicFullRecord.aspx?p=685851</t>
  </si>
  <si>
    <t>Unfitting Stories : Narrative Approaches to Disease, Disability, and Trauma</t>
  </si>
  <si>
    <t>Raoul, Valerie; Canam, Connie; Henderson, Angela D.</t>
  </si>
  <si>
    <t>HV1552.3 -- .U54 2007eb</t>
  </si>
  <si>
    <t>306.461; 362.19</t>
  </si>
  <si>
    <t>Electronic books. -- local; Narrative inquiry (Research method); Narrative medicine.; People with disabilities -- Biography -- History and criticism.; Sick -- Biography -- History and criticism.; Victims -- Biography -- History and criticism.</t>
  </si>
  <si>
    <t>http://public.eblib.com/choice/PublicFullRecord.aspx?p=685852</t>
  </si>
  <si>
    <t>Home Words : Discourses of Children's Literature in Canada</t>
  </si>
  <si>
    <t>Reimer, Mavis</t>
  </si>
  <si>
    <t>PR9185.5.H557 -- H66 2008eb</t>
  </si>
  <si>
    <t>810.8; 810.80355</t>
  </si>
  <si>
    <t>Children''s literature, Canadian -- History and criticism.; Electronic books. -- local; Home in literature.</t>
  </si>
  <si>
    <t>http://public.eblib.com/choice/PublicFullRecord.aspx?p=685855</t>
  </si>
  <si>
    <t>Religious Studies in Ontario : A State-of-the-Art Review</t>
  </si>
  <si>
    <t>Remus, Harold; Fraikin, Daniel; James, William Closson</t>
  </si>
  <si>
    <t>BL41 -- .R451 1992eb</t>
  </si>
  <si>
    <t>200.711713; 200/.71/1713</t>
  </si>
  <si>
    <t>Electronic books. -- local; Religion -- Study and teaching (Higher) -- Ontario.; Theology -- Study and teaching (Higher) -- Ontario.</t>
  </si>
  <si>
    <t>http://public.eblib.com/choice/PublicFullRecord.aspx?p=685856</t>
  </si>
  <si>
    <t>Niagara Companion : Explorers, Artists, and Writers at the Falls, from Discovery through the Twentieth Century</t>
  </si>
  <si>
    <t>Revie, Linda L.</t>
  </si>
  <si>
    <t>F127.N8 -- R48 2003eb</t>
  </si>
  <si>
    <t>971.3/39</t>
  </si>
  <si>
    <t>Histor -- Ontario -- Niagara Falls (N.Y. and Ont.); Niagara Falls (Ont.) -- Description and travel.; Niagara Falls (Ont.) -- History.; Niagara Falls (Ont.) -- In art.; Niagara Falls (Ont.) -- In literature.; Niagara Falls Region (N.Y. and Ont.) -- Description and travel.; Niagara Falls Region (N.Y. and Ont.) -- History.</t>
  </si>
  <si>
    <t>http://public.eblib.com/choice/PublicFullRecord.aspx?p=685857</t>
  </si>
  <si>
    <t>Difficult Games : A Reading of I Racconti by Italo Calvino</t>
  </si>
  <si>
    <t>Ricci, Franco</t>
  </si>
  <si>
    <t>PQ4809.A45 -- R5 1990eb</t>
  </si>
  <si>
    <t>Calvino, Italo -- Criticism and interpretation.; Calvino, Italo. -- Racconti.; Electronic books. -- local; Italian literature.</t>
  </si>
  <si>
    <t>http://public.eblib.com/choice/PublicFullRecord.aspx?p=685858</t>
  </si>
  <si>
    <t>Anti-Judaism in Early Christianity : Volume 1: Paul and the Gospels</t>
  </si>
  <si>
    <t>Richardson, Peter; Granskou, David</t>
  </si>
  <si>
    <t>BM535 -- .A615 1986eb</t>
  </si>
  <si>
    <t>261.2/6/09015</t>
  </si>
  <si>
    <t>Christianity and antisemitism.; Church history -- Primitive and early church, ca. 30-600.; Electronic books. -- local; Judaism -- Relations -- Christianity.; Paul, -- the Apostle, Saint.</t>
  </si>
  <si>
    <t>http://public.eblib.com/choice/PublicFullRecord.aspx?p=685859</t>
  </si>
  <si>
    <t>From Jesus to Paul : Studies in Honour of Francis Wright Beare</t>
  </si>
  <si>
    <t>Richardson, Peter; Hurd, John C.</t>
  </si>
  <si>
    <t>BS2653 -- .F76 1984eb</t>
  </si>
  <si>
    <t>Beare, Francis Wright, -- 1902-1986.; Christianity.; Electronic books. -- local; Jesus Christ -- Person and offices.; Paul, -- the Apostle, Saint.</t>
  </si>
  <si>
    <t>http://public.eblib.com/choice/PublicFullRecord.aspx?p=685860</t>
  </si>
  <si>
    <t>Law in Religious Communities in the Roman Period : The Debate over Torah and Nomos in Post-Biblical Judaism and Early Christianity</t>
  </si>
  <si>
    <t>Richardson, Peter; Westerholm, Stephen; Baumgarten, Albert I.; Pettem, Michael</t>
  </si>
  <si>
    <t>BM176 -- .R52 1991eb</t>
  </si>
  <si>
    <t>296.1/8/09015</t>
  </si>
  <si>
    <t>Christianity and law -- History of doctrines -- Early church, ca. 30-600 -- Historiography.; Electronic books. -- local; Jewish law -- Historiography.; Judaism -- History -- Post-exilic period, 586 B.C.-210 A.D. -- Historiography.</t>
  </si>
  <si>
    <t>http://public.eblib.com/choice/PublicFullRecord.aspx?p=685861</t>
  </si>
  <si>
    <t>Minds of Our Own : Inventing Feminist Scholarship and Women's Studies in Canada and Québec, 1966-76</t>
  </si>
  <si>
    <t>Robbins, Wendy; Luxton, Meg; Eichler, Margrit</t>
  </si>
  <si>
    <t>HQ1453 -- .M56 2008eb</t>
  </si>
  <si>
    <t>305.4071; 305.4071171</t>
  </si>
  <si>
    <t>Discrimination in higher education -- Canada.; Electronic books. -- local; Feminism and education -- Canada.; Women scholars -- Canada -- History.; Women''s studies -- Canada -- History.</t>
  </si>
  <si>
    <t>http://public.eblib.com/choice/PublicFullRecord.aspx?p=685862</t>
  </si>
  <si>
    <t>Secondary Sources in the History of Canadian Medicine : A Bibliography / Bibliographie de l'Histoire de la Médecine / Volume 2</t>
  </si>
  <si>
    <t>Roland, Charles G.; Bernier, Jacques</t>
  </si>
  <si>
    <t>Z6661.C3 -- R66 2000eb</t>
  </si>
  <si>
    <t>016.61/0971</t>
  </si>
  <si>
    <t>Canada -- History -- Bibliography.; Electronic books. -- local; Medicine -- Canada -- History -- Bibliography.</t>
  </si>
  <si>
    <t>http://public.eblib.com/choice/PublicFullRecord.aspx?p=685864</t>
  </si>
  <si>
    <t>Long Night's Journey into Day : Prisoners of War in Hong Kong and Japan, 1941-1945</t>
  </si>
  <si>
    <t>Roland, Charles G.</t>
  </si>
  <si>
    <t>D805.J3 -- R65 2001eb</t>
  </si>
  <si>
    <t>940.54/7252</t>
  </si>
  <si>
    <t>Electronic books. -- local; Prisoners of war -- China -- Hong Kong.; Prisoners of war -- Health and hygiene -- Japan.; Prisoners of war -- Japan.; World War, 1939-1945 -- Medical care -- Japan.; World War, 1939-1945 -- Prisoners and prisons, Japanese.</t>
  </si>
  <si>
    <t>http://public.eblib.com/choice/PublicFullRecord.aspx?p=685865</t>
  </si>
  <si>
    <t>Television Advertising in Canadian Elections : The Attack Mode, 1993</t>
  </si>
  <si>
    <t>Romanow, Walter I.; de Repentigny, Michel; Cunningham, Stanley B.</t>
  </si>
  <si>
    <t>JF2112.A4 -- T44 1999eb</t>
  </si>
  <si>
    <t>324.7/3/0971</t>
  </si>
  <si>
    <t>Advertising, Political -- Canada.; Canada. -- Parliament -- Elections, 1993.; Electronic books. -- local; Negativism.; Television in politics -- Canada.</t>
  </si>
  <si>
    <t>http://public.eblib.com/choice/PublicFullRecord.aspx?p=685866</t>
  </si>
  <si>
    <t>Imprint of the Picturesque on Nineteenth-Century British Fiction</t>
  </si>
  <si>
    <t>Ross, Alexander M.</t>
  </si>
  <si>
    <t>PR868.P5 -- R67 1986eb</t>
  </si>
  <si>
    <t>Electronic books. -- local; English fiction -- 19th century -- History and criticism.; Picturesque, The, in literature.</t>
  </si>
  <si>
    <t>http://public.eblib.com/choice/PublicFullRecord.aspx?p=685869</t>
  </si>
  <si>
    <t>Les sciences religieuses au Québec depuis 1972</t>
  </si>
  <si>
    <t>Rousseau, Louis; Despland, Michel</t>
  </si>
  <si>
    <t>BL41 -- .R68 1988eb</t>
  </si>
  <si>
    <t>Electronic books. -- local; Religion -- Study and teaching (Higher) -- Québec (Province); Theology -- Study and teaching (Higher) -- Québec (Province)</t>
  </si>
  <si>
    <t>http://public.eblib.com/choice/PublicFullRecord.aspx?p=685870</t>
  </si>
  <si>
    <t>Recollections of Waterloo College</t>
  </si>
  <si>
    <t>Roy, Flora</t>
  </si>
  <si>
    <t>LE3.W34 -- R69 2004eb</t>
  </si>
  <si>
    <t>378.713/45/092</t>
  </si>
  <si>
    <t>College teachers -- Ontario -- Waterloo -- Biography.; Electronic books. -- local; Roy, Flora.; Waterloo College -- Faculty -- Biography.; Waterloo College -- History.</t>
  </si>
  <si>
    <t>http://public.eblib.com/choice/PublicFullRecord.aspx?p=685871</t>
  </si>
  <si>
    <t>Women, Reading, Kroetsch : Telling the Difference</t>
  </si>
  <si>
    <t>Rudy Dorscht, Susan</t>
  </si>
  <si>
    <t>PR9199.3.K7 -- Z86 1985eb</t>
  </si>
  <si>
    <t>Feminism and literature -- Canada.; Kroetsch, Robert, -- 1927-2011 -- Criticism and interpretation.; Women and literature -- Canada.</t>
  </si>
  <si>
    <t>http://public.eblib.com/choice/PublicFullRecord.aspx?p=685873</t>
  </si>
  <si>
    <t>From the Iron House : Imprisonment in First Nations Writing</t>
  </si>
  <si>
    <t>Rymhs, Deena</t>
  </si>
  <si>
    <t>PR9188.2.P75 -- R96 2008eb</t>
  </si>
  <si>
    <t>Canadian literature -- 20th century -- History and criticism.; Canadian literature -- Indian authors -- History and criticism.; Electronic books. -- local; Imprisonment in literature.; Indians in literature.; Off-reservation boarding schools -- Canada.; Prisoners'' writings, Canadian -- History and criticism.</t>
  </si>
  <si>
    <t>http://public.eblib.com/choice/PublicFullRecord.aspx?p=685876</t>
  </si>
  <si>
    <t>Making Babies : Infants in Canadian Fiction</t>
  </si>
  <si>
    <t>Sabatini, Sandra</t>
  </si>
  <si>
    <t>PS8191.I53 -- S23 2003eb</t>
  </si>
  <si>
    <t>C813/.50935232</t>
  </si>
  <si>
    <t>Canadian fiction -- 20th century -- History and criticism.; Electronic books. -- local; Infants in literature.</t>
  </si>
  <si>
    <t>http://public.eblib.com/choice/PublicFullRecord.aspx?p=685878</t>
  </si>
  <si>
    <t>Gate of the Heart : Understanding the Writings of the Báb</t>
  </si>
  <si>
    <t>Bahá'í Studies</t>
  </si>
  <si>
    <t>Saiedi, Nader</t>
  </si>
  <si>
    <t>BP361.2 -- .S34 2008eb</t>
  </si>
  <si>
    <t>297; 297.9/2; 297.92</t>
  </si>
  <si>
    <t>Bāb, ʿAlī Muḥammad Shīrāzī, -- 1819-1850.; Bahai Faith.; Electronic books. -- local</t>
  </si>
  <si>
    <t>http://public.eblib.com/choice/PublicFullRecord.aspx?p=685879</t>
  </si>
  <si>
    <t>Hindu Iconoclasts : Rammohun Roy, Dayananda Sarasvati, and Nineteenth-Century Polemics against Idolatry</t>
  </si>
  <si>
    <t>Salmond, Noel</t>
  </si>
  <si>
    <t>BL1274.592.R36 -- S24 2004eb</t>
  </si>
  <si>
    <t>294.5/37/092254</t>
  </si>
  <si>
    <t>Dayananda Sarasvati, -- Swami, -- 1824-1883.; Electronic books. -- local; Idols and images -- India -- Worship -- History -- 19th century.; Rammohun Roy, -- Raja, -- 1772?-1833.; Worship (Hinduism)</t>
  </si>
  <si>
    <t>http://public.eblib.com/choice/PublicFullRecord.aspx?p=685880</t>
  </si>
  <si>
    <t>Costa Rican Catholic Church, Social Justice, and the Rights of Workers, 1979-1996 : Social Justice, and the Rights of Workers, 1979–1996</t>
  </si>
  <si>
    <t>Sawchuk, Dana</t>
  </si>
  <si>
    <t>BX1436.2 -- .S28 2004eb</t>
  </si>
  <si>
    <t>Electronic books. -- local; Labor -- Religious aspects -- Christianity -- Costa Rica -- History -- 20th century.; Labor movement -- Costa Rica -- History -- 20th century.; Social justice -- Costa Rica -- History -- 20th century.</t>
  </si>
  <si>
    <t>http://public.eblib.com/choice/PublicFullRecord.aspx?p=685881</t>
  </si>
  <si>
    <t>Onward to the Olympics : Historical Perspectives on the Olympic Games</t>
  </si>
  <si>
    <t>Schaus, Gerald P.; Wenn, Stephen R.</t>
  </si>
  <si>
    <t>GV23 -- .O69 2007eb</t>
  </si>
  <si>
    <t>796.48; 796.4809</t>
  </si>
  <si>
    <t>Electronic books. -- local; Olympic games (Ancient) -- History -- Congresses.; Olympics -- History -- Congresses.</t>
  </si>
  <si>
    <t>http://public.eblib.com/choice/PublicFullRecord.aspx?p=685882</t>
  </si>
  <si>
    <t>Committed to the Sane Asylum : Narratives on Mental Wellness and Healing</t>
  </si>
  <si>
    <t>Schellenberg, Susan; Barnes, Rosemary</t>
  </si>
  <si>
    <t>RC339.5 -- .S33 2009eb</t>
  </si>
  <si>
    <t>Art therapy.; Artists -- Canada -- Biography.; Barnes, Rosemary Ann.; Mental illness -- Treatment.; Mentally ill -- Canada -- Biography.; Narrative therapy.; Schellenberg, Susan, -- 1934- -- Mental health.</t>
  </si>
  <si>
    <t>http://public.eblib.com/choice/PublicFullRecord.aspx?p=685883</t>
  </si>
  <si>
    <t>Retirement : Bane or Blessing</t>
  </si>
  <si>
    <t>Schnore, Morris M.</t>
  </si>
  <si>
    <t>HQ1062 -- .S33 1985eb</t>
  </si>
  <si>
    <t>306; 306/.38; 306/.38/09713</t>
  </si>
  <si>
    <t>Electronic books. -- local; Older people -- Ontario -- Attitudes.; Retirement -- Ontario.; Retirement -- Psychological aspects.</t>
  </si>
  <si>
    <t>http://public.eblib.com/choice/PublicFullRecord.aspx?p=685885</t>
  </si>
  <si>
    <t>Curtain : Witness and Memory in Wartime Holland</t>
  </si>
  <si>
    <t>Schogt, Henry G.</t>
  </si>
  <si>
    <t>D802.N4 -- S343 2003eb</t>
  </si>
  <si>
    <t>940.53/1835/092; B</t>
  </si>
  <si>
    <t>Frenkel (Famille); Frenkel family.; Schogt (Famille); Schogt, Henry G. -- Childhood and youth.; Schogt, Henry G., -- 1927-; World War, 1939-1945 -- Netherlands.; World War, 1939-1945 -- Personal narratives, Dutch.</t>
  </si>
  <si>
    <t>http://public.eblib.com/choice/PublicFullRecord.aspx?p=685886</t>
  </si>
  <si>
    <t>Netherlandic Presence in Ontario : Pillars, Class and Dutch Ethnicity</t>
  </si>
  <si>
    <t>Schryer, Frans J.</t>
  </si>
  <si>
    <t>F1059.7.D8 -- S35 1998eb</t>
  </si>
  <si>
    <t>305.839310713; 305.8393107135</t>
  </si>
  <si>
    <t>Dutch -- Ontario.; Dutch Canadians -- Ontario.; Electronic books. -- local; Immigrants -- Ontario.</t>
  </si>
  <si>
    <t>http://public.eblib.com/choice/PublicFullRecord.aspx?p=685887</t>
  </si>
  <si>
    <t>German Diasporic Experiences : Identity, Migration, and Loss</t>
  </si>
  <si>
    <t>WCGS German Studies</t>
  </si>
  <si>
    <t>Schulze, Mathias; Skidmore, James M.; John, David G.; Liebscher, Grit ; Siebel-Achenbach, Sebastian</t>
  </si>
  <si>
    <t>JV8010 -- .G47 2008eb</t>
  </si>
  <si>
    <t>Electronic books. -- local; Germans -- Cultural assimilation.; Germans -- Ethnic identity -- Congresses.; Germans -- Foreign countries -- Congresses.; Germany -- Emigration and immigration -- History -- Congresses.</t>
  </si>
  <si>
    <t>http://public.eblib.com/choice/PublicFullRecord.aspx?p=685888</t>
  </si>
  <si>
    <t>Sharing without Reckoning : Imperfect Right and the Norms of Reciprocity</t>
  </si>
  <si>
    <t>Schumaker, Millard</t>
  </si>
  <si>
    <t>BJ1451 -- .S34 1992eb</t>
  </si>
  <si>
    <t>Abuse of rights.; Duty.; Electronic books. -- local; Supererogation.</t>
  </si>
  <si>
    <t>http://public.eblib.com/choice/PublicFullRecord.aspx?p=685889</t>
  </si>
  <si>
    <t>Le Court d'Amours de Mahieu le Poirier : La Suite anonyme de la Court d'Amours</t>
  </si>
  <si>
    <t>Scully, Terence</t>
  </si>
  <si>
    <t>PQ1491.M28 -- C6 1976eb</t>
  </si>
  <si>
    <t>Electronic books. -- local; French literature -- To 1500.; French literature.</t>
  </si>
  <si>
    <t>http://public.eblib.com/choice/PublicFullRecord.aspx?p=685890</t>
  </si>
  <si>
    <t>From Sermon to Commentary : Expounding the Bible in Talmudic Babylonia</t>
  </si>
  <si>
    <t>Segal, Eliezer</t>
  </si>
  <si>
    <t>BM516.5 -- S43 2005eb</t>
  </si>
  <si>
    <t>296.1/27606</t>
  </si>
  <si>
    <t>Aggada -- Criticism, interpretation, etc.; Bible. -- O.T. -- Criticism, interpretation, etc., Jewish.; Electronic books. -- local; Midrash -- History and criticism.</t>
  </si>
  <si>
    <t>http://public.eblib.com/choice/PublicFullRecord.aspx?p=685892</t>
  </si>
  <si>
    <t>Haiti : Hope for a Fragile State</t>
  </si>
  <si>
    <t>Shamsie, Yasmine; Thompson, Andrew S.</t>
  </si>
  <si>
    <t>F1928.2 -- .H295 2006eb</t>
  </si>
  <si>
    <t>Electronic books. -- local; Haiti -- Economic conditions -- 1971- -- Congresses.; Haiti -- Foreign relations -- Congresses.; Haiti -- Politics and government -- 1986- -- Congresses.; Political science.</t>
  </si>
  <si>
    <t>http://public.eblib.com/choice/PublicFullRecord.aspx?p=685893</t>
  </si>
  <si>
    <t>All These Roads : The Poetry of Louis Dudek</t>
  </si>
  <si>
    <t>Shearer, Karis; Dudek, Louis</t>
  </si>
  <si>
    <t>PR9199.3.D83 -- A79 2008eb</t>
  </si>
  <si>
    <t>Aesthetics -- Poetry.; Canadian poetry -- 20th century.; Electronic books. -- local</t>
  </si>
  <si>
    <t>http://public.eblib.com/choice/PublicFullRecord.aspx?p=685894</t>
  </si>
  <si>
    <t>Canadian Cultural Poesis : Essays on Canadian Culture</t>
  </si>
  <si>
    <t>Sherbert, Garry; Gérin, Annie; Petty, Sheila</t>
  </si>
  <si>
    <t>FC95.5 -- C35 2005eb</t>
  </si>
  <si>
    <t>Arts and society -- Canada.; Canada -- Civilization.; Electronic books. -- local; Mass media and culture -- Canada.; Minorities -- Canada.</t>
  </si>
  <si>
    <t>http://public.eblib.com/choice/PublicFullRecord.aspx?p=685896</t>
  </si>
  <si>
    <t>Sociology of Canadian Mennonites, Hutterites and Amish : A Bibliography with Annotations</t>
  </si>
  <si>
    <t>Smucker, Donovan E.</t>
  </si>
  <si>
    <t>BX8111 -- .S63 1977eb</t>
  </si>
  <si>
    <t>301.5; 301.5/8; 301.58</t>
  </si>
  <si>
    <t>Amish -- Canada -- Bibliography.; Bruderhof Communities -- Canada -- Bibliography.; Electronic books. -- local; Mennonites -- Canada -- Bibliography.</t>
  </si>
  <si>
    <t>http://public.eblib.com/choice/PublicFullRecord.aspx?p=685903</t>
  </si>
  <si>
    <t>Sociology of Mennonites, Hutterites and Amish : A Bibliography with Annotations, Volume II 1977-1990</t>
  </si>
  <si>
    <t>Z7845.M4 -- S63 1991eb</t>
  </si>
  <si>
    <t>016.3056/87071</t>
  </si>
  <si>
    <t>Amish -- Canada -- Bibliography.; Amish -- United States -- Bibliography.; Electronic books. -- local; Hutterite Brethren -- Canada -- Bibliography.; Hutterite Brethren -- United States -- Bibliography.; Mennonites -- Canada -- Bibliography.; Mennonites -- United States -- Bibliography.</t>
  </si>
  <si>
    <t>http://public.eblib.com/choice/PublicFullRecord.aspx?p=685904</t>
  </si>
  <si>
    <t>Collected Writings of Michael Snow : With a Foreword by Louise Dompierre</t>
  </si>
  <si>
    <t>Snow, Michael; Dompierre, Louise</t>
  </si>
  <si>
    <t>NX65 -- .S56 1994eb</t>
  </si>
  <si>
    <t>700/.92</t>
  </si>
  <si>
    <t>Electronic books. -- local; Photography -- Canada.; Snow, Michael, -- 1929-</t>
  </si>
  <si>
    <t>http://public.eblib.com/choice/PublicFullRecord.aspx?p=685905</t>
  </si>
  <si>
    <t>Haven't Any News : Ruby's Letters from the Fifties</t>
  </si>
  <si>
    <t>Staebler, Edna</t>
  </si>
  <si>
    <t>F1059.5.B27 -- C747 1995eb</t>
  </si>
  <si>
    <t>Barrie (Ont.) -- Biography.; Barrie (Ont.) -- History.; Cress, Ruby, -- 1911- -- Correspondence.; Electronic books. -- local</t>
  </si>
  <si>
    <t>http://public.eblib.com/choice/PublicFullRecord.aspx?p=685907</t>
  </si>
  <si>
    <t>Food That Really Schmecks : Mennonite Country Cooking as Prepared by My Mennonite Friend Bevvy Martin, My Mother and Other Fine Cooks</t>
  </si>
  <si>
    <t>TX715.6 -- S69 2007eb</t>
  </si>
  <si>
    <t>641.59713/44</t>
  </si>
  <si>
    <t>Cookbooks -- Ontario -- Waterloo (Regional municipality); Cooking -- Ontario -- Waterloo (Regional municipality); Cooking, Canadian.; Electronic books. -- local; Mennonite cooking.</t>
  </si>
  <si>
    <t>http://public.eblib.com/choice/PublicFullRecord.aspx?p=685908</t>
  </si>
  <si>
    <t>God and the Chip : Religion and the Culture of Technology</t>
  </si>
  <si>
    <t>Stahl, William A.</t>
  </si>
  <si>
    <t>T14.5 -- .S72 1999eb</t>
  </si>
  <si>
    <t>Computers -- Moral and ethical aspects.; Computers -- Social aspects.; Electronic books. -- local; Technology -- Moral and ethical aspects.; Technology -- Social aspects.</t>
  </si>
  <si>
    <t>http://public.eblib.com/choice/PublicFullRecord.aspx?p=685909</t>
  </si>
  <si>
    <t>Faku : Rulership and Colonialism in the Mpondo Kingdom (c. 1780-1867)</t>
  </si>
  <si>
    <t>Stapleton, Timothy J.</t>
  </si>
  <si>
    <t>DT2400.P66 -- S73 2001eb</t>
  </si>
  <si>
    <t>Electronic books. -- local; Faku, -- ca. 1780-1867.; Pondo (African people); Pondoland (South Africa) -- History.; Pondoland (South Africa) -- Kings and rulers -- Biography.</t>
  </si>
  <si>
    <t>http://public.eblib.com/choice/PublicFullRecord.aspx?p=685911</t>
  </si>
  <si>
    <t>No Insignificant Part : The Rhodesia Native Regiment and the East Africa Campaign of the First World War</t>
  </si>
  <si>
    <t>D547.R458 -- S72 2006eb</t>
  </si>
  <si>
    <t>940.4/12689</t>
  </si>
  <si>
    <t>Great Britain. -- Army. -- Rhodesia Native Regiment.; World War, 1914-1918 -- Blacks -- Africa, Southern.; World War, 1914-1918 -- Campaigns -- Africa, East.; World War, 1914-1918 -- Participation, African.; World War, 1914-1918 -- Regimental histories -- Zimbabwe.; World War, 1914-1918 -- Zimbabwe.; Zimbabwe -- History, Military.</t>
  </si>
  <si>
    <t>http://public.eblib.com/choice/PublicFullRecord.aspx?p=685912</t>
  </si>
  <si>
    <t>Augustine's Conversion : A Guide to the Argument of Confessions I-IX</t>
  </si>
  <si>
    <t>Starnes, Colin; Augustine</t>
  </si>
  <si>
    <t>BR65.A62 -- S83 1990eb</t>
  </si>
  <si>
    <t>Augustine, -- Saint, Bishop of Hippo. -- Confessiones. -- Liber 1-9.; Christianity.; Electronic books. -- local</t>
  </si>
  <si>
    <t>http://public.eblib.com/choice/PublicFullRecord.aspx?p=685913</t>
  </si>
  <si>
    <t>New Republic : A Commentary on Book I of More's Utopia Showing Its Relation to Plato's Republic</t>
  </si>
  <si>
    <t>Starnes, Colin</t>
  </si>
  <si>
    <t>HX810.5.Z6 -- S73 1990eb</t>
  </si>
  <si>
    <t>321/.07</t>
  </si>
  <si>
    <t>Electronic books. -- local; More, Thomas, -- Sir, Saint, -- 1478-1535 -- Criticism and interpretation.; More, Thomas, -- Sir, Saint, -- 1478-1535. -- Utopia.; Plato -- Criticism and interpretation.; Plato -- Influence.; Plato. -- Republic.; Utopias.</t>
  </si>
  <si>
    <t>http://public.eblib.com/choice/PublicFullRecord.aspx?p=685914</t>
  </si>
  <si>
    <t>Doctors, Patients, and Society : Power and Authority in Medical Care</t>
  </si>
  <si>
    <t>Larsen, Donald E.; Staum, Martin S.</t>
  </si>
  <si>
    <t>R727.3 -- .D597 1981eb</t>
  </si>
  <si>
    <t>610.69/6; 610.696</t>
  </si>
  <si>
    <t>Electronic books. -- local; Medical care -- Canada -- Congresses.; Medical care -- Congresses.; Physician and patient -- Congresses.; Power (Social sciences) -- Congresses.</t>
  </si>
  <si>
    <t>http://public.eblib.com/choice/PublicFullRecord.aspx?p=685915</t>
  </si>
  <si>
    <t>Words of the Huron</t>
  </si>
  <si>
    <t>Steckley, John L.</t>
  </si>
  <si>
    <t>PM1366 -- .S84 2007eb</t>
  </si>
  <si>
    <t>497; 497.555; 497/.555</t>
  </si>
  <si>
    <t>Names, Wyandot -- History -- 17th century.; Wyandot Indians -- Intellectual life -- 17th century.; Wyandot Indians -- Languages -- History -- 17th century.; Wyandot Indians -- Material culture -- History -- 17th century.; Wyandot Indians -- Religion.; Wyandot Indians -- Social life and customs -- 17th century.; Wyandot language -- History.</t>
  </si>
  <si>
    <t>http://public.eblib.com/choice/PublicFullRecord.aspx?p=685916</t>
  </si>
  <si>
    <t>Redesigning the World Trade Organization for the Twenty-first Century</t>
  </si>
  <si>
    <t>Steger, Debra P.</t>
  </si>
  <si>
    <t>HF1385 -- .R43 2010eb</t>
  </si>
  <si>
    <t>382/.92</t>
  </si>
  <si>
    <t>Electronic books. -- local; International trade agencies.; World Trade Organization -- Management.; World Trade Organization -- Reorganization.; World Trade Organization.</t>
  </si>
  <si>
    <t>http://public.eblib.com/choice/PublicFullRecord.aspx?p=685917</t>
  </si>
  <si>
    <t>Veneration and Revolt : Hermann Hesse and Swabian Pietism</t>
  </si>
  <si>
    <t>Stephenson, Barry</t>
  </si>
  <si>
    <t>PT2617.E85 -- Z88 2009eb</t>
  </si>
  <si>
    <t>Authors, German -- 20th century -- Biography.; Electronic books. -- local; Hesse, Hermann, -- 1877-1962 -- Criticism and interpretation.; Hesse, Hermann, -- 1877-1962 -- Religion.; Pietism -- Germany -- Swabia.; Pietism in literature.</t>
  </si>
  <si>
    <t>http://public.eblib.com/choice/PublicFullRecord.aspx?p=685920</t>
  </si>
  <si>
    <t>Dissociation and Wholeness in Patrick White's Fiction</t>
  </si>
  <si>
    <t>Steven, Laurence</t>
  </si>
  <si>
    <t>PR9619.3.W5 -- Z83 1989eb</t>
  </si>
  <si>
    <t>Canadian fiction.; Electronic books. -- local; White, Patrick, -- 1912-1990 -- Criticism and interpretation.</t>
  </si>
  <si>
    <t>http://public.eblib.com/choice/PublicFullRecord.aspx?p=685921</t>
  </si>
  <si>
    <t>Unsettled Remains : Canadian Literature and the Postcolonial Gothic</t>
  </si>
  <si>
    <t>Sugars, Cynthia; Turcotte, Gerry</t>
  </si>
  <si>
    <t>PR9185.5.G67 -- U57 2009eb</t>
  </si>
  <si>
    <t>Ambivalence in literature.; Canadian fiction -- 20th century -- History and criticism.; Electronic books. -- local; Gothic fiction (Literary genre), Canadian.; History in literature.; Postcolonialism in literature.</t>
  </si>
  <si>
    <t>http://public.eblib.com/choice/PublicFullRecord.aspx?p=685924</t>
  </si>
  <si>
    <t>Children in English-Canadian Society : Framing the Twentieth-Century Consensus</t>
  </si>
  <si>
    <t>Sutherland, Neil</t>
  </si>
  <si>
    <t>HQ792.C36 -- S88 2000eb</t>
  </si>
  <si>
    <t>301.43; 301.43140971; 362.7</t>
  </si>
  <si>
    <t>Child welfare -- Canada.; Children -- Canada.; Education -- Canada.; Education.; Electronic books. -- local</t>
  </si>
  <si>
    <t>http://public.eblib.com/choice/PublicFullRecord.aspx?p=685925</t>
  </si>
  <si>
    <t>Léonard Bourdon : The Career of a Revolutionary, 1754-1807</t>
  </si>
  <si>
    <t>Sydenham, Michael J.</t>
  </si>
  <si>
    <t>DC146.B76 -- S92 1999eb</t>
  </si>
  <si>
    <t>944.04; 944.04/092; 944.04092</t>
  </si>
  <si>
    <t>Bourdon, Léonard, -- 1754-1807.; Electronic books. -- local; France -- History -- Revolution, 1789-1799.; Revolutionaries -- France -- Biography.</t>
  </si>
  <si>
    <t>http://public.eblib.com/choice/PublicFullRecord.aspx?p=685926</t>
  </si>
  <si>
    <t>Claiming Space : Racialization in Canadian Cities</t>
  </si>
  <si>
    <t>Teelucksingh, Cheryl</t>
  </si>
  <si>
    <t>HT127 -- .C547 2006eb</t>
  </si>
  <si>
    <t>305.8/00971</t>
  </si>
  <si>
    <t>Canada -- Race relations.; Electronic books. -- local; Sociology, Urban -- Canada.</t>
  </si>
  <si>
    <t>http://public.eblib.com/choice/PublicFullRecord.aspx?p=685930</t>
  </si>
  <si>
    <t>Linking Sexuality and Gender : Naming Violence against Women in The United Church of Canada</t>
  </si>
  <si>
    <t>Trothen, Tracy J.</t>
  </si>
  <si>
    <t>BX9881 -- .T76 2003eb</t>
  </si>
  <si>
    <t>261.8/3315/082</t>
  </si>
  <si>
    <t>Electronic books. -- local; Sex -- Religious aspects -- United Church of Canada.; Sex role -- Religious aspects -- United Church of Canada.; United Church of Canada -- Doctrines.; Violence -- Religious aspects -- United Church of Canada.; Women -- Crimes against -- Religious aspects -- United Church of Canada.</t>
  </si>
  <si>
    <t>http://public.eblib.com/choice/PublicFullRecord.aspx?p=685936</t>
  </si>
  <si>
    <t>Celestial Tradition : A Study of Ezra Pound's The Cantos</t>
  </si>
  <si>
    <t>Tryphonopoulos, Demetres P.</t>
  </si>
  <si>
    <t>PS3531.O82 -- C2893 1992eb</t>
  </si>
  <si>
    <t>811/.52</t>
  </si>
  <si>
    <t>Electronic books. -- local; Occultism in literature.; Pound, Ezra, -- 1885-1972 -- Knowledge -- Occultism.; Pound, Ezra, -- 1885-1972. -- Cantos.</t>
  </si>
  <si>
    <t>http://public.eblib.com/choice/PublicFullRecord.aspx?p=685937</t>
  </si>
  <si>
    <t>Image and Territory : Essays on Atom Egoyan</t>
  </si>
  <si>
    <t>Tschofen, Monique; Burwell, Jennifer</t>
  </si>
  <si>
    <t>PN1998.3.E334 -- I63 2006eb</t>
  </si>
  <si>
    <t>791.4302/33092</t>
  </si>
  <si>
    <t>Egoyan, Atom -- Criticism and interpretation.; Electronic books. -- local; Video art.</t>
  </si>
  <si>
    <t>http://public.eblib.com/choice/PublicFullRecord.aspx?p=685938</t>
  </si>
  <si>
    <t>Satisfaction All Around : (Les Contens)</t>
  </si>
  <si>
    <t>Turnebe, Odete de; Beecher, D.A.</t>
  </si>
  <si>
    <t>PQ1705.T68 -- C613 1979eb</t>
  </si>
  <si>
    <t>Electronic books. -- local; French fiction.; French literature.</t>
  </si>
  <si>
    <t>http://public.eblib.com/choice/PublicFullRecord.aspx?p=685939</t>
  </si>
  <si>
    <t>Karenina Companion</t>
  </si>
  <si>
    <t>Turner, C.J.G.</t>
  </si>
  <si>
    <t>PG3365.A63 -- T87 1993eb</t>
  </si>
  <si>
    <t>Electronic books. -- local; Russian literature.; Tolstoy, Leo, -- graf, -- 1828-1910. -- Anna Karenina.</t>
  </si>
  <si>
    <t>http://public.eblib.com/choice/PublicFullRecord.aspx?p=685940</t>
  </si>
  <si>
    <t>Encyclopedia of Canadian Social Work</t>
  </si>
  <si>
    <t>Turner, Francis J.</t>
  </si>
  <si>
    <t>HV12 -- .C36 2005eb</t>
  </si>
  <si>
    <t>361; 361.3097103; 361/.003</t>
  </si>
  <si>
    <t>Electronic books. -- local; Social service -- Canada -- Encyclopedias.; Social workers -- Canada.</t>
  </si>
  <si>
    <t>http://public.eblib.com/choice/PublicFullRecord.aspx?p=685941</t>
  </si>
  <si>
    <t>Asian Canadian Writing Beyond Autoethnography</t>
  </si>
  <si>
    <t>Ty, Eleanor; Verduyn, Christl</t>
  </si>
  <si>
    <t>PR9188.2.A74 -- A85 2008eb</t>
  </si>
  <si>
    <t>Asian Canadians in literature.; Canadian literature.; Electronic books. -- local</t>
  </si>
  <si>
    <t>http://public.eblib.com/choice/PublicFullRecord.aspx?p=685943</t>
  </si>
  <si>
    <t>Religious Rivalries in the Early Roman Empire and the Rise of Christianity</t>
  </si>
  <si>
    <t>Vaage, Leif E.</t>
  </si>
  <si>
    <t>BL96 -- .R46 2006eb</t>
  </si>
  <si>
    <t>Christianity and other religions -- Roman.; Church history -- Primitive and early church, ca. 30-600.; Electronic books. -- local; Rome -- Religion.</t>
  </si>
  <si>
    <t>http://public.eblib.com/choice/PublicFullRecord.aspx?p=685945</t>
  </si>
  <si>
    <t>Indian Country : Essays on Contemporary Native Culture</t>
  </si>
  <si>
    <t>Valaskakis, Gail Guthrie</t>
  </si>
  <si>
    <t>E77.2 -- V34 2005eb</t>
  </si>
  <si>
    <t>Electronic books. -- local; Indians of North America -- Canada -- Ethnic identity.; Indians of North America -- Canada.; Indians of North America -- Ethnic identity.; Indians of North America.</t>
  </si>
  <si>
    <t>http://public.eblib.com/choice/PublicFullRecord.aspx?p=685946</t>
  </si>
  <si>
    <t>Spiritual Care and Therapy : Integrative Perspectives</t>
  </si>
  <si>
    <t>VanKatwyk, Peter L.</t>
  </si>
  <si>
    <t>Medicine; Religion</t>
  </si>
  <si>
    <t>BV4012.2 -- .V35 2003eb</t>
  </si>
  <si>
    <t>616.89/14</t>
  </si>
  <si>
    <t>Eclectic psychotherapy -- Case studies.; Electronic books. -- local; Psychotherapy -- Religious aspects.; Spirituality.</t>
  </si>
  <si>
    <t>http://public.eblib.com/choice/PublicFullRecord.aspx?p=685948</t>
  </si>
  <si>
    <t>Free Church in Victorian Canada, 1844-1861 : 1844-1861</t>
  </si>
  <si>
    <t>Vaudry, Richard W.</t>
  </si>
  <si>
    <t>BX9001 -- .V38 1989eb</t>
  </si>
  <si>
    <t>Electronic books. -- local; Free churches -- Canada -- History -- 19th century.; Presbyterian Church -- Canada -- History -- 19th century.</t>
  </si>
  <si>
    <t>http://public.eblib.com/choice/PublicFullRecord.aspx?p=685949</t>
  </si>
  <si>
    <t>Marian Engel's Notebooks : "Ah, mon cahier, écoute..."</t>
  </si>
  <si>
    <t>PR9199.3.M334 -- Z53 1999eb</t>
  </si>
  <si>
    <t>816; 816.54; 816/.54</t>
  </si>
  <si>
    <t>Canadian literature.; Electronic books. -- local; Engel, Marian -- Notebooks, sketchbooks, etc.</t>
  </si>
  <si>
    <t>http://public.eblib.com/choice/PublicFullRecord.aspx?p=685951</t>
  </si>
  <si>
    <t>Must Write : Edna Staebler's Diaries</t>
  </si>
  <si>
    <t>Verduyn, Christl; Staebler, Edna</t>
  </si>
  <si>
    <t>PR9199.3.S73 -- M87 2005eb</t>
  </si>
  <si>
    <t>818.5403; 818/.5403</t>
  </si>
  <si>
    <t>Authors, Canadian -- 20th century -- Diaries.; Electronic books. -- local; Staebler, Edna, -- 1906-2006.</t>
  </si>
  <si>
    <t>http://public.eblib.com/choice/PublicFullRecord.aspx?p=685952</t>
  </si>
  <si>
    <t>Every Grain of Sand : Canadian Perspectives on Ecology and Environment</t>
  </si>
  <si>
    <t>Wainwright, J.A.</t>
  </si>
  <si>
    <t>GF75 -- .E94 2004eb</t>
  </si>
  <si>
    <t>Electronic books. -- local; Environmental degradation.; Human ecology -- Canada.; Human ecology.; Nature -- Effect of human beings on.</t>
  </si>
  <si>
    <t>http://public.eblib.com/choice/PublicFullRecord.aspx?p=685955</t>
  </si>
  <si>
    <t>David Joris and Dutch Anabaptism, 1524-1543 : 1524-1543</t>
  </si>
  <si>
    <t>Waite, Gary K.</t>
  </si>
  <si>
    <t>BX4946.J67 -- W35 1990eb</t>
  </si>
  <si>
    <t>Anabaptists -- Netherlands -- Biography.; Anabaptists -- Netherlands -- History.; Davidists -- Biography.; Electronic books. -- local; Joris, David, -- b. 1501 or 2.</t>
  </si>
  <si>
    <t>http://public.eblib.com/choice/PublicFullRecord.aspx?p=685956</t>
  </si>
  <si>
    <t>“Race,” Rights and the Law in the Supreme Court of Canada : Historical Case Studies</t>
  </si>
  <si>
    <t>Walker, James W. St.G.</t>
  </si>
  <si>
    <t>KE4395 -- .W34 1997eb</t>
  </si>
  <si>
    <t>342.41/087; 342.71085; 344.10287</t>
  </si>
  <si>
    <t>Canada. -- Supreme Court.; Electronic books. -- local; Race discrimination -- Law and legislation -- Canada -- Cases.; Race discrimination -- Law and legislation -- Canada -- History -- 20th century.</t>
  </si>
  <si>
    <t>http://public.eblib.com/choice/PublicFullRecord.aspx?p=685958</t>
  </si>
  <si>
    <t>Critical Mass : The Emergence of Global Civil Society</t>
  </si>
  <si>
    <t>Walker, James W. St.G.; Thompson, Andrew S.</t>
  </si>
  <si>
    <t>JF799 -- .C75 2008eb</t>
  </si>
  <si>
    <t>Civil society -- Case studies.; Civil society -- Congresses.; Civil society.; Electronic books. -- local; Globalization.; Political participation.; World citizenship.</t>
  </si>
  <si>
    <t>http://public.eblib.com/choice/PublicFullRecord.aspx?p=685959</t>
  </si>
  <si>
    <t>"His Dominion" and the "Yellow Peril" : Protestant Missions to Chinese Immigrants in Canada, 1859-1967</t>
  </si>
  <si>
    <t>Wang, Jiwu</t>
  </si>
  <si>
    <t>BV2810 -- .W35 2006eb</t>
  </si>
  <si>
    <t>266/.022089951071</t>
  </si>
  <si>
    <t>Chinese -- Canada -- Religion.; Chinese -- Missions -- Canada -- History.; Electronic books. -- local; Protestant churches -- Missions -- Canada -- History.</t>
  </si>
  <si>
    <t>http://public.eblib.com/choice/PublicFullRecord.aspx?p=685960</t>
  </si>
  <si>
    <t>Dostoyevsky's Critique of the West : The Quest for the Earthly Paradise</t>
  </si>
  <si>
    <t>Ward, Bruce K.</t>
  </si>
  <si>
    <t>PG3328 -- .W32 1986eb</t>
  </si>
  <si>
    <t>Civilization, Western, in literature.; Dostoyevsky, Fyodor, -- 1821-1881 -- Criticism and interpretation.; Electronic books. -- local</t>
  </si>
  <si>
    <t>http://public.eblib.com/choice/PublicFullRecord.aspx?p=685961</t>
  </si>
  <si>
    <t>Literature as Pulpit : The Christian Social Activism of Nellie L. McClung</t>
  </si>
  <si>
    <t>Dissertations SR</t>
  </si>
  <si>
    <t>Warne, Randi R.</t>
  </si>
  <si>
    <t>BR1725.M3563 -- W37 1993eb</t>
  </si>
  <si>
    <t>305.42/092</t>
  </si>
  <si>
    <t>Christian biography -- Canada.; Electronic books. -- local; McClung, Nellie L., -- 1873-1951 -- Political and social views.; McClung, Nellie L., -- 1873-1951 -- Religion.</t>
  </si>
  <si>
    <t>http://public.eblib.com/choice/PublicFullRecord.aspx?p=685962</t>
  </si>
  <si>
    <t>Children's Health Issues in Historical Perspective : International Historical Perspectives</t>
  </si>
  <si>
    <t>Warsh, Cheryl Krasnick; Strong-Boag, Veronica</t>
  </si>
  <si>
    <t>RJ101 -- .C44 2005eb</t>
  </si>
  <si>
    <t>362.198/92/0009</t>
  </si>
  <si>
    <t>Child health services -- History.; Children -- Health and hygiene -- History.; Electronic books. -- local</t>
  </si>
  <si>
    <t>http://public.eblib.com/choice/PublicFullRecord.aspx?p=685963</t>
  </si>
  <si>
    <t>Dissonant Worlds : Roger Vandersteene among the Cree</t>
  </si>
  <si>
    <t>Waugh, Earle H.</t>
  </si>
  <si>
    <t>Religion; History</t>
  </si>
  <si>
    <t>E99.C88 -- W38 1996eb</t>
  </si>
  <si>
    <t>266.2; 266.271231</t>
  </si>
  <si>
    <t>Cree Indians -- Missions -- Alberta, Northern.; Electronic books. -- local; Missionaries -- Alberta, Northern -- Biography.; Missionaries -- Belgium -- Biography.; Oblates of Mary Immaculate -- Biography.; Oblates of Mary Immaculate -- Missions -- Alberta, Northern.; Vandersteene, Roger, -- 1918-</t>
  </si>
  <si>
    <t>http://public.eblib.com/choice/PublicFullRecord.aspx?p=685964</t>
  </si>
  <si>
    <t>Exporting Good Governance : Temptations and Challenges in Canada's Aid Program</t>
  </si>
  <si>
    <t>Welsh, Jennifer; Woods, Ngaire</t>
  </si>
  <si>
    <t>HC60 -- .E96 2007eb</t>
  </si>
  <si>
    <t>338.91; 338.91/7101724; 338.917101724</t>
  </si>
  <si>
    <t>Conditionality (International relations) -- Developing countries.; Economic assistance -- Developing countries -- Case studies.; Economic assistance, Canadian -- Developing countries.; Economic assistance, Canadian -- Political aspects -- Developing countries.; Electronic books. -- local; International organization.</t>
  </si>
  <si>
    <t>http://public.eblib.com/choice/PublicFullRecord.aspx?p=685966</t>
  </si>
  <si>
    <t>Essential Song : Three Decades of Northern Cree Music</t>
  </si>
  <si>
    <t>Whidden, Lynn</t>
  </si>
  <si>
    <t>ML3563 .9 -- W572 2007eb</t>
  </si>
  <si>
    <t>Cree Indians -- Manitoba, Northern -- Music -- History and criticism.; Cree Indians -- Québec (Province) -- Nord-du-Québec -- Music -- History and criticism.; Electronic books. -- local</t>
  </si>
  <si>
    <t>http://public.eblib.com/choice/PublicFullRecord.aspx?p=685969</t>
  </si>
  <si>
    <t>Canadian Methodist Women, 1766-1925 : Marys, Marthas, Mothers in Israel</t>
  </si>
  <si>
    <t>Whiteley, Marilyn Färdig</t>
  </si>
  <si>
    <t>BX8251 -- .W53 2005eb</t>
  </si>
  <si>
    <t>287/.082/0971</t>
  </si>
  <si>
    <t>Electronic books. -- local; Methodist women -- Canada -- History.; Women in the Methodist Church -- Canada -- History.</t>
  </si>
  <si>
    <t>http://public.eblib.com/choice/PublicFullRecord.aspx?p=685971</t>
  </si>
  <si>
    <t>Writing between the Lines : Portraits of Canadian Anglophone Translators</t>
  </si>
  <si>
    <t>Whitfield, Agnes</t>
  </si>
  <si>
    <t>PN241.5.C36 -- W75 2006eb</t>
  </si>
  <si>
    <t>428/.02410971</t>
  </si>
  <si>
    <t>Electronic books. -- local; Translating and interpreting -- Canada.; Translators -- Canada -- Biography.</t>
  </si>
  <si>
    <t>http://public.eblib.com/choice/PublicFullRecord.aspx?p=685975</t>
  </si>
  <si>
    <t>Teaching Places</t>
  </si>
  <si>
    <t>Whitson, Audrey J.</t>
  </si>
  <si>
    <t>Philosophy; History</t>
  </si>
  <si>
    <t>F1034.3.W44 -- A3 2003eb</t>
  </si>
  <si>
    <t>Electronic books. -- local; Philosophy of nature.; Spiritual biography -- Canada.; Whitson, Audrey J. -- (Audrey Joan), -- 1957- -- Travel -- Alberta.; Wilderness areas -- Alberta.</t>
  </si>
  <si>
    <t>http://public.eblib.com/choice/PublicFullRecord.aspx?p=685976</t>
  </si>
  <si>
    <t>Politics, Property and Law in the Philippine Uplands</t>
  </si>
  <si>
    <t>Wiber, Melanie G.</t>
  </si>
  <si>
    <t>Economics; History</t>
  </si>
  <si>
    <t>DS666.I12 -- W53 1993eb</t>
  </si>
  <si>
    <t>333.3; 333.31599</t>
  </si>
  <si>
    <t>Electronic books. -- local; Ibaloi (Philippine people); Property (Ibaloi law)</t>
  </si>
  <si>
    <t>http://public.eblib.com/choice/PublicFullRecord.aspx?p=685977</t>
  </si>
  <si>
    <t>Educational Legacy of Romanticism</t>
  </si>
  <si>
    <t>Willinsky, John</t>
  </si>
  <si>
    <t>LB14.6 -- .E345 1990eb</t>
  </si>
  <si>
    <t>370/.12</t>
  </si>
  <si>
    <t>Education -- Philosophy -- Congresses.; Education in literature -- Congresses.; Electronic books. -- local; Romanticism -- Congresses.</t>
  </si>
  <si>
    <t>http://public.eblib.com/choice/PublicFullRecord.aspx?p=685980</t>
  </si>
  <si>
    <t>Through the Hitler Line : Memoirs of an Infantry Chaplain</t>
  </si>
  <si>
    <t>Wilmot, MC, Laurence F.</t>
  </si>
  <si>
    <t>D810.C36 -- C39 2003eb</t>
  </si>
  <si>
    <t>940.54/78/092</t>
  </si>
  <si>
    <t>Canada. -- Canadian Army -- Chaplains -- Biography.; Canada. -- Canadian Army. -- West Nova Scotia Regiment -- History.; Electronic books. -- local; Military chaplains -- Canada -- Biography.; World War, 1939-1945 -- Campaigns -- Italy.; World War, 1939-1945 -- Personal narratives, Canadian.</t>
  </si>
  <si>
    <t>http://public.eblib.com/choice/PublicFullRecord.aspx?p=685981</t>
  </si>
  <si>
    <t>Anti-Judaism in Early Christianity : Volume 2: Separation and Polemic</t>
  </si>
  <si>
    <t>Wilson, Stephen G.</t>
  </si>
  <si>
    <t>Christianity and antisemitism.; Church history -- Primitive and early church, ca. 30-600.; Judaism -- Relations -- Christianity.; Paul, -- the Apostle, Saint -- Views on Judaism.</t>
  </si>
  <si>
    <t>http://public.eblib.com/choice/PublicFullRecord.aspx?p=685983</t>
  </si>
  <si>
    <t>Text and Artifact in the Religions of Mediterranean Antiquity : Essays in Honour of Peter Richardson</t>
  </si>
  <si>
    <t>Wilson, Stephen G.; Wilson, Stephen G.; Desjardins, Michel</t>
  </si>
  <si>
    <t>BS2410 -- .T49 2000eb</t>
  </si>
  <si>
    <t>225.9/5</t>
  </si>
  <si>
    <t>Bible. -- N.T. -- Criticism, interpretation, etc.; Bible. -- N.T. -- History of Biblical events.; Bible. -- N.T. -- History of contemporary events.; Church history -- Primitive and early church, ca. 30-600.; Electronic books. -- local; Jews in the New Testament.; Judaism -- History -- Post-exilic period, 586 B.C.-210 A.D.</t>
  </si>
  <si>
    <t>http://public.eblib.com/choice/PublicFullRecord.aspx?p=685984</t>
  </si>
  <si>
    <t>Evangelical Balance Sheet : Character, Family, and Business in Mid-Victorian Nova Scotia</t>
  </si>
  <si>
    <t>Wood, B. Anne</t>
  </si>
  <si>
    <t>F1038.R83 -- W65 2006eb</t>
  </si>
  <si>
    <t>971.6/02092</t>
  </si>
  <si>
    <t>Evangelicalism -- Nova Scotia.; Merchants -- Nova Scotia -- Biography.; Nova Scotia -- Social life and customs -- 19th century.; Pictou (N.S.) -- Biography.; Rudolf, W. Norman, -- 1835-1886 -- Diaries.; Rudolf, W. Norman, -- 1835-1886 -- Family.; Rudolf, W. Norman, -- 1835-1886 -- Religion.</t>
  </si>
  <si>
    <t>http://public.eblib.com/choice/PublicFullRecord.aspx?p=685985</t>
  </si>
  <si>
    <t>Anglo-Saxons : Synthesis and Achievement</t>
  </si>
  <si>
    <t>Woods, J. Douglas; Pelteret, David A.E.</t>
  </si>
  <si>
    <t>DA152.2 -- A53 1985eb</t>
  </si>
  <si>
    <t>Civilization, Anglo-Saxon.; Electronic books. -- local; England -- Civilization -- To 1066.</t>
  </si>
  <si>
    <t>http://public.eblib.com/choice/PublicFullRecord.aspx?p=685986</t>
  </si>
  <si>
    <t>Speaking in the Past Tense : Canadian Novelists on Writing Historical Fiction</t>
  </si>
  <si>
    <t>Wyile, Herb</t>
  </si>
  <si>
    <t>PR9192.6.H5 -- W95 2007eb</t>
  </si>
  <si>
    <t>C813/.081</t>
  </si>
  <si>
    <t>Electronic books. -- local; Historical fiction, Canadian -- Authorship -- History and criticism.; Novelists, Canadian -- Interviews.</t>
  </si>
  <si>
    <t>http://public.eblib.com/choice/PublicFullRecord.aspx?p=685988</t>
  </si>
  <si>
    <t>Robert Thorne Coryndon : Proconsular Imperialism in Southern and Eastern Africa, 1897-1925</t>
  </si>
  <si>
    <t>Youé, Christopher P.</t>
  </si>
  <si>
    <t>DT775 -- .Y68 1986eb</t>
  </si>
  <si>
    <t>Africa, East -- Politics and government.; Africa, Southern -- Politics and government.; Colonial administrators -- Africa, East -- Biography.; Colonial administrators -- Africa, Southern -- Biography.; Colonial administrators -- Great Britain -- Biography.; Coryndon, Robert Thorne, -- Sir, -- 1870-1925.; Electronic books. -- local</t>
  </si>
  <si>
    <t>http://public.eblib.com/choice/PublicFullRecord.aspx?p=685989</t>
  </si>
  <si>
    <t>Ticket Masters : The Rise of the Concert Industry and How the Public Got Scalped</t>
  </si>
  <si>
    <t>ECW Press</t>
  </si>
  <si>
    <t>Budnick, Dean; Baron, Josh</t>
  </si>
  <si>
    <t>HD9999.T52 -- B83 2011eb</t>
  </si>
  <si>
    <t>Electronic books. -- local; Performing arts -- Ticket prices.; Performing arts -- Ticket subscription.; Ticket brokerage.; Ticket scalping.</t>
  </si>
  <si>
    <t>http://public.eblib.com/choice/PublicFullRecord.aspx?p=686953</t>
  </si>
  <si>
    <t>Creating Cohousing : Building Sustainable Communities</t>
  </si>
  <si>
    <t>McCamant, Kathryn; Durrett, Charles</t>
  </si>
  <si>
    <t>Economics; Architecture; Business/Management</t>
  </si>
  <si>
    <t>HD7287.7 -- .M33 2011eb</t>
  </si>
  <si>
    <t>334/.1; 728.31</t>
  </si>
  <si>
    <t>Electronic books. -- local; Housing, Cooperative -- Europe.; Housing, Cooperative -- North America.</t>
  </si>
  <si>
    <t>http://public.eblib.com/choice/PublicFullRecord.aspx?p=688715</t>
  </si>
  <si>
    <t>Industrial Evolution : Local Solutions for a Low Carbon Future</t>
  </si>
  <si>
    <t>HD2341 -- .E88 2011eb</t>
  </si>
  <si>
    <t>333.79; 338.064</t>
  </si>
  <si>
    <t>Electronic books. -- local; Entrepreneurship -- Environmental aspects.; Environmental economics.; Small business -- Environmental aspects.; Sustainable development -- Environmental aspects.</t>
  </si>
  <si>
    <t>http://public.eblib.com/choice/PublicFullRecord.aspx?p=688758</t>
  </si>
  <si>
    <t>The Wealth of Nature : Economics as if Survival Mattered</t>
  </si>
  <si>
    <t>HD75.6 -- .G74 2011eb</t>
  </si>
  <si>
    <t>330; 338.9</t>
  </si>
  <si>
    <t>Economic development -- Environmental aspects.; Electronic books. -- local; Environmental economics.; Sustainable development.</t>
  </si>
  <si>
    <t>http://public.eblib.com/choice/PublicFullRecord.aspx?p=688768</t>
  </si>
  <si>
    <t>Admirals : Canada's Senior Naval Leadership in the Twentieth Century</t>
  </si>
  <si>
    <t>Dundurn Press</t>
  </si>
  <si>
    <t>Whitby, Michael; Gimblett, Richard H.; Haydon, Peter</t>
  </si>
  <si>
    <t>Military Science; History</t>
  </si>
  <si>
    <t>F1028.5 -- .A36 2006eb</t>
  </si>
  <si>
    <t>359/.0092/271</t>
  </si>
  <si>
    <t>Admirals -- Canada -- Biography.; Canada -- History, Naval.; Canada. -- Royal Canadian Navy -- Officers -- Biography.; Electronic books. -- local</t>
  </si>
  <si>
    <t>http://public.eblib.com/choice/PublicFullRecord.aspx?p=713618</t>
  </si>
  <si>
    <t>The End of Growth : Adapting to Our New Economic Reality</t>
  </si>
  <si>
    <t>Business/Management; Economics; Social Science</t>
  </si>
  <si>
    <t>HC59.3 -- .H45 2011eb</t>
  </si>
  <si>
    <t>304.62; 330.905</t>
  </si>
  <si>
    <t>Economic development.; Economic forecasting.; Economic indicators.; Natural resources.; Stagnation (Economics)</t>
  </si>
  <si>
    <t>http://public.eblib.com/choice/PublicFullRecord.aspx?p=714579</t>
  </si>
  <si>
    <t>Legal Aspects of Sustainable Development : Recasting Transboundary Fisheries Management Arrangements In Light of Sustainability Principles</t>
  </si>
  <si>
    <t>Legal Aspects of Sustainable Development Ser.</t>
  </si>
  <si>
    <t>VanderZwaag, David L.; Russell, Dawn A.</t>
  </si>
  <si>
    <t>K3897 -- .R43 2010eb</t>
  </si>
  <si>
    <t>343/.07692</t>
  </si>
  <si>
    <t>Fishery law and legislation -- Canada.; Fishery law and legislation.; Sustainable fisheries.</t>
  </si>
  <si>
    <t>http://public.eblib.com/choice/PublicFullRecord.aspx?p=717627</t>
  </si>
  <si>
    <t>Cancer : 101 Solutions to a Preventable Epidemic</t>
  </si>
  <si>
    <t>Armstrong, Liz; Dauncey, Guy; Wordsworth, Anne</t>
  </si>
  <si>
    <t>RC268 -- .A76 2007eb</t>
  </si>
  <si>
    <t>616.99/4052</t>
  </si>
  <si>
    <t>Cancer -- Prevention.; Carcinogens.; Chemical carcinogenesis.; Consumer education.; Environmentally induced diseases -- Prevention.</t>
  </si>
  <si>
    <t>http://public.eblib.com/choice/PublicFullRecord.aspx?p=729186</t>
  </si>
  <si>
    <t>The Homeowner's Guide to Renewable Energy : Achieving Energy Independence Through Solar, Wind, Biomass, and Hydropower</t>
  </si>
  <si>
    <t>Engineering: Mechanical; Engineering; Home Economics</t>
  </si>
  <si>
    <t>TJ163.5.D86 -- C45 2011eb</t>
  </si>
  <si>
    <t>Dwellings -- Energy conservation.; Renewable energy sources.</t>
  </si>
  <si>
    <t>http://public.eblib.com/choice/PublicFullRecord.aspx?p=729287</t>
  </si>
  <si>
    <t>Fermenting Revolution : How to Drink Beer and Save the World</t>
  </si>
  <si>
    <t>O'Brien, Christopher Mark</t>
  </si>
  <si>
    <t>Engineering; Engineering: Chemical; Home Economics</t>
  </si>
  <si>
    <t>TP577 -- .O27 2006eb</t>
  </si>
  <si>
    <t>641.2/3</t>
  </si>
  <si>
    <t>Beer -- History.; Beer -- Miscellanea.; Beer -- Social aspects.; Beer.</t>
  </si>
  <si>
    <t>http://public.eblib.com/choice/PublicFullRecord.aspx?p=729414</t>
  </si>
  <si>
    <t>Parenting Your Parents : Support Strategies for Meeting the Challenge of Aging in the Family: Second Edition, Revised and Expanded</t>
  </si>
  <si>
    <t>Mindszenthy, Bart J.; Gordon, Michael</t>
  </si>
  <si>
    <t>HQ1063.6 -- .M56 2005eb</t>
  </si>
  <si>
    <t>Aging parents -- Care.; Electronic books. -- local; Parent and adult child.</t>
  </si>
  <si>
    <t>http://public.eblib.com/choice/PublicFullRecord.aspx?p=730221</t>
  </si>
  <si>
    <t>Creating Wealth : Growing Local Economies with Local Currencies</t>
  </si>
  <si>
    <t>Hallsmith, Gwendolyn; Lietaer, Bernard</t>
  </si>
  <si>
    <t>HB251 -- .H35 2011eb</t>
  </si>
  <si>
    <t>Economic development.; Money.; Wealth.</t>
  </si>
  <si>
    <t>http://public.eblib.com/choice/PublicFullRecord.aspx?p=744569</t>
  </si>
  <si>
    <t>The State of the Arts : Living With Culture in Toronto</t>
  </si>
  <si>
    <t>Coach House Books</t>
  </si>
  <si>
    <t>Wilcox, Alana; Palassio, Christina; Dovercourt, Jonny</t>
  </si>
  <si>
    <t>Fine Arts; History</t>
  </si>
  <si>
    <t>F1059.5.T685 -- S73 2006eb</t>
  </si>
  <si>
    <t>700.9713/541; 700.9713541</t>
  </si>
  <si>
    <t>Arts, Canadian -- Ontario -- Toronto.; Toronto (Ont.) -- Civilization -- 21st century.; Toronto (Ont.) -- Social life and customs -- 21st century.</t>
  </si>
  <si>
    <t>http://public.eblib.com/choice/PublicFullRecord.aspx?p=760094</t>
  </si>
  <si>
    <t>East/West : A Guide to Where People Live in Downtown Toronto</t>
  </si>
  <si>
    <t>Byrtus, Nancy; Fram, Mark; McClelland, Michael</t>
  </si>
  <si>
    <t>F1059.5.T684 -- E27 2000eb</t>
  </si>
  <si>
    <t>Architecture -- Ontario -- Toronto.; Buildings -- Ontario -- Toronto.; Neighborhoods -- Ontario -- Toronto.; Toronto (Ont.) -- Description and travel.</t>
  </si>
  <si>
    <t>http://public.eblib.com/choice/PublicFullRecord.aspx?p=760095</t>
  </si>
  <si>
    <t>Notebook of Roses and Civilization</t>
  </si>
  <si>
    <t>Brossard, Nicole; Moure, ÃÂrin; Majzels, Robert</t>
  </si>
  <si>
    <t>PQ3919.2.B75 -- C3413 2007eb</t>
  </si>
  <si>
    <t>Canadian poetry.; Desire -- Poetry.; Sensuality -- Poetry.</t>
  </si>
  <si>
    <t>http://public.eblib.com/choice/PublicFullRecord.aspx?p=760096</t>
  </si>
  <si>
    <t>GreenTOpia : Towards a Sustainable Toronto</t>
  </si>
  <si>
    <t>Wilcox, Alana; Dovercourt, Jonny; Palassio, Christina</t>
  </si>
  <si>
    <t>Economics; Engineering; Engineering: Environmental; Environmental Studies</t>
  </si>
  <si>
    <t>TD171.5.C22 -- T674 2007eb</t>
  </si>
  <si>
    <t>333.7209713/541; 333.7209713541</t>
  </si>
  <si>
    <t>Environmental protection -- Ontario -- Toronto -- Citizen participation.; Environmental protection -- Ontario -- Toronto.; Sustainable development -- Ontario -- Toronto -- Citizen participation.; Sustainable development -- Ontario -- Toronto.</t>
  </si>
  <si>
    <t>http://public.eblib.com/choice/PublicFullRecord.aspx?p=760097</t>
  </si>
  <si>
    <t>Biting the Error : Writers Explore Narrative</t>
  </si>
  <si>
    <t>Scott, Gail; GlÃÂ¼ck, Robert; Roy, Camille; Gl Ck, Robert</t>
  </si>
  <si>
    <t>PR9185.2 -- .B56 2004eb</t>
  </si>
  <si>
    <t>American literature -- History and criticism -- Theory, etc.; Authorship.; Canadian literature -- History and criticism -- Theory, etc.; Narration (Rhetoric)</t>
  </si>
  <si>
    <t>http://public.eblib.com/choice/PublicFullRecord.aspx?p=760098</t>
  </si>
  <si>
    <t>Fences in Breathing</t>
  </si>
  <si>
    <t>Brossard, Nicole; de LotbiniÃÂ¨re-Harwood, Susanne; De Lotbiniere-Harwood, Susanne</t>
  </si>
  <si>
    <t>PQ3919.2.B75 -- C3713 2009eb</t>
  </si>
  <si>
    <t>Canadian fiction.</t>
  </si>
  <si>
    <t>http://public.eblib.com/choice/PublicFullRecord.aspx?p=760119</t>
  </si>
  <si>
    <t>Mauve Desert</t>
  </si>
  <si>
    <t>Brossard, Nicole; Queyras, Sina; de LotbiniÃÂ¨re-Harwood, Susanne</t>
  </si>
  <si>
    <t>PQ3919.2.B75 -- A2 2006eb</t>
  </si>
  <si>
    <t>Lesbians -- Fiction.</t>
  </si>
  <si>
    <t>http://public.eblib.com/choice/PublicFullRecord.aspx?p=760122</t>
  </si>
  <si>
    <t>Yesterday, at the Hotel Clarendon</t>
  </si>
  <si>
    <t>PQ3919.2.B75 -- H5413 2005eb</t>
  </si>
  <si>
    <t>843/.54</t>
  </si>
  <si>
    <t>http://public.eblib.com/choice/PublicFullRecord.aspx?p=760124</t>
  </si>
  <si>
    <t>uTOpia : Towards a New Toronto</t>
  </si>
  <si>
    <t>UTOpia</t>
  </si>
  <si>
    <t>Wilcox, Alana; McBride, Jason</t>
  </si>
  <si>
    <t>F1059.5.T684 -- U86 2005eb</t>
  </si>
  <si>
    <t>971.3/541</t>
  </si>
  <si>
    <t>Toronto (Ont.); Toronto (Ont.) -- Social conditions -- 21st century.</t>
  </si>
  <si>
    <t>http://public.eblib.com/choice/PublicFullRecord.aspx?p=760152</t>
  </si>
  <si>
    <t>HTO : Toronto's Water from Lake Iroquois to Lost Rivers to Low-flow Toilets</t>
  </si>
  <si>
    <t>Reeves, Wayne; Palassio, Christina</t>
  </si>
  <si>
    <t>Science; Engineering: Environmental; Engineering; Science: Geology</t>
  </si>
  <si>
    <t>TD227.T6 -- H76 2008eb</t>
  </si>
  <si>
    <t>553.709713/541</t>
  </si>
  <si>
    <t>Toronto (Ont.); Water -- Ontario -- Toronto.</t>
  </si>
  <si>
    <t>http://public.eblib.com/choice/PublicFullRecord.aspx?p=760161</t>
  </si>
  <si>
    <t>Concrete Toronto : A Guide to Concrete Architecture from the Fifties to the Seventies</t>
  </si>
  <si>
    <t>McClelland, Michael; Stewart, Graeme; E.R.A.Architects,</t>
  </si>
  <si>
    <t>Architecture</t>
  </si>
  <si>
    <t>NA4125 -- .C65 2007eb</t>
  </si>
  <si>
    <t>720.9713/54109045; 721.0445</t>
  </si>
  <si>
    <t>Architecture -- Ontario -- Toronto -- History -- 20th century.; Concrete construction -- Ontario -- Toronto -- History -- 20th century.; Toronto (Ont.) -- Buildings, structures, etc. -- History -- 20th century.</t>
  </si>
  <si>
    <t>http://public.eblib.com/choice/PublicFullRecord.aspx?p=760169</t>
  </si>
  <si>
    <t>The City Man</t>
  </si>
  <si>
    <t>Akler, Howard</t>
  </si>
  <si>
    <t>PR9199.4.A39 -- C58 2005eb</t>
  </si>
  <si>
    <t>Depressions -- 1929 -- Canada -- Fiction.; Swindlers and swindling -- Fiction.; Toronto (Ont.) -- Fiction.</t>
  </si>
  <si>
    <t>http://public.eblib.com/choice/PublicFullRecord.aspx?p=760182</t>
  </si>
  <si>
    <t>Clockfire</t>
  </si>
  <si>
    <t>Ball, Jonathan</t>
  </si>
  <si>
    <t>PR9199.4.B357 -- C56 2010eb</t>
  </si>
  <si>
    <t>Canadian poetry.</t>
  </si>
  <si>
    <t>http://public.eblib.com/choice/PublicFullRecord.aspx?p=760187</t>
  </si>
  <si>
    <t>The Porcupinity of the Stars</t>
  </si>
  <si>
    <t>Barwin, Gary</t>
  </si>
  <si>
    <t>PR9199.3.B3756 -- P67 2010eb</t>
  </si>
  <si>
    <t>Awareness -- Poetry.; Canadian poetry.</t>
  </si>
  <si>
    <t>http://public.eblib.com/choice/PublicFullRecord.aspx?p=760190</t>
  </si>
  <si>
    <t>Eunoia</t>
  </si>
  <si>
    <t>BÃÂ¶k, Christian; B K, Christian</t>
  </si>
  <si>
    <t>PR9199.3.B575 -- E96 2009eb</t>
  </si>
  <si>
    <t>http://public.eblib.com/choice/PublicFullRecord.aspx?p=760209</t>
  </si>
  <si>
    <t>The Refrigerator Memory</t>
  </si>
  <si>
    <t>Bramer, Shannon</t>
  </si>
  <si>
    <t>PR9199.3.B682 -- R44 2005eb</t>
  </si>
  <si>
    <t>http://public.eblib.com/choice/PublicFullRecord.aspx?p=760215</t>
  </si>
  <si>
    <t>The Blue Books : A Book, Turn of a Pang, French Kiss, or, a Pang's Progress</t>
  </si>
  <si>
    <t>Brossard, Nicole</t>
  </si>
  <si>
    <t>PQ3919.2.B75 -- B58 2003eb</t>
  </si>
  <si>
    <t>http://public.eblib.com/choice/PublicFullRecord.aspx?p=760217</t>
  </si>
  <si>
    <t>The Dying Poem</t>
  </si>
  <si>
    <t>Budde, Rob</t>
  </si>
  <si>
    <t>PR9199.3.B764 -- D95 2002eb</t>
  </si>
  <si>
    <t>Motion picture producers and directors -- Fiction.; Poets -- Fiction.; Suicide victims -- Fiction.; Toronto (Ont.) -- Fiction.</t>
  </si>
  <si>
    <t>http://public.eblib.com/choice/PublicFullRecord.aspx?p=760223</t>
  </si>
  <si>
    <t>Reel Asian : Asian Canada on Screen</t>
  </si>
  <si>
    <t>Chang, Elaine</t>
  </si>
  <si>
    <t>PN1993.5.C2 -- R38 2007eb</t>
  </si>
  <si>
    <t>791.43089/95071</t>
  </si>
  <si>
    <t>Asians in motion pictures -- History.; Experimental films -- Canada -- History and criticism.; Independent films -- Canada -- History and criticism.; Motion pictures -- Canada -- History.</t>
  </si>
  <si>
    <t>http://public.eblib.com/choice/PublicFullRecord.aspx?p=760224</t>
  </si>
  <si>
    <t>King</t>
  </si>
  <si>
    <t>Chapman, Tanya</t>
  </si>
  <si>
    <t>PR9199.4.C476 -- K56 2006eb</t>
  </si>
  <si>
    <t>Love stories.</t>
  </si>
  <si>
    <t>http://public.eblib.com/choice/PublicFullRecord.aspx?p=760227</t>
  </si>
  <si>
    <t>Hagiography</t>
  </si>
  <si>
    <t>Currin, Jen</t>
  </si>
  <si>
    <t>PR9199.4.C87 -- H34 2008eb</t>
  </si>
  <si>
    <t>Canadian literature.; Canadian poetry.</t>
  </si>
  <si>
    <t>http://public.eblib.com/choice/PublicFullRecord.aspx?p=760235</t>
  </si>
  <si>
    <t>The Inquisition Yours</t>
  </si>
  <si>
    <t>PR9199.4.C87 -- I56 2010eb</t>
  </si>
  <si>
    <t>Poetry.</t>
  </si>
  <si>
    <t>http://public.eblib.com/choice/PublicFullRecord.aspx?p=760236</t>
  </si>
  <si>
    <t>The Winter Gardeners</t>
  </si>
  <si>
    <t>Denisoff, Dennis</t>
  </si>
  <si>
    <t>PR9199.3.D437 -- W56 2003eb</t>
  </si>
  <si>
    <t>http://public.eblib.com/choice/PublicFullRecord.aspx?p=760245</t>
  </si>
  <si>
    <t>Stunt</t>
  </si>
  <si>
    <t>Dey, Claudia</t>
  </si>
  <si>
    <t>PR9199.3.D492 -- S78 2008eb</t>
  </si>
  <si>
    <t>Fathers and daughters -- Fiction.; Mothers and daughters -- Fiction.; Toronto (Ont.) -- Fiction.</t>
  </si>
  <si>
    <t>http://public.eblib.com/choice/PublicFullRecord.aspx?p=760247</t>
  </si>
  <si>
    <t>Trout Stanley</t>
  </si>
  <si>
    <t>PR9199.3.D492 -- T76 2005eb</t>
  </si>
  <si>
    <t>812.6; 812/.6</t>
  </si>
  <si>
    <t>British Columbia -- Drama.; Drifters -- Drama.; Twins -- Drama.</t>
  </si>
  <si>
    <t>http://public.eblib.com/choice/PublicFullRecord.aspx?p=760248</t>
  </si>
  <si>
    <t>Crabwise to the Hounds</t>
  </si>
  <si>
    <t>Dodds, Jeramy</t>
  </si>
  <si>
    <t>PR9199.4.D6337 -- C73 2008eb</t>
  </si>
  <si>
    <t>http://public.eblib.com/choice/PublicFullRecord.aspx?p=760250</t>
  </si>
  <si>
    <t>Miss Lamp</t>
  </si>
  <si>
    <t>Ewart, Christopher</t>
  </si>
  <si>
    <t>PR9199.4.E95 -- M57 2006eb</t>
  </si>
  <si>
    <t>http://public.eblib.com/choice/PublicFullRecord.aspx?p=760256</t>
  </si>
  <si>
    <t>Indexical Elegies</t>
  </si>
  <si>
    <t>PR9199.3.F5325 -- I53 2010eb</t>
  </si>
  <si>
    <t>http://public.eblib.com/choice/PublicFullRecord.aspx?p=760261</t>
  </si>
  <si>
    <t>Hippies and Bolsheviks and Other Plays</t>
  </si>
  <si>
    <t>Gladstone, Amiel</t>
  </si>
  <si>
    <t>PR9199.4.G57 -- H57 2007eb</t>
  </si>
  <si>
    <t>Canadian literature.; Drama.</t>
  </si>
  <si>
    <t>http://public.eblib.com/choice/PublicFullRecord.aspx?p=760276</t>
  </si>
  <si>
    <t>Fidget</t>
  </si>
  <si>
    <t>Goldsmith, Kenneth</t>
  </si>
  <si>
    <t>PS3557.O3856 -- G65 2000eb</t>
  </si>
  <si>
    <t>811.54; 811/.54</t>
  </si>
  <si>
    <t>American poetry.</t>
  </si>
  <si>
    <t>http://public.eblib.com/choice/PublicFullRecord.aspx?p=760282</t>
  </si>
  <si>
    <t>Age of Arousal</t>
  </si>
  <si>
    <t>Griffiths, Linda</t>
  </si>
  <si>
    <t>PR9199.3.G767 -- A73 2007eb</t>
  </si>
  <si>
    <t>C812/.54</t>
  </si>
  <si>
    <t>London (England) -- Drama.; Love -- Drama.; School secretaries -- Drama.; Suffrage -- England -- Drama.; Suffragists -- Drama.; Women -- England -- Drama.</t>
  </si>
  <si>
    <t>http://public.eblib.com/choice/PublicFullRecord.aspx?p=760289</t>
  </si>
  <si>
    <t>Amphibian</t>
  </si>
  <si>
    <t>Gunn, Carla</t>
  </si>
  <si>
    <t>PS8613.U57 -- A65 2009eb</t>
  </si>
  <si>
    <t>Conservation of natural resources -- Fiction.; Hylidae -- Fiction.</t>
  </si>
  <si>
    <t>http://public.eblib.com/choice/PublicFullRecord.aspx?p=760291</t>
  </si>
  <si>
    <t>The Certainty Dream</t>
  </si>
  <si>
    <t>Hall, Kate</t>
  </si>
  <si>
    <t>PR9199.4.H356238 -- C47 2009eb</t>
  </si>
  <si>
    <t>http://public.eblib.com/choice/PublicFullRecord.aspx?p=760292</t>
  </si>
  <si>
    <t>Twenty Miles</t>
  </si>
  <si>
    <t>Hedley, Cara</t>
  </si>
  <si>
    <t>PR9199.4.H43 -- T86 2007eb</t>
  </si>
  <si>
    <t>Women hockey players -- Fiction.</t>
  </si>
  <si>
    <t>http://public.eblib.com/choice/PublicFullRecord.aspx?p=760299</t>
  </si>
  <si>
    <t>Girls Fall Down</t>
  </si>
  <si>
    <t>Helwig, Maggie</t>
  </si>
  <si>
    <t>PR9199.3.H446 -- G57 2008eb</t>
  </si>
  <si>
    <t>Airborne infection -- Fiction.; Photographers -- Fiction.; Toronto (Ont.) -- Fiction.</t>
  </si>
  <si>
    <t>http://public.eblib.com/choice/PublicFullRecord.aspx?p=760301</t>
  </si>
  <si>
    <t>Hello ÃÂ hello : A Romantic Satire</t>
  </si>
  <si>
    <t>Hines, Karen</t>
  </si>
  <si>
    <t>PR9199.4.H565 -- H56 2006eb</t>
  </si>
  <si>
    <t>Love -- Drama.</t>
  </si>
  <si>
    <t>http://public.eblib.com/choice/PublicFullRecord.aspx?p=760305</t>
  </si>
  <si>
    <t>The Pochsy Plays</t>
  </si>
  <si>
    <t>PR9199.4.H565 -- P63 2004eb</t>
  </si>
  <si>
    <t>812/.6</t>
  </si>
  <si>
    <t>Canadian drama.; Women heroes.</t>
  </si>
  <si>
    <t>http://public.eblib.com/choice/PublicFullRecord.aspx?p=760306</t>
  </si>
  <si>
    <t>Practical Dreamers : Conversations with Movie Artists</t>
  </si>
  <si>
    <t>Hoolboom, Mike</t>
  </si>
  <si>
    <t>PN1995.9.E96 -- H67 2008eb</t>
  </si>
  <si>
    <t>791.43/750971</t>
  </si>
  <si>
    <t>Experimental films -- Canada -- History and criticism.; Independent filmmakers -- Canada -- Interviews.; Motion picture producers and directors -- Canada -- Interviews.; Video art -- Canada.</t>
  </si>
  <si>
    <t>http://public.eblib.com/choice/PublicFullRecord.aspx?p=760313</t>
  </si>
  <si>
    <t>Exploring Contemporary Craft : History, Theory and Critical Writing</t>
  </si>
  <si>
    <t>Johnson, Jean</t>
  </si>
  <si>
    <t>NK789 -- .E975 2002eb</t>
  </si>
  <si>
    <t>745.5/0971; 745.50971</t>
  </si>
  <si>
    <t>Decorative arts -- History -- 20th century -- Congresses.</t>
  </si>
  <si>
    <t>http://public.eblib.com/choice/PublicFullRecord.aspx?p=760317</t>
  </si>
  <si>
    <t>All My Friends Are Superheroes</t>
  </si>
  <si>
    <t>Kaufman, Andrew</t>
  </si>
  <si>
    <t>PR9199.4.K375 -- A79 2003eb</t>
  </si>
  <si>
    <t>Canada -- Fiction.</t>
  </si>
  <si>
    <t>http://public.eblib.com/choice/PublicFullRecord.aspx?p=760318</t>
  </si>
  <si>
    <t>Down Sterling Road</t>
  </si>
  <si>
    <t>Kelly, Adrian Michael</t>
  </si>
  <si>
    <t>PR9199.4.K447 -- D69 2005eb</t>
  </si>
  <si>
    <t>Boys -- Fiction.; Canada -- Fiction.; Fathers and sons -- Fiction.; Loss (Psychology) -- Fiction.</t>
  </si>
  <si>
    <t>http://public.eblib.com/choice/PublicFullRecord.aspx?p=760319</t>
  </si>
  <si>
    <t>Exposure : Two Plays</t>
  </si>
  <si>
    <t>MacArthur, Greg</t>
  </si>
  <si>
    <t>PR9199.4.M3224 -- E97 2005eb</t>
  </si>
  <si>
    <t>Canadian drama.</t>
  </si>
  <si>
    <t>http://public.eblib.com/choice/PublicFullRecord.aspx?p=760328</t>
  </si>
  <si>
    <t>From the Atelier Tovar : Selected Writings of Guy Maddin</t>
  </si>
  <si>
    <t>Maddin, Guy</t>
  </si>
  <si>
    <t>PN1994 -- .M3223 2003eb</t>
  </si>
  <si>
    <t>Motion pictures.</t>
  </si>
  <si>
    <t>http://public.eblib.com/choice/PublicFullRecord.aspx?p=760330</t>
  </si>
  <si>
    <t>Sitcom</t>
  </si>
  <si>
    <t>PR9199.3.M42418 -- S58 2007eb</t>
  </si>
  <si>
    <t>Canadian poetry -- 21st century.</t>
  </si>
  <si>
    <t>http://public.eblib.com/choice/PublicFullRecord.aspx?p=760335</t>
  </si>
  <si>
    <t>Stroll : Psychogeographic Walking Tours of Toronto</t>
  </si>
  <si>
    <t>Micallef, Shawn; Zuber, Marlena</t>
  </si>
  <si>
    <t>F1059.5.T683 -- M53 2010eb</t>
  </si>
  <si>
    <t>Toronto (Ont.) -- Description and travel.; Toronto (Ont.) -- Guidebooks.; Toronto (Ont.) -- Maps.</t>
  </si>
  <si>
    <t>http://public.eblib.com/choice/PublicFullRecord.aspx?p=760338</t>
  </si>
  <si>
    <t>Ad Sanctos : The Martyrology Book 9</t>
  </si>
  <si>
    <t>Nichol, bp</t>
  </si>
  <si>
    <t>M1500.G327 -- A3 1993eb</t>
  </si>
  <si>
    <t>Musicals -- Librettos.; Musicals -- Scores.</t>
  </si>
  <si>
    <t>http://public.eblib.com/choice/PublicFullRecord.aspx?p=760348</t>
  </si>
  <si>
    <t>Gifts : The Martyrology Book(s) 7 &amp;</t>
  </si>
  <si>
    <t>PR9199.3.N48 -- G54 2003eb</t>
  </si>
  <si>
    <t>http://public.eblib.com/choice/PublicFullRecord.aspx?p=760349</t>
  </si>
  <si>
    <t>Konfessions of an Elizabethan Fan Dancer</t>
  </si>
  <si>
    <t>PR9199.3.N48 -- K66 2004eb</t>
  </si>
  <si>
    <t>Concrete poetry.</t>
  </si>
  <si>
    <t>http://public.eblib.com/choice/PublicFullRecord.aspx?p=760350</t>
  </si>
  <si>
    <t>Martyrology Book 6 Books</t>
  </si>
  <si>
    <t>PR9199.3.N48 -- M37 1987eb</t>
  </si>
  <si>
    <t>Fiction.</t>
  </si>
  <si>
    <t>http://public.eblib.com/choice/PublicFullRecord.aspx?p=760352</t>
  </si>
  <si>
    <t>Martyrology Books 1 &amp; 2</t>
  </si>
  <si>
    <t>PR9199.3.N48 -- M37 1976eb</t>
  </si>
  <si>
    <t>C811/.5/4</t>
  </si>
  <si>
    <t>http://public.eblib.com/choice/PublicFullRecord.aspx?p=760353</t>
  </si>
  <si>
    <t>Martyrology Books 3 &amp; 4</t>
  </si>
  <si>
    <t>http://public.eblib.com/choice/PublicFullRecord.aspx?p=760354</t>
  </si>
  <si>
    <t>Zygal : A Book of Mysteries and Translations</t>
  </si>
  <si>
    <t>PR9199.3.N48 -- Z45 1985eb</t>
  </si>
  <si>
    <t>http://public.eblib.com/choice/PublicFullRecord.aspx?p=760355</t>
  </si>
  <si>
    <t>[boxhead]</t>
  </si>
  <si>
    <t>O'Donnell, Darren</t>
  </si>
  <si>
    <t>PR9199.4.O36 -- B69 2008eb</t>
  </si>
  <si>
    <t>C812/.6</t>
  </si>
  <si>
    <t>http://public.eblib.com/choice/PublicFullRecord.aspx?p=760359</t>
  </si>
  <si>
    <t>Inoculations : Four Plays</t>
  </si>
  <si>
    <t>PR9199.4.O36 -- I56 2001eb</t>
  </si>
  <si>
    <t>http://public.eblib.com/choice/PublicFullRecord.aspx?p=760360</t>
  </si>
  <si>
    <t>pppeeeaaaccceee</t>
  </si>
  <si>
    <t>PR9199.4.O36 -- P68 2003eb</t>
  </si>
  <si>
    <t>http://public.eblib.com/choice/PublicFullRecord.aspx?p=760361</t>
  </si>
  <si>
    <t>Social Acupuncture : A Guide to Suicide, Performance and Utopia</t>
  </si>
  <si>
    <t>PR9199.4.O36 -- S63 2006eb</t>
  </si>
  <si>
    <t>http://public.eblib.com/choice/PublicFullRecord.aspx?p=760362</t>
  </si>
  <si>
    <t>Your Secrets Sleep With Me</t>
  </si>
  <si>
    <t>PR9199.4.O36 -- Y68 2004eb</t>
  </si>
  <si>
    <t>http://public.eblib.com/choice/PublicFullRecord.aspx?p=760363</t>
  </si>
  <si>
    <t>When Fenelon Falls</t>
  </si>
  <si>
    <t>Palmer, Dorothy Ellen</t>
  </si>
  <si>
    <t>PR9199.4.P345 -- W44 2010eb</t>
  </si>
  <si>
    <t>Adoptees -- Family relationships -- Fiction.; Family secrets -- Fiction.; Nineteen sixties -- Fiction.; Ontario -- Fiction.; Teenagers with disabilities -- Fiction.</t>
  </si>
  <si>
    <t>http://public.eblib.com/choice/PublicFullRecord.aspx?p=760365</t>
  </si>
  <si>
    <t>Eternal Hydra</t>
  </si>
  <si>
    <t>Piatigorsky, Anton</t>
  </si>
  <si>
    <t>PR9199.3.P479 -- E83 2009eb</t>
  </si>
  <si>
    <t>http://public.eblib.com/choice/PublicFullRecord.aspx?p=760368</t>
  </si>
  <si>
    <t>Lemon Hound</t>
  </si>
  <si>
    <t>Queyras, Sina</t>
  </si>
  <si>
    <t>PR9199.4.Q49 -- L46 2006eb</t>
  </si>
  <si>
    <t>http://public.eblib.com/choice/PublicFullRecord.aspx?p=760372</t>
  </si>
  <si>
    <t>Goodness</t>
  </si>
  <si>
    <t>Redhill, Michael</t>
  </si>
  <si>
    <t>PR9199.3.R418 -- G66 2005eb</t>
  </si>
  <si>
    <t>812.54; 812/.54</t>
  </si>
  <si>
    <t>Genocide -- Drama.</t>
  </si>
  <si>
    <t>http://public.eblib.com/choice/PublicFullRecord.aspx?p=760374</t>
  </si>
  <si>
    <t>Saudade : The Possibilities of Place</t>
  </si>
  <si>
    <t>See, Anik</t>
  </si>
  <si>
    <t>PR9199.4.S444 -- S28 2008eb</t>
  </si>
  <si>
    <t>814/.6</t>
  </si>
  <si>
    <t>See, Anik -- Travel.; Travel.</t>
  </si>
  <si>
    <t>http://public.eblib.com/choice/PublicFullRecord.aspx?p=760385</t>
  </si>
  <si>
    <t>How the Blessed Live</t>
  </si>
  <si>
    <t>Smith, Susannah</t>
  </si>
  <si>
    <t>PR9199.4.S66 -- H69 2002eb</t>
  </si>
  <si>
    <t>Canada -- Fiction.; Twins -- Fiction.</t>
  </si>
  <si>
    <t>http://public.eblib.com/choice/PublicFullRecord.aspx?p=760386</t>
  </si>
  <si>
    <t>Touch To Affliction</t>
  </si>
  <si>
    <t>Stephens, Nathalie</t>
  </si>
  <si>
    <t>PR9199.3.S7839 -- T68 2006eb</t>
  </si>
  <si>
    <t>811.6; 811/.54</t>
  </si>
  <si>
    <t>http://public.eblib.com/choice/PublicFullRecord.aspx?p=760388</t>
  </si>
  <si>
    <t>Lemon</t>
  </si>
  <si>
    <t>Strube, Cordelia</t>
  </si>
  <si>
    <t>PR9199.3.S839 -- L46 2009eb</t>
  </si>
  <si>
    <t>Death -- Fiction.; Teenage girls -- Fiction.</t>
  </si>
  <si>
    <t>http://public.eblib.com/choice/PublicFullRecord.aspx?p=760391</t>
  </si>
  <si>
    <t>The Hayflick Limit</t>
  </si>
  <si>
    <t>Tierney, Matthew</t>
  </si>
  <si>
    <t>PR9199.4.T54 -- H39 2009eb</t>
  </si>
  <si>
    <t>http://public.eblib.com/choice/PublicFullRecord.aspx?p=760394</t>
  </si>
  <si>
    <t>The Monster Trilogy</t>
  </si>
  <si>
    <t>Vaughan, RM; Vaughan, R M</t>
  </si>
  <si>
    <t>PR9199.3.V389 -- M66 2003eb</t>
  </si>
  <si>
    <t>812/.54</t>
  </si>
  <si>
    <t>http://public.eblib.com/choice/PublicFullRecord.aspx?p=760399</t>
  </si>
  <si>
    <t>The Drifts</t>
  </si>
  <si>
    <t>Vernon, Thom</t>
  </si>
  <si>
    <t>PR9199.4.V486 -- D75 2010eb</t>
  </si>
  <si>
    <t>Bisexuals -- Fiction.; Interpersonal relations -- Fiction.; Transsexuals -- Fiction.</t>
  </si>
  <si>
    <t>http://public.eblib.com/choice/PublicFullRecord.aspx?p=760400</t>
  </si>
  <si>
    <t>The Milk Chicken Bomb</t>
  </si>
  <si>
    <t>Wedderburn, Andrew</t>
  </si>
  <si>
    <t>PR9199.4.W434 -- M55 2007eb</t>
  </si>
  <si>
    <t>Alberta -- Fiction.; Male friendship -- Fiction.</t>
  </si>
  <si>
    <t>http://public.eblib.com/choice/PublicFullRecord.aspx?p=760407</t>
  </si>
  <si>
    <t>Pulpy and Midge</t>
  </si>
  <si>
    <t>Westhead, Jessica</t>
  </si>
  <si>
    <t>PS8645.E85 -- P84 2007eb</t>
  </si>
  <si>
    <t>Clerks -- Fiction.; Comedy.</t>
  </si>
  <si>
    <t>http://public.eblib.com/choice/PublicFullRecord.aspx?p=760408</t>
  </si>
  <si>
    <t>Human Resources</t>
  </si>
  <si>
    <t>Zolf, Rachel</t>
  </si>
  <si>
    <t>PR9199.3.Z64 -- H86 2007eb</t>
  </si>
  <si>
    <t>http://public.eblib.com/choice/PublicFullRecord.aspx?p=760412</t>
  </si>
  <si>
    <t>Neighbour Procedure</t>
  </si>
  <si>
    <t>PR9199.3.Z64 -- N45 2010eb</t>
  </si>
  <si>
    <t>http://public.eblib.com/choice/PublicFullRecord.aspx?p=760413</t>
  </si>
  <si>
    <t>Mystery of the Missing Luck</t>
  </si>
  <si>
    <t>PR9199.4.P43 -- M97 2011eb</t>
  </si>
  <si>
    <t>Bakeries -- Fiction.; Cats -- Fiction.; Grandmothers -- Fiction.; Lost articles -- Fiction.</t>
  </si>
  <si>
    <t>http://public.eblib.com/choice/PublicFullRecord.aspx?p=766121</t>
  </si>
  <si>
    <t>Le defi des Loups gris : (Timberwolf Challenge)</t>
  </si>
  <si>
    <t>Brouwer, Sigmund; Gingras, Gaston; Griffiths, Dean</t>
  </si>
  <si>
    <t>PR9199.4.B76 -- T5614 2011eb</t>
  </si>
  <si>
    <t>http://public.eblib.com/choice/PublicFullRecord.aspx?p=766122</t>
  </si>
  <si>
    <t>Les Loups gris a la Chasse : (Timberwolf Hunt)</t>
  </si>
  <si>
    <t>Journalism; Literature; Juvenile Literature</t>
  </si>
  <si>
    <t>http://public.eblib.com/choice/PublicFullRecord.aspx?p=766123</t>
  </si>
  <si>
    <t>Today, Maybe</t>
  </si>
  <si>
    <t>Demers, Dominique; Grimard, Gabrielle; Fischman, PH D Sheila</t>
  </si>
  <si>
    <t>PR9199.4.D46 -- T63 2011eb</t>
  </si>
  <si>
    <t>Friendship -- Juvenile fiction.; Girls -- Juvenile fiction.; Patience -- Juvenile fiction.</t>
  </si>
  <si>
    <t>http://public.eblib.com/choice/PublicFullRecord.aspx?p=766124</t>
  </si>
  <si>
    <t>Wellington's Rainy Day</t>
  </si>
  <si>
    <t>Beck, Carolyn; Kerrigan, Brooke</t>
  </si>
  <si>
    <t>PZ7.B3807674 -- We 2011eb</t>
  </si>
  <si>
    <t>Cats -- Juvenile fiction.; Dogs -- Juvenile fiction.; Pets -- Juvenile fiction.</t>
  </si>
  <si>
    <t>http://public.eblib.com/choice/PublicFullRecord.aspx?p=766125</t>
  </si>
  <si>
    <t>Something's Fishy</t>
  </si>
  <si>
    <t>Szpirglas, Jeff; Whamond, David</t>
  </si>
  <si>
    <t>PR9199.4.S97 -- S66 2011eb</t>
  </si>
  <si>
    <t>Accidents -- Juvenile fiction.; Fishes -- Juvenile fiction.; Schools -- Juvenile fiction.</t>
  </si>
  <si>
    <t>http://public.eblib.com/choice/PublicFullRecord.aspx?p=766126</t>
  </si>
  <si>
    <t>Can Hens Give Milk?</t>
  </si>
  <si>
    <t>Stuchner, Joan; Weissmann, Joe</t>
  </si>
  <si>
    <t>PR9199.4.S88 -- C36 2011eb</t>
  </si>
  <si>
    <t>Chełm (Lublin, Poland) -- Juvenile fiction.; Chickens -- Juvenile fiction.; Farm life -- Juvenile fiction.; Fathers and daughters -- Juvenile fiction.; Humorous stories.; Jews -- Poland -- Chełm (Lublin) -- Juvenile fiction.; Milk -- Juvenile fiction.</t>
  </si>
  <si>
    <t>http://public.eblib.com/choice/PublicFullRecord.aspx?p=766127</t>
  </si>
  <si>
    <t>Windfall</t>
  </si>
  <si>
    <t>Cassidy, Sara</t>
  </si>
  <si>
    <t>PR9199.4.C385 -- W56 2011eb</t>
  </si>
  <si>
    <t>Apples -- Juvenile fiction.; Gardening -- Juvenile fiction.; Grief in adolescence -- Juvenile fiction.; Teenagers and death -- Juvenile fiction.</t>
  </si>
  <si>
    <t>http://public.eblib.com/choice/PublicFullRecord.aspx?p=766128</t>
  </si>
  <si>
    <t>The Second Wife</t>
  </si>
  <si>
    <t>Raven Books</t>
  </si>
  <si>
    <t>Rapid Reads</t>
  </si>
  <si>
    <t>Chapman, Brenda</t>
  </si>
  <si>
    <t>PR9199.4.C4756 -- S43 2011eb</t>
  </si>
  <si>
    <t>Divorced women -- Fiction.; Policewomen -- Fiction.</t>
  </si>
  <si>
    <t>http://public.eblib.com/choice/PublicFullRecord.aspx?p=766129</t>
  </si>
  <si>
    <t>Missing</t>
  </si>
  <si>
    <t>PZ7.C49985 -- Mis 2011eb</t>
  </si>
  <si>
    <t>Detective and mystery stories.; Horses -- Juvenile fiction.</t>
  </si>
  <si>
    <t>http://public.eblib.com/choice/PublicFullRecord.aspx?p=766130</t>
  </si>
  <si>
    <t>Chance and the Butterfly</t>
  </si>
  <si>
    <t>PR9199.4.D4 -- C53 2011eb</t>
  </si>
  <si>
    <t>Butterflies -- Juvenile fiction.; Foster home care -- Juvenile fiction.; Problem children -- Juvenile fiction.</t>
  </si>
  <si>
    <t>http://public.eblib.com/choice/PublicFullRecord.aspx?p=766131</t>
  </si>
  <si>
    <t>Somebody's Girl</t>
  </si>
  <si>
    <t>PR9199.3.D48 -- S66 2011eb</t>
  </si>
  <si>
    <t>Adopted children -- Juvenile fiction.; Families -- Juvenile fiction.; Friendship -- Juvenile fiction.</t>
  </si>
  <si>
    <t>http://public.eblib.com/choice/PublicFullRecord.aspx?p=766132</t>
  </si>
  <si>
    <t>La Revanche Parfaite : (Perfect Revenge)</t>
  </si>
  <si>
    <t>Denman, K.L.; Archambault, Lise</t>
  </si>
  <si>
    <t>PR9199.4.D46 -- P4714 2011eb</t>
  </si>
  <si>
    <t>Magic -- Juvenile fiction.; Revenge -- Juvenile fiction.; Teenage girls -- Juvenile fiction.</t>
  </si>
  <si>
    <t>http://public.eblib.com/choice/PublicFullRecord.aspx?p=766133</t>
  </si>
  <si>
    <t>The Fall Guy</t>
  </si>
  <si>
    <t>Fradkin, Barbara</t>
  </si>
  <si>
    <t>PR9199.4.F698 -- F35 2011eb</t>
  </si>
  <si>
    <t>Inventors -- Fiction.; Murder -- Fiction.</t>
  </si>
  <si>
    <t>http://public.eblib.com/choice/PublicFullRecord.aspx?p=766134</t>
  </si>
  <si>
    <t>B Negative</t>
  </si>
  <si>
    <t>PR9199.4.G73 -- B6 2011eb</t>
  </si>
  <si>
    <t>Canadian fiction.; Families -- Juvenile fiction.</t>
  </si>
  <si>
    <t>http://public.eblib.com/choice/PublicFullRecord.aspx?p=766135</t>
  </si>
  <si>
    <t>Monteur de Taureau : (Bull Rider)</t>
  </si>
  <si>
    <t>Halvorson, Marilyn; Archambault, Lise</t>
  </si>
  <si>
    <t>PR9199.4.H35 -- B8514 2011eb</t>
  </si>
  <si>
    <t>Rodeos -- Juvenile fiction.</t>
  </si>
  <si>
    <t>http://public.eblib.com/choice/PublicFullRecord.aspx?p=766136</t>
  </si>
  <si>
    <t>Storm Tide</t>
  </si>
  <si>
    <t>Jones, Kari</t>
  </si>
  <si>
    <t>PR9199.4.J66 -- S76 2011eb</t>
  </si>
  <si>
    <t>Adventure stories.; Brothers and sisters -- Juvenile fiction.; Lighthouses -- Juvenile fiction.; Treasure troves -- Juvenile fiction.</t>
  </si>
  <si>
    <t>http://public.eblib.com/choice/PublicFullRecord.aspx?p=766137</t>
  </si>
  <si>
    <t>Better Than Weird</t>
  </si>
  <si>
    <t>PZ7.K4765 -- Bet 2011eb</t>
  </si>
  <si>
    <t>Domestic fiction.; Fathers and sons -- Juvenile fiction.; Schools -- Juvenile fiction.</t>
  </si>
  <si>
    <t>http://public.eblib.com/choice/PublicFullRecord.aspx?p=766138</t>
  </si>
  <si>
    <t>Last Ride</t>
  </si>
  <si>
    <t>PR9199.4.L36 -- L38 2011eb</t>
  </si>
  <si>
    <t>Automobile racing -- Juvenile fiction.; Best friends -- Death -- Juvenile fiction.; Teenage boys -- Juvenile fiction.</t>
  </si>
  <si>
    <t>http://public.eblib.com/choice/PublicFullRecord.aspx?p=766139</t>
  </si>
  <si>
    <t>Marqué : (Marked)</t>
  </si>
  <si>
    <t>McClintock, Norah; Archambault, Lise</t>
  </si>
  <si>
    <t>PR9199.4.M33 -- M3714 2011eb</t>
  </si>
  <si>
    <t>Graffiti -- Juvenile fiction.; Summer employment -- Juvenile fiction.; Theft -- Juvenile fiction.</t>
  </si>
  <si>
    <t>http://public.eblib.com/choice/PublicFullRecord.aspx?p=766140</t>
  </si>
  <si>
    <t>She Said/She Saw</t>
  </si>
  <si>
    <t>PZ7.M478414183 -- She 2011eb</t>
  </si>
  <si>
    <t>Criminal investigation.; Homicide -- Fiction.; Honesty -- Fiction.; Murder -- Fiction.; Witnesses -- Fiction.</t>
  </si>
  <si>
    <t>http://public.eblib.com/choice/PublicFullRecord.aspx?p=766141</t>
  </si>
  <si>
    <t>And Everything Nice</t>
  </si>
  <si>
    <t>Moritsugu, Kim</t>
  </si>
  <si>
    <t>PR9199.3.M644 -- A66 2011eb</t>
  </si>
  <si>
    <t>Choirs (Music) -- Fiction.; Diaries -- Fiction.; Extortion -- Fiction.; Rock music -- Fiction.</t>
  </si>
  <si>
    <t>http://public.eblib.com/choice/PublicFullRecord.aspx?p=766142</t>
  </si>
  <si>
    <t>Out of the Box</t>
  </si>
  <si>
    <t>PZ7.M8888 -- Out 2011eb</t>
  </si>
  <si>
    <t>Families -- Juvenile fiction.; Young adult fiction.</t>
  </si>
  <si>
    <t>http://public.eblib.com/choice/PublicFullRecord.aspx?p=766143</t>
  </si>
  <si>
    <t>Beyond Repair</t>
  </si>
  <si>
    <t>PR9199.4.P48 -- B49 2011eb</t>
  </si>
  <si>
    <t>Fatherless families -- Juvenile fiction.; Fathers -- Death -- Juvenile fiction.; Murderers -- Juvenile fiction.; Stalkers -- Juvenile fiction.</t>
  </si>
  <si>
    <t>http://public.eblib.com/choice/PublicFullRecord.aspx?p=766144</t>
  </si>
  <si>
    <t>Miracleville</t>
  </si>
  <si>
    <t>PZ7.P75226 -- Mir 2011eb</t>
  </si>
  <si>
    <t>Faith -- Juvenile fiction.; Sainte-Anne-de-Beaupré (Québec) -- Juvenile fiction.; Sisters -- Juvenile fiction.</t>
  </si>
  <si>
    <t>http://public.eblib.com/choice/PublicFullRecord.aspx?p=766145</t>
  </si>
  <si>
    <t>Trouble in the Trees</t>
  </si>
  <si>
    <t>Ridge, Yolanda</t>
  </si>
  <si>
    <t>PR9199.4.R54 -- T76 2011eb</t>
  </si>
  <si>
    <t>Accidents -- Prevention -- Juvenile fiction.; Rules (Philosophy) -- Juvenile fiction.</t>
  </si>
  <si>
    <t>http://public.eblib.com/choice/PublicFullRecord.aspx?p=766146</t>
  </si>
  <si>
    <t>What is Real</t>
  </si>
  <si>
    <t>Rivers, Karen</t>
  </si>
  <si>
    <t>PR9199.4.R58 -- W53 2011eb</t>
  </si>
  <si>
    <t>Children of divorced parents -- Juvenile fiction.; Marijuana -- Juvenile fiction.; Suicidal behavior -- Juvenile fiction.</t>
  </si>
  <si>
    <t>http://public.eblib.com/choice/PublicFullRecord.aspx?p=766147</t>
  </si>
  <si>
    <t>The Drop</t>
  </si>
  <si>
    <t>Orca Sports</t>
  </si>
  <si>
    <t>Ross, Jeff</t>
  </si>
  <si>
    <t>PZ7.R719689 -- Dr 2011eb</t>
  </si>
  <si>
    <t>[Fic]; 813/.6; jC813/.6</t>
  </si>
  <si>
    <t>British Columbia -- Juvenile fiction.; Canada -- Juvenile fiction.; Fear -- Juvenile fiction.; Snowboarding -- Juvenile fiction.</t>
  </si>
  <si>
    <t>http://public.eblib.com/choice/PublicFullRecord.aspx?p=766148</t>
  </si>
  <si>
    <t>Outback</t>
  </si>
  <si>
    <t>PR9199.4.S74 -- O98 2011eb</t>
  </si>
  <si>
    <t>Australia -- Fiction.; Man-woman relationships -- Fiction.; Survival -- Fiction.</t>
  </si>
  <si>
    <t>http://public.eblib.com/choice/PublicFullRecord.aspx?p=766149</t>
  </si>
  <si>
    <t>Viral</t>
  </si>
  <si>
    <t>PR9199.4.V36 -- V57 2011eb</t>
  </si>
  <si>
    <t>Best friends -- Juvenile fiction.; Ecstasy (Drug) -- Juvenile fiction.; Substance abuse -- Juvenile fiction.; Video recordings -- Juvenile fiction.</t>
  </si>
  <si>
    <t>http://public.eblib.com/choice/PublicFullRecord.aspx?p=766150</t>
  </si>
  <si>
    <t>Punta de Cuchillo : (Knifepoint)</t>
  </si>
  <si>
    <t>Orca Soundings (Spanish)</t>
  </si>
  <si>
    <t>Van Tol, Alex; Crelis, Eva Quintana</t>
  </si>
  <si>
    <t>PZ73 -- .V34418 2011eb</t>
  </si>
  <si>
    <t>Dude ranches -- Fiction.; Escapes -- Fiction.; Summer employment -- Fiction.; Survival -- Fiction.; Trail riding -- Fiction.</t>
  </si>
  <si>
    <t>http://public.eblib.com/choice/PublicFullRecord.aspx?p=766151</t>
  </si>
  <si>
    <t>Gravity Check</t>
  </si>
  <si>
    <t>PZ7.V365 -- Gr 2011eb</t>
  </si>
  <si>
    <t>Drug dealers -- Juvenile fiction.; Kidnapping -- Juvenile fiction.; Mountain biking -- Juvenile fiction.</t>
  </si>
  <si>
    <t>http://public.eblib.com/choice/PublicFullRecord.aspx?p=766152</t>
  </si>
  <si>
    <t>Ed Special : (Special Edward)</t>
  </si>
  <si>
    <t>Walters, Eric; Archambault, Lise</t>
  </si>
  <si>
    <t>PR9199.4.W35 -- S6414 2011eb</t>
  </si>
  <si>
    <t>Learning disabilities -- Juvenile fiction.; Schools -- Juvenile fiction.</t>
  </si>
  <si>
    <t>http://public.eblib.com/choice/PublicFullRecord.aspx?p=766153</t>
  </si>
  <si>
    <t>Reventar : (Stuffed)</t>
  </si>
  <si>
    <t>Walters, Eric; Crelis, Eva Quintana</t>
  </si>
  <si>
    <t>PZ73 -- .W37 2011eb</t>
  </si>
  <si>
    <t>Boycotts -- Fiction.; Fast food restaurants -- Fiction.; Health -- Fiction.; Nutrition -- Fiction.; Student movements -- Fiction.</t>
  </si>
  <si>
    <t>http://public.eblib.com/choice/PublicFullRecord.aspx?p=766154</t>
  </si>
  <si>
    <t>Benched</t>
  </si>
  <si>
    <t>Watson, Cristy</t>
  </si>
  <si>
    <t>PR9199.4.W38 -- B46 2011eb</t>
  </si>
  <si>
    <t>Gangs -- Juvenile fiction.; Juvenile delinquency -- Juvenile fiction.; Theft -- Juvenile fiction.</t>
  </si>
  <si>
    <t>http://public.eblib.com/choice/PublicFullRecord.aspx?p=766155</t>
  </si>
  <si>
    <t>Generation Us : The Challenge of Global Warming</t>
  </si>
  <si>
    <t>Weaver, Andrew</t>
  </si>
  <si>
    <t>Science; Language/Linguistics; Science: Physics</t>
  </si>
  <si>
    <t>QC981.8.G56 -- W47 2011eb</t>
  </si>
  <si>
    <t>428.6/2</t>
  </si>
  <si>
    <t>Global warming.; High interest-low vocabulary books.; Readers (Adult)</t>
  </si>
  <si>
    <t>http://public.eblib.com/choice/PublicFullRecord.aspx?p=766156</t>
  </si>
  <si>
    <t>Alligator, Bear, Crab : A Baby's ABC</t>
  </si>
  <si>
    <t>Petcher, Lesley</t>
  </si>
  <si>
    <t>Language/Linguistics; Science: Zoology; Science; Juvenile Literature</t>
  </si>
  <si>
    <t>QL49 -- .W96 2011eb</t>
  </si>
  <si>
    <t>421/.1</t>
  </si>
  <si>
    <t>Alphabet books -- Juvenile literature.; Animals -- Juvenile literature.</t>
  </si>
  <si>
    <t>http://public.eblib.com/choice/PublicFullRecord.aspx?p=766157</t>
  </si>
  <si>
    <t>Ortona Street Fight</t>
  </si>
  <si>
    <t>D763.I82 -- O7893 2011eb</t>
  </si>
  <si>
    <t>Canada. -- Canadian Army. -- Canadian Infantry Division, 1st.; Ortona, Battle of, Ortona, Italy, 1943.</t>
  </si>
  <si>
    <t>http://public.eblib.com/choice/PublicFullRecord.aspx?p=766158</t>
  </si>
  <si>
    <t>Nieve</t>
  </si>
  <si>
    <t>Biblioasis</t>
  </si>
  <si>
    <t>Griggs, Terry; Griggs-Burr, Alexander</t>
  </si>
  <si>
    <t>PR9199.3.G7672 -- N54 2010eb</t>
  </si>
  <si>
    <t>Children''s stories.; Magic -- Juvenile fiction.</t>
  </si>
  <si>
    <t>http://public.eblib.com/choice/PublicFullRecord.aspx?p=769472</t>
  </si>
  <si>
    <t>Cape Breton is the Thought-Control Centre of Canada</t>
  </si>
  <si>
    <t>Smith, Ray; Tolmie, Ken</t>
  </si>
  <si>
    <t>PR9199.3.S55166 -- C37 2006eb</t>
  </si>
  <si>
    <t>Cape Breton Island (N.S.) -- Fiction.</t>
  </si>
  <si>
    <t>http://public.eblib.com/choice/PublicFullRecord.aspx?p=769480</t>
  </si>
  <si>
    <t>Once</t>
  </si>
  <si>
    <t>Rosenblum, Rebecca</t>
  </si>
  <si>
    <t>PR9199.4.R674 -- O53 2008eb</t>
  </si>
  <si>
    <t>Short stories.</t>
  </si>
  <si>
    <t>http://public.eblib.com/choice/PublicFullRecord.aspx?p=769522</t>
  </si>
  <si>
    <t>Diana : A Diary in the Second Person</t>
  </si>
  <si>
    <t>Smith, Russell</t>
  </si>
  <si>
    <t>PR9199.3.S553 -- D53 2008eb</t>
  </si>
  <si>
    <t>Erotic literature.</t>
  </si>
  <si>
    <t>http://public.eblib.com/choice/PublicFullRecord.aspx?p=769524</t>
  </si>
  <si>
    <t>The Idler's Glossary</t>
  </si>
  <si>
    <t>Glenn, Joshua; Kingwell, Mark</t>
  </si>
  <si>
    <t>Social Science; Business/Management; Psychology</t>
  </si>
  <si>
    <t>HD4904 -- .G54 2008eb</t>
  </si>
  <si>
    <t>158; 306.36</t>
  </si>
  <si>
    <t>Work -- Philosophy -- Humor.; Work -- Philosophy -- Terminology.; Work -- Social aspects -- Humor.; Work -- Social aspects -- Terminology.</t>
  </si>
  <si>
    <t>http://public.eblib.com/choice/PublicFullRecord.aspx?p=771756</t>
  </si>
  <si>
    <t>Beauty Plus Pity</t>
  </si>
  <si>
    <t>PS8555.H648 -- B43 2011eb</t>
  </si>
  <si>
    <t>Family secrets -- Fiction.; Fathers and sons -- Fiction.; Illegitimate children -- Fiction.</t>
  </si>
  <si>
    <t>http://public.eblib.com/choice/PublicFullRecord.aspx?p=771792</t>
  </si>
  <si>
    <t>Be Good, Sweet Maid : The Trials of Dorothy Joudrie</t>
  </si>
  <si>
    <t>Andrews, Audrey</t>
  </si>
  <si>
    <t>KF224.J48 -- A64 1999eb</t>
  </si>
  <si>
    <t>345.71/025</t>
  </si>
  <si>
    <t>Electronic books. -- local; Joudrie, Dorothy -- Trials, litigation, etc.; Trials (Attempted murder) -- Alberta -- Calgary.</t>
  </si>
  <si>
    <t>http://public.eblib.com/choice/PublicFullRecord.aspx?p=772373</t>
  </si>
  <si>
    <t>Making Do : Women, Family and Home in Montreal during the Great Depression</t>
  </si>
  <si>
    <t>Baillargeon, Denyse; Klein, Yvonne</t>
  </si>
  <si>
    <t>HQ1459.Q8 -- B3413 1999eb</t>
  </si>
  <si>
    <t>305.43/649/09714</t>
  </si>
  <si>
    <t>Depressions -- 1929 -- Québec (Province); Housewives -- Québec (Province) -- History.; Housewives -- Québec (Province) -- Montréal -- History.; Montréal (Québec) -- Social conditions -- 20th century.; Women -- Québec (Province) -- Economic conditions.; Women -- Québec (Province) -- Social conditions.</t>
  </si>
  <si>
    <t>http://public.eblib.com/choice/PublicFullRecord.aspx?p=772374</t>
  </si>
  <si>
    <t>McKee Rankin and the Heyday of the American Theater</t>
  </si>
  <si>
    <t>Beasley, David</t>
  </si>
  <si>
    <t>PN2287.R245 -- B43 2002eb</t>
  </si>
  <si>
    <t>Actors -- United States -- Biography.; Electronic books. -- local; Rankin, McKee, -- 1844-1914.; Theater -- United States -- History -- 19th century.; Theatrical managers -- United States -- Biography.</t>
  </si>
  <si>
    <t>http://public.eblib.com/choice/PublicFullRecord.aspx?p=772376</t>
  </si>
  <si>
    <t>Memoirs from Away : A New Found Land Girlhood</t>
  </si>
  <si>
    <t>Buss / Margaret Clarke, Helen M.; Clarke, Helen</t>
  </si>
  <si>
    <t>PR9183.B87 -- A3 1999eb</t>
  </si>
  <si>
    <t>C818/.5409</t>
  </si>
  <si>
    <t>Buss, Helen M. -- Childhood and youth.; Electronic books. -- local; Newfoundland and Labrador -- Biography.; Women authors, Canadian -- 20th century.</t>
  </si>
  <si>
    <t>http://public.eblib.com/choice/PublicFullRecord.aspx?p=772384</t>
  </si>
  <si>
    <t>Writing in Our Time : Canada’s Radical Poetries in English (1957-2003)</t>
  </si>
  <si>
    <t>Butling, Pauline; Rudy, Susan</t>
  </si>
  <si>
    <t>PS8155 -- .B88 2005eb</t>
  </si>
  <si>
    <t>C811/.540911</t>
  </si>
  <si>
    <t>Avant-garde (Aesthetics); Electronic books. -- local; Experimental poetry, Canadian -- History and criticism.</t>
  </si>
  <si>
    <t>http://public.eblib.com/choice/PublicFullRecord.aspx?p=772385</t>
  </si>
  <si>
    <t>Moving Toward Positive Systems of Child and Family Welfare : Current Issues and Future Directions</t>
  </si>
  <si>
    <t>Cameron, Gary; Coady, Nick; Adams, Gerald R.</t>
  </si>
  <si>
    <t>HV745.A6 -- M69 2007eb</t>
  </si>
  <si>
    <t>Child welfare -- Canada.; Electronic books. -- local; Family services -- Canada.; Family social work -- Canada.; Social work with children -- Canada.</t>
  </si>
  <si>
    <t>http://public.eblib.com/choice/PublicFullRecord.aspx?p=772387</t>
  </si>
  <si>
    <t>Incorrigible</t>
  </si>
  <si>
    <t>Demerson, Velma</t>
  </si>
  <si>
    <t>HV9505.D44 -- A3 2004eb</t>
  </si>
  <si>
    <t>365/.43/092</t>
  </si>
  <si>
    <t>Demerson, Velma, -- 1920-; Electronic books. -- local; Interracial dating -- Ontario.; Women prisoners -- Ontario -- Biography.</t>
  </si>
  <si>
    <t>http://public.eblib.com/choice/PublicFullRecord.aspx?p=772395</t>
  </si>
  <si>
    <t>Thanks for Listening : Stories and Short Fictions by Ernest Buckler</t>
  </si>
  <si>
    <t>Dvorák, Marta; Buckler, Ernest</t>
  </si>
  <si>
    <t>PR9199.3.B763 -- T4 2004eb</t>
  </si>
  <si>
    <t>Buckler, Ernest.; Country life -- Fiction.; Electronic books. -- local</t>
  </si>
  <si>
    <t>http://public.eblib.com/choice/PublicFullRecord.aspx?p=772397</t>
  </si>
  <si>
    <t>Women in God’s Army : Gender and Equality in the Early Salvation Army</t>
  </si>
  <si>
    <t>Eason, Andrew Mark</t>
  </si>
  <si>
    <t>BX9721.3 -- .E28 2003eb</t>
  </si>
  <si>
    <t>287.9/6/0820941</t>
  </si>
  <si>
    <t>Electronic books. -- local; Sexism in religion -- Great Britain.; Women and religion.</t>
  </si>
  <si>
    <t>http://public.eblib.com/choice/PublicFullRecord.aspx?p=772398</t>
  </si>
  <si>
    <t>Before the First Word : The Poetry of Lorna Crozier</t>
  </si>
  <si>
    <t>Hunter, Catherine; Crozier, Lorna; Crozier, Lorna</t>
  </si>
  <si>
    <t>PR9199.3.C714 -- .B44 2005eb</t>
  </si>
  <si>
    <t>Canadian poetry.; Crozier, Lorna, -- 1948-; Electronic books. -- local</t>
  </si>
  <si>
    <t>http://public.eblib.com/choice/PublicFullRecord.aspx?p=772408</t>
  </si>
  <si>
    <t>Tracing the Autobiographical</t>
  </si>
  <si>
    <t>Kadar, Marlene; Warley, Linda; Perreault, Jeanne</t>
  </si>
  <si>
    <t>PN56.A89 -- T72 2005eb</t>
  </si>
  <si>
    <t>Autobiography in literature.; Autobiography.; Electronic books. -- local</t>
  </si>
  <si>
    <t>http://public.eblib.com/choice/PublicFullRecord.aspx?p=772411</t>
  </si>
  <si>
    <t>Dancing Fear and Desire : Race, Sexuality, and Imperial Politics in Middle Eastern Dance</t>
  </si>
  <si>
    <t>Karayanni, Stavros Stavrou</t>
  </si>
  <si>
    <t>GV1798.5 -- .K37 2004eb</t>
  </si>
  <si>
    <t>Belly dance -- Greece.; Belly dance -- Middle East.; Belly dance -- Political aspects.; Belly dance -- Social aspects.; Gender identity in dance.; Homosexuality and dance.; Male dancers.</t>
  </si>
  <si>
    <t>http://public.eblib.com/choice/PublicFullRecord.aspx?p=772412</t>
  </si>
  <si>
    <t>Luther and the Radicals : Another Look at Some Aspects of the Struggle Between Luther and the Radical Reformers</t>
  </si>
  <si>
    <t>Loewen, Harry</t>
  </si>
  <si>
    <t>BR334.2 -- .L6 1974eb</t>
  </si>
  <si>
    <t>270.6; 270.6/092; 270.6/092/4</t>
  </si>
  <si>
    <t>Electronic books. -- local; Reformation.</t>
  </si>
  <si>
    <t>http://public.eblib.com/choice/PublicFullRecord.aspx?p=772418</t>
  </si>
  <si>
    <t>Language of Canadian Politics : A Guide to Important Terms and Concepts, 4th edition</t>
  </si>
  <si>
    <t>McMenemy, John</t>
  </si>
  <si>
    <t>JA61 -- .M33 2006eb</t>
  </si>
  <si>
    <t>320.971/03</t>
  </si>
  <si>
    <t>Canada -- Politics and government -- Dictionaries.; Electronic books. -- local; Political science.</t>
  </si>
  <si>
    <t>http://public.eblib.com/choice/PublicFullRecord.aspx?p=772421</t>
  </si>
  <si>
    <t>Slippery Pastimes : Reading the Popular in Canadian Culture</t>
  </si>
  <si>
    <t>Nicks, Joan; Sloniowski, Jeannette</t>
  </si>
  <si>
    <t>F1021 -- .S57 2002eb</t>
  </si>
  <si>
    <t>Canada -- Civilization.; Electronic books. -- local; Popular culture -- Canada.</t>
  </si>
  <si>
    <t>http://public.eblib.com/choice/PublicFullRecord.aspx?p=772424</t>
  </si>
  <si>
    <t>Fierce Departures : The Poetry of Dionne Brand</t>
  </si>
  <si>
    <t>Sanders, Leslie C.</t>
  </si>
  <si>
    <t>PR9199.3 .B683 F54 2009</t>
  </si>
  <si>
    <t>Brand, Dionne, -- 1953-; Canada -- Poetry.; Canadian literature.; Canadian poetry.</t>
  </si>
  <si>
    <t>http://public.eblib.com/choice/PublicFullRecord.aspx?p=772429</t>
  </si>
  <si>
    <t>Canada and the Métis, 1869-1885</t>
  </si>
  <si>
    <t>Sprague, D. N.; Berger, Thomas R.</t>
  </si>
  <si>
    <t>E99.M47 -- S66 1988eb</t>
  </si>
  <si>
    <t>971.27; 971.27/01092</t>
  </si>
  <si>
    <t>Canada -- History -- 19th century.; Electronic books. -- local; Indians of North America -- Canada -- Government relations.; Métis -- Government relations.</t>
  </si>
  <si>
    <t>http://public.eblib.com/choice/PublicFullRecord.aspx?p=772431</t>
  </si>
  <si>
    <t>Trying to Get It Back : Indigenous Women, Education and Culture</t>
  </si>
  <si>
    <t>Weiss, Gillian</t>
  </si>
  <si>
    <t>HN843.5 .T795 2000</t>
  </si>
  <si>
    <t>Women, Adnyamathanha--Social conditions.</t>
  </si>
  <si>
    <t>http://public.eblib.com/choice/PublicFullRecord.aspx?p=772438</t>
  </si>
  <si>
    <t>Canadian Social Policy : Issues and Perspectives, 3rd edition</t>
  </si>
  <si>
    <t>Westhues, Anne</t>
  </si>
  <si>
    <t>HN107 -- .C35 2003eb</t>
  </si>
  <si>
    <t>Canada -- Politique sociale.; Canada -- Social policy.</t>
  </si>
  <si>
    <t>http://public.eblib.com/choice/PublicFullRecord.aspx?p=772439</t>
  </si>
  <si>
    <t>Thought You Were Dead : A Novel</t>
  </si>
  <si>
    <t>Griggs, Terry; Craine, Nick</t>
  </si>
  <si>
    <t>PR9199.3.G7672 -- T46 2009eb</t>
  </si>
  <si>
    <t>Detective and mystery stories.</t>
  </si>
  <si>
    <t>http://public.eblib.com/choice/PublicFullRecord.aspx?p=773298</t>
  </si>
  <si>
    <t>Selected Essays</t>
  </si>
  <si>
    <t>Blaise, Clark; Metcalf, John; Struthers, J. R. (Tim)</t>
  </si>
  <si>
    <t>PR9199.3.B48 -- A6 2008eb</t>
  </si>
  <si>
    <t>814/.54</t>
  </si>
  <si>
    <t>Canadian literature -- 20th century.</t>
  </si>
  <si>
    <t>http://public.eblib.com/choice/PublicFullRecord.aspx?p=773301</t>
  </si>
  <si>
    <t>Hitting the Charts : Selected Stories</t>
  </si>
  <si>
    <t>Rooke, Leon; Metcalf, John</t>
  </si>
  <si>
    <t>PS3568.O6 -- H58 2006eb</t>
  </si>
  <si>
    <t>http://public.eblib.com/choice/PublicFullRecord.aspx?p=773302</t>
  </si>
  <si>
    <t>Kahn &amp; Engelmann : A Novel</t>
  </si>
  <si>
    <t>Biblioasis International Translation Series</t>
  </si>
  <si>
    <t>Eichner, Hans; Snook, Jean M.</t>
  </si>
  <si>
    <t>PT3919.E39 -- K3413 2009eb</t>
  </si>
  <si>
    <t>C833/.92</t>
  </si>
  <si>
    <t>Austria -- History -- 20th century -- Fiction.; Jews -- Austria -- Vienna -- Fiction.; Vienna (Austria) -- History -- Fiction.</t>
  </si>
  <si>
    <t>http://public.eblib.com/choice/PublicFullRecord.aspx?p=773307</t>
  </si>
  <si>
    <t>The Lily Pond : A Memoir of Madness, Memory, Myth and Metamorphosis</t>
  </si>
  <si>
    <t>Barnes, Mike</t>
  </si>
  <si>
    <t>Literature; Medicine</t>
  </si>
  <si>
    <t>PR9199.3.B3725 -- Z465 2008eb</t>
  </si>
  <si>
    <t>616.89/50092</t>
  </si>
  <si>
    <t>Barnes, Mike, -- 1955-; Manic-depressive persons -- Canada -- Biography.</t>
  </si>
  <si>
    <t>http://public.eblib.com/choice/PublicFullRecord.aspx?p=773313</t>
  </si>
  <si>
    <t>Dragonflies</t>
  </si>
  <si>
    <t>Buday, Grant</t>
  </si>
  <si>
    <t>PR9199.3.B7636 -- D73 2008eb</t>
  </si>
  <si>
    <t>Trojan War -- Fiction.; Troy (Extinct city) -- Fiction.</t>
  </si>
  <si>
    <t>http://public.eblib.com/choice/PublicFullRecord.aspx?p=773321</t>
  </si>
  <si>
    <t>Join the Revolution, Comrade : Journeys and Essays</t>
  </si>
  <si>
    <t>Foran, Charles</t>
  </si>
  <si>
    <t>PR9199.3.F5669 -- J65 2008eb</t>
  </si>
  <si>
    <t>Foran, Charles, -- 1960-; Foran, Charles, -- 1960- -- Travel.</t>
  </si>
  <si>
    <t>http://public.eblib.com/choice/PublicFullRecord.aspx?p=773326</t>
  </si>
  <si>
    <t>Quickening</t>
  </si>
  <si>
    <t>Griggs, Terry</t>
  </si>
  <si>
    <t>PR9199.3.G7672 -- G75 2009eb</t>
  </si>
  <si>
    <t>http://public.eblib.com/choice/PublicFullRecord.aspx?p=773331</t>
  </si>
  <si>
    <t>Saltsea</t>
  </si>
  <si>
    <t>Helwig, David</t>
  </si>
  <si>
    <t>PR9199.3.H445 -- S25 2006eb</t>
  </si>
  <si>
    <t>Hotels -- Fiction.; Prince Edward Island -- Fiction.</t>
  </si>
  <si>
    <t>http://public.eblib.com/choice/PublicFullRecord.aspx?p=773334</t>
  </si>
  <si>
    <t>A Report on the Afterlife of Culture</t>
  </si>
  <si>
    <t>Henighan, Stephen</t>
  </si>
  <si>
    <t>PR9199.3.H4515 -- R46 2008eb</t>
  </si>
  <si>
    <t>C814/.54</t>
  </si>
  <si>
    <t>Culture.; Globalization -- Social aspects.; Literature -- History and criticism.</t>
  </si>
  <si>
    <t>http://public.eblib.com/choice/PublicFullRecord.aspx?p=773335</t>
  </si>
  <si>
    <t>Cold-Cocked : On Hockey</t>
  </si>
  <si>
    <t>Jackson, Lorna</t>
  </si>
  <si>
    <t>GV847 -- .J33 2007eb</t>
  </si>
  <si>
    <t>Hockey -- Social aspects.; Hockey.; National Hockey League.</t>
  </si>
  <si>
    <t>http://public.eblib.com/choice/PublicFullRecord.aspx?p=773338</t>
  </si>
  <si>
    <t>Flirt : The Interviews</t>
  </si>
  <si>
    <t>PR9199.3.J3725 -- F56 2008eb</t>
  </si>
  <si>
    <t>Imaginary interviews.</t>
  </si>
  <si>
    <t>http://public.eblib.com/choice/PublicFullRecord.aspx?p=773339</t>
  </si>
  <si>
    <t>Crossings</t>
  </si>
  <si>
    <t>Lambert, Betty</t>
  </si>
  <si>
    <t>PR9199.3.L285 -- C76 2011eb</t>
  </si>
  <si>
    <t>Man-woman relationships -- Fiction.</t>
  </si>
  <si>
    <t>http://public.eblib.com/choice/PublicFullRecord.aspx?p=773343</t>
  </si>
  <si>
    <t>Going Down Slow</t>
  </si>
  <si>
    <t>Metcalf, John</t>
  </si>
  <si>
    <t>PR9199.3.M45 -- G65 2007eb</t>
  </si>
  <si>
    <t>Canada -- Fiction.; Teachers -- Fiction.</t>
  </si>
  <si>
    <t>http://public.eblib.com/choice/PublicFullRecord.aspx?p=773345</t>
  </si>
  <si>
    <t>Little Eurekas : A Decade's Thoughts on Poetry</t>
  </si>
  <si>
    <t>Sarah, Robyn</t>
  </si>
  <si>
    <t>PR9190.2 -- .S27 2007eb</t>
  </si>
  <si>
    <t>811.009; 811.0099287</t>
  </si>
  <si>
    <t>Canadian poetry -- History and criticism.; Poetics.; Poetry -- History and criticism.</t>
  </si>
  <si>
    <t>http://public.eblib.com/choice/PublicFullRecord.aspx?p=773353</t>
  </si>
  <si>
    <t>Yesterday's People</t>
  </si>
  <si>
    <t>Simic, Goran</t>
  </si>
  <si>
    <t>Literature; Language/Linguistics; Fiction</t>
  </si>
  <si>
    <t>PG1419.29.I36 -- Y47 2005eb</t>
  </si>
  <si>
    <t>Emigration and immigration -- Fiction.; Sarajevo (Bosnia and Hercegovina) -- History -- Siege, 1992-1996 -- Fiction.</t>
  </si>
  <si>
    <t>http://public.eblib.com/choice/PublicFullRecord.aspx?p=773354</t>
  </si>
  <si>
    <t>The Flush of Victory : Jack Bottomly Among the Virgins</t>
  </si>
  <si>
    <t>Smith, Ray</t>
  </si>
  <si>
    <t>PR9199.3.S55166 -- F58 2007eb</t>
  </si>
  <si>
    <t>Spy stories.</t>
  </si>
  <si>
    <t>http://public.eblib.com/choice/PublicFullRecord.aspx?p=773355</t>
  </si>
  <si>
    <t>boYs</t>
  </si>
  <si>
    <t>Winter, Kathleen</t>
  </si>
  <si>
    <t>PR9199.3.W513 -- B69 2007eb</t>
  </si>
  <si>
    <t>http://public.eblib.com/choice/PublicFullRecord.aspx?p=773361</t>
  </si>
  <si>
    <t>Dance With Snakes</t>
  </si>
  <si>
    <t>Moya, Horatio Castellanos; Springer, Lee Paula; Springer,</t>
  </si>
  <si>
    <t>PQ7539.2.C34 -- B3413 2009eb</t>
  </si>
  <si>
    <t>http://public.eblib.com/choice/PublicFullRecord.aspx?p=775990</t>
  </si>
  <si>
    <t>What Boys Like : and Other Stories</t>
  </si>
  <si>
    <t>Jones, Amy</t>
  </si>
  <si>
    <t>PR9199.4.J663 -- W48 2009eb</t>
  </si>
  <si>
    <t>http://public.eblib.com/choice/PublicFullRecord.aspx?p=776013</t>
  </si>
  <si>
    <t>Jailbreaks : 99 Canadian Sonnets</t>
  </si>
  <si>
    <t>Wells, Zachariah</t>
  </si>
  <si>
    <t>PR9195.85.S57 -- J35 2008eb</t>
  </si>
  <si>
    <t>808.81/42</t>
  </si>
  <si>
    <t>http://public.eblib.com/choice/PublicFullRecord.aspx?p=776028</t>
  </si>
  <si>
    <t>The End of the Ice Age</t>
  </si>
  <si>
    <t>Young, Terence</t>
  </si>
  <si>
    <t>PR9199.3.Y685 -- E54 2010eb</t>
  </si>
  <si>
    <t>http://public.eblib.com/choice/PublicFullRecord.aspx?p=776034</t>
  </si>
  <si>
    <t>Farmstead Chef</t>
  </si>
  <si>
    <t>Ivanko, John D.; Kivirist, Lisa; Kivirist,</t>
  </si>
  <si>
    <t>TX714 -- .I93 2011eb</t>
  </si>
  <si>
    <t>Cooking.; Seasonal cooking.</t>
  </si>
  <si>
    <t>http://public.eblib.com/choice/PublicFullRecord.aspx?p=782086</t>
  </si>
  <si>
    <t>Class Warfare</t>
  </si>
  <si>
    <t>Fraser, D.M.; Osborne, Stephen</t>
  </si>
  <si>
    <t>PR9199.3.F72 -- C53 2011eb</t>
  </si>
  <si>
    <t>Social conflict -- Fiction.; Vancouver (B.C.) -- Fiction.</t>
  </si>
  <si>
    <t>http://public.eblib.com/choice/PublicFullRecord.aspx?p=782094</t>
  </si>
  <si>
    <t>Aquaponic Gardening : A Step-By-Step Guide to Raising Vegetables and Fish Together</t>
  </si>
  <si>
    <t>Bernstein, Sylvia</t>
  </si>
  <si>
    <t>SH37 -- .B47 2011eb</t>
  </si>
  <si>
    <t>635.048; 639.4</t>
  </si>
  <si>
    <t>Aquaculture.; Hydroponics.</t>
  </si>
  <si>
    <t>http://public.eblib.com/choice/PublicFullRecord.aspx?p=782106</t>
  </si>
  <si>
    <t>Vancouver Special</t>
  </si>
  <si>
    <t>Demers, Charles</t>
  </si>
  <si>
    <t>F1089.5.V22 -- D45 2009eb</t>
  </si>
  <si>
    <t>971.1/33; 971.133</t>
  </si>
  <si>
    <t>Vancouver (B.C.); Vancouver (B.C.) -- History.</t>
  </si>
  <si>
    <t>http://public.eblib.com/choice/PublicFullRecord.aspx?p=782116</t>
  </si>
  <si>
    <t>Housing Reclaimed : Sustainable Homes for Next to Nothing</t>
  </si>
  <si>
    <t>Kellner, Jessica</t>
  </si>
  <si>
    <t>Architecture; Business/Management; Economics</t>
  </si>
  <si>
    <t>HD7287.55 -- .K45 2011eb</t>
  </si>
  <si>
    <t>332.722; 728.37047</t>
  </si>
  <si>
    <t>Building materials -- Recycling.; Ecological houses.; House construction.; Housing -- Finance.</t>
  </si>
  <si>
    <t>http://public.eblib.com/choice/PublicFullRecord.aspx?p=782151</t>
  </si>
  <si>
    <t>Shut Up He Explained : A Literary Memoir</t>
  </si>
  <si>
    <t>PR9199.3.M45 -- Z464 2007eb</t>
  </si>
  <si>
    <t>813/.54; B</t>
  </si>
  <si>
    <t>Authors, Canadian -- 20th century -- Biography.; Canadian literature -- 20th century -- History and criticism.; Critics -- Canada -- Biography.; Editors -- Canada -- Biography.; Literature publishing -- Canada -- History -- 20th century.; Metcalf, John, -- 1938-; Porcupine''s Quill, Inc.</t>
  </si>
  <si>
    <t>http://public.eblib.com/choice/PublicFullRecord.aspx?p=782164</t>
  </si>
  <si>
    <t>The Empowerment Manual : A Guide for Collaborative Groups</t>
  </si>
  <si>
    <t>HM716 -- .S73 2011eb</t>
  </si>
  <si>
    <t>302.35; 658.3/14; 658.314</t>
  </si>
  <si>
    <t>Community power.; Leadership.; Social groups.</t>
  </si>
  <si>
    <t>http://public.eblib.com/choice/PublicFullRecord.aspx?p=782186</t>
  </si>
  <si>
    <t>Techno-Fix : Why Technology Won't Save Us Or the Environment</t>
  </si>
  <si>
    <t>Huesemann, Michael; Huesemann, Joyce</t>
  </si>
  <si>
    <t>T14.5 -- .H84 2011eb</t>
  </si>
  <si>
    <t>303.483; 306.46</t>
  </si>
  <si>
    <t>Technology -- Environmental aspects.; Technology -- Moral and ethical aspects.; Technology -- Social aspects.</t>
  </si>
  <si>
    <t>http://public.eblib.com/choice/PublicFullRecord.aspx?p=784103</t>
  </si>
  <si>
    <t>Uprooting Racism : How White People Can Work for Racial Justice Â 3rd Edition</t>
  </si>
  <si>
    <t>Kivel, Paul</t>
  </si>
  <si>
    <t>E184.A1 -- K58 2011eb</t>
  </si>
  <si>
    <t>305.8; 305.800973</t>
  </si>
  <si>
    <t>Race awareness -- United States.; Racism -- United States.; United States -- Race relations.; Whites -- Race identity -- United States.</t>
  </si>
  <si>
    <t>http://public.eblib.com/choice/PublicFullRecord.aspx?p=784129</t>
  </si>
  <si>
    <t>The Urban Food Revolution : Changing the Way We Feed Cities</t>
  </si>
  <si>
    <t>Ladner, Peter</t>
  </si>
  <si>
    <t>Agriculture; Environmental Studies</t>
  </si>
  <si>
    <t>S494.5.U72 -- L32 2011eb</t>
  </si>
  <si>
    <t>363.705; 630.91732</t>
  </si>
  <si>
    <t>Food supply.; Local foods.; Sustainable agriculture.; Urban agriculture.; Urban health.</t>
  </si>
  <si>
    <t>http://public.eblib.com/choice/PublicFullRecord.aspx?p=784131</t>
  </si>
  <si>
    <t>Simply Imperfect : Revisiting the Wabi-Sabi House</t>
  </si>
  <si>
    <t>Griggs Lawrence, Robyn; Robyn, Griggs</t>
  </si>
  <si>
    <t>NK2113 -- .L39 2011eb</t>
  </si>
  <si>
    <t>747; 747.0952</t>
  </si>
  <si>
    <t>Design -- Japan.; Interior decoration -- Psychological aspects.; Interior decoration -- Themes, motives.; Sabi.; Wabi.; Zen Buddhism -- Influence.</t>
  </si>
  <si>
    <t>http://public.eblib.com/choice/PublicFullRecord.aspx?p=787796</t>
  </si>
  <si>
    <t>Homegrown and Handmade : A Practical Guide to More Self-Reliant Living</t>
  </si>
  <si>
    <t>Niemann, Deborah</t>
  </si>
  <si>
    <t>Environmental Studies; Agriculture</t>
  </si>
  <si>
    <t>GF78 -- .N54 2011eb</t>
  </si>
  <si>
    <t>Self-reliant living.</t>
  </si>
  <si>
    <t>http://public.eblib.com/choice/PublicFullRecord.aspx?p=787797</t>
  </si>
  <si>
    <t>The Imaginary Indian : The Image of the Indian in Canadian Culture</t>
  </si>
  <si>
    <t>E78.C2 -- F73 2011eb</t>
  </si>
  <si>
    <t>305.897; 305.897071</t>
  </si>
  <si>
    <t>Indian mass media -- Canada.; Indians in popular culture -- Canada.; Indians of North America -- Canada -- Public opinion.; Public opinion -- Canada.</t>
  </si>
  <si>
    <t>http://public.eblib.com/choice/PublicFullRecord.aspx?p=787801</t>
  </si>
  <si>
    <t>Solar Electricity Basics : A Green Energy Guide</t>
  </si>
  <si>
    <t>Engineering: Electrical; Engineering</t>
  </si>
  <si>
    <t>TK1087 -- .C453 2010eb</t>
  </si>
  <si>
    <t>Electronic books. -- local; Photovoltaic power generation.; Solar energy.</t>
  </si>
  <si>
    <t>http://public.eblib.com/choice/PublicFullRecord.aspx?p=793905</t>
  </si>
  <si>
    <t>The David Suzuki Reader : A Lifetime of Ideas from a Leading Activist and Thinker</t>
  </si>
  <si>
    <t>Suzuki, David; McKibben, Bill</t>
  </si>
  <si>
    <t>GF50 -- .S89 2003eb</t>
  </si>
  <si>
    <t>Avarice.; Consumption (Economics); Environmental ethics.; Globalization.; Human ecology -- Economic aspects.; Human ecology -- Political aspects.; Philosophy of nature.</t>
  </si>
  <si>
    <t>http://public.eblib.com/choice/PublicFullRecord.aspx?p=801036</t>
  </si>
  <si>
    <t>Brown Dwarf</t>
  </si>
  <si>
    <t>Miller, K.D.</t>
  </si>
  <si>
    <t>PR9199.3.M472 -- B76 2010eb</t>
  </si>
  <si>
    <t>Detective and mystery stories.; Friendship -- Fiction.</t>
  </si>
  <si>
    <t>http://public.eblib.com/choice/PublicFullRecord.aspx?p=801038</t>
  </si>
  <si>
    <t>Mobilités culturelles - Cultural Mobilities</t>
  </si>
  <si>
    <t>Transferts culturels</t>
  </si>
  <si>
    <t>Gin, Pascal; Moser, Walter</t>
  </si>
  <si>
    <t>NX650.M69.B746 2011</t>
  </si>
  <si>
    <t>Arts, Canadian--21st century.</t>
  </si>
  <si>
    <t>http://public.eblib.com/choice/PublicFullRecord.aspx?p=805153</t>
  </si>
  <si>
    <t>Escape Velocity</t>
  </si>
  <si>
    <t>PR9199.4.S84 -- E73 2011eb</t>
  </si>
  <si>
    <t>Canada -- Juvenile fiction.; Families -- Juvenile fiction.; Family secrets -- Juvenile fiction.; Mothers and daughters -- Juvenile fiction.; Teenage girls -- Juvenile fiction.</t>
  </si>
  <si>
    <t>http://public.eblib.com/choice/PublicFullRecord.aspx?p=821620</t>
  </si>
  <si>
    <t>Wildcat Run</t>
  </si>
  <si>
    <t>PR9199.4.B38 -- W55 2011eb</t>
  </si>
  <si>
    <t>Rescue work -- Juvenile fiction.; Skis and skiing -- Juvenile fiction.</t>
  </si>
  <si>
    <t>http://public.eblib.com/choice/PublicFullRecord.aspx?p=821621</t>
  </si>
  <si>
    <t>Power Chord</t>
  </si>
  <si>
    <t>Staunton, Ted</t>
  </si>
  <si>
    <t>PZ7.S8076 -- Po 2011eb</t>
  </si>
  <si>
    <t>Bands (Music) -- Juvenile fiction.; Contests -- Juvenile fiction.; Performing arts -- Juvenile fiction.; Plagiarism -- Juvenile fiction.; Rock music -- Juvenile fiction.</t>
  </si>
  <si>
    <t>http://public.eblib.com/choice/PublicFullRecord.aspx?p=821622</t>
  </si>
  <si>
    <t>Redline</t>
  </si>
  <si>
    <t>PR9199.4.V36 -- R43 2011eb</t>
  </si>
  <si>
    <t>Automobile racing.; Grief.; Guilt.; Self-destructive behavior.</t>
  </si>
  <si>
    <t>http://public.eblib.com/choice/PublicFullRecord.aspx?p=821623</t>
  </si>
  <si>
    <t>Infiltration</t>
  </si>
  <si>
    <t>Rodman, Sean</t>
  </si>
  <si>
    <t>PR9199.4.R63 -- I54 2011eb</t>
  </si>
  <si>
    <t>Peer pressure in adolescence -- Fiction.; Values in adolescence -- Fiction.</t>
  </si>
  <si>
    <t>http://public.eblib.com/choice/PublicFullRecord.aspx?p=821624</t>
  </si>
  <si>
    <t>Addy's Race</t>
  </si>
  <si>
    <t>Waldman, Debby</t>
  </si>
  <si>
    <t>PR9199.4.W35 -- A33 2011eb</t>
  </si>
  <si>
    <t>Deaf -- Fiction.; Hearing impaired -- Fiction.; People with disabilities -- Fiction.; Running -- Fiction.</t>
  </si>
  <si>
    <t>http://public.eblib.com/choice/PublicFullRecord.aspx?p=821625</t>
  </si>
  <si>
    <t>Rock &amp; Roll Literacy</t>
  </si>
  <si>
    <t>Brouwer, Sigmund</t>
  </si>
  <si>
    <t>LB1050 -- .B76 2011eb</t>
  </si>
  <si>
    <t>Creative writing -- Study and teaching.; Literacy -- Study and teaching.; Reading.</t>
  </si>
  <si>
    <t>http://public.eblib.com/choice/PublicFullRecord.aspx?p=821626</t>
  </si>
  <si>
    <t>The Yo-Yo Prophet</t>
  </si>
  <si>
    <t>Krossing, Karen</t>
  </si>
  <si>
    <t>PR9199.4.K76 -- Y6 2011eb</t>
  </si>
  <si>
    <t>Fortune-telling -- Juvenile fiction.; Yo-yos -- Juvenile fiction.</t>
  </si>
  <si>
    <t>http://public.eblib.com/choice/PublicFullRecord.aspx?p=821627</t>
  </si>
  <si>
    <t>Fit to Kill</t>
  </si>
  <si>
    <t>PR9199.3.H4513 -- F58 2011eb</t>
  </si>
  <si>
    <t>http://public.eblib.com/choice/PublicFullRecord.aspx?p=821628</t>
  </si>
  <si>
    <t>Charlie's Key</t>
  </si>
  <si>
    <t>Mills, Rob</t>
  </si>
  <si>
    <t>PR9199.4.M56 -- C53 2011eb</t>
  </si>
  <si>
    <t>Family secrets -- Fiction.; Orphans -- Fiction.</t>
  </si>
  <si>
    <t>http://public.eblib.com/choice/PublicFullRecord.aspx?p=821629</t>
  </si>
  <si>
    <t>Orchestrated Murder</t>
  </si>
  <si>
    <t>Blechta, Rick</t>
  </si>
  <si>
    <t>PR9199.4.B54 -- O73 2011eb</t>
  </si>
  <si>
    <t>Murder -- Investigation -- Fiction.; Symphony orchestras -- Fiction.</t>
  </si>
  <si>
    <t>http://public.eblib.com/choice/PublicFullRecord.aspx?p=821630</t>
  </si>
  <si>
    <t>The Next Sure Thing</t>
  </si>
  <si>
    <t>PR9199.3.W316 -- N49 2011eb</t>
  </si>
  <si>
    <t>Blues musicians -- Fiction.; Horse racing -- Betting -- Fiction.</t>
  </si>
  <si>
    <t>http://public.eblib.com/choice/PublicFullRecord.aspx?p=821631</t>
  </si>
  <si>
    <t>Fallout</t>
  </si>
  <si>
    <t>PR9199.4.T38 -- F36 2011eb</t>
  </si>
  <si>
    <t>Grief -- Juvenile fiction.; Poetry slams.; Poets -- Juvenile fiction.; Sisters -- Death -- Juvenile fiction.</t>
  </si>
  <si>
    <t>http://public.eblib.com/choice/PublicFullRecord.aspx?p=821632</t>
  </si>
  <si>
    <t>Catboy</t>
  </si>
  <si>
    <t>PR9199.4.W35 -- C38 2011eb</t>
  </si>
  <si>
    <t>Cats -- Juvenile fiction.</t>
  </si>
  <si>
    <t>http://public.eblib.com/choice/PublicFullRecord.aspx?p=821633</t>
  </si>
  <si>
    <t>Nowhere Else on Earth : Standing Tall for the Great Bear Rainforest</t>
  </si>
  <si>
    <t>Vernon, Caitlyn</t>
  </si>
  <si>
    <t>QH106.2.B7 -- V47 2011eb</t>
  </si>
  <si>
    <t>j577.34/097111</t>
  </si>
  <si>
    <t>Environmental protection -- Citizen participation -- Juvenile literature.; Great Bear Rainforest (B.C.) -- Juvenile literature.; Indians of North America -- British Columbia -- Juvenile literature.; Rain forest conservation -- British Columbia -- Juvenile literature.; Rain forest ecology -- British Columbia -- Juvenile literature.; Temperate rain forests -- British Columbia -- Juvenile literature.</t>
  </si>
  <si>
    <t>http://public.eblib.com/choice/PublicFullRecord.aspx?p=821634</t>
  </si>
  <si>
    <t>All Good Children</t>
  </si>
  <si>
    <t>PR9199.4.A97 -- A45 2011eb</t>
  </si>
  <si>
    <t>Individuality -- Juvenile fiction.; Survival -- Juvenile fiction.</t>
  </si>
  <si>
    <t>http://public.eblib.com/choice/PublicFullRecord.aspx?p=821635</t>
  </si>
  <si>
    <t>I Owe You One</t>
  </si>
  <si>
    <t>Hyde, Natalie</t>
  </si>
  <si>
    <t>PR9199.4.H93 -- I1 2011eb</t>
  </si>
  <si>
    <t>Boys -- Juvenile fiction.; Rescue work -- Juvenile fiction.</t>
  </si>
  <si>
    <t>http://public.eblib.com/choice/PublicFullRecord.aspx?p=821636</t>
  </si>
  <si>
    <t>Box of Shocks</t>
  </si>
  <si>
    <t>PR9199.4.M36 -- B69 2011eb</t>
  </si>
  <si>
    <t>Family secrets -- Juvenile fiction.</t>
  </si>
  <si>
    <t>http://public.eblib.com/choice/PublicFullRecord.aspx?p=821637</t>
  </si>
  <si>
    <t>The Elephant Mountains</t>
  </si>
  <si>
    <t>Ely, Scott</t>
  </si>
  <si>
    <t>PR9199.4.E59 -- E54 2011eb</t>
  </si>
  <si>
    <t>Delta (Miss. : Region) -- Juvenile fiction.; Floods -- Juvenile fiction.; Hurricanes -- Mississippi -- Delta (Region) -- Juvenile fiction.; Teenage boys -- Juvenile fiction.; Wilderness survival -- Juvenile fiction.; Women college students -- Juvenile fiction.</t>
  </si>
  <si>
    <t>http://public.eblib.com/choice/PublicFullRecord.aspx?p=821638</t>
  </si>
  <si>
    <t>Stuff We All Get</t>
  </si>
  <si>
    <t>PZ7.D42480 -- St 2011eb</t>
  </si>
  <si>
    <t>Musicians -- Fiction.; Synesthesia -- Fiction.</t>
  </si>
  <si>
    <t>http://public.eblib.com/choice/PublicFullRecord.aspx?p=821639</t>
  </si>
  <si>
    <t>Farmed Out</t>
  </si>
  <si>
    <t>Goerzen, Christy</t>
  </si>
  <si>
    <t>PZ7.G5555 -- Far 2011eb</t>
  </si>
  <si>
    <t>Artists -- Fiction.; Contests -- Fiction.; Farm life -- Fiction.; Mothers and daughters -- Fiction.</t>
  </si>
  <si>
    <t>http://public.eblib.com/choice/PublicFullRecord.aspx?p=821640</t>
  </si>
  <si>
    <t>Count Me In</t>
  </si>
  <si>
    <t>PZ7.L46133 -- Co 2011eb</t>
  </si>
  <si>
    <t>Cousins -- Fiction.; Hiking -- Fiction.</t>
  </si>
  <si>
    <t>http://public.eblib.com/choice/PublicFullRecord.aspx?p=821641</t>
  </si>
  <si>
    <t>Shattered</t>
  </si>
  <si>
    <t>PR9199.4.H37 -- S53 2011eb</t>
  </si>
  <si>
    <t>Accidents -- Juvenile fiction.; Adultery -- Juvenile fiction.; Teenage girls -- Juvenile fiction.</t>
  </si>
  <si>
    <t>http://public.eblib.com/choice/PublicFullRecord.aspx?p=821642</t>
  </si>
  <si>
    <t>Powerslide</t>
  </si>
  <si>
    <t>PZ7.R719689 -- Po 2011eb</t>
  </si>
  <si>
    <t>Skateboarding -- Juvenile fiction.; Stunt performers -- Juvenile fiction.</t>
  </si>
  <si>
    <t>http://public.eblib.com/choice/PublicFullRecord.aspx?p=821643</t>
  </si>
  <si>
    <t>Living Rough</t>
  </si>
  <si>
    <t>PZ7.W3264 -- Li 2011eb</t>
  </si>
  <si>
    <t>Fathers and sons -- Fiction.; Homeless persons -- Fiction.; Poverty -- Fiction.</t>
  </si>
  <si>
    <t>http://public.eblib.com/choice/PublicFullRecord.aspx?p=821644</t>
  </si>
  <si>
    <t>The Shadow Killer</t>
  </si>
  <si>
    <t>Bowen, Gail</t>
  </si>
  <si>
    <t>PR9199.3.B629 -- S53 2011eb</t>
  </si>
  <si>
    <t>Fathers and sons -- Fiction.; Murder -- Fiction.; Radio broadcasters -- Fiction.; Radio talk shows -- Fiction.</t>
  </si>
  <si>
    <t>http://public.eblib.com/choice/PublicFullRecord.aspx?p=821645</t>
  </si>
  <si>
    <t>The 500 Years of Resistance Comic Book</t>
  </si>
  <si>
    <t>Hill, Gord; Churchill, Ward</t>
  </si>
  <si>
    <t>History; Fiction</t>
  </si>
  <si>
    <t>E59.G6 -- H55 2010eb</t>
  </si>
  <si>
    <t>America -- Colonization -- Comic books, strips, etc.; Government, Resistance to -- America -- History -- Comic books, strips, etc.; Indians -- Government relations -- History -- Comic books, strips, etc.</t>
  </si>
  <si>
    <t>http://public.eblib.com/choice/PublicFullRecord.aspx?p=829598</t>
  </si>
  <si>
    <t>Camera, Woman</t>
  </si>
  <si>
    <t>PR9199.3.V389 -- C36 2000eb</t>
  </si>
  <si>
    <t>Arzner, Dorothy, -- 1900-1979 -- Drama.</t>
  </si>
  <si>
    <t>http://public.eblib.com/choice/PublicFullRecord.aspx?p=829653</t>
  </si>
  <si>
    <t>The Farm Show</t>
  </si>
  <si>
    <t>Johns, Ted; Thompson, Paul</t>
  </si>
  <si>
    <t>PR9199.3.T444 -- F3 1976eb</t>
  </si>
  <si>
    <t>812/.5/4</t>
  </si>
  <si>
    <t>http://public.eblib.com/choice/PublicFullRecord.aspx?p=829654</t>
  </si>
  <si>
    <t>Now You Care</t>
  </si>
  <si>
    <t>Brandt, Di</t>
  </si>
  <si>
    <t>PR9199.3.B686 -- N69 2003eb</t>
  </si>
  <si>
    <t>Pollution -- Poetry.</t>
  </si>
  <si>
    <t>http://public.eblib.com/choice/PublicFullRecord.aspx?p=829655</t>
  </si>
  <si>
    <t>An Enchantment of Birds : Memories from a Birder's Life</t>
  </si>
  <si>
    <t>Cannings, Richard; Gunn, Donald</t>
  </si>
  <si>
    <t>Science: Zoology; Fine Arts; Science</t>
  </si>
  <si>
    <t>QL677.5 -- .C365 2007eb</t>
  </si>
  <si>
    <t>598.072347; 769.92</t>
  </si>
  <si>
    <t>Bird watchers -- Canada -- Biography.; Bird watching -- North America.; Birds -- Anecdotes.; Birds -- North America.; Cannings, Richard J. -- (Richard James); Electronic books. -- local</t>
  </si>
  <si>
    <t>http://public.eblib.com/choice/PublicFullRecord.aspx?p=829690</t>
  </si>
  <si>
    <t>The KunstlerCast : Conversations with James Howard Kunstler</t>
  </si>
  <si>
    <t>Crary, Duncan</t>
  </si>
  <si>
    <t>PS3561.U55 -- Z537 2011eb</t>
  </si>
  <si>
    <t>Authors, American -- 20th century -- Interviews.; Cities and towns -- United States -- Growth.; Kunstler, James Howard -- Interviews.; Sociology, Urban -- United States.</t>
  </si>
  <si>
    <t>http://public.eblib.com/choice/PublicFullRecord.aspx?p=829778</t>
  </si>
  <si>
    <t>Monoceros</t>
  </si>
  <si>
    <t>Mayr, Suzette</t>
  </si>
  <si>
    <t>PR9199.3.M24 -- M66 2011eb</t>
  </si>
  <si>
    <t>Bullying -- Fiction.; Suicide -- Fiction.</t>
  </si>
  <si>
    <t>http://public.eblib.com/choice/PublicFullRecord.aspx?p=844402</t>
  </si>
  <si>
    <t>The Many Revenges of Kip Flynn</t>
  </si>
  <si>
    <t>Dixon, Sean</t>
  </si>
  <si>
    <t>PR9199.3.D523 -- M36 2010eb</t>
  </si>
  <si>
    <t>Death -- Fiction.; Murder -- Fiction.; Revenge -- Fiction.</t>
  </si>
  <si>
    <t>http://public.eblib.com/choice/PublicFullRecord.aspx?p=844403</t>
  </si>
  <si>
    <t>Match</t>
  </si>
  <si>
    <t>Guri, Helen</t>
  </si>
  <si>
    <t>PR9199.4.G866 -- M37 2011eb</t>
  </si>
  <si>
    <t>http://public.eblib.com/choice/PublicFullRecord.aspx?p=844464</t>
  </si>
  <si>
    <t>Li'l Bastard</t>
  </si>
  <si>
    <t>PR9199.3.M42418 -- L55 2011eb</t>
  </si>
  <si>
    <t>http://public.eblib.com/choice/PublicFullRecord.aspx?p=844465</t>
  </si>
  <si>
    <t>La course-poursuite des Loups gris : (Timberwolf Chase)</t>
  </si>
  <si>
    <t>Les Loups Gris</t>
  </si>
  <si>
    <t>Brouwer, Sigmund; Griffiths, Dean; Gingras, Gaston</t>
  </si>
  <si>
    <t>Journalism; Literature</t>
  </si>
  <si>
    <t>http://public.eblib.com/choice/PublicFullRecord.aspx?p=862210</t>
  </si>
  <si>
    <t>La revanche des Loups gris : (Timberwolf Revenge)</t>
  </si>
  <si>
    <t>Literature; Journalism</t>
  </si>
  <si>
    <t>Hockey stories.; Practical jokes -- Juvenile fiction.; Revenge -- Juvenile fiction.</t>
  </si>
  <si>
    <t>http://public.eblib.com/choice/PublicFullRecord.aspx?p=862211</t>
  </si>
  <si>
    <t>Breaking Point</t>
  </si>
  <si>
    <t>PR9199.4.C56 -- B74 2012eb</t>
  </si>
  <si>
    <t>Escapes -- Juvenile fiction.; Survival -- Juvenile fiction.</t>
  </si>
  <si>
    <t>http://public.eblib.com/choice/PublicFullRecord.aspx?p=862212</t>
  </si>
  <si>
    <t>No te vayas : (Comeback)</t>
  </si>
  <si>
    <t>Spanish Soundings</t>
  </si>
  <si>
    <t>PR9199.4.G7265 -- C6618 2011eb</t>
  </si>
  <si>
    <t>Children of divorced parents -- Fiction.; Teenage girls -- Fiction.</t>
  </si>
  <si>
    <t>http://public.eblib.com/choice/PublicFullRecord.aspx?p=862213</t>
  </si>
  <si>
    <t>Something Noble</t>
  </si>
  <si>
    <t>Kowalski, William</t>
  </si>
  <si>
    <t>PS3561.O866 -- S58 2012eb</t>
  </si>
  <si>
    <t>Drug dealers -- Fiction.; Mothers and sons -- Fiction.; Organ donors -- Fiction.</t>
  </si>
  <si>
    <t>http://public.eblib.com/choice/PublicFullRecord.aspx?p=862214</t>
  </si>
  <si>
    <t>Catla and the Vikings</t>
  </si>
  <si>
    <t>Nelson, Mary</t>
  </si>
  <si>
    <t>PR9199.4.N46 -- C38 2012eb</t>
  </si>
  <si>
    <t>Anglo-Saxons -- Juvenile fiction.; Great Britain -- History -- Anglo-Saxon period, 449-1066 -- Juvenile fiction.; Great Britain -- History -- William I, 1066-1087 -- Juvenile fiction.; Teenage girls -- Juvenile fiction.; Vikings -- Juvenile fiction.</t>
  </si>
  <si>
    <t>http://public.eblib.com/choice/PublicFullRecord.aspx?p=862215</t>
  </si>
  <si>
    <t>One Way</t>
  </si>
  <si>
    <t>PR9199.4.M33 -- O54 2012eb</t>
  </si>
  <si>
    <t>Accidents -- Juvenile fiction.; Human behavior -- Juvenile fiction.; Man-woman relationships -- Juvenile fiction.</t>
  </si>
  <si>
    <t>http://public.eblib.com/choice/PublicFullRecord.aspx?p=862216</t>
  </si>
  <si>
    <t>Best Girl</t>
  </si>
  <si>
    <t>Warsh, Sylvia</t>
  </si>
  <si>
    <t>PR9199.4.W37 -- B47 2012eb</t>
  </si>
  <si>
    <t>Adopted children -- Fiction.; Canadian fiction.</t>
  </si>
  <si>
    <t>http://public.eblib.com/choice/PublicFullRecord.aspx?p=862217</t>
  </si>
  <si>
    <t>Hold the Pickles</t>
  </si>
  <si>
    <t>PR9199.4.G7265 -- H65 2012eb</t>
  </si>
  <si>
    <t>Fairs -- Juvenile fiction.; Mascots -- Juvenile fiction.</t>
  </si>
  <si>
    <t>http://public.eblib.com/choice/PublicFullRecord.aspx?p=862218</t>
  </si>
  <si>
    <t>El regreso : (Back)</t>
  </si>
  <si>
    <t>PR9199.4.M42325 -- B3318 2009eb</t>
  </si>
  <si>
    <t>Prisoners -- Juvenile fiction.</t>
  </si>
  <si>
    <t>http://public.eblib.com/choice/PublicFullRecord.aspx?p=862219</t>
  </si>
  <si>
    <t>Maxed Out</t>
  </si>
  <si>
    <t>Greer, Daphne</t>
  </si>
  <si>
    <t>PR9199.4.G74 -- M39 2012eb</t>
  </si>
  <si>
    <t>Brothers -- Juvenile fiction.; Children with disabilities -- Juvenile fiction.; Hockey stories.; Mothers and sons -- Juvenile fiction.</t>
  </si>
  <si>
    <t>http://public.eblib.com/choice/PublicFullRecord.aspx?p=862220</t>
  </si>
  <si>
    <t>Tell it Slant</t>
  </si>
  <si>
    <t>Follett, Beth</t>
  </si>
  <si>
    <t>PR9199.4.F65 -- T45 2001eb</t>
  </si>
  <si>
    <t>823/.92</t>
  </si>
  <si>
    <t>Lesbians -- Fiction.; MontrÃÂ©al (QuÃÂ©bec) -- Fiction.</t>
  </si>
  <si>
    <t>http://public.eblib.com/choice/PublicFullRecord.aspx?p=868835</t>
  </si>
  <si>
    <t>Portable Altamont</t>
  </si>
  <si>
    <t>Davis, Brian Joseph</t>
  </si>
  <si>
    <t>PR9199.4.D385 -- P67 2005eb</t>
  </si>
  <si>
    <t>811.54; 811.6</t>
  </si>
  <si>
    <t>Celebrities -- Fiction.; Celebrities -- Poetry.</t>
  </si>
  <si>
    <t>http://public.eblib.com/choice/PublicFullRecord.aspx?p=868836</t>
  </si>
  <si>
    <t>Sentimental Exorcisms</t>
  </si>
  <si>
    <t>Derry , David</t>
  </si>
  <si>
    <t>PR9199.4.D484 -- S46 2009eb</t>
  </si>
  <si>
    <t>Men -- Humor.; Short stories, Canadian.</t>
  </si>
  <si>
    <t>http://public.eblib.com/choice/PublicFullRecord.aspx?p=868837</t>
  </si>
  <si>
    <t>A Complete Encyclopedia of Different Types of People</t>
  </si>
  <si>
    <t>Foreman, Gabe</t>
  </si>
  <si>
    <t>PR9199.4.F674 -- C66 2011eb</t>
  </si>
  <si>
    <t>Humanity -- Poetry.</t>
  </si>
  <si>
    <t>http://public.eblib.com/choice/PublicFullRecord.aspx?p=868838</t>
  </si>
  <si>
    <t>Hypotheticals</t>
  </si>
  <si>
    <t>Kotsilidis, Leigh</t>
  </si>
  <si>
    <t>PR9199.4.K658 -- H96 2011eb</t>
  </si>
  <si>
    <t>http://public.eblib.com/choice/PublicFullRecord.aspx?p=868840</t>
  </si>
  <si>
    <t>Croak</t>
  </si>
  <si>
    <t>Sampirisi, Jenny</t>
  </si>
  <si>
    <t>PR9199.4.S26 -- C76 2011eb</t>
  </si>
  <si>
    <t>801.1; 811.6</t>
  </si>
  <si>
    <t>http://public.eblib.com/choice/PublicFullRecord.aspx?p=868841</t>
  </si>
  <si>
    <t>Maintenance</t>
  </si>
  <si>
    <t>Benvie, Rob</t>
  </si>
  <si>
    <t>PR9199.4.B468 -- M35 2011eb</t>
  </si>
  <si>
    <t>Suburban life -- Fiction.; Year 2000 date conversion (Computer systems) -- Fiction.</t>
  </si>
  <si>
    <t>http://public.eblib.com/choice/PublicFullRecord.aspx?p=868842</t>
  </si>
  <si>
    <t>Eye Lake</t>
  </si>
  <si>
    <t>Hughes, Tristan</t>
  </si>
  <si>
    <t>PR6108.U44 -- E94 2011eb</t>
  </si>
  <si>
    <t>Drained lakes -- Fiction.; Missing persons -- Fiction.; Orphans -- Fiction.</t>
  </si>
  <si>
    <t>http://public.eblib.com/choice/PublicFullRecord.aspx?p=868843</t>
  </si>
  <si>
    <t>Me Sexy : An Exploration of Native Sex and Sexuality</t>
  </si>
  <si>
    <t>Taylor, Drew Hayden</t>
  </si>
  <si>
    <t>E78.C2 -- M47 2008eb</t>
  </si>
  <si>
    <t>Canadian wit and humor.; Indigenous peoples -- Canada -- Humor.; Indigenous peoples -- Sexual behavior -- Canada -- Humor.; Indigenous peoples -- Sexual behavior -- Canada.</t>
  </si>
  <si>
    <t>http://public.eblib.com/choice/PublicFullRecord.aspx?p=868848</t>
  </si>
  <si>
    <t>Empty Casing : A Soldier's Memoir of Sarajevo Under Siege</t>
  </si>
  <si>
    <t>Doucette, Fred; Dallaire, LT Romeo</t>
  </si>
  <si>
    <t>DR1313.32.S27 -- D68 2008eb</t>
  </si>
  <si>
    <t>Doucette, Fred.; Sarajevo (Bosnia and Hercegovina) -- History -- Siege, 1992-1996 -- Personal narratives, Canadian.; Soldiers -- Canada -- Biography.; United Nations Protection Force.; Yugoslav War, 1991-1995 -- Participation, Canadian.</t>
  </si>
  <si>
    <t>http://public.eblib.com/choice/PublicFullRecord.aspx?p=868850</t>
  </si>
  <si>
    <t>Intent For A Nation: What is Canada For</t>
  </si>
  <si>
    <t>Byers, Michael</t>
  </si>
  <si>
    <t>F1034.2 -- .B94 2007eb</t>
  </si>
  <si>
    <t>Canada -- Foreign relations.; Canada -- Politics and government -- 21st century.; Canada.; Electronic books. -- local; International relations.</t>
  </si>
  <si>
    <t>http://public.eblib.com/choice/PublicFullRecord.aspx?p=868853</t>
  </si>
  <si>
    <t>The Silent Raga</t>
  </si>
  <si>
    <t>Merchant, Ameen</t>
  </si>
  <si>
    <t>PS8626.E7528 -- S55 2007eb</t>
  </si>
  <si>
    <t>Bombay (India) -- Fiction.</t>
  </si>
  <si>
    <t>http://public.eblib.com/choice/PublicFullRecord.aspx?p=868854</t>
  </si>
  <si>
    <t>Cuts Like a Knife</t>
  </si>
  <si>
    <t>PR9199.4.R93 -- C87 2012eb</t>
  </si>
  <si>
    <t>Depression, Mental -- Juvenile fiction.; Suicide -- Juvenile fiction.</t>
  </si>
  <si>
    <t>http://public.eblib.com/choice/PublicFullRecord.aspx?p=870899</t>
  </si>
  <si>
    <t>The Paper House</t>
  </si>
  <si>
    <t>PR9199.4.P48 -- P37 2012eb</t>
  </si>
  <si>
    <t>Communities -- Juvenile fiction.; Kenya -- Juvenile fiction.</t>
  </si>
  <si>
    <t>http://public.eblib.com/choice/PublicFullRecord.aspx?p=870900</t>
  </si>
  <si>
    <t>A Winter Kill</t>
  </si>
  <si>
    <t>Delany, Vicki</t>
  </si>
  <si>
    <t>PR9199.4.D454 -- W56 2012eb</t>
  </si>
  <si>
    <t>High school students -- Fiction.; Murder -- Fiction.; Ontario -- Fiction.; Police -- Fiction.</t>
  </si>
  <si>
    <t>http://public.eblib.com/choice/PublicFullRecord.aspx?p=870901</t>
  </si>
  <si>
    <t>Haze</t>
  </si>
  <si>
    <t>Thomas, Erin</t>
  </si>
  <si>
    <t>PR9199.4.T46 -- H39 2012eb</t>
  </si>
  <si>
    <t>Hazing -- Juvenile fiction.; Swimming -- Juvenile fiction.; Swimming pools -- Accidents -- Juvenile fiction.</t>
  </si>
  <si>
    <t>http://public.eblib.com/choice/PublicFullRecord.aspx?p=870902</t>
  </si>
  <si>
    <t>When I Kill You</t>
  </si>
  <si>
    <t>Wan, Michelle</t>
  </si>
  <si>
    <t>PS3623.A456 -- W47 2012eb</t>
  </si>
  <si>
    <t>Extortion -- Fiction.; Widows -- Fiction.</t>
  </si>
  <si>
    <t>http://public.eblib.com/choice/PublicFullRecord.aspx?p=870903</t>
  </si>
  <si>
    <t>Out of Season</t>
  </si>
  <si>
    <t>PR9199.4.J66 -- O98 2012eb</t>
  </si>
  <si>
    <t>Kayaking -- Juvenile fiction.; Poaching -- Juvenile fiction.; Sea otter hunting -- Juvenile fiction.</t>
  </si>
  <si>
    <t>http://public.eblib.com/choice/PublicFullRecord.aspx?p=870904</t>
  </si>
  <si>
    <t>Riot Act</t>
  </si>
  <si>
    <t>PR9199.4.T86 -- R56 2012eb</t>
  </si>
  <si>
    <t>Riots -- Juvenile fiction.; Teenagers -- Juvenile fiction.</t>
  </si>
  <si>
    <t>http://public.eblib.com/choice/PublicFullRecord.aspx?p=870905</t>
  </si>
  <si>
    <t>Hummingbird Heart</t>
  </si>
  <si>
    <t>PR9199.4.S84 -- H86 2012eb</t>
  </si>
  <si>
    <t>Families -- Juvenile fiction.; Fathers and daughters -- Juvenile fiction.</t>
  </si>
  <si>
    <t>http://public.eblib.com/choice/PublicFullRecord.aspx?p=870906</t>
  </si>
  <si>
    <t>Agent Angus</t>
  </si>
  <si>
    <t>PR9199.4.D46 -- A63 2012eb</t>
  </si>
  <si>
    <t>http://public.eblib.com/choice/PublicFullRecord.aspx?p=870907</t>
  </si>
  <si>
    <t>Way to Go</t>
  </si>
  <si>
    <t>Ryan, Tom</t>
  </si>
  <si>
    <t>PR9199.4.R93 -- W39 2012eb</t>
  </si>
  <si>
    <t>Gays -- Identity -- Juvenile fiction.; Homosexuality -- Juvenile fiction.</t>
  </si>
  <si>
    <t>http://public.eblib.com/choice/PublicFullRecord.aspx?p=870908</t>
  </si>
  <si>
    <t>Road Block</t>
  </si>
  <si>
    <t>PR9199.4.R53 -- R63 2012eb</t>
  </si>
  <si>
    <t>Families -- Juvenile fiction.; Farms -- Juvenile fiction.</t>
  </si>
  <si>
    <t>http://public.eblib.com/choice/PublicFullRecord.aspx?p=870909</t>
  </si>
  <si>
    <t>The Prisoner of Snowflake Falls</t>
  </si>
  <si>
    <t>Lekich, John</t>
  </si>
  <si>
    <t>PR9199.4 -- .L45 2012eb</t>
  </si>
  <si>
    <t>Canadian fiction -- 21st century.; Canadian literature -- 21st century.</t>
  </si>
  <si>
    <t>http://public.eblib.com/choice/PublicFullRecord.aspx?p=870910</t>
  </si>
  <si>
    <t>Au pas, camarade : (Branded)</t>
  </si>
  <si>
    <t>French Soundings</t>
  </si>
  <si>
    <t>Literature; Philosophy</t>
  </si>
  <si>
    <t>PR9199.4.W35 -- B7314 2011eb</t>
  </si>
  <si>
    <t>Child labor -- Juvenile fiction.; Middle school students -- Juvenile fiction.; Uniforms -- Juvenile fiction.</t>
  </si>
  <si>
    <t>http://public.eblib.com/choice/PublicFullRecord.aspx?p=871719</t>
  </si>
  <si>
    <t>Cochonnet : (Pigboy)</t>
  </si>
  <si>
    <t>French Currents</t>
  </si>
  <si>
    <t>PR9199.4.G73 -- P5414 2010eb</t>
  </si>
  <si>
    <t>Bullying -- Juvenile fiction.; Escapes -- Juvenile fiction.; Kidnapping -- Juvenile fiction.</t>
  </si>
  <si>
    <t>http://public.eblib.com/choice/PublicFullRecord.aspx?p=871720</t>
  </si>
  <si>
    <t>En images : (Picture This)</t>
  </si>
  <si>
    <t>PR9199.4.M33 -- P5314 2011eb</t>
  </si>
  <si>
    <t>http://public.eblib.com/choice/PublicFullRecord.aspx?p=871721</t>
  </si>
  <si>
    <t>La triche : (Cheat)</t>
  </si>
  <si>
    <t>Butcher, Kristin; Archambault, Lise</t>
  </si>
  <si>
    <t>PR9199.4.B88 -- C4414 2011eb</t>
  </si>
  <si>
    <t>Brothers and sisters -- Juvenile fiction.; Investigative reporting -- Juvenile fiction.; Teenage girls -- Juvenile fiction.</t>
  </si>
  <si>
    <t>http://public.eblib.com/choice/PublicFullRecord.aspx?p=871722</t>
  </si>
  <si>
    <t>Ben the Inventor</t>
  </si>
  <si>
    <t>PR9199.4.S74 -- B46 2011eb</t>
  </si>
  <si>
    <t>Inventors -- Juvenile fiction.; Moving, Household -- Juvenile fiction.</t>
  </si>
  <si>
    <t>http://public.eblib.com/choice/PublicFullRecord.aspx?p=871723</t>
  </si>
  <si>
    <t>Ghost Moon</t>
  </si>
  <si>
    <t>PZ7.W6964 -- Gh 2011eb</t>
  </si>
  <si>
    <t>Billy, -- the Kid -- Juvenile fiction.; Lincoln County (N.M.) -- History -- 19th century -- Juvenile fiction.</t>
  </si>
  <si>
    <t>http://public.eblib.com/choice/PublicFullRecord.aspx?p=871724</t>
  </si>
  <si>
    <t>Impact : The Titanic Poems</t>
  </si>
  <si>
    <t>PR9199.3.N4976 -- I47 2012eb</t>
  </si>
  <si>
    <t>811.6; 811/.6</t>
  </si>
  <si>
    <t>Titanic (Steamship) -- Poetry.</t>
  </si>
  <si>
    <t>http://public.eblib.com/choice/PublicFullRecord.aspx?p=876404</t>
  </si>
  <si>
    <t>Assault on Juno</t>
  </si>
  <si>
    <t>D756.5.N6 -- Z823 2012eb</t>
  </si>
  <si>
    <t>Canada. -- Canadian Army -- History -- World War, 1939-1945.; World War, 1939-1945 -- Campaigns -- France -- Normandy.</t>
  </si>
  <si>
    <t>http://public.eblib.com/choice/PublicFullRecord.aspx?p=879169</t>
  </si>
  <si>
    <t>Victorio's War</t>
  </si>
  <si>
    <t>PZ7.W6964 -- Voc 2012eb</t>
  </si>
  <si>
    <t>Apache Indians -- Juvenile fiction.; Scouts (Reconnaissance) -- Juvenile fiction.</t>
  </si>
  <si>
    <t>http://public.eblib.com/choice/PublicFullRecord.aspx?p=879170</t>
  </si>
  <si>
    <t>The Wrong Bus</t>
  </si>
  <si>
    <t>Peterson, Lois; Meissner, Amy</t>
  </si>
  <si>
    <t>PR9199.4.P48 -- W76 2012eb</t>
  </si>
  <si>
    <t>Children and death -- Juvenile fiction.; Grandparent and child -- Juvenile fiction.</t>
  </si>
  <si>
    <t>http://public.eblib.com/choice/PublicFullRecord.aspx?p=879171</t>
  </si>
  <si>
    <t>Dawn Patrol</t>
  </si>
  <si>
    <t>PZ7.R719689 -- Daw 2012eb</t>
  </si>
  <si>
    <t>Missing persons -- Fiction.; Missing persons -- Juvenile fiction.; Panama -- Fiction.; Surfers -- Fiction.; Surfers -- Juvenile fiction.; Surfing -- Fiction.; Surfing -- Juvenile fiction.</t>
  </si>
  <si>
    <t>http://public.eblib.com/choice/PublicFullRecord.aspx?p=879172</t>
  </si>
  <si>
    <t>Flood Warning</t>
  </si>
  <si>
    <t>PR9199.4.P43 -- F56 2012eb</t>
  </si>
  <si>
    <t>Floods -- British Columbia -- Fraser River Valley -- Juvenile fiction.; Fraser River Valley (B.C.) -- History -- Juvenile fiction.</t>
  </si>
  <si>
    <t>http://public.eblib.com/choice/PublicFullRecord.aspx?p=879173</t>
  </si>
  <si>
    <t>Justine McKeen, Walk the Talk</t>
  </si>
  <si>
    <t>Brouwer, Sigmund; Whamond, David</t>
  </si>
  <si>
    <t>PS3602.R68 -- J878 2012eb</t>
  </si>
  <si>
    <t>Green movement -- Juvenile fiction.; Schools -- Juvenile fiction.</t>
  </si>
  <si>
    <t>http://public.eblib.com/choice/PublicFullRecord.aspx?p=879174</t>
  </si>
  <si>
    <t>PZ7.M478414184 -- Gui 2012eb</t>
  </si>
  <si>
    <t>Murder -- Juvenile fiction.</t>
  </si>
  <si>
    <t>http://public.eblib.com/choice/PublicFullRecord.aspx?p=879175</t>
  </si>
  <si>
    <t>Basement of Wolves</t>
  </si>
  <si>
    <t>Cox, Daniel  Allen</t>
  </si>
  <si>
    <t>PR9199.4.C69 -- B38 2012eb</t>
  </si>
  <si>
    <t>Actors -- Fiction.; Wolves -- Fiction.</t>
  </si>
  <si>
    <t>http://public.eblib.com/choice/PublicFullRecord.aspx?p=879531</t>
  </si>
  <si>
    <t>Autobiography of Childhood</t>
  </si>
  <si>
    <t>PR9199.4.Q49 -- A78 2011eb</t>
  </si>
  <si>
    <t>Brothers and sisters -- Fiction.; Children and death -- Fiction.</t>
  </si>
  <si>
    <t>http://public.eblib.com/choice/PublicFullRecord.aspx?p=879563</t>
  </si>
  <si>
    <t>Finding Rosa : A Mother with Alzheimer's, a Daughter in Search of the Past</t>
  </si>
  <si>
    <t>Edwards, Caterina</t>
  </si>
  <si>
    <t>Social Science; Health; Literature</t>
  </si>
  <si>
    <t>PS8559.D83 -- Z465 2008eb</t>
  </si>
  <si>
    <t>362.196831; 362.198; 818.5409</t>
  </si>
  <si>
    <t>Alzheimer''s disease -- Patients -- Biography.; Alzheimer''s disease -- Patients -- Family relationships.; Authors, Canadian -- 20th century -- Family relationships.; Edwards, Caterina -- Family.; Mothers and daughters.</t>
  </si>
  <si>
    <t>http://public.eblib.com/choice/PublicFullRecord.aspx?p=879576</t>
  </si>
  <si>
    <t>Snakebit : Confessions of a Herpetologist</t>
  </si>
  <si>
    <t>Anthony, Leslie</t>
  </si>
  <si>
    <t>Science: General; Science; Science: Zoology</t>
  </si>
  <si>
    <t>QL31.A58 -- A3 2008eb</t>
  </si>
  <si>
    <t>500; 597.9092</t>
  </si>
  <si>
    <t>Anthony, Leslie, -- 1957-; Electronic books. -- local; Herpetologists -- Canada -- Biography.</t>
  </si>
  <si>
    <t>http://public.eblib.com/choice/PublicFullRecord.aspx?p=895754</t>
  </si>
  <si>
    <t>The Ferocious Summer : Adelie Penguins and the Warming of Antarctica</t>
  </si>
  <si>
    <t>Hooper, Meredith</t>
  </si>
  <si>
    <t>Science: Geology; Science: Zoology; Science; Environmental Studies</t>
  </si>
  <si>
    <t>QL696.S473 -- H66 2008eb</t>
  </si>
  <si>
    <t>363.73874099; 551.69989</t>
  </si>
  <si>
    <t>AdÃÂ©lie penguin -- Climatic factors.; Antarctica -- Environmental conditions.; Climatic changes -- Antarctica.; Global warming -- Antarctica.; Nature -- Effect of human beings on -- Antarctica.</t>
  </si>
  <si>
    <t>http://public.eblib.com/choice/PublicFullRecord.aspx?p=895755</t>
  </si>
  <si>
    <t>A Good Catch : Sustainable Seafood Recipes from Canada's Top Chefs</t>
  </si>
  <si>
    <t>Lambert, Jill; Suzuki, David</t>
  </si>
  <si>
    <t>TX747 -- .L36 2008eb</t>
  </si>
  <si>
    <t>641.6/92; 641.692</t>
  </si>
  <si>
    <t>Cooking (Seafood); Electronic books. -- local; Sustainable fisheries.</t>
  </si>
  <si>
    <t>http://public.eblib.com/choice/PublicFullRecord.aspx?p=895773</t>
  </si>
  <si>
    <t>Smiling Bears : A Zookeeper Explores the Behaviour and Emotional Life of Bears</t>
  </si>
  <si>
    <t>Poulsen, Else; Herrero, Stephen</t>
  </si>
  <si>
    <t>QL737.C27 -- P68 2009eb</t>
  </si>
  <si>
    <t>Bears -- Behavior.; Electronic books. -- local; Human-animal relationships.; Poulsen, Else, -- 1955-</t>
  </si>
  <si>
    <t>http://public.eblib.com/choice/PublicFullRecord.aspx?p=895774</t>
  </si>
  <si>
    <t>My Natural History : The Evolution of a Gardener</t>
  </si>
  <si>
    <t>Primeau, Liz</t>
  </si>
  <si>
    <t>SB63.P75 -- A3 2008eb</t>
  </si>
  <si>
    <t>Electronic books. -- local; Gardeners -- Canada -- Biography.; Gardening -- Canada.; Gardening -- Psychological aspects.; Mississauga (Ont.) -- Biography.; Primeau, Liz.</t>
  </si>
  <si>
    <t>http://public.eblib.com/choice/PublicFullRecord.aspx?p=895797</t>
  </si>
  <si>
    <t>Serious Microhydro : Water Power Solutions from the Experts</t>
  </si>
  <si>
    <t>Davis, Scott</t>
  </si>
  <si>
    <t>TK1081 -- .S47 2010eb</t>
  </si>
  <si>
    <t>621.31/2134; 621.312134</t>
  </si>
  <si>
    <t>Electronic books. -- local; Hydroelectric power plants.; Small power production facilities.; Water-power.</t>
  </si>
  <si>
    <t>http://public.eblib.com/choice/PublicFullRecord.aspx?p=904481</t>
  </si>
  <si>
    <t>Green Transportation Basics : A Green Energy Guide</t>
  </si>
  <si>
    <t>Engineering: Mechanical; Engineering: General; Engineering</t>
  </si>
  <si>
    <t>TL216.5 -- .C45 2010eb</t>
  </si>
  <si>
    <t>Alternative fuel vehicles.; Automobiles -- Technological innovations.; Electric vehicles.; Electronic books. -- local</t>
  </si>
  <si>
    <t>http://public.eblib.com/choice/PublicFullRecord.aspx?p=904482</t>
  </si>
  <si>
    <t>Energy-Wise Landscape Design : A New Approach for Your Home and Garden</t>
  </si>
  <si>
    <t>Reed, Sue</t>
  </si>
  <si>
    <t>Fine Arts; Agriculture</t>
  </si>
  <si>
    <t>SB475.9.E53 -- R44 2010eb</t>
  </si>
  <si>
    <t>712.6; 712.6 22; 712/.6 22</t>
  </si>
  <si>
    <t>Ecological landscape design.; Electronic books. -- local; Landscape architecture and energy conservation.; Landscape design.</t>
  </si>
  <si>
    <t>http://public.eblib.com/choice/PublicFullRecord.aspx?p=904489</t>
  </si>
  <si>
    <t>City Critters : Wildlife in the Urban Jungle</t>
  </si>
  <si>
    <t>Read, Nicholas</t>
  </si>
  <si>
    <t>QH541.5 .C6 -- R43 2012eb</t>
  </si>
  <si>
    <t>j591.75/6</t>
  </si>
  <si>
    <t>Urban animals -- Juvenile literature.</t>
  </si>
  <si>
    <t>http://public.eblib.com/choice/PublicFullRecord.aspx?p=914377</t>
  </si>
  <si>
    <t>Pierre in the Air!</t>
  </si>
  <si>
    <t>PZ7.B380767 -- Pg 2011eb</t>
  </si>
  <si>
    <t>Dogs -- Juvenile fiction.; Poodles -- Juvenile fiction.; Tour Eiffel (Paris, France) -- Juvenile fiction.</t>
  </si>
  <si>
    <t>http://public.eblib.com/choice/PublicFullRecord.aspx?p=920683</t>
  </si>
  <si>
    <t>Room Enough for Daisy</t>
  </si>
  <si>
    <t>Waldman, Debby; Feutl, Rita</t>
  </si>
  <si>
    <t>PZ7.W1443 -- Ro 2011eb</t>
  </si>
  <si>
    <t>Humorous stories.; Jewish children -- Juvenile fiction.; Storage in the home -- Juvenile fiction.</t>
  </si>
  <si>
    <t>http://public.eblib.com/choice/PublicFullRecord.aspx?p=920684</t>
  </si>
  <si>
    <t>Kishka for Koppel</t>
  </si>
  <si>
    <t>Davis, Aubrey; Cohen, Sheldon</t>
  </si>
  <si>
    <t>PR9199.4.D38 -- K57 2011eb</t>
  </si>
  <si>
    <t>Jews -- Juvenile fiction.; Wishes -- Juvenile fiction.</t>
  </si>
  <si>
    <t>http://public.eblib.com/choice/PublicFullRecord.aspx?p=920685</t>
  </si>
  <si>
    <t>Justine McKeen, Queen of Green</t>
  </si>
  <si>
    <t>Brouwer, Sigmund; Whamond, Dave</t>
  </si>
  <si>
    <t>PS3602.R68 -- J87 2011eb</t>
  </si>
  <si>
    <t>Environmentalism -- Juvenile fiction.; Green movement -- Juvenile fiction.</t>
  </si>
  <si>
    <t>http://public.eblib.com/choice/PublicFullRecord.aspx?p=920686</t>
  </si>
  <si>
    <t>Seal Song</t>
  </si>
  <si>
    <t>Spalding, Andrea; Milelli, Pascal</t>
  </si>
  <si>
    <t>PR9199.3.S612 -- S42 2011eb</t>
  </si>
  <si>
    <t>Seals (Animals) -- Juvenile fiction.; Selkies -- Juvenile fiction.</t>
  </si>
  <si>
    <t>http://public.eblib.com/choice/PublicFullRecord.aspx?p=920687</t>
  </si>
  <si>
    <t>Hunter</t>
  </si>
  <si>
    <t>PR9199.4.W34 -- H86 20012eb</t>
  </si>
  <si>
    <t>Cats -- Fiction.; Feral cats -- Fiction.</t>
  </si>
  <si>
    <t>http://public.eblib.com/choice/PublicFullRecord.aspx?p=934393</t>
  </si>
  <si>
    <t>Une minorité francophone hors Québec: Les Franco-Terreneuviens</t>
  </si>
  <si>
    <t>De Gruyter</t>
  </si>
  <si>
    <t>Canadiana Romanica</t>
  </si>
  <si>
    <t>Magord, André M.; Magord, Andr M ; Magord, Andre M</t>
  </si>
  <si>
    <t>F1125.F8 -- M34 1995eb</t>
  </si>
  <si>
    <t>305.811/40718</t>
  </si>
  <si>
    <t>Ethnicity -- Newfoundland and Labrador.; French-Canadians -- Newfoundland and Labrador -- Ethnic identity.; Newfoundland and Labrador -- Social conditions.</t>
  </si>
  <si>
    <t>http://public.eblib.com/choice/PublicFullRecord.aspx?p=938209</t>
  </si>
  <si>
    <t>Between Heaven and Earth</t>
  </si>
  <si>
    <t>Seven (the Series)</t>
  </si>
  <si>
    <t>PR9199.4.W34 -- B47 2012eb</t>
  </si>
  <si>
    <t>Grandfathers -- Fiction.; Grandsons -- Fiction.; Missions -- Tanzania -- Kilimanjaro, Mount -- Fiction.; Mountaineering -- Tanzania -- Kilimanjaro, Mount -- Fiction.</t>
  </si>
  <si>
    <t>http://public.eblib.com/choice/PublicFullRecord.aspx?p=944920</t>
  </si>
  <si>
    <t>Close to the Heel</t>
  </si>
  <si>
    <t>PR9199.4.M42325 -- C57 2012eb</t>
  </si>
  <si>
    <t>Grandfathers -- Juvenile fiction.; Iceland -- Juvenile fiction.; Murder -- Juvenile fiction.; Voyages and travels -- Juvenile fiction.</t>
  </si>
  <si>
    <t>http://public.eblib.com/choice/PublicFullRecord.aspx?p=944921</t>
  </si>
  <si>
    <t>Coming Clean</t>
  </si>
  <si>
    <t>Jeff, Ross</t>
  </si>
  <si>
    <t>PR9199.4.R67 -- C66 2012eb</t>
  </si>
  <si>
    <t>Brothers -- Juvenile fiction.; Disc jockeys -- Juvenile fiction.; Fear -- Juvenile fiction.; Youth -- Drug use -- Juvenile fiction.</t>
  </si>
  <si>
    <t>http://public.eblib.com/choice/PublicFullRecord.aspx?p=944922</t>
  </si>
  <si>
    <t>Dead Run</t>
  </si>
  <si>
    <t>PR9199.3.R542 -- D43 2012eb</t>
  </si>
  <si>
    <t>Bicycle messengers -- Juvenile fiction.; Sportsmanship -- Juvenile fiction.</t>
  </si>
  <si>
    <t>http://public.eblib.com/choice/PublicFullRecord.aspx?p=944923</t>
  </si>
  <si>
    <t>Devil's Pass</t>
  </si>
  <si>
    <t>PS3552.R6825 -- D49 2012eb</t>
  </si>
  <si>
    <t>Canada -- Juvenile fiction.; Canol Heritage Trail (N.W.T.) -- Juvenile fiction.; Grandfathers -- Juvenile fiction.; Street musicians -- Juvenile fiction.; Voyages and travels -- Juvenile fiction.</t>
  </si>
  <si>
    <t>http://public.eblib.com/choice/PublicFullRecord.aspx?p=944924</t>
  </si>
  <si>
    <t>Edge of Flight</t>
  </si>
  <si>
    <t>PR9199.4.J345 -- E44 2012eb</t>
  </si>
  <si>
    <t>Rock climbing -- Juvenile fiction.; Self-esteem -- Juvenile fiction.; Self-reliance -- Juvenile fiction.</t>
  </si>
  <si>
    <t>http://public.eblib.com/choice/PublicFullRecord.aspx?p=944925</t>
  </si>
  <si>
    <t>Ink Me</t>
  </si>
  <si>
    <t>Scrimger, Richard</t>
  </si>
  <si>
    <t>PR9199.4.S34 -- I64 2012eb</t>
  </si>
  <si>
    <t>Canada -- Fiction.; Gangs -- Fiction.; Grandfathers -- Fiction.; Tattooing -- Fiction.; Toronto (Ont.) -- Fiction.; Voyages and travels.</t>
  </si>
  <si>
    <t>http://public.eblib.com/choice/PublicFullRecord.aspx?p=944927</t>
  </si>
  <si>
    <t>Jump Cut</t>
  </si>
  <si>
    <t>PR9199.4.S72 -- J86 2012eb</t>
  </si>
  <si>
    <t>813.54; 813.5423; jC813/.54 23</t>
  </si>
  <si>
    <t>Actors -- Juvenile fiction.; Actresses -- Juvenile fiction.; Buffalo (N.Y.) -- Juvenile fiction.; Canada -- Juvenile fiction.; Gangsters -- Juvenile fiction.; Grandfathers -- Juvenile fiction.; Voyages and travels -- Juvenile fiction.</t>
  </si>
  <si>
    <t>http://public.eblib.com/choice/PublicFullRecord.aspx?p=944928</t>
  </si>
  <si>
    <t>Last Message</t>
  </si>
  <si>
    <t>Peacock, Shane</t>
  </si>
  <si>
    <t>PR9199.4.P42 -- L37 2012eb</t>
  </si>
  <si>
    <t>Chauvet Cave (France) -- Juvenile fiction.; France -- Juvenile fiction.; Grandfathers -- Juvenile fiction.; Voyages and travels -- Juvenile fiction.</t>
  </si>
  <si>
    <t>http://public.eblib.com/choice/PublicFullRecord.aspx?p=944929</t>
  </si>
  <si>
    <t>Lost Cause</t>
  </si>
  <si>
    <t>PR9199.3.W557 -- L68 2012eb</t>
  </si>
  <si>
    <t>Grandfathers -- Juvenile fiction.; Spain -- History -- Civil War, 1936-1939 -- Juvenile fiction.; Spain -- Juvenile fiction.; Voyages and travels -- Juvenile fiction.</t>
  </si>
  <si>
    <t>http://public.eblib.com/choice/PublicFullRecord.aspx?p=944930</t>
  </si>
  <si>
    <t>Pieces of Me</t>
  </si>
  <si>
    <t>PR9199.4.R938 -- P54 2012eb</t>
  </si>
  <si>
    <t>Family violence -- Juvenile fiction.; Homelessness -- Juvenile fiction.; Physical abuse -- Juvenile fiction.</t>
  </si>
  <si>
    <t>http://public.eblib.com/choice/PublicFullRecord.aspx?p=944931</t>
  </si>
  <si>
    <t>Rat</t>
  </si>
  <si>
    <t>PR9199.3.C497 -- R38 2012eb</t>
  </si>
  <si>
    <t>Bullying -- Juvenile fiction.; High schools -- Juvenile fiction.</t>
  </si>
  <si>
    <t>http://public.eblib.com/choice/PublicFullRecord.aspx?p=944932</t>
  </si>
  <si>
    <t>Redwing</t>
  </si>
  <si>
    <t>PR9199.3.B4 -- R44 2012eb</t>
  </si>
  <si>
    <t>Fantasy.; Magic -- Fiction.; Musicians -- Fiction.; Plague -- Fiction.</t>
  </si>
  <si>
    <t>http://public.eblib.com/choice/PublicFullRecord.aspx?p=944933</t>
  </si>
  <si>
    <t>Shallow Grave</t>
  </si>
  <si>
    <t>PR9199.4.V36 -- S42 2012eb</t>
  </si>
  <si>
    <t>Detective and mystery stories.; Schools -- Fiction.</t>
  </si>
  <si>
    <t>http://public.eblib.com/choice/PublicFullRecord.aspx?p=944934</t>
  </si>
  <si>
    <t>Sidetracked</t>
  </si>
  <si>
    <t>Loughead, Deb</t>
  </si>
  <si>
    <t>PR9199.4.L68 -- S53 2012eb</t>
  </si>
  <si>
    <t>Bullying -- Juvenile fiction.; Theft -- Juvenile fiction.; Track and field -- Juvenile fiction.</t>
  </si>
  <si>
    <t>http://public.eblib.com/choice/PublicFullRecord.aspx?p=944935</t>
  </si>
  <si>
    <t>Three Little Words</t>
  </si>
  <si>
    <t>PR9199.4.H37 -- T47 2012eb</t>
  </si>
  <si>
    <t>Birthparents -- Juvenile fiction.; Brothers -- Juvenile fiction.; Canadian fiction -- 21st century.; Foster children -- Juvenile fiction.</t>
  </si>
  <si>
    <t>http://public.eblib.com/choice/PublicFullRecord.aspx?p=944936</t>
  </si>
  <si>
    <t>Evil Behind That Door</t>
  </si>
  <si>
    <t>PR9199.4.F698 -- E85 2012eb</t>
  </si>
  <si>
    <t>Farmhouses -- Fiction.; Secrecy -- Fiction.</t>
  </si>
  <si>
    <t>http://public.eblib.com/choice/PublicFullRecord.aspx?p=1000279</t>
  </si>
  <si>
    <t>The Goddaughter</t>
  </si>
  <si>
    <t>Campbell, Melodie</t>
  </si>
  <si>
    <t>PR9199.4.C36 -- G64 2012eb</t>
  </si>
  <si>
    <t>Gemologists -- Fiction.; Jewelry theft -- Fiction.; Mafia -- Fiction.; Organized crime -- Fiction.</t>
  </si>
  <si>
    <t>http://public.eblib.com/choice/PublicFullRecord.aspx?p=1000280</t>
  </si>
  <si>
    <t>High Wire</t>
  </si>
  <si>
    <t>PR9199.4.J32 -- H54 2012eb</t>
  </si>
  <si>
    <t>Aerialists -- Juvenile fiction.; Circus performers -- Juvenile fiction.</t>
  </si>
  <si>
    <t>http://public.eblib.com/choice/PublicFullRecord.aspx?p=1000281</t>
  </si>
  <si>
    <t>Orphanage</t>
  </si>
  <si>
    <t>Baraka Books</t>
  </si>
  <si>
    <t>Bergeron, Richard; McCambridge, Peter</t>
  </si>
  <si>
    <t>Architecture; Philosophy</t>
  </si>
  <si>
    <t>NA749.B47 -- A3 2012eb</t>
  </si>
  <si>
    <t>Architects -- Canada.; Bergeron, Richard.</t>
  </si>
  <si>
    <t>http://public.eblib.com/choice/PublicFullRecord.aspx?p=1011422</t>
  </si>
  <si>
    <t>First Jews in North America : The Extraordinary Story of the Hart Family  (17601860)</t>
  </si>
  <si>
    <t>Vaugeois, Denis; Roth, Käthe</t>
  </si>
  <si>
    <t>F1035.J5 -- V3813 2012eb</t>
  </si>
  <si>
    <t>200; 971</t>
  </si>
  <si>
    <t>Hart family.; Hart, Aaron, -- 1724-1800.; Jews -- Québec (Province) -- History.; Jews -- Québec (Province) -- Trois-Rivières -- History.</t>
  </si>
  <si>
    <t>http://public.eblib.com/choice/PublicFullRecord.aspx?p=1011427</t>
  </si>
  <si>
    <t>Cleanup</t>
  </si>
  <si>
    <t>PR9199.4.M42325 -- C54 2012eb</t>
  </si>
  <si>
    <t>Detective and mystery stories.; Murder -- Fiction.</t>
  </si>
  <si>
    <t>http://public.eblib.com/choice/PublicFullRecord.aspx?p=1039485</t>
  </si>
  <si>
    <t>Contingency Plan</t>
  </si>
  <si>
    <t>Allin, Lou</t>
  </si>
  <si>
    <t>Language/Linguistics; Literature; Fiction</t>
  </si>
  <si>
    <t>PR9199.4.A46 -- C65 2012eb</t>
  </si>
  <si>
    <t>Readers for new literates.; Widows -- Fiction.</t>
  </si>
  <si>
    <t>http://public.eblib.com/choice/PublicFullRecord.aspx?p=1039486</t>
  </si>
  <si>
    <t>Disconnect</t>
  </si>
  <si>
    <t>PR9199.4.P48 -- D57 2012eb</t>
  </si>
  <si>
    <t>Information technology -- Juvenile fiction.; Technology -- Juvenile fiction.</t>
  </si>
  <si>
    <t>http://public.eblib.com/choice/PublicFullRecord.aspx?p=1039487</t>
  </si>
  <si>
    <t>Oracle</t>
  </si>
  <si>
    <t>PR9199.4.V36 -- O72 2012eb</t>
  </si>
  <si>
    <t>813.623; jC813/.6 23</t>
  </si>
  <si>
    <t>Blogs -- Juvenile fiction.; Teenagers -- Juvenile fiction.</t>
  </si>
  <si>
    <t>http://public.eblib.com/choice/PublicFullRecord.aspx?p=1039488</t>
  </si>
  <si>
    <t>Seven Bundle</t>
  </si>
  <si>
    <t>PR9192.515 -- .S49 2012eb</t>
  </si>
  <si>
    <t>813/.5408</t>
  </si>
  <si>
    <t>Grandfathers -- Juvenile fiction.; Grandsons -- Juvenile fiction.; Quests (Expeditions) -- Juvenile fiction.; Voyages and travels -- Juvenile fiction.</t>
  </si>
  <si>
    <t>http://public.eblib.com/choice/PublicFullRecord.aspx?p=1043698</t>
  </si>
  <si>
    <t>Pyro</t>
  </si>
  <si>
    <t>PR9199.4.P64 -- P9 2012eb</t>
  </si>
  <si>
    <t>Arson -- Juvenile fiction.; Pyromania -- Juvenile fiction.</t>
  </si>
  <si>
    <t>http://public.eblib.com/choice/PublicFullRecord.aspx?p=1050037</t>
  </si>
  <si>
    <t>Accro d’la planche : (Skate Freak)</t>
  </si>
  <si>
    <t>PR9199.4.C46 -- S53 2012eb</t>
  </si>
  <si>
    <t>Conformity -- Juvenile fiction.; Friendship -- Juvenile fiction.; Skateboarders -- Juvenile fiction.</t>
  </si>
  <si>
    <t>http://public.eblib.com/choice/PublicFullRecord.aspx?p=1053771</t>
  </si>
  <si>
    <t>Reviens : (Comeback)</t>
  </si>
  <si>
    <t>Literature; Psychology; Juvenile Literature</t>
  </si>
  <si>
    <t>PR9199.4.G73 -- C6614 2012eb</t>
  </si>
  <si>
    <t>Brothers and sisters -- Juvenile fiction.; Parent and child -- Juvenile fiction.</t>
  </si>
  <si>
    <t>http://public.eblib.com/choice/PublicFullRecord.aspx?p=1053772</t>
  </si>
  <si>
    <t>Politique etrangere comparee : Canada - Etats-Unis</t>
  </si>
  <si>
    <t>P.I.E.-Peter Lang S.A</t>
  </si>
  <si>
    <t>Études Canadiennes - Canadian Studies</t>
  </si>
  <si>
    <t>Lacroix, Jean-Michel; Mace, Gordon</t>
  </si>
  <si>
    <t>F1029 -- .L33 2012eb</t>
  </si>
  <si>
    <t>Canada -- Foreign relations.; United States -- Foreign relations.</t>
  </si>
  <si>
    <t>http://public.eblib.com/choice/PublicFullRecord.aspx?p=1054237</t>
  </si>
  <si>
    <t>La cache : (Stuff We All Get)</t>
  </si>
  <si>
    <t>PS3604.E56 -- C3314 2012eb</t>
  </si>
  <si>
    <t>Music -- Instruction and study -- Fiction.; Synesthesia -- Fiction.; Teenage boys -- Fiction.</t>
  </si>
  <si>
    <t>http://public.eblib.com/choice/PublicFullRecord.aspx?p=1058372</t>
  </si>
  <si>
    <t>Accord de puissance : (Power Chord)</t>
  </si>
  <si>
    <t>PS3569.T28 -- P6914 2012eb</t>
  </si>
  <si>
    <t>Bands (Music) -- Fiction.; Contests -- Fiction.; Music -- Instruction and study -- Fiction.; Plagiarism -- Fiction.</t>
  </si>
  <si>
    <t>http://public.eblib.com/choice/PublicFullRecord.aspx?p=1076276</t>
  </si>
  <si>
    <t>Desolación : (Outback)</t>
  </si>
  <si>
    <t>PS3619.T48 -- D4718 2012eb</t>
  </si>
  <si>
    <t>http://public.eblib.com/choice/PublicFullRecord.aspx?p=1076277</t>
  </si>
  <si>
    <t>Justine McKeen, Pooper Scooper</t>
  </si>
  <si>
    <t>PR9199.4.B768 -- J87 2012eb</t>
  </si>
  <si>
    <t>Refuse and refuse disposal -- Juvenile fiction.; School librarians -- Juvenile fiction.</t>
  </si>
  <si>
    <t>http://public.eblib.com/choice/PublicFullRecord.aspx?p=1076278</t>
  </si>
  <si>
    <t>Prince for a Princess</t>
  </si>
  <si>
    <t>PR9199.3.W35 -- P75 2012eb</t>
  </si>
  <si>
    <t>Greyhounds -- Juvenile fiction.; Pets -- Juvenile fiction.</t>
  </si>
  <si>
    <t>http://public.eblib.com/choice/PublicFullRecord.aspx?p=1076279</t>
  </si>
  <si>
    <t>Reacción : (Reaction)</t>
  </si>
  <si>
    <t>PS3603.H69 -- R4318 2012eb</t>
  </si>
  <si>
    <t>http://public.eblib.com/choice/PublicFullRecord.aspx?p=1076280</t>
  </si>
  <si>
    <t>Seeing Orange</t>
  </si>
  <si>
    <t>Cassidy, Sara; Meissner, Amy</t>
  </si>
  <si>
    <t>PR9199.3.C363 -- S44 2012eb</t>
  </si>
  <si>
    <t>Art -- Juvenile fiction.; Teachers -- Juvenile fiction.</t>
  </si>
  <si>
    <t>http://public.eblib.com/choice/PublicFullRecord.aspx?p=1076281</t>
  </si>
  <si>
    <t>Authenticity and Legitimacy in Minority Theatre : Constructing Identity</t>
  </si>
  <si>
    <t>Cambridge Scholars Publishing</t>
  </si>
  <si>
    <t>Gonzalez, Madelena; Brasseur, Patrice</t>
  </si>
  <si>
    <t>PN2219.E84 -- A96 2010eb</t>
  </si>
  <si>
    <t>Ethnic theater -- Canada.; Ethnic theater.</t>
  </si>
  <si>
    <t>http://public.eblib.com/choice/PublicFullRecord.aspx?p=1080499</t>
  </si>
  <si>
    <t>Studies in Canadian English : Lexical Variation in Toronto</t>
  </si>
  <si>
    <t>Bednarek, Adam</t>
  </si>
  <si>
    <t>PE3245.T67 -- B43 2009eb</t>
  </si>
  <si>
    <t>Canadianisms -- Ontario -- Toronto.; English language -- Ontario -- Toronto.; English language -- Variation -- Ontario -- Toronto.</t>
  </si>
  <si>
    <t>http://public.eblib.com/choice/PublicFullRecord.aspx?p=1080613</t>
  </si>
  <si>
    <t>Ebony Roots, Northern Soil : Perspectives on Blackness in Canada</t>
  </si>
  <si>
    <t>Nelson, Charmaine A.</t>
  </si>
  <si>
    <t>F1035.N3 -- E26 2010eb</t>
  </si>
  <si>
    <t>Blacks -- Canada.; Canada -- Race relations.</t>
  </si>
  <si>
    <t>http://public.eblib.com/choice/PublicFullRecord.aspx?p=1080655</t>
  </si>
  <si>
    <t>Canada : Text and Territory</t>
  </si>
  <si>
    <t>Mhainnín, Máire Áine Ní; Tilley, Elizabeth</t>
  </si>
  <si>
    <t>PR9184.6 -- .C3426 2008eb</t>
  </si>
  <si>
    <t>Canada -- Civilization -- Congresses.; Canadian literature -- History and criticism -- Congresses.; French-Canadian literature -- History and criticism -- Congresses.; Language and culture -- Canada -- Congresses.; National characteristics, Canadian -- Congresses.</t>
  </si>
  <si>
    <t>http://public.eblib.com/choice/PublicFullRecord.aspx?p=1080710</t>
  </si>
  <si>
    <t>Liminal Spaces : The Double Art of Carol Shields</t>
  </si>
  <si>
    <t>Ramon, Alex</t>
  </si>
  <si>
    <t>PR9199.3.S514 -- Z42 2008eb</t>
  </si>
  <si>
    <t>Shields, Carol -- Criticism and interpretation.; Women and literature -- Canada -- History -- 20th century.</t>
  </si>
  <si>
    <t>http://public.eblib.com/choice/PublicFullRecord.aspx?p=1080717</t>
  </si>
  <si>
    <t>Diversity and Change in Early Canadian Women’s Writing</t>
  </si>
  <si>
    <t>Chambers, Jennifer</t>
  </si>
  <si>
    <t>PR9188 -- .D58 2008eb</t>
  </si>
  <si>
    <t>Canadian literature -- Women authors -- History and criticism.</t>
  </si>
  <si>
    <t>http://public.eblib.com/choice/PublicFullRecord.aspx?p=1080891</t>
  </si>
  <si>
    <t>Kiss, Tickle, Cuddle, Hug</t>
  </si>
  <si>
    <t>Musgrave, Susan</t>
  </si>
  <si>
    <t>Psychology; Juvenile Literature</t>
  </si>
  <si>
    <t>BF592.F33 -- M87 2012eb</t>
  </si>
  <si>
    <t>153.6/9</t>
  </si>
  <si>
    <t>Emotions -- Juvenile literature.; Facial expression -- Juvenile literature.; Picture books for children.</t>
  </si>
  <si>
    <t>http://public.eblib.com/choice/PublicFullRecord.aspx?p=1092516</t>
  </si>
  <si>
    <t>Uncle Wally's Old Brown Shoe</t>
  </si>
  <si>
    <t>Edwards, Wallace</t>
  </si>
  <si>
    <t>PS3605.D93 -- U62 2012eb</t>
  </si>
  <si>
    <t>Animals -- Juvenile fiction.; Shoes -- Juvenile fiction.; Stories in rhyme.</t>
  </si>
  <si>
    <t>http://public.eblib.com/choice/PublicFullRecord.aspx?p=1092518</t>
  </si>
  <si>
    <t>Transgressive Transcripts : Gender and Sexuality in Contemporary Chinese Canadian Womens Writing</t>
  </si>
  <si>
    <t>Editions Rodopi</t>
  </si>
  <si>
    <t>Editions Rodopi B.V.</t>
  </si>
  <si>
    <t>Cross/Cultures - Readings in the Post/Colonial Literatures in English</t>
  </si>
  <si>
    <t>Bennett, Yu-Hsiang Fu</t>
  </si>
  <si>
    <t>PR9188.2.C45 -- F82 2012eb</t>
  </si>
  <si>
    <t>Chinese -- Canada -- Intellectual life.; Women authors, Chinese -- Canada.</t>
  </si>
  <si>
    <t>http://public.eblib.com/choice/PublicFullRecord.aspx?p=1099559</t>
  </si>
  <si>
    <t>Gail Bowen Ebook Bundle</t>
  </si>
  <si>
    <t>PR9199.3.B629 -- G35 2013eb</t>
  </si>
  <si>
    <t>Detective and mystery stories, Canadian.; Radio broadcasters -- Fiction.</t>
  </si>
  <si>
    <t>http://public.eblib.com/choice/PublicFullRecord.aspx?p=1101259</t>
  </si>
  <si>
    <t>William Kowalksi Ebook Bundle</t>
  </si>
  <si>
    <t>PS3561.O866 -- W55 2012eb</t>
  </si>
  <si>
    <t>Families -- Fiction.; Young men -- Fiction.</t>
  </si>
  <si>
    <t>http://public.eblib.com/choice/PublicFullRecord.aspx?p=1101260</t>
  </si>
  <si>
    <t>Multiple Lenses : Voices from the Diaspora located in Canada</t>
  </si>
  <si>
    <t>Divine, David</t>
  </si>
  <si>
    <t>F1035.N3 -- M85 2007eb</t>
  </si>
  <si>
    <t>African diaspora.; Blacks -- Canada -- History.; Blacks -- Canada -- Intellectual life.; Blacks -- Canada -- Social conditions.; Blacks -- Race identity -- Canada.; Canada -- Ethnic relations.; Human geography -- Canada.</t>
  </si>
  <si>
    <t>http://public.eblib.com/choice/PublicFullRecord.aspx?p=1107110</t>
  </si>
  <si>
    <t>War, Human Dignity and Nation Building : Theological Perspectives on Canada’s Role in Afghanistan</t>
  </si>
  <si>
    <t>Badcock, Gary D.; Marks, Darren C.</t>
  </si>
  <si>
    <t>JZ5584.C26 -- W37 2010eb</t>
  </si>
  <si>
    <t>327.1720971; 327.710581</t>
  </si>
  <si>
    <t>Afghan War, 2001-; Peace-building -- Religious aspects -- Congresses.; Peace-building, Canadian -- Afghanistan -- Congresses.</t>
  </si>
  <si>
    <t>http://public.eblib.com/choice/PublicFullRecord.aspx?p=1114232</t>
  </si>
  <si>
    <t>This High, Wild Country : A Celebration of Waterton-Glacier International Peace Park</t>
  </si>
  <si>
    <t>University of New Mexico Press</t>
  </si>
  <si>
    <t>Schullery, Paul</t>
  </si>
  <si>
    <t>F1079.W3 -- S36 2010eb</t>
  </si>
  <si>
    <t>978.6/52</t>
  </si>
  <si>
    <t>Glacier National Park (Mont.) -- Description and travel.; Natural history -- Alberta -- Waterton Lakes National Park.; Natural history -- Montana -- Glacier National Park.; Natural history -- Waterton-Glacier International Peace Park (Mont. and Alta.); Waterton Lakes National Park (Alta.) -- Description and travel.; Waterton-Glacier International Peace Park (Mont. and Alta.) -- Description and travel.; Waterton-Glacier International Peace Park (Mont. and Alta.) -- Pictorial works.</t>
  </si>
  <si>
    <t>http://public.eblib.com/choice/PublicFullRecord.aspx?p=1118970</t>
  </si>
  <si>
    <t>Domestic workers across the world : Global and regional statistics and the extent of legal protection</t>
  </si>
  <si>
    <t>International Labour Office</t>
  </si>
  <si>
    <t>International Labour Office; International Labour Office,</t>
  </si>
  <si>
    <t>HD8039.D5 -- D66 2013eb</t>
  </si>
  <si>
    <t>Household employees.; Labor economics.</t>
  </si>
  <si>
    <t>http://public.eblib.com/choice/PublicFullRecord.aspx?p=1119734</t>
  </si>
  <si>
    <t>Dirty Work</t>
  </si>
  <si>
    <t>Coleman, Reed</t>
  </si>
  <si>
    <t>PS3553.O47445 -- D57 2013eb</t>
  </si>
  <si>
    <t>Father and child -- Fiction.; Missing persons -- Investigation -- Fiction.; Private investigators -- Fiction.</t>
  </si>
  <si>
    <t>http://public.eblib.com/choice/PublicFullRecord.aspx?p=1138037</t>
  </si>
  <si>
    <t>The Thirteenth Rose</t>
  </si>
  <si>
    <t>PR9199.3.B629 -- T55 2013eb</t>
  </si>
  <si>
    <t>Murder -- Fiction.; Prostitutes -- Crimes against -- Fiction.; Radio programs -- Fiction.</t>
  </si>
  <si>
    <t>http://public.eblib.com/choice/PublicFullRecord.aspx?p=1138038</t>
  </si>
  <si>
    <t>Him Standing</t>
  </si>
  <si>
    <t>PR9199.4.W34 -- H56 2013eb</t>
  </si>
  <si>
    <t>Wizards -- Fiction.; Wood-carving -- Fiction.</t>
  </si>
  <si>
    <t>http://public.eblib.com/choice/PublicFullRecord.aspx?p=1138039</t>
  </si>
  <si>
    <t>Sunset Key</t>
  </si>
  <si>
    <t>Crouch, Blake</t>
  </si>
  <si>
    <t>PR9199.4.C76 -- S86 2013eb</t>
  </si>
  <si>
    <t>Detective and mystery stories.; Women -- Crimes against.</t>
  </si>
  <si>
    <t>http://public.eblib.com/choice/PublicFullRecord.aspx?p=1142777</t>
  </si>
  <si>
    <t>FaceSpace</t>
  </si>
  <si>
    <t>PR9199.3.C472 -- F33 2013eb</t>
  </si>
  <si>
    <t>Social networks -- Juvenile fiction.; Teenage boys -- Juvenile fiction.; Young adult fiction.</t>
  </si>
  <si>
    <t>http://public.eblib.com/choice/PublicFullRecord.aspx?p=1144373</t>
  </si>
  <si>
    <t>Vanish</t>
  </si>
  <si>
    <t>Spafford-Fitz, Karen</t>
  </si>
  <si>
    <t>PR9199.4.S62 -- V36 2013eb</t>
  </si>
  <si>
    <t>Dysfunctional families -- Juvenile fiction.; Junior high school students -- Juvenile fiction.; Mentoring -- Juvenile fiction.</t>
  </si>
  <si>
    <t>http://public.eblib.com/choice/PublicFullRecord.aspx?p=1144374</t>
  </si>
  <si>
    <t>The New Normal</t>
  </si>
  <si>
    <t>Little, Ashley</t>
  </si>
  <si>
    <t>PR9199.4.L57 -- N49 2013eb</t>
  </si>
  <si>
    <t>Baldness -- Juvenile fiction.; Bereavement -- Juvenile fiction.; Sisters -- Death -- Juvenile fiction.; Teenage girls -- Juvenile fiction.</t>
  </si>
  <si>
    <t>http://public.eblib.com/choice/PublicFullRecord.aspx?p=1144375</t>
  </si>
  <si>
    <t>Record Breaker</t>
  </si>
  <si>
    <t>PR9199.4.S74 -- R42 2013eb</t>
  </si>
  <si>
    <t>Bereavement -- Juvenile fiction.; Sisters -- Death -- Juvenile fiction.; World records -- Juvenile fiction.</t>
  </si>
  <si>
    <t>http://public.eblib.com/choice/PublicFullRecord.aspx?p=1144376</t>
  </si>
  <si>
    <t>Not a Chance</t>
  </si>
  <si>
    <t>PR9199.4.M84 -- N67 2013eb</t>
  </si>
  <si>
    <t>Friendship -- Juvenile fiction.; Latin America -- Juvenile fiction.; Racism -- Juvenile fiction.</t>
  </si>
  <si>
    <t>http://public.eblib.com/choice/PublicFullRecord.aspx?p=1144377</t>
  </si>
  <si>
    <t>History of Montréal : The Story of Great North American City</t>
  </si>
  <si>
    <t>Linteau, Paul-André; McCambridge, Peter</t>
  </si>
  <si>
    <t>F1054.5.M857 -- L56 2013eb</t>
  </si>
  <si>
    <t>History -- Quebec (Province) -- Montreal.; Montreal (Quebec) -- History.</t>
  </si>
  <si>
    <t>http://public.eblib.com/choice/PublicFullRecord.aspx?p=1162758</t>
  </si>
  <si>
    <t>New Social Movements, Class, and the Environment : A Case Study of Greenpeace Canada</t>
  </si>
  <si>
    <t>Harter, John-Henry</t>
  </si>
  <si>
    <t>HM881 -- .H37 2011eb</t>
  </si>
  <si>
    <t>Green movement -- Canada.; Social movements -- Canada.</t>
  </si>
  <si>
    <t>http://public.eblib.com/choice/PublicFullRecord.aspx?p=1165546</t>
  </si>
  <si>
    <t>Place, Culture and Community : The Irish Heritage of the Ottawa Valley</t>
  </si>
  <si>
    <t>Trew, Johanne Devlin</t>
  </si>
  <si>
    <t>F1035.I6 -- T74 2009eb</t>
  </si>
  <si>
    <t>Canada -- Emigration and immigration.; Ireland -- Emigration and immigration.; Irish -- Ottawa River Valley (Québec and Ont.); Ottawa River Valley (Québec and Ont.) -- Civilization.; Ottawa River Valley (Québec and Ont.) -- Social life and customs.</t>
  </si>
  <si>
    <t>http://public.eblib.com/choice/PublicFullRecord.aspx?p=1165786</t>
  </si>
  <si>
    <t>Allegra</t>
  </si>
  <si>
    <t>PR9199.4.H73 -- A44 2013eb</t>
  </si>
  <si>
    <t>Dancers -- Juvenile fiction.; High schools -- Juvenile fiction.; Performing arts high schools -- Juvenile fiction.; Teacher-student relationships -- Juvenile fiction.</t>
  </si>
  <si>
    <t>http://public.eblib.com/choice/PublicFullRecord.aspx?p=1168351</t>
  </si>
  <si>
    <t>Caching In</t>
  </si>
  <si>
    <t>Butcher, Kristin</t>
  </si>
  <si>
    <t>PR9199.4.B87 -- C32 2013eb</t>
  </si>
  <si>
    <t>Geocaching (Game) -- Fiction.; Treasure troves -- Fiction.</t>
  </si>
  <si>
    <t>http://public.eblib.com/choice/PublicFullRecord.aspx?p=1168352</t>
  </si>
  <si>
    <t>Damage</t>
  </si>
  <si>
    <t>PR9199.4.S73 -- D36 2013eb</t>
  </si>
  <si>
    <t>Alcoholism -- Fiction.; Families -- Fiction.; Kidnapping -- Fiction.; Parent and child -- Fiction.</t>
  </si>
  <si>
    <t>http://public.eblib.com/choice/PublicFullRecord.aspx?p=1168353</t>
  </si>
  <si>
    <t>Deadly</t>
  </si>
  <si>
    <t>Harvey, Sarah N.</t>
  </si>
  <si>
    <t>PS8615.A764 -- D43 2013eb</t>
  </si>
  <si>
    <t>Kidnapping -- Juvenile fiction.; Man-woman relationships -- Juvenile fiction.; Missing persons -- Juvenile fiction.; Young adult fiction.</t>
  </si>
  <si>
    <t>http://public.eblib.com/choice/PublicFullRecord.aspx?p=1168354</t>
  </si>
  <si>
    <t>Lauren Yanofsky Hates the Holocaust</t>
  </si>
  <si>
    <t>PR9199.4.L53 -- L38 2013eb</t>
  </si>
  <si>
    <t>Holocaust, Jewish (1939-1945) -- Fiction.; Jews -- Identity -- Fiction.</t>
  </si>
  <si>
    <t>http://public.eblib.com/choice/PublicFullRecord.aspx?p=1168355</t>
  </si>
  <si>
    <t>Molly's Promise</t>
  </si>
  <si>
    <t>PR9199.4.O47 -- M64 2013eb</t>
  </si>
  <si>
    <t>Mothers and daughters -- Juvenile fiction.; Promises -- Juvenile fiction.; Singers -- Juvenile fiction.</t>
  </si>
  <si>
    <t>http://public.eblib.com/choice/PublicFullRecord.aspx?p=1168356</t>
  </si>
  <si>
    <t>Night Terrors</t>
  </si>
  <si>
    <t>PS3618.O46 -- N54 2013eb</t>
  </si>
  <si>
    <t>Brothers -- Juvenile fiction.; Drowning -- Juvenile fiction.; Nightmares -- Juvenile fiction.; Resorts -- Juvenile fiction.</t>
  </si>
  <si>
    <t>http://public.eblib.com/choice/PublicFullRecord.aspx?p=1168357</t>
  </si>
  <si>
    <t>Poser</t>
  </si>
  <si>
    <t>Hughes, Alison</t>
  </si>
  <si>
    <t>PR9199.4.H84 -- P67 2013eb</t>
  </si>
  <si>
    <t>Friendship -- Juvenile fiction.; Hockey stories.</t>
  </si>
  <si>
    <t>http://public.eblib.com/choice/PublicFullRecord.aspx?p=1168358</t>
  </si>
  <si>
    <t>Stolen</t>
  </si>
  <si>
    <t>PR9199.4.W554 -- S86 2013eb</t>
  </si>
  <si>
    <t>Detective and mystery stories.; Treasure troves -- Fiction.</t>
  </si>
  <si>
    <t>http://public.eblib.com/choice/PublicFullRecord.aspx?p=1168359</t>
  </si>
  <si>
    <t>Tagged</t>
  </si>
  <si>
    <t>PR9199.3.W35 -- T34 2013eb</t>
  </si>
  <si>
    <t>Graffiti -- Fiction.; Mayors -- Fiction.</t>
  </si>
  <si>
    <t>http://public.eblib.com/choice/PublicFullRecord.aspx?p=1168360</t>
  </si>
  <si>
    <t>Whatever Doesn't Kill You</t>
  </si>
  <si>
    <t>Wennick, Elizabeth</t>
  </si>
  <si>
    <t>PR9199.4.W46 -- W42 2013eb</t>
  </si>
  <si>
    <t>Dysfunctional families -- Fiction.; Ex-convicts -- Fiction.; Fathers -- Death -- Fiction.; Murder -- Psychological aspects -- Fiction.</t>
  </si>
  <si>
    <t>http://public.eblib.com/choice/PublicFullRecord.aspx?p=1168361</t>
  </si>
  <si>
    <t>Paradise Garden</t>
  </si>
  <si>
    <t>Talonbooks</t>
  </si>
  <si>
    <t>Frangione, Lucia</t>
  </si>
  <si>
    <t>PR9199.4.F735 -- P372 2011eb</t>
  </si>
  <si>
    <t>Canadian drama.; Canadian literature.</t>
  </si>
  <si>
    <t>http://public.eblib.com/choice/PublicFullRecord.aspx?p=1181640</t>
  </si>
  <si>
    <t>The Refugee Hotel</t>
  </si>
  <si>
    <t>Aguirre, Carmen</t>
  </si>
  <si>
    <t>PR9199.4.A35 -- R44 2010eb</t>
  </si>
  <si>
    <t>Canadian drama.; Refugees -- Drama.</t>
  </si>
  <si>
    <t>http://public.eblib.com/choice/PublicFullRecord.aspx?p=1181656</t>
  </si>
  <si>
    <t>Small Stories, Big Changes : Agents of Change on the Frontlines of Sustainability</t>
  </si>
  <si>
    <t>Estill, Lyle; Orr, David W.</t>
  </si>
  <si>
    <t>Engineering; Engineering: Environmental; Social Science</t>
  </si>
  <si>
    <t>TD171.7 -- S63 2013eb</t>
  </si>
  <si>
    <t>Environmental protection -- Citizen participation -- Case studies.; Environmentalism -- Case studies.; Sustainable living -- Case studies.</t>
  </si>
  <si>
    <t>http://public.eblib.com/choice/PublicFullRecord.aspx?p=1184875</t>
  </si>
  <si>
    <t>Dalen and Gole : Scandal in Port Angus</t>
  </si>
  <si>
    <t>Deas, Mike</t>
  </si>
  <si>
    <t>PR9199.4.D43 -- D35 2011eb</t>
  </si>
  <si>
    <t>Conspiracies -- Juvenile fiction.; Extraterrestrial beings -- Comic books, strips, etc.; Extraterrestrial beings -- Juvenile fiction.; Friendship -- Comic books, strips, etc.; Friendship -- Juvenile fiction.; Human-alien encounters -- Juvenile fiction.</t>
  </si>
  <si>
    <t>http://public.eblib.com/choice/PublicFullRecord.aspx?p=1186808</t>
  </si>
  <si>
    <t>Kat's Fall</t>
  </si>
  <si>
    <t>PZ7.H85613 -- Ka 2004eb</t>
  </si>
  <si>
    <t>Anger.; Deaf children.; False imprisonment.; Mothers and sons.; Self-realization.; Teenage boys -- Family relationships.</t>
  </si>
  <si>
    <t>http://public.eblib.com/choice/PublicFullRecord.aspx?p=1187771</t>
  </si>
  <si>
    <t>Sun Signs</t>
  </si>
  <si>
    <t>PZ7.H85613 -- Su 2005eb</t>
  </si>
  <si>
    <t>Astrology -- Juvenile fiction.; Cancer -- Patients -- Juvenile fiction.; Distance education -- Juvenile fiction.; Electronic mail messages -- Juvenile fiction.; Identity (Psychology) -- Juvenile fiction.; Truthfulness and falsehood -- Juvenile fiction.</t>
  </si>
  <si>
    <t>http://public.eblib.com/choice/PublicFullRecord.aspx?p=1187774</t>
  </si>
  <si>
    <t>Voice of the Valley</t>
  </si>
  <si>
    <t>Koops, Sheena</t>
  </si>
  <si>
    <t>PR9199.4.K66 -- V65 2006eb</t>
  </si>
  <si>
    <t>First loves -- Juvenile fiction.; Ranch life -- Juvenile fiction.</t>
  </si>
  <si>
    <t>http://public.eblib.com/choice/PublicFullRecord.aspx?p=1187775</t>
  </si>
  <si>
    <t>One Peace : True Stories of Young Activists</t>
  </si>
  <si>
    <t>Wilson, Janet</t>
  </si>
  <si>
    <t>JZ5535 -- .W55 2008eb</t>
  </si>
  <si>
    <t>327.1/72</t>
  </si>
  <si>
    <t>Children and peace -- Juvenile literature.; Pacifists -- Juvenile literature.</t>
  </si>
  <si>
    <t>http://public.eblib.com/choice/PublicFullRecord.aspx?p=1187777</t>
  </si>
  <si>
    <t>When the War is Over</t>
  </si>
  <si>
    <t>attema, martha</t>
  </si>
  <si>
    <t>PR91993.4.A88 -- W54 2003eb</t>
  </si>
  <si>
    <t>Bicycle messengers -- Netherlands -- Juvenile fiction.; Netherlands -- History -- German occupation, 1940-1945 -- Juvenile fiction.; World War, 1939-1945 -- Netherlands -- Juvenile fiction.; World War, 1939-1945 -- Underground movements -- Juvenile fiction.</t>
  </si>
  <si>
    <t>http://public.eblib.com/choice/PublicFullRecord.aspx?p=1187778</t>
  </si>
  <si>
    <t>Doors in the Air</t>
  </si>
  <si>
    <t>Weale, David; Pratt, Pierre</t>
  </si>
  <si>
    <t>PR9199.4.W43 -- D66 2012eb</t>
  </si>
  <si>
    <t>Doors -- Juvenile fiction.; Imagination -- Juvenile fiction.; Stories in rhyme -- Juvenile fiction.</t>
  </si>
  <si>
    <t>http://public.eblib.com/choice/PublicFullRecord.aspx?p=1187779</t>
  </si>
  <si>
    <t>Hamsters Holding Hands</t>
  </si>
  <si>
    <t>Reich, Kass</t>
  </si>
  <si>
    <t>Literature; Mathematics</t>
  </si>
  <si>
    <t>PR9199.4.R44 -- H35 2012eb</t>
  </si>
  <si>
    <t>513.2/11</t>
  </si>
  <si>
    <t>Counting -- Juvenile literature.; Hamsters -- Juvenile literature.</t>
  </si>
  <si>
    <t>http://public.eblib.com/choice/PublicFullRecord.aspx?p=1187780</t>
  </si>
  <si>
    <t>La otra vida de Caz : (My Time as Caz Hazard)</t>
  </si>
  <si>
    <t>PR9199.4.K95 -- M9818 2008eb</t>
  </si>
  <si>
    <t>Bullying -- Fiction.; Children of divorced parents -- Fiction.; Problem youth -- Fiction.; Suicide -- Fiction.</t>
  </si>
  <si>
    <t>http://public.eblib.com/choice/PublicFullRecord.aspx?p=1187781</t>
  </si>
  <si>
    <t>Night Boy</t>
  </si>
  <si>
    <t>Carter, Anne; Pelletier, Ninon</t>
  </si>
  <si>
    <t>PS3553.A77319 -- N54 20012eb</t>
  </si>
  <si>
    <t>Brothers and sisters -- Juvenile fiction.; Night -- Juvenile fiction.</t>
  </si>
  <si>
    <t>http://public.eblib.com/choice/PublicFullRecord.aspx?p=1187782</t>
  </si>
  <si>
    <t>En el bosque : (In the Woods)</t>
  </si>
  <si>
    <t>PR9199.4.S84 -- I5818 2012eb</t>
  </si>
  <si>
    <t>Abandoned children -- Fiction.</t>
  </si>
  <si>
    <t>http://public.eblib.com/choice/PublicFullRecord.aspx?p=1187783</t>
  </si>
  <si>
    <t>The Great Garage Sale</t>
  </si>
  <si>
    <t>PR9199.3.H44498 -- G74 2012eb</t>
  </si>
  <si>
    <t>Garage sales -- Juvenile fiction.; Skateboards -- Juvenile fiction.</t>
  </si>
  <si>
    <t>http://public.eblib.com/choice/PublicFullRecord.aspx?p=1187785</t>
  </si>
  <si>
    <t>Little You</t>
  </si>
  <si>
    <t>Van Camp, Richard; Flett, Julie</t>
  </si>
  <si>
    <t>PR9199.3.V356 -- L58 2013eb</t>
  </si>
  <si>
    <t>Curriculum library.; Indians of North America -- Juvenile fiction.; Infants -- Juvenile fiction.; Parent and infant -- Juvenile fiction.</t>
  </si>
  <si>
    <t>http://public.eblib.com/choice/PublicFullRecord.aspx?p=1187786</t>
  </si>
  <si>
    <t>Mooncakes</t>
  </si>
  <si>
    <t>Seto, Loretta; Benoit, Renne</t>
  </si>
  <si>
    <t>PR9199.4.S47 -- M66 2013eb</t>
  </si>
  <si>
    <t>Legends -- China -- Juvenile fiction.; Mid-autumn Festival -- Juvenile fiction.</t>
  </si>
  <si>
    <t>http://public.eblib.com/choice/PublicFullRecord.aspx?p=1187787</t>
  </si>
  <si>
    <t>Pedal It! : How Bicycles are Changing the World</t>
  </si>
  <si>
    <t>Footprints</t>
  </si>
  <si>
    <t>Sport &amp; Recreation; Engineering; Engineering: General</t>
  </si>
  <si>
    <t>GV1043.5 -- .M85 2013eb</t>
  </si>
  <si>
    <t>629.2272; j629.227/2 23</t>
  </si>
  <si>
    <t>Bicycles -- Juvenile literature.; Cycling -- Juvenile literature.</t>
  </si>
  <si>
    <t>http://public.eblib.com/choice/PublicFullRecord.aspx?p=1187788</t>
  </si>
  <si>
    <t>Break Point</t>
  </si>
  <si>
    <t>PR9199.4.J34 -- B73 2013eb</t>
  </si>
  <si>
    <t>Ball games -- Juvenile fiction.; Tennis stories.</t>
  </si>
  <si>
    <t>http://public.eblib.com/choice/PublicFullRecord.aspx?p=1187790</t>
  </si>
  <si>
    <t>Down To Earth : How Kids Help Feed the World</t>
  </si>
  <si>
    <t>Agriculture; Business/Management</t>
  </si>
  <si>
    <t>HD9018.D44 -- T38 2013eb</t>
  </si>
  <si>
    <t>Agriculture -- Developing countries -- Juvenile literature.; Children -- Juvenile literature.; Food supply -- Developing countries -- Juvenile literature.; Livestock -- Developing countries -- Juvenile literature.</t>
  </si>
  <si>
    <t>http://public.eblib.com/choice/PublicFullRecord.aspx?p=1187791</t>
  </si>
  <si>
    <t>The Sea Wolves : Living Wild in the Great Bear Rainforest</t>
  </si>
  <si>
    <t>QL737.C22 -- M3745 2010eb</t>
  </si>
  <si>
    <t>j599.773/097111</t>
  </si>
  <si>
    <t>Great Bear Rainforest (B.C.) -- Juvenile literature.; Rain forest ecology -- British Columbia -- Juvenile literature.; Wolves -- British Columbia -- Great Bear Rainforest -- Juvenile literature.</t>
  </si>
  <si>
    <t>http://public.eblib.com/choice/PublicFullRecord.aspx?p=1187792</t>
  </si>
  <si>
    <t>The Matatu</t>
  </si>
  <si>
    <t>Walters, Eric; Campbell, Eva</t>
  </si>
  <si>
    <t>PR9199.4 -- .W35 2012eb</t>
  </si>
  <si>
    <t>813/.54; jC813/.54</t>
  </si>
  <si>
    <t>Animals -- Juvenile fiction.; Folklore -- Kenya -- Juvenile fiction.; Grandparent and child -- Juvenile fiction.; Kenya -- Juvenile fiction.</t>
  </si>
  <si>
    <t>http://public.eblib.com/choice/PublicFullRecord.aspx?p=1187793</t>
  </si>
  <si>
    <t>Justine McKeen, Eat Your Beets</t>
  </si>
  <si>
    <t>PS3552.R6825 -- J87 2013eb</t>
  </si>
  <si>
    <t>Cats -- Juvenile fiction.; Child environmentalists -- Juvenile fiction.; School lunchrooms, cafeterias, etc. -- Juvenile fiction.</t>
  </si>
  <si>
    <t>http://public.eblib.com/choice/PublicFullRecord.aspx?p=1187794</t>
  </si>
  <si>
    <t>The Trespassers</t>
  </si>
  <si>
    <t>Panych, Morris</t>
  </si>
  <si>
    <t>PR9199.3.P325 -- T754 2010eb</t>
  </si>
  <si>
    <t>Canadian drama -- 21st century.; Drama.</t>
  </si>
  <si>
    <t>http://public.eblib.com/choice/PublicFullRecord.aspx?p=1192044</t>
  </si>
  <si>
    <t>Hurricane Heat</t>
  </si>
  <si>
    <t>Barwin, Steven</t>
  </si>
  <si>
    <t>PR9199.4.B37 -- H87 2013eb</t>
  </si>
  <si>
    <t>Baseball stories.; Brothers and sisters -- Fiction.; Missing persons -- Fiction.</t>
  </si>
  <si>
    <t>http://public.eblib.com/choice/PublicFullRecord.aspx?p=1205624</t>
  </si>
  <si>
    <t>Thunder Creek Ranch</t>
  </si>
  <si>
    <t>PR9199.4.B37 -- T48 2013eb</t>
  </si>
  <si>
    <t>Brothers -- Juvenile fiction.; Farms -- Juvenile fiction.; Floods -- Juvenile fiction.; Storms -- Juvenile fiction.</t>
  </si>
  <si>
    <t>http://public.eblib.com/choice/PublicFullRecord.aspx?p=1205625</t>
  </si>
  <si>
    <t>And Slowly Beauty</t>
  </si>
  <si>
    <t>Nadeau, Michel; Labonté, Maureen</t>
  </si>
  <si>
    <t>PQ2643.E357 -- .A53 2013eb</t>
  </si>
  <si>
    <t>842/.6</t>
  </si>
  <si>
    <t>French-Canadian drama -- Translations into English.</t>
  </si>
  <si>
    <t>http://public.eblib.com/choice/PublicFullRecord.aspx?p=1209142</t>
  </si>
  <si>
    <t>The Art of Focused Conversation : 100 Ways to Access Group Wisdom in the Workplace</t>
  </si>
  <si>
    <t>ICA series</t>
  </si>
  <si>
    <t>Stanfield, R. Brian</t>
  </si>
  <si>
    <t>HD66 -- .A8 2000eb</t>
  </si>
  <si>
    <t>658.4/52</t>
  </si>
  <si>
    <t>Communication in management.; Conversation.; Teams in the workplace.</t>
  </si>
  <si>
    <t>http://public.eblib.com/choice/PublicFullRecord.aspx?p=1209144</t>
  </si>
  <si>
    <t>My TWP Plays : A Collection Including Ten Lost Years</t>
  </si>
  <si>
    <t>Winter, Jack; Barton, Bruce</t>
  </si>
  <si>
    <t>PR9199.3.W5 -- .W568 2013eb</t>
  </si>
  <si>
    <t>Toronto Workshop Productions.</t>
  </si>
  <si>
    <t>http://public.eblib.com/choice/PublicFullRecord.aspx?p=1209146</t>
  </si>
  <si>
    <t>Sharing is Good : How to Save Money, Time and Resources through Collaborative Consumption</t>
  </si>
  <si>
    <t>Buczynski , Beth</t>
  </si>
  <si>
    <t>HD2963 -- .B83 2013eb</t>
  </si>
  <si>
    <t>Cooperation.; Sharing -- Economic aspects.</t>
  </si>
  <si>
    <t>http://public.eblib.com/choice/PublicFullRecord.aspx?p=1321795</t>
  </si>
  <si>
    <t>American Exodus : Climate Change and the Coming Flight for Survival</t>
  </si>
  <si>
    <t>Slade, Giles</t>
  </si>
  <si>
    <t>Social Science; Science: Physics; Science</t>
  </si>
  <si>
    <t>QC903.2.U6 -- S53 2013eb</t>
  </si>
  <si>
    <t>Climatic changes -- Social aspects -- United States.; Environmental refugees -- United States -- Forecasting.</t>
  </si>
  <si>
    <t>http://public.eblib.com/choice/PublicFullRecord.aspx?p=1321796</t>
  </si>
  <si>
    <t>Racial, Ethnic, Gender and Class Representations in Margaret Laurence’s Writings</t>
  </si>
  <si>
    <t>Topor-Constantin, Andreea</t>
  </si>
  <si>
    <t>PN56.V543 -- .T676 2013eb</t>
  </si>
  <si>
    <t>Authenticity (Philosophy) in literature.; Visual perception in literature.; Women and literature -- Canada -- History -- 20th century.</t>
  </si>
  <si>
    <t>http://public.eblib.com/choice/PublicFullRecord.aspx?p=1336806</t>
  </si>
  <si>
    <t>What innovations are needed in the Canadian hotel industry and how might they be implemented to secure the industrys future?</t>
  </si>
  <si>
    <t>Emerald Group Publishing Limited</t>
  </si>
  <si>
    <t>Worldwide Hospitality and Tourism Themes</t>
  </si>
  <si>
    <t>Chandana</t>
  </si>
  <si>
    <t>TX911.2 -- .W43 2013eb</t>
  </si>
  <si>
    <t>Hospitality industry -- Canada.</t>
  </si>
  <si>
    <t>http://public.eblib.com/choice/PublicFullRecord.aspx?p=1355849</t>
  </si>
  <si>
    <t>Minority Populations in Canadian Second Language Education</t>
  </si>
  <si>
    <t>Channel View Publications</t>
  </si>
  <si>
    <t>Multilingual Matters</t>
  </si>
  <si>
    <t>New Perspectives on Language and Education</t>
  </si>
  <si>
    <t>Arnett, Katy; Mady, Callie</t>
  </si>
  <si>
    <t>P57.C3 -- M56 2013eb</t>
  </si>
  <si>
    <t>418.0071/071</t>
  </si>
  <si>
    <t>Education, Bilingual -- Canada.; Language and languages -- Study and teaching -- Canada.; Linguistic minorities -- Canada.; Multicultural education -- Canada.; Second language acquisition -- Study and teaching -- Canada.</t>
  </si>
  <si>
    <t>http://public.eblib.com/choice/PublicFullRecord.aspx?p=1372128</t>
  </si>
  <si>
    <t>So Much It Hurts</t>
  </si>
  <si>
    <t>PR9199.4.P65 -- S6 2013eb</t>
  </si>
  <si>
    <t>Abused teenagers -- Fiction.; Actresses -- Fiction.; Man-woman relationships -- Fiction.; Theatrical producers and directors -- Fiction.</t>
  </si>
  <si>
    <t>http://public.eblib.com/choice/PublicFullRecord.aspx?p=1418316</t>
  </si>
  <si>
    <t>Valentino Pier</t>
  </si>
  <si>
    <t>Coleman, Reed Farrel</t>
  </si>
  <si>
    <t>PS3553.O47445 -- V45 2013eb</t>
  </si>
  <si>
    <t>American literature.; School children -- Fiction.</t>
  </si>
  <si>
    <t>http://public.eblib.com/choice/PublicFullRecord.aspx?p=1418317</t>
  </si>
  <si>
    <t>Baygirl</t>
  </si>
  <si>
    <t>Smith, Heather</t>
  </si>
  <si>
    <t>PR9199.4.S65 -- B39 2013eb</t>
  </si>
  <si>
    <t>Canadian fiction.; Families -- Fiction.</t>
  </si>
  <si>
    <t>http://public.eblib.com/choice/PublicFullRecord.aspx?p=1418318</t>
  </si>
  <si>
    <t>If Only</t>
  </si>
  <si>
    <t>PS3603.I87 -- I3 2013eb</t>
  </si>
  <si>
    <t>Families -- Juvenile fiction.; Twins -- Juvenile fiction.; Violence -- Juvenile fiction.</t>
  </si>
  <si>
    <t>http://public.eblib.com/choice/PublicFullRecord.aspx?p=1418319</t>
  </si>
  <si>
    <t>Just Gone</t>
  </si>
  <si>
    <t>PS3561.O866 -- J87 2013eb</t>
  </si>
  <si>
    <t>Children''s shelters -- Fiction.; Women''s shelters -- Fiction.</t>
  </si>
  <si>
    <t>http://public.eblib.com/choice/PublicFullRecord.aspx?p=1418320</t>
  </si>
  <si>
    <t>Tampered</t>
  </si>
  <si>
    <t>Bossley, Michele Martin</t>
  </si>
  <si>
    <t>PR9199.4.B67 -- T36 2013eb</t>
  </si>
  <si>
    <t>Canadian fiction.; Food adulteration and inspection -- Fiction.</t>
  </si>
  <si>
    <t>http://public.eblib.com/choice/PublicFullRecord.aspx?p=1418321</t>
  </si>
  <si>
    <t>Destination Human</t>
  </si>
  <si>
    <t>PR9199.4.D46 -- D47 2013eb</t>
  </si>
  <si>
    <t>Extraterrestrial beings -- Fiction.; Human-alien encounters -- Fiction.</t>
  </si>
  <si>
    <t>http://public.eblib.com/choice/PublicFullRecord.aspx?p=1418322</t>
  </si>
  <si>
    <t>My Side</t>
  </si>
  <si>
    <t>PR9199.3.M33 -- M9 2013eb</t>
  </si>
  <si>
    <t>Best friends -- Fiction.; Friendship -- Fiction.; Humiliation -- Fiction.</t>
  </si>
  <si>
    <t>http://public.eblib.com/choice/PublicFullRecord.aspx?p=1418323</t>
  </si>
  <si>
    <t>Teaching Green - The High School Years : Hands-on Learning in Grades 9-12</t>
  </si>
  <si>
    <t>Green Teacher</t>
  </si>
  <si>
    <t>Grant, Tim; Littlejohn, Gail</t>
  </si>
  <si>
    <t>GE77 -- .T43 2009eb</t>
  </si>
  <si>
    <t>Ecology -- Study and teaching (Secondary); Environmental education.; Nature study.</t>
  </si>
  <si>
    <t>http://public.eblib.com/choice/PublicFullRecord.aspx?p=1426442</t>
  </si>
  <si>
    <t>The Great Bike Rescue</t>
  </si>
  <si>
    <t>PR9199.4.H88 -- G74 2013eb</t>
  </si>
  <si>
    <t>http://public.eblib.com/choice/PublicFullRecord.aspx?p=1433331</t>
  </si>
  <si>
    <t>Cut the Lights</t>
  </si>
  <si>
    <t>Orca Limelights</t>
  </si>
  <si>
    <t>PR9199.4.K76 -- C88 2013eb</t>
  </si>
  <si>
    <t>One-act plays -- Fiction.; Performing arts -- Fiction.</t>
  </si>
  <si>
    <t>http://public.eblib.com/choice/PublicFullRecord.aspx?p=1433332</t>
  </si>
  <si>
    <t>Triggered</t>
  </si>
  <si>
    <t>PR9199.4.G73 -- T75 2013eb</t>
  </si>
  <si>
    <t>http://public.eblib.com/choice/PublicFullRecord.aspx?p=1433333</t>
  </si>
  <si>
    <t>Crash</t>
  </si>
  <si>
    <t>PR9199.4.C46 -- C73 2013eb</t>
  </si>
  <si>
    <t>http://public.eblib.com/choice/PublicFullRecord.aspx?p=1433334</t>
  </si>
  <si>
    <t>Audacious</t>
  </si>
  <si>
    <t>Prendergast, Gabrielle</t>
  </si>
  <si>
    <t>PS3616.R46 -- A93 2013eb</t>
  </si>
  <si>
    <t>813.54; jC813/.6 23</t>
  </si>
  <si>
    <t>Art -- Fiction.; Novels in verse.</t>
  </si>
  <si>
    <t>http://public.eblib.com/choice/PublicFullRecord.aspx?p=1433335</t>
  </si>
  <si>
    <t>Caught in the Act</t>
  </si>
  <si>
    <t>Loughead, Deb; Longhead, Deb</t>
  </si>
  <si>
    <t>PR9199.4.L68 -- C38 2013eb</t>
  </si>
  <si>
    <t>Adventure stories.; Canadian fiction.</t>
  </si>
  <si>
    <t>http://public.eblib.com/choice/PublicFullRecord.aspx?p=1433336</t>
  </si>
  <si>
    <t>Seconds</t>
  </si>
  <si>
    <t>Taekema, Sylvia</t>
  </si>
  <si>
    <t>PR9199.4.T34 -- S43 2013eb</t>
  </si>
  <si>
    <t>http://public.eblib.com/choice/PublicFullRecord.aspx?p=1433337</t>
  </si>
  <si>
    <t>Totally Unrelated</t>
  </si>
  <si>
    <t>PS9199.4.R93 -- T68 2013eb</t>
  </si>
  <si>
    <t>http://public.eblib.com/choice/PublicFullRecord.aspx?p=1433338</t>
  </si>
  <si>
    <t>Ace's Basement</t>
  </si>
  <si>
    <t>PS3619.T38 -- A34 2013eb</t>
  </si>
  <si>
    <t>American fiction.; American literature.</t>
  </si>
  <si>
    <t>http://public.eblib.com/choice/PublicFullRecord.aspx?p=1433339</t>
  </si>
  <si>
    <t>Attitude</t>
  </si>
  <si>
    <t>PR9199.4.S74 -- A88 2013eb</t>
  </si>
  <si>
    <t>http://public.eblib.com/choice/PublicFullRecord.aspx?p=1433340</t>
  </si>
  <si>
    <t>Who I'm Not</t>
  </si>
  <si>
    <t>PS3619.T38 -- W46 2013eb</t>
  </si>
  <si>
    <t>http://public.eblib.com/choice/PublicFullRecord.aspx?p=1433341</t>
  </si>
  <si>
    <t>The Goddaughter's Revenge</t>
  </si>
  <si>
    <t>PR9199.4.C36 -- G63 2013eb</t>
  </si>
  <si>
    <t>http://public.eblib.com/choice/PublicFullRecord.aspx?p=1433342</t>
  </si>
  <si>
    <t>Diverse Spaces : Identity, Heritage and Community in Canadian Public Culture</t>
  </si>
  <si>
    <t>Ashley, Susan L.T.</t>
  </si>
  <si>
    <t>F1021.2 -- .D58 2013eb</t>
  </si>
  <si>
    <t>Canada -- Civilization.; National characteristics, Canadian.; Regionalism -- Canada.</t>
  </si>
  <si>
    <t>http://public.eblib.com/choice/PublicFullRecord.aspx?p=1477517</t>
  </si>
  <si>
    <t>Brilliant!</t>
  </si>
  <si>
    <t>TJ808.2 -- .M853 2013eb</t>
  </si>
  <si>
    <t>333.79/4</t>
  </si>
  <si>
    <t>Renewable energy sources -- Juvenile literature.</t>
  </si>
  <si>
    <t>http://public.eblib.com/choice/PublicFullRecord.aspx?p=1492909</t>
  </si>
  <si>
    <t>Keeping Ontario Moving : The History of Roads and Road Building in Ontario</t>
  </si>
  <si>
    <t>Bradford, Robert</t>
  </si>
  <si>
    <t>HE357</t>
  </si>
  <si>
    <t>Highway planning -- Canada.; Roads -- Canada -- Design and construction.; Roads -- Canada -- History.; Roads -- Government policy -- Canada.</t>
  </si>
  <si>
    <t>http://public.eblib.com/choice/PublicFullRecord.aspx?p=1498790</t>
  </si>
  <si>
    <t>Write It on Your Heart : The Epic World of an Okanagan Storyteller</t>
  </si>
  <si>
    <t>Robinson, Harry; Wickwire, Wendy</t>
  </si>
  <si>
    <t>E99.O35 -- R63 2004eb</t>
  </si>
  <si>
    <t>398.2/089979</t>
  </si>
  <si>
    <t>Legends.; Okanagan Indians -- Legends.</t>
  </si>
  <si>
    <t>http://public.eblib.com/choice/PublicFullRecord.aspx?p=1507373</t>
  </si>
  <si>
    <t>Living by Stories : A Journey of Landscape and Memory</t>
  </si>
  <si>
    <t>E99.O35 -- R6 2005eb</t>
  </si>
  <si>
    <t>398.2/089/97943</t>
  </si>
  <si>
    <t>Coyote (Legendary character); Indian mythology -- British Columbia.; Legends -- British Columbia.; Okanagan Indians -- Folklore.</t>
  </si>
  <si>
    <t>http://public.eblib.com/choice/PublicFullRecord.aspx?p=1507375</t>
  </si>
  <si>
    <t>Nature Power : In the Spirit of an Okanagan Storyteller</t>
  </si>
  <si>
    <t>Okanagan Indians -- Folklore.</t>
  </si>
  <si>
    <t>http://public.eblib.com/choice/PublicFullRecord.aspx?p=1507378</t>
  </si>
  <si>
    <t>Pirate Island Treasure</t>
  </si>
  <si>
    <t>Helmer, Marilyn; Parkins, David</t>
  </si>
  <si>
    <t>PR9199.4.H45 -- P57 2013eb</t>
  </si>
  <si>
    <t>Historic sites -- Juvenile fiction.; Pirates -- Juvenile fiction.</t>
  </si>
  <si>
    <t>http://public.eblib.com/choice/PublicFullRecord.aspx?p=1543296</t>
  </si>
  <si>
    <t>Justine McKeen and the Bird Nerd</t>
  </si>
  <si>
    <t>Birds -- Juvenile fiction.; Child environmentalists -- Juvenile fiction.</t>
  </si>
  <si>
    <t>http://public.eblib.com/choice/PublicFullRecord.aspx?p=1543297</t>
  </si>
  <si>
    <t>Topspin</t>
  </si>
  <si>
    <t>Sonya Spreen, Bates</t>
  </si>
  <si>
    <t>PR9199.4.B38 -- T66 2013eb</t>
  </si>
  <si>
    <t>Melbourne (Vic.) -- Juvenile fiction.; Tennis players -- Juvenile fiction.</t>
  </si>
  <si>
    <t>http://public.eblib.com/choice/PublicFullRecord.aspx?p=1543298</t>
  </si>
  <si>
    <t>Messy Miranda</t>
  </si>
  <si>
    <t>Szpirglas, Jeff; Saint-Onge, Danielle; Whamond, Dave</t>
  </si>
  <si>
    <t>PR9199.4.S97 -- M4 2013eb</t>
  </si>
  <si>
    <t>Magic -- Juvenile fiction.; Orderliness -- Juvenile fiction.</t>
  </si>
  <si>
    <t>http://public.eblib.com/choice/PublicFullRecord.aspx?p=1543299</t>
  </si>
  <si>
    <t>Europe - Canada : Transcultural Perspectives Perspectives transculturelles</t>
  </si>
  <si>
    <t>Peter Lang GmbH, Internationaler Verlag der Wissenschaften</t>
  </si>
  <si>
    <t>Canadiana</t>
  </si>
  <si>
    <t>Ertler, Klaus-Dieter; Loeschnigg, Martin; Voelkl, Yvonne; Loschnigg, Martin ; Volkl, Yvonne</t>
  </si>
  <si>
    <t>F1021.2 -- .E87 2013eb</t>
  </si>
  <si>
    <t>Canada -- Civilization -- 21st century.; Canada -- Civilization -- European influences.; Canada -- Relations -- Europe.; Canadian literature -- 20th century -- History and criticism.; Canadian literature -- 21st century -- History and criticism.; Europe -- Relations -- Canada.</t>
  </si>
  <si>
    <t>http://public.eblib.com/choice/PublicFullRecord.aspx?p=1564754</t>
  </si>
  <si>
    <t>Salish People : Volume I:The Thompson and the Okanagan</t>
  </si>
  <si>
    <t>Hill-Tout, Charles; Maud, Ralph</t>
  </si>
  <si>
    <t>E99.S21 -- H55 1978eb</t>
  </si>
  <si>
    <t>970.004; 970.00497</t>
  </si>
  <si>
    <t>Salishan Indians.</t>
  </si>
  <si>
    <t>http://public.eblib.com/choice/PublicFullRecord.aspx?p=1574768</t>
  </si>
  <si>
    <t>Needles</t>
  </si>
  <si>
    <t>Deverell, William</t>
  </si>
  <si>
    <t>Business/Management; Economics; Literature</t>
  </si>
  <si>
    <t>PR9199.3.D474 -- N44 2002eb</t>
  </si>
  <si>
    <t>Detective and mystery stories.; Legal stories.</t>
  </si>
  <si>
    <t>http://public.eblib.com/choice/PublicFullRecord.aspx?p=1577485</t>
  </si>
  <si>
    <t>High Crimes</t>
  </si>
  <si>
    <t>Literature; Education</t>
  </si>
  <si>
    <t>PR9199.3.D474 -- H54 2006eb</t>
  </si>
  <si>
    <t>Canadian fiction.; Drug traffic -- Fiction.; Smugglers -- Fiction.</t>
  </si>
  <si>
    <t>http://public.eblib.com/choice/PublicFullRecord.aspx?p=1577486</t>
  </si>
  <si>
    <t>Pro Wrestling Hall of Fame : Tag Teams</t>
  </si>
  <si>
    <t>Pro Wrestling Hall of Fame series</t>
  </si>
  <si>
    <t>Oliver, Greg; Johnson, Steven</t>
  </si>
  <si>
    <t>GV1196.A1 -- O45 2005eb</t>
  </si>
  <si>
    <t>Wrestlers -- Biography.; Wrestlers.; Wrestling.</t>
  </si>
  <si>
    <t>http://public.eblib.com/choice/PublicFullRecord.aspx?p=1577487</t>
  </si>
  <si>
    <t>The Valley</t>
  </si>
  <si>
    <t>MacLeod, Joan</t>
  </si>
  <si>
    <t>PS625.5 -- .J636 2014eb</t>
  </si>
  <si>
    <t>Children''s plays, American.</t>
  </si>
  <si>
    <t>http://public.eblib.com/choice/PublicFullRecord.aspx?p=1577637</t>
  </si>
  <si>
    <t>Broom Broom</t>
  </si>
  <si>
    <t>Hancock, Brecken</t>
  </si>
  <si>
    <t>PR9199.4.H3583 -- .H36 2014eb</t>
  </si>
  <si>
    <t>http://public.eblib.com/choice/PublicFullRecord.aspx?p=1577662</t>
  </si>
  <si>
    <t>I Could See Everything : The Paintings of Margaux Williamson</t>
  </si>
  <si>
    <t>Williamson, Margaux</t>
  </si>
  <si>
    <t>ND240 -- .W555 2014eb</t>
  </si>
  <si>
    <t>Painting, Canadian -- 21st century -- Exhibitions.; Williamson, Margaux -- Exhibitions.</t>
  </si>
  <si>
    <t>http://public.eblib.com/choice/PublicFullRecord.aspx?p=1577672</t>
  </si>
  <si>
    <t>Gods of the Hammer : The Teenage Head Story</t>
  </si>
  <si>
    <t>Exploded Views</t>
  </si>
  <si>
    <t>Pevere, Geoff</t>
  </si>
  <si>
    <t>ML421.B4 -- .P484 2014eb</t>
  </si>
  <si>
    <t>782.42166092/2</t>
  </si>
  <si>
    <t>Beatles.; Rock music.; Teenage Head (Musical group)</t>
  </si>
  <si>
    <t>http://public.eblib.com/choice/PublicFullRecord.aspx?p=1577683</t>
  </si>
  <si>
    <t>The Trouble with Brunch : Work, Class and the Pursuit of Leisure</t>
  </si>
  <si>
    <t>Micallef, Shawn</t>
  </si>
  <si>
    <t>Sport &amp; Recreation; Social Science</t>
  </si>
  <si>
    <t>GV14.45 -- .M533 2014eb</t>
  </si>
  <si>
    <t>Leisure -- Social aspects.; Social classes.</t>
  </si>
  <si>
    <t>http://public.eblib.com/choice/PublicFullRecord.aspx?p=1577716</t>
  </si>
  <si>
    <t>The Littlest Sled Dog</t>
  </si>
  <si>
    <t>Kusugak, Michael; Krykorka, Vladyana</t>
  </si>
  <si>
    <t>PZ10.3.K978 -- Lit 2008eb</t>
  </si>
  <si>
    <t>Cairn terrier -- Juvenile fiction.</t>
  </si>
  <si>
    <t>http://public.eblib.com/choice/PublicFullRecord.aspx?p=1580038</t>
  </si>
  <si>
    <t>Trajectoires et dérives de la littérature-monde : Poétiques de la relation et du divers dans les espaces francophones</t>
  </si>
  <si>
    <t>Francopolyphonies</t>
  </si>
  <si>
    <t>Francis, Cécilia W.; Viau, Robert</t>
  </si>
  <si>
    <t>PQ3897 -- .T735 2013eb</t>
  </si>
  <si>
    <t>African literature (French) -- History and criticism -- Congresses.; French literature -- French-speaking countries -- History and criticism -- Congresses.; French-Canadian literature -- Québec (Province) -- History and criticism -- Congresses.; Literature -- Minority authors -- History and criticism -- Congresses.</t>
  </si>
  <si>
    <t>http://public.eblib.com/choice/PublicFullRecord.aspx?p=1581534</t>
  </si>
  <si>
    <t>Grow a Sustainable Diet : Planning and Growing to Feed Ourselves and the Earth</t>
  </si>
  <si>
    <t>Conner, Cindy</t>
  </si>
  <si>
    <t>S494.5.P47 -- .C666 2014eb</t>
  </si>
  <si>
    <t>Gardening -- Environmental aspects.; Gardens -- Planning.; Organic gardening.; Permaculture.</t>
  </si>
  <si>
    <t>http://public.eblib.com/choice/PublicFullRecord.aspx?p=1584332</t>
  </si>
  <si>
    <t>Margaret Atwood : A Feminist Poetics</t>
  </si>
  <si>
    <t>The New Canadian Criticism Series</t>
  </si>
  <si>
    <t>Davey, Frank</t>
  </si>
  <si>
    <t>PR9199.3.A8 -- .D384 1986eb</t>
  </si>
  <si>
    <t>818/.5409</t>
  </si>
  <si>
    <t>Atwood, Margaret, -- 1939- -- Criticism and interpretation.; Feminism and literature -- Canada -- History -- 20th century.; Women and literature -- Canada -- History -- 20th century.</t>
  </si>
  <si>
    <t>http://public.eblib.com/choice/PublicFullRecord.aspx?p=1584349</t>
  </si>
  <si>
    <t>Think Like a Commoner : A Short Introduction to the Life of the Commons</t>
  </si>
  <si>
    <t>Bollier, David</t>
  </si>
  <si>
    <t>HB501 -- .B655 2014eb</t>
  </si>
  <si>
    <t>Capitalism.; Commons.; Public goods.</t>
  </si>
  <si>
    <t>http://public.eblib.com/choice/PublicFullRecord.aspx?p=1589346</t>
  </si>
  <si>
    <t>India in Canada : Canada in India</t>
  </si>
  <si>
    <t>Gupta, Taniya; Navarro-Tejero, Antonia</t>
  </si>
  <si>
    <t>HM1271 -- .I53 2013eb</t>
  </si>
  <si>
    <t>Canadian literature -- History and criticism.; Cultural fusion -- Canada.; Cultural fusion -- India.; Cultural fusion in literature.; Cultural pluralism -- Canada.; Cultural pluralism -- India.; Cultural pluralism in literature.</t>
  </si>
  <si>
    <t>http://public.eblib.com/choice/PublicFullRecord.aspx?p=1595365</t>
  </si>
  <si>
    <t>Decline and Fall : The End of Empire and the Future of Democracy in 21st Century America</t>
  </si>
  <si>
    <t>JK275 -- .G744 2014eb</t>
  </si>
  <si>
    <t>Democracy -- United States -- Forecasting.; United States -- Civilization -- 21st century -- Forecasting.; United States -- Economic conditions -- 21st century -- Forecasting.; United States -- Politics and government -- 21st century -- Forecasting.</t>
  </si>
  <si>
    <t>http://public.eblib.com/choice/PublicFullRecord.aspx?p=1609800</t>
  </si>
  <si>
    <t>Salish People : Volume II:The Squamish and the Lillooet</t>
  </si>
  <si>
    <t>E99.S21 -- .H54 1978eb</t>
  </si>
  <si>
    <t>970/.004/97</t>
  </si>
  <si>
    <t>http://public.eblib.com/choice/PublicFullRecord.aspx?p=1609805</t>
  </si>
  <si>
    <t>Hot New Thing</t>
  </si>
  <si>
    <t>PR6025.A86 -- .L364 2014eb</t>
  </si>
  <si>
    <t>Actresses -- Fiction.; Hollywood (Los Angeles, Calif.) -- Fiction.; Teenagers -- Fiction.</t>
  </si>
  <si>
    <t>http://public.eblib.com/choice/PublicFullRecord.aspx?p=1619719</t>
  </si>
  <si>
    <t>So Much for Democracy</t>
  </si>
  <si>
    <t>PS3561.I4873 -- .J664 2014eb</t>
  </si>
  <si>
    <t>Brothers and sisters -- Fiction.; Elections -- Ghana -- Fiction.; Families -- Fiction.; Ghana -- Fiction.</t>
  </si>
  <si>
    <t>http://public.eblib.com/choice/PublicFullRecord.aspx?p=1619720</t>
  </si>
  <si>
    <t>Final Crossing</t>
  </si>
  <si>
    <t>PZ7.N24 -- .R636 2014eb</t>
  </si>
  <si>
    <t>Brothers -- Fiction.</t>
  </si>
  <si>
    <t>http://public.eblib.com/choice/PublicFullRecord.aspx?p=1619721</t>
  </si>
  <si>
    <t>On a Scale from Idiot to Complete Jerk</t>
  </si>
  <si>
    <t>PZ7.A1589334 -- .M877 2014eb</t>
  </si>
  <si>
    <t>Middle schools -- Juvenile fiction.; Science projects -- Fiction.; Science projects -- Juvenile fiction.</t>
  </si>
  <si>
    <t>http://public.eblib.com/choice/PublicFullRecord.aspx?p=1619722</t>
  </si>
  <si>
    <t>Capricious</t>
  </si>
  <si>
    <t>PS3553.O883 -- .P746 2014eb</t>
  </si>
  <si>
    <t>Teenagers -- Fiction.</t>
  </si>
  <si>
    <t>http://public.eblib.com/choice/PublicFullRecord.aspx?p=1619723</t>
  </si>
  <si>
    <t>Breathing Fire</t>
  </si>
  <si>
    <t>Tsiang, Sarah Yi-Mei</t>
  </si>
  <si>
    <t>PS3560.E4795 -- .T753 2014eb</t>
  </si>
  <si>
    <t>Foster children -- Fiction.</t>
  </si>
  <si>
    <t>http://public.eblib.com/choice/PublicFullRecord.aspx?p=1619724</t>
  </si>
  <si>
    <t>Warm Up</t>
  </si>
  <si>
    <t>PZ7.A8952 -- .L433 2014eb</t>
  </si>
  <si>
    <t>Dance -- Fiction.</t>
  </si>
  <si>
    <t>http://public.eblib.com/choice/PublicFullRecord.aspx?p=1619725</t>
  </si>
  <si>
    <t>Whisper</t>
  </si>
  <si>
    <t>Struyk-Bonn, Chris</t>
  </si>
  <si>
    <t>PS3608.O48456 -- .S778 2014eb</t>
  </si>
  <si>
    <t>Outcasts -- Fiction.; Young women -- Fiction.</t>
  </si>
  <si>
    <t>http://public.eblib.com/choice/PublicFullRecord.aspx?p=1619726</t>
  </si>
  <si>
    <t>Every Last Drop : Bringing Clean Water Home</t>
  </si>
  <si>
    <t>Orca Footprints</t>
  </si>
  <si>
    <t>Engineering: Environmental; Economics; Engineering; Environmental Studies</t>
  </si>
  <si>
    <t>TD365 -- .M853 2014eb</t>
  </si>
  <si>
    <t>Water quality management -- Juvenile literature.; Water quality management.; Water resources development -- Juvenile literature.; Water resources development.</t>
  </si>
  <si>
    <t>http://public.eblib.com/choice/PublicFullRecord.aspx?p=1619727</t>
  </si>
  <si>
    <t>Love You More</t>
  </si>
  <si>
    <t>Musgrave, Susan; Melo, Esperança</t>
  </si>
  <si>
    <t>PZ7.C55365 -- .M874 2014eb</t>
  </si>
  <si>
    <t>Parent and child -- Fiction.</t>
  </si>
  <si>
    <t>http://public.eblib.com/choice/PublicFullRecord.aspx?p=1619728</t>
  </si>
  <si>
    <t>Juba Good</t>
  </si>
  <si>
    <t>PR6106.O67 -- .D453 2014eb</t>
  </si>
  <si>
    <t>Murder -- Fiction.; Serial murder investigation -- Fiction.</t>
  </si>
  <si>
    <t>http://public.eblib.com/choice/PublicFullRecord.aspx?p=1619730</t>
  </si>
  <si>
    <t>Ospreys in Danger</t>
  </si>
  <si>
    <t>McDowell, Pamela; Charko, Kasia</t>
  </si>
  <si>
    <t>PZ10.3.C946  -- .M33 2014eb</t>
  </si>
  <si>
    <t>Osprey -- Juvenile fiction.</t>
  </si>
  <si>
    <t>http://public.eblib.com/choice/PublicFullRecord.aspx?p=1619731</t>
  </si>
  <si>
    <t>Underhand</t>
  </si>
  <si>
    <t>McIsaac, M.J.</t>
  </si>
  <si>
    <t>PZ7.N24 -- .M357 2014eb</t>
  </si>
  <si>
    <t>http://public.eblib.com/choice/PublicFullRecord.aspx?p=1619732</t>
  </si>
  <si>
    <t>Your Constant Star</t>
  </si>
  <si>
    <t>Hasiuk, Brenda</t>
  </si>
  <si>
    <t>PQ6669.I36 -- .H375 2014eb</t>
  </si>
  <si>
    <t>Teenagers -- Fiction.; Teenagers -- Juvenile fiction.; Winnipeg (Man.) -- Fiction.; Winnipeg (Man.) -- Juvenile fiction.</t>
  </si>
  <si>
    <t>http://public.eblib.com/choice/PublicFullRecord.aspx?p=1619733</t>
  </si>
  <si>
    <t>Bones</t>
  </si>
  <si>
    <t>Literature; Science; Science: Geology</t>
  </si>
  <si>
    <t>QE720 -- .W557 2014eb</t>
  </si>
  <si>
    <t>Alberta -- Fiction.; Dinosaurs -- Fiction.; Paleontological excavations -- Fiction.</t>
  </si>
  <si>
    <t>http://public.eblib.com/choice/PublicFullRecord.aspx?p=1619734</t>
  </si>
  <si>
    <t>Above All Else</t>
  </si>
  <si>
    <t>PZ7.M25643 -- .R677 2014eb</t>
  </si>
  <si>
    <t>Soccer stories.</t>
  </si>
  <si>
    <t>http://public.eblib.com/choice/PublicFullRecord.aspx?p=1619735</t>
  </si>
  <si>
    <t>Saving Sammy</t>
  </si>
  <si>
    <t>Walters, Eric; Meissner, Amy</t>
  </si>
  <si>
    <t>PZ10.3.B728 -- .W35 2014eb</t>
  </si>
  <si>
    <t>Beavers -- Juvenile fiction.</t>
  </si>
  <si>
    <t>http://public.eblib.com/choice/PublicFullRecord.aspx?p=1619736</t>
  </si>
  <si>
    <t>Cabin Girl</t>
  </si>
  <si>
    <t>PZ7.M82545 -- .B883 2014eb</t>
  </si>
  <si>
    <t>Camps -- Fiction.; Ghost stories.</t>
  </si>
  <si>
    <t>http://public.eblib.com/choice/PublicFullRecord.aspx?p=1619737</t>
  </si>
  <si>
    <t>The Boom Room</t>
  </si>
  <si>
    <t>PS3619.E466 -- .B543 2014eb</t>
  </si>
  <si>
    <t>Detective and mystery stories.; Murder -- Investigation -- Fiction.</t>
  </si>
  <si>
    <t>http://public.eblib.com/choice/PublicFullRecord.aspx?p=1619738</t>
  </si>
  <si>
    <t>Bike Thief</t>
  </si>
  <si>
    <t>Feutl, Rita</t>
  </si>
  <si>
    <t>PS3606.A85 -- .F488 2014eb</t>
  </si>
  <si>
    <t>Bicycles -- Fiction.</t>
  </si>
  <si>
    <t>http://public.eblib.com/choice/PublicFullRecord.aspx?p=1619739</t>
  </si>
  <si>
    <t>Big Time</t>
  </si>
  <si>
    <t>PZ7.C366385 -- .R936 2014eb</t>
  </si>
  <si>
    <t>Contests -- Fiction.; Television programs -- Fiction.</t>
  </si>
  <si>
    <t>http://public.eblib.com/choice/PublicFullRecord.aspx?p=1619740</t>
  </si>
  <si>
    <t>Best Friend Trouble</t>
  </si>
  <si>
    <t>Itani, Frances; Després, Geneviève</t>
  </si>
  <si>
    <t>PZ7.B6989 -- .I836 2014eb</t>
  </si>
  <si>
    <t>Best friends -- Juvenile fiction.</t>
  </si>
  <si>
    <t>http://public.eblib.com/choice/PublicFullRecord.aspx?p=1619741</t>
  </si>
  <si>
    <t>Bagels Come Home</t>
  </si>
  <si>
    <t>Stuchner, Joan Betty; Whamond, Dave</t>
  </si>
  <si>
    <t>PZ10.3.L8533 -- .S78 2014eb</t>
  </si>
  <si>
    <t>Dogs -- Juvenile fiction.</t>
  </si>
  <si>
    <t>http://public.eblib.com/choice/PublicFullRecord.aspx?p=1619742</t>
  </si>
  <si>
    <t>Straight Punch</t>
  </si>
  <si>
    <t>PS648.B67 -- .P653 2014eb</t>
  </si>
  <si>
    <t>Boxing stories.; Problem youth -- Fiction.; Reformatories -- Fiction.</t>
  </si>
  <si>
    <t>http://public.eblib.com/choice/PublicFullRecord.aspx?p=1619743</t>
  </si>
  <si>
    <t>Salish People : Volume III:The Mainland Halkomelem</t>
  </si>
  <si>
    <t>E99.S21 -- .S255 1978eb</t>
  </si>
  <si>
    <t>http://public.eblib.com/choice/PublicFullRecord.aspx?p=1630203</t>
  </si>
  <si>
    <t>Les relations Quebec-Canada : Arreter le dialogue de sourds ?</t>
  </si>
  <si>
    <t>Hamel, Pierre; Lacroix, Jean-Michel</t>
  </si>
  <si>
    <t>F1053.2 -- .R453 2013eb</t>
  </si>
  <si>
    <t>Canada -- Ethnic relations -- Congresses.; Canada -- Politics and government -- 20th century.; Québec (Province) -- History -- Autonomy and independence movements.; Québec (Province) -- Politics and government -- 1960-</t>
  </si>
  <si>
    <t>http://public.eblib.com/choice/PublicFullRecord.aspx?p=1632545</t>
  </si>
  <si>
    <t>Earthen Floors : A Modern Approach to an Ancient Practice</t>
  </si>
  <si>
    <t>Reay Crimmel , Sukita; Thomson, James</t>
  </si>
  <si>
    <t>TH2521 -- .C756 2014eb</t>
  </si>
  <si>
    <t>698/.9</t>
  </si>
  <si>
    <t>Flooring.</t>
  </si>
  <si>
    <t>http://public.eblib.com/choice/PublicFullRecord.aspx?p=1649302</t>
  </si>
  <si>
    <t>Growing and Marketing Ginseng, Goldenseal and other Woodland Medicinals</t>
  </si>
  <si>
    <t>Revised</t>
  </si>
  <si>
    <t>Davis, Jeanine; Persons, W. Scott</t>
  </si>
  <si>
    <t>SB295.G5 -- .D38 2007eb</t>
  </si>
  <si>
    <t>633.8/8</t>
  </si>
  <si>
    <t>American ginseng.; Goldenseal.; Medicinal plants.</t>
  </si>
  <si>
    <t>http://public.eblib.com/choice/PublicFullRecord.aspx?p=1649312</t>
  </si>
  <si>
    <t>The Compassionate Hunter's Guidebook : Hunting from the Heart</t>
  </si>
  <si>
    <t>Olson, Miles</t>
  </si>
  <si>
    <t>Science; Sport &amp; Recreation; Science: Zoology</t>
  </si>
  <si>
    <t>QL756.5 -- .O476 2014eb</t>
  </si>
  <si>
    <t>Animals -- Food.; Job hunting.</t>
  </si>
  <si>
    <t>http://public.eblib.com/choice/PublicFullRecord.aspx?p=1649313</t>
  </si>
  <si>
    <t>The Farm Then and Now : A Model for Sustainable Living</t>
  </si>
  <si>
    <t>Stevenson, Douglas</t>
  </si>
  <si>
    <t>S494.5.S86 -- .S748 2014eb</t>
  </si>
  <si>
    <t>333.7209768/432</t>
  </si>
  <si>
    <t>Farm (Summertown, Tenn.); Farm (Summertown, Tenn.) -- History.; Sustainable agriculture -- Tennessee -- Summertown -- Case studies.; Sustainable living -- Tennessee -- Summertown -- Case studies.</t>
  </si>
  <si>
    <t>http://public.eblib.com/choice/PublicFullRecord.aspx?p=1652886</t>
  </si>
  <si>
    <t>Reclaiming the Commons for the Common Good</t>
  </si>
  <si>
    <t>Economics; Psychology</t>
  </si>
  <si>
    <t>BF576 -- .M469 2014eb</t>
  </si>
  <si>
    <t>333.209411/5</t>
  </si>
  <si>
    <t>Emotional intelligence.; Environmental education.</t>
  </si>
  <si>
    <t>http://public.eblib.com/choice/PublicFullRecord.aspx?p=1657484</t>
  </si>
  <si>
    <t>La frontière au quotidien : Expériences des minorités à Ottawa-Gatineau</t>
  </si>
  <si>
    <t>Politique et politiques publiques</t>
  </si>
  <si>
    <t>Gilbert, Anne; Veronis, Luisa; Brosseau, Marc</t>
  </si>
  <si>
    <t>HN110.O5.F76 2014</t>
  </si>
  <si>
    <t>Group identity--National Capital Region (Ont. and Quâebec)</t>
  </si>
  <si>
    <t>http://public.eblib.com/choice/PublicFullRecord.aspx?p=1660374</t>
  </si>
  <si>
    <t>Lasagna : The Man Behind the Mask</t>
  </si>
  <si>
    <t>Cross, Ronald; SÃ©vigny, HÃ©lÃ¨ne</t>
  </si>
  <si>
    <t>E99.M8 -- .C763 2014eb</t>
  </si>
  <si>
    <t>971.4/04/092</t>
  </si>
  <si>
    <t>Cross, Ronald, -- 1957-; Mohawk Indians -- Biography.; Mohawk Indians -- Claims.; QuÃ©bec (Province) -- History -- Native Crisis, 1990.</t>
  </si>
  <si>
    <t>http://public.eblib.com/choice/PublicFullRecord.aspx?p=1674509</t>
  </si>
  <si>
    <t>bpNichol : What History Teaches</t>
  </si>
  <si>
    <t>Scobie, Stephen; Stephen, Scobie</t>
  </si>
  <si>
    <t>PR9199.3.N48 -- .S363 2014eb</t>
  </si>
  <si>
    <t>Canada -- In literature.; Nichol, B. P., -- 1944-1988 -- Criticism and interpretation.</t>
  </si>
  <si>
    <t>http://public.eblib.com/choice/PublicFullRecord.aspx?p=1674515</t>
  </si>
  <si>
    <t>Seeing Red : An Anger Management and Anti-Bullying Curriculum for Kids</t>
  </si>
  <si>
    <t>LB3013.3 -- .S566 2014eb</t>
  </si>
  <si>
    <t>155.4/1247</t>
  </si>
  <si>
    <t>Bullying in schools -- Prevention.; Bullying in schools.; Bullying.</t>
  </si>
  <si>
    <t>http://public.eblib.com/choice/PublicFullRecord.aspx?p=1674523</t>
  </si>
  <si>
    <t>Ce que la rivière nous procurait : Archéologie et histoire du réservoir de l’Eastmain-1</t>
  </si>
  <si>
    <t>Musée canadien de l’histoire</t>
  </si>
  <si>
    <t>La Collection Mercure</t>
  </si>
  <si>
    <t>Bibeau, Pierre; Denton, David; Burroughs, André</t>
  </si>
  <si>
    <t>E99.C88.B746 2015</t>
  </si>
  <si>
    <t>971.4/11500497323</t>
  </si>
  <si>
    <t>Cree Indians--Quâebec (Province)--Eastmain River Region--Antiquities.</t>
  </si>
  <si>
    <t>http://public.eblib.com/choice/PublicFullRecord.aspx?p=1676711</t>
  </si>
  <si>
    <t>Le « moment 68 » et la réinvention de l’Acadie : Le « moment 68 » et la réinvention de l’Acadie</t>
  </si>
  <si>
    <t>Belliveau, Joel</t>
  </si>
  <si>
    <t>LA418.N5.B746 2014</t>
  </si>
  <si>
    <t>Students--Political activity--New Brunswick--Moncton--20th century.</t>
  </si>
  <si>
    <t>http://public.eblib.com/choice/PublicFullRecord.aspx?p=1676714</t>
  </si>
  <si>
    <t>Freshwater Passages : The Trade and Travels of Peter Pond</t>
  </si>
  <si>
    <t>UNP - Nebraska</t>
  </si>
  <si>
    <t>University of Nebraska Press</t>
  </si>
  <si>
    <t>Chapin, David</t>
  </si>
  <si>
    <t>Business/Management; History</t>
  </si>
  <si>
    <t>F1060.7.P78 -- .C48 2014eb</t>
  </si>
  <si>
    <t>381/.4568524092</t>
  </si>
  <si>
    <t>Explorers -- Northwest, Canadian -- Biography.; Fur trade -- Northwest, Canadian.; Fur traders -- Canada, Western -- Biography.; Pond, Peter, -- 1740-1807.</t>
  </si>
  <si>
    <t>http://public.eblib.com/choice/PublicFullRecord.aspx?p=1691701</t>
  </si>
  <si>
    <t>Educating for Action : Strategies to Ignite Social Justice</t>
  </si>
  <si>
    <t>Del Gandio, Jason; Nocella II, Anthony J</t>
  </si>
  <si>
    <t>JX1963 -- .D454 2014eb</t>
  </si>
  <si>
    <t>Peace.; Social action -- United States.; Social change -- United States.; Social justice -- United States.; Social movements -- United States.</t>
  </si>
  <si>
    <t>http://public.eblib.com/choice/PublicFullRecord.aspx?p=1692092</t>
  </si>
  <si>
    <t>Field Exercises : How Veterans Are Healing Themselves through Farming and Outdoor Activities</t>
  </si>
  <si>
    <t>Westlund, Stephanie</t>
  </si>
  <si>
    <t>RC552.P67 -- .W47 2014eb</t>
  </si>
  <si>
    <t>Post-traumatic stress disorder -- Alternative treatment.; Veterans -- Mental health.</t>
  </si>
  <si>
    <t>http://public.eblib.com/choice/PublicFullRecord.aspx?p=1699986</t>
  </si>
  <si>
    <t>The Emergent Agriculture : Farming, Sustainability and the Return of the Local Economy</t>
  </si>
  <si>
    <t>Kleppel, Gary; Ikerd, John</t>
  </si>
  <si>
    <t>S494.5.S86 -- .K547 2014eb</t>
  </si>
  <si>
    <t>Sustainable agriculture -- Economic aspects.; Sustainable agriculture.</t>
  </si>
  <si>
    <t>http://public.eblib.com/choice/PublicFullRecord.aspx?p=1708661</t>
  </si>
  <si>
    <t>Meanwhile : The Critical Writings of bpNichol</t>
  </si>
  <si>
    <t>Nichol, bp; Miki, Roy</t>
  </si>
  <si>
    <t>PR9199.3.N48 -- .M436 2002eb</t>
  </si>
  <si>
    <t>Canadian literature -- History and criticism.; Criticism -- Canada.</t>
  </si>
  <si>
    <t>http://public.eblib.com/choice/PublicFullRecord.aspx?p=1708672</t>
  </si>
  <si>
    <t>Cinema of the Present</t>
  </si>
  <si>
    <t>Robertson, Lisa</t>
  </si>
  <si>
    <t>PN1993.5.A1 -- .R634 2014eb</t>
  </si>
  <si>
    <t>Motion pictures -- History.</t>
  </si>
  <si>
    <t>http://public.eblib.com/choice/PublicFullRecord.aspx?p=1725330</t>
  </si>
  <si>
    <t>Green Home Building : Money-Saving Strategies for an Affordable, Healthy, High-Performance Home</t>
  </si>
  <si>
    <t>Cook, Miki; Garrett, Doug</t>
  </si>
  <si>
    <t>TH4860 -- .C665 2014eb</t>
  </si>
  <si>
    <t>Dwellings -- Energy conservation.; Ecological houses -- Design and construction.; Ecological houses -- Economic aspects.; House construction -- Environmental aspects.</t>
  </si>
  <si>
    <t>http://public.eblib.com/choice/PublicFullRecord.aspx?p=1725334</t>
  </si>
  <si>
    <t>The Inspection House : An Impertinent Field Guide to Modern Surveillance</t>
  </si>
  <si>
    <t>Maly, Tim; Horne, Emily</t>
  </si>
  <si>
    <t>Engineering: Electrical; Engineering; Political Science</t>
  </si>
  <si>
    <t>TK7882.E2 -- .H676 2014eb</t>
  </si>
  <si>
    <t>323.44/82</t>
  </si>
  <si>
    <t>Electronic surveillance.; Privacy, Right of.; Social control.</t>
  </si>
  <si>
    <t>http://public.eblib.com/choice/PublicFullRecord.aspx?p=1725336</t>
  </si>
  <si>
    <t>On Malice</t>
  </si>
  <si>
    <t>Babstock, Ken</t>
  </si>
  <si>
    <t>PR9251 -- .B337 2014eb</t>
  </si>
  <si>
    <t>http://public.eblib.com/choice/PublicFullRecord.aspx?p=1725337</t>
  </si>
  <si>
    <t>Eat Your Greens : The Surprising Power of Homegrown Leaf Crops</t>
  </si>
  <si>
    <t>Kennedy, David</t>
  </si>
  <si>
    <t>SB339 -- .K466 2014eb</t>
  </si>
  <si>
    <t>Edible greens.; Vegetable gardening.</t>
  </si>
  <si>
    <t>http://public.eblib.com/choice/PublicFullRecord.aspx?p=1725340</t>
  </si>
  <si>
    <t>Birth of a Bridge</t>
  </si>
  <si>
    <t>de Kerangal, Maylis; Moore, Jessica</t>
  </si>
  <si>
    <t>PS3505.A87 -- .D454 2014eb</t>
  </si>
  <si>
    <t>Bridges -- Design and construction -- Fiction.; California -- Fiction.</t>
  </si>
  <si>
    <t>http://public.eblib.com/choice/PublicFullRecord.aspx?p=1725347</t>
  </si>
  <si>
    <t>Conceiving Healthy Babies : An Herbal Guide to Support Preconception, Pregnancy and Lactation</t>
  </si>
  <si>
    <t>Combs, Dawn</t>
  </si>
  <si>
    <t>RG559 -- .C663 2014eb</t>
  </si>
  <si>
    <t>Fertility, Human -- Nutritional aspects -- Popular works.; Herbs -- Therapeutic use -- Popular works.; Lactation -- Nutritional aspects -- Popular works.; Preconception care -- Popular works.; Pregnancy -- Nutritional aspects -- Popular works.</t>
  </si>
  <si>
    <t>http://public.eblib.com/choice/PublicFullRecord.aspx?p=1725357</t>
  </si>
  <si>
    <t>Curationism : How Curating Took Over the Art World and Everything Else</t>
  </si>
  <si>
    <t>Balzer, David</t>
  </si>
  <si>
    <t>N410 -- .B359 2014eb</t>
  </si>
  <si>
    <t>Art -- History.; Curatorship -- History.</t>
  </si>
  <si>
    <t>http://public.eblib.com/choice/PublicFullRecord.aspx?p=1725372</t>
  </si>
  <si>
    <t>War Cantata / Child Object</t>
  </si>
  <si>
    <t>Tremblay, Larry; Turnbull, Keith; Bilodeau, Chantal</t>
  </si>
  <si>
    <t>PR9268 -- .T746 2014eb</t>
  </si>
  <si>
    <t>http://public.eblib.com/choice/PublicFullRecord.aspx?p=1725377</t>
  </si>
  <si>
    <t>Common Threads : Weaving Community through Collaborative Eco-Art</t>
  </si>
  <si>
    <t>Kallis, Sharon</t>
  </si>
  <si>
    <t>N6494.E6 -- .K355 2014eb</t>
  </si>
  <si>
    <t>701/.08</t>
  </si>
  <si>
    <t>Ecology in art.; Environment (Art); Environmental protection in art.</t>
  </si>
  <si>
    <t>http://public.eblib.com/choice/PublicFullRecord.aspx?p=1725380</t>
  </si>
  <si>
    <t>Butcher</t>
  </si>
  <si>
    <t>Billon, Nicolas</t>
  </si>
  <si>
    <t>PR9199.4.I45 -- B88 2014eb</t>
  </si>
  <si>
    <t>Anger -- Fiction.; Justice -- Fiction.; Revenge -- Fiction.; Violence -- Fiction.; Violence -- Social aspects -- Fiction.</t>
  </si>
  <si>
    <t>http://public.eblib.com/choice/PublicFullRecord.aspx?p=1725394</t>
  </si>
  <si>
    <t>The Joy of Missing Out : Finding Balance in a Wired World</t>
  </si>
  <si>
    <t>Crook, Christina</t>
  </si>
  <si>
    <t>BF637.C5 -- .C766 2015eb</t>
  </si>
  <si>
    <t>Conduct of life.; Quality of life.; Time management.</t>
  </si>
  <si>
    <t>http://public.eblib.com/choice/PublicFullRecord.aspx?p=1725398</t>
  </si>
  <si>
    <t>The Porcupine Hunter and Other Stories : The Original Tsimshian Texts of Henry Tate</t>
  </si>
  <si>
    <t>Maud, Ralph; Maud, Ralph</t>
  </si>
  <si>
    <t>E99.T8 -- .T37 1993eb</t>
  </si>
  <si>
    <t>398.2/0899790711</t>
  </si>
  <si>
    <t>Legends -- British Columbia.; Tsimshian Indians -- Folklore.</t>
  </si>
  <si>
    <t>http://public.eblib.com/choice/PublicFullRecord.aspx?p=1725416</t>
  </si>
  <si>
    <t>The Sleepworker</t>
  </si>
  <si>
    <t>Martinez, Cyrille; Stancil, Joseph  Patrick</t>
  </si>
  <si>
    <t>PS3564.E67 -- .M378 2014eb</t>
  </si>
  <si>
    <t>843/.92</t>
  </si>
  <si>
    <t>Artists -- New York (State) -- New York -- Fiction.; New York (N.Y.) -- Fiction.</t>
  </si>
  <si>
    <t>http://public.eblib.com/choice/PublicFullRecord.aspx?p=1725421</t>
  </si>
  <si>
    <t>DOWN</t>
  </si>
  <si>
    <t>Dowling, Sarah</t>
  </si>
  <si>
    <t>PS595.L6 -- .D695 2014eb</t>
  </si>
  <si>
    <t>Love poetry, American.</t>
  </si>
  <si>
    <t>http://public.eblib.com/choice/PublicFullRecord.aspx?p=1725429</t>
  </si>
  <si>
    <t>Coming Back to Life : The Updated Guide to the Work that Reconnects</t>
  </si>
  <si>
    <t>Macy, Joanna; Young Brown, Molly; Fox, Matthew</t>
  </si>
  <si>
    <t>BF637.S4 -- .M339 2014eb</t>
  </si>
  <si>
    <t>Human ecology -- Religious aspects.; Nature -- Effect of human beings on.; Self-actualization (Psychology)</t>
  </si>
  <si>
    <t>http://public.eblib.com/choice/PublicFullRecord.aspx?p=1725436</t>
  </si>
  <si>
    <t>Horizons North : Contact, Culture and Education in Canada</t>
  </si>
  <si>
    <t>Matheson, Sue; Butler,  John Anthony</t>
  </si>
  <si>
    <t>E78.C2 -- H67 2013eb</t>
  </si>
  <si>
    <t>303.48/2; 303.482; 306.0971</t>
  </si>
  <si>
    <t>Indians of North America -- Education -- Canada.; Indians of North America.; Indigenous peoples -- Canada.</t>
  </si>
  <si>
    <t>http://public.eblib.com/choice/PublicFullRecord.aspx?p=1753144</t>
  </si>
  <si>
    <t>Life or Death : A Matter of Choice?</t>
  </si>
  <si>
    <t>Understanding Canadian Law</t>
  </si>
  <si>
    <t>Baum, Daniel J.</t>
  </si>
  <si>
    <t>KE3648.B386 2015</t>
  </si>
  <si>
    <t>344.7104/19</t>
  </si>
  <si>
    <t>Patients--Legal status, laws, etc.--Canada.</t>
  </si>
  <si>
    <t>http://public.eblib.com/choice/PublicFullRecord.aspx?p=1761946</t>
  </si>
  <si>
    <t>Off Pointe</t>
  </si>
  <si>
    <t>PZ5.C18435 -- .L543 2014eb</t>
  </si>
  <si>
    <t>Ballet -- Fiction.; Ballet -- Juvenile fiction.; Camps -- Fiction.; Camps -- Juvenile fiction.</t>
  </si>
  <si>
    <t>http://public.eblib.com/choice/PublicFullRecord.aspx?p=1762058</t>
  </si>
  <si>
    <t>Honeycomb</t>
  </si>
  <si>
    <t>McCowan, Patricia</t>
  </si>
  <si>
    <t>PZ7.S914 -- .M336 2014eb</t>
  </si>
  <si>
    <t>Performing arts -- Fiction.</t>
  </si>
  <si>
    <t>http://public.eblib.com/choice/PublicFullRecord.aspx?p=1762059</t>
  </si>
  <si>
    <t>Search and Rescue</t>
  </si>
  <si>
    <t>Anderson-Dargatz, Gail</t>
  </si>
  <si>
    <t>PZ7.S55987 -- .A534 2014eb</t>
  </si>
  <si>
    <t>Rescue work -- Fiction.</t>
  </si>
  <si>
    <t>http://public.eblib.com/choice/PublicFullRecord.aspx?p=1762060</t>
  </si>
  <si>
    <t>About That Night</t>
  </si>
  <si>
    <t>PQ6668.U3238 -- .M335 2014eb</t>
  </si>
  <si>
    <t>Mystery fiction.</t>
  </si>
  <si>
    <t>http://public.eblib.com/choice/PublicFullRecord.aspx?p=1762061</t>
  </si>
  <si>
    <t>Forcing the Ace</t>
  </si>
  <si>
    <t>PZ7.S914 -- .T466 2014eb</t>
  </si>
  <si>
    <t>http://public.eblib.com/choice/PublicFullRecord.aspx?p=1762062</t>
  </si>
  <si>
    <t>The Way Back</t>
  </si>
  <si>
    <t>PR4560 -- .M33 2014eb</t>
  </si>
  <si>
    <t>http://public.eblib.com/choice/PublicFullRecord.aspx?p=1762063</t>
  </si>
  <si>
    <t>If It Bleeds</t>
  </si>
  <si>
    <t>Richards, Linda L.</t>
  </si>
  <si>
    <t>PS3623.A3585 -- .R534 2014eb</t>
  </si>
  <si>
    <t>Investigative reporting -- Fiction.</t>
  </si>
  <si>
    <t>http://public.eblib.com/choice/PublicFullRecord.aspx?p=1762064</t>
  </si>
  <si>
    <t>The Big Apple Effect</t>
  </si>
  <si>
    <t>PZ7.M35672 -- .G647 2014eb</t>
  </si>
  <si>
    <t>Friendship -- Fiction.; Mothers and daughters -- Fiction.</t>
  </si>
  <si>
    <t>http://public.eblib.com/choice/PublicFullRecord.aspx?p=1762065</t>
  </si>
  <si>
    <t>The Innocence Device</t>
  </si>
  <si>
    <t>PS3552.R28 -- .K693 2014eb</t>
  </si>
  <si>
    <t>Prisoners -- Fiction.</t>
  </si>
  <si>
    <t>http://public.eblib.com/choice/PublicFullRecord.aspx?p=1762066</t>
  </si>
  <si>
    <t>Hate Mail</t>
  </si>
  <si>
    <t>PR4560 -- .P653 2014eb</t>
  </si>
  <si>
    <t>http://public.eblib.com/choice/PublicFullRecord.aspx?p=1762067</t>
  </si>
  <si>
    <t>Homecoming</t>
  </si>
  <si>
    <t>Dakers, Diane</t>
  </si>
  <si>
    <t>PR9639.3.P47 -- .D354 2014eb</t>
  </si>
  <si>
    <t>Young adults -- Fiction.</t>
  </si>
  <si>
    <t>http://public.eblib.com/choice/PublicFullRecord.aspx?p=1762068</t>
  </si>
  <si>
    <t>The Artful Goddaughter</t>
  </si>
  <si>
    <t>PR9619.3.D56 -- .C367 2014eb</t>
  </si>
  <si>
    <t>Jewel thieves -- Fiction.</t>
  </si>
  <si>
    <t>http://public.eblib.com/choice/PublicFullRecord.aspx?p=1762069</t>
  </si>
  <si>
    <t>Hanging Fred and a Few Others : Painters of the Eastern Townships</t>
  </si>
  <si>
    <t>Fonda, Nick</t>
  </si>
  <si>
    <t>ND249 -- .F663 2014eb</t>
  </si>
  <si>
    <t>Coburn, Frederick Simpson, -- 1871-1960.; Painters -- Canada -- Biography.</t>
  </si>
  <si>
    <t>http://public.eblib.com/choice/PublicFullRecord.aspx?p=1763851</t>
  </si>
  <si>
    <t>A Guide to B.C. Indian Myth and Legend</t>
  </si>
  <si>
    <t>Maud, Ralph</t>
  </si>
  <si>
    <t>Z1209.2.C22 -- .M383 2014eb</t>
  </si>
  <si>
    <t>016.9711/00497</t>
  </si>
  <si>
    <t>Ethnology -- British Columbia -- History.; Indian mythology -- British Columbia.; Indians of North America -- British Columbia -- Folklore -- Bibliography.</t>
  </si>
  <si>
    <t>http://public.eblib.com/choice/PublicFullRecord.aspx?p=1768203</t>
  </si>
  <si>
    <t>Transmission Difficulties : Franz Boas and Tsimshian Mythology</t>
  </si>
  <si>
    <t>E99.T8 -- .M38 2014eb</t>
  </si>
  <si>
    <t>306/.089/9741</t>
  </si>
  <si>
    <t>Boas, Franz, -- 1858-1942.; Ethnology -- North America -- History.; Ethnology -- North America -- Methodology.; Tate, Henry W.; Tsimshian Indians -- Historiography.; Tsimshian mythology.</t>
  </si>
  <si>
    <t>http://public.eblib.com/choice/PublicFullRecord.aspx?p=1777139</t>
  </si>
  <si>
    <t>An Error in Judgement</t>
  </si>
  <si>
    <t>Culhane, Dara</t>
  </si>
  <si>
    <t>RA450.B8 -- .C854 1987eb</t>
  </si>
  <si>
    <t>Medical care -- British Columbia.</t>
  </si>
  <si>
    <t>http://public.eblib.com/choice/PublicFullRecord.aspx?p=1777140</t>
  </si>
  <si>
    <t>Coprésences, entrecroisements : Le pictural et le narratif chez Marie-Claire Blais et Sergio Kokis</t>
  </si>
  <si>
    <t>Chiasma</t>
  </si>
  <si>
    <t>Bell, Kirsty</t>
  </si>
  <si>
    <t>PQ3919.B6 -- .B455 2014eb</t>
  </si>
  <si>
    <t>Blais, Marie-Claire, -- 1939- -- Criticism and interpretation.; Kokis, Sergio, -- 1944- -- Criticism and interpretation.</t>
  </si>
  <si>
    <t>http://public.eblib.com/choice/PublicFullRecord.aspx?p=1777835</t>
  </si>
  <si>
    <t>Inner Places : The Life of David Milne</t>
  </si>
  <si>
    <t>King, James</t>
  </si>
  <si>
    <t>ND249.M5.K564 2015</t>
  </si>
  <si>
    <t>Painters--Canada--Biography.</t>
  </si>
  <si>
    <t>http://public.eblib.com/choice/PublicFullRecord.aspx?p=1779280</t>
  </si>
  <si>
    <t>Timothy Findley and the Aesthetics of Fascism : Intertextual Collaboration and Resistance</t>
  </si>
  <si>
    <t>Bailey, Anne Geddes</t>
  </si>
  <si>
    <t>PR9199.3.F52 -- .B355 2014eb</t>
  </si>
  <si>
    <t>Fascism and culture in literature.; Findley, Timothy -- Criticism and interpretation.; Modernism (Literature) -- Canada.; Political fiction, Canadian -- History and criticism.; Violence in literature.</t>
  </si>
  <si>
    <t>http://public.eblib.com/choice/PublicFullRecord.aspx?p=1780923</t>
  </si>
  <si>
    <t>Anarcho-Modernism : Toward a New Critical Theory in Honour of Jerry Zaslove</t>
  </si>
  <si>
    <t>Angus, Ian</t>
  </si>
  <si>
    <t>HM621 -- .A53 2014eb</t>
  </si>
  <si>
    <t>Anarchism.; Culture.; Education.; Modernism (Literature); Politics and culture.</t>
  </si>
  <si>
    <t>http://public.eblib.com/choice/PublicFullRecord.aspx?p=1780933</t>
  </si>
  <si>
    <t>Double You</t>
  </si>
  <si>
    <t>The Seven Sequels</t>
  </si>
  <si>
    <t>PS3616.E23 -- D68 2014eb</t>
  </si>
  <si>
    <t>Suspense fiction, American.</t>
  </si>
  <si>
    <t>http://public.eblib.com/choice/PublicFullRecord.aspx?p=1794076</t>
  </si>
  <si>
    <t>From the Dead</t>
  </si>
  <si>
    <t>PS3613.C35 -- F76 2014eb</t>
  </si>
  <si>
    <t>Treasure troves -- Fiction.</t>
  </si>
  <si>
    <t>http://public.eblib.com/choice/PublicFullRecord.aspx?p=1794077</t>
  </si>
  <si>
    <t>Sleeper</t>
  </si>
  <si>
    <t>PS3623.A48 -- S54 2014eb</t>
  </si>
  <si>
    <t>American fiction.</t>
  </si>
  <si>
    <t>http://public.eblib.com/choice/PublicFullRecord.aspx?p=1794079</t>
  </si>
  <si>
    <t>Take Shelter : At Home Around the World</t>
  </si>
  <si>
    <t>Tate, Nikki; Tate-Stratton, Dani</t>
  </si>
  <si>
    <t>GT172 -- .T384 2014eb</t>
  </si>
  <si>
    <t>392.3/6</t>
  </si>
  <si>
    <t>Architecture, Domestic -- Juvenile literature.; Architecture, Domestic.; Dwellings -- Juvenile literature.</t>
  </si>
  <si>
    <t>http://public.eblib.com/choice/PublicFullRecord.aspx?p=1794085</t>
  </si>
  <si>
    <t>Alibi</t>
  </si>
  <si>
    <t>PS3602.U83 -- A45 2014eb</t>
  </si>
  <si>
    <t>Alibi -- Juvenile fiction.</t>
  </si>
  <si>
    <t>http://public.eblib.com/choice/PublicFullRecord.aspx?p=1794087</t>
  </si>
  <si>
    <t>Rails to the Atlantic : Exploring the Railway Heritage of Quebec and the Atlantic Provinces</t>
  </si>
  <si>
    <t>Brown, Ron</t>
  </si>
  <si>
    <t>Engineering; Engineering: Civil; Business/Management</t>
  </si>
  <si>
    <t>TF26.B769 2015</t>
  </si>
  <si>
    <t>Railroads--Quâebec (Province)--History.</t>
  </si>
  <si>
    <t>http://public.eblib.com/choice/PublicFullRecord.aspx?p=1810248</t>
  </si>
  <si>
    <t>Queen at the Council Fire : The Treaty of Niagara, Reconciliation, and the Dignified Crown in Canada</t>
  </si>
  <si>
    <t>Institute for the Study of the Crown in Canada</t>
  </si>
  <si>
    <t>Tidridge, Nathan</t>
  </si>
  <si>
    <t>KE7709.T537 2015</t>
  </si>
  <si>
    <t>342.7108/72</t>
  </si>
  <si>
    <t>Indians of North America--Canada--Treaties.</t>
  </si>
  <si>
    <t>http://public.eblib.com/choice/PublicFullRecord.aspx?p=1810250</t>
  </si>
  <si>
    <t>For Valour : Canadians and the Victoria Cross in the Great War</t>
  </si>
  <si>
    <t>Gliddon, Gerald; Cooksley, Peter G ; Snelling, Stephen</t>
  </si>
  <si>
    <t>History; Military Science</t>
  </si>
  <si>
    <t>CR4885.F67 2015</t>
  </si>
  <si>
    <t>355.1/3420971</t>
  </si>
  <si>
    <t>Victoria Cross--Biography.</t>
  </si>
  <si>
    <t>http://public.eblib.com/choice/PublicFullRecord.aspx?p=1810251</t>
  </si>
  <si>
    <t>’Membering</t>
  </si>
  <si>
    <t>Clarke, Austin</t>
  </si>
  <si>
    <t>PR9199.3.C526.C537 2015</t>
  </si>
  <si>
    <t>Clarke, Austin -- Biography.; Clarke, Austin, 1896-1974.; English literature -- Irish authors -- History and criticism.</t>
  </si>
  <si>
    <t>http://public.eblib.com/choice/PublicFullRecord.aspx?p=1810252</t>
  </si>
  <si>
    <t>Murder in the Family : The Dr. King Story</t>
  </si>
  <si>
    <t>Buchanan, Dan</t>
  </si>
  <si>
    <t>HV6535.C23.B834 2015</t>
  </si>
  <si>
    <t>364.152/30971357</t>
  </si>
  <si>
    <t>Murder--Ontario--Brighton.</t>
  </si>
  <si>
    <t>http://public.eblib.com/choice/PublicFullRecord.aspx?p=1810253</t>
  </si>
  <si>
    <t>New Urban Agenda : The Greater Toronto and Hamilton Area</t>
  </si>
  <si>
    <t>Freeman, Bill</t>
  </si>
  <si>
    <t>HT169.C32.F744 2015</t>
  </si>
  <si>
    <t>307.1/21609713541</t>
  </si>
  <si>
    <t>City planning--Political aspects--Ontario--Toronto Region.</t>
  </si>
  <si>
    <t>http://public.eblib.com/choice/PublicFullRecord.aspx?p=1810254</t>
  </si>
  <si>
    <t>Real Goods Solar Living Sourcebook : Your Complete Guide to Living beyond the Grid with Renewable Energy Technologies and Sustainable Living</t>
  </si>
  <si>
    <t>Schaeffer, John</t>
  </si>
  <si>
    <t>Engineering: Mechanical; Engineering; Engineering: General</t>
  </si>
  <si>
    <t>TJ810 -- .S33 2015eb</t>
  </si>
  <si>
    <t>Renewable energy sources.; Solar energy.</t>
  </si>
  <si>
    <t>http://public.eblib.com/choice/PublicFullRecord.aspx?p=1811374</t>
  </si>
  <si>
    <t>The Pleasure of the Crown : Anthropology, Law and First Nations</t>
  </si>
  <si>
    <t>KEB529.5.L3 -- .C85 2014eb</t>
  </si>
  <si>
    <t>346.71104/32</t>
  </si>
  <si>
    <t>Gitksan Indians -- Claims.; Land tenure -- Law and legislation -- British Columbia.; Law and anthropology.; Wet''suwet''en Indians -- Claims.</t>
  </si>
  <si>
    <t>http://public.eblib.com/choice/PublicFullRecord.aspx?p=1826390</t>
  </si>
  <si>
    <t>Justine Mckeen vs. the Queen of Mean</t>
  </si>
  <si>
    <t>Orcha Echoes</t>
  </si>
  <si>
    <t>PS3602.R68 -- J87 2014eb</t>
  </si>
  <si>
    <t>Practical jokes -- Juvenile fiction.</t>
  </si>
  <si>
    <t>http://public.eblib.com/choice/PublicFullRecord.aspx?p=1826904</t>
  </si>
  <si>
    <t>Soapstone Signs</t>
  </si>
  <si>
    <t>Pinkney, Jeff; Gait, Darlene</t>
  </si>
  <si>
    <t>PS3616.I55 -- S63 2014eb</t>
  </si>
  <si>
    <t>Outdoor recreation -- Juvenile fiction.</t>
  </si>
  <si>
    <t>http://public.eblib.com/choice/PublicFullRecord.aspx?p=1826905</t>
  </si>
  <si>
    <t>Skye Above</t>
  </si>
  <si>
    <t>PS3623.A48 -- S59 2014eb</t>
  </si>
  <si>
    <t>Air travel -- Juvenile fiction.</t>
  </si>
  <si>
    <t>http://public.eblib.com/choice/PublicFullRecord.aspx?p=1826906</t>
  </si>
  <si>
    <t>Siege</t>
  </si>
  <si>
    <t>PS3616.E27 -- S54 2014eb</t>
  </si>
  <si>
    <t>State of siege -- Juvenile fiction.</t>
  </si>
  <si>
    <t>http://public.eblib.com/choice/PublicFullRecord.aspx?p=1826907</t>
  </si>
  <si>
    <t>Hardball</t>
  </si>
  <si>
    <t>PR9199.4.B37 -- H37 2014eb</t>
  </si>
  <si>
    <t>Baseball stories.; Junior high school boys -- Fiction.</t>
  </si>
  <si>
    <t>http://public.eblib.com/choice/PublicFullRecord.aspx?p=1826964</t>
  </si>
  <si>
    <t>George Bowering : Bright Circles of Colour</t>
  </si>
  <si>
    <t>KrÃ¶ller, Eva-Marie; Kroeller, Eva-Marie</t>
  </si>
  <si>
    <t>PR9199.3.B63 -- .K765 2014eb</t>
  </si>
  <si>
    <t>818/.5407</t>
  </si>
  <si>
    <t>Bowering, George, -- 1935- -- Criticism and interpretation.; Canada -- In literature.</t>
  </si>
  <si>
    <t>http://public.eblib.com/choice/PublicFullRecord.aspx?p=1866970</t>
  </si>
  <si>
    <t>Tru Detective</t>
  </si>
  <si>
    <t>McClintock, Norah; Hughes, Steven P.</t>
  </si>
  <si>
    <t>PN6767.C377 -- .M335 2014eb</t>
  </si>
  <si>
    <t>741.5/971</t>
  </si>
  <si>
    <t>Detective and mystery comic books, strips, etc.; Detective and mystery comic books, strips, etc. -- Fiction.</t>
  </si>
  <si>
    <t>http://public.eblib.com/choice/PublicFullRecord.aspx?p=1873212</t>
  </si>
  <si>
    <t>Learning the Ropes</t>
  </si>
  <si>
    <t>PS3607.R696 -- .P653 2015eb</t>
  </si>
  <si>
    <t>Circus -- Fiction.</t>
  </si>
  <si>
    <t>http://public.eblib.com/choice/PublicFullRecord.aspx?p=1873213</t>
  </si>
  <si>
    <t>Rock the Boat</t>
  </si>
  <si>
    <t>BF1091 -- .B768 2015eb</t>
  </si>
  <si>
    <t>Dreams -- Juvenile literature.</t>
  </si>
  <si>
    <t>http://public.eblib.com/choice/PublicFullRecord.aspx?p=1873214</t>
  </si>
  <si>
    <t>The Frail Days</t>
  </si>
  <si>
    <t>PR9199.4.P74 -- F73 2015eb</t>
  </si>
  <si>
    <t>Bands (Music) -- Fiction.; Rock music -- Fiction.; Teenagers -- Fiction.; Young adult fiction, Canadian.</t>
  </si>
  <si>
    <t>http://public.eblib.com/choice/PublicFullRecord.aspx?p=1873215</t>
  </si>
  <si>
    <t>Bagels the Brave</t>
  </si>
  <si>
    <t>PZ7.E72556 -- .S783 2015eb</t>
  </si>
  <si>
    <t>Camping -- Fiction.; Dogs -- Fiction.</t>
  </si>
  <si>
    <t>http://public.eblib.com/choice/PublicFullRecord.aspx?p=1873216</t>
  </si>
  <si>
    <t>The Boardwalk</t>
  </si>
  <si>
    <t>PZ7.P148 -- .C654 2015eb</t>
  </si>
  <si>
    <t>Murder -- Fiction.; Private investigators -- Fiction.</t>
  </si>
  <si>
    <t>http://public.eblib.com/choice/PublicFullRecord.aspx?p=1873217</t>
  </si>
  <si>
    <t>The World Without Us</t>
  </si>
  <si>
    <t>PZ7.M35672 -- .S748 2015eb</t>
  </si>
  <si>
    <t>Friendship -- Fiction.</t>
  </si>
  <si>
    <t>http://public.eblib.com/choice/PublicFullRecord.aspx?p=1873218</t>
  </si>
  <si>
    <t>More Blueberries!</t>
  </si>
  <si>
    <t>Musgrave, Susan; Melo, Esperanca</t>
  </si>
  <si>
    <t>SB386.B7 -- .M874 2015eb</t>
  </si>
  <si>
    <t>Blueberries -- Fiction.</t>
  </si>
  <si>
    <t>http://public.eblib.com/choice/PublicFullRecord.aspx?p=1873219</t>
  </si>
  <si>
    <t>Trash Talk : Moving Toward a Zero-Waste World</t>
  </si>
  <si>
    <t>Engineering: Environmental; Engineering; Environmental Studies</t>
  </si>
  <si>
    <t>TD791 -- .M853 2015eb</t>
  </si>
  <si>
    <t>Refuse and refuse disposal -- Juvenile literature.; Refuse and refuse disposal.</t>
  </si>
  <si>
    <t>http://public.eblib.com/choice/PublicFullRecord.aspx?p=1873220</t>
  </si>
  <si>
    <t>Not For Sale</t>
  </si>
  <si>
    <t>Cassidy, Sara; Flook, Helen</t>
  </si>
  <si>
    <t>PS3551.R4678 -- .C377 2015eb</t>
  </si>
  <si>
    <t>Adopted children -- Fiction.; Moving, Household -- Fiction.</t>
  </si>
  <si>
    <t>http://public.eblib.com/choice/PublicFullRecord.aspx?p=1873221</t>
  </si>
  <si>
    <t>Button Hill</t>
  </si>
  <si>
    <t>Bradford, Michael</t>
  </si>
  <si>
    <t>PR9199.4.B733 -- B88 2015eb</t>
  </si>
  <si>
    <t>Brothers and sisters -- Juvenile fiction.; Children''s stories, Canadian.; Fantasy fiction, Canadian.</t>
  </si>
  <si>
    <t>http://public.eblib.com/choice/PublicFullRecord.aspx?p=1873222</t>
  </si>
  <si>
    <t>Eye Sore</t>
  </si>
  <si>
    <t>PZ7.L4384 -- .J335 2015eb</t>
  </si>
  <si>
    <t>Ferris wheels -- Fiction.; Teenage boys -- Fiction.; Vertigo -- Fiction.</t>
  </si>
  <si>
    <t>http://public.eblib.com/choice/PublicFullRecord.aspx?p=1873223</t>
  </si>
  <si>
    <t>X Marks the Spot</t>
  </si>
  <si>
    <t>PZ7.B7576 -- .S975 2015eb</t>
  </si>
  <si>
    <t>Responsibility -- Fiction.; School children -- Fiction.; School field trips -- Fiction.</t>
  </si>
  <si>
    <t>http://public.eblib.com/choice/PublicFullRecord.aspx?p=1873224</t>
  </si>
  <si>
    <t>Lost in the Backyard</t>
  </si>
  <si>
    <t>PR9199.4.H844 -- L88 2015eb</t>
  </si>
  <si>
    <t>Boys -- Juvenile fiction.; Children''s stories, Canadian.; Outdoor life -- Juvenile fiction.; Wilderness survival -- Juvenile fiction.</t>
  </si>
  <si>
    <t>http://public.eblib.com/choice/PublicFullRecord.aspx?p=1873225</t>
  </si>
  <si>
    <t>Blank</t>
  </si>
  <si>
    <t>St. Jean, Trina</t>
  </si>
  <si>
    <t>PS3573.I237 -- .S754 2015eb</t>
  </si>
  <si>
    <t>Accident victims -- Fiction.; Amnesia -- Fiction.; Teenagers -- Fiction.</t>
  </si>
  <si>
    <t>http://public.eblib.com/choice/PublicFullRecord.aspx?p=1873226</t>
  </si>
  <si>
    <t>Tank &amp; Fizz: The Case of the Slime Stampede</t>
  </si>
  <si>
    <t>O'Donnell, Liam; Deas, Mike</t>
  </si>
  <si>
    <t>PN6071.D45 -- .O366 2015eb</t>
  </si>
  <si>
    <t>Detective and mystery stories -- Fiction.</t>
  </si>
  <si>
    <t>http://public.eblib.com/choice/PublicFullRecord.aspx?p=1873227</t>
  </si>
  <si>
    <t>Disappearing Act</t>
  </si>
  <si>
    <t>Campbell Gaetz, Dayle</t>
  </si>
  <si>
    <t>PZ7.P148 -- .C367 2015eb</t>
  </si>
  <si>
    <t>http://public.eblib.com/choice/PublicFullRecord.aspx?p=1873228</t>
  </si>
  <si>
    <t>Punch Like a Girl</t>
  </si>
  <si>
    <t>Medicine; Literature</t>
  </si>
  <si>
    <t>RJ506.V56 -- .K767 2015eb</t>
  </si>
  <si>
    <t>Community service (Punishment) -- Fiction.; Family violence -- Fiction.; Violence in adolescence -- Fiction.</t>
  </si>
  <si>
    <t>http://public.eblib.com/choice/PublicFullRecord.aspx?p=1873229</t>
  </si>
  <si>
    <t>Tap Out</t>
  </si>
  <si>
    <t>PR9199.4.R63 -- T37 2015eb</t>
  </si>
  <si>
    <t>Boxers (Sports) -- Fiction.; Boxing stories.; Mixed martial arts -- Fiction.; Young adult fiction, Canadian.; Young men -- Fiction.</t>
  </si>
  <si>
    <t>http://public.eblib.com/choice/PublicFullRecord.aspx?p=1873230</t>
  </si>
  <si>
    <t>Beethoven's Tenth</t>
  </si>
  <si>
    <t>Harvey, Brian</t>
  </si>
  <si>
    <t>PR9199.4.H378 -- B44 2015eb</t>
  </si>
  <si>
    <t>Beethoven, Ludwig van, -- 1770-1827. -- Symphonies -- Fiction.; Detective and mystery stories, Canadian.; Piano technicians -- Fiction.</t>
  </si>
  <si>
    <t>http://public.eblib.com/choice/PublicFullRecord.aspx?p=1873231</t>
  </si>
  <si>
    <t>The Night Thief</t>
  </si>
  <si>
    <t>PR9199.4.F73 -- N54 2015eb</t>
  </si>
  <si>
    <t>Detective and mystery stories, Canadian.; Farmers -- Fiction.; Orphans -- Fiction.</t>
  </si>
  <si>
    <t>http://public.eblib.com/choice/PublicFullRecord.aspx?p=1873232</t>
  </si>
  <si>
    <t>Off the Rim</t>
  </si>
  <si>
    <t>Spreen Bates, Sonya</t>
  </si>
  <si>
    <t>PR9199.4.B38 -- O34 2015eb</t>
  </si>
  <si>
    <t>Basketball -- Tournaments -- Fiction.; Cyberbullying -- Fiction.; Teenagers -- Fiction.; Young adult fiction, Canadian.</t>
  </si>
  <si>
    <t>http://public.eblib.com/choice/PublicFullRecord.aspx?p=1873233</t>
  </si>
  <si>
    <t>Off the Grid</t>
  </si>
  <si>
    <t>Psychology; Literature</t>
  </si>
  <si>
    <t>BF723.P25 -- .C469 2015eb</t>
  </si>
  <si>
    <t>Children of sick parents -- Fiction.; Rural teenagers -- Fiction.</t>
  </si>
  <si>
    <t>http://public.eblib.com/choice/PublicFullRecord.aspx?p=1873234</t>
  </si>
  <si>
    <t>Chick: Lister</t>
  </si>
  <si>
    <t>PR9199.4.V36 -- C45 2015eb</t>
  </si>
  <si>
    <t>Obsessive-compulsive disorder in adolescence -- Fiction.; Teenage boys -- Fiction.; Young adult fiction, Canadian.</t>
  </si>
  <si>
    <t>http://public.eblib.com/choice/PublicFullRecord.aspx?p=1873235</t>
  </si>
  <si>
    <t>Rise of the Zombie Scarecrows</t>
  </si>
  <si>
    <t>PR9199.4.L68 -- R58 2015eb</t>
  </si>
  <si>
    <t>Horror films -- Fiction.; Scarecrows -- Fiction.; Teenage boys -- Fiction.; Young adult fiction, Canadian.; Zombies -- Fiction.</t>
  </si>
  <si>
    <t>http://public.eblib.com/choice/PublicFullRecord.aspx?p=1873236</t>
  </si>
  <si>
    <t>In Plain Sight : Reflections on Life in Downtown Eastside Vancouver</t>
  </si>
  <si>
    <t>Robertson, Leslie A.; Culhane, Dara</t>
  </si>
  <si>
    <t>HQ1460.V35 -- I5 2005eb</t>
  </si>
  <si>
    <t>305.4/09711/33</t>
  </si>
  <si>
    <t>Downtown-Eastside (Vancouver, B.C.) -- Biography.; Downtown-Eastside (Vancouver, B.C.) -- Social conditions.; Poor women -- British Columbia -- Vancouver -- Biography.; Poor women -- British Columbia -- Vancouver -- Social conditions.; Women -- British Columbia -- Vancouver -- Biography.; Women -- British Columbia -- Vancouver -- Social conditions.</t>
  </si>
  <si>
    <t>http://public.eblib.com/choice/PublicFullRecord.aspx?p=1885391</t>
  </si>
  <si>
    <t>Performing National Identities : International Perspectives on Contemporary Canadian Theatre</t>
  </si>
  <si>
    <t>Grace, Sherrill; Glaap, Albert-Reiner</t>
  </si>
  <si>
    <t>PR9191.5 -- .P47 2003eb</t>
  </si>
  <si>
    <t>812/.5409</t>
  </si>
  <si>
    <t>Canadian drama -- 20th century -- History and criticism.; Canadian drama -- Appreciation -- Foreign countries.; National characteristics in literature.; National characteristics, Canadian, in literature.</t>
  </si>
  <si>
    <t>http://public.eblib.com/choice/PublicFullRecord.aspx?p=1891205</t>
  </si>
  <si>
    <t>Winners and Losers</t>
  </si>
  <si>
    <t>Youssef, Marcus; Long, James</t>
  </si>
  <si>
    <t>PR9191.5</t>
  </si>
  <si>
    <t>Canadian drama -- History and criticism.; Criticism -- Canada.; One-act plays, Canadian.</t>
  </si>
  <si>
    <t>http://public.eblib.com/choice/PublicFullRecord.aspx?p=1918870</t>
  </si>
  <si>
    <t>Homemade for Sale : How to Set Up and Market a Food Business from Your Home Kitchen</t>
  </si>
  <si>
    <t>Business/Management; Home Economics</t>
  </si>
  <si>
    <t>HD9000.5 -- .K585 2015eb</t>
  </si>
  <si>
    <t>Food industry and trade -- Management.; Food industry and trade -- Marketing.; Home-based businesses -- Management.; Home-based businesses -- Marketing.; New business enterprises -- Management.</t>
  </si>
  <si>
    <t>http://public.eblib.com/choice/PublicFullRecord.aspx?p=1936844</t>
  </si>
  <si>
    <t>Theatre of the Unimpressed : In Search of Vital Drama</t>
  </si>
  <si>
    <t>Tannahill, Jordan</t>
  </si>
  <si>
    <t>PN2053</t>
  </si>
  <si>
    <t>Drama -- History and criticism.; Dramaturges.; Theater -- Production and direction.</t>
  </si>
  <si>
    <t>http://public.eblib.com/choice/PublicFullRecord.aspx?p=1948826</t>
  </si>
  <si>
    <t>The Color of Food : Stories of Race, Resilience and Farming</t>
  </si>
  <si>
    <t>Bowens, Natasha</t>
  </si>
  <si>
    <t>HD8039.F32 -- U63 2015eb</t>
  </si>
  <si>
    <t>Minority farmers -- United States.</t>
  </si>
  <si>
    <t>http://public.eblib.com/choice/PublicFullRecord.aspx?p=1980234</t>
  </si>
  <si>
    <t>Birth of a Bookworm</t>
  </si>
  <si>
    <t>Tremblay, Michel; Fischman, Sheila</t>
  </si>
  <si>
    <t>PQ3919.2.T73 -- Z4643 2003eb</t>
  </si>
  <si>
    <t>822/.914; B</t>
  </si>
  <si>
    <t>Authors, French-Canadian -- 20th century -- Biography.; Books and reading.; Tremblay, Michel, -- 1942- -- Childhood and youth.</t>
  </si>
  <si>
    <t>http://public.eblib.com/choice/PublicFullRecord.aspx?p=1985533</t>
  </si>
  <si>
    <t>American Notebooks : A Writer's Journey</t>
  </si>
  <si>
    <t>Blais, Marie-Claire; Gaboriau, Linda</t>
  </si>
  <si>
    <t>PQ3919.B6 -- Z4613 1996eb</t>
  </si>
  <si>
    <t>Authors, French-Canadian.; Blais, Marie-Claire, -- 1939- -- Homes and haunts -- United States.; United States -- Description and travel.</t>
  </si>
  <si>
    <t>http://public.eblib.com/choice/PublicFullRecord.aspx?p=1985535</t>
  </si>
  <si>
    <t>The Pet Poo Pocket Guide : How to Safely Compost and Recycle Pet Waste</t>
  </si>
  <si>
    <t>Seemann, Rose</t>
  </si>
  <si>
    <t>S661</t>
  </si>
  <si>
    <t>631.8; 631.875</t>
  </si>
  <si>
    <t>Animal waste -- Recycling.; Compost.; Pet cleanup.</t>
  </si>
  <si>
    <t>http://public.eblib.com/choice/PublicFullRecord.aspx?p=1990492</t>
  </si>
  <si>
    <t>The Big Swim : Coming Ashore in a World Adrift</t>
  </si>
  <si>
    <t>Saxifrage, Carrie</t>
  </si>
  <si>
    <t>Environmental Studies; Science; Science: Biology/Natural History; Economics</t>
  </si>
  <si>
    <t>QH31.M9 -- .S295 2015eb</t>
  </si>
  <si>
    <t>Environmentalists -- British Columbia -- Biography.; Journalists -- British Columbia -- Biography.; Philosophy of nature.</t>
  </si>
  <si>
    <t>http://public.eblib.com/choice/PublicFullRecord.aspx?p=1996044</t>
  </si>
  <si>
    <t>Heal Local : 20 Essential Herbs for Do-it-Yourself Home Healthcare</t>
  </si>
  <si>
    <t>Medicine; Pharmacy</t>
  </si>
  <si>
    <t>RM666.H33</t>
  </si>
  <si>
    <t>Herbs -- Therapeutic use.; Herbs.; Plants, Medicinal.</t>
  </si>
  <si>
    <t>http://public.eblib.com/choice/PublicFullRecord.aspx?p=2005708</t>
  </si>
  <si>
    <t>Re: Producing Women's Dramatic History</t>
  </si>
  <si>
    <t>Hadfield, D.A.</t>
  </si>
  <si>
    <t>PN2306.T7 -- H33 2007eb</t>
  </si>
  <si>
    <t>812/.5409287</t>
  </si>
  <si>
    <t>Feminism and theater -- Ontario -- Toronto -- History -- 20th century.; Feminist theater -- Ontario -- Toronto -- History -- 20th century.; Women in the theater -- Ontario -- Toronto -- History -- 20th century.</t>
  </si>
  <si>
    <t>http://public.eblib.com/choice/PublicFullRecord.aspx?p=2028919</t>
  </si>
  <si>
    <t>Phyllis Webb and the Common Good : Poetry/Anarchy/Abstraction</t>
  </si>
  <si>
    <t>Collis, Stephen</t>
  </si>
  <si>
    <t>PR9199.3.W395 -- .C655 2007eb</t>
  </si>
  <si>
    <t>Webb, Phyllis, -- 1927- -- Criticism and interpretation.</t>
  </si>
  <si>
    <t>http://public.eblib.com/choice/PublicFullRecord.aspx?p=2028925</t>
  </si>
  <si>
    <t>Women in a World at War : Seven Dispatches from the Front</t>
  </si>
  <si>
    <t>Gagnon, Madeleine; Aronoff, Phyllis; Groult, Benoite ; Groult, Benoite ; Scott, Howard</t>
  </si>
  <si>
    <t>JZ6405.W66 -- .G346 2015eb</t>
  </si>
  <si>
    <t>303.6/6/082</t>
  </si>
  <si>
    <t>War victims.; Women and war.</t>
  </si>
  <si>
    <t>http://public.eblib.com/choice/PublicFullRecord.aspx?p=2028926</t>
  </si>
  <si>
    <t>Canadian Drama and the Critics</t>
  </si>
  <si>
    <t>Conolly, L. W.; Conolly, L W</t>
  </si>
  <si>
    <t>PR9191.5 -- .C32 1995eb</t>
  </si>
  <si>
    <t>812/.5409971</t>
  </si>
  <si>
    <t>Canadian drama -- History and criticism.; Criticism -- Canada.</t>
  </si>
  <si>
    <t>http://public.eblib.com/choice/PublicFullRecord.aspx?p=2028928</t>
  </si>
  <si>
    <t>Otter</t>
  </si>
  <si>
    <t>Ladouceur, Ben</t>
  </si>
  <si>
    <t>PS3562</t>
  </si>
  <si>
    <t>English poetry.; Experimental poetry.; Poetry.</t>
  </si>
  <si>
    <t>http://public.eblib.com/choice/PublicFullRecord.aspx?p=2028934</t>
  </si>
  <si>
    <t>Asbestos Heights</t>
  </si>
  <si>
    <t>PS586</t>
  </si>
  <si>
    <t>American poetry.; McGimpsey, David, 1962.; McGimpsey, David.; Performance art.</t>
  </si>
  <si>
    <t>http://public.eblib.com/choice/PublicFullRecord.aspx?p=2028946</t>
  </si>
  <si>
    <t>Caillou: I Love You</t>
  </si>
  <si>
    <t>Chouette Publishing, Inc.</t>
  </si>
  <si>
    <t>Caillou</t>
  </si>
  <si>
    <t>Hand in Hand</t>
  </si>
  <si>
    <t>L'Heureux, Chistine; Brignaud, Pierre; Nadeau, Francine</t>
  </si>
  <si>
    <t>PZ7</t>
  </si>
  <si>
    <t>Children -- Juvenile fiction.; Family -- Juvenile fiction.; Father and children -- Juvenile fiction.</t>
  </si>
  <si>
    <t>http://public.eblib.com/choice/PublicFullRecord.aspx?p=2052417</t>
  </si>
  <si>
    <t>Signs of Literature : Language, Ideology, and the Literary Text</t>
  </si>
  <si>
    <t>Hughes, Kenneth James</t>
  </si>
  <si>
    <t>PE1408</t>
  </si>
  <si>
    <t>English language -- Semantics.; English language -- Style.; Structuralism (Literary analysis).</t>
  </si>
  <si>
    <t>http://public.eblib.com/choice/PublicFullRecord.aspx?p=2053536</t>
  </si>
  <si>
    <t>Billy Bishop VC Lone Wolf Hunter : The RAF Ace Re-Examined</t>
  </si>
  <si>
    <t>Grub Street Publishing</t>
  </si>
  <si>
    <t>Kilduff, Peter</t>
  </si>
  <si>
    <t>D600</t>
  </si>
  <si>
    <t>Bishop, William Avery, 1894-1956.; Fighter pilots -- Canada -- Biography.; Fighter pilots.; Great Britain. Royal Flying Corps -- Biography.; Great Britain. Royal Flying Corps.; World War, 1914-1918 -- Aerial operations, British.</t>
  </si>
  <si>
    <t>http://public.eblib.com/choice/PublicFullRecord.aspx?p=2055658</t>
  </si>
  <si>
    <t>Rails Across Canada : A Pictorial Journey from Coast to Coast</t>
  </si>
  <si>
    <t>Pen and Sword</t>
  </si>
  <si>
    <t>Pen and Sword Transport</t>
  </si>
  <si>
    <t>Cable, David</t>
  </si>
  <si>
    <t>HE2808</t>
  </si>
  <si>
    <t>Canadian National Railways -- History.; Canadian Pacific Railway Company -- History.; Railroads -- Canada -- History.</t>
  </si>
  <si>
    <t>http://public.eblib.com/choice/PublicFullRecord.aspx?p=2055662</t>
  </si>
  <si>
    <t>Better : The Everyday Art of Sustainable Living</t>
  </si>
  <si>
    <t>Caldwell, Nicole</t>
  </si>
  <si>
    <t>GE195.7 .C384 2015</t>
  </si>
  <si>
    <t>Human ecology.; Sustainability.; Sustainable living -- Case studies.; Sustainable living.</t>
  </si>
  <si>
    <t>http://public.eblib.com/choice/PublicFullRecord.aspx?p=2056752</t>
  </si>
  <si>
    <t>Eulogy</t>
  </si>
  <si>
    <t>Tightrope Books, Inc.</t>
  </si>
  <si>
    <t>Murray, Ken</t>
  </si>
  <si>
    <t>http://public.eblib.com/choice/PublicFullRecord.aspx?p=2059516</t>
  </si>
  <si>
    <t>Chinkstar</t>
  </si>
  <si>
    <t>Chan Simpson, Jon</t>
  </si>
  <si>
    <t>http://public.eblib.com/choice/PublicFullRecord.aspx?p=2066019</t>
  </si>
  <si>
    <t>That Summer</t>
  </si>
  <si>
    <t>French, David</t>
  </si>
  <si>
    <t>http://public.eblib.com/choice/PublicFullRecord.aspx?p=2077753</t>
  </si>
  <si>
    <t>As Always : Memoir of a Life in Writing</t>
  </si>
  <si>
    <t>Gagnon, Madeleine; Aronoff, Phyllis</t>
  </si>
  <si>
    <t>PQ3919.2.G318</t>
  </si>
  <si>
    <t>Authors, Canadian (French) -- 20th century -- Biography.; Gagnon, Madeleine, -- 1938-; Québec (Province) -- Social conditions -- 20th century.</t>
  </si>
  <si>
    <t>http://public.eblib.com/choice/PublicFullRecord.aspx?p=2077754</t>
  </si>
  <si>
    <t>Heyday</t>
  </si>
  <si>
    <t>Woodrow, Marnie</t>
  </si>
  <si>
    <t>http://public.eblib.com/choice/PublicFullRecord.aspx?p=2190147</t>
  </si>
  <si>
    <t>Vegetables of Canada</t>
  </si>
  <si>
    <t>Small, Ernest; Munro, Derek B.</t>
  </si>
  <si>
    <t>SB320.8.C3 -- M86 1997eb</t>
  </si>
  <si>
    <t>http://public.eblib.com/choice/PublicFullRecord.aspx?p=3007386</t>
  </si>
  <si>
    <t>Guide d'identification du phytoplancton marin de l'estuaire et du golfe du Saint--Laurent incluant également certains protozoaires</t>
  </si>
  <si>
    <t>BΘrard--Therriault, Lyse; Poulin, Michel; Bossé, Luci</t>
  </si>
  <si>
    <t>Q934 -- .B34 1998eb</t>
  </si>
  <si>
    <t>579.817/76/0916344</t>
  </si>
  <si>
    <t>Marine phytoplankton -- Québec (Province) -- Saint Lawrence River Estuary -- Identification.; Marine phytoplankton -- Saint Lawrence, Gulf of -- Identification.</t>
  </si>
  <si>
    <t>http://public.eblib.com/choice/PublicFullRecord.aspx?p=3007387</t>
  </si>
  <si>
    <t>Orb-Weaving Spiders of Canada and Alaska</t>
  </si>
  <si>
    <t>Dondale, C. D.; Redner, James H</t>
  </si>
  <si>
    <t>QL458.42.A7 -- O72 2003eb</t>
  </si>
  <si>
    <t>Orb weavers -- Alaska -- Geographical distribution.; Orb weavers -- Alaska.; Orb weavers -- Canada -- Geographical distribution.; Orb weavers -- Canada.; Spiders -- Alaska.; Spiders -- Canada -- Geographical distribution.; Spiders -- Canada.</t>
  </si>
  <si>
    <t>http://public.eblib.com/choice/PublicFullRecord.aspx?p=3007388</t>
  </si>
  <si>
    <t>Photographic Atlas of Fish Otoliths of the Northwest Atlantic Ocean</t>
  </si>
  <si>
    <t>Campana, Steven E.</t>
  </si>
  <si>
    <t>Science: Zoology; Science: Biology/Natural History; Science</t>
  </si>
  <si>
    <t>QL621.5 -- .C36 2004eb</t>
  </si>
  <si>
    <t>571.3/17</t>
  </si>
  <si>
    <t>Electronic books. -- local; Fishes -- Morphology -- Pictorial works.; Fishes -- North Atlantic Ocean -- Age determination.; Fishes -- North Atlantic Ocean -- Identification.; Otoliths -- Pictorial works.</t>
  </si>
  <si>
    <t>http://public.eblib.com/choice/PublicFullRecord.aspx?p=3007389</t>
  </si>
  <si>
    <t>Flower Guide for Holiday Weekends in Eastern Canada and Northeastern U.S.A.</t>
  </si>
  <si>
    <t>Larsen, Ellen Wynne; Roots, B.I.</t>
  </si>
  <si>
    <t>QK115 -- .L334 2005eb</t>
  </si>
  <si>
    <t>582.13/0971</t>
  </si>
  <si>
    <t>Electronic books. -- local; Wild flowers -- Canada, Eastern -- Identification.; Wild flowers -- Canada, Eastern -- Pictorial works.; Wild flowers -- Northeastern States -- Identification.; Wild flowers -- Northeastern States -- Pictorial works.</t>
  </si>
  <si>
    <t>http://public.eblib.com/choice/PublicFullRecord.aspx?p=3007390</t>
  </si>
  <si>
    <t>Beetles of the Galápagos Islands, Ecuador</t>
  </si>
  <si>
    <t>Peck, Stewart B.</t>
  </si>
  <si>
    <t>QL589.G3 -- P43 2006eb</t>
  </si>
  <si>
    <t>595.7609866/5</t>
  </si>
  <si>
    <t>Beetles -- Ecology -- Galapagos Islands.; Beetles -- Galapagos Islands -- Classification.; Beetles -- Galapagos Islands.</t>
  </si>
  <si>
    <t>http://public.eblib.com/choice/PublicFullRecord.aspx?p=3007391</t>
  </si>
  <si>
    <t>Coleoptera Histeridae</t>
  </si>
  <si>
    <t>The Insects and Arachnids of Canada</t>
  </si>
  <si>
    <t>Bousquet, Yves; Laplante, Serge</t>
  </si>
  <si>
    <t>QL596 H5 -- B65 2006eb</t>
  </si>
  <si>
    <t>Beetles -- Canada.; Electronic books. -- local; Histeridae -- Canada.; Histeridae -- Classification.; Histeridae -- Identification.; Histeridae -- North America -- Geographical distribution.</t>
  </si>
  <si>
    <t>http://public.eblib.com/choice/PublicFullRecord.aspx?p=3007392</t>
  </si>
  <si>
    <t>Biodiversity and Health : Focusing Research to Policy / Biodiversité and Santé  : De la recherche aux politiques</t>
  </si>
  <si>
    <t>Arnason, J.T.; Catling, P.M.; Small, E.</t>
  </si>
  <si>
    <t>QK99.A1 -- B55 2004eb</t>
  </si>
  <si>
    <t>581.6/34</t>
  </si>
  <si>
    <t>Ethnobotany -- Congresses.; Medicinal plants -- Congresses.; Medicinal plants -- Research -- Congresses.; Plant diversity conservation -- Congresses.</t>
  </si>
  <si>
    <t>http://public.eblib.com/choice/PublicFullRecord.aspx?p=3007393</t>
  </si>
  <si>
    <t>Benedict Arnold in the Company of Heroes</t>
  </si>
  <si>
    <t>Savas Beatie</t>
  </si>
  <si>
    <t>Lefkowitz, Arthur S.</t>
  </si>
  <si>
    <t>E231 -- .L438 2012eb</t>
  </si>
  <si>
    <t>973.3/820922</t>
  </si>
  <si>
    <t>Arnold, Benedict, -- 1741-1801.; Canadian Invasion, 1775-1776.; Soldiers -- United States -- Biography.; United States -- History -- Revolution, 1775-1783 -- Biography.; United States -- History -- Revolution, 1775-1783 -- Campaigns.; United States. -- Continental Army -- Officers -- Biography.</t>
  </si>
  <si>
    <t>http://public.eblib.com/choice/PublicFullRecord.aspx?p=3007523</t>
  </si>
  <si>
    <t>In Your Best Interest : Fixed Income Investment Markets Explained for the Investing Public</t>
  </si>
  <si>
    <t>Dundurn Group</t>
  </si>
  <si>
    <t>Cunningham, W. H. (Hank)</t>
  </si>
  <si>
    <t>HG5154 -- .C86 2006eb</t>
  </si>
  <si>
    <t>332.63/230971</t>
  </si>
  <si>
    <t>Bond market -- Canada.; Bonds -- Canada.; Electronic books. -- local; Fixed-income securities -- Canada.</t>
  </si>
  <si>
    <t>http://public.eblib.com/choice/PublicFullRecord.aspx?p=3008149</t>
  </si>
  <si>
    <t>The Queen Mother and her Century</t>
  </si>
  <si>
    <t>Bousfield, Arthur; Toffoli, Garry</t>
  </si>
  <si>
    <t>DA585.A2 -- B68 2000eb</t>
  </si>
  <si>
    <t>Electronic books. -- local; Elizabeth, -- Queen, consort of George VI, King of Great Britain, -- 1900-2002.; Queens -- Great Britain -- Biography.</t>
  </si>
  <si>
    <t>http://public.eblib.com/choice/PublicFullRecord.aspx?p=3008151</t>
  </si>
  <si>
    <t>Cities Farming for the Future : Urban Agriculture for Green and Productive Cities</t>
  </si>
  <si>
    <t>IDRC Books/Les Éditions du CRDI</t>
  </si>
  <si>
    <t>IDRC Books / Les Éditions du CRDI</t>
  </si>
  <si>
    <t>van Veenhuizen, René</t>
  </si>
  <si>
    <t>S493 -- .C58 2006eb</t>
  </si>
  <si>
    <t>Agriculture.; Crop science.; Electronic books. -- local</t>
  </si>
  <si>
    <t>http://public.eblib.com/choice/PublicFullRecord.aspx?p=3012105</t>
  </si>
  <si>
    <t>Cogestion des Ressources Naturelles : Réduire La Pauvreté Par L'Apprentissage Local</t>
  </si>
  <si>
    <t>HD75.6 -- .T9414 2006eb</t>
  </si>
  <si>
    <t>333.709172/4</t>
  </si>
  <si>
    <t>http://public.eblib.com/choice/PublicFullRecord.aspx?p=3012106</t>
  </si>
  <si>
    <t>Community Assessment of Natural Food Sources of Vitamin A : Guidelines for an Ethnographic Protocol</t>
  </si>
  <si>
    <t>Blum, L.; Pelto, P.J.; Pelto, G.H.</t>
  </si>
  <si>
    <t>GN407 -- .C66 1997eb</t>
  </si>
  <si>
    <t>Electronic books. -- local; Nutritional anthropology -- Methodology.; Vitamin A deficiency -- Prevention.; Vitamin A in human nutrition.</t>
  </si>
  <si>
    <t>http://public.eblib.com/choice/PublicFullRecord.aspx?p=3012107</t>
  </si>
  <si>
    <t>Desarrollo en la Era de l'Informacion : Cuatro Escenarios Mundiales para el Futuro de las Technologies de Informacion y Communicaciones</t>
  </si>
  <si>
    <t>Howkins, J.; Valantin, R.</t>
  </si>
  <si>
    <t>HC79.I55 -- D47 1997eb</t>
  </si>
  <si>
    <t>Electronic books. -- local; Information technology -- Congresses.; Information technology -- Forecasting -- Congresses.; Technology transfer -- Developing countries -- Congresses.; Telecommunication -- Congresses.; Telecommunication -- Forecasting -- Congresses.</t>
  </si>
  <si>
    <t>http://public.eblib.com/choice/PublicFullRecord.aspx?p=3012108</t>
  </si>
  <si>
    <t>Armer les Villes Contre la Faim : Systèmes Alimentaires Urbains Durables</t>
  </si>
  <si>
    <t>HD9000.5 -- .A76 2000eb</t>
  </si>
  <si>
    <t>http://public.eblib.com/choice/PublicFullRecord.aspx?p=3012109</t>
  </si>
  <si>
    <t>Deforestation in Viet Nam</t>
  </si>
  <si>
    <t>De Koninck, Rodolphe</t>
  </si>
  <si>
    <t>SD418.3.V5 -- K6613 1999eb</t>
  </si>
  <si>
    <t>Deforestation -- Vietnam.; Electronic books. -- local; Forests and forestry -- Vietnam.</t>
  </si>
  <si>
    <t>http://public.eblib.com/choice/PublicFullRecord.aspx?p=3012110</t>
  </si>
  <si>
    <t>Enzymes in Poultry and Swine Nutrition</t>
  </si>
  <si>
    <t>Ronald R. Marquardt; Han, Zhengkang</t>
  </si>
  <si>
    <t>SF94.6 -- .C45 1997eb</t>
  </si>
  <si>
    <t>Electronic books. -- local; Feed additives -- Congresses.; Poultry -- Feeding and feeds -- Congresses.; Swine -- Feeding and feeds -- Congresses.</t>
  </si>
  <si>
    <t>http://public.eblib.com/choice/PublicFullRecord.aspx?p=3012111</t>
  </si>
  <si>
    <t>Evaluación Organizacional : Marco para Mejorar el Desempeño</t>
  </si>
  <si>
    <t>Lusthaus, Charles; Adrien, Marie-Hélène; Anderson, Gary</t>
  </si>
  <si>
    <t>HD58.9 -- .L87 2002eb</t>
  </si>
  <si>
    <t>http://public.eblib.com/choice/PublicFullRecord.aspx?p=3012112</t>
  </si>
  <si>
    <t>Améliorer la Performance Organisationnelle : Manuel d'Auto-Évaluation</t>
  </si>
  <si>
    <t>HD58.9 -- .L87 1999eb</t>
  </si>
  <si>
    <t>Electronic books. -- local; Organizational behavior -- Evaluation.; Organizational change.; Organizational effectiveness.</t>
  </si>
  <si>
    <t>http://public.eblib.com/choice/PublicFullRecord.aspx?p=3012113</t>
  </si>
  <si>
    <t>L'Intégration Régionale en Afrique de l'ouest : Résultats de la Conférence Internationale à Dakar (Sénégal) du 11 au 15 janvier 1993</t>
  </si>
  <si>
    <t>Diop, Momar-Coumba; Lavergne, Réal</t>
  </si>
  <si>
    <t>HC1000 -- .I58 1995eb</t>
  </si>
  <si>
    <t>Africa, West -- Economic integration -- Congresses.; Africa, West -- Economic integration -- Political aspects -- Congresses.; Electronic books. -- local; Regional planning -- Africa, West -- Congresses.</t>
  </si>
  <si>
    <t>http://public.eblib.com/choice/PublicFullRecord.aspx?p=3012114</t>
  </si>
  <si>
    <t>Development and the Information Age : Four Global Scenarios for the Future of Information and Communication Technology</t>
  </si>
  <si>
    <t>HC79.I55 -- D48 1997eb</t>
  </si>
  <si>
    <t>Information technology -- Congresses.; Information technology -- Economic aspects -- Forecasting -- Congresses.; Technology transfer -- Developing countries -- Congresses.; Telecommunication -- Congresses.; Telecommunication -- Forecasting -- Congresses.</t>
  </si>
  <si>
    <t>http://public.eblib.com/choice/PublicFullRecord.aspx?p=3012115</t>
  </si>
  <si>
    <t>Guerre du Tabac : L'Éxperience Canadienne</t>
  </si>
  <si>
    <t>HV5770.C2 -- C86 1997eb</t>
  </si>
  <si>
    <t>Advertising -- Cigarettes -- Canada.; Advertising -- Cigarettes -- Law and legislation -- Canada.; Electronic books. -- local; Smoking -- Canada -- Prevention.; Smoking -- Canada.; Tobacco industry -- Canada.</t>
  </si>
  <si>
    <t>http://public.eblib.com/choice/PublicFullRecord.aspx?p=3012116</t>
  </si>
  <si>
    <t>Technology Policy and Practice in Africa</t>
  </si>
  <si>
    <t>Ogbu, Osita M.; Oyeyinka, Banji O.; Mlawa, Hasa M.</t>
  </si>
  <si>
    <t>Engineering: General; Economics; Business/Management; Engineering</t>
  </si>
  <si>
    <t>T174.3 -- .T37556 1995eb</t>
  </si>
  <si>
    <t>338/.064/0967</t>
  </si>
  <si>
    <t>Technology and state -- Africa -- Case studies.; Technology transfer -- Africa -- Case studies.</t>
  </si>
  <si>
    <t>http://public.eblib.com/choice/PublicFullRecord.aspx?p=3012117</t>
  </si>
  <si>
    <t>Languages of Instruction : Policy Implications for Education in Africa</t>
  </si>
  <si>
    <t>Working Group on Educational Research and Policy Analysis, ADEA</t>
  </si>
  <si>
    <t>P119.32.A35 -- L36 1997eb</t>
  </si>
  <si>
    <t>African languages -- Political aspects.; Electronic books. -- local; Language and education -- Political aspects.; Language policy -- Africa.</t>
  </si>
  <si>
    <t>http://public.eblib.com/choice/PublicFullRecord.aspx?p=3012118</t>
  </si>
  <si>
    <t>Le Défi de l'Intégration : pour des Politiques Convergentes</t>
  </si>
  <si>
    <t>Schnurr, Jamie; Holtz, Susan</t>
  </si>
  <si>
    <t>GE300 -- .D44 1999eb</t>
  </si>
  <si>
    <t>Electronic books. -- local; Environmental management.; Environmental policy.; Sustainable development -- Government policy -- Canada.; Sustainable development -- Government policy -- Developing countries.</t>
  </si>
  <si>
    <t>http://public.eblib.com/choice/PublicFullRecord.aspx?p=3012119</t>
  </si>
  <si>
    <t>Le Développement á l'Age de L'information : Quatre Scénarios pour l'Avenir des Technologies de l'Information et des Communications</t>
  </si>
  <si>
    <t>http://public.eblib.com/choice/PublicFullRecord.aspx?p=3012120</t>
  </si>
  <si>
    <t>Water Management in Africa and the Middle East : Challenges and Opportunities</t>
  </si>
  <si>
    <t>Rached, Eglal; Rathgeber, Eva; Brooks, David B.</t>
  </si>
  <si>
    <t>HD1699.A1 -- W38 1996eb</t>
  </si>
  <si>
    <t>Electronic books. -- local; Water resources development -- Africa.; Water resources development -- Middle East.; Water-supply -- Africa.; Water-supply -- Middle East.</t>
  </si>
  <si>
    <t>http://public.eblib.com/choice/PublicFullRecord.aspx?p=3012121</t>
  </si>
  <si>
    <t>Les Connassainces Indigènes et Recherce : un Guide à l'Intention des Chercheurs</t>
  </si>
  <si>
    <t>http://public.eblib.com/choice/PublicFullRecord.aspx?p=3012122</t>
  </si>
  <si>
    <t>Siembra des Soluciones : Tomo 2  : Opciones para Leyes Nacionales de Control Sobre Recursos Genéticos e Innovaciones Biológicas</t>
  </si>
  <si>
    <t>Grupo Crucible II</t>
  </si>
  <si>
    <t>K3876 -- .C78 2003eb</t>
  </si>
  <si>
    <t>Biodiversity conservation.; Electronic books. -- local; Germplasm resources, Plant.; Plant varieties -- Protection.; Plants, Cultivated -- Patents.</t>
  </si>
  <si>
    <t>http://public.eblib.com/choice/PublicFullRecord.aspx?p=3012123</t>
  </si>
  <si>
    <t>Management of Water Demand in Africa and the Middle East : Current Practices and Future Needs</t>
  </si>
  <si>
    <t>Brooks, David B.; Rached, Eglal; Saade, Maurice</t>
  </si>
  <si>
    <t>TD315 -- .M36 1997eb</t>
  </si>
  <si>
    <t>Electronic books. -- local; Water-supply -- Africa -- Management.; Water-supply -- Government policy -- Africa.; Water-supply -- Government policy -- Middle East.; Water-supply -- Middle East -- Management.</t>
  </si>
  <si>
    <t>http://public.eblib.com/choice/PublicFullRecord.aspx?p=3012124</t>
  </si>
  <si>
    <t>La Recul de la Forêt au Viet Nam</t>
  </si>
  <si>
    <t>SD418.3.V5 -- K66 1997eb</t>
  </si>
  <si>
    <t>http://public.eblib.com/choice/PublicFullRecord.aspx?p=3012125</t>
  </si>
  <si>
    <t>Proteger la Biodiversité : Les Lois Nationales Régissant l'Accès aux Ressources Génétiques en Amérique</t>
  </si>
  <si>
    <t>Biodiversity conservation -- Law and legislation -- America.; Conservation of natural resources -- Law and legislation -- America.; Electronic books. -- local; Environmental law -- America.</t>
  </si>
  <si>
    <t>http://public.eblib.com/choice/PublicFullRecord.aspx?p=3012126</t>
  </si>
  <si>
    <t>Le Débat des Semences, Volume 2 : Solutions pour les Lois Nationales Régissant le Contrôle des Ressources Génétiques et des Innovations Biologiques</t>
  </si>
  <si>
    <t>http://public.eblib.com/choice/PublicFullRecord.aspx?p=3012127</t>
  </si>
  <si>
    <t>Politique Sociale en Afrique de l'Ouest et du Centre</t>
  </si>
  <si>
    <t>Konate, Hamadou</t>
  </si>
  <si>
    <t>DT353 -- .K66 1997eb</t>
  </si>
  <si>
    <t>Africa, Central -- Politics and government.; Africa, West -- Politics and government.; Electronic books. -- local</t>
  </si>
  <si>
    <t>http://public.eblib.com/choice/PublicFullRecord.aspx?p=3012128</t>
  </si>
  <si>
    <t>Institutional Assessment : A Framework for Strengthening Organizational Capacity for IDRC'S Research Partners</t>
  </si>
  <si>
    <t>Lusthaus, Charles; Anderson, Gary; Murphy, Elaine</t>
  </si>
  <si>
    <t>HD58.9 -- .L87 1995eb</t>
  </si>
  <si>
    <t>Electronic books. -- local; Institution building.; Organizational change.; Organizational effectiveness -- Evaluation.; Research institutes -- Evaluation.</t>
  </si>
  <si>
    <t>http://public.eblib.com/choice/PublicFullRecord.aspx?p=3012129</t>
  </si>
  <si>
    <t>GIS for Health and the Environment : Proceedings of an International Workshop Held in Colombo, Sri Lanka, 5-10 September 1994</t>
  </si>
  <si>
    <t>de Savigny, Don; Wijeyaratne, Pandu</t>
  </si>
  <si>
    <t>RA565.A2 -- G57 1995eb</t>
  </si>
  <si>
    <t>Electronic books. -- local; Environmental health -- Data processing -- Congresses.; Geographic information systems -- Congresses.; Public health -- Data processing -- Congresses.</t>
  </si>
  <si>
    <t>http://public.eblib.com/choice/PublicFullRecord.aspx?p=3012130</t>
  </si>
  <si>
    <t>Farming Systems of the African Savanna : A Continent in Crisis</t>
  </si>
  <si>
    <t>Ker, Andrew</t>
  </si>
  <si>
    <t>S472.A357 -- K47 1995eb</t>
  </si>
  <si>
    <t>630/.967</t>
  </si>
  <si>
    <t>Agricultural systems -- Africa, Sub-Saharan.; Agriculture -- Africa, Sub-Saharan.; Farm management -- Africa, Sub-Saharan.</t>
  </si>
  <si>
    <t>http://public.eblib.com/choice/PublicFullRecord.aspx?p=3012131</t>
  </si>
  <si>
    <t>La Marché Mondial de la Propriété Intellectuelle : Droits des Communautés Traditonnelles et Indigènes</t>
  </si>
  <si>
    <t>K3242 -- .P67 1997eb</t>
  </si>
  <si>
    <t>Cultural property -- Protection -- Law and legislation.; Electronic books. -- local; Ethnoscience.; Indigenous peoples -- Legal status, laws, etc.; Intellectual property.</t>
  </si>
  <si>
    <t>http://public.eblib.com/choice/PublicFullRecord.aspx?p=3012132</t>
  </si>
  <si>
    <t>Telecommunications and Universal Service : International Experience in the Context of South African Policy Reform</t>
  </si>
  <si>
    <t>Siochrú, Seán Ó</t>
  </si>
  <si>
    <t>HE7700 -- .O85 1996eb</t>
  </si>
  <si>
    <t>Electronic books. -- local; Telecommunication -- International cooperation.; Telecommunication -- South Africa.</t>
  </si>
  <si>
    <t>http://public.eblib.com/choice/PublicFullRecord.aspx?p=3012133</t>
  </si>
  <si>
    <t>Population and Health in Developing Countries : Population, Health and Survival in Indepth Sites</t>
  </si>
  <si>
    <t>INDEPTH Network</t>
  </si>
  <si>
    <t>RA652.2.P82 -- P67 2002eb</t>
  </si>
  <si>
    <t>614.4/22724</t>
  </si>
  <si>
    <t>Public health surveillance -- Africa -- Statistics.</t>
  </si>
  <si>
    <t>http://public.eblib.com/choice/PublicFullRecord.aspx?p=3012134</t>
  </si>
  <si>
    <t>Evictions and the Right to Housing : Experience from Canada, Chile, the Dominican Republic, South Africa, and South Korea</t>
  </si>
  <si>
    <t>Azuela, Antonio; Duhau, Emilio; Ortiz, Enrique</t>
  </si>
  <si>
    <t>HD7287 -- .E95 1998eb</t>
  </si>
  <si>
    <t>Electronic books. -- local; Homelessness.; Housing.</t>
  </si>
  <si>
    <t>http://public.eblib.com/choice/PublicFullRecord.aspx?p=3012135</t>
  </si>
  <si>
    <t>Making a Difference : Measuring the Impact of Information on Development  : Proceedings of a Workshop Held in Ottawa, Canada 10-12 July 1995</t>
  </si>
  <si>
    <t>McConnell, Paul</t>
  </si>
  <si>
    <t>Library Science</t>
  </si>
  <si>
    <t>ZA3159.D44 -- M35 1995eb</t>
  </si>
  <si>
    <t>Electronic books. -- local; Information resources management -- Developing countries.; Information technology -- Developing countries.</t>
  </si>
  <si>
    <t>http://public.eblib.com/choice/PublicFullRecord.aspx?p=3012136</t>
  </si>
  <si>
    <t>Technologies de l'Information et de la Communication pour le Développement en Afrique, Volume 1 : Potentialités et Défis pour le Développement Communautaire</t>
  </si>
  <si>
    <t>Thioune, Ramata Molo</t>
  </si>
  <si>
    <t>HC800.Z9 -- I558 2003eb</t>
  </si>
  <si>
    <t>338.96/06</t>
  </si>
  <si>
    <t>Community development -- Africa.; Information technology -- Africa.; Telecommunication -- Africa.</t>
  </si>
  <si>
    <t>http://public.eblib.com/choice/PublicFullRecord.aspx?p=3012137</t>
  </si>
  <si>
    <t>La Réforme des Politiques Sociales : Évolution des Perspectives du Développement Human Durable</t>
  </si>
  <si>
    <t>Morales-Gómez, Daniel A.; Tschirgi, Necla</t>
  </si>
  <si>
    <t>HN110.Z4 -- R44 2000eb</t>
  </si>
  <si>
    <t>Canada -- Social policy.; Chile -- Social policy.; Electronic books. -- local; Ghana -- Social policy.; Social policy.; Sustainable development.</t>
  </si>
  <si>
    <t>http://public.eblib.com/choice/PublicFullRecord.aspx?p=3012138</t>
  </si>
  <si>
    <t>Rice-Fish Culture in China</t>
  </si>
  <si>
    <t>MacKay, Kenneth T.</t>
  </si>
  <si>
    <t>SB191.R5 -- R53 1995eb</t>
  </si>
  <si>
    <t>Agricultural systems -- China -- Congresses.; Electronic books. -- local; Fish culture -- China -- Congresses.; Rice -- China -- Congresses.</t>
  </si>
  <si>
    <t>http://public.eblib.com/choice/PublicFullRecord.aspx?p=3012139</t>
  </si>
  <si>
    <t>Cover Crops in West Africa : Contributing to Sustainable Agriculture  / Plantes de couverture en Afrique de l'ouest  : Une Contribution à l'Agriculture Durable</t>
  </si>
  <si>
    <t>Buckles, D.; Etèka, A.; Osiname, O.</t>
  </si>
  <si>
    <t>SB284.3.A358 -- C68 1998eb</t>
  </si>
  <si>
    <t>Cover crops -- Africa, West -- Congresses.; Electronic books. -- local; Mucuna -- Africa, West -- Congresses.; Sustainable agriculture -- Africa, West -- Congresses.</t>
  </si>
  <si>
    <t>http://public.eblib.com/choice/PublicFullRecord.aspx?p=3012140</t>
  </si>
  <si>
    <t>Culture, Environment, and Food to Prevent Vitamin A Deficiency</t>
  </si>
  <si>
    <t>Kuhnlein, H.V.; Pelto, G.H.</t>
  </si>
  <si>
    <t>GN407 -- .C85 1997eb</t>
  </si>
  <si>
    <t>http://public.eblib.com/choice/PublicFullRecord.aspx?p=3012141</t>
  </si>
  <si>
    <t>Culture, Spirituality and Economic Development : Opening a Dialogue</t>
  </si>
  <si>
    <t>William F. Ryan, S.J.</t>
  </si>
  <si>
    <t>HD75 -- .R93 1995eb</t>
  </si>
  <si>
    <t>Economic development -- Moral and ethical aspects.; Economic development -- Social aspects.; Economic development -- Sociological aspects.; Electronic books. -- local</t>
  </si>
  <si>
    <t>http://public.eblib.com/choice/PublicFullRecord.aspx?p=3012142</t>
  </si>
  <si>
    <t>Bottom Line : Industry and the Environment in South Africa</t>
  </si>
  <si>
    <t>UCT Press</t>
  </si>
  <si>
    <t>Bethlehem, L.; Goldblatt, M.</t>
  </si>
  <si>
    <t>HC905.Z9 -- I522 1997eb</t>
  </si>
  <si>
    <t>Environmental protection -- South Africa.; Industries -- Environmental aspects -- South Africa.; Industries -- South Africa.</t>
  </si>
  <si>
    <t>http://public.eblib.com/choice/PublicFullRecord.aspx?p=3012143</t>
  </si>
  <si>
    <t>La Droit á la Santé : Au-Delá de la Grossesse et de la Reproduction</t>
  </si>
  <si>
    <t>RA564.85 -- .K58 1996eb</t>
  </si>
  <si>
    <t>Electronic books. -- local; Women -- Developing countries -- Social conditions.; Women -- Health and hygiene -- Developing countries.</t>
  </si>
  <si>
    <t>http://public.eblib.com/choice/PublicFullRecord.aspx?p=3012144</t>
  </si>
  <si>
    <t>Les Missions de Paix et le Canada : Enseignment des Conflits au Nicaragua, au Cambodge et en Somalie</t>
  </si>
  <si>
    <t>JZ1515 -- .M57 1998eb</t>
  </si>
  <si>
    <t>Canada -- Armed Forces -- History.; Canada -- Foreign relations -- 1945-; Economic assistance, Canadian -- History.; Electronic books. -- local; Peace.</t>
  </si>
  <si>
    <t>http://public.eblib.com/choice/PublicFullRecord.aspx?p=3012145</t>
  </si>
  <si>
    <t>Japan's System of Official Development Assistance : Profiles for Partnership #1</t>
  </si>
  <si>
    <t>Beaudry-Somcynsky, Micheline; Cook, Chris M.</t>
  </si>
  <si>
    <t>HF3828.D44 -- B43 1999eb</t>
  </si>
  <si>
    <t>Developing countries -- Commerce -- Japan.; Investments, Japanese -- Developing countries.; Japan -- Commerce -- Developing countries.</t>
  </si>
  <si>
    <t>http://public.eblib.com/choice/PublicFullRecord.aspx?p=3012146</t>
  </si>
  <si>
    <t>Los Cultivos de Cobertura en la Agricultura en Laderas : Innovación de los Agricultores con Mucuna</t>
  </si>
  <si>
    <t>Buckles, Daniel; Triomphe, Bernard; Sain, Gustavo</t>
  </si>
  <si>
    <t>SB284.4.M83 -- B83 1999eb</t>
  </si>
  <si>
    <t>Corn -- Honduras.; Farmers -- Honduras.; Green manure crops -- Honduras.; Hill farming -- Honduras.; Intercropping -- Honduras.; Mucuna -- Honduras.; Velvet-bean -- Honduras.</t>
  </si>
  <si>
    <t>http://public.eblib.com/choice/PublicFullRecord.aspx?p=3012147</t>
  </si>
  <si>
    <t>Agriculture in Urban Planning : Generating Livelihoods and Food Security</t>
  </si>
  <si>
    <t>Earthscan</t>
  </si>
  <si>
    <t>Mark Redwood</t>
  </si>
  <si>
    <t>S494.5.U72 -- A42 2009eb</t>
  </si>
  <si>
    <t>http://public.eblib.com/choice/PublicFullRecord.aspx?p=3012148</t>
  </si>
  <si>
    <t>Justice de genre, citoyenneté et développement</t>
  </si>
  <si>
    <t>HQ1236.5.D44 -- J87 2009eb</t>
  </si>
  <si>
    <t>Electronic books. -- local; Women -- Developing countries -- Social conditions.; Women''s rights -- Cross-cultural studies.; Women''s rights -- Developing countries.</t>
  </si>
  <si>
    <t>http://public.eblib.com/choice/PublicFullRecord.aspx?p=3012149</t>
  </si>
  <si>
    <t>Politics of Trade : Role of Research in Trade Policy and Negotiation</t>
  </si>
  <si>
    <t>Tussie, Diana</t>
  </si>
  <si>
    <t>HF1379 -- .P667 2009eb</t>
  </si>
  <si>
    <t>382/.3</t>
  </si>
  <si>
    <t>Foreign trade regulation.; International trade -- Research.</t>
  </si>
  <si>
    <t>http://public.eblib.com/choice/PublicFullRecord.aspx?p=3012150</t>
  </si>
  <si>
    <t>Creating Adaptive Policies : A Guide for Policy-Making in an Uncertain World</t>
  </si>
  <si>
    <t>Swanson, Darren; Bhadwal, Suruchi</t>
  </si>
  <si>
    <t>HC79.E5 -- C7275 2009eb</t>
  </si>
  <si>
    <t>Adaptive natural resource management.; Electronic books. -- local; Environmental policy.; Policy sciences.; Sustainable development -- Government policy.</t>
  </si>
  <si>
    <t>http://public.eblib.com/choice/PublicFullRecord.aspx?p=3012151</t>
  </si>
  <si>
    <t>An Introduction to the Human Development and Capability Approach : Freedom and Agency</t>
  </si>
  <si>
    <t>Deneulin, Séverine; Lila Shahani; Naveed, Arif ; Spence, Randy</t>
  </si>
  <si>
    <t>HM1033 -- .I595 2009eb</t>
  </si>
  <si>
    <t>Electronic books. -- local; Human behavior.; Social psychology.</t>
  </si>
  <si>
    <t>http://public.eblib.com/choice/PublicFullRecord.aspx?p=3012152</t>
  </si>
  <si>
    <t>War in Heaven</t>
  </si>
  <si>
    <t>Nussey, Kent</t>
  </si>
  <si>
    <t>PR9199.3.N87 -- W37 1997eb</t>
  </si>
  <si>
    <t>Electronic books. -- local; English fiction.; Short stories, English.</t>
  </si>
  <si>
    <t>http://public.eblib.com/choice/PublicFullRecord.aspx?p=3014866</t>
  </si>
  <si>
    <t>In the Ring : A Commonwealth Memoir</t>
  </si>
  <si>
    <t>Elliott &amp; Thompson</t>
  </si>
  <si>
    <t>McKinnon, Don; Albright, Madeleine</t>
  </si>
  <si>
    <t>DU420.18 -- .M35 2012eb</t>
  </si>
  <si>
    <t>Commonwealth countries -- Politics and government -- 21st century.; McKinnon, Don, -- 1939-; Statesmen -- New Zealand -- Biography.</t>
  </si>
  <si>
    <t>http://public.eblib.com/choice/PublicFullRecord.aspx?p=3015317</t>
  </si>
  <si>
    <t>Questions to Which the Answer is No!</t>
  </si>
  <si>
    <t>Rentoul, John</t>
  </si>
  <si>
    <t>Journalism</t>
  </si>
  <si>
    <t>PN4784.H4 -- R384 2013eb</t>
  </si>
  <si>
    <t>Journalism -- Humor.; Newspapers -- Headlines -- Humor.</t>
  </si>
  <si>
    <t>http://public.eblib.com/choice/PublicFullRecord.aspx?p=3015322</t>
  </si>
  <si>
    <t>How the Queen Can Make You Happy</t>
  </si>
  <si>
    <t>Killen, Mary</t>
  </si>
  <si>
    <t>BJ1853 -- .K384 2012eb</t>
  </si>
  <si>
    <t>Elizabeth -- II, -- Queen of Great Britain, -- 1926-; England -- Social life and customs.; Etiquette, Medieval.</t>
  </si>
  <si>
    <t>http://public.eblib.com/choice/PublicFullRecord.aspx?p=3015323</t>
  </si>
  <si>
    <t>Hiking Trails 1 : Victoria &amp; Vicinity</t>
  </si>
  <si>
    <t>VITS</t>
  </si>
  <si>
    <t>Blier, Richard</t>
  </si>
  <si>
    <t>GV199.44.B82 -- V534 2007eb</t>
  </si>
  <si>
    <t>Hiking -- British Columbia -- Victoria -- Guidebooks.; Victoria (B.C.) -- Guidebooks.</t>
  </si>
  <si>
    <t>http://public.eblib.com/choice/PublicFullRecord.aspx?p=3027007</t>
  </si>
  <si>
    <t>Hiking Trails 2 : South-Central Vancouver Island and the Gulf Islands</t>
  </si>
  <si>
    <t>GV199.44.B82 -- V364 2010eb</t>
  </si>
  <si>
    <t>796.5109711/2</t>
  </si>
  <si>
    <t>Gulf Islands (B.C.) -- Guidebooks.; Hiking -- British Columbia -- Gulf Islands -- Guidebooks.; Hiking -- British Columbia -- Vancouver Island -- Guidebooks.; Vancouver Island (B.C.) -- Guidebooks.</t>
  </si>
  <si>
    <t>http://public.eblib.com/choice/PublicFullRecord.aspx?p=3027008</t>
  </si>
  <si>
    <t>Hiking Trails 3 : Northern Vancouver Island</t>
  </si>
  <si>
    <t>GV199.44.B82 -- V364 2008eb</t>
  </si>
  <si>
    <t>Hiking -- British Columbia -- Vancouver Island -- Guidebooks.; Vancouver Island (B.C.) -- Guidebooks.</t>
  </si>
  <si>
    <t>http://public.eblib.com/choice/PublicFullRecord.aspx?p=3027009</t>
  </si>
  <si>
    <t>In the Clear</t>
  </si>
  <si>
    <t>Carter, Anne</t>
  </si>
  <si>
    <t>PR9199.4.C37 -- I62 2001eb</t>
  </si>
  <si>
    <t>Children with disabilities -- Juvenile fiction.; Families -- Juvenile fiction.; Hockey stories.; Mothers and daughters -- Juvenile fiction.; Poliomyelitis -- Juvenile fiction.; Self-confidence -- Juvenile fiction.; Self-reliance -- Juvenile fiction.</t>
  </si>
  <si>
    <t>http://public.eblib.com/choice/PublicFullRecord.aspx?p=3027010</t>
  </si>
  <si>
    <t>Skylark</t>
  </si>
  <si>
    <t>PR6073.A444 -- .C377 2014eb</t>
  </si>
  <si>
    <t>Homeless persons -- Fiction.</t>
  </si>
  <si>
    <t>http://public.eblib.com/choice/PublicFullRecord.aspx?p=3027011</t>
  </si>
  <si>
    <t>Third Best Hull : I Would Have Been Fourth but They Wouldn't Let My Sister Maxine Play</t>
  </si>
  <si>
    <t>Thompson, Robert; Hull, Dennis</t>
  </si>
  <si>
    <t>GV848.5.H86 -- A3 1998eb</t>
  </si>
  <si>
    <t>Electronic books. -- local; Hockey players -- Canada -- Biography.; Hull, Dennis.</t>
  </si>
  <si>
    <t>http://public.eblib.com/choice/PublicFullRecord.aspx?p=3027906</t>
  </si>
  <si>
    <t>Dirty Sweet : A Mystery</t>
  </si>
  <si>
    <t>McFetridge, John</t>
  </si>
  <si>
    <t>PR9199.4.M426 -- D57 2006eb</t>
  </si>
  <si>
    <t>Electronic books. -- local; Real estate agents -- Fiction.; Toronto (Ont.) -- Fiction.</t>
  </si>
  <si>
    <t>http://public.eblib.com/choice/PublicFullRecord.aspx?p=3027992</t>
  </si>
  <si>
    <t>Obit : A Mystery</t>
  </si>
  <si>
    <t>Emery, Anne</t>
  </si>
  <si>
    <t>PR9199.4.E47 -- O25 2007eb</t>
  </si>
  <si>
    <t>Family secrets -- Fiction.; Irish Americans -- Fiction.; Lawyers -- Canada -- Fiction.; New York (State) -- Fiction.</t>
  </si>
  <si>
    <t>http://public.eblib.com/choice/PublicFullRecord.aspx?p=3028000</t>
  </si>
  <si>
    <t>Death of WCW</t>
  </si>
  <si>
    <t>Reynolds, R.D.</t>
  </si>
  <si>
    <t>GV1195 -- .R48 2004eb</t>
  </si>
  <si>
    <t>796.812/0973</t>
  </si>
  <si>
    <t>Electronic books. -- local; World Championship Wrestling, Inc. -- History.; Wrestling promoters -- United States.</t>
  </si>
  <si>
    <t>http://public.eblib.com/choice/PublicFullRecord.aspx?p=3028007</t>
  </si>
  <si>
    <t>Traveling Music : Playing Back the Soundtrack to My Life and Times</t>
  </si>
  <si>
    <t>Peart, Neil</t>
  </si>
  <si>
    <t>ML419.P362 -- A3 2004eb</t>
  </si>
  <si>
    <t>786.9/166/092</t>
  </si>
  <si>
    <t>Drummers (Musicians) -- Canada -- Biography.; Electronic books. -- local; Lyricists -- Canada -- Biography.; Peart, Neil.; Rush (Musical group)</t>
  </si>
  <si>
    <t>http://public.eblib.com/choice/PublicFullRecord.aspx?p=3028057</t>
  </si>
  <si>
    <t>Ghost Rider : Travels on the Healing Road</t>
  </si>
  <si>
    <t>E27.5 -- .P42 2002eb</t>
  </si>
  <si>
    <t>917.04/539</t>
  </si>
  <si>
    <t>Electronic books. -- local; Motorcycling -- North America.; North America -- Description and travel.; Peart, Neil -- Travel -- North America.</t>
  </si>
  <si>
    <t>http://public.eblib.com/choice/PublicFullRecord.aspx?p=3028059</t>
  </si>
  <si>
    <t>Barrington Street Blues</t>
  </si>
  <si>
    <t>PS8609.M47 -- B37 2008eb</t>
  </si>
  <si>
    <t>Blues musicians -- Fiction.; Electronic books. -- local; Halifax (N.S.) -- Fiction.</t>
  </si>
  <si>
    <t>http://public.eblib.com/choice/PublicFullRecord.aspx?p=3028097</t>
  </si>
  <si>
    <t>Dolce Vegan! : Vegan Livin' Made Easy</t>
  </si>
  <si>
    <t>Kramer, Sarah</t>
  </si>
  <si>
    <t>TX837 -- .K73 2005eb</t>
  </si>
  <si>
    <t>641.5/636</t>
  </si>
  <si>
    <t>Vegan cooking.</t>
  </si>
  <si>
    <t>http://public.eblib.com/choice/PublicFullRecord.aspx?p=3028139</t>
  </si>
  <si>
    <t>Vegan à Go-Go! : A Cookbook &amp; Survival Manual for Vegans on the Road</t>
  </si>
  <si>
    <t>TX837 -- .K736 2008eb</t>
  </si>
  <si>
    <t>Vegan cooking.; Vegans -- Travel.</t>
  </si>
  <si>
    <t>http://public.eblib.com/choice/PublicFullRecord.aspx?p=3028143</t>
  </si>
  <si>
    <t>Tainted : A Dr. Zol Szabo Medical Mystery</t>
  </si>
  <si>
    <t>Pennie, Ross</t>
  </si>
  <si>
    <t>PS8631.E565 -- T33 2009eb</t>
  </si>
  <si>
    <t>Canadian literature.; Electronic books. -- local; Suspense fiction.</t>
  </si>
  <si>
    <t>http://public.eblib.com/choice/PublicFullRecord.aspx?p=3028150</t>
  </si>
  <si>
    <t>Growling Tiger, Roaring Dragon : India, China, and the New World Order</t>
  </si>
  <si>
    <t>Smith, David</t>
  </si>
  <si>
    <t>HC412 -- .S658 2007eb</t>
  </si>
  <si>
    <t>China -- Economic conditions -- 2000-; Economic forecasting -- China.; Economic forecasting -- India.; Electronic books. -- local; Geopolitics.; India -- Economic conditions -- 21st century.; International economic relations.</t>
  </si>
  <si>
    <t>http://public.eblib.com/choice/PublicFullRecord.aspx?p=3028166</t>
  </si>
  <si>
    <t>Unembedded : Two Decades of Maverick War Reporting</t>
  </si>
  <si>
    <t>Taylor, Scott</t>
  </si>
  <si>
    <t>PN4913.T39 -- A3 2009eb</t>
  </si>
  <si>
    <t>070.4/333092</t>
  </si>
  <si>
    <t>Electronic books. -- local; Foreign correspondents -- Canada -- Biography.; Taylor, Scott, -- 1960-; War correspondents -- Canada -- Biography.</t>
  </si>
  <si>
    <t>http://public.eblib.com/choice/PublicFullRecord.aspx?p=3028169</t>
  </si>
  <si>
    <t>Where Hope Takes Root : Democracy and Pluralism in an Interdependent World</t>
  </si>
  <si>
    <t>Khan, Aga</t>
  </si>
  <si>
    <t>HM1271 -- .A33 2008eb</t>
  </si>
  <si>
    <t>Civil society.; Cultural pluralism.; Democracy.; Electronic books. -- local</t>
  </si>
  <si>
    <t>http://public.eblib.com/choice/PublicFullRecord.aspx?p=3028170</t>
  </si>
  <si>
    <t>Power From the Wind : Achieving Energy Independence</t>
  </si>
  <si>
    <t>Engineering: Mechanical; Engineering</t>
  </si>
  <si>
    <t>TJ828 -- .C45 2009eb</t>
  </si>
  <si>
    <t>Electric power production.; Wind power.; Wind turbines.</t>
  </si>
  <si>
    <t>http://public.eblib.com/choice/PublicFullRecord.aspx?p=3028171</t>
  </si>
  <si>
    <t>Entitlement</t>
  </si>
  <si>
    <t>Bennett, Jonathan</t>
  </si>
  <si>
    <t>PR9199.4.B46 -- E58 2008eb</t>
  </si>
  <si>
    <t>Canada -- Fiction.; Classism -- Fiction.; Electronic books. -- local; Identity (Psychology) -- Fiction.</t>
  </si>
  <si>
    <t>http://public.eblib.com/choice/PublicFullRecord.aspx?p=3028271</t>
  </si>
  <si>
    <t>Trash : A Queer Film Classic</t>
  </si>
  <si>
    <t>Davies, Jon</t>
  </si>
  <si>
    <t>PN1997.T73 -- D38 2009eb</t>
  </si>
  <si>
    <t>791.43/72</t>
  </si>
  <si>
    <t>Electronic books. -- local; Motion pictures -- United States -- 20th century.; Trash (Motion picture); Warhol, Andy, -- 1928-1987 -- Criticism and interpretation.</t>
  </si>
  <si>
    <t>http://public.eblib.com/choice/PublicFullRecord.aspx?p=3028298</t>
  </si>
  <si>
    <t>A Little Distillery in Nowgong</t>
  </si>
  <si>
    <t>Mathur, Ashok</t>
  </si>
  <si>
    <t>PR9499.3.M377 -- L58 2009eb</t>
  </si>
  <si>
    <t>Parsees -- India -- Fiction.</t>
  </si>
  <si>
    <t>http://public.eblib.com/choice/PublicFullRecord.aspx?p=3028299</t>
  </si>
  <si>
    <t>Wild East : Travels in the New Mongolia</t>
  </si>
  <si>
    <t>Lawless, Jill</t>
  </si>
  <si>
    <t>DS798.2 -- .L385 2000eb</t>
  </si>
  <si>
    <t>951.7/3</t>
  </si>
  <si>
    <t>Lawless, Jill -- Travel -- Mongolia.; Mongolia -- Description and travel.; Mongolia -- Social life and customs.</t>
  </si>
  <si>
    <t>http://public.eblib.com/choice/PublicFullRecord.aspx?p=3028375</t>
  </si>
  <si>
    <t>Finding Lost</t>
  </si>
  <si>
    <t>Stafford, Nicki</t>
  </si>
  <si>
    <t>PN1992.77.L67 -- S735 2009eb</t>
  </si>
  <si>
    <t>791.45/72</t>
  </si>
  <si>
    <t>Electronic books. -- local; Lost (Television program); Television.</t>
  </si>
  <si>
    <t>http://public.eblib.com/choice/PublicFullRecord.aspx?p=3028376</t>
  </si>
  <si>
    <t>Wild Years : The Music and Myth of Tom Waits</t>
  </si>
  <si>
    <t>Jacobs, Jay S</t>
  </si>
  <si>
    <t>ML420.W13 -- J33 2006eb</t>
  </si>
  <si>
    <t>782.42164/092</t>
  </si>
  <si>
    <t>Singers -- United States -- Biography.; Waits, Tom, -- 1949-</t>
  </si>
  <si>
    <t>http://public.eblib.com/choice/PublicFullRecord.aspx?p=3028379</t>
  </si>
  <si>
    <t>Hamburger Valley, California</t>
  </si>
  <si>
    <t>PR9199.3.M42418 -- H36 2001eb</t>
  </si>
  <si>
    <t>California -- Poetry.; Popular culture -- Poetry.</t>
  </si>
  <si>
    <t>http://public.eblib.com/choice/PublicFullRecord.aspx?p=3028383</t>
  </si>
  <si>
    <t>Final Appeal : Anatomy of a Frame</t>
  </si>
  <si>
    <t>Thatcher, Colin</t>
  </si>
  <si>
    <t>HV6248.T43 -- A3 2009eb</t>
  </si>
  <si>
    <t>364.152/3092</t>
  </si>
  <si>
    <t>Criminals -- Saskatchewan -- Biography.; Judicial error -- Saskatchewan.; Murder -- Saskatchewan -- Regina.; Politicians -- Saskatchewan -- Biography.; Thatcher, Colin, -- 1938-; Trials (Murder) -- Saskatchewan -- Regina.; Wilson, JoAnn, -- 1939-1983.</t>
  </si>
  <si>
    <t>http://public.eblib.com/choice/PublicFullRecord.aspx?p=3028386</t>
  </si>
  <si>
    <t>Cool to Be Kind : Random Acts and How to Commit Them</t>
  </si>
  <si>
    <t>Litwin, Val; Bratseth, Chris; Stokes, Brad; Hanson, Erik A ; Ryan Hyde, Catherine ; Ryan Hyde, Catharine ; Hyde, Catherine Ryan</t>
  </si>
  <si>
    <t>BJ1533 K5 -- C66 2004eb</t>
  </si>
  <si>
    <t>177/.7</t>
  </si>
  <si>
    <t>Conduct of life.; Electronic books. -- local; Kindness.</t>
  </si>
  <si>
    <t>http://public.eblib.com/choice/PublicFullRecord.aspx?p=3028387</t>
  </si>
  <si>
    <t>Jonas Brothers Forever : The Unofficial Story of Kevin, Joe &amp; Nick</t>
  </si>
  <si>
    <t>Janic, Susan</t>
  </si>
  <si>
    <t>ML3930.J765 -- J33 2009eb</t>
  </si>
  <si>
    <t>Electronic books. -- local; Jonas Brothers -- Juvenile literature.; Rock musicians -- United States -- Biography -- Juvenile literature.</t>
  </si>
  <si>
    <t>http://public.eblib.com/choice/PublicFullRecord.aspx?p=3028388</t>
  </si>
  <si>
    <t>Can'tlit : Fearless Fiction from Broken Pencil Magazine</t>
  </si>
  <si>
    <t>Rosenbaum, Richard</t>
  </si>
  <si>
    <t>PR9197.32 -- .C364 2009eb</t>
  </si>
  <si>
    <t>C813/.010806</t>
  </si>
  <si>
    <t>Canadian fiction -- 21st century.; Nouvelles canadiennes-anglaises.; Roman canadien-anglais -- 21e siÃ¨cle.; Short stories, Canadian -- 21st century.</t>
  </si>
  <si>
    <t>http://public.eblib.com/choice/PublicFullRecord.aspx?p=3028389</t>
  </si>
  <si>
    <t>Radar, Hula Hoops and Playful Pigs</t>
  </si>
  <si>
    <t>Schwarcz, Joe</t>
  </si>
  <si>
    <t>Science: Chemistry; Science</t>
  </si>
  <si>
    <t>QD37 -- .S39 1999eb</t>
  </si>
  <si>
    <t>Chemistry -- Popular works.; Electronic books. -- local</t>
  </si>
  <si>
    <t>http://public.eblib.com/choice/PublicFullRecord.aspx?p=3028390</t>
  </si>
  <si>
    <t>The Best Man For The Job : Joe Fratesi and the Politics of Sault Ste. Marie</t>
  </si>
  <si>
    <t>Sims, Harvey</t>
  </si>
  <si>
    <t>F1059.5.S28 -- S56 2001eb</t>
  </si>
  <si>
    <t>971.3/132</t>
  </si>
  <si>
    <t>Electronic books. -- local; Fratesi, Joe.; Political corruption -- Ontario -- Sault Ste. Marie.; Sault Ste. Marie (Ont.) -- Politics and government.</t>
  </si>
  <si>
    <t>http://public.eblib.com/choice/PublicFullRecord.aspx?p=3028391</t>
  </si>
  <si>
    <t>All City : The Book about Taking Space</t>
  </si>
  <si>
    <t>107, Paul</t>
  </si>
  <si>
    <t>GT3912 -- .P38 2003eb</t>
  </si>
  <si>
    <t>302.2/22</t>
  </si>
  <si>
    <t>Graffiti.; Paul 107.; Public art.; Public spaces.; Street art.</t>
  </si>
  <si>
    <t>http://public.eblib.com/choice/PublicFullRecord.aspx?p=3028392</t>
  </si>
  <si>
    <t>Line : A Hunter's Passion for Breeding Dogs</t>
  </si>
  <si>
    <t>Urseth, William A.</t>
  </si>
  <si>
    <t>SF429.G4 -- U77 2010eb</t>
  </si>
  <si>
    <t>636.752/5</t>
  </si>
  <si>
    <t>Dog breeders -- United States -- Biography.; Electronic books. -- local; Fowling -- United States.; German shorthaired pointer.; Hunters -- United States -- Biography.; Urseth, William A.</t>
  </si>
  <si>
    <t>http://public.eblib.com/choice/PublicFullRecord.aspx?p=3028393</t>
  </si>
  <si>
    <t>Drawing Heat the Hard Way : How Wrestling Really Works</t>
  </si>
  <si>
    <t>Matysik, Larry</t>
  </si>
  <si>
    <t>GV1196.M38 -- A3 2009eb</t>
  </si>
  <si>
    <t>Electronic books. -- local; Matysik, Larry.; Wrestling promoters -- United States -- Biography.; Wrestling.</t>
  </si>
  <si>
    <t>http://public.eblib.com/choice/PublicFullRecord.aspx?p=3028394</t>
  </si>
  <si>
    <t>Metallica: The Club Dayz, 1982-1984</t>
  </si>
  <si>
    <t>Hale, Bill</t>
  </si>
  <si>
    <t>ML421.M587 -- H16 2009eb</t>
  </si>
  <si>
    <t>Electronic books. -- local; Metallica (Musical group) -- Pictorial works.; Rock musicians -- United States -- Biography.</t>
  </si>
  <si>
    <t>http://public.eblib.com/choice/PublicFullRecord.aspx?p=3028395</t>
  </si>
  <si>
    <t>For Your Eyes Only : An Insider's View of the Bond Films</t>
  </si>
  <si>
    <t>Giammaarco, David; Hunt, E. Howard</t>
  </si>
  <si>
    <t>PN1995.9.J3 -- G53 2002eb</t>
  </si>
  <si>
    <t>791.43/651</t>
  </si>
  <si>
    <t>Electronic books. -- local; James Bond films -- History and criticism.; Spy films -- History and criticism.</t>
  </si>
  <si>
    <t>http://public.eblib.com/choice/PublicFullRecord.aspx?p=3028396</t>
  </si>
  <si>
    <t>Rope Opera : How WCW Killed Vince Russo</t>
  </si>
  <si>
    <t>Russo, Vince</t>
  </si>
  <si>
    <t>GV1196.A1 -- R67 2010eb</t>
  </si>
  <si>
    <t>Electronic books. -- local; Russo, Vincent.; Total Nonstop Action Wrestling.; World Championship Wrestling, Inc.; Wrestling promoters -- United States -- Biography.</t>
  </si>
  <si>
    <t>http://public.eblib.com/choice/PublicFullRecord.aspx?p=3028400</t>
  </si>
  <si>
    <t>Operating Room Confidential : What Really Goes on When You Go Under</t>
  </si>
  <si>
    <t>Whang, Paul</t>
  </si>
  <si>
    <t>RD31.5 -- .W436 2010eb</t>
  </si>
  <si>
    <t>617/.917</t>
  </si>
  <si>
    <t>Anesthesiologists -- Canada -- Biography.; Electronic books. -- local; Operating rooms -- Popular works.; Whang, Paul, -- 1956-</t>
  </si>
  <si>
    <t>http://public.eblib.com/choice/PublicFullRecord.aspx?p=3028402</t>
  </si>
  <si>
    <t>Death, Drugs, and Muscle : Surviving the Steriod Underworld</t>
  </si>
  <si>
    <t>Valentino, Gregg; Jendrick, Nathan</t>
  </si>
  <si>
    <t>GV545.52 -- .V35 2010eb</t>
  </si>
  <si>
    <t>Bodybuilders -- United States -- Biography.; Doping in sports.; Electronic books. -- local; Valentino, Gregg.</t>
  </si>
  <si>
    <t>http://public.eblib.com/choice/PublicFullRecord.aspx?p=3028466</t>
  </si>
  <si>
    <t>Lethal Rage : A Mystery</t>
  </si>
  <si>
    <t>Pilkey, Brent</t>
  </si>
  <si>
    <t>PR9199.4.P55 -- L48 2010eb</t>
  </si>
  <si>
    <t>Canadian fiction.; Detective and mystery stories, Canadian.; Electronic books. -- local</t>
  </si>
  <si>
    <t>http://public.eblib.com/choice/PublicFullRecord.aspx?p=3028467</t>
  </si>
  <si>
    <t>The Miranda Cosgrove &amp; iCarly Spectacular! : Unofficial &amp; Unstoppable</t>
  </si>
  <si>
    <t>Spencer, Liv</t>
  </si>
  <si>
    <t>PN1998.2 -- .S64 2010eb</t>
  </si>
  <si>
    <t>791.4302/8092</t>
  </si>
  <si>
    <t>Cosgrove, Miranda, -- 1993- -- Juvenile literature.; Drake &amp; Josh (Television program) -- Juvenile literature.; Electronic books. -- local; iCarly (Television program) -- Juvenile literature.; Motion picture actors and actresses -- United States -- Biography -- Juvenile literature.; Singers -- United States -- Biography -- Juvenile literature.; Television actors and actresses -- United States -- Biography -- Juvenile literature.</t>
  </si>
  <si>
    <t>http://public.eblib.com/choice/PublicFullRecord.aspx?p=3028468</t>
  </si>
  <si>
    <t>Against the Hard Angle : Poems</t>
  </si>
  <si>
    <t>PR9199.4.R63 -- A43 2010eb</t>
  </si>
  <si>
    <t>http://public.eblib.com/choice/PublicFullRecord.aspx?p=3028469</t>
  </si>
  <si>
    <t>The Secret Life of Glenn Gould : A Genius in Love</t>
  </si>
  <si>
    <t>Clarkson, Michael</t>
  </si>
  <si>
    <t>ML417 -- .C53 2010eb</t>
  </si>
  <si>
    <t>Electronic books. -- local; Gould, Glenn -- Relations with women.; Pianists -- Canada -- Biography.</t>
  </si>
  <si>
    <t>http://public.eblib.com/choice/PublicFullRecord.aspx?p=3028470</t>
  </si>
  <si>
    <t>At the Crossroads : Middle America and the Battle to Save the Car Industry</t>
  </si>
  <si>
    <t>Aamidor, Abe; Evanoff, Ted</t>
  </si>
  <si>
    <t>HD9710 -- .A26 2010eb</t>
  </si>
  <si>
    <t>338.4/76292220973</t>
  </si>
  <si>
    <t>Automobile industry and trade -- Indiana -- Kokomo.; Automobile industry and trade -- Social aspects -- United States.; Automobile industry and trade -- United States.; Deindustrialization -- Social aspects -- United States.; Electronic books. -- local; Kokomo (Ind.) -- Economic conditions.; Middle class -- United States.</t>
  </si>
  <si>
    <t>http://public.eblib.com/choice/PublicFullRecord.aspx?p=3028471</t>
  </si>
  <si>
    <t>Secret Portland, Oregon 2010 : The Unique Guidebook to Portland's Hidden Sites, Sounds, and Tastes</t>
  </si>
  <si>
    <t>Secret Guide</t>
  </si>
  <si>
    <t>Burgess, Tom; Burgess, Ann Carroll; Rutenberg, Linda</t>
  </si>
  <si>
    <t>F884.P83 -- B87 2010eb</t>
  </si>
  <si>
    <t>917.95/490444</t>
  </si>
  <si>
    <t>Electronic books. -- local; Portland (Or.) -- Guidebooks.; Portland (Or.) -- History.</t>
  </si>
  <si>
    <t>http://public.eblib.com/choice/PublicFullRecord.aspx?p=3028472</t>
  </si>
  <si>
    <t>Love Bites : The Unofficial Saga of Twilight</t>
  </si>
  <si>
    <t>PS3613.E979 -- Z885 2010eb</t>
  </si>
  <si>
    <t>Eclipse (Motion picture : 2010) -- Juvenile literature.; Lautner, Taylor, -- 1992- -- Juvenile literature.; Meyer, Stephenie, -- 1973- -- Twilight saga series -- Juvenile literature.; New moon (Motion picture : 2009) -- Juvenile literature.; Pattinson, Robert, -- 1986- -- Juvenile literature.; Stewart, Kristen, -- 1990- -- Juvenile literature.; Twilight (Motion picture : 2008) -- Juvenile literature.</t>
  </si>
  <si>
    <t>http://public.eblib.com/choice/PublicFullRecord.aspx?p=3028473</t>
  </si>
  <si>
    <t>Watermelon Kindness : Poetry</t>
  </si>
  <si>
    <t>Donnell, David</t>
  </si>
  <si>
    <t>PR9199.4.D66 -- W38 2010eb</t>
  </si>
  <si>
    <t>http://public.eblib.com/choice/PublicFullRecord.aspx?p=3028474</t>
  </si>
  <si>
    <t>Tokio Hotel Fever</t>
  </si>
  <si>
    <t>Nouveau, Beatrice</t>
  </si>
  <si>
    <t>ML421.T68 -- N68 2010eb</t>
  </si>
  <si>
    <t>Electronic books. -- local; Rock musicians -- Europe.; Tokio Hotel (Musical group)</t>
  </si>
  <si>
    <t>http://public.eblib.com/choice/PublicFullRecord.aspx?p=3028475</t>
  </si>
  <si>
    <t>Children in the Morning</t>
  </si>
  <si>
    <t>Collins-Burke Mystery</t>
  </si>
  <si>
    <t>PR9199.4.E64 -- C45 2010eb</t>
  </si>
  <si>
    <t>http://public.eblib.com/choice/PublicFullRecord.aspx?p=3028476</t>
  </si>
  <si>
    <t>Ronald Reagan, My Father</t>
  </si>
  <si>
    <t>PR9199.4.D38 -- R66 2010eb</t>
  </si>
  <si>
    <t>Canadian fiction.; Canadian literature.; Electronic books. -- local</t>
  </si>
  <si>
    <t>http://public.eblib.com/choice/PublicFullRecord.aspx?p=3028477</t>
  </si>
  <si>
    <t>Follow Me Down : An Orwell Brennan Mystery</t>
  </si>
  <si>
    <t>An Orwell Brennan Mystery</t>
  </si>
  <si>
    <t>Strange, Marc</t>
  </si>
  <si>
    <t>PR9199.4.S87 -- F65 2010eb</t>
  </si>
  <si>
    <t>http://public.eblib.com/choice/PublicFullRecord.aspx?p=3028478</t>
  </si>
  <si>
    <t>One Bloody Thing After Another</t>
  </si>
  <si>
    <t>Comeau, Joey</t>
  </si>
  <si>
    <t>PR9199.4.C66 -- O64 2010eb</t>
  </si>
  <si>
    <t>http://public.eblib.com/choice/PublicFullRecord.aspx?p=3028479</t>
  </si>
  <si>
    <t>A Nice Place to Visit</t>
  </si>
  <si>
    <t>PR9199.3.G5248 -- N53 2009eb</t>
  </si>
  <si>
    <t>Canadian poetry -- 20th century.; Electronic books. -- local; Gilbert, Sky, -- 1952-</t>
  </si>
  <si>
    <t>http://public.eblib.com/choice/PublicFullRecord.aspx?p=3028510</t>
  </si>
  <si>
    <t>Chris &amp; Nancy : The True Story of the Benoit Murder-Suicide &amp; Pro Wrestling's Cocktail of Death</t>
  </si>
  <si>
    <t>Muchnick, Irvin</t>
  </si>
  <si>
    <t>GV1196.B45 -- M83 2009eb</t>
  </si>
  <si>
    <t>Benoit, Chris, -- 1967-2007.; Benoit, Nancy.; Murder -- Georgia -- Fayetteville.; Suicide -- Georgia -- Fayetteville.; Wrestlers -- Canada -- Biography.; Wrestlers -- Drug use.; Wrestling -- United States.</t>
  </si>
  <si>
    <t>http://public.eblib.com/choice/PublicFullRecord.aspx?p=3028511</t>
  </si>
  <si>
    <t>Brawl : A Behind-The-Scenes Look at Mixed Martial Arts Competition</t>
  </si>
  <si>
    <t>Krauss, Erich; Aita, Bret; Shamrock, Bob</t>
  </si>
  <si>
    <t>GV1101 -- .K73 2002eb</t>
  </si>
  <si>
    <t>Electronic books. -- local; Martial artists.; Martial arts -- Competitions.</t>
  </si>
  <si>
    <t>http://public.eblib.com/choice/PublicFullRecord.aspx?p=3028512</t>
  </si>
  <si>
    <t>Edison's Concrete Piano : Flying Tanks, Six-Nippled Sheep, Walk-On-Water Shoes, and 12 Other Flops from Great Inventors</t>
  </si>
  <si>
    <t>Wearing, Judy</t>
  </si>
  <si>
    <t>Engineering; Engineering: General</t>
  </si>
  <si>
    <t>T47 -- .W42 2009eb</t>
  </si>
  <si>
    <t>609.2/2</t>
  </si>
  <si>
    <t>Electronic books. -- local; Inventions -- Miscellanea.; Inventors -- Biography.</t>
  </si>
  <si>
    <t>http://public.eblib.com/choice/PublicFullRecord.aspx?p=3028513</t>
  </si>
  <si>
    <t>Slam! Wrestling : Shocking Stories from the Squared Circle</t>
  </si>
  <si>
    <t>Oliver, Greg; Waldman, Jon</t>
  </si>
  <si>
    <t>GV1195 -- .O458 2009eb</t>
  </si>
  <si>
    <t>Electronic books. -- local; Slam Wrestling (Web site); Wrestling.</t>
  </si>
  <si>
    <t>http://public.eblib.com/choice/PublicFullRecord.aspx?p=3028514</t>
  </si>
  <si>
    <t>Seeing Is Believing : America's Sideshows</t>
  </si>
  <si>
    <t>Stencell, A W</t>
  </si>
  <si>
    <t>GV1835 -- .S74 2002eb</t>
  </si>
  <si>
    <t>791.3/5/0973</t>
  </si>
  <si>
    <t>Electronic books. -- local; Recreation -- United States -- History.; Sideshows -- United States -- History.</t>
  </si>
  <si>
    <t>http://public.eblib.com/choice/PublicFullRecord.aspx?p=3028515</t>
  </si>
  <si>
    <t>Country Music Fun Time Activity Book</t>
  </si>
  <si>
    <t>Jay, Aye</t>
  </si>
  <si>
    <t>ML3524 -- .M673 2009eb</t>
  </si>
  <si>
    <t>Coloring books.; Country music -- Humor.; Electronic books. -- local; Games.; Puzzles.</t>
  </si>
  <si>
    <t>http://public.eblib.com/choice/PublicFullRecord.aspx?p=3028516</t>
  </si>
  <si>
    <t>Truly, Madly, Deadly : The Unofficial True Blood Companion</t>
  </si>
  <si>
    <t>Wilcott, Becca</t>
  </si>
  <si>
    <t>PN1992.77.T78 -- W54 2010eb</t>
  </si>
  <si>
    <t>Electronic books. -- local; Stackhouse, Sookie (Fictitious character) -- Drama.; True blood (Television program); Vampires -- Louisiana -- Drama.; Vampires on television.</t>
  </si>
  <si>
    <t>http://public.eblib.com/choice/PublicFullRecord.aspx?p=3028517</t>
  </si>
  <si>
    <t>Circus and Carnival Ballyhoo : Sideshow Freaks, Jabbers and Blade Box Queens</t>
  </si>
  <si>
    <t>GV1835 -- .S74 2010eb</t>
  </si>
  <si>
    <t>791.3/50973</t>
  </si>
  <si>
    <t>Carnivals -- United States -- History.; Circus -- United States -- History.; Electronic books. -- local; Entertainers -- United States.; Freak shows -- United States -- History.; Sideshows -- Canada -- History.; Sideshows -- United States -- History.</t>
  </si>
  <si>
    <t>http://public.eblib.com/choice/PublicFullRecord.aspx?p=3028518</t>
  </si>
  <si>
    <t>The Top 500 Heavy Metal Songs of All Time</t>
  </si>
  <si>
    <t>Popoff, Martin</t>
  </si>
  <si>
    <t>ML3534 -- .P829 2003eb</t>
  </si>
  <si>
    <t>Electronic books. -- local; Heavy metal (Music) -- History and criticism.; Music -- History and criticism.</t>
  </si>
  <si>
    <t>http://public.eblib.com/choice/PublicFullRecord.aspx?p=3028519</t>
  </si>
  <si>
    <t>Gone to Hell : True Crimes of America's Clergy</t>
  </si>
  <si>
    <t>Radic, Randall</t>
  </si>
  <si>
    <t>Social Science; Religion</t>
  </si>
  <si>
    <t>BR526 -- .R3 2009eb</t>
  </si>
  <si>
    <t>364.088/200973</t>
  </si>
  <si>
    <t>Clergy -- United States -- Biography.; Clergy -- United States.; Crime -- United States.; Criminals -- United States.; Electronic books. -- local</t>
  </si>
  <si>
    <t>http://public.eblib.com/choice/PublicFullRecord.aspx?p=3028520</t>
  </si>
  <si>
    <t>Paper Radio : Poems</t>
  </si>
  <si>
    <t>Misfit Books</t>
  </si>
  <si>
    <t>Rogers, Damian</t>
  </si>
  <si>
    <t>PR9199.4.R633 -- P37 2009eb</t>
  </si>
  <si>
    <t>Canadian poetry -- 21st century.; Electronic books. -- local; Rogers, Damian.</t>
  </si>
  <si>
    <t>http://public.eblib.com/choice/PublicFullRecord.aspx?p=3028521</t>
  </si>
  <si>
    <t>Pro Football Halftime Activity Book</t>
  </si>
  <si>
    <t>Cuison, Dan</t>
  </si>
  <si>
    <t>GV950.5 -- .C857 2010eb</t>
  </si>
  <si>
    <t>Electronic books. -- local; Football -- Humor.; Football -- Miscellanea.; Puzzles.</t>
  </si>
  <si>
    <t>http://public.eblib.com/choice/PublicFullRecord.aspx?p=3028522</t>
  </si>
  <si>
    <t>One More Day Everywhere : Crossing 50 Borders on the Road to Global Understanding</t>
  </si>
  <si>
    <t>Heggstad, Glen</t>
  </si>
  <si>
    <t>G465 -- .H44 2009eb</t>
  </si>
  <si>
    <t>910.4/1092</t>
  </si>
  <si>
    <t>Cultural awareness.; Electronic books. -- local; Heggstad, Glen -- Travel.; Motorcycle touring.; Voyages around the world.</t>
  </si>
  <si>
    <t>http://public.eblib.com/choice/PublicFullRecord.aspx?p=3028523</t>
  </si>
  <si>
    <t>Why They Cried</t>
  </si>
  <si>
    <t>Hanas, Jim</t>
  </si>
  <si>
    <t>PS3608.A53 -- W49 2010eb</t>
  </si>
  <si>
    <t>Electronic books. -- local; Short stories.</t>
  </si>
  <si>
    <t>http://public.eblib.com/choice/PublicFullRecord.aspx?p=3028526</t>
  </si>
  <si>
    <t>The MMA Encyclopedia</t>
  </si>
  <si>
    <t>Snowden, Jonathan; Shields, Kendall</t>
  </si>
  <si>
    <t>GV1101 -- .S66 2010eb</t>
  </si>
  <si>
    <t>Electronic books. -- local; Mixed martial arts -- Encyclopedias.</t>
  </si>
  <si>
    <t>http://public.eblib.com/choice/PublicFullRecord.aspx?p=3028535</t>
  </si>
  <si>
    <t>Hope Burned : A Novel</t>
  </si>
  <si>
    <t>PR9199.4.L37 -- H67 2010eb</t>
  </si>
  <si>
    <t>http://public.eblib.com/choice/PublicFullRecord.aspx?p=3028536</t>
  </si>
  <si>
    <t>Pretty, Pretty, Pretty Good : Larry David and the Making of Seinfeld and Curb Your Enthusiasm</t>
  </si>
  <si>
    <t>Levine, Josh</t>
  </si>
  <si>
    <t>PN1992.4.D39 -- L49 2010eb</t>
  </si>
  <si>
    <t>791.4502/32092</t>
  </si>
  <si>
    <t>Comedians -- United States -- Biography.; Curb your enthusiasm (Television program); David, Larry.; Electronic books. -- local; Seinfeld (Television program); Television producers and directors -- United States -- Biography.</t>
  </si>
  <si>
    <t>http://public.eblib.com/choice/PublicFullRecord.aspx?p=3028537</t>
  </si>
  <si>
    <t>Take as Directed : Your Prescription for Safe Health Care in Canada</t>
  </si>
  <si>
    <t>Church, Rhonda; MacKinnon, Neil</t>
  </si>
  <si>
    <t>RM300 -- .C48 2010eb</t>
  </si>
  <si>
    <t>615/.10971</t>
  </si>
  <si>
    <t>Drugs -- Canada -- Safety measures.; Electronic books. -- local; Medical care -- Canada.; Patient education -- Canada.; Pharmaceutical services -- Canada.</t>
  </si>
  <si>
    <t>http://public.eblib.com/choice/PublicFullRecord.aspx?p=3028539</t>
  </si>
  <si>
    <t>Bayou Underground : Tracing the Mythical Roots of American Popular Music</t>
  </si>
  <si>
    <t>Thompson, Dave</t>
  </si>
  <si>
    <t>ML200.7.L8 -- T46 2010eb</t>
  </si>
  <si>
    <t>Electronic books. -- local; Music -- Gulf Coast (U.S.) -- History.; Music -- Louisiana -- New Orleans -- History.; Popular music -- United States -- History and criticism.; Rock music -- Louisiana -- New Orleans -- History and criticism.</t>
  </si>
  <si>
    <t>http://public.eblib.com/choice/PublicFullRecord.aspx?p=3028540</t>
  </si>
  <si>
    <t>The Semiconducting Dictionary : (Our Strindberg)</t>
  </si>
  <si>
    <t>PR9199.3.C37 -- S46 2010eb</t>
  </si>
  <si>
    <t>Electronic books. -- local; Strindberg, August, -- 1849-1912 -- Poetry.</t>
  </si>
  <si>
    <t>http://public.eblib.com/choice/PublicFullRecord.aspx?p=3028541</t>
  </si>
  <si>
    <t>The Masked Rider : Cycling in West Africa</t>
  </si>
  <si>
    <t>DT472 -- .P43 2004eb</t>
  </si>
  <si>
    <t>916.604/329</t>
  </si>
  <si>
    <t>Africa, West -- Description and travel.; Bicycle touring -- Africa, West.; Electronic books. -- local; Peart, Neil -- Travel -- Africa, West.</t>
  </si>
  <si>
    <t>http://public.eblib.com/choice/PublicFullRecord.aspx?p=3028542</t>
  </si>
  <si>
    <t>The Three Fates of Henrik Nordmark : A Novel</t>
  </si>
  <si>
    <t>Meades, Christopher</t>
  </si>
  <si>
    <t>PR9199.4.M43 -- T47 2010eb</t>
  </si>
  <si>
    <t>http://public.eblib.com/choice/PublicFullRecord.aspx?p=3028543</t>
  </si>
  <si>
    <t>Therafields : The Rise and Fall of Lea Hindley-Smith's Pyschoanalytic Commune</t>
  </si>
  <si>
    <t>Goodbrand, Grant</t>
  </si>
  <si>
    <t>RC489.T67 -- G73 2010eb</t>
  </si>
  <si>
    <t>362.2/0425092</t>
  </si>
  <si>
    <t>Electronic books. -- local; Psychotherapists -- Biography.; Therapeutic communities -- Ontario -- History.</t>
  </si>
  <si>
    <t>http://public.eblib.com/choice/PublicFullRecord.aspx?p=3028544</t>
  </si>
  <si>
    <t>Taylor Swift : Every Day is a Fairytale : The Unofficial Story</t>
  </si>
  <si>
    <t>ML3930.S7977 -- S74 2010eb</t>
  </si>
  <si>
    <t>Country musicians -- United States -- Biography -- Juvenile literature.; Electronic books. -- local; Swift, Taylor, -- 1989- -- Juvenile literature.</t>
  </si>
  <si>
    <t>http://public.eblib.com/choice/PublicFullRecord.aspx?p=3028545</t>
  </si>
  <si>
    <t>The Bourgeois Empire : A Novel</t>
  </si>
  <si>
    <t>Christie, Evie</t>
  </si>
  <si>
    <t>PR9199.4.C487 -- B68 2010eb</t>
  </si>
  <si>
    <t>Electronic books. -- local; Midlife crisis -- Fiction.</t>
  </si>
  <si>
    <t>http://public.eblib.com/choice/PublicFullRecord.aspx?p=3028546</t>
  </si>
  <si>
    <t>Chasing Zebras : The Unofficial Guide to House, M.D.</t>
  </si>
  <si>
    <t>Barnett, Barbara</t>
  </si>
  <si>
    <t>PN1992.77.H68 -- B37 2010eb</t>
  </si>
  <si>
    <t>Electronic books. -- local; House, M. D. (Television program)</t>
  </si>
  <si>
    <t>http://public.eblib.com/choice/PublicFullRecord.aspx?p=3028547</t>
  </si>
  <si>
    <t>Glimpse : Selected Aphorisms</t>
  </si>
  <si>
    <t>Murray, George</t>
  </si>
  <si>
    <t>PR9199.4.M87 -- G55 2010eb</t>
  </si>
  <si>
    <t>Aphorisms and apothegms.; Canadian literature.; Electronic books. -- local</t>
  </si>
  <si>
    <t>http://public.eblib.com/choice/PublicFullRecord.aspx?p=3028548</t>
  </si>
  <si>
    <t>Bloodlight Chronicles : Reconciliation</t>
  </si>
  <si>
    <t>Stanton, Steve</t>
  </si>
  <si>
    <t>PR9199.4.S83 -- B56 2010eb</t>
  </si>
  <si>
    <t>Canadian fiction.; Electronic books. -- local; Science fiction, Canadian.</t>
  </si>
  <si>
    <t>http://public.eblib.com/choice/PublicFullRecord.aspx?p=3028549</t>
  </si>
  <si>
    <t>Don't Stop Believin' : The Unofficial Guide to Glee</t>
  </si>
  <si>
    <t>Balser, Erin; Gardner, Suzanne</t>
  </si>
  <si>
    <t>PN1992.77.G54 -- B35 2010eb</t>
  </si>
  <si>
    <t>Electronic books. -- local; Glee (Television program); Popular music -- Discography.; Teen television programs.; Television actors and actresses -- United States -- Biography.; Television musicals -- United States.</t>
  </si>
  <si>
    <t>http://public.eblib.com/choice/PublicFullRecord.aspx?p=3028550</t>
  </si>
  <si>
    <t>Love You to Death : The Unofficial Companion to the Vampire Diaries</t>
  </si>
  <si>
    <t>Calhoun, Crissy</t>
  </si>
  <si>
    <t>PN1992.77.V36 -- C35 2010eb</t>
  </si>
  <si>
    <t>Electronic books. -- local; Vampire diaries (Television program)</t>
  </si>
  <si>
    <t>http://public.eblib.com/choice/PublicFullRecord.aspx?p=3028551</t>
  </si>
  <si>
    <t>In Plain Sight</t>
  </si>
  <si>
    <t>Knowles, Mike</t>
  </si>
  <si>
    <t>PR9199.4.K66 -- I6 2010eb</t>
  </si>
  <si>
    <t>Detective and mystery stories, Canadian.; Electronic books. -- local; Suspense fiction, Canadian.</t>
  </si>
  <si>
    <t>http://public.eblib.com/choice/PublicFullRecord.aspx?p=3028552</t>
  </si>
  <si>
    <t>Finding Lost, Season 6 : The Unofficial Guide</t>
  </si>
  <si>
    <t>Stafford, Nikki</t>
  </si>
  <si>
    <t>PN1992.77.L67 -- S83 2010eb</t>
  </si>
  <si>
    <t>Electronic books. -- local; Lost (Television program); Television programs -- United States.</t>
  </si>
  <si>
    <t>http://public.eblib.com/choice/PublicFullRecord.aspx?p=3028582</t>
  </si>
  <si>
    <t>Letters to Thomas Pynchon and Other Stories</t>
  </si>
  <si>
    <t>PR9199.4.E24 -- L48 2010eb</t>
  </si>
  <si>
    <t>Electronic books. -- local; Letters -- Fiction.; Short stories, Canadian.</t>
  </si>
  <si>
    <t>http://public.eblib.com/choice/PublicFullRecord.aspx?p=3028583</t>
  </si>
  <si>
    <t>Riptide : Struggling with and Resurfacing from a Daughter's Eating Disorder</t>
  </si>
  <si>
    <t>Hale-Seubert, Barbara</t>
  </si>
  <si>
    <t>RJ506.E18 -- H34 2011eb</t>
  </si>
  <si>
    <t>618.92/85260092</t>
  </si>
  <si>
    <t>Anorexia nervosa -- Patients -- United States -- Biography.; Bulimia -- Patients -- United States -- Biography.; Eating disorders in adolescence -- Patients -- Family relationships -- United States.; Eating disorders in adolescence -- Patients -- United States -- Biography.; Erin Leah, -- 1976-2000.; Hale-Seubert, Barbara.; Psychotherapists -- United States -- Biography.</t>
  </si>
  <si>
    <t>http://public.eblib.com/choice/PublicFullRecord.aspx?p=3028624</t>
  </si>
  <si>
    <t>The Necrophiliac</t>
  </si>
  <si>
    <t>Wittkop, Gabrielle; Bapst, Don</t>
  </si>
  <si>
    <t>PQ2683.I82 -- N413 2011eb</t>
  </si>
  <si>
    <t>Electronic books. -- local; Fetishism (Sexual behavior) -- Fiction.; Necrophilia -- Fiction.</t>
  </si>
  <si>
    <t>http://public.eblib.com/choice/PublicFullRecord.aspx?p=3028625</t>
  </si>
  <si>
    <t>An American Demon : A Memoir</t>
  </si>
  <si>
    <t>Grisham, Jack</t>
  </si>
  <si>
    <t>ML420.G7885 -- A4 2011eb</t>
  </si>
  <si>
    <t>Electronic books. -- local; Grisham, Jack, -- 1961-; Punk rock music -- United States -- History and criticism.; Punk rock musicians -- United States -- Biography.</t>
  </si>
  <si>
    <t>http://public.eblib.com/choice/PublicFullRecord.aspx?p=3028626</t>
  </si>
  <si>
    <t>Cherry Beach Express : A Steve Natsos Mystery</t>
  </si>
  <si>
    <t>Steve Nastos Mysteries</t>
  </si>
  <si>
    <t>Cain, R D</t>
  </si>
  <si>
    <t>PR9199.3.C28 -- C54 2011eb</t>
  </si>
  <si>
    <t>Electronic books. -- local; Girls -- Crimes against -- Fiction.; Police -- Fiction.; Vigilantes -- Fiction.</t>
  </si>
  <si>
    <t>http://public.eblib.com/choice/PublicFullRecord.aspx?p=3028627</t>
  </si>
  <si>
    <t>What Does the Earth Sound Like? : 159 Astounding Science Quizzes</t>
  </si>
  <si>
    <t>Everything, Eva</t>
  </si>
  <si>
    <t>Science: General; Science</t>
  </si>
  <si>
    <t>Q173 -- .E94 2011eb</t>
  </si>
  <si>
    <t>Curiosities and wonders.; Electronic books. -- local; Science -- Miscellanea.</t>
  </si>
  <si>
    <t>http://public.eblib.com/choice/PublicFullRecord.aspx?p=3028628</t>
  </si>
  <si>
    <t>How I Came to Haunt My Parents</t>
  </si>
  <si>
    <t>PR9199.3.C314 -- H68 2011eb</t>
  </si>
  <si>
    <t>Canada -- Social life and customs -- Fiction.; Electronic books. -- local; Short stories, Canadian.</t>
  </si>
  <si>
    <t>http://public.eblib.com/choice/PublicFullRecord.aspx?p=3028630</t>
  </si>
  <si>
    <t>Got 'Em, Got 'Em, Need 'em : A Fan's Guide to Collecting the Top 100 Sports Cards of All Time</t>
  </si>
  <si>
    <t>Laroche, Stephen; Waldman, Jon</t>
  </si>
  <si>
    <t>GV568.5 -- .L37 2011eb</t>
  </si>
  <si>
    <t>Electronic books. -- local; Sports cards -- Collectors and collecting.</t>
  </si>
  <si>
    <t>http://public.eblib.com/choice/PublicFullRecord.aspx?p=3028631</t>
  </si>
  <si>
    <t>Snowball, Dragonfly, Jew : A Novel</t>
  </si>
  <si>
    <t>Ross, Stuart</t>
  </si>
  <si>
    <t>PR9199.3.R67 -- S66 2011eb</t>
  </si>
  <si>
    <t>Performance artists -- Fiction.; Toronto (Ont.) -- Fiction.</t>
  </si>
  <si>
    <t>http://public.eblib.com/choice/PublicFullRecord.aspx?p=3028632</t>
  </si>
  <si>
    <t>Civil and Civic</t>
  </si>
  <si>
    <t>PR9199.4.B46 -- C58 2011eb</t>
  </si>
  <si>
    <t>http://public.eblib.com/choice/PublicFullRecord.aspx?p=3028633</t>
  </si>
  <si>
    <t>I'm Walking as Straight as I Can : Transcending Disability in Hollywood and Beyond</t>
  </si>
  <si>
    <t>Jewell, Geri; Nichelson, Ted; Duke, Patty</t>
  </si>
  <si>
    <t>PN2287.J49 -- A3 2011eb</t>
  </si>
  <si>
    <t>791.4502/8092</t>
  </si>
  <si>
    <t>Actors with disabilities -- United States -- Biography.; Cerebral palsied -- United States -- Biography.; Comedians with disabilities -- United States -- Biography.; Electronic books. -- local; Jewell, Geri, -- 1956-</t>
  </si>
  <si>
    <t>http://public.eblib.com/choice/PublicFullRecord.aspx?p=3028634</t>
  </si>
  <si>
    <t>Golf's Finest Par Threes : The Art &amp; Science of the One-Shot Hole</t>
  </si>
  <si>
    <t>Roberts, Tony; Bartlett, Michael; Dye, Pete; Dye, Alice</t>
  </si>
  <si>
    <t>GV975 -- .R63 2011eb</t>
  </si>
  <si>
    <t>796.352/068</t>
  </si>
  <si>
    <t>Electronic books. -- local; Golf course architects.; Golf courses.</t>
  </si>
  <si>
    <t>http://public.eblib.com/choice/PublicFullRecord.aspx?p=3028635</t>
  </si>
  <si>
    <t>Tampered : A Dr. Zol Szabo Medical Mystery</t>
  </si>
  <si>
    <t>Dr. Zol Szabo Medical Mystery</t>
  </si>
  <si>
    <t>PS3616.E56 -- T36 2011eb</t>
  </si>
  <si>
    <t>Detective and mystery stories.; Electronic books. -- local</t>
  </si>
  <si>
    <t>http://public.eblib.com/choice/PublicFullRecord.aspx?p=3028636</t>
  </si>
  <si>
    <t>Trouble in the Camera Club : A Photographic Narrative of Toronto's Punk History 1976-1980</t>
  </si>
  <si>
    <t>Pyle, Don; Leckie, Steven</t>
  </si>
  <si>
    <t>ML3534.6.C2 -- P95 2011eb</t>
  </si>
  <si>
    <t>Punk rock music -- Ontario -- Toronto -- History and criticism.; Punk rock music -- Ontario -- Toronto -- Pictorial works.</t>
  </si>
  <si>
    <t>http://public.eblib.com/choice/PublicFullRecord.aspx?p=3028637</t>
  </si>
  <si>
    <t>Ashland</t>
  </si>
  <si>
    <t>Adamson, Gil</t>
  </si>
  <si>
    <t>PR9199.4.A317 -- A6 2011eb</t>
  </si>
  <si>
    <t>Canadian poetry -- 21st century.; Canadian poetry -- Women authors.; Electronic books. -- local</t>
  </si>
  <si>
    <t>http://public.eblib.com/choice/PublicFullRecord.aspx?p=3028638</t>
  </si>
  <si>
    <t>Tip and Trade : How Two Lawyers Made Millions from Insider Trading</t>
  </si>
  <si>
    <t>Coakley, Mark</t>
  </si>
  <si>
    <t>HV6805 -- .C63 2011eb</t>
  </si>
  <si>
    <t>364.16/80922</t>
  </si>
  <si>
    <t>Electronic books. -- local; Insider trading in securities -- Canada.; Lawyers -- Canada -- Biography.; Securities fraud -- Canada.; Stockbrokers -- Canada -- Biography.</t>
  </si>
  <si>
    <t>http://public.eblib.com/choice/PublicFullRecord.aspx?p=3028639</t>
  </si>
  <si>
    <t>Have Not Been the Same : The Canrock Renaissance 1985-1995</t>
  </si>
  <si>
    <t>Barclay, Michael; Jack, Ian A D; Schneider, Jason; Downie, Gordon</t>
  </si>
  <si>
    <t>ML3534.6.C2 -- B37 2011eb</t>
  </si>
  <si>
    <t>781.66/0971</t>
  </si>
  <si>
    <t>Electronic books. -- local; Rock music -- Canada -- 1981-1990 -- History and criticism.; Rock music -- Canada -- 1991-2000 -- History and criticism.</t>
  </si>
  <si>
    <t>http://public.eblib.com/choice/PublicFullRecord.aspx?p=3028640</t>
  </si>
  <si>
    <t>Say Uncle! : Catch-As-Catch-Can Wrestling and the Roots of Ultimate Fighting, Pro Wrestling &amp; Modern Grappling</t>
  </si>
  <si>
    <t>Shannon, Jake</t>
  </si>
  <si>
    <t>GV1195 -- .S53 2011eb</t>
  </si>
  <si>
    <t>796.8/12</t>
  </si>
  <si>
    <t>Electronic books. -- local; Mixed martial arts -- History.; Wrestling -- History.</t>
  </si>
  <si>
    <t>http://public.eblib.com/choice/PublicFullRecord.aspx?p=3028641</t>
  </si>
  <si>
    <t>Tori Amos : In the Studio</t>
  </si>
  <si>
    <t>Brown, Jake</t>
  </si>
  <si>
    <t>ML420.A5874 -- B76 2011eb</t>
  </si>
  <si>
    <t>Amos, Tori.; Electronic books. -- local; Rock musicians -- United States -- Biography.</t>
  </si>
  <si>
    <t>http://public.eblib.com/choice/PublicFullRecord.aspx?p=3028642</t>
  </si>
  <si>
    <t>The Anatomy of Clay</t>
  </si>
  <si>
    <t>Sze, Gillian</t>
  </si>
  <si>
    <t>PR9199.3.S994 -- A52 2011eb</t>
  </si>
  <si>
    <t>http://public.eblib.com/choice/PublicFullRecord.aspx?p=3028643</t>
  </si>
  <si>
    <t>Far and Away : A Prize Every Time</t>
  </si>
  <si>
    <t>ML419.D78 -- P43 2011eb</t>
  </si>
  <si>
    <t>786.9/166092</t>
  </si>
  <si>
    <t>Drummers (Musicians) -- Canada -- Biography.; Electronic books. -- local; Lyricists -- Canada -- Biography.; Motorcycling -- Europe.; Motorcycling -- North America.; Peart, Neil -- Travel.; Rush (Musical group)</t>
  </si>
  <si>
    <t>http://public.eblib.com/choice/PublicFullRecord.aspx?p=3028644</t>
  </si>
  <si>
    <t>Idaho Winter</t>
  </si>
  <si>
    <t>Burgess, Tony</t>
  </si>
  <si>
    <t>PR9199.3.B7875 -- I33 2011eb</t>
  </si>
  <si>
    <t>Electronic books. -- local; Fantasy fiction.</t>
  </si>
  <si>
    <t>http://public.eblib.com/choice/PublicFullRecord.aspx?p=3028645</t>
  </si>
  <si>
    <t>When Tish Happens : The Unlikely Story of Canada's "Most Influential Literary Magazine"</t>
  </si>
  <si>
    <t>PR9180 -- .D38 2011eb</t>
  </si>
  <si>
    <t>811/.5409</t>
  </si>
  <si>
    <t>Canadian poetry -- 20th century -- History and criticism.; Electronic books. -- local</t>
  </si>
  <si>
    <t>http://public.eblib.com/choice/PublicFullRecord.aspx?p=3028646</t>
  </si>
  <si>
    <t>Memos and Dispatches on Writing : Workbook</t>
  </si>
  <si>
    <t>Heighton, Steven</t>
  </si>
  <si>
    <t>BF408 -- .H45 2011eb</t>
  </si>
  <si>
    <t>Authorship.; Creation (Literary, artistic, etc.)</t>
  </si>
  <si>
    <t>http://public.eblib.com/choice/PublicFullRecord.aspx?p=3028710</t>
  </si>
  <si>
    <t>A Season of Loss, a Lifetime of Forgiveness : The Dan Snyder and Dany Heatley Story</t>
  </si>
  <si>
    <t>Manasso, John</t>
  </si>
  <si>
    <t>GV847 -- .M36 2011eb</t>
  </si>
  <si>
    <t>796.962/092271</t>
  </si>
  <si>
    <t>Hockey -- Biography.</t>
  </si>
  <si>
    <t>http://public.eblib.com/choice/PublicFullRecord.aspx?p=3028712</t>
  </si>
  <si>
    <t>Roadshow : Landscape with Drums: A Concert Tour by Motorcycle</t>
  </si>
  <si>
    <t>ML419.P475 -- A3 2011eb</t>
  </si>
  <si>
    <t>Drummers (Musicians) -- Canada -- Biography.; Lyricists -- Canada -- Biography.; Motorcycling -- Europe.; Motorcycling -- North America.; Peart, Neil -- Travel -- Europe.; Peart, Neil -- Travel -- North America.; Rush (Musical group)</t>
  </si>
  <si>
    <t>http://public.eblib.com/choice/PublicFullRecord.aspx?p=3028715</t>
  </si>
  <si>
    <t>Everyone Remain Calm</t>
  </si>
  <si>
    <t>Stielstra, Megan</t>
  </si>
  <si>
    <t>PS3619.T54 -- E94 2011eb</t>
  </si>
  <si>
    <t>http://public.eblib.com/choice/PublicFullRecord.aspx?p=3028717</t>
  </si>
  <si>
    <t>Joyland Trio Deal : Why They Cried, Letters To Thomas Pynchon, and How I Came to Haunt My Parents</t>
  </si>
  <si>
    <t>Hanas, Jim; Eaton, Chris; Caple, Natalee</t>
  </si>
  <si>
    <t>PR9194.92 -- .H36 2011eb</t>
  </si>
  <si>
    <t>Canadian fiction -- 20th century.</t>
  </si>
  <si>
    <t>http://public.eblib.com/choice/PublicFullRecord.aspx?p=3028732</t>
  </si>
  <si>
    <t>The Ghosts of Jay MillAr</t>
  </si>
  <si>
    <t>MillAr, Jay</t>
  </si>
  <si>
    <t>PR9195.25 -- .G45 1998eb</t>
  </si>
  <si>
    <t>http://public.eblib.com/choice/PublicFullRecord.aspx?p=3028737</t>
  </si>
  <si>
    <t>Expressway</t>
  </si>
  <si>
    <t>PR9199.4.Q49 -- E97 2009eb</t>
  </si>
  <si>
    <t>http://public.eblib.com/choice/PublicFullRecord.aspx?p=3028739</t>
  </si>
  <si>
    <t>After Battersea Park</t>
  </si>
  <si>
    <t>PR9199.4.B46 -- A38 2001eb</t>
  </si>
  <si>
    <t>Brothers -- Fiction.; Canadian fiction.</t>
  </si>
  <si>
    <t>http://public.eblib.com/choice/PublicFullRecord.aspx?p=3028742</t>
  </si>
  <si>
    <t>Clare Vengel Undercover Mysteries : Includes Dead Politician Society and Death Plays Poker</t>
  </si>
  <si>
    <t>Spano, Robin</t>
  </si>
  <si>
    <t>PR9199.4.S63 -- D43 2011eb</t>
  </si>
  <si>
    <t>http://public.eblib.com/choice/PublicFullRecord.aspx?p=3028743</t>
  </si>
  <si>
    <t>Rage Mystery Series Bundle : Includes Lethal Rage and Savage Rage</t>
  </si>
  <si>
    <t>PR9199.4.P55 -- R34 2010eb</t>
  </si>
  <si>
    <t>http://public.eblib.com/choice/PublicFullRecord.aspx?p=3028747</t>
  </si>
  <si>
    <t>Bloodlight Chronicles Bundle, Book 1 : Reconciliation; Book 2 : Retribution</t>
  </si>
  <si>
    <t>PR9199.4.S73 -- R43 2011eb</t>
  </si>
  <si>
    <t>http://public.eblib.com/choice/PublicFullRecord.aspx?p=3028748</t>
  </si>
  <si>
    <t>You Can't Always Get What You Want : My Life with the Rolling Stones, the Grateful Dead and Other Wonderful Reprobates</t>
  </si>
  <si>
    <t>Cutler, Sam</t>
  </si>
  <si>
    <t>ML429.C87 -- A3 2010eb</t>
  </si>
  <si>
    <t>Concert agents -- Biography.; Concert tours -- Management.; Cutler, Sam.; Music trade.; Rock concerts -- Management.; Rolling Stones -- History.</t>
  </si>
  <si>
    <t>http://public.eblib.com/choice/PublicFullRecord.aspx?p=3028762</t>
  </si>
  <si>
    <t>The Little Hummingbird</t>
  </si>
  <si>
    <t>Yahgulanaas, Michael Nicoll; Maathai, Wangari</t>
  </si>
  <si>
    <t>398.24/528764</t>
  </si>
  <si>
    <t>http://public.eblib.com/choice/PublicFullRecord.aspx?p=3028784</t>
  </si>
  <si>
    <t>Toronto Series Bundle : Includes the Novels Dirty Sweet, Everybody Knows this is Nowhere, and Swap</t>
  </si>
  <si>
    <t>PR9199.4.M426 -- A6 2012eb</t>
  </si>
  <si>
    <t>Detectives -- Ontario -- Toronto -- Fiction.; Drug dealers -- Fiction.; Illegal arms transfers -- Ontario -- Toronto -- Fiction.; Real estate agents -- Fiction.; Toronto (Ont.) -- Fiction.</t>
  </si>
  <si>
    <t>http://public.eblib.com/choice/PublicFullRecord.aspx?p=3028807</t>
  </si>
  <si>
    <t>The Wilson Mystery Omnibus</t>
  </si>
  <si>
    <t>A Wilson Mystery</t>
  </si>
  <si>
    <t>PS8621.N67 -- W54 2012eb</t>
  </si>
  <si>
    <t>Gangs -- Fiction.; Gangsters -- Fiction.</t>
  </si>
  <si>
    <t>http://public.eblib.com/choice/PublicFullRecord.aspx?p=3028811</t>
  </si>
  <si>
    <t>Contrivances</t>
  </si>
  <si>
    <t>a Joyland ebook</t>
  </si>
  <si>
    <t>PR9199.4.B35 -- C66 2012eb</t>
  </si>
  <si>
    <t>Canadian fiction.; Short stories, Canadian.</t>
  </si>
  <si>
    <t>http://public.eblib.com/choice/PublicFullRecord.aspx?p=3028813</t>
  </si>
  <si>
    <t>King of New Orleans : How the Junkyard Dog Became Professional Wrestling's First Black Superstar</t>
  </si>
  <si>
    <t>Klein, Greg</t>
  </si>
  <si>
    <t>GV1196.J86 -- K54 2012eb</t>
  </si>
  <si>
    <t>African American wrestlers -- Louisiana -- New Orleans -- Biography.; Junkyard Dog, -- 1952-1998.; Wrestlers -- Louisiana -- New Orleans -- Biography.; Wrestling -- United States.</t>
  </si>
  <si>
    <t>http://public.eblib.com/choice/PublicFullRecord.aspx?p=3028834</t>
  </si>
  <si>
    <t>Gwyneth Paltrow</t>
  </si>
  <si>
    <t>Milano, Valerie</t>
  </si>
  <si>
    <t>PN2287.P227 -- M54 2000eb</t>
  </si>
  <si>
    <t>791.43/028/092</t>
  </si>
  <si>
    <t>Motion picture actors and actresses -- Biography.; Paltrow, Gwyneth, -- 1972-</t>
  </si>
  <si>
    <t>http://public.eblib.com/choice/PublicFullRecord.aspx?p=3028853</t>
  </si>
  <si>
    <t>The Carnivore : A Novel</t>
  </si>
  <si>
    <t>BackLit Insights for Readers</t>
  </si>
  <si>
    <t>PR9199.3.S5356 -- C37 2011eb</t>
  </si>
  <si>
    <t>Canadian fiction -- 21st century.; Hurricane Hazel, 1954.</t>
  </si>
  <si>
    <t>http://public.eblib.com/choice/PublicFullRecord.aspx?p=3028864</t>
  </si>
  <si>
    <t>Where There's Smoke... : Musings of a Cigarette Smoking Man, a Memoir</t>
  </si>
  <si>
    <t>Davis, William B.</t>
  </si>
  <si>
    <t>PN2287.D38 -- A3 2011eb</t>
  </si>
  <si>
    <t>Actors -- Canada -- Biography.; Actors -- United States -- Biography.; Davis, William B., -- 1938-</t>
  </si>
  <si>
    <t>http://public.eblib.com/choice/PublicFullRecord.aspx?p=3028868</t>
  </si>
  <si>
    <t>Pontypool Changes Everything</t>
  </si>
  <si>
    <t>PR9199.3.B7875 -- P66 2009eb</t>
  </si>
  <si>
    <t>Horror tales.; Humorous stories.</t>
  </si>
  <si>
    <t>http://public.eblib.com/choice/PublicFullRecord.aspx?p=3028885</t>
  </si>
  <si>
    <t>Clockwork Angels : The Novel</t>
  </si>
  <si>
    <t>Anderson, Kevin; Peart, Neil</t>
  </si>
  <si>
    <t>PS3551.N37442 -- C56 2012eb</t>
  </si>
  <si>
    <t>Carnivals -- Fiction.; Clock and watch makers -- Fiction.; Extinct cities -- Fiction.; Pirates -- Fiction.; Quests (Expeditions) -- Fiction.</t>
  </si>
  <si>
    <t>http://public.eblib.com/choice/PublicFullRecord.aspx?p=3028912</t>
  </si>
  <si>
    <t>Trial of Passion</t>
  </si>
  <si>
    <t>PR9199.4.D48 -- T75 2002eb</t>
  </si>
  <si>
    <t>British Columbia -- Fiction.; Sadomasochism -- Fiction.; Trials (Rape) -- Fiction.</t>
  </si>
  <si>
    <t>http://public.eblib.com/choice/PublicFullRecord.aspx?p=3028921</t>
  </si>
  <si>
    <t>The Molly Fire</t>
  </si>
  <si>
    <t>Mitchell, Michael</t>
  </si>
  <si>
    <t>ND249.M527 -- M58 2004eb</t>
  </si>
  <si>
    <t>Mitchell, Michael, -- 1943- -- Family.; Mitchell, Molly G., -- 1919-2000.; Painters -- Canada -- Biography.</t>
  </si>
  <si>
    <t>http://public.eblib.com/choice/PublicFullRecord.aspx?p=3028922</t>
  </si>
  <si>
    <t>Mind's Eye : CBC Literary Awards Winners, 2001 - 2006</t>
  </si>
  <si>
    <t>PR9194.92 -- .M56 2008eb</t>
  </si>
  <si>
    <t>810.8/006</t>
  </si>
  <si>
    <t>Canadian literature -- 21st century.; Literary prizes -- Canada.</t>
  </si>
  <si>
    <t>http://public.eblib.com/choice/PublicFullRecord.aspx?p=3028923</t>
  </si>
  <si>
    <t>The Cowboy and the Cross : The Bill Watts Story: Rebellion, Wrestling and Redemption</t>
  </si>
  <si>
    <t>Watts, Bill; Williams, Scott</t>
  </si>
  <si>
    <t>GV1196.W38 -- A3 2006eb</t>
  </si>
  <si>
    <t>Watts, Bill, -- 1939-; Wrestlers -- United States -- Biography.</t>
  </si>
  <si>
    <t>http://public.eblib.com/choice/PublicFullRecord.aspx?p=3028925</t>
  </si>
  <si>
    <t>The House That Hugh Laurie Built : An Unauthorized Biography and Episode Guide</t>
  </si>
  <si>
    <t>Challen, Paul</t>
  </si>
  <si>
    <t>PN2598.L275 -- C43 2007eb</t>
  </si>
  <si>
    <t>792.02/8092</t>
  </si>
  <si>
    <t>Actors -- Great Britain -- Biography.; House, M. D. (Television program); Laurie, Hugh, -- 1959-; Television actors and actresses -- United States -- Biography.</t>
  </si>
  <si>
    <t>http://public.eblib.com/choice/PublicFullRecord.aspx?p=3028926</t>
  </si>
  <si>
    <t>Sweater Is for You! : Celebrating the Creative Process in Film and Art with the Animator and Illustrator of The Hockey Sweater</t>
  </si>
  <si>
    <t>Cohen, Sheldon; Carrier, Roch</t>
  </si>
  <si>
    <t>N71 -- .C64 2012eb</t>
  </si>
  <si>
    <t>Animated films -- Canada.; Creation (Literary, artistic, etc.) in motion pictures.</t>
  </si>
  <si>
    <t>http://public.eblib.com/choice/PublicFullRecord.aspx?p=3028928</t>
  </si>
  <si>
    <t>Bloodlight Chronicles : Redemption</t>
  </si>
  <si>
    <t>Bloodlight Chronicles</t>
  </si>
  <si>
    <t>PR9199.4.S83 -- B56 2012eb</t>
  </si>
  <si>
    <t>Canadian fiction.; Science fiction, Canadian.</t>
  </si>
  <si>
    <t>http://public.eblib.com/choice/PublicFullRecord.aspx?p=3028932</t>
  </si>
  <si>
    <t>Dark Matter : A Steve Nastos Mystery</t>
  </si>
  <si>
    <t>A Steve Nastos Mystery</t>
  </si>
  <si>
    <t>Cain, R. D.</t>
  </si>
  <si>
    <t>PR9199.4.C35 -- D37 2012eb</t>
  </si>
  <si>
    <t>http://public.eblib.com/choice/PublicFullRecord.aspx?p=3028936</t>
  </si>
  <si>
    <t>Little Evil : One Ultimate Fighter's Rise to the Top</t>
  </si>
  <si>
    <t>Pulver, Jens; Krauss, Erich</t>
  </si>
  <si>
    <t>GV1101 -- .P85 2003eb</t>
  </si>
  <si>
    <t>796.815/092</t>
  </si>
  <si>
    <t>Mixed martial arts -- Biography.; Sports -- Biography.</t>
  </si>
  <si>
    <t>http://public.eblib.com/choice/PublicFullRecord.aspx?p=3028949</t>
  </si>
  <si>
    <t>Far from Over : The Music and Life of Drake, the Unofficial Story</t>
  </si>
  <si>
    <t>Higgins, Dalton</t>
  </si>
  <si>
    <t>ML420.D73 -- H54 2012eb</t>
  </si>
  <si>
    <t>Actors -- Canada -- Biography.; Drake, -- 1986-; Rap musicians -- Canada -- Biography.</t>
  </si>
  <si>
    <t>http://public.eblib.com/choice/PublicFullRecord.aspx?p=3028957</t>
  </si>
  <si>
    <t>Animal Husbandry Today : Poems</t>
  </si>
  <si>
    <t>Sharpe, Jamie</t>
  </si>
  <si>
    <t>PR9199.4.S5256 -- A65 2012eb</t>
  </si>
  <si>
    <t>Canadian poetry.; Poetry.</t>
  </si>
  <si>
    <t>http://public.eblib.com/choice/PublicFullRecord.aspx?p=3028981</t>
  </si>
  <si>
    <t>Mad Dogs, Midgets and Screw Jobs : The Untold Story of How Montreal Shaped the World of Wrestling</t>
  </si>
  <si>
    <t>Laprade, Pat; Hebert, Bertrand</t>
  </si>
  <si>
    <t>GV1198.15.Q8 -- L37 2013eb</t>
  </si>
  <si>
    <t>796.81209714/27</t>
  </si>
  <si>
    <t>Wrestlers -- QuÃ©bec (Province) -- MontrÃ©al -- History.; Wrestling -- QuÃ©bec (Province) -- MontrÃ©al -- History.</t>
  </si>
  <si>
    <t>http://public.eblib.com/choice/PublicFullRecord.aspx?p=3028992</t>
  </si>
  <si>
    <t>Killing Art : The Untold History of Tae Kwon Do</t>
  </si>
  <si>
    <t>Gillis, Alex</t>
  </si>
  <si>
    <t>GV1114.9 -- .G55 2008eb</t>
  </si>
  <si>
    <t>Choi, Hong Hi.; Kim, Un-yong, -- 1931-; Tae kwon do -- Biography.; Tae kwon do -- History.</t>
  </si>
  <si>
    <t>http://public.eblib.com/choice/PublicFullRecord.aspx?p=3029012</t>
  </si>
  <si>
    <t>Fearless Warriors</t>
  </si>
  <si>
    <t>PR9199.3.T39 -- F43 2008eb</t>
  </si>
  <si>
    <t>http://public.eblib.com/choice/PublicFullRecord.aspx?p=3029034</t>
  </si>
  <si>
    <t>Heaven</t>
  </si>
  <si>
    <t>Walker, George F.</t>
  </si>
  <si>
    <t>PR9199.3.W342 -- H43 2000eb</t>
  </si>
  <si>
    <t>Canadian drama -- 20th century.; Drama -- 20th century.</t>
  </si>
  <si>
    <t>http://public.eblib.com/choice/PublicFullRecord.aspx?p=3029035</t>
  </si>
  <si>
    <t>All That Glitters</t>
  </si>
  <si>
    <t>Desjardins, Martine</t>
  </si>
  <si>
    <t>PQ3919.2.D4312 -- E5813 2005eb</t>
  </si>
  <si>
    <t>Fantasy fiction, French.; French fiction.</t>
  </si>
  <si>
    <t>http://public.eblib.com/choice/PublicFullRecord.aspx?p=3029041</t>
  </si>
  <si>
    <t>Down the Road to Eternity : New and Selected Fiction</t>
  </si>
  <si>
    <t>Farrant, M.A.C.</t>
  </si>
  <si>
    <t>PR9199.3.F355 -- D69 2009eb</t>
  </si>
  <si>
    <t>http://public.eblib.com/choice/PublicFullRecord.aspx?p=3029044</t>
  </si>
  <si>
    <t>Pro Wrestling Hall of Fame : Heroes and Icons</t>
  </si>
  <si>
    <t>Johnson, Steven; Oliver, Greg; Mooneyham, Mike</t>
  </si>
  <si>
    <t>GV1196.A1 -- J64 2012eb</t>
  </si>
  <si>
    <t>796.812092/2</t>
  </si>
  <si>
    <t>Wrestlers -- Biography.; Wrestling.</t>
  </si>
  <si>
    <t>http://public.eblib.com/choice/PublicFullRecord.aspx?p=3029072</t>
  </si>
  <si>
    <t>When Variety Was King : Memoir of a TV Pioneer : Featuring Jackie Gleason, Sonny and Cher, Hee Haw, and More</t>
  </si>
  <si>
    <t>Peppiatt, Frank</t>
  </si>
  <si>
    <t>PN1992.4.P41 -- A3 2013eb</t>
  </si>
  <si>
    <t>Peppiatt, Frank, -- 1927-2012.; Television broadcasting -- United States -- History -- 20th century.; Television producers and directors -- Canada -- Biography.; Television producers and directors -- United States -- Biography.</t>
  </si>
  <si>
    <t>http://public.eblib.com/choice/PublicFullRecord.aspx?p=3029075</t>
  </si>
  <si>
    <t>The Top 500 Heavy Metal Albums of All Time</t>
  </si>
  <si>
    <t>ML3534 -- .P67 2004eb</t>
  </si>
  <si>
    <t>Heavy metal (Music) -- Discography.; Rock musicians -- Interviews.</t>
  </si>
  <si>
    <t>http://public.eblib.com/choice/PublicFullRecord.aspx?p=3029076</t>
  </si>
  <si>
    <t>Growing Marijuana Indoors : A Foolproof Guide</t>
  </si>
  <si>
    <t>Carter Brown, Jay</t>
  </si>
  <si>
    <t>HV5822.M3 -- B76 2013eb</t>
  </si>
  <si>
    <t>633.7/9</t>
  </si>
  <si>
    <t>Cannabis.; Marijuana.</t>
  </si>
  <si>
    <t>http://public.eblib.com/choice/PublicFullRecord.aspx?p=3029088</t>
  </si>
  <si>
    <t>Drowned Man : A Peter Cammon Mystery</t>
  </si>
  <si>
    <t>Whellams, David</t>
  </si>
  <si>
    <t>PR9199.4.W44 -- D76 2013eb</t>
  </si>
  <si>
    <t>Murder -- Investigation -- Fiction.</t>
  </si>
  <si>
    <t>http://public.eblib.com/choice/PublicFullRecord.aspx?p=3029089</t>
  </si>
  <si>
    <t>Taylor Swift : The Platinum Edition</t>
  </si>
  <si>
    <t>ML3930.S95 -- S64 2013eb</t>
  </si>
  <si>
    <t>Country musicians -- United States -- Biography -- Juvenile literature.; Swift, Taylor, -- 1989 -- Juvenile literature.</t>
  </si>
  <si>
    <t>http://public.eblib.com/choice/PublicFullRecord.aspx?p=3029100</t>
  </si>
  <si>
    <t>Third Best Hull</t>
  </si>
  <si>
    <t>Hull, Dennis; Thompson, Robert</t>
  </si>
  <si>
    <t>GV848.5.H84 -- T45 2013eb</t>
  </si>
  <si>
    <t>Hockey players -- Canada -- Biography.; Hull, Dennis.</t>
  </si>
  <si>
    <t>http://public.eblib.com/choice/PublicFullRecord.aspx?p=3029180</t>
  </si>
  <si>
    <t>12,000 Canaries Can't Be Wrong : What's Making Us Sick and What We Can Do About It</t>
  </si>
  <si>
    <t>Molot, John</t>
  </si>
  <si>
    <t>RA565 -- .M656 2014eb</t>
  </si>
  <si>
    <t>616.9/8</t>
  </si>
  <si>
    <t>Environmental health.; Environmentally induced diseases.</t>
  </si>
  <si>
    <t>http://public.eblib.com/choice/PublicFullRecord.aspx?p=3029230</t>
  </si>
  <si>
    <t>Art of Medicine : Healing and the Limits of Technology</t>
  </si>
  <si>
    <t>Kong, Herbert Ho Ping; Posner, Michael</t>
  </si>
  <si>
    <t>R727.3 -- .K664 2014eb</t>
  </si>
  <si>
    <t>610.69/5</t>
  </si>
  <si>
    <t>Patient-centered health care.; Patients -- Interviews.; Physician and patient.</t>
  </si>
  <si>
    <t>http://public.eblib.com/choice/PublicFullRecord.aspx?p=3029232</t>
  </si>
  <si>
    <t>The Buffalo Job : A Wilson Mystery</t>
  </si>
  <si>
    <t>PR6063.A8875 -- .K56 2014eb</t>
  </si>
  <si>
    <t>Theft -- Fiction.; Thieves -- Fiction.</t>
  </si>
  <si>
    <t>http://public.eblib.com/choice/PublicFullRecord.aspx?p=3029241</t>
  </si>
  <si>
    <t>The Goaltenders' Union : Hockey's Greatest Puckstoppers, Acrobats, and Flakes</t>
  </si>
  <si>
    <t>Hockeys Greatest</t>
  </si>
  <si>
    <t>Oliver, Greg; Kamchen, Richard</t>
  </si>
  <si>
    <t>GV848.5.A1 -- .O458 2014eb</t>
  </si>
  <si>
    <t>Hockey goalkeepers -- Biography.; Hockey players -- Biography.; National Hockey League.</t>
  </si>
  <si>
    <t>http://public.eblib.com/choice/PublicFullRecord.aspx?p=3029280</t>
  </si>
  <si>
    <t>Piercing</t>
  </si>
  <si>
    <t>Tremblay, Larry; Gaboriau, Linda</t>
  </si>
  <si>
    <t>PQ3919.2.T7187 -- P5413 2010eb</t>
  </si>
  <si>
    <t>C843/.54</t>
  </si>
  <si>
    <t>Short stories, Canadian.</t>
  </si>
  <si>
    <t>http://public.eblib.com/choice/PublicFullRecord.aspx?p=3029316</t>
  </si>
  <si>
    <t>The Battle of Batoche : British Small Warfare and the Entrenched Métis</t>
  </si>
  <si>
    <t>Hildebrandt, Walter; Teillet, Jean</t>
  </si>
  <si>
    <t>F1060.9 -- .H66 2012eb</t>
  </si>
  <si>
    <t>971.05/4</t>
  </si>
  <si>
    <t>Batoche, Battle of, Batoche, Sask., 1885.; Métis -- History.; Riel Rebellion, 1885.</t>
  </si>
  <si>
    <t>http://public.eblib.com/choice/PublicFullRecord.aspx?p=3029323</t>
  </si>
  <si>
    <t>Tracing the Lines : Reflections on Contemporary Poetics and Cultural Politics in Honour of Roy Miki</t>
  </si>
  <si>
    <t>Joseph, Maia; Kim, Christine; Lee, Chris; Larissa, Lai</t>
  </si>
  <si>
    <t>PN1042 -- .T693 2012eb</t>
  </si>
  <si>
    <t>Miki, Roy.; Poetics.; Politics and culture.; Social justice.; Social movements.</t>
  </si>
  <si>
    <t>http://public.eblib.com/choice/PublicFullRecord.aspx?p=3029329</t>
  </si>
  <si>
    <t>This Poem</t>
  </si>
  <si>
    <t>Karasick, Adeena</t>
  </si>
  <si>
    <t>PR9199.3.K365 -- .K373 2012eb</t>
  </si>
  <si>
    <t>English poetry.</t>
  </si>
  <si>
    <t>http://public.eblib.com/choice/PublicFullRecord.aspx?p=3029338</t>
  </si>
  <si>
    <t>The Painter's Wife</t>
  </si>
  <si>
    <t>Durand, Monique; Fischman, Sheila</t>
  </si>
  <si>
    <t>PQ3919.2.D868 -- P3513 2006eb</t>
  </si>
  <si>
    <t>Short stories, French-Canadian -- Translations into English.</t>
  </si>
  <si>
    <t>http://public.eblib.com/choice/PublicFullRecord.aspx?p=3029344</t>
  </si>
  <si>
    <t>Natalie Portman : Queen of Hearts</t>
  </si>
  <si>
    <t>Dickerson, James L.</t>
  </si>
  <si>
    <t>PN2285 -- .D53 2002eb</t>
  </si>
  <si>
    <t>792/.028/092</t>
  </si>
  <si>
    <t>Actresses -- United States -- Biography.; Portman, Natalie, -- 1981-</t>
  </si>
  <si>
    <t>http://public.eblib.com/choice/PublicFullRecord.aspx?p=3029361</t>
  </si>
  <si>
    <t>Venus with Biceps : A Pictorial History of Muscular Women</t>
  </si>
  <si>
    <t>Chapman, David L.; Vertinsky, Patricia</t>
  </si>
  <si>
    <t>HQ1219 -- .C472 2010eb</t>
  </si>
  <si>
    <t>306.4/613</t>
  </si>
  <si>
    <t>Photography of women.; Women athletes -- History.; Women bodybuilders -- History.; Women bodybuilders -- Pictorial works.; Women in popular culture -- History.</t>
  </si>
  <si>
    <t>http://public.eblib.com/choice/PublicFullRecord.aspx?p=3029366</t>
  </si>
  <si>
    <t>Universal Hunks : A Pictorial History of Muscular Men around the World, 1895-1975</t>
  </si>
  <si>
    <t>Chapman, David L.; Brown, Douglas</t>
  </si>
  <si>
    <t>Fine Arts; Social Science</t>
  </si>
  <si>
    <t>TR681.M4 -- .C437 2013eb</t>
  </si>
  <si>
    <t>Men -- History -- Pictorial works.; Men -- Pictorial works.; Men in popular culture.; Photography of men.</t>
  </si>
  <si>
    <t>http://public.eblib.com/choice/PublicFullRecord.aspx?p=3029370</t>
  </si>
  <si>
    <t>American in Canada : Real-Life Tax and Financial Insights into Moving to and Living in Canada</t>
  </si>
  <si>
    <t>Wruk, Brian D.</t>
  </si>
  <si>
    <t>History; Economics</t>
  </si>
  <si>
    <t>F1035.A5 -- .W785 2015eb</t>
  </si>
  <si>
    <t>332.024/008913071</t>
  </si>
  <si>
    <t>Americans -- Canada -- Finance, Personal.; Americans -- Legal status, laws, etc. -- Canada.; Americans -- Taxation -- Law and legislation -- Canada.; Canada -- Emigration and immigration.; United States -- Emigration and immigration.</t>
  </si>
  <si>
    <t>http://public.eblib.com/choice/PublicFullRecord.aspx?p=3029520</t>
  </si>
  <si>
    <t>He Shoots, He Saves : The Story of Hockey's Collectible Treasures</t>
  </si>
  <si>
    <t>Waldman, Jon; Pritchard, Philip</t>
  </si>
  <si>
    <t>GV847 -- .W35 2015eb</t>
  </si>
  <si>
    <t>Hockey -- Collectibles.</t>
  </si>
  <si>
    <t>http://public.eblib.com/choice/PublicFullRecord.aspx?p=3029534</t>
  </si>
  <si>
    <t>Caillou Puts Away His Toys</t>
  </si>
  <si>
    <t>Clubhouse</t>
  </si>
  <si>
    <t>Sévigny, Eric; Sanschagrin, Joceline</t>
  </si>
  <si>
    <t>PR9199.3.S23 -- C35 2014eb</t>
  </si>
  <si>
    <t>648/.8</t>
  </si>
  <si>
    <t>Children''s stories.; Toys -- Juvenile fiction.</t>
  </si>
  <si>
    <t>http://public.eblib.com/choice/PublicFullRecord.aspx?p=3029555</t>
  </si>
  <si>
    <t>Worlds of Wonder : Readings in Canadian Science Fiction and Fantasy Literature</t>
  </si>
  <si>
    <t>Reappraisals: Canadian Writers Series</t>
  </si>
  <si>
    <t>Leroux, Jean-Francois; La Bossiere, Camille R.</t>
  </si>
  <si>
    <t>PR9192.6.S34 -- W67 2004eb</t>
  </si>
  <si>
    <t>C813/.087609054</t>
  </si>
  <si>
    <t>Canadian fiction -- 20th century -- History and criticism.; Fantasy fiction, Canadian -- History and criticism.; Science fiction, Canadian -- History and criticism.</t>
  </si>
  <si>
    <t>http://public.eblib.com/choice/PublicFullRecord.aspx?p=3039662</t>
  </si>
  <si>
    <t>In an Iron Glove : An Autobiography by Claire Martin</t>
  </si>
  <si>
    <t>Stratford, Philip</t>
  </si>
  <si>
    <t>PS8526.A732 -- Z47 2006eb</t>
  </si>
  <si>
    <t>Authors, Canadian -- 20th century -- Biography.; Authors, French-Canadian -- 20th century -- Biography.; Electronic books. -- local</t>
  </si>
  <si>
    <t>http://public.eblib.com/choice/PublicFullRecord.aspx?p=3039663</t>
  </si>
  <si>
    <t>Suppression of the Erotic in Modern Hebrew Literature</t>
  </si>
  <si>
    <t>Ben-Ari, Nitsa</t>
  </si>
  <si>
    <t>PN156 -- .B45 2006eb</t>
  </si>
  <si>
    <t>Electronic books. -- local; Erotic literature -- Censorship.; Hebrew literature, Modern -- Censorship.; Hebrew literature, Modern -- History and criticism.; Hebrew literature, Modern -- Translations -- History and criticism.</t>
  </si>
  <si>
    <t>http://public.eblib.com/choice/PublicFullRecord.aspx?p=3039664</t>
  </si>
  <si>
    <t>Conscience subalterne, conscience identitaire : La voix des femmes assistées au sein des organisations féministes et communautaires</t>
  </si>
  <si>
    <t>Michaud, Jacinthe</t>
  </si>
  <si>
    <t>HV1448.C32 -- O58 2005eb</t>
  </si>
  <si>
    <t>Electronic books. -- local; Group identity -- Ontario.; Poor women -- Ontario.; Public welfare -- Ontario.; Self-help groups -- Ontario.; Social surveys -- Ontario.</t>
  </si>
  <si>
    <t>http://public.eblib.com/choice/PublicFullRecord.aspx?p=3039665</t>
  </si>
  <si>
    <t>Traduction littéraire et sociabilité interculturelle au Canada : (1950-1960)</t>
  </si>
  <si>
    <t>Godbout, Patricia</t>
  </si>
  <si>
    <t>Language/Linguistics; Literature</t>
  </si>
  <si>
    <t>PN241.5.C2 -- G63 2004eb</t>
  </si>
  <si>
    <t>418/020971</t>
  </si>
  <si>
    <t>Canadian literature -- Translations -- History and criticism.; Daviault, Pierre, -- 1899-1964 -- Criticism and interpretation.; Glassco, John -- Criticism and interpretation.; Scott, F. R. -- (Francis Reginald), -- 1899-1985 -- Criticism and interpretation.; Sylvestre, Guy -- Criticism and interpretation.; Translating and interpreting -- Canada -- History -- 20th century.</t>
  </si>
  <si>
    <t>http://public.eblib.com/choice/PublicFullRecord.aspx?p=3039666</t>
  </si>
  <si>
    <t>Témoigner de sa foi, dans les médias, aujourd'hui</t>
  </si>
  <si>
    <t>Marchessault, Guy</t>
  </si>
  <si>
    <t>BV4520 -- .T46 2005eb</t>
  </si>
  <si>
    <t>Electronic books. -- local; Experience (Religion) -- Congresses.; Mass media -- Influence -- Congresses.; Mass media -- Religious aspects -- Congresses.; Witness bearing (Christianity) -- Congresses.; Witness bearing (Christianity) in mass media -- Congresses.</t>
  </si>
  <si>
    <t>http://public.eblib.com/choice/PublicFullRecord.aspx?p=3039667</t>
  </si>
  <si>
    <t>Learning to Practise : Professional Education in Historical and Contemporary Perspective</t>
  </si>
  <si>
    <t>Heap, Ruby; Millar, Wyn ; Smyth, Elizabeth</t>
  </si>
  <si>
    <t>http://public.eblib.com/choice/PublicFullRecord.aspx?p=3039668</t>
  </si>
  <si>
    <t>D'une écriture à l'autre : Les femmes et la traduction sous l'ancien régime</t>
  </si>
  <si>
    <t>Beaulieu, Jean-Philipe</t>
  </si>
  <si>
    <t>P306.8.F8 -- D86 2004eb</t>
  </si>
  <si>
    <t>418/.020820944</t>
  </si>
  <si>
    <t>France -- History -- Bourbons, 1589-1789.; French literature -- Women authors -- History and criticism.; Translating and interpreting -- France -- History.; Women -- Education -- France.; Women and literature -- France -- History.; Women translators -- France -- History.</t>
  </si>
  <si>
    <t>http://public.eblib.com/choice/PublicFullRecord.aspx?p=3039669</t>
  </si>
  <si>
    <t>The Other Deeper You</t>
  </si>
  <si>
    <t>Mahrer, Alvin R.</t>
  </si>
  <si>
    <t>RC506 -- .M347 2007eb</t>
  </si>
  <si>
    <t>Electronic books. -- local; Emotions.; Psychoanalysis.; Psychotherapy.</t>
  </si>
  <si>
    <t>http://public.eblib.com/choice/PublicFullRecord.aspx?p=3039670</t>
  </si>
  <si>
    <t>Le père des pauvres : Paul Dubé, Médicin à Motargis au XVIIe siècle</t>
  </si>
  <si>
    <t>Dubé, Jean-Claude</t>
  </si>
  <si>
    <t>R507.D73 -- D83 2007eb</t>
  </si>
  <si>
    <t>Dubé, Paul, -- d. 1698.; Electronic books. -- local; Hospitals -- France -- Montargis -- History -- 17th century.; Montargis (France) -- Social conditions -- 17th century.; Physicians -- France -- Montargis -- Biography.; Traditional medicine -- France -- History -- 17th siècle.</t>
  </si>
  <si>
    <t>http://public.eblib.com/choice/PublicFullRecord.aspx?p=3039671</t>
  </si>
  <si>
    <t>Démocratie, idéologie, socialité : autour de l'oeuvre de Roberto Miguelez</t>
  </si>
  <si>
    <t>Sciences sociales</t>
  </si>
  <si>
    <t>Tahon, Marie-Blanche</t>
  </si>
  <si>
    <t>JC423 -- .D445 2007eb</t>
  </si>
  <si>
    <t>Democracy -- Social aspects.; Electronic books. -- local; Ideology.; Miguelez, Roberto.; Political sociology.</t>
  </si>
  <si>
    <t>http://public.eblib.com/choice/PublicFullRecord.aspx?p=3039672</t>
  </si>
  <si>
    <t>Lexicographie et terminologie : compatibilité des modèles et des méthodes</t>
  </si>
  <si>
    <t>L'Homme, Marie-Claude; Vandaele, Sylvie</t>
  </si>
  <si>
    <t>P327 -- .L49 2007eb</t>
  </si>
  <si>
    <t>Electronic books. -- local; Lexicography -- Methodology.; Lexicography.; Terms and phrases -- Methodology.; Terms and phrases.</t>
  </si>
  <si>
    <t>http://public.eblib.com/choice/PublicFullRecord.aspx?p=3039673</t>
  </si>
  <si>
    <t>Floribec : espace et communauté</t>
  </si>
  <si>
    <t>Amérique française</t>
  </si>
  <si>
    <t>Tremblay, Rémy</t>
  </si>
  <si>
    <t>F320.F85 -- F56 2006eb</t>
  </si>
  <si>
    <t>Electronic books. -- local; French Americans -- Florida -- Social conditions.; French language -- Social aspects -- Florida.</t>
  </si>
  <si>
    <t>http://public.eblib.com/choice/PublicFullRecord.aspx?p=3039674</t>
  </si>
  <si>
    <t>La jeunesse au Canada français : formation, mouvements et identité</t>
  </si>
  <si>
    <t>Bock, Michel</t>
  </si>
  <si>
    <t>HQ799.8.C36 -- J48 2007eb</t>
  </si>
  <si>
    <t>Electronic books. -- local; Young adults -- Canada.; Youth -- Canada.</t>
  </si>
  <si>
    <t>http://public.eblib.com/choice/PublicFullRecord.aspx?p=3039675</t>
  </si>
  <si>
    <t>Postcolonizing the Commonwealth : Studies in Literature and Culture</t>
  </si>
  <si>
    <t>Smith, Rowland</t>
  </si>
  <si>
    <t>PR9080 -- P575 2000eb</t>
  </si>
  <si>
    <t>820.9/9171241</t>
  </si>
  <si>
    <t>Commonwealth literature (English) -- History and criticism.; Commonwealth literature (English) -- Study and teaching (Higher); Postcolonialism -- Study and teaching (Higher); Postcolonialism.</t>
  </si>
  <si>
    <t>http://public.eblib.com/choice/PublicFullRecord.aspx?p=3050184</t>
  </si>
  <si>
    <t>Love and War in London : A Women's Diary, 1939-1942</t>
  </si>
  <si>
    <t>Cockett, Olivia; Malcolmson, Robert W.</t>
  </si>
  <si>
    <t>D811.5 -- .C6 2005eb</t>
  </si>
  <si>
    <t>940.53/42</t>
  </si>
  <si>
    <t>Cockett, Olivia, -- 1912-1998 -- Diaries.; Electronic books. -- local; World War, 1939-1945 -- England -- London.; World War, 1939-1945 -- Personal narratives, British.</t>
  </si>
  <si>
    <t>http://public.eblib.com/choice/PublicFullRecord.aspx?p=3050185</t>
  </si>
  <si>
    <t>Social Policy and Practice in Canada : A History</t>
  </si>
  <si>
    <t>Finkel, Alvin</t>
  </si>
  <si>
    <t>HV108 -- .F56 2006eb</t>
  </si>
  <si>
    <t>361.6/10971</t>
  </si>
  <si>
    <t>Canada -- Social policy.; Electronic books. -- local; Public welfare -- Canada -- History.; Welfare state -- Canada -- History.</t>
  </si>
  <si>
    <t>http://public.eblib.com/choice/PublicFullRecord.aspx?p=3050186</t>
  </si>
  <si>
    <t>Field Marks : The Poetry of Don McKay</t>
  </si>
  <si>
    <t>Cook, Meira; Cook, Méira</t>
  </si>
  <si>
    <t>PS8575.K28 -- A6 2006eb</t>
  </si>
  <si>
    <t>Canadian poetry.; Electronic books. -- local; McKay, Don, -- 1942-</t>
  </si>
  <si>
    <t>http://public.eblib.com/choice/PublicFullRecord.aspx?p=3050187</t>
  </si>
  <si>
    <t>Edward Schillebeeckx and Hans Frei : A Conversation on Method and Christology</t>
  </si>
  <si>
    <t>Abdul-Masih, Marguerite</t>
  </si>
  <si>
    <t>BT202 -- A23 2001eb</t>
  </si>
  <si>
    <t>230/.01</t>
  </si>
  <si>
    <t>Electronic books. -- local; Experience (Religion); Frei, Hans W.; Jesus Christ -- History of doctrines.; Schillebeeckx, Edward, -- 1914-2009.; Theology -- Methodology.</t>
  </si>
  <si>
    <t>http://public.eblib.com/choice/PublicFullRecord.aspx?p=3050188</t>
  </si>
  <si>
    <t>Doing Ethics in a Pluralistic World : Essays in Honour of Roger C. Hutchinson</t>
  </si>
  <si>
    <t>Airhart, Phyllis; Legge, Marilyn; Redcliffe, Gary L.</t>
  </si>
  <si>
    <t>BJ401 -- .D65 2002eb</t>
  </si>
  <si>
    <t>Christian ethics.; Electronic books. -- local; Hutchinson, Roger, -- 1935-; Social ethics.</t>
  </si>
  <si>
    <t>http://public.eblib.com/choice/PublicFullRecord.aspx?p=3050189</t>
  </si>
  <si>
    <t>Crime of Crimes : Demonology and Politics in France, 1560-1620</t>
  </si>
  <si>
    <t>Pearl, Jonathan L</t>
  </si>
  <si>
    <t>BF1517.F5 -- P42 1999eb</t>
  </si>
  <si>
    <t>133.4/2/094409031</t>
  </si>
  <si>
    <t>Demonology -- France -- History -- 16th century.; Demonology -- France -- History -- 17th century.; Demonology -- Political aspects -- France -- History -- 16th century.; Demonology -- Political aspects -- France -- History -- 17th century.; Electronic books. -- local</t>
  </si>
  <si>
    <t>http://public.eblib.com/choice/PublicFullRecord.aspx?p=3050190</t>
  </si>
  <si>
    <t>Narrative in the Feminine : Daphne Marlatt and Nicole Brossard</t>
  </si>
  <si>
    <t>Knutson, Susan Lynne</t>
  </si>
  <si>
    <t>PS8576.A74 -- H683 2000eb</t>
  </si>
  <si>
    <t>Brossard, Nicole. -- Picture theory.; Canadian literature -- 20th century -- History and criticism.; Canadian literature -- Women authors -- History and criticism.; Dialogue in literature.; Electronic books. -- local; Feminist literary criticism.; Marlatt, Daphne. -- How hug a stone.</t>
  </si>
  <si>
    <t>http://public.eblib.com/choice/PublicFullRecord.aspx?p=3050191</t>
  </si>
  <si>
    <t>In Good Faith : Canadian Churches Against Apartheid</t>
  </si>
  <si>
    <t>Pratt, Renate</t>
  </si>
  <si>
    <t>BR570 -- .P73 1997eb</t>
  </si>
  <si>
    <t>261.8/348/00968</t>
  </si>
  <si>
    <t>Apartheid -- Religious aspects -- Christianity.; Christianity and politics -- Canada.; Church and industry -- Canada.; Electronic books. -- local; Taskforce on the Churches and Corporate Responsibility.</t>
  </si>
  <si>
    <t>http://public.eblib.com/choice/PublicFullRecord.aspx?p=3050192</t>
  </si>
  <si>
    <t>Cross-Currents : Hydroelectricity and the Engineering of Northern Ontario</t>
  </si>
  <si>
    <t>Manore, Jean L</t>
  </si>
  <si>
    <t>HD9685.C33 -- O558 1999eb</t>
  </si>
  <si>
    <t>333.793/215/0971313</t>
  </si>
  <si>
    <t>Electronic books. -- local; Hydroelectric power plants -- Ontario -- Moose River Watershed -- History.; Moose River Watershed (Ont.) -- History.; Ontario Hydro -- History.</t>
  </si>
  <si>
    <t>http://public.eblib.com/choice/PublicFullRecord.aspx?p=3050193</t>
  </si>
  <si>
    <t>Radar Development in Canada : Radio Branch of National Research Council of Canada 1939-1946</t>
  </si>
  <si>
    <t>Middleton, W E K</t>
  </si>
  <si>
    <t>UG1425.C2 -- M53 1981eb</t>
  </si>
  <si>
    <t>Electronic books. -- local; Military engineering.; Radar -- Military applications -- Canada -- History.</t>
  </si>
  <si>
    <t>http://public.eblib.com/choice/PublicFullRecord.aspx?p=3050194</t>
  </si>
  <si>
    <t>Retrospective Review (1820-1828) and the Revival of Seventeenth-Century Poetry</t>
  </si>
  <si>
    <t>PR926 -- .C35 1972eb</t>
  </si>
  <si>
    <t>Criticism -- Great Britain -- History -- 19th century.; Electronic books. -- local; English poetry -- Early modern, 1500-1700 -- History and criticism -- Theory, etc.; English prose literature -- 19th century -- History and criticism.; Great Britain -- Intellectual life -- 17th century.; Retrospective review.</t>
  </si>
  <si>
    <t>http://public.eblib.com/choice/PublicFullRecord.aspx?p=3050195</t>
  </si>
  <si>
    <t>Recollections of Waterloo Lutheran University 1960-1973</t>
  </si>
  <si>
    <t>LE3.W48 -- R69 2006eb</t>
  </si>
  <si>
    <t>378.713/45092</t>
  </si>
  <si>
    <t>College teachers -- Ontario -- Waterloo -- Biography.; Electronic books. -- local; Roy, Flora.; Roy, Flora.; Waterloo Lutheran University -- Faculty -- Biography.; Waterloo Lutheran University -- History.</t>
  </si>
  <si>
    <t>http://public.eblib.com/choice/PublicFullRecord.aspx?p=3050196</t>
  </si>
  <si>
    <t>Breaking Anonymity : The Chilly Climate for Women Faculty</t>
  </si>
  <si>
    <t>The Chilly Collective</t>
  </si>
  <si>
    <t>LB2332.3 -- .B74 1995eb</t>
  </si>
  <si>
    <t>Electronic books. -- local; Sex discrimination in employment -- Canada.; Sex discrimination in higher education -- Canada.; University of Western Ontario -- Faculty.; Women college teachers -- Canada.</t>
  </si>
  <si>
    <t>http://public.eblib.com/choice/PublicFullRecord.aspx?p=3050197</t>
  </si>
  <si>
    <t>Whitehead and God : Prolegomena to Theological Reconstruction</t>
  </si>
  <si>
    <t>Wilmot, Laurence</t>
  </si>
  <si>
    <t>BT98 -- .W55 1979eb</t>
  </si>
  <si>
    <t>Electronic books. -- local; God -- History of doctrines -- 20th century.; Whitehead, Alfred North, -- 1861-1947 -- Contributions in theology.</t>
  </si>
  <si>
    <t>http://public.eblib.com/choice/PublicFullRecord.aspx?p=3050198</t>
  </si>
  <si>
    <t>Canadian Social Policy : Issues and Perspectives</t>
  </si>
  <si>
    <t>HN107 -- .C355 2006eb</t>
  </si>
  <si>
    <t>Canada -- Social policy.; Electronic books. -- local; Social policy.</t>
  </si>
  <si>
    <t>http://public.eblib.com/choice/PublicFullRecord.aspx?p=3050199</t>
  </si>
  <si>
    <t>Crafting of Absalom and Achitophel</t>
  </si>
  <si>
    <t>Thomas, W.</t>
  </si>
  <si>
    <t>PR3416.A23 -- T5 1978eb</t>
  </si>
  <si>
    <t>Dryden, John, -- 1631-1700. -- Absalom and Achitophel.; Electronic books. -- local; English literature.</t>
  </si>
  <si>
    <t>http://public.eblib.com/choice/PublicFullRecord.aspx?p=3050200</t>
  </si>
  <si>
    <t>Obedience, Suspicion and the Gospel of Mark : A Mennonite-Feminist Exploration of Biblical Authority</t>
  </si>
  <si>
    <t>Harder, Lydia Neufeld</t>
  </si>
  <si>
    <t>BS480 -- .H37 1998eb</t>
  </si>
  <si>
    <t>220.1/3</t>
  </si>
  <si>
    <t>Bible -- Evidences, authority, etc.; Bible -- Feminist criticism.; Bible. -- N.T. -- Mark -- Criticism, interpretation, etc.; Electronic books. -- local; Mennonites -- Doctrines.</t>
  </si>
  <si>
    <t>http://public.eblib.com/choice/PublicFullRecord.aspx?p=3050201</t>
  </si>
  <si>
    <t>This Woman in Particular : Contexts for the Biographical Image of Emily Carr</t>
  </si>
  <si>
    <t>Walker, Stephanie Kirkwood; James, William Closson</t>
  </si>
  <si>
    <t>ND249.C3 -- W35 1996eb</t>
  </si>
  <si>
    <t>Biography as a literary form.; Carr, Emily, -- 1871-1945.; Electronic books. -- local; Painters -- Canada -- Biography.</t>
  </si>
  <si>
    <t>http://public.eblib.com/choice/PublicFullRecord.aspx?p=3050202</t>
  </si>
  <si>
    <t>Lawrence, Greene and Lowry : The Fictional Landscape of Mexico</t>
  </si>
  <si>
    <t>Veitch, Douglas</t>
  </si>
  <si>
    <t>PR888.M48 -- V4eb</t>
  </si>
  <si>
    <t>Electronic books. -- local; English fiction -- 20th century -- History and criticism.; English fiction -- Mexican influences.; Greene, Graham, -- 1904-1991 -- Knowledge -- Mexico.; Lawrence, D. H. -- (David Herbert), -- 1885-1930 -- Knowledge -- Mexico.; Lowry, Malcolm, -- 1909-1957 -- Knowledge -- Mexico.; Mexico -- In literature.</t>
  </si>
  <si>
    <t>http://public.eblib.com/choice/PublicFullRecord.aspx?p=3050203</t>
  </si>
  <si>
    <t>Lorenzo Magalotti at the Court of Charles II : His Relazione d'Inghilterra of 1668</t>
  </si>
  <si>
    <t>Middleton, W. E. K.</t>
  </si>
  <si>
    <t>DA448 -- .M3413eb</t>
  </si>
  <si>
    <t>941.06/6</t>
  </si>
  <si>
    <t>Electronic books. -- local; England -- Description and travel -- Early works to 1800.; Great Britain -- Court and courtiers -- Early works to 1800.; Great Britain -- History -- Stuarts, 1603-1714.; Great Britain -- Politics and government -- 1660-1688.</t>
  </si>
  <si>
    <t>http://public.eblib.com/choice/PublicFullRecord.aspx?p=3050204</t>
  </si>
  <si>
    <t>Jean de la Taille : The Rivals (Les Corrivaus)</t>
  </si>
  <si>
    <t>Taille</t>
  </si>
  <si>
    <t>PQ1628.L35 -- A6413 1981eb</t>
  </si>
  <si>
    <t>http://public.eblib.com/choice/PublicFullRecord.aspx?p=3050205</t>
  </si>
  <si>
    <t>Brothers Beyond the Sea : National Socialism in Canada</t>
  </si>
  <si>
    <t>Wagner, J.</t>
  </si>
  <si>
    <t>F1035.G3 -- W33 1981eb</t>
  </si>
  <si>
    <t>Canada -- Politics and government -- 1914-1945.; Electronic books. -- local; Germans -- Canada -- Politics and government.; National socialism -- History.</t>
  </si>
  <si>
    <t>http://public.eblib.com/choice/PublicFullRecord.aspx?p=3050206</t>
  </si>
  <si>
    <t>Mythologies and Philosophies of Salvation in the Theistic Traditions of India</t>
  </si>
  <si>
    <t>Klostermaier, Klaus K.</t>
  </si>
  <si>
    <t>BL1213.72 -- .K57 1984eb</t>
  </si>
  <si>
    <t>Electronic books. -- local; Hinduism -- Doctrines.; Salvation -- Hinduism.</t>
  </si>
  <si>
    <t>http://public.eblib.com/choice/PublicFullRecord.aspx?p=3050207</t>
  </si>
  <si>
    <t>Five Aggregates : Understanding Theravada Psychology and Soteriology</t>
  </si>
  <si>
    <t>Boisvert, Mathieu</t>
  </si>
  <si>
    <t>BQ7235 -- .B65 1995eb</t>
  </si>
  <si>
    <t>Electronic books. -- local; Salvation -- Buddhism.; Theravāda Buddhism -- Doctrines.; Theravāda Buddhism -- Psychology.</t>
  </si>
  <si>
    <t>http://public.eblib.com/choice/PublicFullRecord.aspx?p=3050208</t>
  </si>
  <si>
    <t>Brain Drain : Determinants, Measurements and Welfare Effects</t>
  </si>
  <si>
    <t>Grubel, Herbert; Scott, Anthony</t>
  </si>
  <si>
    <t>Science</t>
  </si>
  <si>
    <t>Q150 -- .G78 1977eb</t>
  </si>
  <si>
    <t>Brain drain -- Canada.; Brain drain -- United States.; Electronic books. -- local</t>
  </si>
  <si>
    <t>http://public.eblib.com/choice/PublicFullRecord.aspx?p=3050209</t>
  </si>
  <si>
    <t>Law, Freedom and Story : The Role of Narrative in Therapy, Society and Faith</t>
  </si>
  <si>
    <t>Hoffman, John C.</t>
  </si>
  <si>
    <t>BT78 -- .H55 1986eb</t>
  </si>
  <si>
    <t>Christianity and literature.; Electronic books. -- local; Law (Theology); Storytelling -- Religious aspects -- Christianity.</t>
  </si>
  <si>
    <t>http://public.eblib.com/choice/PublicFullRecord.aspx?p=3050210</t>
  </si>
  <si>
    <t>Fixed and the Fickle : Religion and Identity in New Zealand</t>
  </si>
  <si>
    <t>Mol, Hans</t>
  </si>
  <si>
    <t>BL2615 -- .M64 1982eb</t>
  </si>
  <si>
    <t>Electronic books. -- local; Identification (Religion); Maori (New Zealand people) -- Religion.; New Zealand -- Religion.</t>
  </si>
  <si>
    <t>http://public.eblib.com/choice/PublicFullRecord.aspx?p=3050211</t>
  </si>
  <si>
    <t>Truth and Compassion : Essays on Judaism and Religion in Memory of Rabbi Dr Solomon Frank</t>
  </si>
  <si>
    <t>Joseph, Howard; Lightstone, Jack; Oppenheim, Michael</t>
  </si>
  <si>
    <t>BM42 -- .T78 1983eb</t>
  </si>
  <si>
    <t>ArtScroll Tanach series.; Bible. -- O.T. -- Criticism, interpretation, etc., Jewish.; Electronic books. -- local; Frank, Solomon.; Judaism -- History.</t>
  </si>
  <si>
    <t>http://public.eblib.com/choice/PublicFullRecord.aspx?p=3050212</t>
  </si>
  <si>
    <t>Science, Pseudo-Science and Society</t>
  </si>
  <si>
    <t>Hanen, Marsha; Osler, Margaret; Weyant, Robert</t>
  </si>
  <si>
    <t>Q175 -- .S3 1980eb</t>
  </si>
  <si>
    <t>Electronic books. -- local; Science -- History -- Congresses.; Science -- Philosophy -- Congresses.; Science -- Social aspects -- Congresses.</t>
  </si>
  <si>
    <t>http://public.eblib.com/choice/PublicFullRecord.aspx?p=3050213</t>
  </si>
  <si>
    <t>Value Assumptions in Risk Assessment : A Case Study of the Alachlor Controversy</t>
  </si>
  <si>
    <t>Brunk, Conrad; Haworth, Lawrence</t>
  </si>
  <si>
    <t>RA1242.A347 -- B78 1991eb</t>
  </si>
  <si>
    <t>363.17/92</t>
  </si>
  <si>
    <t>Alachlor -- Environmental aspects -- Canada.; Alachlor -- Health aspects.; Electronic books. -- local; Health risk assessment.</t>
  </si>
  <si>
    <t>http://public.eblib.com/choice/PublicFullRecord.aspx?p=3050214</t>
  </si>
  <si>
    <t>Montaigne : Regards sur les Essais</t>
  </si>
  <si>
    <t>Heller, Lane; Atance, Felix</t>
  </si>
  <si>
    <t>PQ1643 -- .M568 1986eb</t>
  </si>
  <si>
    <t>Electronic books. -- local; French literature.; Montaigne, Michel de, -- 1533-1592. -- Essais -- Congresses.</t>
  </si>
  <si>
    <t>http://public.eblib.com/choice/PublicFullRecord.aspx?p=3050215</t>
  </si>
  <si>
    <t>Paul Cardinal Cullen and the Shaping of Modern Irish Catholicism</t>
  </si>
  <si>
    <t>Bowen, Desmond</t>
  </si>
  <si>
    <t>BX4705.C7913 -- B69 1983eb</t>
  </si>
  <si>
    <t>Cardinals -- Ireland -- Biography.; Catholic Church -- Ireland -- History -- 19th century.; Cullen, Paul, -- 1803-1878.; Electronic books. -- local; Ireland -- Church history -- 19th century.</t>
  </si>
  <si>
    <t>http://public.eblib.com/choice/PublicFullRecord.aspx?p=3050216</t>
  </si>
  <si>
    <t>Dialogue of Writing : Essays in Eighteenth-Century French Literature</t>
  </si>
  <si>
    <t>McDonald, Christie</t>
  </si>
  <si>
    <t>PQ263 -- .M33 1984eb</t>
  </si>
  <si>
    <t>Electronic books. -- local; France -- Literatures.; French literature -- 18th century -- History and criticism.</t>
  </si>
  <si>
    <t>http://public.eblib.com/choice/PublicFullRecord.aspx?p=3050217</t>
  </si>
  <si>
    <t>History of Kitchener, Ontario</t>
  </si>
  <si>
    <t>Uttley, W. V.; Noonan, Gerald</t>
  </si>
  <si>
    <t>F1059.5.K6 -- U8 1975eb</t>
  </si>
  <si>
    <t>Electronic books. -- local; Kitchener (Ont.) -- History.</t>
  </si>
  <si>
    <t>http://public.eblib.com/choice/PublicFullRecord.aspx?p=3050218</t>
  </si>
  <si>
    <t>Ideology, Philosophy and Politics</t>
  </si>
  <si>
    <t>Parel, Anthony</t>
  </si>
  <si>
    <t>B823.3 -- .I35 1983eb</t>
  </si>
  <si>
    <t>Electronic books. -- local; Ideology -- Congresses.; Philosophy -- Congresses.; Political science -- Philosophy -- Congresses.</t>
  </si>
  <si>
    <t>http://public.eblib.com/choice/PublicFullRecord.aspx?p=3050219</t>
  </si>
  <si>
    <t>Networks of Contact : The Portuguese and Toronto</t>
  </si>
  <si>
    <t>Anderson, Grace</t>
  </si>
  <si>
    <t>F1059.5.T689 -- P82 1974eb</t>
  </si>
  <si>
    <t>Electronic books. -- local; Portuguese -- Ontario -- Toronto.; Toronto (Ont.) -- Economic conditions.; Toronto (Ont.) -- Social conditions.</t>
  </si>
  <si>
    <t>http://public.eblib.com/choice/PublicFullRecord.aspx?p=3050220</t>
  </si>
  <si>
    <t>I Want to Join Your Club : Letters from Rural Children, 1900-1920</t>
  </si>
  <si>
    <t>HQ792.C3 -- I2 1996eb</t>
  </si>
  <si>
    <t>Canada -- Rural conditions.; Electronic books. -- local; Rural children -- Canada -- Correspondence.</t>
  </si>
  <si>
    <t>http://public.eblib.com/choice/PublicFullRecord.aspx?p=3050221</t>
  </si>
  <si>
    <t>Antisemitism in Canada : History and Interpretation</t>
  </si>
  <si>
    <t>Davies, Alan</t>
  </si>
  <si>
    <t>DS146.C2 -- A58 1992eb</t>
  </si>
  <si>
    <t>Antisemitism -- Canada -- History.; Electronic books. -- local; Jews -- Canada -- Social conditions.</t>
  </si>
  <si>
    <t>http://public.eblib.com/choice/PublicFullRecord.aspx?p=3050222</t>
  </si>
  <si>
    <t>Mystics and Scholars : The Calgary Conference on Mysticism, 1976</t>
  </si>
  <si>
    <t>Coward, Harold; Penelhum, Terence</t>
  </si>
  <si>
    <t>BL625 -- .C34 1977eb</t>
  </si>
  <si>
    <t>Electronic books. -- local; Mysticism -- Congresses.; Spiritual life.</t>
  </si>
  <si>
    <t>http://public.eblib.com/choice/PublicFullRecord.aspx?p=3050223</t>
  </si>
  <si>
    <t>Mysticism and Vocation</t>
  </si>
  <si>
    <t>Horne, James</t>
  </si>
  <si>
    <t>BV5083 -- .H59 1996eb</t>
  </si>
  <si>
    <t>248.2/2</t>
  </si>
  <si>
    <t>Electronic books. -- local; Mysticism.; Vocation (in religious orders, congregations, etc.)</t>
  </si>
  <si>
    <t>http://public.eblib.com/choice/PublicFullRecord.aspx?p=3050224</t>
  </si>
  <si>
    <t>Cross in the Dark Valley : The Canadian Protestant Missionary Movement in the Japanese Empire, 1931-1945</t>
  </si>
  <si>
    <t>BV3445.2 -- .I65 1999eb</t>
  </si>
  <si>
    <t>Electronic books. -- local; Missions -- East Asia.; Missions -- Japan.; Missions, Canadian -- East Asia -- History.; Missions, Canadian -- Japan -- History.; Protestant churches -- Missions -- East Asia -- History.; Protestant churches -- Missions -- Japan -- History.</t>
  </si>
  <si>
    <t>http://public.eblib.com/choice/PublicFullRecord.aspx?p=3050225</t>
  </si>
  <si>
    <t>Psychology and the Liberal Consensus</t>
  </si>
  <si>
    <t>Anderson, Charles; Travis, L</t>
  </si>
  <si>
    <t>BF38.5 -- .A52 1983eb</t>
  </si>
  <si>
    <t>Educational psychology -- United States -- Methodology.; Electronic books. -- local; Liberalism -- United States -- History -- 20th century.; Psychology -- History -- 20th century.; Psychology -- United States -- Methodology.; United States -- Social conditions -- 20th century.</t>
  </si>
  <si>
    <t>http://public.eblib.com/choice/PublicFullRecord.aspx?p=3050226</t>
  </si>
  <si>
    <t>Profiles of Anabaptist Women : Sixteenth Century Reforming Pioneers</t>
  </si>
  <si>
    <t>Snyder, C. Arnold; Hecht, Huebert</t>
  </si>
  <si>
    <t>BX4940 -- .P76 1996eb</t>
  </si>
  <si>
    <t>284/.3/09224; B</t>
  </si>
  <si>
    <t>Anabaptist women -- Europe -- Biography.; Christian women martyrs -- Europe -- Biography.; Electronic books. -- local; Reformation.</t>
  </si>
  <si>
    <t>http://public.eblib.com/choice/PublicFullRecord.aspx?p=3050227</t>
  </si>
  <si>
    <t>Life and Letters of Annie Leake Tuttle : Working for the Best</t>
  </si>
  <si>
    <t>HQ1455.T87 -- A3 1999eb</t>
  </si>
  <si>
    <t>Electronic books. -- local; Methodists -- Nova Scotia -- Biography.; Teachers -- Nova Scotia -- Biography.; Tuttle, Annie Leake, -- 1839-1934 -- Correspondence.; Tuttle, Annie Leake, -- 1839-1934 -- Diaries.; Women -- Nova Scotia -- Biography.; Women missionaries -- British Columbia -- Biography.</t>
  </si>
  <si>
    <t>http://public.eblib.com/choice/PublicFullRecord.aspx?p=3050228</t>
  </si>
  <si>
    <t>Bodied Mindfulness : Women's Spirits, Bodies and Places</t>
  </si>
  <si>
    <t>Tomm, Winnifred</t>
  </si>
  <si>
    <t>BL625.7 -- .T65 1995eb</t>
  </si>
  <si>
    <t>Electronic books. -- local; Feminist spirituality.; Feminist theory.; Women -- Religious life.</t>
  </si>
  <si>
    <t>http://public.eblib.com/choice/PublicFullRecord.aspx?p=3050229</t>
  </si>
  <si>
    <t>Religious Dimensions of Child and Family Life : Reflections on the UN Convention on the Rights of the Child</t>
  </si>
  <si>
    <t>Coward, Harold; Cook, Philip</t>
  </si>
  <si>
    <t>HQ769.3 -- .R45 1996eb</t>
  </si>
  <si>
    <t>Child rearing -- Religious aspects.; Children''s rights.; Convention on the Rights of the Child -- (1989); Electronic books. -- local; Families -- Religious life.</t>
  </si>
  <si>
    <t>http://public.eblib.com/choice/PublicFullRecord.aspx?p=3050230</t>
  </si>
  <si>
    <t>Values Education : Theory, Practice, Problems, Prospects</t>
  </si>
  <si>
    <t>Meyer, John</t>
  </si>
  <si>
    <t>LC283 -- .V34 1975eb</t>
  </si>
  <si>
    <t>Education.; Electronic books. -- local; Moral education.</t>
  </si>
  <si>
    <t>http://public.eblib.com/choice/PublicFullRecord.aspx?p=3050231</t>
  </si>
  <si>
    <t>Ancient Coins of the Graeco-Roman World : The Nickle Numismatic Papers</t>
  </si>
  <si>
    <t>Heckel, Waldemar; Sullivan, Richard</t>
  </si>
  <si>
    <t>CJ335 -- .A54 1984eb</t>
  </si>
  <si>
    <t>Coins, Greek -- Congresses.; Coins, Roman -- Congresses.; Electronic books. -- local</t>
  </si>
  <si>
    <t>http://public.eblib.com/choice/PublicFullRecord.aspx?p=3050232</t>
  </si>
  <si>
    <t>Religious Studies in Alberta : A State-of-the Art Review</t>
  </si>
  <si>
    <t>Neufeldt, Ronald</t>
  </si>
  <si>
    <t>BL41 -- .N48 1983eb</t>
  </si>
  <si>
    <t>Electronic books. -- local; Religion -- Study and teaching (Higher) -- Alberta.; Religions -- Study and teaching (Higher) -- Alberta.</t>
  </si>
  <si>
    <t>http://public.eblib.com/choice/PublicFullRecord.aspx?p=3050233</t>
  </si>
  <si>
    <t>Ritual and Ethnic Identity : A Comparative Study of the Social Meaning of Liturgical Ritual in Synagogues</t>
  </si>
  <si>
    <t>Lightstone, Jack; Bird, Frederick B; Fishbane, Simcha</t>
  </si>
  <si>
    <t>BM227 -- .L557 1995eb</t>
  </si>
  <si>
    <t>Electronic books. -- local; Jews -- Canada -- Social life and customs.; Judaism -- Canada -- Liturgy.</t>
  </si>
  <si>
    <t>http://public.eblib.com/choice/PublicFullRecord.aspx?p=3050234</t>
  </si>
  <si>
    <t>Scruffy Scoundrels (Gli Straccioni)</t>
  </si>
  <si>
    <t>Caro, Annibal; Beecher, Donald A.</t>
  </si>
  <si>
    <t>PQ4617.C4 -- S8713 1980eb</t>
  </si>
  <si>
    <t>Electronic books. -- local; Italian fiction.; Italian literature.</t>
  </si>
  <si>
    <t>http://public.eblib.com/choice/PublicFullRecord.aspx?p=3050235</t>
  </si>
  <si>
    <t>Social Policy and Social Justice : The NDP Government in Saskatchewan During the Blakeney Years</t>
  </si>
  <si>
    <t>Harding, Jim</t>
  </si>
  <si>
    <t>HN110.S25 -- S63 1995eb</t>
  </si>
  <si>
    <t>361.6/1/097124</t>
  </si>
  <si>
    <t>Electronic books. -- local; Saskatchewan -- History.; Saskatchewan -- Social policy.</t>
  </si>
  <si>
    <t>http://public.eblib.com/choice/PublicFullRecord.aspx?p=3050236</t>
  </si>
  <si>
    <t>Horned Owl (L'Assiuolo)</t>
  </si>
  <si>
    <t>Cecchi, Giovan Maria; Eisenbichler, Konrad</t>
  </si>
  <si>
    <t>PQ4617.C8 -- A913 1982eb</t>
  </si>
  <si>
    <t>http://public.eblib.com/choice/PublicFullRecord.aspx?p=3050237</t>
  </si>
  <si>
    <t>Tennyson's Camelot : The Idylls of the King and its Medieval Sources</t>
  </si>
  <si>
    <t>PR5560 -- .S724 1982eb</t>
  </si>
  <si>
    <t>Electronic books. -- local; English literature.; Tennyson, Alfred Tennyson, -- Baron, -- 1809-1892. -- Idylls of the king -- Sources.</t>
  </si>
  <si>
    <t>http://public.eblib.com/choice/PublicFullRecord.aspx?p=3050238</t>
  </si>
  <si>
    <t>Readings in Russian Philosophical Thought : Philosophy of History</t>
  </si>
  <si>
    <t>Shein, Louis</t>
  </si>
  <si>
    <t>B4231 -- .S5 1977eb</t>
  </si>
  <si>
    <t>Electronic books. -- local; Philosophy, Russian.; Philosophy.</t>
  </si>
  <si>
    <t>http://public.eblib.com/choice/PublicFullRecord.aspx?p=3050239</t>
  </si>
  <si>
    <t>Britain Confronts the Stalin Revolution : Anglo-Soviet Relations and the Metro-Vickers Crisis</t>
  </si>
  <si>
    <t>Morrell, Gordon W.</t>
  </si>
  <si>
    <t>DK67.5.G7 -- M67 1995eb</t>
  </si>
  <si>
    <t>Electronic books. -- local; Great Britain -- Foreign relations -- Soviet Union.; Metropolitan-Vickers Electrical Export Company -- Trials, litigation, etc.; Soviet Union -- Foreign relations -- Great Britain.; Trials (Espionage) -- Soviet Union.</t>
  </si>
  <si>
    <t>http://public.eblib.com/choice/PublicFullRecord.aspx?p=3050240</t>
  </si>
  <si>
    <t>Ignatian Spirituality in a Secular Age</t>
  </si>
  <si>
    <t>Schner, George</t>
  </si>
  <si>
    <t>BX2179.L7 -- I48 1984eb</t>
  </si>
  <si>
    <t>Canadian Corporation for Studies in Religion.; Catholic Church -- Doctrines -- Congresses.; Electronic books. -- local; Ignatius, -- of Loyola, Saint, -- 1491-1556. -- Exercitia spiritualia -- Congresses.; Spiritual exercises -- Congresses.; Spirituality -- Catholic Church -- Congresses.</t>
  </si>
  <si>
    <t>http://public.eblib.com/choice/PublicFullRecord.aspx?p=3050241</t>
  </si>
  <si>
    <t>Reflections on Values Education</t>
  </si>
  <si>
    <t>LC283 -- .R44 1976eb</t>
  </si>
  <si>
    <t>http://public.eblib.com/choice/PublicFullRecord.aspx?p=3050242</t>
  </si>
  <si>
    <t>Franz Werfel, the Faith of an Exile : From Prague to Beverly Hills</t>
  </si>
  <si>
    <t>Steiman, Lionel</t>
  </si>
  <si>
    <t>PT2647.E77 -- Z814 1985eb</t>
  </si>
  <si>
    <t>Authors, German -- 20th century -- Biography.; Electronic books. -- local; Werfel, Franz, -- 1890-1945 -- Religion.; Werfel, Franz, -- 1890-1945.</t>
  </si>
  <si>
    <t>http://public.eblib.com/choice/PublicFullRecord.aspx?p=3050243</t>
  </si>
  <si>
    <t>Leaving the Cave : Evolutionary Naturalism in Social-Scientific Thought</t>
  </si>
  <si>
    <t>Hutcheon, Pat Duffy</t>
  </si>
  <si>
    <t>H61 -- .H88 1996eb</t>
  </si>
  <si>
    <t>Electronic books. -- local; Naturalism.; Social sciences -- Philosophy -- History.</t>
  </si>
  <si>
    <t>http://public.eblib.com/choice/PublicFullRecord.aspx?p=3050244</t>
  </si>
  <si>
    <t>Muslim Ethics and Modernity : A Comparative Study of the Ethical Thought of Sayyid Ahmad Khan and Mawlana Mawdudi</t>
  </si>
  <si>
    <t>McDonough, Sheila</t>
  </si>
  <si>
    <t>BP80.A485 -- M36 1984eb</t>
  </si>
  <si>
    <t>Aḥmad ̲K̲hā̲n, Sayyid, -- Sir, -- 1817-1898 -- Ethics.; Electronic books. -- local; Islamic ethics.; Maudoodi, Syed Abul ʿAla, -- 1903-1979 -- Ethics.</t>
  </si>
  <si>
    <t>http://public.eblib.com/choice/PublicFullRecord.aspx?p=3050245</t>
  </si>
  <si>
    <t>Antonin Artaud's Alternate Genealogies : Self-Portraits and Family Romances</t>
  </si>
  <si>
    <t>Stout, John C.</t>
  </si>
  <si>
    <t>PQ2601.R677 -- Z815 1996eb</t>
  </si>
  <si>
    <t>Artaud, Antonin, -- 1896-1948 -- Criticism and interpretation.; Electronic books. -- local; French literature.</t>
  </si>
  <si>
    <t>http://public.eblib.com/choice/PublicFullRecord.aspx?p=3050246</t>
  </si>
  <si>
    <t>Memory and Hope : Strands of Canadian Baptist History</t>
  </si>
  <si>
    <t>Priestley, David T.</t>
  </si>
  <si>
    <t>BX6251 -- .M46 1996eb</t>
  </si>
  <si>
    <t>286/.0971</t>
  </si>
  <si>
    <t>Baptists -- Canada -- History -- Congresses.; Christians -- Canada -- History -- Congresses.; Electronic books. -- local</t>
  </si>
  <si>
    <t>http://public.eblib.com/choice/PublicFullRecord.aspx?p=3050247</t>
  </si>
  <si>
    <t>Yahweh : The Divine Name in the Bible</t>
  </si>
  <si>
    <t>Parke-Taylor, G.</t>
  </si>
  <si>
    <t>BS680.G57 -- P23 1975eb</t>
  </si>
  <si>
    <t>Dieu -- Nom.; Dieu (Judaïsme) -- Noms.; Electronic books. -- local; God -- Name.; God (Judaism) -- Name.</t>
  </si>
  <si>
    <t>http://public.eblib.com/choice/PublicFullRecord.aspx?p=3050248</t>
  </si>
  <si>
    <t>Ashkenazic Jewry in Transition</t>
  </si>
  <si>
    <t>Rosensweig, Bernard</t>
  </si>
  <si>
    <t>DS135.G31 -- R67 1975eb</t>
  </si>
  <si>
    <t>Electronic books. -- local; Germany -- History -- 1273-1517.; Jews -- Germany -- History -- 1096-1800.; Jews -- Germany -- Politics and government.; Rabbis -- Germany -- Biography.; Weil, Jacob, -- 1390?-1456?</t>
  </si>
  <si>
    <t>http://public.eblib.com/choice/PublicFullRecord.aspx?p=3050249</t>
  </si>
  <si>
    <t>Sailor-Scholar : Admiral Sir Herbert Richmond 1871-1946</t>
  </si>
  <si>
    <t>Hunt, Barry</t>
  </si>
  <si>
    <t>DA89.1.R5 -- H86 1982eb</t>
  </si>
  <si>
    <t>Admirals -- Great Britain -- Biography.; Electronic books. -- local; Great Britain. -- Royal Navy -- Biography.; Richmond, Herbert W. -- (Herbert William), -- Sir, -- 1871-1946.</t>
  </si>
  <si>
    <t>http://public.eblib.com/choice/PublicFullRecord.aspx?p=3050250</t>
  </si>
  <si>
    <t>Promise of Critical Theology : Essays in Honour of Charles Davis</t>
  </si>
  <si>
    <t>BR118 -- .P764 1995eb</t>
  </si>
  <si>
    <t>Davis, Charles, -- 1923-; Electronic books. -- local; Theology -- Methodology.; Theology, Doctrinal -- History -- 20th century.</t>
  </si>
  <si>
    <t>http://public.eblib.com/choice/PublicFullRecord.aspx?p=3050251</t>
  </si>
  <si>
    <t>Franz Kafka (1883-1983) : His Craft and Thought</t>
  </si>
  <si>
    <t>Struc, Roman; Yardley, John</t>
  </si>
  <si>
    <t>PT2621.A26 -- Z71665 1986eb</t>
  </si>
  <si>
    <t>Electronic books. -- local; German literature.; Kafka, Franz, -- 1883-1924 -- Criticism and interpretation.</t>
  </si>
  <si>
    <t>http://public.eblib.com/choice/PublicFullRecord.aspx?p=3050252</t>
  </si>
  <si>
    <t>Firm and the Formless : Religion and Identity in Aboriginal Australia</t>
  </si>
  <si>
    <t>BL2610 -- .M65 1982eb</t>
  </si>
  <si>
    <t>Aboriginal Australians -- Ethnic identity.; Aboriginal Australians -- Religion.; Electronic books. -- local; Mythology, Aboriginal Australian.</t>
  </si>
  <si>
    <t>http://public.eblib.com/choice/PublicFullRecord.aspx?p=3050253</t>
  </si>
  <si>
    <t>Kierkegaard : Resources and Results</t>
  </si>
  <si>
    <t>McKinnon, Alastair</t>
  </si>
  <si>
    <t>B4377 -- .K47 1982eb</t>
  </si>
  <si>
    <t>198/.9</t>
  </si>
  <si>
    <t>Electronic books. -- local; Kierkegaard, Søren, -- 1813-1855 -- Congresses.; Kierkegaard, Søren, -- 1813-1855 -- Library resources -- Congresses.; Kierkegaard-Malantschuk Collection -- Congresses.; Philosophy, Danish.</t>
  </si>
  <si>
    <t>http://public.eblib.com/choice/PublicFullRecord.aspx?p=3050254</t>
  </si>
  <si>
    <t>Covenants without the Sword : Public Opinion and British Defence Policy, 1931-1935</t>
  </si>
  <si>
    <t>Kyba, Patrick</t>
  </si>
  <si>
    <t>UA647 -- .K93 1983eb</t>
  </si>
  <si>
    <t>Electronic books. -- local; Great Britain -- Military policy -- Public opinion -- History -- 20th century.; Great Britain -- Politics and government -- 1910-1936.; Public opinion -- Great Britain -- History -- 20th century.</t>
  </si>
  <si>
    <t>http://public.eblib.com/choice/PublicFullRecord.aspx?p=3050255</t>
  </si>
  <si>
    <t>Salighed As Happiness? : Kierkegaard on the Concept Salighed</t>
  </si>
  <si>
    <t>Khan, Abrahim</t>
  </si>
  <si>
    <t>B4378.H34 K43 1985eb</t>
  </si>
  <si>
    <t>Electronic books. -- local; Happiness -- History -- 19th century.; Kierkegaard, Søren, -- 1813-1855 -- Contributions in the concept of happiness.</t>
  </si>
  <si>
    <t>http://public.eblib.com/choice/PublicFullRecord.aspx?p=3050256</t>
  </si>
  <si>
    <t>Francisco Giner de los Rios : A Spanish Socrates</t>
  </si>
  <si>
    <t>López-Morillas, Juan</t>
  </si>
  <si>
    <t>B4568.G54 -- L57 1985eb</t>
  </si>
  <si>
    <t>Electronic books. -- local; Giner de los Ríos, Francisco, -- 1839-1915.; Spain -- History -- 19th century.; Spain -- Intellectual life -- 19th century.</t>
  </si>
  <si>
    <t>http://public.eblib.com/choice/PublicFullRecord.aspx?p=3050257</t>
  </si>
  <si>
    <t>Castles of the Rhine : Recreating the Middle Ages in Modern Germany</t>
  </si>
  <si>
    <t>Taylor, Robert R.</t>
  </si>
  <si>
    <t>NA7740 -- .T388 1998eb</t>
  </si>
  <si>
    <t>Architecture -- Germany -- History -- 19th century.; Architecture -- Germany -- History -- 20th century.; Castles -- Conservation and restoration -- Germany.; Castles -- Conservation and restoration -- Rhine River Valley.; Electronic books. -- local; Gothic revival (Architecture) -- Germany.; Gothic revival (Architecture) -- Rhine River Valley.</t>
  </si>
  <si>
    <t>http://public.eblib.com/choice/PublicFullRecord.aspx?p=3050258</t>
  </si>
  <si>
    <t>Mathematical History of the Golden Number</t>
  </si>
  <si>
    <t>Mathematics</t>
  </si>
  <si>
    <t>QA481 -- .H47 1998eb</t>
  </si>
  <si>
    <t>Electronic books. -- local; Geometry.; Ratio and proportion -- History.</t>
  </si>
  <si>
    <t>http://public.eblib.com/choice/PublicFullRecord.aspx?p=3050259</t>
  </si>
  <si>
    <t>Mechanical Engineering at the National Research Council of Canada : 1929-1951</t>
  </si>
  <si>
    <t>Middleton, W. E. Knowles</t>
  </si>
  <si>
    <t>TJ26 -- .M53 1984eb</t>
  </si>
  <si>
    <t>Electronic books. -- local; Mechanical engineering -- Research -- Canada -- History.; National Research Council of Canada. -- Division of Mechanical Engineering.</t>
  </si>
  <si>
    <t>http://public.eblib.com/choice/PublicFullRecord.aspx?p=3050260</t>
  </si>
  <si>
    <t>Calderon and the Baroque Tradition</t>
  </si>
  <si>
    <t>Levy, Kurt Ara; Hughes, Jesus; Gethin, John</t>
  </si>
  <si>
    <t>PQ6312 -- .C28 1985eb</t>
  </si>
  <si>
    <t>Calderón de la Barca, Pedro, -- 1600-1681 -- Criticism and interpretation -- Congresses.; Electronic books. -- local; Spanish literature.</t>
  </si>
  <si>
    <t>http://public.eblib.com/choice/PublicFullRecord.aspx?p=3050261</t>
  </si>
  <si>
    <t>Crime and Criminal Justice : In Europe and Canada</t>
  </si>
  <si>
    <t>Knafla, Lewis</t>
  </si>
  <si>
    <t>K5014.6 -- .C73 1981eb</t>
  </si>
  <si>
    <t>342.5; 345</t>
  </si>
  <si>
    <t>Criminal justice, Administration of -- Canada -- Congresses.; Criminal justice, Administration of -- Europe -- Congresses.; Criminal law -- Canada -- Congresses.; Criminal law -- Europe -- Congresses.; Electronic books. -- local</t>
  </si>
  <si>
    <t>http://public.eblib.com/choice/PublicFullRecord.aspx?p=3050262</t>
  </si>
  <si>
    <t>Bruno Jasienski : His Evolution from Futurism to Socialist Realism</t>
  </si>
  <si>
    <t>Kolesnikoff, N</t>
  </si>
  <si>
    <t>PG7158.J35 -- Z735 1982eb</t>
  </si>
  <si>
    <t>Electronic books. -- local; Jasieński, Bruno, -- 1901-1939 -- Criticism and interpretation.; Polish literature.</t>
  </si>
  <si>
    <t>http://public.eblib.com/choice/PublicFullRecord.aspx?p=3050263</t>
  </si>
  <si>
    <t>Craving and Salvation : A Study in Buddhist Soteriology</t>
  </si>
  <si>
    <t>BQ4453 -- .M37 1983eb</t>
  </si>
  <si>
    <t>Buddhism.; Electronic books. -- local; Salvation -- Buddhism.</t>
  </si>
  <si>
    <t>http://public.eblib.com/choice/PublicFullRecord.aspx?p=3050264</t>
  </si>
  <si>
    <t>Invisible French : The French in Metropolitan Toronto</t>
  </si>
  <si>
    <t>Maxwell, Thomas</t>
  </si>
  <si>
    <t>F1059.5.T689 -- F85 1977eb</t>
  </si>
  <si>
    <t>Electronic books. -- local; French -- Ontario -- Toronto Region -- Social conditions.; French-Canadians -- Ontario -- Toronto Region -- Social conditions.; Toronto Region (Ont.) -- Social conditions.</t>
  </si>
  <si>
    <t>http://public.eblib.com/choice/PublicFullRecord.aspx?p=3050265</t>
  </si>
  <si>
    <t>Coalition Warfare : An Uneasy Accord</t>
  </si>
  <si>
    <t>Neilson, Keith; Prete, Roy</t>
  </si>
  <si>
    <t>U260 -- .C62 1983eb</t>
  </si>
  <si>
    <t>Combined operations (Military science) -- History -- Congresses.; Electronic books. -- local; Military art and science -- History -- Congresses.</t>
  </si>
  <si>
    <t>http://public.eblib.com/choice/PublicFullRecord.aspx?p=3050266</t>
  </si>
  <si>
    <t>Pursuit of Profit and Preferment in Colonial North America : John Bradstreet's Quest</t>
  </si>
  <si>
    <t>Godfrey, William</t>
  </si>
  <si>
    <t>F1030.B72 -- G62 1982eb</t>
  </si>
  <si>
    <t>Bradstreet, John, -- 1711-1774.; Canada -- History -- 1755-1763.; Electronic books. -- local; Great Britain -- Colonies -- Canada.; Soldiers -- Canada -- Biography.</t>
  </si>
  <si>
    <t>http://public.eblib.com/choice/PublicFullRecord.aspx?p=3050267</t>
  </si>
  <si>
    <t>Work of Their Hands : Mennonite Women's Societies in Canada</t>
  </si>
  <si>
    <t>Redekop, Gloria Neufeld</t>
  </si>
  <si>
    <t>BX8128.W64 -- R44 1996eb</t>
  </si>
  <si>
    <t>267/.449771</t>
  </si>
  <si>
    <t>Electronic books. -- local; Mennonite women -- Canada -- Societies and clubs.; Women in church work -- Canada -- Mennonites.</t>
  </si>
  <si>
    <t>http://public.eblib.com/choice/PublicFullRecord.aspx?p=3050268</t>
  </si>
  <si>
    <t>Party and Parish Pump : Electoral Politics in Ireland</t>
  </si>
  <si>
    <t>Carty, R.</t>
  </si>
  <si>
    <t>JN1415 -- .C37 1981eb</t>
  </si>
  <si>
    <t>Elections -- Ireland -- History.; Electronic books. -- local; Ireland -- Politics and government -- 1922-</t>
  </si>
  <si>
    <t>http://public.eblib.com/choice/PublicFullRecord.aspx?p=3050269</t>
  </si>
  <si>
    <t>Transcendence of the World : Phenomenological Studies</t>
  </si>
  <si>
    <t>Holmes, Richard</t>
  </si>
  <si>
    <t>B829.5 -- .H65 1995eb</t>
  </si>
  <si>
    <t>Electronic books. -- local; Phenomenology.; Transcendence (Philosophy)</t>
  </si>
  <si>
    <t>http://public.eblib.com/choice/PublicFullRecord.aspx?p=3050270</t>
  </si>
  <si>
    <t>Moyer Site : A Pre-Historic Village in Waterloo County</t>
  </si>
  <si>
    <t>Wagner, Norman; Toombs, Lawrence; Riegert, Eduard</t>
  </si>
  <si>
    <t>E78.O5 -- W34eb</t>
  </si>
  <si>
    <t>Electronic books. -- local; Indians of North America -- Ontario.; Moyer site (Ont.)</t>
  </si>
  <si>
    <t>http://public.eblib.com/choice/PublicFullRecord.aspx?p=3050271</t>
  </si>
  <si>
    <t>Essentially Canadian : The Life and Fiction of Alan Sullivan, 1868-1947</t>
  </si>
  <si>
    <t>McLeod, Gordon</t>
  </si>
  <si>
    <t>PR9199.3.S87 -- Z75 1982eb</t>
  </si>
  <si>
    <t>Authors, Canadian -- 20th century -- Biography.; Electronic books. -- local; Sullivan, Alan, -- 1868-1947.</t>
  </si>
  <si>
    <t>http://public.eblib.com/choice/PublicFullRecord.aspx?p=3050272</t>
  </si>
  <si>
    <t>Victorian Missionary and Canadian Indian Policy : Cultural Synthesis vs Cultural Replacement</t>
  </si>
  <si>
    <t>Nock, David; Canadian Corporation for Studies in Religion,</t>
  </si>
  <si>
    <t>E99.C6 -- W635 1988eb</t>
  </si>
  <si>
    <t>Electronic books. -- local; Indians of North America -- Cultural assimilation -- Canada.; Indians of North America -- Missions -- Canada.; Missionaries -- Canada -- Biography.; Ojibwa Indians -- Cultural assimilation.; Ojibwa Indians -- Missions.; Wilson, Edward Francis, -- 1844-1915.</t>
  </si>
  <si>
    <t>http://public.eblib.com/choice/PublicFullRecord.aspx?p=3050273</t>
  </si>
  <si>
    <t>British Diplomatic Service, 1815-1914</t>
  </si>
  <si>
    <t>Jones, Raymond</t>
  </si>
  <si>
    <t>JX1783 -- .J66 1983eb</t>
  </si>
  <si>
    <t>Diplomatic and consular service, British -- History.; Electronic books. -- local; Great Britain -- Foreign relations -- 19th century.</t>
  </si>
  <si>
    <t>http://public.eblib.com/choice/PublicFullRecord.aspx?p=3050274</t>
  </si>
  <si>
    <t>Mobilization for Total War : The Canadian, American and British Experience, 1914-1918, 1939-1945</t>
  </si>
  <si>
    <t>Dreisziger, N.</t>
  </si>
  <si>
    <t>D504 -- .M6 1981eb</t>
  </si>
  <si>
    <t>Electronic books. -- local; Industrial mobilization -- Canada -- Congresses.; Industrial mobilization -- Great Britain -- Congresses.; Industrial mobilization -- United States -- Congresses.; War and society -- Congresses.; World War, 1914-1918 -- Congresses.; World War, 1939-1945 -- Congresses.</t>
  </si>
  <si>
    <t>http://public.eblib.com/choice/PublicFullRecord.aspx?p=3050275</t>
  </si>
  <si>
    <t>Traditions in Contact and Change : Selected Proceedings of the XIVth Congress of the International Association for the History of Religions</t>
  </si>
  <si>
    <t>Slater, Peter; Wiebe, Donald</t>
  </si>
  <si>
    <t>BL21 -- .I48 1980eb</t>
  </si>
  <si>
    <t>Electronic books. -- local; Religion -- Congresses.; Religions -- Congresses.</t>
  </si>
  <si>
    <t>http://public.eblib.com/choice/PublicFullRecord.aspx?p=3050276</t>
  </si>
  <si>
    <t>Conception of Punishment in Early Indian Literature</t>
  </si>
  <si>
    <t>Day, Terence</t>
  </si>
  <si>
    <t>BL1147 -- .D39 1982eb</t>
  </si>
  <si>
    <t>Electronic books. -- local; Hindu philosophy.; Punishment -- Moral and ethical aspects -- Hinduism.</t>
  </si>
  <si>
    <t>http://public.eblib.com/choice/PublicFullRecord.aspx?p=3050277</t>
  </si>
  <si>
    <t>Limits of Loyalty</t>
  </si>
  <si>
    <t>Denton, Edgar</t>
  </si>
  <si>
    <t>U22 -- .M54 1979eb</t>
  </si>
  <si>
    <t>Allegiance -- Congresses.; Electronic books. -- local; Loyalty -- Congresses.</t>
  </si>
  <si>
    <t>http://public.eblib.com/choice/PublicFullRecord.aspx?p=3050278</t>
  </si>
  <si>
    <t>Locations of the Sacred : Essays on Religion, Literature and Canadian Culture</t>
  </si>
  <si>
    <t>James, William Closson</t>
  </si>
  <si>
    <t>PR9185.5.R4 -- J35 1998eb</t>
  </si>
  <si>
    <t>Electronic books. -- local; Religion and culture -- Canada.; Religion in literature.; Spirituality in literature.</t>
  </si>
  <si>
    <t>http://public.eblib.com/choice/PublicFullRecord.aspx?p=3050279</t>
  </si>
  <si>
    <t>Monograph of Charala and Allied Genera</t>
  </si>
  <si>
    <t>Nag  Raj, T.R.; Kendrick, Bryce</t>
  </si>
  <si>
    <t>QK625.D4 -- N33 1975eb</t>
  </si>
  <si>
    <t>Chalara.; Electronic books. -- local; Hyphomycetes.</t>
  </si>
  <si>
    <t>http://public.eblib.com/choice/PublicFullRecord.aspx?p=3050280</t>
  </si>
  <si>
    <t>Religion and Culture in Canada/Religion et culture au Canada</t>
  </si>
  <si>
    <t>Slater, Peter</t>
  </si>
  <si>
    <t>BL65.C8 -- R44 1977eb</t>
  </si>
  <si>
    <t>Canada -- Religion.; Electronic books. -- local; Religion and culture.</t>
  </si>
  <si>
    <t>http://public.eblib.com/choice/PublicFullRecord.aspx?p=3050281</t>
  </si>
  <si>
    <t>Physics at the National Research Council of Canada : 1929-1952</t>
  </si>
  <si>
    <t>QC47.C2 -- M53 1979eb</t>
  </si>
  <si>
    <t>Electronic books. -- local; National Research Council of Canada. -- Division of Physics -- History.; Physics -- Research -- Canada.</t>
  </si>
  <si>
    <t>http://public.eblib.com/choice/PublicFullRecord.aspx?p=3050282</t>
  </si>
  <si>
    <t>How Silent Were the Churches? : Canadian Protestantism and the Jewish Plight During the Nazi Era</t>
  </si>
  <si>
    <t>Davies, Alan T.; Nefsky, Marilyn F.</t>
  </si>
  <si>
    <t>BM535 -- .D38 1997eb</t>
  </si>
  <si>
    <t>Antisemitism -- Canada.; Christianity and antisemitism.; Electronic books. -- local; Holocaust, Jewish (1939-1945); Protestant churches -- Canada -- History -- 20th century.</t>
  </si>
  <si>
    <t>http://public.eblib.com/choice/PublicFullRecord.aspx?p=3050283</t>
  </si>
  <si>
    <t>Reason Over Passion : The Social Basis of Evaluation and Appraisal</t>
  </si>
  <si>
    <t>Simpson, Evan</t>
  </si>
  <si>
    <t>BD232 -- .S38 1979eb</t>
  </si>
  <si>
    <t>Electronic books. -- local; Emotions.; Ethics.; Reason.; Values.</t>
  </si>
  <si>
    <t>http://public.eblib.com/choice/PublicFullRecord.aspx?p=3050284</t>
  </si>
  <si>
    <t>Three Chilean Thinkers</t>
  </si>
  <si>
    <t>Lipp, Solomon</t>
  </si>
  <si>
    <t>B1049.B54 -- L56 1975eb</t>
  </si>
  <si>
    <t>Bilbao, Francisco, -- 1823-1865.; Chile -- Intellectual life.; Electronic books. -- local; Letelier, Valentín, -- 1852-1919.; Molina, Enrique, -- 1871-1964.</t>
  </si>
  <si>
    <t>http://public.eblib.com/choice/PublicFullRecord.aspx?p=3050285</t>
  </si>
  <si>
    <t>Concept of Equity in Calvin's Ethics</t>
  </si>
  <si>
    <t>Haas, Guenther H</t>
  </si>
  <si>
    <t>BX9418 -- .H227 1997eb</t>
  </si>
  <si>
    <t>Calvin, Jean, -- 1509-1564 -- Ethics.; Christian ethics -- History -- 16th century.; Electronic books. -- local; Equity.; Social ethics -- History -- 16th century.; Social justice -- History -- 16th century.</t>
  </si>
  <si>
    <t>http://public.eblib.com/choice/PublicFullRecord.aspx?p=3050286</t>
  </si>
  <si>
    <t>Lyulph Stanley : A Study in Educational Politics</t>
  </si>
  <si>
    <t>Jones, Alan W.</t>
  </si>
  <si>
    <t>LA2375.G72 -- S534 1979eb</t>
  </si>
  <si>
    <t>Education -- Great Britain -- History -- 19th century.; Electronic books. -- local; Stanley, Edward Lyulph, -- 1839-1925.</t>
  </si>
  <si>
    <t>http://public.eblib.com/choice/PublicFullRecord.aspx?p=3050287</t>
  </si>
  <si>
    <t>Archaeology of the Rivas Region, Nicaragua</t>
  </si>
  <si>
    <t>Healy, Paul</t>
  </si>
  <si>
    <t>F1525.1.R58 -- H4 1980eb</t>
  </si>
  <si>
    <t>Electronic books. -- local; Indian pottery -- Nicaragua -- Rivas (Dept.); Indians of Central America -- Nicaragua -- Rivas (Dept.) -- Antiquities.; Nicaragua -- Antiquities.; Rivas (Nicaragua : Dept.) -- Antiquities.</t>
  </si>
  <si>
    <t>http://public.eblib.com/choice/PublicFullRecord.aspx?p=3050288</t>
  </si>
  <si>
    <t>Bourgeois, Sans-Culottes and Other Frenchmen : Essays on the French Revolution in Honor of John Hall Stewart</t>
  </si>
  <si>
    <t>Slavin, Moris; Smith, Agnes</t>
  </si>
  <si>
    <t>DC142 -- .B68 1981eb</t>
  </si>
  <si>
    <t>Electronic books. -- local; France -- History -- Revolution, 1789-1799.; Stewart, John Hall, -- 1904-</t>
  </si>
  <si>
    <t>http://public.eblib.com/choice/PublicFullRecord.aspx?p=3050289</t>
  </si>
  <si>
    <t>Vladimir Solov'ev and the Knighthood of the Divine Sophia</t>
  </si>
  <si>
    <t>Cioran, Samuel</t>
  </si>
  <si>
    <t>PG3470.S7 -- Z55 1977eb</t>
  </si>
  <si>
    <t>Electronic books. -- local; Russian poetry -- 20th century -- History and criticism.; Solovyov, Vladimir Sergeyevich, -- 1853-1900.; Symbolism in literature.</t>
  </si>
  <si>
    <t>http://public.eblib.com/choice/PublicFullRecord.aspx?p=3050290</t>
  </si>
  <si>
    <t>Mobility, Elites and Education in French Society of the Second Empire</t>
  </si>
  <si>
    <t>Harrigan, P.</t>
  </si>
  <si>
    <t>LA707 -- .H37 1980eb</t>
  </si>
  <si>
    <t>Education, Secondary -- France -- History -- 19th century.; Electronic books. -- local; France -- Social conditions.; High school students -- France -- Social conditions -- 19th century.; Occupational mobility -- France -- History -- 19th century.; Student aspirations -- France -- History -- 19th century.</t>
  </si>
  <si>
    <t>http://public.eblib.com/choice/PublicFullRecord.aspx?p=3050291</t>
  </si>
  <si>
    <t>Canadian Career of the Fourth Earl of Minto : The Education of a Viceroy</t>
  </si>
  <si>
    <t>Miller, Carman</t>
  </si>
  <si>
    <t>F1033.M664 -- M54 1980eb</t>
  </si>
  <si>
    <t>Canada -- Politics and government -- 1867-1914.; Electronic books. -- local; Heads of state -- Canada -- Biography.; Minto, Gilbert John Murray Kynynmond Elliot, -- Earl of, -- 1845-1914.</t>
  </si>
  <si>
    <t>http://public.eblib.com/choice/PublicFullRecord.aspx?p=3050292</t>
  </si>
  <si>
    <t>Body of Vision : Representations of the Body in Recent Film and Poetry</t>
  </si>
  <si>
    <t>PN1995.9.B62 -- E43 1997eb</t>
  </si>
  <si>
    <t>791.43/65</t>
  </si>
  <si>
    <t>Electronic books. -- local; Experimental films -- History and criticism.; Human body in literature.; Human body in motion pictures.</t>
  </si>
  <si>
    <t>http://public.eblib.com/choice/PublicFullRecord.aspx?p=3050293</t>
  </si>
  <si>
    <t>Political Theology in the Canadian Context</t>
  </si>
  <si>
    <t>Smillie, Benjamin G.</t>
  </si>
  <si>
    <t>BR115.P7 -- P54 1982eb</t>
  </si>
  <si>
    <t>Canada -- Church history -- Congresses.; Christianity and politics -- Congresses.; Electronic books. -- local; Theology, Doctrinal -- Canada -- Congresses.</t>
  </si>
  <si>
    <t>http://public.eblib.com/choice/PublicFullRecord.aspx?p=3050294</t>
  </si>
  <si>
    <t>Thinking the Unthinkable : Civilization and Rapid Climate Change</t>
  </si>
  <si>
    <t>QC981.8.C5 -- D67 1988eb</t>
  </si>
  <si>
    <t>Climatic changes.; Electronic books. -- local; Human beings -- Effect of climate on.</t>
  </si>
  <si>
    <t>http://public.eblib.com/choice/PublicFullRecord.aspx?p=3050295</t>
  </si>
  <si>
    <t>Peter Martyr Vermigli : and Italian Reform</t>
  </si>
  <si>
    <t>McLelland, Joseph</t>
  </si>
  <si>
    <t>BR350.V37 -- P47 1980eb</t>
  </si>
  <si>
    <t>Electronic books. -- local; Reformation -- Italy -- Congresses.; Vermigli, Pietro Martire, -- 1499-1562 -- Congresses.</t>
  </si>
  <si>
    <t>http://public.eblib.com/choice/PublicFullRecord.aspx?p=3050296</t>
  </si>
  <si>
    <t>Controversial Kierkegaard</t>
  </si>
  <si>
    <t>Malantschuk; Hong, Howard V.</t>
  </si>
  <si>
    <t>B4377 -- .M31813 1980eb</t>
  </si>
  <si>
    <t>Electronic books. -- local; Kierkegaard, Søren, -- 1813-1855.; Philosophy, Modern.</t>
  </si>
  <si>
    <t>http://public.eblib.com/choice/PublicFullRecord.aspx?p=3050297</t>
  </si>
  <si>
    <t>Humanities in the Present Day</t>
  </si>
  <si>
    <t>Woods, John; Coward, Harold</t>
  </si>
  <si>
    <t>AZ103 -- .H85 1979eb</t>
  </si>
  <si>
    <t>Electronic books. -- local; Humanities.; Learning and scholarship.</t>
  </si>
  <si>
    <t>http://public.eblib.com/choice/PublicFullRecord.aspx?p=3050298</t>
  </si>
  <si>
    <t>Footnotes to a Theology : The Karl Barth Colloquium of 1972</t>
  </si>
  <si>
    <t>Rumscheidt, Martin</t>
  </si>
  <si>
    <t>BX4827.B3 -- K355 1974eb</t>
  </si>
  <si>
    <t>Barth, Karl, -- 1886-1968.; Electronic books. -- local; Protestantism.</t>
  </si>
  <si>
    <t>http://public.eblib.com/choice/PublicFullRecord.aspx?p=3050299</t>
  </si>
  <si>
    <t>Practical Vision : Essays in English Literature in Honour of Flora Roy</t>
  </si>
  <si>
    <t>Campbell, Jane; Doyle, James</t>
  </si>
  <si>
    <t>PR14 -- .P69 1978eb</t>
  </si>
  <si>
    <t>American literature -- History and criticism.; Electronic books. -- local; English literature -- History and criticism.; Roy, Flora.</t>
  </si>
  <si>
    <t>http://public.eblib.com/choice/PublicFullRecord.aspx?p=3050300</t>
  </si>
  <si>
    <t>Population Growth, Resource Consumption, and the Environment : Seeking a Common Vision for a Troubled World</t>
  </si>
  <si>
    <t>Searle, Rick</t>
  </si>
  <si>
    <t>HB883.5 -- .P645 1995eb</t>
  </si>
  <si>
    <t>Conservation of natural resources -- Moral and ethical aspects -- Congresses.; Electronic books. -- local; Environmental policy -- Moral and ethical aspects -- Congresses.; Environmental protection -- Religious aspects -- Congresses.; Population policy -- Moral and ethical aspects -- Congresses.</t>
  </si>
  <si>
    <t>http://public.eblib.com/choice/PublicFullRecord.aspx?p=3050301</t>
  </si>
  <si>
    <t>Religion and Ethnicity</t>
  </si>
  <si>
    <t>Coward, Harold; Kawamura, Leslie</t>
  </si>
  <si>
    <t>BL2530.C2 -- W67 1978eb</t>
  </si>
  <si>
    <t>Canada -- Religion -- Congresses.; Electronic books. -- local; Minorities -- Canada -- Congresses.</t>
  </si>
  <si>
    <t>http://public.eblib.com/choice/PublicFullRecord.aspx?p=3050302</t>
  </si>
  <si>
    <t>Theories of Property : Aristotle to the Present</t>
  </si>
  <si>
    <t>Parel, Anthony; Flanagan, Thomas</t>
  </si>
  <si>
    <t>HB701 -- .T56 1979eb</t>
  </si>
  <si>
    <t>Economics.; Electronic books. -- local; Property.</t>
  </si>
  <si>
    <t>http://public.eblib.com/choice/PublicFullRecord.aspx?p=3050303</t>
  </si>
  <si>
    <t>Social Uplifters : Presbyterian Progressives and the Social Gospel in Canada 1875-1915</t>
  </si>
  <si>
    <t>BX9001 -- .F73 1988eb</t>
  </si>
  <si>
    <t>Canada -- Church history.; Church and social problems -- Presbyterian Church -- History.; Electronic books. -- local; Liberalism (Religion) -- Canada -- History.; Presbyterian Church -- Canada -- Clergy -- History.; Social gospel -- History.</t>
  </si>
  <si>
    <t>http://public.eblib.com/choice/PublicFullRecord.aspx?p=3050304</t>
  </si>
  <si>
    <t>Early Modern Concepts for a Late Modern World : Althusius on Community and Federalism</t>
  </si>
  <si>
    <t>Hueglin, Thomas</t>
  </si>
  <si>
    <t>JC156.A5 -- H845 1999eb</t>
  </si>
  <si>
    <t>Althusius, Johannes, -- 1557-1638.; Communities.; Electronic books. -- local; Federal government.; Political science -- History.; Political science.</t>
  </si>
  <si>
    <t>http://public.eblib.com/choice/PublicFullRecord.aspx?p=3050305</t>
  </si>
  <si>
    <t>Radical Difference : A Defence of Hendrik Kraemer's Theology of Religions</t>
  </si>
  <si>
    <t>Perry, Tim S.</t>
  </si>
  <si>
    <t>BX4827.K73 -- P47 2001eb</t>
  </si>
  <si>
    <t>Christianity and other religions.; Electronic books. -- local; Kraemer, H. -- (Hendrik), -- 1888-1965. -- Theology of religions.; Theology of religions (Christian theology)</t>
  </si>
  <si>
    <t>http://public.eblib.com/choice/PublicFullRecord.aspx?p=3050306</t>
  </si>
  <si>
    <t>God's Intention for Man : Essays in Christian Anthropology</t>
  </si>
  <si>
    <t>Fennell, William</t>
  </si>
  <si>
    <t>BT703 -- .F45 1977eb</t>
  </si>
  <si>
    <t>Electronic books. -- local; Religion.; Theological anthropology.</t>
  </si>
  <si>
    <t>http://public.eblib.com/choice/PublicFullRecord.aspx?p=3050307</t>
  </si>
  <si>
    <t>European Emblem : Towards an Index Emblematicus</t>
  </si>
  <si>
    <t>Daly, Peter</t>
  </si>
  <si>
    <t>PN6349.E976 1980eb</t>
  </si>
  <si>
    <t>Electronic books. -- local; Emblem books.; Emblems -- Abstracting and indexing.; Emblems.</t>
  </si>
  <si>
    <t>http://public.eblib.com/choice/PublicFullRecord.aspx?p=3050308</t>
  </si>
  <si>
    <t>Rise and Fall of an African Utopia : A Wealthy Theocracy in Comparative Perspective</t>
  </si>
  <si>
    <t>Barrett, Stanley</t>
  </si>
  <si>
    <t>DT513 -- .B368 1977eb</t>
  </si>
  <si>
    <t>Collective settlements -- Nigeria.; Electronic books. -- local; Yoruba (African people) -- Politics and government.; Yoruba (African people) -- Religion.</t>
  </si>
  <si>
    <t>http://public.eblib.com/choice/PublicFullRecord.aspx?p=3050309</t>
  </si>
  <si>
    <t>Driving Home : A Dialogue Between Writers and Readers</t>
  </si>
  <si>
    <t>Belyea, Barbara; Dansereau, Estelle</t>
  </si>
  <si>
    <t>PR9189.6 -- .D75 1984eb</t>
  </si>
  <si>
    <t>Authors and readers -- Congresses.; Canadian literature -- 20th century -- History and criticism -- Congresses.; Electronic books. -- local; Reader-response criticism -- Canada -- Congresses.</t>
  </si>
  <si>
    <t>http://public.eblib.com/choice/PublicFullRecord.aspx?p=3050310</t>
  </si>
  <si>
    <t>Pierre M. Irving and Washington Irving : A Collaboration in Life and Letters</t>
  </si>
  <si>
    <t>Kime, Wayne</t>
  </si>
  <si>
    <t>PS2081 -- .K5 1977eb</t>
  </si>
  <si>
    <t>Authors, American -- 19th century -- Biography.; Electronic books. -- local; Irving, Pierre Munroe, -- 1803-1876.; Irving, Washington, -- 1783-1859.</t>
  </si>
  <si>
    <t>http://public.eblib.com/choice/PublicFullRecord.aspx?p=3050311</t>
  </si>
  <si>
    <t>Study in Anti-Gnostic Polemics : Irenaeus, Hippolytus and Epiphanius</t>
  </si>
  <si>
    <t>Vallee, Gerard</t>
  </si>
  <si>
    <t>BR65.I63 -- A424 1981eb</t>
  </si>
  <si>
    <t>Christian heresies -- History -- Early church, ca. 30-600.; Electronic books. -- local; Epiphanius, -- Saint, Bishop of Constantia in Cyprus, -- ca. 310-403. -- Panarion.; Gnosticism -- Controversial literature -- History and criticism.; Hippolytus, -- Antipope, -- ca. 170-235 or 6. -- Refutation of all heresies.; Irenaeus, -- Saint, Bishop of Lyon. -- Adversus haereses.</t>
  </si>
  <si>
    <t>http://public.eblib.com/choice/PublicFullRecord.aspx?p=3050312</t>
  </si>
  <si>
    <t>Soren Kierkegaard's Psychology</t>
  </si>
  <si>
    <t>Ostenfeld, Med Ib</t>
  </si>
  <si>
    <t>B4376 -- .O8813 1978eb</t>
  </si>
  <si>
    <t>http://public.eblib.com/choice/PublicFullRecord.aspx?p=3050313</t>
  </si>
  <si>
    <t>Women Theorists on Society and Politics</t>
  </si>
  <si>
    <t>H61 -- .W66 1998eb</t>
  </si>
  <si>
    <t>300/.9</t>
  </si>
  <si>
    <t>Electronic books. -- local; Political science -- History.; Social sciences -- Philosophy -- History.; Women political scientists -- History.; Women social scientists -- History.</t>
  </si>
  <si>
    <t>http://public.eblib.com/choice/PublicFullRecord.aspx?p=3050314</t>
  </si>
  <si>
    <t>Martin Heidegger's Philosophy of Religion</t>
  </si>
  <si>
    <t>Williams, John</t>
  </si>
  <si>
    <t>B3279.H49 -- W476eb</t>
  </si>
  <si>
    <t>Electronic books. -- local; Heidegger, Martin, -- 1889-1976.; Philosophy, American.; Religion -- Philosophy.</t>
  </si>
  <si>
    <t>http://public.eblib.com/choice/PublicFullRecord.aspx?p=3050315</t>
  </si>
  <si>
    <t>Beyond Mysticism</t>
  </si>
  <si>
    <t>B828 -- .H67 1978eb</t>
  </si>
  <si>
    <t>Electronic books. -- local; Mysticism.; Spiritual life.</t>
  </si>
  <si>
    <t>http://public.eblib.com/choice/PublicFullRecord.aspx?p=3050316</t>
  </si>
  <si>
    <t>Seeing in the Dark : The Poetry of Phyllis Webb</t>
  </si>
  <si>
    <t>Butling, Pauline</t>
  </si>
  <si>
    <t>PR9199.3.W395 -- Z55 1997eb</t>
  </si>
  <si>
    <t>Canadian literature.; Electronic books. -- local; Webb, Phyllis, -- 1927- -- Criticism and interpretation.</t>
  </si>
  <si>
    <t>http://public.eblib.com/choice/PublicFullRecord.aspx?p=3050317</t>
  </si>
  <si>
    <t>Young Man Shinran : A Reappraisal of Shinran's Life</t>
  </si>
  <si>
    <t>Takahatake, Takamichi</t>
  </si>
  <si>
    <t>BQ8749.S557 -- T28 1987eb</t>
  </si>
  <si>
    <t>Electronic books. -- local; Shin (Sect) -- History.; Shin priests -- Japan -- Biography.; Shinran, -- 1173-1263.</t>
  </si>
  <si>
    <t>http://public.eblib.com/choice/PublicFullRecord.aspx?p=3050318</t>
  </si>
  <si>
    <t>Dear Editor and Friends : Letters From Rural Women of the North-West, 1900-1920</t>
  </si>
  <si>
    <t>HQ1453 -- .D42 1998eb</t>
  </si>
  <si>
    <t>Canada, Northern -- Social life and customs -- Sources.; Canada, Western -- Social life and customs -- Sources.; Electronic books. -- local; Rural women -- Canada, Northern -- Correspondence.; Rural women -- Canada, Western -- Correspondence.; Women pioneers -- Canada, Northern -- Correspondence.; Women pioneers -- Canada, Western -- Correspondence.</t>
  </si>
  <si>
    <t>http://public.eblib.com/choice/PublicFullRecord.aspx?p=3050319</t>
  </si>
  <si>
    <t>Bodhisattva Doctrine in Buddhism</t>
  </si>
  <si>
    <t>Kawamura, Leslie</t>
  </si>
  <si>
    <t>BQ4293 -- .B63 1981eb</t>
  </si>
  <si>
    <t>294.3/4213</t>
  </si>
  <si>
    <t>Bodhisattva (The concept) -- Congresses.; Buddhism -- Doctrines -- Congresses.; Electronic books. -- local</t>
  </si>
  <si>
    <t>http://public.eblib.com/choice/PublicFullRecord.aspx?p=3050320</t>
  </si>
  <si>
    <t>Erect Men/Undulating Women : The Visual Imagery of Gender, 'Race' and Progress in Reconstructive Illustrations of Human Evolution</t>
  </si>
  <si>
    <t>Wiber, Melanie</t>
  </si>
  <si>
    <t>GN799.W66 -- W52 1997eb</t>
  </si>
  <si>
    <t>Anthropological illustration -- Social aspects.; Electronic books. -- local; Feminist anthropology.</t>
  </si>
  <si>
    <t>http://public.eblib.com/choice/PublicFullRecord.aspx?p=3050321</t>
  </si>
  <si>
    <t>New Hamburg Pottery : New Hamburg, Ontario 1854-1916</t>
  </si>
  <si>
    <t>Newlands, David</t>
  </si>
  <si>
    <t>NK4030.N39 -- N48 1978eb</t>
  </si>
  <si>
    <t>Electronic books. -- local; Excavations (Archaeology) -- Ontario -- New Hamburg.; New Hamburg (Ont.) -- Antiquities.; Pottery -- Ontario -- New Hamburg -- History.</t>
  </si>
  <si>
    <t>http://public.eblib.com/choice/PublicFullRecord.aspx?p=3050322</t>
  </si>
  <si>
    <t>Wadi el Hasa Archaeological Survey 1979-1931, West-Central Jordan</t>
  </si>
  <si>
    <t>MacDonald, Burton</t>
  </si>
  <si>
    <t>DS153.3 -- .M23 1988eb</t>
  </si>
  <si>
    <t>Electronic books. -- local; Excavations (Archaeology) -- Jordan -- Ḥasā River Region.; Jordan -- Antiquities.</t>
  </si>
  <si>
    <t>http://public.eblib.com/choice/PublicFullRecord.aspx?p=3050323</t>
  </si>
  <si>
    <t>La Langue de Ya'udi</t>
  </si>
  <si>
    <t>Dion, Paul-Eugene</t>
  </si>
  <si>
    <t>PJ4121 -- .D5 1974eb</t>
  </si>
  <si>
    <t>Aramaic language.; Electronic books. -- local; Yaʹudi language.</t>
  </si>
  <si>
    <t>http://public.eblib.com/choice/PublicFullRecord.aspx?p=3050324</t>
  </si>
  <si>
    <t>Politics As Friendship : The Origins of Classical Notions of Politics in the Theory and Practice of Friendship</t>
  </si>
  <si>
    <t>Hutter, Horst</t>
  </si>
  <si>
    <t>JC73 -- .H88 1978eb</t>
  </si>
  <si>
    <t>Electronic books. -- local; Friendship.; Political science -- Rome -- History.</t>
  </si>
  <si>
    <t>http://public.eblib.com/choice/PublicFullRecord.aspx?p=3050325</t>
  </si>
  <si>
    <t>Cross-Cultural Dialogue on Health Care Ethics</t>
  </si>
  <si>
    <t>Coward, Harold; Ratanakul, Pinit</t>
  </si>
  <si>
    <t>R724 -- C76 1999eb</t>
  </si>
  <si>
    <t>Electronic books. -- local; Medical care -- Cross-cultural studies.; Medical ethics.</t>
  </si>
  <si>
    <t>http://public.eblib.com/choice/PublicFullRecord.aspx?p=3050326</t>
  </si>
  <si>
    <t>New Land : Studies in a Literary Theme</t>
  </si>
  <si>
    <t>Chadbourne, Richard; Dahlie, Hallvard</t>
  </si>
  <si>
    <t>PR9184.6 -- .N44 1978eb</t>
  </si>
  <si>
    <t>Canadian literature -- History and criticism -- Congresses.; Electronic books. -- local; French-Canadian literature -- History and criticism -- Congresses.; North America -- In literature -- Congresses.</t>
  </si>
  <si>
    <t>http://public.eblib.com/choice/PublicFullRecord.aspx?p=3050327</t>
  </si>
  <si>
    <t>Biological Sciences at the National Research Council of Canada : The Early Years to 1952</t>
  </si>
  <si>
    <t>Ridgeman, N. T.</t>
  </si>
  <si>
    <t>QH320.C2 -- G74 1979eb</t>
  </si>
  <si>
    <t>Biology -- Research -- Canada -- History.; Electronic books. -- local; National Research Council of Canada. -- Division of Biological Sciences -- History.</t>
  </si>
  <si>
    <t>http://public.eblib.com/choice/PublicFullRecord.aspx?p=3050328</t>
  </si>
  <si>
    <t>Civil Servants and Public Policy : A Comparative Study of International Secretariats</t>
  </si>
  <si>
    <t>McLaren, Robert</t>
  </si>
  <si>
    <t>JX1995 -- .M32 1980eb</t>
  </si>
  <si>
    <t>Electronic books. -- local; International agencies -- Administration.; Policy sciences.; Secretariats -- Administration.</t>
  </si>
  <si>
    <t>http://public.eblib.com/choice/PublicFullRecord.aspx?p=3050329</t>
  </si>
  <si>
    <t>Unity in Diversity</t>
  </si>
  <si>
    <t>Nyiri, Nicolas; Preece, Rod</t>
  </si>
  <si>
    <t>H62 -- .U57eb</t>
  </si>
  <si>
    <t>Interdisciplinary approach in education.; Social sciences -- Research.; System theory.</t>
  </si>
  <si>
    <t>http://public.eblib.com/choice/PublicFullRecord.aspx?p=3050330</t>
  </si>
  <si>
    <t>Whose Historical Jesus?</t>
  </si>
  <si>
    <t>Arnal, William E.; Desjardins, Michel</t>
  </si>
  <si>
    <t>BT303.2 -- .W46 1997eb</t>
  </si>
  <si>
    <t>Electronic books. -- local; Jesus Christ -- Historicity.; Theology, Doctrinal.</t>
  </si>
  <si>
    <t>http://public.eblib.com/choice/PublicFullRecord.aspx?p=3050331</t>
  </si>
  <si>
    <t>Federalism in Canada and Australia : The Early Years</t>
  </si>
  <si>
    <t>Hodgins, Bruce W; Wright, Don; Heick, Welf</t>
  </si>
  <si>
    <t>JL27 -- .F4157 1978eb</t>
  </si>
  <si>
    <t>Australia -- Politics and government.; Canada -- Politics and government.; Electronic books. -- local; Federal government -- Australia -- History.; Federal government -- Canada -- History.</t>
  </si>
  <si>
    <t>http://public.eblib.com/choice/PublicFullRecord.aspx?p=3050332</t>
  </si>
  <si>
    <t>Earth, Water, Air and Fire : Studies in Canadian Ethnohistory</t>
  </si>
  <si>
    <t>Nin.Da.Waab.Jig., for; McNab, David T.</t>
  </si>
  <si>
    <t>E78.C2 -- E27 1998eb</t>
  </si>
  <si>
    <t>Electronic books. -- local; Indians of North America -- Canada -- Congresses.; Indians of North America -- Canada -- Government relations -- Congresses.</t>
  </si>
  <si>
    <t>http://public.eblib.com/choice/PublicFullRecord.aspx?p=3050333</t>
  </si>
  <si>
    <t>Christ and Satan : A Critical Edition</t>
  </si>
  <si>
    <t>Finnegan, Robert E.</t>
  </si>
  <si>
    <t>PR1630 -- .C6 1977eb</t>
  </si>
  <si>
    <t>Devil -- Poetry.; Electronic books. -- local; Jesus Christ -- Poetry.</t>
  </si>
  <si>
    <t>http://public.eblib.com/choice/PublicFullRecord.aspx?p=3050334</t>
  </si>
  <si>
    <t>Voices and Echoes : Canadian Women's Spirituality</t>
  </si>
  <si>
    <t>Elder, Jo-Anne; O'Connell, Colin</t>
  </si>
  <si>
    <t>PR9194.5.W6 -- V65 1997eb</t>
  </si>
  <si>
    <t>Canadian literature -- 20th century.; Canadian literature -- Women authors.; Electronic books. -- local; Women -- Religious life -- Literary collections.; Women and religion -- Literary collections.</t>
  </si>
  <si>
    <t>http://public.eblib.com/choice/PublicFullRecord.aspx?p=3050335</t>
  </si>
  <si>
    <t>Language in Indian Philosophy and Religion</t>
  </si>
  <si>
    <t>Coward, Harold</t>
  </si>
  <si>
    <t>B131 -- .L28 1978eb</t>
  </si>
  <si>
    <t>Electronic books. -- local; Language and languages -- Philosophy -- Congresses.; Philosophy, Indic -- Congresses.</t>
  </si>
  <si>
    <t>http://public.eblib.com/choice/PublicFullRecord.aspx?p=3050336</t>
  </si>
  <si>
    <t>Ethics of the New Economy : Restructuring and Beyond</t>
  </si>
  <si>
    <t>Groarke, Leo</t>
  </si>
  <si>
    <t>HD58.85 -- .E83 1998eb</t>
  </si>
  <si>
    <t>Canada -- Economic conditions -- 1991-; Downsizing of organizations -- Moral and ethical aspects -- Canada.; Downsizing of organizations -- Moral and ethical aspects.; Economic history -- 1990-; Electronic books. -- local</t>
  </si>
  <si>
    <t>http://public.eblib.com/choice/PublicFullRecord.aspx?p=3050337</t>
  </si>
  <si>
    <t>Origins of the Baha'i Community of Canada, 1898-1948</t>
  </si>
  <si>
    <t>van den Hoonaard, Will C.; Will C</t>
  </si>
  <si>
    <t>BP355.C2 -- H66 1996eb</t>
  </si>
  <si>
    <t>Bahai Faith -- Canada -- History.; Electronic books. -- local; Religions.</t>
  </si>
  <si>
    <t>http://public.eblib.com/choice/PublicFullRecord.aspx?p=3050338</t>
  </si>
  <si>
    <t>Effects of Feminist Approaches on Research Methodologies</t>
  </si>
  <si>
    <t>HQ1180 -- .E44 1989eb</t>
  </si>
  <si>
    <t>Electronic books. -- local; Feminism -- Research -- Congresses.; Research -- Methodology -- Congresses.; Women''s studies -- Research -- Congresses.</t>
  </si>
  <si>
    <t>http://public.eblib.com/choice/PublicFullRecord.aspx?p=3050339</t>
  </si>
  <si>
    <t>Science, Technology and Canadian History/Les Sciences, la technologie et l'histoire et l'histoire</t>
  </si>
  <si>
    <t>Jarrell, A.; Ball, Norman</t>
  </si>
  <si>
    <t>Q127.C2 -- C66 1980eb</t>
  </si>
  <si>
    <t>Electronic books. -- local; Science -- Canada -- History -- Congresses.; Technology -- Canada -- History -- Congresses.</t>
  </si>
  <si>
    <t>http://public.eblib.com/choice/PublicFullRecord.aspx?p=3050340</t>
  </si>
  <si>
    <t>Problems of Change in Urban Government</t>
  </si>
  <si>
    <t>Dickerson, M.; Drabek, S.; Woods, J</t>
  </si>
  <si>
    <t>JS1708 -- .B36 1974eb</t>
  </si>
  <si>
    <t>Electronic books. -- local; Metropolitan government -- Canada -- Congresses.; Municipal finance -- Canada -- Congresses.; Municipal government -- Canada -- Congresses.</t>
  </si>
  <si>
    <t>http://public.eblib.com/choice/PublicFullRecord.aspx?p=3050341</t>
  </si>
  <si>
    <t>Leopoldo Zea : From Mexicanidad to a Philosophy of History</t>
  </si>
  <si>
    <t>B1019.Z44 -- L56 1980eb</t>
  </si>
  <si>
    <t>National characteristics, Mexican.; Philosophy, Mexican.; Zea, Leopoldo, -- 1912-2004.</t>
  </si>
  <si>
    <t>http://public.eblib.com/choice/PublicFullRecord.aspx?p=3050342</t>
  </si>
  <si>
    <t>Myth and Reality in Irish Literature</t>
  </si>
  <si>
    <t>Ronsley, Joseph</t>
  </si>
  <si>
    <t>PR8714 -- .M95 1977eb</t>
  </si>
  <si>
    <t>Electronic books. -- local; English literature -- Irish authors -- History and criticism.; Irish literature -- History and criticism.</t>
  </si>
  <si>
    <t>http://public.eblib.com/choice/PublicFullRecord.aspx?p=3050343</t>
  </si>
  <si>
    <t>British Ordnance Department and Canada's Canals, 1815-1855</t>
  </si>
  <si>
    <t>Raudzens, George</t>
  </si>
  <si>
    <t>JV1063 -- .R38 1979eb</t>
  </si>
  <si>
    <t>Canada -- Economic conditions.; Canals -- Canada -- History.; Electronic books. -- local; Great Britain -- Colonies -- America -- Administration.; Great Britain. -- Army. -- Ordnance Dept. -- History.</t>
  </si>
  <si>
    <t>http://public.eblib.com/choice/PublicFullRecord.aspx?p=3050344</t>
  </si>
  <si>
    <t>Burke's Politics : A Study in Whig Orthodoxy</t>
  </si>
  <si>
    <t>Dreyer, Frederick</t>
  </si>
  <si>
    <t>JC176.B83 -- D73 1979eb</t>
  </si>
  <si>
    <t>Burke, Edmund, -- 1729-1797 -- Contributions in political science.; Electronic books. -- local; Political science.</t>
  </si>
  <si>
    <t>http://public.eblib.com/choice/PublicFullRecord.aspx?p=3050345</t>
  </si>
  <si>
    <t>Aid and Ebb Tide : A History of CIDA and Canadian Development Assistance</t>
  </si>
  <si>
    <t>Morrison, David R.</t>
  </si>
  <si>
    <t>HC60 -- .M66 1998eb</t>
  </si>
  <si>
    <t>Canadian International Development Agency -- History.; Economic assistance, Canadian -- Developing countries -- History.; Electronic books. -- local</t>
  </si>
  <si>
    <t>http://public.eblib.com/choice/PublicFullRecord.aspx?p=3050346</t>
  </si>
  <si>
    <t>Waterloo Mennonites : A Community in Paradox</t>
  </si>
  <si>
    <t>Fretz, J Winfield</t>
  </si>
  <si>
    <t>BX8118.6.O6 -- F74 1989eb</t>
  </si>
  <si>
    <t>289.7/71344</t>
  </si>
  <si>
    <t>Electronic books. -- local; Mennonites -- Ontario -- Waterloo (Regional municipality); Mennonites -- Ontario -- Waterloo (Regional municipality) -- Social conditions.; Waterloo (Ont. : Regional municipality) -- Church history.</t>
  </si>
  <si>
    <t>http://public.eblib.com/choice/PublicFullRecord.aspx?p=3050347</t>
  </si>
  <si>
    <t>Ethnic Organizational Dynamics : The Polish Group in Canada</t>
  </si>
  <si>
    <t>Radecki, Henry</t>
  </si>
  <si>
    <t>F1035.P6 -- R29 1979eb</t>
  </si>
  <si>
    <t>971/.0049185</t>
  </si>
  <si>
    <t>Associations, institutions, etc., Polish -- Canada.; Electronic books. -- local; Polish people -- Canada -- Societies, etc.</t>
  </si>
  <si>
    <t>http://public.eblib.com/choice/PublicFullRecord.aspx?p=3050348</t>
  </si>
  <si>
    <t>Correspondence of Lu : Samarin and Baroness Rahden (1861-1876)</t>
  </si>
  <si>
    <t>Calder, Loren; Melichercik, Helen; Scully, Terence</t>
  </si>
  <si>
    <t>DK219.6.S35 -- A4713 1974eb</t>
  </si>
  <si>
    <t>Baltic States -- History.; Germans -- Baltic States.; Raden, Ėdita Fedorovna, -- baronessa, -- 1825-1885.; Samarin, ︠I︡U. Ḟ. -- (︠I︡Urīĭ Ḟedorovich), -- 1819-1876.</t>
  </si>
  <si>
    <t>http://public.eblib.com/choice/PublicFullRecord.aspx?p=3050349</t>
  </si>
  <si>
    <t>Something to Cry About : An Argument Against Corporal Punishment of Children in Canada</t>
  </si>
  <si>
    <t>Turner, Susan</t>
  </si>
  <si>
    <t>HQ770.4 -- .T87 2002eb</t>
  </si>
  <si>
    <t>Child abuse -- Canada.; Corporal punishment -- Canada.; Discipline of children.; Electronic books. -- local</t>
  </si>
  <si>
    <t>http://public.eblib.com/choice/PublicFullRecord.aspx?p=3050350</t>
  </si>
  <si>
    <t>Tell el-Hesi : Modern Military Trenching and Muslim Cemetery in Field I, Strata I-II</t>
  </si>
  <si>
    <t>Toombs, Lawrence</t>
  </si>
  <si>
    <t>DS110.T4 -- B58 1985eb</t>
  </si>
  <si>
    <t>Electronic books. -- local; Ḥasi Site (Israel); Intrenchments.; Islamic antiquities -- Israel.; Israel -- Antiquities.; Israel-Arab War, 1948-1949 -- Trench warfare.; Tombs -- Israel.</t>
  </si>
  <si>
    <t>http://public.eblib.com/choice/PublicFullRecord.aspx?p=3050351</t>
  </si>
  <si>
    <t>Circles of Time : Aboriginal Land Rights and Resistance in Ontario</t>
  </si>
  <si>
    <t>McNab, David T</t>
  </si>
  <si>
    <t>E78.O5 -- M236 1999eb</t>
  </si>
  <si>
    <t>Electronic books. -- local; Indian land transfers -- Ontario.; Indians of North America -- Land tenure -- Ontario.; Indians of North America -- Ontario -- Claims.; Indians of North America -- Ontario -- Government relations.</t>
  </si>
  <si>
    <t>http://public.eblib.com/choice/PublicFullRecord.aspx?p=3050352</t>
  </si>
  <si>
    <t>Readings in Eastern Religions</t>
  </si>
  <si>
    <t>Coward, J. Harold; Neufeldt, Ronald; Neumaier, Eva K.</t>
  </si>
  <si>
    <t>BL1055 -- .R42 2007eb</t>
  </si>
  <si>
    <t>China -- Religion.; Electronic books. -- local; India -- Religion.; Japan -- Religion.; Religions.</t>
  </si>
  <si>
    <t>http://public.eblib.com/choice/PublicFullRecord.aspx?p=3050353</t>
  </si>
  <si>
    <t>Desire Never Leaves : The Poetry of Tim Lilburn</t>
  </si>
  <si>
    <t>Lilburn, Tim; Calder, Alison</t>
  </si>
  <si>
    <t>PR9199.3.L514 -- D47 2007eb</t>
  </si>
  <si>
    <t>http://public.eblib.com/choice/PublicFullRecord.aspx?p=3050354</t>
  </si>
  <si>
    <t>Children of the Further Dark : The Poetry of Christopher Dewdney</t>
  </si>
  <si>
    <t>Dewdney, Christopher; Jirgens, Karl E.</t>
  </si>
  <si>
    <t>PR9199.3.D48 -- C45 2007eb</t>
  </si>
  <si>
    <t>Electronic books. -- local; English literature.; English poetry.</t>
  </si>
  <si>
    <t>http://public.eblib.com/choice/PublicFullRecord.aspx?p=3050355</t>
  </si>
  <si>
    <t>Year Inland : the Journal of a Hudson’s Bay Company Winterer</t>
  </si>
  <si>
    <t>Belyea, Barbara</t>
  </si>
  <si>
    <t>F1060.7. H46 -- A3 2000eb</t>
  </si>
  <si>
    <t>Electronic books. -- local; Fur trade -- Prairie Provinces -- History -- 18th century.; Henday, Anthony, -- fl. 1748-1755 -- Diaries.; Hudson''s Bay Company.; Northwest, Canadian -- Description and travel.</t>
  </si>
  <si>
    <t>http://public.eblib.com/choice/PublicFullRecord.aspx?p=3050356</t>
  </si>
  <si>
    <t>Between a Rock and a Hard Place : A Historical Geography of the Finns in the Sudbury Area</t>
  </si>
  <si>
    <t>Saarinen, Oiva W.</t>
  </si>
  <si>
    <t>F1059.5.S85 -- S23 1999eb</t>
  </si>
  <si>
    <t>Electronic books. -- local; Finns -- Ontario -- Sudbury Region -- History.; Sudbury Region (Ont.) -- Historical geography.</t>
  </si>
  <si>
    <t>http://public.eblib.com/choice/PublicFullRecord.aspx?p=3050357</t>
  </si>
  <si>
    <t>The Crisp Day Closing on My Hand : The Poetry of M. Travis Lane</t>
  </si>
  <si>
    <t>Lane, M. Travis; Lynes, Jeanette</t>
  </si>
  <si>
    <t>PR9199.3.L3 -- C75 2007eb</t>
  </si>
  <si>
    <t>Canadian poetry.; Electronic books. -- local; Lane, M. Travis -- (Millicent Travis), -- 1934-</t>
  </si>
  <si>
    <t>http://public.eblib.com/choice/PublicFullRecord.aspx?p=3050358</t>
  </si>
  <si>
    <t>Vulcans, Earthlings and Marketing ROI : Getting Finance, Marketing and Advertising onto the Same Planet</t>
  </si>
  <si>
    <t>Rutherford, David</t>
  </si>
  <si>
    <t>HF5415 -- .R87 2007eb</t>
  </si>
  <si>
    <t>Advertising -- Rate of return.; Brand name products -- Valuation.; Electronic books. -- local; Marketing -- Finance.; Rate of return.</t>
  </si>
  <si>
    <t>http://public.eblib.com/choice/PublicFullRecord.aspx?p=3050359</t>
  </si>
  <si>
    <t>Earthly Pages : the Poetry of Don Domanski</t>
  </si>
  <si>
    <t>Domanski, Don; Bartlett, Brian</t>
  </si>
  <si>
    <t>PR9199.3.D54 -- E37 2007eb</t>
  </si>
  <si>
    <t>Canadian poetry.; Domanski, Don.; Electronic books. -- local</t>
  </si>
  <si>
    <t>http://public.eblib.com/choice/PublicFullRecord.aspx?p=3050360</t>
  </si>
  <si>
    <t>Native Religious Traditions</t>
  </si>
  <si>
    <t>Waugh, Earle; Prithipaul, K D</t>
  </si>
  <si>
    <t>E98.R3 -- J6 1977eb</t>
  </si>
  <si>
    <t>Electronic books. -- local; Indian mythology -- North America -- Congresses.; Indians of North America -- Religion -- Congresses.; Indians of North America -- Rites and ceremonies -- Congresses.</t>
  </si>
  <si>
    <t>http://public.eblib.com/choice/PublicFullRecord.aspx?p=3050361</t>
  </si>
  <si>
    <t>Gender Bias in Scholarship : The Pervasive Prejudice</t>
  </si>
  <si>
    <t>Tomm, Winnifred; Hamilton, Gordon</t>
  </si>
  <si>
    <t>HQ1154 -- .G39 1988eb</t>
  </si>
  <si>
    <t>Electronic books. -- local; Learning and scholarship -- Congresses.; Sexism -- Congresses.</t>
  </si>
  <si>
    <t>http://public.eblib.com/choice/PublicFullRecord.aspx?p=3050362</t>
  </si>
  <si>
    <t>Mathematical History of Division in Extreme and Mean Ratio</t>
  </si>
  <si>
    <t>QA481 -- .H47 1987eb</t>
  </si>
  <si>
    <t>516.3/5</t>
  </si>
  <si>
    <t>Electronic books. -- local; Proportion.; Ratio and proportion -- History.</t>
  </si>
  <si>
    <t>http://public.eblib.com/choice/PublicFullRecord.aspx?p=3050363</t>
  </si>
  <si>
    <t>Satires et polémiques I</t>
  </si>
  <si>
    <t>Fréchette, Louis</t>
  </si>
  <si>
    <t>BX1422.Q4 -- F7431 1993eb</t>
  </si>
  <si>
    <t>Anti-clericalism -- Québec (Province); Catholic Church -- Québec (Province); Catholic Church -- Québec (Province) -- Controversial literature.; Clericalism -- Québec (Province); Liberalism -- Québec (Province); Québec (Province) -- Civilization -- 19th century.</t>
  </si>
  <si>
    <t>http://public.eblib.com/choice/PublicFullRecord.aspx?p=3050364</t>
  </si>
  <si>
    <t>Uneasy Partners : Multiculturalism and Rights in Canada</t>
  </si>
  <si>
    <t>Stein, Janice; Cameron, David Robertson; Ibbitson, John; Siddiqui, Hooran ; Valpy, Michael</t>
  </si>
  <si>
    <t>HM1271 -- .U54 2007eb</t>
  </si>
  <si>
    <t>Canada. -- Canadian Charter of Rights and Freedoms.; Civil rights -- Canada.; Multiculturalism -- Canada.</t>
  </si>
  <si>
    <t>http://public.eblib.com/choice/PublicFullRecord.aspx?p=3050365</t>
  </si>
  <si>
    <t>Troubling Tricksters : Revisioning Critical Conversations</t>
  </si>
  <si>
    <t>Reder, Deanna; Morra, Linda M.</t>
  </si>
  <si>
    <t>Literature; Social Science</t>
  </si>
  <si>
    <t>PR9188.2.I54 -- T76 2010eb</t>
  </si>
  <si>
    <t>398.2089/97</t>
  </si>
  <si>
    <t>Electronic books. -- local; Folk literature, Indian -- North America -- History and criticism.; Indians of North America -- Folklore.; Indians of North America -- Social life and customs.; Tricksters -- North America.; Tricksters in literature.</t>
  </si>
  <si>
    <t>http://public.eblib.com/choice/PublicFullRecord.aspx?p=3050366</t>
  </si>
  <si>
    <t>Verse and Worse : Selected and New Poems of Steve McCaffery 1989-2009</t>
  </si>
  <si>
    <t>McCaffery, Steve; Wershler, Darren</t>
  </si>
  <si>
    <t>PR9199.3.M29 -- V47 2010eb</t>
  </si>
  <si>
    <t>Authors, Canadian -- 20th century -- History and criticism.; Electronic books. -- local; McCaffery, Steve -- Criticism and interpretation.</t>
  </si>
  <si>
    <t>http://public.eblib.com/choice/PublicFullRecord.aspx?p=3050367</t>
  </si>
  <si>
    <t>The Global Food Crisis : Governance Challenges and Opportunities</t>
  </si>
  <si>
    <t>Clapp, Jennifer; Cohen, Marc J.</t>
  </si>
  <si>
    <t>HD9000.5 -- .G56 2009eb</t>
  </si>
  <si>
    <t>Agricultural systems.; Crops and climate -- Developing countries.; Electronic books. -- local; Food prices -- Developing countries.; Food relief -- International cooperation.; Food supply -- Developing countries.; Sustainable agriculture.</t>
  </si>
  <si>
    <t>http://public.eblib.com/choice/PublicFullRecord.aspx?p=3050368</t>
  </si>
  <si>
    <t>The Radio Eye : Cinema in the North Atlantic, 1958-1988</t>
  </si>
  <si>
    <t>White, Jerry</t>
  </si>
  <si>
    <t>P94.5.M55 -- W55 2009eb</t>
  </si>
  <si>
    <t>Electronic books. -- local; Motion pictures -- Faroe Islands -- History.; Motion pictures -- Ireland -- Gaeltacht -- History.; Motion pictures -- Newfoundland and Labrador -- History.; Motion pictures -- Québec (Province) -- History.; Vertov, Dziga, -- 1896-1954 -- Criticism and interpretation.</t>
  </si>
  <si>
    <t>http://public.eblib.com/choice/PublicFullRecord.aspx?p=3050369</t>
  </si>
  <si>
    <t>Samuel Seabury and Charles Inglis : Two Bishops, Two Churches</t>
  </si>
  <si>
    <t>Fairleigh Dickinson University Press</t>
  </si>
  <si>
    <t>Associated University Presses</t>
  </si>
  <si>
    <t>Hebb, Ross N.</t>
  </si>
  <si>
    <t>BX5005 -- .H38 2010eb</t>
  </si>
  <si>
    <t>283.092/27</t>
  </si>
  <si>
    <t>Anglican Communion -- Canada -- History.; Anglican Communion -- United States -- History.; Church of England -- Nova Scotia -- History.; Electronic books. -- local; Episcopal Church -- Connecticut -- History -- 18th century.; Inglis, Charles, -- 1734-1816.; Seabury, Samuel, -- 1729-1796.</t>
  </si>
  <si>
    <t>http://public.eblib.com/choice/PublicFullRecord.aspx?p=3115924</t>
  </si>
  <si>
    <t>Apostle to the Wilderness : Bishop John Medley and the Evolution of the Anglican Church</t>
  </si>
  <si>
    <t>Craig, Barry L.</t>
  </si>
  <si>
    <t>BX5620.M4 -- C73 2005eb</t>
  </si>
  <si>
    <t>283/.092; B</t>
  </si>
  <si>
    <t>Anglican Communion -- Canada -- Bishops -- Biography.; Church of England in Canada -- Bishops -- Biography.; Medley, John, -- 1804-1892.</t>
  </si>
  <si>
    <t>http://public.eblib.com/choice/PublicFullRecord.aspx?p=3116040</t>
  </si>
  <si>
    <t>Studio of One's Own : Fictional Women Painters and the Art of Fiction</t>
  </si>
  <si>
    <t>White, Roberta</t>
  </si>
  <si>
    <t>PR823 -- .W45 2005eb</t>
  </si>
  <si>
    <t>823/.809357</t>
  </si>
  <si>
    <t>American fiction -- History and criticism.; Art and literature -- English-speaking countries.; Canadian fiction -- History and criticism.; English fiction -- 19th century -- History and criticism.; English fiction -- 20th century -- History and criticism.; Women and literature -- English-speaking countries.; Women artists in literature.</t>
  </si>
  <si>
    <t>http://public.eblib.com/choice/PublicFullRecord.aspx?p=3116336</t>
  </si>
  <si>
    <t>Canadian Churches and the First World War</t>
  </si>
  <si>
    <t>The Lutterworth Press</t>
  </si>
  <si>
    <t>Heath, Gordon L.</t>
  </si>
  <si>
    <t>D547.C2 -- .C363 2014eb</t>
  </si>
  <si>
    <t>World War, 1914-1918 -- Canada.; World War, 1914-1918 -- Religious aspects -- Christianity.</t>
  </si>
  <si>
    <t>http://public.eblib.com/choice/PublicFullRecord.aspx?p=3328706</t>
  </si>
  <si>
    <t>Labrador Odyssey : The Journal and Photographs of Eliot Curwen on the Second Voyage of Wilfred Grenfell, 1893</t>
  </si>
  <si>
    <t>MQUP</t>
  </si>
  <si>
    <t>McGill-Queen's/Associated Medical Services Studies in the History of Medicine, Health, and Society</t>
  </si>
  <si>
    <t>Rompkey, Ronald</t>
  </si>
  <si>
    <t>F1137 -- .C87 2003eb</t>
  </si>
  <si>
    <t>971.8/202</t>
  </si>
  <si>
    <t>Curwen, Eliot.; Electronic books. -- local; Grenfell, Wilfred Thomason, -- Sir, -- 1865-1940.; Labrador (N.L.) -- History.; Labrador (N.L.) -- Social conditions.; Missions, English -- Newfoundland and Labrador -- Labrador -- History.; Missions, Medical -- Newfoundland and Labrador -- Labrador -- History.</t>
  </si>
  <si>
    <t>http://public.eblib.com/choice/PublicFullRecord.aspx?p=3330503</t>
  </si>
  <si>
    <t>Arctic Justice : On Trial for Murder, Pond Inlet, 1923</t>
  </si>
  <si>
    <t>McGill-Queen's Native and Northern Series</t>
  </si>
  <si>
    <t>Grant, Shelagh D.</t>
  </si>
  <si>
    <t>HV6535.C32</t>
  </si>
  <si>
    <t>Criminal justice, Administration of -- Nunavut -- Pond Inlet -- History.; Janes, Robert S., -- d. 1920 -- Relations with Inuit.; Murder -- Nunavut -- Baffin Island.; Pond Inlet (Nunavut) -- Ethnic relations.; Trials (Murder) -- Nunavut -- Pond Inlet.</t>
  </si>
  <si>
    <t>http://public.eblib.com/choice/PublicFullRecord.aspx?p=3330504</t>
  </si>
  <si>
    <t>Stranger Gods : Salman Rushdie's Other Worlds</t>
  </si>
  <si>
    <t>Clark, Roger Y.</t>
  </si>
  <si>
    <t>PR6068.U757 -- Z59 2001eb</t>
  </si>
  <si>
    <t>Cosmology in literature.; Fantasy fiction, English -- History and criticism.; Mysticism in literature.; Mythology in literature.; Religion in literature.; Rushdie, Salman -- Criticism and interpretation.; Supernatural in literature.</t>
  </si>
  <si>
    <t>http://public.eblib.com/choice/PublicFullRecord.aspx?p=3330505</t>
  </si>
  <si>
    <t>Cryptomimesis : The Gothic and Jacques Derrida's Ghost Writing</t>
  </si>
  <si>
    <t>B2430.D483</t>
  </si>
  <si>
    <t>Deconstruction.; Derrida, Jacques.; Gothic literature.</t>
  </si>
  <si>
    <t>http://public.eblib.com/choice/PublicFullRecord.aspx?p=3330506</t>
  </si>
  <si>
    <t>Methodist Church on the Prairies, 1896-1914</t>
  </si>
  <si>
    <t>McGill-Queen's Studies in the History of Religion</t>
  </si>
  <si>
    <t>Emery, George</t>
  </si>
  <si>
    <t>BX8252.P7</t>
  </si>
  <si>
    <t>Methodist Church (Canada) -- Prairie Provinces -- History.; Prairie Provinces -- Church history.; Prairie Provinces -- Social conditions.</t>
  </si>
  <si>
    <t>http://public.eblib.com/choice/PublicFullRecord.aspx?p=3330507</t>
  </si>
  <si>
    <t>Songs for Fat People : Affect, Emotion, and Celebrity in the Russian Popular Song, 1900-1955</t>
  </si>
  <si>
    <t>MacFadyen, David</t>
  </si>
  <si>
    <t>ML3497</t>
  </si>
  <si>
    <t>Chanteurs -- URSS -- Biographies.; Musique populaire -- Aspect social -- URSS.; Musique populaire -- Russie -- 20e siècle -- Histoire et critique.; Musique populaire -- URSS -- Histoire et critique.; Popular music -- Social aspects -- Soviet Union.; Popular music -- Soviet Union -- History and criticism.; Singers -- Soviet Union -- Biography.</t>
  </si>
  <si>
    <t>http://public.eblib.com/choice/PublicFullRecord.aspx?p=3330508</t>
  </si>
  <si>
    <t>Reading Nelligan</t>
  </si>
  <si>
    <t>Talbot, Émile J.</t>
  </si>
  <si>
    <t>PQ3919.N4</t>
  </si>
  <si>
    <t>Nelligan, Émile, -- 1879-1941 -- Criticism and interpretation.; Nelligan, Émile, -- 1879-1941 -- Critique et interprétation.</t>
  </si>
  <si>
    <t>http://public.eblib.com/choice/PublicFullRecord.aspx?p=3330509</t>
  </si>
  <si>
    <t>Knowledge Matters : Essays in Honour of Bernard J. Shapiro</t>
  </si>
  <si>
    <t>Axelrod, Paul</t>
  </si>
  <si>
    <t>LA417.5</t>
  </si>
  <si>
    <t>Education, Higher -- Canada -- Congresses.; Education, Higher -- Congresses.</t>
  </si>
  <si>
    <t>http://public.eblib.com/choice/PublicFullRecord.aspx?p=3330510</t>
  </si>
  <si>
    <t>Self, Nation, Text in Salman Rushdie's Midnight Children</t>
  </si>
  <si>
    <t>McGill-Queen's University Press</t>
  </si>
  <si>
    <t>ten Kortenaar, Neil</t>
  </si>
  <si>
    <t>PR6068.U757 -- M5338 2004eb</t>
  </si>
  <si>
    <t>India -- In literature.; Nationalism in literature.; Rushdie, Salman. -- Midnight''s children.; Self in literature.</t>
  </si>
  <si>
    <t>http://public.eblib.com/choice/PublicFullRecord.aspx?p=3330511</t>
  </si>
  <si>
    <t>Blood and Religion : The Conscience of Henri IV, 1553-1593</t>
  </si>
  <si>
    <t>Love, R.</t>
  </si>
  <si>
    <t>DC122.8 -- .L68 2001eb</t>
  </si>
  <si>
    <t>944/.031/092; B</t>
  </si>
  <si>
    <t>France -- History -- Henry IV, 1589-1610.; France -- Kings and rulers -- Biography.; Henry -- IV, -- King of France, -- 1553-1610.; Religion and politics -- France -- History -- 16th century.; Religion et politique -- France -- Histoire -- 16e si?ecle.</t>
  </si>
  <si>
    <t>http://public.eblib.com/choice/PublicFullRecord.aspx?p=3330512</t>
  </si>
  <si>
    <t>Enabling Engagements : Edmund Spenser and the Poetics of Patronage</t>
  </si>
  <si>
    <t>Owens, Judith</t>
  </si>
  <si>
    <t>PR2363</t>
  </si>
  <si>
    <t>Authors and patrons -- England -- History -- 16th century.; Literary patrons -- Great Britain.; Spenser, Edmund, -- 1552?-1599 -- Authorship.; Spenser, Edmund, -- 1552?-1599 -- Relations with literary patrons.</t>
  </si>
  <si>
    <t>http://public.eblib.com/choice/PublicFullRecord.aspx?p=3330513</t>
  </si>
  <si>
    <t>Living Rhythms : Lessons in Aboriginal Resilience and Vision</t>
  </si>
  <si>
    <t>McGill-Queen’s Native and Northen Series</t>
  </si>
  <si>
    <t>Wuttunee, Wanda</t>
  </si>
  <si>
    <t>E78.C2 -- W96 2004eb</t>
  </si>
  <si>
    <t>330/.089/97071</t>
  </si>
  <si>
    <t>Community development -- Canada.; Indian business enterprises -- Canada.; Indians of North America -- Canada -- Economic conditions.</t>
  </si>
  <si>
    <t>http://public.eblib.com/choice/PublicFullRecord.aspx?p=3330514</t>
  </si>
  <si>
    <t>Leo : A Life</t>
  </si>
  <si>
    <t>Kolber, Leo; MacDonald, L. Ian</t>
  </si>
  <si>
    <t>FC636.K64 -- A3 2003eb</t>
  </si>
  <si>
    <t>328.71/092</t>
  </si>
  <si>
    <t>Bronfman family.; Businessmen -- Canada -- Biography.; Canada. -- Parliament. -- Senate -- Biography.; Directors of corporations -- Canada -- Biography.; Electronic books. -- local; Kolber, Leo.</t>
  </si>
  <si>
    <t>http://public.eblib.com/choice/PublicFullRecord.aspx?p=3330515</t>
  </si>
  <si>
    <t>Delayed Impact : The Holocaust and the Canadian Jewish Community</t>
  </si>
  <si>
    <t>Bialystok, Franklin</t>
  </si>
  <si>
    <t>F1035.J5</t>
  </si>
  <si>
    <t>Holocaust, Jewish (1939-1945) -- Influence.; Jews -- Canada -- Attitudes.; Jews -- Canada -- History -- 20th century.</t>
  </si>
  <si>
    <t>http://public.eblib.com/choice/PublicFullRecord.aspx?p=3330516</t>
  </si>
  <si>
    <t>Canada and the Ukrainian Question, 1939-1945 : A Study in Statecraft</t>
  </si>
  <si>
    <t>McGill-Queen's Studies in Ethnic History</t>
  </si>
  <si>
    <t>Kordan, Bohdan S.</t>
  </si>
  <si>
    <t>F1035.U5</t>
  </si>
  <si>
    <t>Canada -- Politics and government -- 1914-1945.; Self-determination, National -- Ukraine.; Ukraine -- History -- Autonomy and independence movements.; Ukrainians -- Government policy -- Canada.; World War, 1939-1945 -- Territorial questions -- Ukraine.</t>
  </si>
  <si>
    <t>http://public.eblib.com/choice/PublicFullRecord.aspx?p=3330517</t>
  </si>
  <si>
    <t>Women in the Canadian Academic Tundra : Challenging the Chill</t>
  </si>
  <si>
    <t>Hannah, Elena; Paul, Linda; Vethamany-Globus, Swani</t>
  </si>
  <si>
    <t>LB2332.34.C2</t>
  </si>
  <si>
    <t>Electronic books. -- local; Sex discrimination in higher education -- Canada.; Women college teachers -- Canada.</t>
  </si>
  <si>
    <t>http://public.eblib.com/choice/PublicFullRecord.aspx?p=3330518</t>
  </si>
  <si>
    <t>Critical Political Studies : Debates and Dialogues from the Left</t>
  </si>
  <si>
    <t>Bakan, Abigail B.; MacDonald, Eleanor; MacDonald, Eleanor</t>
  </si>
  <si>
    <t>JA66</t>
  </si>
  <si>
    <t>Economic history -- 1990-; Electronic books. -- local; Political science -- History -- 20th century.; World politics -- 1989-</t>
  </si>
  <si>
    <t>http://public.eblib.com/choice/PublicFullRecord.aspx?p=3330519</t>
  </si>
  <si>
    <t>Dead Boys Can't Dance : Sexual Orientation, Masculinity, and Suicide</t>
  </si>
  <si>
    <t>Dorais, Michel; Lajeunesse, Simon Louis; Tremblay, Pierre</t>
  </si>
  <si>
    <t>HV6545.4</t>
  </si>
  <si>
    <t>Boys -- Suicidal behavior -- Québec (Province); Garçons -- Comportement suicidaire -- Québec (Province); Gay youth -- Suicidal behavior -- Québec (Province); Homosexuality -- Psychological aspects.; Jeunes homosexuels -- Comportement suicidaire -- Québec (Province); Suicide -- Prevention.; Suicide -- Prévention.</t>
  </si>
  <si>
    <t>http://public.eblib.com/choice/PublicFullRecord.aspx?p=3330520</t>
  </si>
  <si>
    <t>Orthodoxy and Enlightenment : George Campbell in the Eighteenth Century</t>
  </si>
  <si>
    <t>McGill-Queen's Studies in the History of Ideas</t>
  </si>
  <si>
    <t>Suderman, Jeffrey M.</t>
  </si>
  <si>
    <t>B1409.C36</t>
  </si>
  <si>
    <t>Campbell, George, -- 1719-1796.; Enlightenment -- Scotland.; Philosophers -- Scotland -- Biography.; Scotland -- Intellectual life -- 18th century.; Theologians -- Scotland -- Biography.</t>
  </si>
  <si>
    <t>http://public.eblib.com/choice/PublicFullRecord.aspx?p=3330521</t>
  </si>
  <si>
    <t>From Lowbrow to Nobrow</t>
  </si>
  <si>
    <t>Swirski, Peter</t>
  </si>
  <si>
    <t>PN56.P55</t>
  </si>
  <si>
    <t>Čapek, Karel, -- 1890-1938. -- Válka s mloky.; Chandler, Raymond, -- 1888-1959. -- Playback.; Electronic books. -- local; Fiction -- 20th century -- History and criticism.; Lem, Stanisław. -- Katar.; Popular literature -- History and criticism.</t>
  </si>
  <si>
    <t>http://public.eblib.com/choice/PublicFullRecord.aspx?p=3330522</t>
  </si>
  <si>
    <t>White Man's Gonna Getcha : The Colonial Challenge to the Crees in Quebec</t>
  </si>
  <si>
    <t>Morantz, Toby</t>
  </si>
  <si>
    <t>E99.C88</t>
  </si>
  <si>
    <t>Cree Indians -- James Bay Region -- Government relations.; Cree Indians -- James Bay Region -- History.; Cree Indians -- Québec (Province) -- Nord-du-Québec -- Government relations.; Cree Indians -- Québec (Province) -- Nord-du-Québec -- History.; Cris (Indiens) -- James, Région de la baie -- Histoire.; Cris (Indiens) -- James, Région de la baie -- Relations avec l''État.; Cris (Indiens) -- Québec (Province) -- Nord-du-Québec -- Histoire.</t>
  </si>
  <si>
    <t>http://public.eblib.com/choice/PublicFullRecord.aspx?p=3330523</t>
  </si>
  <si>
    <t>Speculative Fictions : Contemporary Canadian Novelists and the Writing of History</t>
  </si>
  <si>
    <t>PR9192.6.H5</t>
  </si>
  <si>
    <t>Canadian fiction -- 20th century -- History and criticism.; Historical fiction, Canadian -- History and criticism.; Literature and history -- Canada -- History -- 20th century.</t>
  </si>
  <si>
    <t>http://public.eblib.com/choice/PublicFullRecord.aspx?p=3330524</t>
  </si>
  <si>
    <t>Postmodernism and the Ethical Subject</t>
  </si>
  <si>
    <t>Gabriel, Barbara; Ilcan, Suzan</t>
  </si>
  <si>
    <t>BJ319 -- .P68 2004eb</t>
  </si>
  <si>
    <t>Electronic books. -- local; Ethics, Modern -- 20th century.; Postmodernism.</t>
  </si>
  <si>
    <t>http://public.eblib.com/choice/PublicFullRecord.aspx?p=3330525</t>
  </si>
  <si>
    <t>Whiplash and Other Useful Illnesses</t>
  </si>
  <si>
    <t>Malleson, Andrew</t>
  </si>
  <si>
    <t>Health; Medicine</t>
  </si>
  <si>
    <t>RD533.5</t>
  </si>
  <si>
    <t>Médecine légale -- Canada.; Medical care, Cost of -- Canada.; Medical jurisprudence -- Canada.; Personal injuries -- Canada.; Syndrome cervical traumatique -- Traitement -- Canada.; Whiplash injuries -- Social aspects -- Canada.; Whiplash injuries -- Treatment -- Canada.</t>
  </si>
  <si>
    <t>http://public.eblib.com/choice/PublicFullRecord.aspx?p=3330526</t>
  </si>
  <si>
    <t>Ahmadis : Community, Gender, and Politics in a Muslim Society</t>
  </si>
  <si>
    <t>Gualtieri, Antonio</t>
  </si>
  <si>
    <t>BP195.A5</t>
  </si>
  <si>
    <t>Ahmadiyya -- Pakistan.; Ahmadiyya members -- Pakistan.; Ahmadiyya.; Ahmadiyya.</t>
  </si>
  <si>
    <t>http://public.eblib.com/choice/PublicFullRecord.aspx?p=3330527</t>
  </si>
  <si>
    <t>Marshall Decision and Native Rights : The Marshall Decision and Mi'kmaq Rights in the Maritimes</t>
  </si>
  <si>
    <t>Coates, Ken</t>
  </si>
  <si>
    <t>KE7722.H8</t>
  </si>
  <si>
    <t>Indians of North America -- Canada -- Claims.; Indians of North America -- Fishing -- Law and legislation -- Maritime Provinces.; Micmac Indians -- Government relations.; Micmac Indians -- Legal status, laws, etc. -- Maritime Provinces.</t>
  </si>
  <si>
    <t>http://public.eblib.com/choice/PublicFullRecord.aspx?p=3330528</t>
  </si>
  <si>
    <t>Physician's Guide to Coping with Death and Dying</t>
  </si>
  <si>
    <t>Swanson MD, Jan</t>
  </si>
  <si>
    <t>R726.8</t>
  </si>
  <si>
    <t>Electronic books. -- local; Physician and patient.; Terminal care.</t>
  </si>
  <si>
    <t>http://public.eblib.com/choice/PublicFullRecord.aspx?p=3330529</t>
  </si>
  <si>
    <t>Contemplation and Incarnation : The Theology of Marie-Dominique Chenu</t>
  </si>
  <si>
    <t>Potworowski, Christophe F.</t>
  </si>
  <si>
    <t>BX4705.C46358</t>
  </si>
  <si>
    <t>Catholic Church -- Doctrines.; Chenu, Marie-Dominique, -- 1895-1990 -- Bibliography.; Chenu, Marie-Dominique, -- 1895-1990.; Incarnation.</t>
  </si>
  <si>
    <t>http://public.eblib.com/choice/PublicFullRecord.aspx?p=3330531</t>
  </si>
  <si>
    <t>Do Think Tanks Matter? : Assessing the Impact of Public Policy Institutes</t>
  </si>
  <si>
    <t>Abelson, Donald E.</t>
  </si>
  <si>
    <t>H97 -- .A24 2002eb</t>
  </si>
  <si>
    <t>320/.6/072073</t>
  </si>
  <si>
    <t>Policy sciences.; Research institutes -- Canada.; Research institutes -- United States.</t>
  </si>
  <si>
    <t>http://public.eblib.com/choice/PublicFullRecord.aspx?p=3330532</t>
  </si>
  <si>
    <t>Le Carré's Landscape</t>
  </si>
  <si>
    <t>Hoffman, Tod</t>
  </si>
  <si>
    <t>PR6062.E42</t>
  </si>
  <si>
    <t>Canadian Security Intelligence Service.; Electronic books. -- local; Intelligence service.; Le Carré, John, -- 1931- -- Criticism and interpretation.</t>
  </si>
  <si>
    <t>http://public.eblib.com/choice/PublicFullRecord.aspx?p=3330533</t>
  </si>
  <si>
    <t>Judicial Power and Canadian Democracy</t>
  </si>
  <si>
    <t>Howe, Paul; Russell, Peter H.</t>
  </si>
  <si>
    <t>KE4775</t>
  </si>
  <si>
    <t>Democracy -- Canada -- Congresses.; Judicial power -- Canada -- Congresses.; Political questions and judicial power -- Canada -- Congresses.</t>
  </si>
  <si>
    <t>http://public.eblib.com/choice/PublicFullRecord.aspx?p=3330534</t>
  </si>
  <si>
    <t>NATO and the Bomb : Canadian Defenders Confront Critics</t>
  </si>
  <si>
    <t>Simpson, Erika</t>
  </si>
  <si>
    <t>UA646.5.C3 -- S545 2001eb</t>
  </si>
  <si>
    <t>355/.033571</t>
  </si>
  <si>
    <t>Canada -- Military policy.; Electronic books. -- local; North Atlantic Treaty Organization -- Canada.; Nuclear weapons -- Government policy -- Canada.</t>
  </si>
  <si>
    <t>http://public.eblib.com/choice/PublicFullRecord.aspx?p=3330535</t>
  </si>
  <si>
    <t>Depth Psychology, Interpretation, and the Bible : An Ontological Essay on Freud</t>
  </si>
  <si>
    <t>Polka, Brayton</t>
  </si>
  <si>
    <t>BF175.4.R44</t>
  </si>
  <si>
    <t>Bible -- Criticism, interpretation, etc.; Freud, Sigmund, -- 1856-1939.; Psychoanalysis and religion.</t>
  </si>
  <si>
    <t>http://public.eblib.com/choice/PublicFullRecord.aspx?p=3330536</t>
  </si>
  <si>
    <t>Market Rules : Economic Union Reform and Intergovernmental Policy-Making in Australia and Canada</t>
  </si>
  <si>
    <t>Brown, Douglas M.</t>
  </si>
  <si>
    <t>HD87</t>
  </si>
  <si>
    <t>Australia -- Economic policy.; Canada -- Economic policy.; Electronic books. -- local; Federal government -- Australia.; Federal government -- Canada.; Globalization.</t>
  </si>
  <si>
    <t>http://public.eblib.com/choice/PublicFullRecord.aspx?p=3330537</t>
  </si>
  <si>
    <t>Leviathan Transformed : Seven National States in the New Century</t>
  </si>
  <si>
    <t>Comparative Charting of Social Change</t>
  </si>
  <si>
    <t>Caplow, Theodore</t>
  </si>
  <si>
    <t>JC311</t>
  </si>
  <si>
    <t>Comparative government.; Electronic books. -- local; Political science.</t>
  </si>
  <si>
    <t>http://public.eblib.com/choice/PublicFullRecord.aspx?p=3330538</t>
  </si>
  <si>
    <t>Free Trade : Risks and Rewards</t>
  </si>
  <si>
    <t>MacDonald, Ian; Morton, Desmond</t>
  </si>
  <si>
    <t>HF1766 -- .F74 2000eb</t>
  </si>
  <si>
    <t>382/.917</t>
  </si>
  <si>
    <t>Canada -- Foreign economic relations -- United States -- Congresses.; Canada. -- Treaties, etc. -- (1992 Oct. 7) -- Congresses.; Free trade -- Canada -- Congresses.; Free trade -- United States -- Congresses.; Libre-échange -- Amérique du Nord -- Congrès.; Libre-échange -- Canada -- Congrès.; United States -- Foreign economic relations -- Canada -- Congresses.</t>
  </si>
  <si>
    <t>http://public.eblib.com/choice/PublicFullRecord.aspx?p=3330539</t>
  </si>
  <si>
    <t>Selection of Modern Italian Poetry in Translation</t>
  </si>
  <si>
    <t>Payne, Roberta  L.</t>
  </si>
  <si>
    <t>PQ4225.E8</t>
  </si>
  <si>
    <t>Italian poetry -- 19th century -- Translations into English.; Italian poetry -- 20th century -- Translations into English.</t>
  </si>
  <si>
    <t>http://public.eblib.com/choice/PublicFullRecord.aspx?p=3330540</t>
  </si>
  <si>
    <t>Alone in Silence : European Women in the Canadian North Before 1940</t>
  </si>
  <si>
    <t>Kelcey, Barbara E..</t>
  </si>
  <si>
    <t>HQ1459.N65 -- K45 2001eb</t>
  </si>
  <si>
    <t>Canada, Northern -- Social conditions.; Electronic books. -- local; Europeans -- Canada, Northern -- History.; Frontier and pioneer life -- Northwest Territories.; Northwest Territories -- History.; Women, White -- Canada, Northern -- History.</t>
  </si>
  <si>
    <t>http://public.eblib.com/choice/PublicFullRecord.aspx?p=3330541</t>
  </si>
  <si>
    <t>How Ottawa Spends, 2004-2005 : Mandate Change and Continuity in the Paul Martin Era</t>
  </si>
  <si>
    <t>How Ottawa Spends Series</t>
  </si>
  <si>
    <t>Doern, G Bruce</t>
  </si>
  <si>
    <t>HJ7662</t>
  </si>
  <si>
    <t>Canada -- Appropriations and expenditures.; Electronic books. -- local; Government spending policy -- Canada.</t>
  </si>
  <si>
    <t>http://public.eblib.com/choice/PublicFullRecord.aspx?p=3330542</t>
  </si>
  <si>
    <t>Modernity and the Dilemma of North American Anglican Identities, 1880-1950</t>
  </si>
  <si>
    <t>Katerberg, William</t>
  </si>
  <si>
    <t>BX5610</t>
  </si>
  <si>
    <t>Anglican Church of Canada -- Clergy -- Biography.; Anglican Church of Canada -- History.; Episcopal Church -- Clergy -- Biography.; Episcopal Church -- History.; Modernism (Christian theology) -- Anglican Church of Canada.; Modernism (Christian theology) -- Episcopal Church.</t>
  </si>
  <si>
    <t>http://public.eblib.com/choice/PublicFullRecord.aspx?p=3330543</t>
  </si>
  <si>
    <t>Northern Experience and the Myths of Canadian Culture</t>
  </si>
  <si>
    <t>Hulan, Renée</t>
  </si>
  <si>
    <t>PR9185.2</t>
  </si>
  <si>
    <t>Arctic regions -- In literature.; Canada, Northern -- In literature.; Canadian literature -- History and criticism.; Inuit in literature.; Myth in literature.; National characteristics, Canadian, in literature.</t>
  </si>
  <si>
    <t>http://public.eblib.com/choice/PublicFullRecord.aspx?p=3330544</t>
  </si>
  <si>
    <t>Immigrants and the Labour Force : Policy, Regulation, and Impact</t>
  </si>
  <si>
    <t>Pendakur, Ravi</t>
  </si>
  <si>
    <t>HD8108.5.A2</t>
  </si>
  <si>
    <t>Canada -- Emigration and immigration -- Government policy.; Foreign workers -- Canada.; Immigrants -- Canada -- Economic conditions.</t>
  </si>
  <si>
    <t>http://public.eblib.com/choice/PublicFullRecord.aspx?p=3330545</t>
  </si>
  <si>
    <t>Rewriting Germany from the Margins : “Other” German Literature of the 1980s and 1990s</t>
  </si>
  <si>
    <t>Fachinger, Petra</t>
  </si>
  <si>
    <t>PT405</t>
  </si>
  <si>
    <t>German literature -- 20th century -- History and criticism.; German literature -- Minority authors -- History and criticism.</t>
  </si>
  <si>
    <t>http://public.eblib.com/choice/PublicFullRecord.aspx?p=3330546</t>
  </si>
  <si>
    <t>West Indians of Costa Rica : Race, Class, and the Integration of an Ethnic Minority</t>
  </si>
  <si>
    <t>Harpelle, Ronald  N.</t>
  </si>
  <si>
    <t>F1549.L55</t>
  </si>
  <si>
    <t>Blacks -- Costa Rica -- Limón (Province) -- History -- 20th century.; Blacks -- Cultural assimilation -- Costa Rica -- Limón (Province) -- History -- 20th century.; Foreign workers, West Indian -- Costa Rica -- Limón (Province) -- History -- 20th century.; Limón (Costa Rica : Province) -- Race relations.; Racism -- Costa Rica -- History -- 20th century.; West Indians -- Costa Rica -- Limón (Province) -- History -- 20th century.</t>
  </si>
  <si>
    <t>http://public.eblib.com/choice/PublicFullRecord.aspx?p=3330547</t>
  </si>
  <si>
    <t>Visions of Canada : The Alan B. Plaunt Memorial Lectures, 1958 - 1992</t>
  </si>
  <si>
    <t>Ostry, Bernard; Yalden, Janice</t>
  </si>
  <si>
    <t>F1034.2</t>
  </si>
  <si>
    <t>Canada -- Conditions économiques -- 1945-; Canada -- Economic conditions -- 1945-; Canada -- Foreign relations -- 1945-; Canada -- Intellectual life -- 20th century.; Canada -- Politics and government -- 1945-; Canada -- Politique et gouvernement -- 1935-; Canada -- Vie intellectuelle -- 20e siècle.</t>
  </si>
  <si>
    <t>http://public.eblib.com/choice/PublicFullRecord.aspx?p=3330548</t>
  </si>
  <si>
    <t>Anatomy of a Seance : A History of Spirit Communication in Central Canada, 1850-1950</t>
  </si>
  <si>
    <t>McMullin, Stanley Edward</t>
  </si>
  <si>
    <t>BF1242.C2 -- M36 2004eb</t>
  </si>
  <si>
    <t>133.9/1/092271</t>
  </si>
  <si>
    <t>Seances -- Canada -- History.; Séances de spiritism -- Canada -- Histoire.; Spirites -- Canada -- Biographies.; Spiritisme -- Canada -- Histoire.; Spiritualism -- Canada -- History.; Spiritualists -- Canada -- Biography.</t>
  </si>
  <si>
    <t>http://public.eblib.com/choice/PublicFullRecord.aspx?p=3330549</t>
  </si>
  <si>
    <t>Hungochani : The History of a Dissident Sexuality in Southern Africa</t>
  </si>
  <si>
    <t>Epprecht, Marc</t>
  </si>
  <si>
    <t>HQ76.3.A356</t>
  </si>
  <si>
    <t>Homosexualité -- Afrique australe.; Homosexualité masculine -- Afrique australe -- Histoire.; Homosexuality -- Africa, Southern.; Male homosexuality -- Africa, Southern -- History.</t>
  </si>
  <si>
    <t>http://public.eblib.com/choice/PublicFullRecord.aspx?p=3330550</t>
  </si>
  <si>
    <t>From Bourassa to Bourassa : Wilderness to Restoration</t>
  </si>
  <si>
    <t>MacDonald, Ian</t>
  </si>
  <si>
    <t>F1053.25.B68</t>
  </si>
  <si>
    <t>Bourassa, Robert, -- 1933-1996.; Canada -- Politics and government -- 1945-; Parti libéral du Québec.; Politicians -- Québec (Province) -- Biography.; Québec (Province) -- Politics and government -- 1960-; Ryan, Claude.</t>
  </si>
  <si>
    <t>http://public.eblib.com/choice/PublicFullRecord.aspx?p=3330551</t>
  </si>
  <si>
    <t>Classroom and Empire : The Politics of Schooling Russia's Eastern Nationalities, 1860-1917</t>
  </si>
  <si>
    <t>Dowler, Wayne</t>
  </si>
  <si>
    <t>LA831.8</t>
  </si>
  <si>
    <t>Education -- Asiatic Russia -- History -- 19th century.; Education -- Asiatic Russia -- History -- 20th century.; Electronic books. -- local; Nationalism and education -- Asiatic Russia.</t>
  </si>
  <si>
    <t>http://public.eblib.com/choice/PublicFullRecord.aspx?p=3330552</t>
  </si>
  <si>
    <t>Between Literature and Science : Poe, Lem and Explorations in Aesthetics, Cognitive Science, and Literary Knowledge</t>
  </si>
  <si>
    <t>PS2642.S3</t>
  </si>
  <si>
    <t>Aesthetics, American.; Cognitive science.; Lem, Stanisław -- Knowledge -- Science.; Literature and science.; Poe, Edgar Allan, -- 1809-1849 -- Knowledge -- Science.; Poe, Edgar Allan, -- 1809-1849. -- Eureka.; Poe, Edgar Allan, -- 1809-1849. -- Purloined letter.</t>
  </si>
  <si>
    <t>http://public.eblib.com/choice/PublicFullRecord.aspx?p=3330553</t>
  </si>
  <si>
    <t>Canada and the Idea of North</t>
  </si>
  <si>
    <t>Grace, Sherrill E.</t>
  </si>
  <si>
    <t>F1090.5</t>
  </si>
  <si>
    <t>Canada (Nord) dans la littérature.; Canada (Nord) dans l''art.; Canada, Northern -- In art.; Canada, Northern -- In literature.; Canada, Northern.; Canadiens.; National characteristics, Canadian.</t>
  </si>
  <si>
    <t>http://public.eblib.com/choice/PublicFullRecord.aspx?p=3330554</t>
  </si>
  <si>
    <t>University : International Expectations</t>
  </si>
  <si>
    <t>Alexander, King; Alexander, Kern</t>
  </si>
  <si>
    <t>LB2322.2</t>
  </si>
  <si>
    <t>Education, Higher -- Aims and objectives.; Education, Higher.</t>
  </si>
  <si>
    <t>http://public.eblib.com/choice/PublicFullRecord.aspx?p=3330555</t>
  </si>
  <si>
    <t>Authors and Audiences : Popular Canadian Fiction in the Early Twentieth Century</t>
  </si>
  <si>
    <t>Karr, Clarence</t>
  </si>
  <si>
    <t>PR9192.5</t>
  </si>
  <si>
    <t>Authors and readers -- Canada -- History -- 20th century.; Canadian fiction -- 20th century -- History and criticism.; Popular culture -- Canada -- History -- 20th century.; Popular literature -- Canada -- History and criticism.</t>
  </si>
  <si>
    <t>http://public.eblib.com/choice/PublicFullRecord.aspx?p=3330556</t>
  </si>
  <si>
    <t>Between State and Market : Essays on Charities Law and Policy in Canada</t>
  </si>
  <si>
    <t>Phillips, Jim; Chapman, Bruce; Stevens, David</t>
  </si>
  <si>
    <t>KE3542.Z85 -- B48 2001eb</t>
  </si>
  <si>
    <t>346.71/064</t>
  </si>
  <si>
    <t>Charitable uses, trusts, and foundations -- Canada -- Congresses.</t>
  </si>
  <si>
    <t>http://public.eblib.com/choice/PublicFullRecord.aspx?p=3330557</t>
  </si>
  <si>
    <t>In the Chamber of Risks : Understanding Risk Controversies</t>
  </si>
  <si>
    <t>HD30.255</t>
  </si>
  <si>
    <t>Environmental policy -- Canada -- Case studies.; Environmental risk assessment -- Canada -- Case studies.; Environnement -- Évaluation du risque -- Canada -- Cas, Études de.; Health risk assessment -- Canada -- Case studies.; Industrial management -- Environmental aspects -- Canada -- Case studies.; Risk management -- Canada -- Case studies.; Risques pour la santé -- Évaluation -- Canada -- Cas, Études de.</t>
  </si>
  <si>
    <t>http://public.eblib.com/choice/PublicFullRecord.aspx?p=3330558</t>
  </si>
  <si>
    <t>Reconceiving Midwifery</t>
  </si>
  <si>
    <t>Bourgeault, Ivy  Lynn; Benoit, Cecilia</t>
  </si>
  <si>
    <t>RG963.C3</t>
  </si>
  <si>
    <t>Electronic books. -- local; Midwifery -- Canada -- History.; Midwifery -- Canada.</t>
  </si>
  <si>
    <t>http://public.eblib.com/choice/PublicFullRecord.aspx?p=3330559</t>
  </si>
  <si>
    <t>Quebec Identity : The Challenge of Pluralism</t>
  </si>
  <si>
    <t>Maclure, Jocelyn</t>
  </si>
  <si>
    <t>F1055.A1</t>
  </si>
  <si>
    <t>Canadiens français -- Québec (Province) -- Identité ethnique.; Cultural pluralism -- Québec (Province); Ethnicity -- Québec (Province); French-Canadians -- Québec (Province) -- Ethnic identity.; Multiculturalism -- Québec (Province); Nationalism -- Québec (Province); Pluralisme -- Québec (Province)</t>
  </si>
  <si>
    <t>http://public.eblib.com/choice/PublicFullRecord.aspx?p=3330560</t>
  </si>
  <si>
    <t>Censorship in Canadian Literature</t>
  </si>
  <si>
    <t>Cohen, Mark</t>
  </si>
  <si>
    <t>PN156</t>
  </si>
  <si>
    <t>Canadian fiction -- 20th century -- History and criticism.; Censorship -- Canada.; Censorship in literature.</t>
  </si>
  <si>
    <t>http://public.eblib.com/choice/PublicFullRecord.aspx?p=3330562</t>
  </si>
  <si>
    <t>With Skilful Hand : The Story of King David</t>
  </si>
  <si>
    <t>Barnard, David T.</t>
  </si>
  <si>
    <t>BS580.D3 -- B26 2004eb</t>
  </si>
  <si>
    <t>222/.4092</t>
  </si>
  <si>
    <t>David, -- King of Israel.</t>
  </si>
  <si>
    <t>http://public.eblib.com/choice/PublicFullRecord.aspx?p=3330563</t>
  </si>
  <si>
    <t>In Search of Cinema : Writings on International Film Art</t>
  </si>
  <si>
    <t>Cardullo, Bert; Gilman, Richard</t>
  </si>
  <si>
    <t>PN1994</t>
  </si>
  <si>
    <t>Electronic books. -- local; Motion pictures -- History.; Motion pictures -- Reviews.</t>
  </si>
  <si>
    <t>http://public.eblib.com/choice/PublicFullRecord.aspx?p=3330564</t>
  </si>
  <si>
    <t>Red Stars : Personality and the Soviet Popular Song, 1955-1991</t>
  </si>
  <si>
    <t>Chanteurs -- URSS -- Biographies.; Musique populaire -- Aspect social -- URSS.; Musique populaire -- URSS -- Histoire et critique.; Popular music -- Social aspects -- Soviet Union.; Popular music -- Soviet Union -- History and criticism.; Singers -- Soviet Union -- Biography.</t>
  </si>
  <si>
    <t>http://public.eblib.com/choice/PublicFullRecord.aspx?p=3330565</t>
  </si>
  <si>
    <t>Britain, France, and the Financing of the First World War</t>
  </si>
  <si>
    <t>Horn, Martin</t>
  </si>
  <si>
    <t>HJ1023</t>
  </si>
  <si>
    <t>Guerre mondiale, 1914-1918 -- Finances -- France.; Guerre mondiale, 1914-1918 -- Finances -- Grande-Bretagne.; World War, 1914-1918 -- Finance -- France.; World War, 1914-1918 -- Finance -- Great Britain.</t>
  </si>
  <si>
    <t>http://public.eblib.com/choice/PublicFullRecord.aspx?p=3330566</t>
  </si>
  <si>
    <t>Subaltern Appeal to Experience : Self-Identity, Late Modernity, and the Politics of Immediacy</t>
  </si>
  <si>
    <t>Ireland, Craig</t>
  </si>
  <si>
    <t>D16.9</t>
  </si>
  <si>
    <t>Experience.; Historicism.; History -- Philosophy.</t>
  </si>
  <si>
    <t>http://public.eblib.com/choice/PublicFullRecord.aspx?p=3330567</t>
  </si>
  <si>
    <t>Fate of the Nation State</t>
  </si>
  <si>
    <t>Seymour, Michel</t>
  </si>
  <si>
    <t>Nation-state.</t>
  </si>
  <si>
    <t>http://public.eblib.com/choice/PublicFullRecord.aspx?p=3330568</t>
  </si>
  <si>
    <t>Medieval Arts Doctrines on Ambiguity and Their Place in Langland's Poetics</t>
  </si>
  <si>
    <t>Chamberlin, J.</t>
  </si>
  <si>
    <t>PR2017.A53 -- C48 2000eb</t>
  </si>
  <si>
    <t>821/.1</t>
  </si>
  <si>
    <t>Aesthetics, Medieval.; Ambiguity in literature.; Langland, William, -- 1330?-1400? -- Aesthetics.; Langland, William, -- 1330?-1400? -- Piers Plowman.; Poetics -- History -- To 1500.</t>
  </si>
  <si>
    <t>http://public.eblib.com/choice/PublicFullRecord.aspx?p=3330569</t>
  </si>
  <si>
    <t>Herder on Nationality, Humanity, and History</t>
  </si>
  <si>
    <t>Barnard, Frederick M.</t>
  </si>
  <si>
    <t>B3051.Z7</t>
  </si>
  <si>
    <t>Herder, Johann Gottfried, -- 1744-1803.; History -- Philosophy.; Political science -- History -- 18th century.</t>
  </si>
  <si>
    <t>http://public.eblib.com/choice/PublicFullRecord.aspx?p=3330570</t>
  </si>
  <si>
    <t>Hanna's Diary, 1938-1941 : Czechoslovakia to Canada</t>
  </si>
  <si>
    <t>Spencer, Hanna</t>
  </si>
  <si>
    <t>DS135.C97</t>
  </si>
  <si>
    <t>Jewish refugees -- Canada -- Diaries.; Jewish refugees -- Czechoslovakia -- Diaries.; Réfugiés juifs -- Canada -- Journaux intimes.; Réfugiés juifs -- Tchécoslovaquie -- Journaux intimes.; Spencer, Hanna -- Diaries.; Spencer, Hanna -- Journal intime.; World War, 1939-1945 -- Refugees -- Biography.</t>
  </si>
  <si>
    <t>http://public.eblib.com/choice/PublicFullRecord.aspx?p=3330571</t>
  </si>
  <si>
    <t>Leadership and Responsibility in the second World War : Essays in Honour of Robert Vogel</t>
  </si>
  <si>
    <t>Farrell, Brian; Farrell, Brian P.</t>
  </si>
  <si>
    <t>D750 -- .L37 2004eb</t>
  </si>
  <si>
    <t>940.53/41</t>
  </si>
  <si>
    <t>Command of troops -- History -- 20th century.; Commandement des troupes -- Histoire -- 20e siècle.; Great Britain -- Politics and government -- 1936-1945.; Guerre mondiale, 1939-1945 -- Aspect politique -- Grande-Bretagne.; Leadership politique -- Grande-Bretagne -- Histoire -- 20e siècle.; Political leadership -- Great Britain -- History -- 20th century.; World War, 1939-1945 -- Diplomatic history -- Great Britain.</t>
  </si>
  <si>
    <t>http://public.eblib.com/choice/PublicFullRecord.aspx?p=3330572</t>
  </si>
  <si>
    <t>Death Talk : The Case Against Euthanasia and Physician-Assisted Suicide</t>
  </si>
  <si>
    <t>Somerville, Margaret A.</t>
  </si>
  <si>
    <t>R726</t>
  </si>
  <si>
    <t>Aide au suicide.; Assisted suicide.; Euthanasia.; Euthanasie.</t>
  </si>
  <si>
    <t>http://public.eblib.com/choice/PublicFullRecord.aspx?p=3330573</t>
  </si>
  <si>
    <t>Men at Play : A Working Understanding of Professional Hockey in Canada</t>
  </si>
  <si>
    <t>Robidoux, M.</t>
  </si>
  <si>
    <t>GV848.4.C3 -- R62 2001eb</t>
  </si>
  <si>
    <t>305.9/7969</t>
  </si>
  <si>
    <t>Electronic books. -- local; Hockey -- Canada -- Sociological aspects -- Case studies.; Hockey players -- Canada -- Case studies.</t>
  </si>
  <si>
    <t>http://public.eblib.com/choice/PublicFullRecord.aspx?p=3330574</t>
  </si>
  <si>
    <t>Protecting Biological Diversity : Roles and Responsibilities</t>
  </si>
  <si>
    <t>Potvin, Catherine; Kraenzel, Margaret; Seutin, Gilles</t>
  </si>
  <si>
    <t>QH77.D44</t>
  </si>
  <si>
    <t>Biodiversity conservation -- Developing countries -- Congresses.; Biodiversity conservation -- Moral and ethical aspects -- Developing countries -- Congresses.; Electronic books. -- local</t>
  </si>
  <si>
    <t>http://public.eblib.com/choice/PublicFullRecord.aspx?p=3330575</t>
  </si>
  <si>
    <t>Natural Selections : National Parks in Atlantic Canada, 1935-1970</t>
  </si>
  <si>
    <t>MacEachern, Alan</t>
  </si>
  <si>
    <t>SB484.C2</t>
  </si>
  <si>
    <t>Canada. -- National and Historic Parks Branch -- History.; Electronic books. -- local; National parks and reserves -- Maritime Provinces -- History.; Nature -- Social aspects -- Canada.</t>
  </si>
  <si>
    <t>http://public.eblib.com/choice/PublicFullRecord.aspx?p=3330576</t>
  </si>
  <si>
    <t>Dystopian Fiction East and West : Universe of Terror and Trial</t>
  </si>
  <si>
    <t>PN56.D94 -- G68 2001eb</t>
  </si>
  <si>
    <t>809.3/9372</t>
  </si>
  <si>
    <t>Dystopias in literature.; Fiction -- 20th century -- History and criticism.; Science fiction -- History and criticism.; Totalitarianism and literature.</t>
  </si>
  <si>
    <t>http://public.eblib.com/choice/PublicFullRecord.aspx?p=3330577</t>
  </si>
  <si>
    <t>Joseph Brodsky and the Soviet Muse</t>
  </si>
  <si>
    <t>PG3479.4.R64</t>
  </si>
  <si>
    <t>Brodsky, Joseph, -- 1940-1996 -- Criticism and interpretation.; Russian literature -- 20th century -- Western influences.; Soviet literature -- Western influences.</t>
  </si>
  <si>
    <t>http://public.eblib.com/choice/PublicFullRecord.aspx?p=3330578</t>
  </si>
  <si>
    <t>Telecom Nation : Telecommunications, Computers, and Governments in Canada</t>
  </si>
  <si>
    <t>Mussio, Laurence</t>
  </si>
  <si>
    <t>HE7815</t>
  </si>
  <si>
    <t>Computer networks -- Government policy -- Canada.; Telecommunication policy -- Canada.</t>
  </si>
  <si>
    <t>http://public.eblib.com/choice/PublicFullRecord.aspx?p=3330579</t>
  </si>
  <si>
    <t>Women and Narrative Identity : Rewriting the Quebec National Text</t>
  </si>
  <si>
    <t>Green, Mary J.</t>
  </si>
  <si>
    <t>PQ3917.Q3</t>
  </si>
  <si>
    <t>Electronic books. -- local; Group identity in literature.; Nationalism in literature.</t>
  </si>
  <si>
    <t>http://public.eblib.com/choice/PublicFullRecord.aspx?p=3330580</t>
  </si>
  <si>
    <t>Tower under Siege : Technology, Power, and Education</t>
  </si>
  <si>
    <t>Lewis, Brian; Massey, Christine; Smith, Richard</t>
  </si>
  <si>
    <t>LB2395.7</t>
  </si>
  <si>
    <t>Education, Higher -- Effect of technological innovations on -- Canada.; Educational change -- Canada.; Educational technology -- Canada.; Electronic books. -- local; Higher education and state -- Canada.</t>
  </si>
  <si>
    <t>http://public.eblib.com/choice/PublicFullRecord.aspx?p=3330581</t>
  </si>
  <si>
    <t>Corpus and the Cortex : The 3-D Mind</t>
  </si>
  <si>
    <t>Chevalier, J.M.</t>
  </si>
  <si>
    <t>Science: Biology/Natural History; Science; Social Science</t>
  </si>
  <si>
    <t>QP360 -- .C468 2002eb</t>
  </si>
  <si>
    <t>Electronic books. -- local; Language and languages -- Philosophy.; Neurophysiology.; Neuropsychology.; Psycholinguistics.; Semiotics -- Psychological aspects.; Semiotics.</t>
  </si>
  <si>
    <t>http://public.eblib.com/choice/PublicFullRecord.aspx?p=3330582</t>
  </si>
  <si>
    <t>Land, Power, and Economics on the Frontier of Upper Canada</t>
  </si>
  <si>
    <t>Carleton Library Series</t>
  </si>
  <si>
    <t>Clarke, John</t>
  </si>
  <si>
    <t>HD319.O5</t>
  </si>
  <si>
    <t>Essex (Ont. : County) -- Historical geography.; Land settlement patterns -- Ontario -- Essex (County) -- History -- 19th century.</t>
  </si>
  <si>
    <t>http://public.eblib.com/choice/PublicFullRecord.aspx?p=3330583</t>
  </si>
  <si>
    <t>Damned Women : French Lesbian Novels, 1796-1996</t>
  </si>
  <si>
    <t>Waelti-Walters, Jennifer</t>
  </si>
  <si>
    <t>PQ637.H65 -- W34 2000eb</t>
  </si>
  <si>
    <t>843.009/35206643</t>
  </si>
  <si>
    <t>French fiction -- History and criticism.; Lesbians in literature.</t>
  </si>
  <si>
    <t>http://public.eblib.com/choice/PublicFullRecord.aspx?p=3330584</t>
  </si>
  <si>
    <t>Canada, Latin America and the New Internationalism : A Foreign Policy Analysis, 1968-1990</t>
  </si>
  <si>
    <t>Foreign Policy, Security and Strategic Studies</t>
  </si>
  <si>
    <t>Stevenson, Brian J. R.</t>
  </si>
  <si>
    <t>F1416.C2 -- S74 2000eb</t>
  </si>
  <si>
    <t>Amérique latine -- Relations économiques extérieures -- Canada.; Canada -- Foreign relations -- 1945-; Canada -- Foreign relations -- Latin America.; Canada -- Relations extérieures -- Amérique latine.; Internationalism.; Internationalisme.; Latin America -- Foreign relations -- Canada.</t>
  </si>
  <si>
    <t>http://public.eblib.com/choice/PublicFullRecord.aspx?p=3330585</t>
  </si>
  <si>
    <t>Amassing Power : J.B. Duke and the Saguenay River, 1897-1927</t>
  </si>
  <si>
    <t>Studies on the History of Quebec/Études d'histoire du Quebec</t>
  </si>
  <si>
    <t>Massell, David; Forest History Society Staff</t>
  </si>
  <si>
    <t>Engineering: Electrical; Economics; Engineering; Environmental Studies</t>
  </si>
  <si>
    <t>TK1427.Q4</t>
  </si>
  <si>
    <t>Duke, James Buchanan, -- 1856-1925.; Hydroelectric power plants -- Québec (Province) -- History.; Industrialization -- Québec (Province) -- History.; Québec (Province) -- Politics and government.; Saguenay Region (Québec) -- History.; Saguenay River (Québec) -- Power utilization -- History.</t>
  </si>
  <si>
    <t>http://public.eblib.com/choice/PublicFullRecord.aspx?p=3330586</t>
  </si>
  <si>
    <t>Heavens Are Changing : Nineteenth-Century Protestant Missions and Tsimshian Christianity</t>
  </si>
  <si>
    <t>Neylan, Susan</t>
  </si>
  <si>
    <t>E99.T8</t>
  </si>
  <si>
    <t>Églises protestantes -- Missions -- Colombie-Britannique -- Pacifique, Côte du -- Histoire -- 19e siècle.; Protestant churches -- Missions -- British Columbia -- Pacific Coast -- History -- 19th century.; Tsimshian (Indiens) -- Missions -- Histoire -- 19e siècle.; Tsimshian (Indiens) -- Religion -- Histoire -- 19e siècle.; Tsimshian Indians -- Missions -- History -- 19th century.; Tsimshian Indians -- Religion -- 19th century.</t>
  </si>
  <si>
    <t>http://public.eblib.com/choice/PublicFullRecord.aspx?p=3330587</t>
  </si>
  <si>
    <t>Bare and Impolitic Right : Internment and Ukrainian-Canadian Redress</t>
  </si>
  <si>
    <t>Kordan, Bohdan  S.; Mahovsky, Craig</t>
  </si>
  <si>
    <t>D627.C2</t>
  </si>
  <si>
    <t>Reparations for historical injustices -- Canada.; Ukrainians -- Canada -- Evacuation and relocation, 1914-1920.; Ukrainians -- Reparations -- Canada -- History.</t>
  </si>
  <si>
    <t>http://public.eblib.com/choice/PublicFullRecord.aspx?p=3330588</t>
  </si>
  <si>
    <t>Spreading Misandry : The Teaching of Contempt for Men in Popular Culture</t>
  </si>
  <si>
    <t>Nathanson, Paul; Young, Katherine K.</t>
  </si>
  <si>
    <t>HQ1090 -- .N37 2001eb</t>
  </si>
  <si>
    <t>305.32/0971</t>
  </si>
  <si>
    <t>Electronic books. -- local; Men in popular culture -- Canada.; Men in popular culture -- United States.; Misandry -- Canada.; Misandry -- United States.</t>
  </si>
  <si>
    <t>http://public.eblib.com/choice/PublicFullRecord.aspx?p=3330589</t>
  </si>
  <si>
    <t>Commissioned Ridings : Designing Canada's Electoral Districts</t>
  </si>
  <si>
    <t>Courtney, John C.</t>
  </si>
  <si>
    <t>JL193</t>
  </si>
  <si>
    <t>Election districts -- Canada.</t>
  </si>
  <si>
    <t>http://public.eblib.com/choice/PublicFullRecord.aspx?p=3330590</t>
  </si>
  <si>
    <t>Canada's Francophone Minority Communities : Constitutional Renewal and the Winning of School Governance</t>
  </si>
  <si>
    <t>Behiels, Michael D.</t>
  </si>
  <si>
    <t>KE3812</t>
  </si>
  <si>
    <t>French-Canadians -- Civil rights.; French-Canadians -- Education -- Law and legislation.; French-Canadians -- Legal status, laws, etc. -- Canada.; School management and organization -- Law and legislation -- Canada.</t>
  </si>
  <si>
    <t>http://public.eblib.com/choice/PublicFullRecord.aspx?p=3330591</t>
  </si>
  <si>
    <t>Nationalism, Religion, and Ethics</t>
  </si>
  <si>
    <t>Baum, Gregory</t>
  </si>
  <si>
    <t>Buber, Martin, -- 1878-1965 -- Et la nationalisme.; Buber, Martin, -- 1878-1965.; Gandhi, -- Mahatma, -- 1869-1948.; Gandhi, Mahatma, -- 1869-1948 -- Et la nationalisme.; Grand''Maison, Jacques.; Tillich, Paul, -- 1886-1965 -- Et la nationalisme.; Tillich, Paul, -- 1886-1965.</t>
  </si>
  <si>
    <t>http://public.eblib.com/choice/PublicFullRecord.aspx?p=3330592</t>
  </si>
  <si>
    <t>In Defence of Religious Schools and Colleges</t>
  </si>
  <si>
    <t>Thiessen, Elmer John</t>
  </si>
  <si>
    <t>LC368</t>
  </si>
  <si>
    <t>Electronic books. -- local; Liberalism -- Religious aspects.; Pluralism.; Religious education -- Philosophy.</t>
  </si>
  <si>
    <t>http://public.eblib.com/choice/PublicFullRecord.aspx?p=3330593</t>
  </si>
  <si>
    <t>One of the Boys : Homosexuals in the Military in World War II</t>
  </si>
  <si>
    <t>Jackson, Paul</t>
  </si>
  <si>
    <t>UB418.G38 -- J33 2004eb</t>
  </si>
  <si>
    <t>Canada -- Armed Forces -- Gays -- Government policy -- History -- 20th century.; Canada -- Armed Forces -- Gays -- History -- 20th century.; Canada. -- Canadian Armed Forces -- History -- World War, 1939-1945.; Electronic books. -- local; Homophobia -- Government policy -- Canada.; World War, 1939-1945 -- Participation, Gays.</t>
  </si>
  <si>
    <t>http://public.eblib.com/choice/PublicFullRecord.aspx?p=3330594</t>
  </si>
  <si>
    <t>Cowboys, Gentlemen, and Cattle Thieves : Ranching on the Western Frontier</t>
  </si>
  <si>
    <t>Elofson, Warren M.</t>
  </si>
  <si>
    <t>F1060.9</t>
  </si>
  <si>
    <t>Frontier and pioneer life -- Prairie Provinces.; Prairie Provinces -- History.; Provinces des Prairies -- Histoire.; Ranch life -- Prairie Provinces -- History.; Ranching -- Prairie Provinces -- History.; Ranching -- Provinces des Prairies -- Histoire.; Vie des pionniers -- Provinces des Prairies.</t>
  </si>
  <si>
    <t>http://public.eblib.com/choice/PublicFullRecord.aspx?p=3330595</t>
  </si>
  <si>
    <t>Jessie Luther at the Grenfell Mission</t>
  </si>
  <si>
    <t>Rompkey, Ronald; Rompkey, Ronald</t>
  </si>
  <si>
    <t>RM699.7.L88</t>
  </si>
  <si>
    <t>Grenfell Labrador Medical Mission -- History.; Luther, Jessie, -- 1860-1952 -- Diaries.; Occupational therapists -- Newfoundland and Labrador -- St. Anthony -- Diaries.; Women missionaries -- Newfoundland and Labrador -- St. Anthony -- Diaries.</t>
  </si>
  <si>
    <t>http://public.eblib.com/choice/PublicFullRecord.aspx?p=3330596</t>
  </si>
  <si>
    <t>History for the Future : Rewriting Memory and Identity in Quebec</t>
  </si>
  <si>
    <t>Létourneau, Jocelyn</t>
  </si>
  <si>
    <t>FC2909 -- .L4713 2004eb</t>
  </si>
  <si>
    <t>Canada -- History -- Philosophy.; Electronic books. -- local; Group identity -- Québec (Province); Memory -- Social aspects -- Québec (Province); Québec (Province) -- Historiography.; Québec (Province) -- History -- Philosophy.</t>
  </si>
  <si>
    <t>http://public.eblib.com/choice/PublicFullRecord.aspx?p=3330597</t>
  </si>
  <si>
    <t>W. Stanford Reid : An Evangelical Calvinist in the Academy</t>
  </si>
  <si>
    <t>MacLeod, A. Donald</t>
  </si>
  <si>
    <t>LA2325.R43</t>
  </si>
  <si>
    <t>Calvinists -- Canada -- Biography.; College teachers -- Canada -- Biography.; Electronic books. -- local; Evangelicalism -- Canada.; Presbyterian Church in Canada -- Clergy -- Biography.; Presbyterians -- Canada -- Biography.; Reid, W. Stanford -- (William Stanford), -- 1913-</t>
  </si>
  <si>
    <t>http://public.eblib.com/choice/PublicFullRecord.aspx?p=3330598</t>
  </si>
  <si>
    <t>Households of Faith : Family, Gender, and Community in Canada, 1760-1969</t>
  </si>
  <si>
    <t>Christie, Nancy</t>
  </si>
  <si>
    <t>HN39.C2</t>
  </si>
  <si>
    <t>Families -- Canada -- Religious aspects -- Christianity.; Famille -- Canada -- Aspect religieux -- Christianisme.; Gender identity -- Canada.; Identité sexuelle -- Canada.; Rôle selon le sexe -- Canada -- Aspect religieux -- Christianisme.; Sex role -- Canada -- Religious aspects -- Christianity.</t>
  </si>
  <si>
    <t>http://public.eblib.com/choice/PublicFullRecord.aspx?p=3330599</t>
  </si>
  <si>
    <t>Living Prism : Itineraries in Comparative Literature</t>
  </si>
  <si>
    <t>Kushner, Eva</t>
  </si>
  <si>
    <t>PN865</t>
  </si>
  <si>
    <t>Comparative literature.; Literature -- History and criticism -- Theory, etc.</t>
  </si>
  <si>
    <t>http://public.eblib.com/choice/PublicFullRecord.aspx?p=3330600</t>
  </si>
  <si>
    <t>Lonely Cold War of Pope Pius XII : The Roman Catholic Church and the Division of Europe, 1943-1950</t>
  </si>
  <si>
    <t>Kent, Peter C.</t>
  </si>
  <si>
    <t>BX1378</t>
  </si>
  <si>
    <t>Christianity and politics -- Catholic Church -- History -- 20th century.; Communism and Christianity -- Catholic Church.; Europe -- Politics and government -- 1945-; Papacy -- History -- 1929-1945.; Pius -- XII, -- Pope, -- 1876-1958.</t>
  </si>
  <si>
    <t>http://public.eblib.com/choice/PublicFullRecord.aspx?p=3330601</t>
  </si>
  <si>
    <t>Determining Boundaries in a Conflicted World : The Role of Uti Possidetis</t>
  </si>
  <si>
    <t>Lalonde, Suzanne N.</t>
  </si>
  <si>
    <t>KZ3684</t>
  </si>
  <si>
    <t>Boundary disputes.; Electronic books. -- local; Québec (Province) -- Boundaries.; Uti possidetis (International law)</t>
  </si>
  <si>
    <t>http://public.eblib.com/choice/PublicFullRecord.aspx?p=3330602</t>
  </si>
  <si>
    <t>A Story in Every Song : The Songs and Tales of Lauchie MaClellan</t>
  </si>
  <si>
    <t>MacLellan, Lauchie; Ornstein, Lisa; Shaw, John William</t>
  </si>
  <si>
    <t>ML420.M13856 -- B75 2000eb</t>
  </si>
  <si>
    <t>782.42162/9163/0092</t>
  </si>
  <si>
    <t>Celts -- Nova Scotia -- Cape Breton Island -- Folklore.; Chansons folkloriques gaéliques -- Nouvelle-Écosse -- Cap-Breton, Île du.; Folk songs, Scottish Gaelic -- Nova Scotia -- Cape Breton Island.; MacLellan, Lauchie, -- 1910-1991 -- Criticism and interpretation.; MacLellan, Lauchie, -- 1910-1991.; Singers -- Nova Scotia -- Cape Breton Island -- Biography.; Tales -- Nova Scotia -- Cape Breton Island.</t>
  </si>
  <si>
    <t>http://public.eblib.com/choice/PublicFullRecord.aspx?p=3330603</t>
  </si>
  <si>
    <t>Manitoba's French-Language Crisis : A Cautionary Tale</t>
  </si>
  <si>
    <t>Hébert, Raymond  M.</t>
  </si>
  <si>
    <t>Language/Linguistics; History</t>
  </si>
  <si>
    <t>P119.32.C3</t>
  </si>
  <si>
    <t>Canadiens français -- Droit -- Manitoba -- Histoire.; Français (Langue) -- Aspect politique -- Manitoba -- Histoire.; French language -- Political aspects -- Manitoba -- History.; Language policy -- Manitoba -- History.; Manitoba -- Relations entre anglophones et francophones.; Politique linguistique -- Manitoba -- Histoire.</t>
  </si>
  <si>
    <t>http://public.eblib.com/choice/PublicFullRecord.aspx?p=3330604</t>
  </si>
  <si>
    <t>Boys in the Pits : Child Labour in Coal Mining</t>
  </si>
  <si>
    <t>McIntosh, R.</t>
  </si>
  <si>
    <t>HD6247.M6152 -- C3 2000eb</t>
  </si>
  <si>
    <t>331.3/822334/0971</t>
  </si>
  <si>
    <t>Child labor -- Canada -- History.; Coal miners -- Canada -- History.; Electronic books. -- local</t>
  </si>
  <si>
    <t>http://public.eblib.com/choice/PublicFullRecord.aspx?p=3330605</t>
  </si>
  <si>
    <t>Chaucer and Language : Essays in Honour of Douglas Wurtele</t>
  </si>
  <si>
    <t>Myles, Robert; Williams, David  A.</t>
  </si>
  <si>
    <t>PR1940</t>
  </si>
  <si>
    <t>Chaucer, Geoffrey, -- d. 1400 -- Knowledge -- Language and languages.; Chaucer, Geoffrey, -- d. 1400 -- Language.; Chaucer, Geoffrey, -- d. 1400 -- Symbolism.; English language -- Middle English, 1100-1500 -- Semantics.; Semiotics and literature -- England -- History -- To 1500.; Signs and symbols -- England -- History -- To 1500.; Symbolism in literature.</t>
  </si>
  <si>
    <t>http://public.eblib.com/choice/PublicFullRecord.aspx?p=3330606</t>
  </si>
  <si>
    <t>Canada's Greatest Wartime Muddle : National Selective Service and the Mobilization of Human Resources during World War II</t>
  </si>
  <si>
    <t>Stevenson, Michael D.</t>
  </si>
  <si>
    <t>D768.15</t>
  </si>
  <si>
    <t>Canada. -- National Selective Service.; Draft -- Canada.; Industrial mobilization -- Canada -- History -- 20th century.; World War, 1939-1945 -- Manpower -- Canada.</t>
  </si>
  <si>
    <t>http://public.eblib.com/choice/PublicFullRecord.aspx?p=3330607</t>
  </si>
  <si>
    <t>Making Public Pasts : The Contested Terrain of Montreal's Public Memories, 1891-1930</t>
  </si>
  <si>
    <t>Gordon, Alan</t>
  </si>
  <si>
    <t>F1054.5.M89</t>
  </si>
  <si>
    <t>Canadians, English-speaking -- Québec (Province) -- Montréal -- Ethnic identity.; Canadians, English-speaking -- Québec (Province) -- Montréal -- Social conditions.; French-Canadians -- Québec (Province) -- Montréal -- Ethnic identity.; French-Canadians -- Québec (Province) -- Montréal -- Social conditions.; Memory -- Social aspects -- Québec (Province) -- Montréal -- History.; Monuments -- Social aspects -- Québec (Province) -- Montréal -- History.; Public history -- Political aspects -- Québec (Province) -- Montréal -- History.</t>
  </si>
  <si>
    <t>http://public.eblib.com/choice/PublicFullRecord.aspx?p=3330608</t>
  </si>
  <si>
    <t>Istvan Anhalt : Pathways and Memory</t>
  </si>
  <si>
    <t>Elliott, Robin; Smith, Gordon</t>
  </si>
  <si>
    <t>ML410.A6354</t>
  </si>
  <si>
    <t>Anhalt, István, -- 1919-; Anhalt, István.; Compositeurs -- Canada -- Biographies.</t>
  </si>
  <si>
    <t>http://public.eblib.com/choice/PublicFullRecord.aspx?p=3330609</t>
  </si>
  <si>
    <t>Domicide : The Global Destruction Of Home</t>
  </si>
  <si>
    <t>Porteous, Douglas; Smith, Sandra E.</t>
  </si>
  <si>
    <t>HQ518</t>
  </si>
  <si>
    <t>Electronic books. -- local; Forced migration.; Home.; Relocation (Housing)</t>
  </si>
  <si>
    <t>http://public.eblib.com/choice/PublicFullRecord.aspx?p=3330610</t>
  </si>
  <si>
    <t>Christians in a Secular World : The Canadian Experience</t>
  </si>
  <si>
    <t>Bowen, Kurt</t>
  </si>
  <si>
    <t>BR570 B69 2004</t>
  </si>
  <si>
    <t>Chrétiens -- Canada -- Attitudes.; Chrétiens -- Canada -- Conditions sociales.; Christians -- Canada -- Attitudes.; Christians -- Canada -- Social conditions.; Enquêtes sociales -- Canada.; Social surveys -- Canada.</t>
  </si>
  <si>
    <t>http://public.eblib.com/choice/PublicFullRecord.aspx?p=3330611</t>
  </si>
  <si>
    <t>Humanism Betrayed : Theory, Ideology, and Culture in the Contemporary University</t>
  </si>
  <si>
    <t>Good, Graham</t>
  </si>
  <si>
    <t>LA184</t>
  </si>
  <si>
    <t>Education, Higher -- Aims and objectives.; Education, Higher -- Philosophy.; Education, Humanistic.; Electronic books. -- local</t>
  </si>
  <si>
    <t>http://public.eblib.com/choice/PublicFullRecord.aspx?p=3330612</t>
  </si>
  <si>
    <t>Negotiating Disease : Power and Cancer Care, 1900-1950</t>
  </si>
  <si>
    <t>Clow, Barbara</t>
  </si>
  <si>
    <t>RC279.C2</t>
  </si>
  <si>
    <t>Cancer -- Alternative treatment -- Canada.; Cancer -- Government policy -- Canada.; Cancer -- Traitement -- Ontario -- Histoire -- 20e siècle.; Medical personnel and patient -- Canada -- History.</t>
  </si>
  <si>
    <t>http://public.eblib.com/choice/PublicFullRecord.aspx?p=3330613</t>
  </si>
  <si>
    <t>McGill-Queen's Studies in Ethnic History, Volume 38 : Old and New World Highland Bagpiping</t>
  </si>
  <si>
    <t>Gibson, John G.</t>
  </si>
  <si>
    <t>ML980 -- .G5 2002eb</t>
  </si>
  <si>
    <t>788.4/9/094115</t>
  </si>
  <si>
    <t>Bagpipe -- Nova Scotia -- Cape Breton Island -- History.; Bagpipe -- Scotland -- Highlands -- History.; Bagpipe music -- History and criticism.; Cornemuse -- Écosse -- Highlands -- Histoire.; Cornemuse -- Nouvelle-Écosse -- Cap-Breton, Île du -- Histoire.; Cornemuse, Musique de -- Histoire et critique.</t>
  </si>
  <si>
    <t>http://public.eblib.com/choice/PublicFullRecord.aspx?p=3330614</t>
  </si>
  <si>
    <t>Russia and Ukraine : Literature and the Discourse of Empire from Napoleonic to Postcolonial Times</t>
  </si>
  <si>
    <t>Shkandrij, Myroslav</t>
  </si>
  <si>
    <t>PG3905</t>
  </si>
  <si>
    <t>Electronic books. -- local; Imperialism in literature.; Russian literature -- 19th century -- History and criticism.; Russian literature -- 20th century -- History and criticism.; Ukrainian literature -- 19th century -- History and criticism.; Ukrainian literature -- 20th century -- History and criticism.</t>
  </si>
  <si>
    <t>http://public.eblib.com/choice/PublicFullRecord.aspx?p=3330615</t>
  </si>
  <si>
    <t>September 11' : Consequences for Canada</t>
  </si>
  <si>
    <t>HV6433.C2</t>
  </si>
  <si>
    <t>Attentats du 11 septembre 2001, États-Unis.; National security -- Canada.; September 11 Terrorist Attacks, 2001.; Terrorism -- Canada -- Prevention.; Terrorism -- Prevention -- Government policy -- Canada.; Terrorisme -- Aspect politique -- Canada.; Terrorisme -- Prévention -- Politique gouvernementale -- Canada.</t>
  </si>
  <si>
    <t>http://public.eblib.com/choice/PublicFullRecord.aspx?p=3330616</t>
  </si>
  <si>
    <t>Mastery and Uses of Fire in Antiquity : A Sourcebook on Ancient Pyrotechnology</t>
  </si>
  <si>
    <t>Rehder, J.E.</t>
  </si>
  <si>
    <t>Engineering: Chemical; Engineering; Engineering: Mining</t>
  </si>
  <si>
    <t>TN688.5</t>
  </si>
  <si>
    <t>Ceramics -- History.; Electronic books. -- local; Metallurgical furnaces -- History.; Pyrometallurgy -- History.</t>
  </si>
  <si>
    <t>http://public.eblib.com/choice/PublicFullRecord.aspx?p=3330617</t>
  </si>
  <si>
    <t>Strict Metrical Tradition : Variations in the Literary Iambic Pentameter From Sidney and Spenser to Matthew Arnold</t>
  </si>
  <si>
    <t>Keppel-Jones, David</t>
  </si>
  <si>
    <t>PE1531.I24</t>
  </si>
  <si>
    <t>English language -- Versification.; English poetry -- History and criticism.; Iambic pentameter.</t>
  </si>
  <si>
    <t>http://public.eblib.com/choice/PublicFullRecord.aspx?p=3330618</t>
  </si>
  <si>
    <t>Politics of Postal Transformation : Modernizing Postal Systems in the Electronic and Global World</t>
  </si>
  <si>
    <t>Campbell, Robert M.</t>
  </si>
  <si>
    <t>HE6071</t>
  </si>
  <si>
    <t>Postal service -- Government policy.; Postes -- Politique gouvernementale.</t>
  </si>
  <si>
    <t>http://public.eblib.com/choice/PublicFullRecord.aspx?p=3330619</t>
  </si>
  <si>
    <t>Great Peace of Montreal of 1701 : French-Native Diplomacy in the Seventeenth Century</t>
  </si>
  <si>
    <t>Havard, Gilles; Aronoff, Phyllis</t>
  </si>
  <si>
    <t>E92 -- .H39 2001eb</t>
  </si>
  <si>
    <t>971.01/8</t>
  </si>
  <si>
    <t>Indians of North America -- Canada -- Government relations.; Indians of North America -- Canada -- Treaties.; Indiens -- Amérique du Nord -- Traités, 1701.; Indiens d''Amérique -- Canada -- Relations avec l''État -- Jusqu''à 1830.; Iroquois Indians -- Government relations.; Iroquois Indians -- Treaties.; Traité de Montréal -- (1701)</t>
  </si>
  <si>
    <t>http://public.eblib.com/choice/PublicFullRecord.aspx?p=3330620</t>
  </si>
  <si>
    <t>Apocalypse Soon? : Wagering on Warnings of Global Catastrophe</t>
  </si>
  <si>
    <t>Haller, Stephen F.</t>
  </si>
  <si>
    <t>H61.25</t>
  </si>
  <si>
    <t>Disasters -- Forecasting -- Mathematical models.; Disasters -- Forecasting.; Electronic books. -- local</t>
  </si>
  <si>
    <t>http://public.eblib.com/choice/PublicFullRecord.aspx?p=3330621</t>
  </si>
  <si>
    <t>Judging Obscenity : A Critical History of Expert Witnesses</t>
  </si>
  <si>
    <t>Nowlin, Christopher</t>
  </si>
  <si>
    <t>K543.O27 -- N69 2003eb</t>
  </si>
  <si>
    <t>345.71/0274</t>
  </si>
  <si>
    <t>Evidence, Expert -- Canada.; Evidence, Expert -- United States.; Pornography -- Canada.; Pornography -- United States.; Trials (Obscenity) -- Canada.; Trials (Obscenity) -- United States.</t>
  </si>
  <si>
    <t>http://public.eblib.com/choice/PublicFullRecord.aspx?p=3330622</t>
  </si>
  <si>
    <t>Canadian Federalist Experiment : From Defiant Monarchy to Reluctant Republic</t>
  </si>
  <si>
    <t>Vaughan, Frederick</t>
  </si>
  <si>
    <t>JL65</t>
  </si>
  <si>
    <t>Canada -- Histoire -- 1867 (Confédération); Canada -- History -- Confederation, 1867.; Canada -- Politics and government -- 1867-; Canada -- Politique et gouvernement -- 1867-</t>
  </si>
  <si>
    <t>http://public.eblib.com/choice/PublicFullRecord.aspx?p=3330623</t>
  </si>
  <si>
    <t>Mr Simson's Knotty Case : Divinity, Politics, and Due Process in Early Eighteenth-Century Scotland</t>
  </si>
  <si>
    <t>Skoczylas, Anne</t>
  </si>
  <si>
    <t>BX9225.S46 -- S56 2001eb</t>
  </si>
  <si>
    <t>230/.5233/092</t>
  </si>
  <si>
    <t>Church of Scotland -- Discipline -- Histoire -- 18e si?ecle.; Church of Scotland -- Discipline -- History -- 18th century.; Church of Scotland -- Doctrines -- Histoire -- 18e si?ecle.; Church of Scotland -- Doctrines -- History -- 18th century.; Simson, John, -- 1667-1740.; Simson, John, -- 1668?-1740.</t>
  </si>
  <si>
    <t>http://public.eblib.com/choice/PublicFullRecord.aspx?p=3330624</t>
  </si>
  <si>
    <t>Types of Interpretation in the Aesthetic Disciplines</t>
  </si>
  <si>
    <t>Carlshamre, Staffan; Pettersson, Anders</t>
  </si>
  <si>
    <t>Fine Arts; Literature</t>
  </si>
  <si>
    <t>NX640</t>
  </si>
  <si>
    <t>Criticism.; Electronic books. -- local; Interpretation (Philosophy)</t>
  </si>
  <si>
    <t>http://public.eblib.com/choice/PublicFullRecord.aspx?p=3330625</t>
  </si>
  <si>
    <t>Pietro Bembo : Lover, Linguist, Cardinal</t>
  </si>
  <si>
    <t>Kidwell, Carol</t>
  </si>
  <si>
    <t>PQ4608</t>
  </si>
  <si>
    <t>Authors, Italian -- 16th century -- Biography.; Bembo, Pietro, -- 1470-1547.; Cardinals -- Italy -- Biography.; Electronic books. -- local; Humanists -- Italy -- Biography.</t>
  </si>
  <si>
    <t>http://public.eblib.com/choice/PublicFullRecord.aspx?p=3330626</t>
  </si>
  <si>
    <t>Cultures of Citizenship in Post-war Canada, 1940 - 1955</t>
  </si>
  <si>
    <t>HN103.5</t>
  </si>
  <si>
    <t>Canada -- Histoire -- 1939-1945.; Canada -- Histoire -- 1945-1963.; Canada -- History -- 1914-1945.; Canada -- History -- 1945-; Canada -- Social conditions -- 1945-; Families -- Canada -- Historiography.; Families -- Canada -- History.</t>
  </si>
  <si>
    <t>http://public.eblib.com/choice/PublicFullRecord.aspx?p=3330627</t>
  </si>
  <si>
    <t>Milosevic and Markovic : A Lust for Power</t>
  </si>
  <si>
    <t>Djukic, Slavoljub; Dubinsky, Alex</t>
  </si>
  <si>
    <t>DR2047.M55 -- D85513 2001eb</t>
  </si>
  <si>
    <t>949.71/03/0922; 949.7103/0922; B</t>
  </si>
  <si>
    <t>Marković, Mira, -- 1942-; Marković, Mira, -- 1942-; Milošević, Slobodan, -- 1941-2006.; Milošević, Slobodan, -- 1941-2006.; Presidents -- Serbia -- Biography.; Présidents -- Yougoslavie -- Serbie -- Biographies.; Presidents'' spouses -- Serbia -- Biography.</t>
  </si>
  <si>
    <t>http://public.eblib.com/choice/PublicFullRecord.aspx?p=3330628</t>
  </si>
  <si>
    <t>A Short History of Quebec</t>
  </si>
  <si>
    <t>Dickinson, John A.; Young, Brian J.</t>
  </si>
  <si>
    <t>F1052.95 -- .D53 2003eb</t>
  </si>
  <si>
    <t>QuÃ©bec (Province) -- History.</t>
  </si>
  <si>
    <t>http://public.eblib.com/choice/PublicFullRecord.aspx?p=3330629</t>
  </si>
  <si>
    <t>Myth of the Sacred : The Charter, the Courts, and the Politics of the Constitution in Canada</t>
  </si>
  <si>
    <t>James, Patrick; Abelson, Donald E.; Lusztig, Michael</t>
  </si>
  <si>
    <t>KE4381.5 -- .M98 2002eb</t>
  </si>
  <si>
    <t>342.71/085</t>
  </si>
  <si>
    <t>Canada. -- Canadian Charter of Rights and Freedoms.; Canada. -- Charte canadienne des droits et libertés.; Civil rights -- Canada.; Droits de l''homme -- Canada.; Political questions and judicial power -- Canada.; Politique et pouvoir judiciaire -- Canada.</t>
  </si>
  <si>
    <t>http://public.eblib.com/choice/PublicFullRecord.aspx?p=3330630</t>
  </si>
  <si>
    <t>Into the House of Old : A History of Residential Care in British Columbia</t>
  </si>
  <si>
    <t>Davies, Megan J.</t>
  </si>
  <si>
    <t>RA998.C3</t>
  </si>
  <si>
    <t>Foyers pour personnes âgées -- Colombie-Britannique -- Histoire.; Old age homes -- British Columbia -- History.</t>
  </si>
  <si>
    <t>http://public.eblib.com/choice/PublicFullRecord.aspx?p=3330631</t>
  </si>
  <si>
    <t>Orientalism and Empire : North Caucasus Mountain Peoples and the Georgian Frontier, 1845-1917</t>
  </si>
  <si>
    <t>Jersild, Austin</t>
  </si>
  <si>
    <t>DK511.C2 -- J47 2002eb</t>
  </si>
  <si>
    <t>947.5/2</t>
  </si>
  <si>
    <t>Caucasus, Northern (Russia) -- Ethnic relations.; Caucasus, Northern (Russia) -- History -- Religious aspects.; Caucasus, Northern (Russia) -- History.; Islam -- Russia (Federation) -- Caucasus, Northern -- History.; Islam -- Russie -- Ciscaucasie -- Histoire.; Montagnards -- Russie -- Ciscaucasie -- Histoire.; Mountain people -- Russia (Federation) -- Caucasus, Northern -- History.</t>
  </si>
  <si>
    <t>http://public.eblib.com/choice/PublicFullRecord.aspx?p=3330632</t>
  </si>
  <si>
    <t>Frank Manning Covert : Fifty Years in the Practice of Law</t>
  </si>
  <si>
    <t>Cahill, Barry</t>
  </si>
  <si>
    <t>KE416.C68</t>
  </si>
  <si>
    <t>Avocats -- Nouvelle-Écosse -- Biographies.; Avocats de société -- Canada -- Biographies.; Corporate lawyers -- Canada -- Biography.; Covert, Frank Manning, -- 1908-1987.; Covert, Frank Manning, -- 1908-1987.; Lawyers -- Nova Scotia -- Biography.</t>
  </si>
  <si>
    <t>http://public.eblib.com/choice/PublicFullRecord.aspx?p=3330633</t>
  </si>
  <si>
    <t>Chora 4 : Intervals in the Philosophy of Architecture</t>
  </si>
  <si>
    <t>CHORA: Intervals in the Philosophy of Architecture</t>
  </si>
  <si>
    <t>Pérez-Gomez, Alberto; Parcell, Stephen</t>
  </si>
  <si>
    <t>NA1</t>
  </si>
  <si>
    <t>Architecture -- Philosophy.; Architecture.; Electronic books. -- local</t>
  </si>
  <si>
    <t>http://public.eblib.com/choice/PublicFullRecord.aspx?p=3330634</t>
  </si>
  <si>
    <t>Reforming Parliamentary Democracy</t>
  </si>
  <si>
    <t>Seidle, Leslie; Docherty, David C.</t>
  </si>
  <si>
    <t>JF501</t>
  </si>
  <si>
    <t>Comparative government.; Institutions politiques comparées.; Legislative bodies -- Canada -- Reform.; Legislative bodies -- Reform.; Parlements -- Canada -- Réforme.; Parlements -- Réforme.; Representative government and representation.</t>
  </si>
  <si>
    <t>http://public.eblib.com/choice/PublicFullRecord.aspx?p=3330635</t>
  </si>
  <si>
    <t>Last Well Person : How to Stay Well Despite the Health-Care System</t>
  </si>
  <si>
    <t>Hadler, Nortin M.</t>
  </si>
  <si>
    <t>RA776.5</t>
  </si>
  <si>
    <t>Attitudes à l''égard de la santé.; Habitudes sanitaires.; Health attitudes.; Health behavior.; Medical care -- Utilization.; Soins médicaux -- Utilisation.</t>
  </si>
  <si>
    <t>http://public.eblib.com/choice/PublicFullRecord.aspx?p=3330636</t>
  </si>
  <si>
    <t>Revolution in Military Affairs : Implications for Canada and NATO</t>
  </si>
  <si>
    <t>Sloan, Elinor C.; Raoul-Dandurand Chair of Strategic and Diplomatic; Universite du Quebec a Montreal, Centre d'etudes d</t>
  </si>
  <si>
    <t>U42</t>
  </si>
  <si>
    <t>Art et science militaires -- Innovations -- Histoire -- 20e siècle.; Canada -- Military policy.; Military art and science -- Technological innovations -- History -- 20th century.; North Atlantic Treaty Organization -- Military policy.; Organisation du traité de l''Atlantique Nord -- Politique militaire.; Sécurité internationale.; Security, International.</t>
  </si>
  <si>
    <t>http://public.eblib.com/choice/PublicFullRecord.aspx?p=3330637</t>
  </si>
  <si>
    <t>Quebec National Cinema</t>
  </si>
  <si>
    <t>Marshall, Bill</t>
  </si>
  <si>
    <t>PN1993.5.C32</t>
  </si>
  <si>
    <t>791.430 9714</t>
  </si>
  <si>
    <t>Motion pictures -- Québec (Province) -- History.; Motion pictures -- Social aspects -- Québec (Province); Nationalism in motion pictures.</t>
  </si>
  <si>
    <t>http://public.eblib.com/choice/PublicFullRecord.aspx?p=3330638</t>
  </si>
  <si>
    <t>Archbishop Stagni's 1915 Reports on the Ontario Bilingual Schools Question</t>
  </si>
  <si>
    <t>Stagni, Pellegrino; Zucchi, John E.; Zucchi, John E.</t>
  </si>
  <si>
    <t>LC3734.2.O6 -- S6813 2002eb</t>
  </si>
  <si>
    <t>371.071/2713</t>
  </si>
  <si>
    <t>Catholics -- Education -- Ontario -- History -- Sources.; Education, Bilingual -- Ontario -- History.; Electronic books. -- local</t>
  </si>
  <si>
    <t>http://public.eblib.com/choice/PublicFullRecord.aspx?p=3330639</t>
  </si>
  <si>
    <t>Evangelicals and the Continental Divide : The Conservative Protestant Subculture in Canada and the United States</t>
  </si>
  <si>
    <t>Reimer, Sam</t>
  </si>
  <si>
    <t>BR1642.C2</t>
  </si>
  <si>
    <t>Electronic books. -- local; Evangelicalism -- Canada.; Evangelicalism -- Comparative studies.; Evangelicalism -- United States.</t>
  </si>
  <si>
    <t>http://public.eblib.com/choice/PublicFullRecord.aspx?p=3330640</t>
  </si>
  <si>
    <t>Guide des pays fédéraux, 2005</t>
  </si>
  <si>
    <t>Griffiths, Ann; Nerenberg, Karl</t>
  </si>
  <si>
    <t>JC355</t>
  </si>
  <si>
    <t>Electronic books. -- local; Federal government -- Canada -- Handbooks, manuals, etc.; Federal government -- Handbooks, manuals, etc.</t>
  </si>
  <si>
    <t>http://public.eblib.com/choice/PublicFullRecord.aspx?p=3330641</t>
  </si>
  <si>
    <t>Writing the Everyday : Women's Textual Communities in Atlantic Canada</t>
  </si>
  <si>
    <t>Fuller, Danielle</t>
  </si>
  <si>
    <t>PR9198.2.A85</t>
  </si>
  <si>
    <t>Atlantic Provinces -- In literature.; Atlantic Provinces -- Intellectual life -- 20th century.; Canadian literature -- 20th century -- History and criticism.; Canadian literature -- Atlantic Provinces -- History and criticism.; Canadian literature -- Women authors -- History and criticism.; Women -- Atlantic Provinces -- Intellectual life.; Women and literature -- Atlantic Provinces -- History -- 20th century.</t>
  </si>
  <si>
    <t>http://public.eblib.com/choice/PublicFullRecord.aspx?p=3330642</t>
  </si>
  <si>
    <t>Engendering the Republic of Letters : Reconnecting Public and Private Spheres in Eighteenth-Century Europe</t>
  </si>
  <si>
    <t>Dalton, Susan</t>
  </si>
  <si>
    <t>PQ711</t>
  </si>
  <si>
    <t>French letters -- Women authors -- History and criticism.; French prose literature -- Women authors -- History and criticism.; Italian letters -- Women authors -- History and criticism.; Italian prose literature -- Women authors -- History and criticism.; Upper class women -- France -- Correspondence.; Upper class women -- France -- Intellectual life.; Upper class women -- Italy -- Venice -- Correspondence.</t>
  </si>
  <si>
    <t>http://public.eblib.com/choice/PublicFullRecord.aspx?p=3330643</t>
  </si>
  <si>
    <t>Understanding Military Culture : A Canadian Perspective</t>
  </si>
  <si>
    <t>English, Allan D.</t>
  </si>
  <si>
    <t>Military Science; Social Science</t>
  </si>
  <si>
    <t>UA600</t>
  </si>
  <si>
    <t>Electronic books. -- local; Sociology, Military -- Canada.; Sociology, Military -- United States.</t>
  </si>
  <si>
    <t>http://public.eblib.com/choice/PublicFullRecord.aspx?p=3330644</t>
  </si>
  <si>
    <t>From Rogue to Everyman : A Foundling's Journey to the Bastille</t>
  </si>
  <si>
    <t>Bongie, Laurence L.</t>
  </si>
  <si>
    <t>DC133.3</t>
  </si>
  <si>
    <t>Crime -- France -- Paris -- History -- 18th century.; De Julie, Charles, -- 1725-1756.; Paris (France) -- Biography.; Police -- France -- Paris -- History -- 18th century.; Prisoners -- France -- Paris -- Biography.; Underground press publications -- France -- Paris -- History -- 18th century.</t>
  </si>
  <si>
    <t>http://public.eblib.com/choice/PublicFullRecord.aspx?p=3330645</t>
  </si>
  <si>
    <t>Minding the Public Purse : The Fiscal Crisis, Political Trade-offs, and Canada's Future</t>
  </si>
  <si>
    <t>MacKinnon, Janice</t>
  </si>
  <si>
    <t>HJ8513</t>
  </si>
  <si>
    <t>Debts, Public -- Canada.; Deficit financing -- Canada.; Dépenses publiques -- Canada.; Dettes publiques -- Canada.; Expenditures, Public -- Canada.; Fiscal policy -- Canada.; Politique fiscale -- Canada.</t>
  </si>
  <si>
    <t>http://public.eblib.com/choice/PublicFullRecord.aspx?p=3330646</t>
  </si>
  <si>
    <t>Entrepreneurship and Community Economic Development : Exploring the Link</t>
  </si>
  <si>
    <t>Diochon, Monica C.</t>
  </si>
  <si>
    <t>HC79.E44</t>
  </si>
  <si>
    <t>Community development -- Canada -- Case studies.; Community development.; Développement communautaire -- Canada -- Cas, Études de.; Développement communautaire.; Entrepreneuriat.; Entrepreneurship.</t>
  </si>
  <si>
    <t>http://public.eblib.com/choice/PublicFullRecord.aspx?p=3330647</t>
  </si>
  <si>
    <t>Holocaust, Israel, and Canadian Protestant Churches</t>
  </si>
  <si>
    <t>Genizi, Haim</t>
  </si>
  <si>
    <t>BM535</t>
  </si>
  <si>
    <t>Arab-Israeli conflict.; Christianity and international relations.; Christianity and other religions -- Judaism.; Holocaust, Jewish (1939-1945); Judaism -- Relations -- Christianity.; Protestant churches -- Canada -- History -- 20th century.</t>
  </si>
  <si>
    <t>http://public.eblib.com/choice/PublicFullRecord.aspx?p=3330648</t>
  </si>
  <si>
    <t>Saddest Country : On Assignment in Colombia</t>
  </si>
  <si>
    <t>Coghlan, Nicholas</t>
  </si>
  <si>
    <t>F2264.2</t>
  </si>
  <si>
    <t>Coghlan, Nicholas, -- 1954-; Colombia -- Description and travel.; Colombia -- Politics and government -- 1974-; Drug traffic -- Colombia.; Insurgency -- Colombia.</t>
  </si>
  <si>
    <t>http://public.eblib.com/choice/PublicFullRecord.aspx?p=3330649</t>
  </si>
  <si>
    <t>Sterling Public Servant : A Global Tribute to Sylvia Ostry</t>
  </si>
  <si>
    <t>Ryten, Jacob; Dodge, David</t>
  </si>
  <si>
    <t>HC113</t>
  </si>
  <si>
    <t>Canada -- Commercial policy.; Civil service -- Canada -- Biography.; Économistes -- Canada -- Biographies.; Economists -- Canada -- Biography.; Fonction publique -- Canada -- Biographies.; Ostry, Sylvia, -- 1927-; Ostry, Sylvia.</t>
  </si>
  <si>
    <t>http://public.eblib.com/choice/PublicFullRecord.aspx?p=3330650</t>
  </si>
  <si>
    <t>Imaginative Structure of the City</t>
  </si>
  <si>
    <t>The Culture of Cities Series</t>
  </si>
  <si>
    <t>Blum, A.</t>
  </si>
  <si>
    <t>HT119 -- .B58 2003eb</t>
  </si>
  <si>
    <t>Cities and towns.; Sociologie urbaine.; Sociology, Urban.; Villes.</t>
  </si>
  <si>
    <t>http://public.eblib.com/choice/PublicFullRecord.aspx?p=3330651</t>
  </si>
  <si>
    <t>Guide des pays fédérés, 2002 : Forum des Federations</t>
  </si>
  <si>
    <t>Griffiths, Ann L.; Nerenberg, Karl</t>
  </si>
  <si>
    <t>Electronic books. -- local; Federal government.; Political science.</t>
  </si>
  <si>
    <t>http://public.eblib.com/choice/PublicFullRecord.aspx?p=3330652</t>
  </si>
  <si>
    <t>Greater Game : India's Race with Destiny and China</t>
  </si>
  <si>
    <t>Van Praagh, David</t>
  </si>
  <si>
    <t>DS450.C5</t>
  </si>
  <si>
    <t>China -- Foreign relations -- India.; Electronic books. -- local; India -- Foreign relations -- China.; India -- History -- 1947-; India -- Politics and government -- 1947-; Political science.</t>
  </si>
  <si>
    <t>http://public.eblib.com/choice/PublicFullRecord.aspx?p=3330653</t>
  </si>
  <si>
    <t>Setting in the East : Maritime Realist Fiction</t>
  </si>
  <si>
    <t>Creelman, David</t>
  </si>
  <si>
    <t>PR9198.2.M3</t>
  </si>
  <si>
    <t>Authors, Canadian -- Homes and haunts -- Maritime Provinces.; Canadian fiction -- 20th century -- History and criticism.; Canadian fiction -- Maritime Provinces -- History and criticism.; Maritime Provinces -- In literature.; Maritime Provinces -- Intellectual life.; Realism in literature.</t>
  </si>
  <si>
    <t>http://public.eblib.com/choice/PublicFullRecord.aspx?p=3330654</t>
  </si>
  <si>
    <t>Great Land Rush and the Making of the Modern World, 1650-1900</t>
  </si>
  <si>
    <t>Weaver, John C.</t>
  </si>
  <si>
    <t>JV105</t>
  </si>
  <si>
    <t>Colonization -- History.; Electronic books. -- local; Land settlement -- Great Britain -- Colonies -- History.; Land tenure -- Great Britain -- Colonies -- History.; Right of property -- Great Britain -- Colonies -- History.; United States -- Territorial expansion.</t>
  </si>
  <si>
    <t>http://public.eblib.com/choice/PublicFullRecord.aspx?p=3330655</t>
  </si>
  <si>
    <t>Challenging the Market : The Struggle to Regulate Work and Income</t>
  </si>
  <si>
    <t>Stanford, Jim; Vosko, Leah F</t>
  </si>
  <si>
    <t>HD5706</t>
  </si>
  <si>
    <t>Labor costs.; Labor market.; Labor policy.; Main-d''oeuvre -- Coût.; Marché du travail.; Travail -- Politique gouvernementale.</t>
  </si>
  <si>
    <t>http://public.eblib.com/choice/PublicFullRecord.aspx?p=3330656</t>
  </si>
  <si>
    <t>Integrating School and Workplace Learning in Canada : Principles and Practices of Alternation Education and Training</t>
  </si>
  <si>
    <t>Schuetze, Hans G.; Sweet, Robert</t>
  </si>
  <si>
    <t>LC1049.8.C32 -- I58 2003eb</t>
  </si>
  <si>
    <t>370.11/3</t>
  </si>
  <si>
    <t>Education, Cooperative -- Canada.; Electronic books. -- local; Occupational training -- Canada.; School-to-work transition -- Canada.</t>
  </si>
  <si>
    <t>http://public.eblib.com/choice/PublicFullRecord.aspx?p=3330657</t>
  </si>
  <si>
    <t>Charting Northern Waters : Essays for the Centenary of the Canadian Hydrographic Service</t>
  </si>
  <si>
    <t>Glover, William; Canadian Hydrographic Service Staff; Canadian Nautical Research Society Staff</t>
  </si>
  <si>
    <t>Military Science; Science: Geology; Science</t>
  </si>
  <si>
    <t>VK597.C2</t>
  </si>
  <si>
    <t>Canadian Hydrographic Service -- History.; Hydrography -- Canada.</t>
  </si>
  <si>
    <t>http://public.eblib.com/choice/PublicFullRecord.aspx?p=3330658</t>
  </si>
  <si>
    <t>Singing Story, Healing Drum : Shamans and Storytellers of Turkic Siberia</t>
  </si>
  <si>
    <t>Van Deusen, Kira</t>
  </si>
  <si>
    <t>GR345</t>
  </si>
  <si>
    <t>Khakassians -- Folklore.; Khakassians -- Music -- History and criticism.; Khakassians -- Religion.; Shamanism -- Russia (Federation) -- Siberia.; Tuvinians -- Folklore.; Tuvinians -- Music -- History and criticism.; Tuvinians -- Religion.</t>
  </si>
  <si>
    <t>http://public.eblib.com/choice/PublicFullRecord.aspx?p=3330659</t>
  </si>
  <si>
    <t>Digital Play : The Interaction of Technology, Culture, and Marketing</t>
  </si>
  <si>
    <t>Kline, Stephen; Dyer-Witheford, Nick; de Peuter, Greig</t>
  </si>
  <si>
    <t>Sport &amp; Recreation; Business/Management</t>
  </si>
  <si>
    <t>HD9993.E454</t>
  </si>
  <si>
    <t>Electronic books. -- local; Electronic games -- Social aspects.; Electronic games industry.</t>
  </si>
  <si>
    <t>http://public.eblib.com/choice/PublicFullRecord.aspx?p=3330660</t>
  </si>
  <si>
    <t>Stage-Bound : Feature Film Adaptations of Canadian and Québécois Drama</t>
  </si>
  <si>
    <t>Loiselle, André</t>
  </si>
  <si>
    <t>PN1997.85</t>
  </si>
  <si>
    <t>Canadian drama -- Film adaptations.; Canadian drama -- Television adaptations.; Electronic books. -- local; Motion pictures -- Canada -- History and criticism.</t>
  </si>
  <si>
    <t>http://public.eblib.com/choice/PublicFullRecord.aspx?p=3330661</t>
  </si>
  <si>
    <t>Strange Things Done : Murder in Yukon History</t>
  </si>
  <si>
    <t>Coates, Ken  S.; Morrison, William  R.</t>
  </si>
  <si>
    <t>Meurtre -- Yukon -- Histoire.; Murder -- Yukon -- History.; Procès (Meurtre) -- Yukon -- Histoire.; Trials (Murder) -- Yukon -- History.; Yukon -- Histoire -- 1895-; Yukon Territory -- History.</t>
  </si>
  <si>
    <t>http://public.eblib.com/choice/PublicFullRecord.aspx?p=3330662</t>
  </si>
  <si>
    <t>Sad Comedy of El'dar Riazanov : An Introduction to Russia's Most Popular Filmaker</t>
  </si>
  <si>
    <t>PN1998.3.R52 -- M32 2003eb</t>
  </si>
  <si>
    <t>791.43/023/092</t>
  </si>
  <si>
    <t>Comedy films -- Russia (Federation) -- History and criticism.; R︠i︡azanov, Ėlʹdar -- Criticism and interpretation.</t>
  </si>
  <si>
    <t>http://public.eblib.com/choice/PublicFullRecord.aspx?p=3330663</t>
  </si>
  <si>
    <t>The Holy Fool : Christian Faith and Theology in J.M.R. Lenz</t>
  </si>
  <si>
    <t>Pope, Timothy  F.</t>
  </si>
  <si>
    <t>PT2394.L3</t>
  </si>
  <si>
    <t>Lenz, Jakob Michael Reinhold, -- 1751-1792 -- Criticism and interpretation.; Lenz, Jakob Michael Reinhold, -- 1751-1792 -- Religion.</t>
  </si>
  <si>
    <t>http://public.eblib.com/choice/PublicFullRecord.aspx?p=3330664</t>
  </si>
  <si>
    <t>D.H. Lawrence and Survival : Darwinism in the Fiction of the Transitional Period</t>
  </si>
  <si>
    <t>Granofsky, Ronald</t>
  </si>
  <si>
    <t>PR6023.A93</t>
  </si>
  <si>
    <t>Anxiety in literature.; Darwin, Charles, -- 1809-1882 -- Influence.; Evolution (Biology) in literature.; Fiction -- Authorship -- Psychological aspects.; Lawrence, D. H. -- (David Herbert), -- 1885-1930 -- Criticism and interpretation.; Lawrence, D. H. -- (David Herbert), -- 1885-1930 -- Psychology.; Misogyny in literature.</t>
  </si>
  <si>
    <t>http://public.eblib.com/choice/PublicFullRecord.aspx?p=3330665</t>
  </si>
  <si>
    <t>Lieutenant Owen William Steele of the Newfoundland Regiment</t>
  </si>
  <si>
    <t>Facey-Crowther, David R.; Steele, Owen William</t>
  </si>
  <si>
    <t>D547.N55</t>
  </si>
  <si>
    <t>Grande-Bretagne. -- Army. -- Newfoundland Regiment -- Biographies.; Great Britain. -- Army. -- Newfoundland Regiment, 1st -- Diaries.; Steele, Owen William -- Correspondence.; Steele, Owen William -- Diaries.; World War, 1914-1918 -- Campaigns -- Western Front.; World War, 1914-1918 -- Personal narratives, Newfoundland.; World War, 1914-1918 -- Regimental histories -- Newfoundland and Labrador.</t>
  </si>
  <si>
    <t>http://public.eblib.com/choice/PublicFullRecord.aspx?p=3330666</t>
  </si>
  <si>
    <t>Tolerant Allies : Canada and the United States, 1963-1968</t>
  </si>
  <si>
    <t>Donaghy, Greg</t>
  </si>
  <si>
    <t>E183.8.C2</t>
  </si>
  <si>
    <t>Canada -- Foreign relations -- 1945-; Canada -- Foreign relations -- United States.; Canada -- Relations extérieures -- 1945-; Canada -- Relations extérieures -- États-Unis.; États-Unis -- Relations extérieures -- 1963-1969.; United States -- Foreign relations -- 1963-1969.; United States -- Foreign relations -- Canada.</t>
  </si>
  <si>
    <t>http://public.eblib.com/choice/PublicFullRecord.aspx?p=3330667</t>
  </si>
  <si>
    <t>Our Son a Stranger : Adoption Breakdown and Its Effects on Parents</t>
  </si>
  <si>
    <t>Adams, Marie</t>
  </si>
  <si>
    <t>HV875.7 .C2</t>
  </si>
  <si>
    <t>Adoption interraciale -- Canada -- Cas, Études de.; Adoptive parents -- Canada -- Psychology.; Enfants autochtones -- Canada.; Indian children -- Canada.; Interracial adoption -- Canada -- Case studies.; Parents adoptifs -- Canada -- Psychologie.</t>
  </si>
  <si>
    <t>http://public.eblib.com/choice/PublicFullRecord.aspx?p=3330668</t>
  </si>
  <si>
    <t>Unreal Country : Modernity in the Canadian Novel in English</t>
  </si>
  <si>
    <t>Willmott, Glenn</t>
  </si>
  <si>
    <t>PR9192.5 -- .W55 2002eb</t>
  </si>
  <si>
    <t>813/.509112</t>
  </si>
  <si>
    <t>Canadian fiction -- 20th century -- History and criticism.; Modernism (Literature) -- Canada.</t>
  </si>
  <si>
    <t>http://public.eblib.com/choice/PublicFullRecord.aspx?p=3330669</t>
  </si>
  <si>
    <t>Cyber-Diplomacy : Managing Foreign Policy in the Twenty-First Century</t>
  </si>
  <si>
    <t>Potter, Evan H.</t>
  </si>
  <si>
    <t>JZ1515</t>
  </si>
  <si>
    <t>Canada -- Foreign relations administration.; Information technology -- Canada.</t>
  </si>
  <si>
    <t>http://public.eblib.com/choice/PublicFullRecord.aspx?p=3330670</t>
  </si>
  <si>
    <t>Healing through Art : Ritualized Space and Cree Identity</t>
  </si>
  <si>
    <t>Ferrara, Nadia</t>
  </si>
  <si>
    <t>RC451.5.I5</t>
  </si>
  <si>
    <t>Art therapy -- James Bay Region.; Cree Indians -- Ethnic identity.; Cree Indians -- Mental health -- James Bay Region.; Cree Indians -- Psychology.; Electronic books. -- local</t>
  </si>
  <si>
    <t>http://public.eblib.com/choice/PublicFullRecord.aspx?p=3330671</t>
  </si>
  <si>
    <t>Handbook of Federal Countries, 2005</t>
  </si>
  <si>
    <t>Federal government -- Handbooks, manuals, etc.; Political science.</t>
  </si>
  <si>
    <t>http://public.eblib.com/choice/PublicFullRecord.aspx?p=3330672</t>
  </si>
  <si>
    <t>Beware the British Serpent : The Role of Writers in British Propaganda in the United States, 1939-1945</t>
  </si>
  <si>
    <t>Calder, Robert  L.</t>
  </si>
  <si>
    <t>D810.P7</t>
  </si>
  <si>
    <t>Authors, English -- 20th century -- Political and social views.; English literature -- Political aspects.; Guerre mondiale, 1939-1945 -- Propagande.; Propaganda, British -- United States -- History -- 20th century.; World War, 1939-1945 -- Literature and the war.; World War, 1939-1945 -- Propaganda.; World War, 1939-1945 -- United States.</t>
  </si>
  <si>
    <t>http://public.eblib.com/choice/PublicFullRecord.aspx?p=3330673</t>
  </si>
  <si>
    <t>Creating Carleton : The Shaping of a University</t>
  </si>
  <si>
    <t>Neatby, Blair; McEown, Don</t>
  </si>
  <si>
    <t>LE3.C42 -- N43 2002eb</t>
  </si>
  <si>
    <t>378.713/84</t>
  </si>
  <si>
    <t>Carleton University -- History.</t>
  </si>
  <si>
    <t>http://public.eblib.com/choice/PublicFullRecord.aspx?p=3330674</t>
  </si>
  <si>
    <t>Generative Thought : An Introduction to the Works of Luigi Giussani</t>
  </si>
  <si>
    <t>Buzzi, Elisa</t>
  </si>
  <si>
    <t>BX4705.G5538</t>
  </si>
  <si>
    <t>Catholic Church -- Clergy.; Église catholique -- Clergé.; Giussani, Luigi.; Giussani, Luigi.; Religious educators -- Italy.; Theologians -- Italy -- Biography.; Theology.</t>
  </si>
  <si>
    <t>http://public.eblib.com/choice/PublicFullRecord.aspx?p=3330675</t>
  </si>
  <si>
    <t>Sécurité humaine et nouvelle diplomatie : Protection des Personnes, Promotion de la Paix</t>
  </si>
  <si>
    <t>McRae, Rob; Hubert, Don; Burgo, Aude</t>
  </si>
  <si>
    <t>JZ5584.C3 -- H8514 2001eb</t>
  </si>
  <si>
    <t>Electronic books. -- local; Intervention (International law); Peace.; Security, International.</t>
  </si>
  <si>
    <t>http://public.eblib.com/choice/PublicFullRecord.aspx?p=3330676</t>
  </si>
  <si>
    <t>Struggle to Serve : A History of the Moncton Hospital, 1895 to 1953</t>
  </si>
  <si>
    <t>Godfrey, W.G.</t>
  </si>
  <si>
    <t>RA983.N5</t>
  </si>
  <si>
    <t>Electronic books. -- local; History.; Moncton Hospital -- History.</t>
  </si>
  <si>
    <t>http://public.eblib.com/choice/PublicFullRecord.aspx?p=3330677</t>
  </si>
  <si>
    <t>Best-Laid Plans : Health Care's Problems and Prospects</t>
  </si>
  <si>
    <t>McFarlane, Lawrie; Prado, Carlos</t>
  </si>
  <si>
    <t>RA395.C3</t>
  </si>
  <si>
    <t>Health care reform -- Canada.; Medical care -- Canada.; Santé, Services de -- Réforme -- Canada.; Soins médicaux -- Canada.</t>
  </si>
  <si>
    <t>http://public.eblib.com/choice/PublicFullRecord.aspx?p=3330678</t>
  </si>
  <si>
    <t>Critical Humanism and the Politics of Difference</t>
  </si>
  <si>
    <t>Noonan, Jeff</t>
  </si>
  <si>
    <t>B809.9</t>
  </si>
  <si>
    <t>Difference (Philosophy) -- Political aspects.; Electronic books. -- local; Humanism.</t>
  </si>
  <si>
    <t>http://public.eblib.com/choice/PublicFullRecord.aspx?p=3330679</t>
  </si>
  <si>
    <t>Comings and Goings : University Students in Canadian Society, 1854-1973</t>
  </si>
  <si>
    <t>Levi, Charles Moden</t>
  </si>
  <si>
    <t>LE3.T668</t>
  </si>
  <si>
    <t>University College (Toronto, Ont.) -- Étudiants -- Associations -- Histoire.; University College (Toronto, Ont.) -- Students -- Societies, etc. -- History.</t>
  </si>
  <si>
    <t>http://public.eblib.com/choice/PublicFullRecord.aspx?p=3330680</t>
  </si>
  <si>
    <t>Tortillas and Tomatoes : Transmigrant Mexican Harvesters in Canada</t>
  </si>
  <si>
    <t>Basok, Tanya</t>
  </si>
  <si>
    <t>HD1530.O5 B278 2002eb</t>
  </si>
  <si>
    <t>Agricultural laborers, Foreign -- Ontario.; Electronic books. -- local; Foreign workers, Mexican -- Ontario.</t>
  </si>
  <si>
    <t>http://public.eblib.com/choice/PublicFullRecord.aspx?p=3330681</t>
  </si>
  <si>
    <t>Toward the Charter : Canadians and the Demand for a National Bill of Rights, 1929-1960</t>
  </si>
  <si>
    <t>MacLennan, Christopher</t>
  </si>
  <si>
    <t>JC599.C2</t>
  </si>
  <si>
    <t>Canada. -- Canadian Bill of Rights.; Civil rights -- Canada -- History.</t>
  </si>
  <si>
    <t>http://public.eblib.com/choice/PublicFullRecord.aspx?p=3330682</t>
  </si>
  <si>
    <t>Chasing Empire across the Sea : Communications and the State in the French Atlantic, 1713-1763</t>
  </si>
  <si>
    <t>Banks, Kenneth J.</t>
  </si>
  <si>
    <t>JV1816</t>
  </si>
  <si>
    <t>Commercial correspondence -- America -- History -- 18th century.; Communication -- Politique gouvernementale -- France -- Histoire -- 18e siècle.; Communication policy -- France -- History -- 18th century.; Correspondance administrative -- France -- Histoire -- 18e siècle.; Correspondance commerciale -- Amerique -- Histoire -- 18e siècle.; Government correspondence -- France -- History -- 18th century.; Travelers'' writings, French -- History and criticism.</t>
  </si>
  <si>
    <t>http://public.eblib.com/choice/PublicFullRecord.aspx?p=3330683</t>
  </si>
  <si>
    <t>Emotional and Interpersonal Dimensions of Health Services : Enriching the Art of Care with the Science of Care</t>
  </si>
  <si>
    <t>Dubé, Laurette; Ferland, Guylaine; Moskowitz</t>
  </si>
  <si>
    <t>R726.5</t>
  </si>
  <si>
    <t>Electronic books. -- local; Medical personnel and patient.; Patients -- Psychology.; Social medicine.</t>
  </si>
  <si>
    <t>http://public.eblib.com/choice/PublicFullRecord.aspx?p=3330684</t>
  </si>
  <si>
    <t>Straits of Malacca : Gateway or Gauntlet?</t>
  </si>
  <si>
    <t>Freeman, Donald B.</t>
  </si>
  <si>
    <t>HE884.6</t>
  </si>
  <si>
    <t>Coastwise shipping -- Malacca, Strait of -- History.; Malacca, Détroit de -- Commerce -- Histoire.; Malacca, Strait of -- Commerce -- History.; Routes commerciales -- Malacca, Détroit de.; Trade routes -- Malacca, Strait of.; Transports maritimes côtiers -- Malacca, Détroit de -- Histoire.</t>
  </si>
  <si>
    <t>http://public.eblib.com/choice/PublicFullRecord.aspx?p=3330685</t>
  </si>
  <si>
    <t>Order and Place in a Colonial City : Patterns of Struggle and Resistance in Georgetown, British Guiana,1889-1924</t>
  </si>
  <si>
    <t>De Barros, Juanita</t>
  </si>
  <si>
    <t>F2389.G3</t>
  </si>
  <si>
    <t>Conflits sociaux -- Guyana -- Georgetown -- Histoire.; Espaces publics -- Guyana -- Georgetown -- Histoire.; Georgetown (Guyana) -- Ethnic relations.; Georgetown (Guyana) -- History.; Georgetown (Guyana) -- Relations interethniques.; Public spaces -- Guyana -- Georgetown -- History.; Social conflict -- Guyana -- Georgetown -- History.</t>
  </si>
  <si>
    <t>http://public.eblib.com/choice/PublicFullRecord.aspx?p=3330686</t>
  </si>
  <si>
    <t>Canada Among Nations, 2004 : Setting Priorities Straight</t>
  </si>
  <si>
    <t>Canada Among Nations Series</t>
  </si>
  <si>
    <t>Carment, David; Hillmer, Norman; Osler Hampson, Fen</t>
  </si>
  <si>
    <t>Canada -- Foreign relations.; Canada -- History.; Electronic books. -- local</t>
  </si>
  <si>
    <t>http://public.eblib.com/choice/PublicFullRecord.aspx?p=3330687</t>
  </si>
  <si>
    <t>Long Eclipse : The Liberal Protestant Establishment and the Canadian University, 1920-1970</t>
  </si>
  <si>
    <t>Gidney, Catherine</t>
  </si>
  <si>
    <t>LC114</t>
  </si>
  <si>
    <t>Church and education -- Canada -- History -- 20th century.; Église et éducation -- Canada -- Histoire -- 20e siècle.; Églises protestantes -- Canada -- Influence -- Histoire -- 20e siècle.; Protestant churches -- Canada -- Influence -- History -- 20th century.; Universités -- Canada -- Histoire -- 20e siècle.; Universities and colleges -- Canada -- History -- 20th century.</t>
  </si>
  <si>
    <t>http://public.eblib.com/choice/PublicFullRecord.aspx?p=3330688</t>
  </si>
  <si>
    <t>Imagined Nations : Reflections on Media in Canadian Fiction</t>
  </si>
  <si>
    <t>Williams, David</t>
  </si>
  <si>
    <t>PR9192.6.M38</t>
  </si>
  <si>
    <t>Canadian fiction -- 20th century -- History and criticism.; Mass media in literature.; Médias dans la littérature.; National characteristics, Canadian, in literature.; Politics and literature -- Canada -- History -- 20th century.; Roman canadien -- 20e siècle -- Histoire et critique.</t>
  </si>
  <si>
    <t>http://public.eblib.com/choice/PublicFullRecord.aspx?p=3330689</t>
  </si>
  <si>
    <t>Germany as Model and Monster : Allusions in English Fiction, 1830s-1930s</t>
  </si>
  <si>
    <t>Argyle, Gisela</t>
  </si>
  <si>
    <t>PR868.G36</t>
  </si>
  <si>
    <t>Bildungsromans -- History and criticism.; English fiction -- 19th century -- History and criticism.; English fiction -- 20th century -- History and criticism.; English fiction -- German influences.; German literature -- Appreciation -- England.; Germany -- Foreign public opinion, British.; Germany -- In literature.</t>
  </si>
  <si>
    <t>http://public.eblib.com/choice/PublicFullRecord.aspx?p=3330690</t>
  </si>
  <si>
    <t>From Migrant to Acadian : A North American Border People, 1604-1755</t>
  </si>
  <si>
    <t>Griffiths, N.E.S.</t>
  </si>
  <si>
    <t>F1038</t>
  </si>
  <si>
    <t>Acadia -- History.; Acadians -- Ethnic identity.; Acadians -- History.</t>
  </si>
  <si>
    <t>http://public.eblib.com/choice/PublicFullRecord.aspx?p=3330691</t>
  </si>
  <si>
    <t>At the Global Crossroads : The Sylvia Ostry Foundation Lectures</t>
  </si>
  <si>
    <t>Ostry, Sylvia</t>
  </si>
  <si>
    <t>HF1352</t>
  </si>
  <si>
    <t>Développement économique -- Congrès.; Economic development -- Congresses.; Globalization -- Economic aspects -- Congresses.; International economic relations -- Congresses.; Mondialisation -- Aspect économique -- Congrès.; Relations économiques internationales -- Congrès.</t>
  </si>
  <si>
    <t>http://public.eblib.com/choice/PublicFullRecord.aspx?p=3330692</t>
  </si>
  <si>
    <t>Arctic Migrants/Arctic Villagers : The Transformation of Inuit Settlement in the Central Arctic</t>
  </si>
  <si>
    <t>E99.E7 -- D325 2002eb</t>
  </si>
  <si>
    <t>971.9/50049712</t>
  </si>
  <si>
    <t>Colonisation intérieure -- Nunavut -- Histoire.; Inuit -- Land tenure -- Nunavut.; Inuit -- Nunavut -- Histoire.; Inuit -- Nunavut -- History.; Inuit -- Nunavut -- Migrations.; Inuit -- Nunavut -- Relations avec l''État.; Land settlement -- Nunavut -- History.</t>
  </si>
  <si>
    <t>http://public.eblib.com/choice/PublicFullRecord.aspx?p=3330693</t>
  </si>
  <si>
    <t>Cree Narrative : Expressing the Personal Meaning of Events</t>
  </si>
  <si>
    <t>Cree philosophy.; Oral tradition -- North America.; Philosophie crie.; Tradition orale -- Amérique du Nord.</t>
  </si>
  <si>
    <t>http://public.eblib.com/choice/PublicFullRecord.aspx?p=3330694</t>
  </si>
  <si>
    <t>Northern Lights Against POPs : Toxic Threats in the Arctic</t>
  </si>
  <si>
    <t>Published for the Inuit Circumpolar Conference Canada</t>
  </si>
  <si>
    <t>Fenge, Terry; Downie, David</t>
  </si>
  <si>
    <t>TD190.5 -- .N67 2003eb</t>
  </si>
  <si>
    <t>363.738/4/09719</t>
  </si>
  <si>
    <t>Arctic regions -- Environmental conditions.; Electronic books. -- local; Organic compounds -- Environmental aspects -- Arctic regions.; Organic compounds -- Health aspects -- Arctic regions.; Persistent pollutants -- Environmental aspects -- Arctic regions.; Persistent pollutants -- Health aspects -- Arctic regions.; Stockholm Convention on Persistent Organic Pollutants -- (2001)</t>
  </si>
  <si>
    <t>http://public.eblib.com/choice/PublicFullRecord.aspx?p=3330695</t>
  </si>
  <si>
    <t>Partner in Crime : The Life and Times of Andrei Zhdanov, 1896-1948</t>
  </si>
  <si>
    <t>Boterbloem, K.</t>
  </si>
  <si>
    <t>DK268.Z5 -- B68 2004eb</t>
  </si>
  <si>
    <t>947.084/2/092; B</t>
  </si>
  <si>
    <t>Hommes politiques -- U.R.S.S. -- Biographies.; Politicians -- Soviet Union -- Biography.; Soviet Union -- Cultural policy.; Soviet Union -- History -- 1925-1953.; Soviet Union -- Politics and government -- 1936-1953.; Ždanov, Andreǰ Aleksandrovič, -- 1896-1948.; Zhdanov, Andreĭ Aleksandrovich, -- 1896-1948.</t>
  </si>
  <si>
    <t>http://public.eblib.com/choice/PublicFullRecord.aspx?p=3330696</t>
  </si>
  <si>
    <t>Half-Brain Fables and Figs in Paradise : The 3-D Mind</t>
  </si>
  <si>
    <t>http://public.eblib.com/choice/PublicFullRecord.aspx?p=3330697</t>
  </si>
  <si>
    <t>And on That Farm He Had a Wife : Ontario Farm Women and Feminism, 1900-1970</t>
  </si>
  <si>
    <t>Halpern, Monda</t>
  </si>
  <si>
    <t>HQ1459.O57 -- H35 2001eb</t>
  </si>
  <si>
    <t>305.43/63/09713</t>
  </si>
  <si>
    <t>Farmers'' spouses -- Ontario -- Social conditions.; Feminism -- Ontario -- History -- 20th century.; Féminisme -- Ontario -- Histoire -- 20e siècle.; Femmes en agriculture -- Ontario -- Histoire -- 20e siècle.; Femmes en milieu rural -- Ontario -- Attitudes.; Rural women -- Ontario -- Attitudes.; Women in agriculture -- Ontario -- History -- 20th century.</t>
  </si>
  <si>
    <t>http://public.eblib.com/choice/PublicFullRecord.aspx?p=3330698</t>
  </si>
  <si>
    <t>Rites of Privacy and the Privacy Trade : On the Limits of Protection for the Self</t>
  </si>
  <si>
    <t>Neill, Elizabeth</t>
  </si>
  <si>
    <t>JC596</t>
  </si>
  <si>
    <t>Droit à la vie privée.; Privacy, Right of.</t>
  </si>
  <si>
    <t>http://public.eblib.com/choice/PublicFullRecord.aspx?p=3330699</t>
  </si>
  <si>
    <t>Governing Charities : Church and State in Toronto's Catholic Archdiocese, 1850s-1950s</t>
  </si>
  <si>
    <t>Maurutto, P.</t>
  </si>
  <si>
    <t>BX1424.T67 -- M38 2003eb</t>
  </si>
  <si>
    <t>361.7/5/088282713</t>
  </si>
  <si>
    <t>Catholic Church -- Ontario -- Toronto -- Charities -- History.</t>
  </si>
  <si>
    <t>http://public.eblib.com/choice/PublicFullRecord.aspx?p=3330700</t>
  </si>
  <si>
    <t>Great Duty : Canadian Responses to Modern Life and Mass Culture, 1939-1967</t>
  </si>
  <si>
    <t>Kuffert, L.B.</t>
  </si>
  <si>
    <t>FC95.4 -- K83 2003eb</t>
  </si>
  <si>
    <t>Canada -- Civilization -- 20th century.; Electronic books. -- local; Popular culture -- Canada -- History -- 20th century.</t>
  </si>
  <si>
    <t>http://public.eblib.com/choice/PublicFullRecord.aspx?p=3330701</t>
  </si>
  <si>
    <t>Schools and Work : Technical and Vocational Education in France Since the Third Republic</t>
  </si>
  <si>
    <t>Day, Charles</t>
  </si>
  <si>
    <t>T121</t>
  </si>
  <si>
    <t>Technical education -- France -- History -- 20th century.; Vocational education -- France -- History -- 20th century.</t>
  </si>
  <si>
    <t>http://public.eblib.com/choice/PublicFullRecord.aspx?p=3330702</t>
  </si>
  <si>
    <t>Shall We Dance? : A Patriotic Politics for Canada</t>
  </si>
  <si>
    <t>Blattberg, Charles</t>
  </si>
  <si>
    <t>JL186.5</t>
  </si>
  <si>
    <t>Canada -- Politics and government.; Canada -- Politique et gouvernement.; Civil society -- Canada.; Communication politique -- Canada.; National characteristics, Canadian.; Patriotism -- Canada.; Political participation -- Canada.</t>
  </si>
  <si>
    <t>http://public.eblib.com/choice/PublicFullRecord.aspx?p=3330703</t>
  </si>
  <si>
    <t>Challenging Canada : Dialogism and Narrative Techniques in Canadian Novels</t>
  </si>
  <si>
    <t>Helms, Gabriele</t>
  </si>
  <si>
    <t>Canadian fiction -- 20th century -- History and criticism.; Canadian fiction -- Minority authors -- History and criticism.; Dialogism (Literary analysis); Electronic books. -- local; Minorities in literature.; Narration (Rhetoric)</t>
  </si>
  <si>
    <t>http://public.eblib.com/choice/PublicFullRecord.aspx?p=3330704</t>
  </si>
  <si>
    <t>A Portrait of the Artist as Australian : L’Oeuvre bizarre de Barry Humphries</t>
  </si>
  <si>
    <t>St  Pierre, Paul  Matthew</t>
  </si>
  <si>
    <t>PR9619.3.H785</t>
  </si>
  <si>
    <t>Humphries, Barry -- Criticism and interpretation.; National characteristics, Australian, in literature.</t>
  </si>
  <si>
    <t>http://public.eblib.com/choice/PublicFullRecord.aspx?p=3330705</t>
  </si>
  <si>
    <t>Canada and the Great War : Western Front Association Papers</t>
  </si>
  <si>
    <t>Busch, Briton C.</t>
  </si>
  <si>
    <t>D547.C2</t>
  </si>
  <si>
    <t>Guerre mondiale, 1914-1918 -- Canada -- Congrès.; World War, 1914-1918 -- Canada -- Congresses.</t>
  </si>
  <si>
    <t>http://public.eblib.com/choice/PublicFullRecord.aspx?p=3330706</t>
  </si>
  <si>
    <t>J. B. Collip and the Evolution of Medical Research in Canada</t>
  </si>
  <si>
    <t>Li. A.</t>
  </si>
  <si>
    <t>Medicine; Science; Science: Anatomy/Physiology</t>
  </si>
  <si>
    <t>R464.C65 -- L4 2003eb</t>
  </si>
  <si>
    <t>612.4/0092</t>
  </si>
  <si>
    <t>Biochemistry -- Research -- Canada -- History.; Collip, J. B. -- (James Bertram), -- 1892-1965.; Electronic books. -- local; Endocrinology -- Research -- Canada -- History.; Medical scientists -- Canada -- Biography.; Medicine -- Research -- Canada -- History.</t>
  </si>
  <si>
    <t>http://public.eblib.com/choice/PublicFullRecord.aspx?p=3330707</t>
  </si>
  <si>
    <t>Scorpions and the Anatomy of Time : The 3-D Mind</t>
  </si>
  <si>
    <t>Social Science; Science; Science: Biology/Natural History</t>
  </si>
  <si>
    <t>QP360.5 -- C43 2002eb</t>
  </si>
  <si>
    <t>http://public.eblib.com/choice/PublicFullRecord.aspx?p=3330708</t>
  </si>
  <si>
    <t>Mapping the Margins : The Family and Social Discipline in Canada, 1700-1975</t>
  </si>
  <si>
    <t>Christie, Nancy; Gauvreau, Michael</t>
  </si>
  <si>
    <t>HQ559</t>
  </si>
  <si>
    <t>Families -- Canada -- History.; Famille -- Canada -- Histoire.; Marginalité -- Canada -- History.; Marginality, Social -- Canada -- History.</t>
  </si>
  <si>
    <t>http://public.eblib.com/choice/PublicFullRecord.aspx?p=3330709</t>
  </si>
  <si>
    <t>Dmitri Shostakovich, Pianist</t>
  </si>
  <si>
    <t>Moshevich, Sofia</t>
  </si>
  <si>
    <t>ML410.S53</t>
  </si>
  <si>
    <t>Chostakovitch, Dmitri Dmitriévitch, -- 1906-1975.; Composers -- Soviet Union -- Biography.; Compositeurs -- U.R.S.S. -- Biographies.; Pianistes -- U.R.S.S. -- Biographies.; Pianists -- Soviet Union -- Biography.; Shostakovich, Dmitriĭ Dmitrievich, -- 1906-1975.</t>
  </si>
  <si>
    <t>http://public.eblib.com/choice/PublicFullRecord.aspx?p=3330710</t>
  </si>
  <si>
    <t>Passeggiata and Popular Culture in an Italian Town : Folklore and the Performance of Modernity</t>
  </si>
  <si>
    <t>Del Negro, Giovanna  P.</t>
  </si>
  <si>
    <t>NA9070</t>
  </si>
  <si>
    <t>Abruzzo (Italy) -- Social life and customs.; Culture populaire -- Italie -- Abruzzo.; Folklore -- Italy -- Abruzzo.; Places -- Italie -- Abruzzo.; Plazas -- Social aspects -- Italy -- Abruzzo.; Popular culture -- Italy -- Abruzzo.; Walking -- Italy -- Abruzzo.</t>
  </si>
  <si>
    <t>http://public.eblib.com/choice/PublicFullRecord.aspx?p=3330711</t>
  </si>
  <si>
    <t>For Patients of Moderate Means : A Social History of the Voluntary Public General Hospital in Canada, 1890-1950</t>
  </si>
  <si>
    <t>Gagan, David; Gagan, Rosemary R.</t>
  </si>
  <si>
    <t>RA983.A1</t>
  </si>
  <si>
    <t>Hôpitaux publics -- Canada -- Histoire.; Public hospitals -- Canada -- History.</t>
  </si>
  <si>
    <t>http://public.eblib.com/choice/PublicFullRecord.aspx?p=3330712</t>
  </si>
  <si>
    <t>Far Eastern Tour : The Canadian Infantry in Korea, 1950-1953</t>
  </si>
  <si>
    <t>Watson, Brent Byron</t>
  </si>
  <si>
    <t>DS919.2</t>
  </si>
  <si>
    <t>Canada. -- Armée canadienne -- Histoire -- Guerre de Corée, 1950-1953.; Canada. -- Canadian Army -- History -- Korean War, 1950-1953.; Guerre de Corée, 1950-1953 -- Participation canadienne.; Korean War, 1950-1953 -- Participation, Canadian.; Militaires -- Canada -- Hitoire -- 20e siècle.; Soldiers -- Canada -- History -- 20th century.</t>
  </si>
  <si>
    <t>http://public.eblib.com/choice/PublicFullRecord.aspx?p=3330713</t>
  </si>
  <si>
    <t>Anglicans and the Atlantic World : High Churchmen, Evangelicals, and the Quebec Connection</t>
  </si>
  <si>
    <t>BX5612.Q3</t>
  </si>
  <si>
    <t>Anglican Church of Canada -- Québec (Province) -- History -- 19th century.; Église épiscopale du Canada -- Québec (Province) -- Histoire -- 19e siècle.; Québec (Province) -- Church history -- 19th century.; Québec (Province) -- Histoire religieuse -- 19e siècle.</t>
  </si>
  <si>
    <t>http://public.eblib.com/choice/PublicFullRecord.aspx?p=3330714</t>
  </si>
  <si>
    <t>Canadian Odyssey : A Reading of Hugh Hood's The New Age/Le nouveau siècle</t>
  </si>
  <si>
    <t>Keith, W.J.</t>
  </si>
  <si>
    <t>PR9199.3.H59</t>
  </si>
  <si>
    <t>Canada -- In literature.; Domestic fiction, Canadian -- History and criticism.; Hood, Hugh. -- New age.</t>
  </si>
  <si>
    <t>http://public.eblib.com/choice/PublicFullRecord.aspx?p=3330715</t>
  </si>
  <si>
    <t>Invisible Empire : A History of the telecommunications industry in Canada, 1846-1956</t>
  </si>
  <si>
    <t>Rens, Jean-Guy</t>
  </si>
  <si>
    <t>HE7814</t>
  </si>
  <si>
    <t>Telecommunication -- Canada -- History.; Télécommunications -- Canada -- Histoire.</t>
  </si>
  <si>
    <t>http://public.eblib.com/choice/PublicFullRecord.aspx?p=3330716</t>
  </si>
  <si>
    <t>Women, Health, and Nation : Canada and the United States since 1945</t>
  </si>
  <si>
    <t>Feldberg, Georgina; Ladd-Taylor, Molly</t>
  </si>
  <si>
    <t>RA778</t>
  </si>
  <si>
    <t>Electronic books. -- local; Women -- Health and hygiene -- Canada -- History -- 20th century.; Women -- Health and hygiene -- United States -- History -- 20th century.; Women''s health services -- Canada -- History -- 20th century.; Women''s health services -- United States -- History -- 20th century.</t>
  </si>
  <si>
    <t>http://public.eblib.com/choice/PublicFullRecord.aspx?p=3330717</t>
  </si>
  <si>
    <t>Making Public Transportation Work</t>
  </si>
  <si>
    <t>Bunting, P.M.</t>
  </si>
  <si>
    <t>HE305 -- .B86 2004eb</t>
  </si>
  <si>
    <t>Local transit -- Planning.; Local transit.; Transports publics -- Planification.; Transports publics.; Transports urbains.; Urban transportation.</t>
  </si>
  <si>
    <t>http://public.eblib.com/choice/PublicFullRecord.aspx?p=3330718</t>
  </si>
  <si>
    <t>Once and Future Canadian Democracy : An Essay in Political Thought</t>
  </si>
  <si>
    <t>Ajzenstat, Janet</t>
  </si>
  <si>
    <t>JL15</t>
  </si>
  <si>
    <t>Canada -- Politics and government.; Canada -- Politique et gouvernement.; Democracy -- Canada.; Démocratie -- Canada.; Political culture -- Canada.; Political participation -- Canada.</t>
  </si>
  <si>
    <t>http://public.eblib.com/choice/PublicFullRecord.aspx?p=3330719</t>
  </si>
  <si>
    <t>Charter Conflicts : What Is Parliament's Role?</t>
  </si>
  <si>
    <t>Hiebert, Janet L.</t>
  </si>
  <si>
    <t>KE4381.5</t>
  </si>
  <si>
    <t>Canada. -- Canadian Charter of Rights and Freedoms.; Civil rights -- Canada.; Electronic books. -- local; Legislative power -- Canada.</t>
  </si>
  <si>
    <t>http://public.eblib.com/choice/PublicFullRecord.aspx?p=3330720</t>
  </si>
  <si>
    <t>Documentary Television in Canada : From National Public Service to Global Marketplace</t>
  </si>
  <si>
    <t>Hogarth, David</t>
  </si>
  <si>
    <t>Journalism; Fine Arts</t>
  </si>
  <si>
    <t>PN1992.8.D6</t>
  </si>
  <si>
    <t>Documentary television programs -- Canada -- History.</t>
  </si>
  <si>
    <t>http://public.eblib.com/choice/PublicFullRecord.aspx?p=3330721</t>
  </si>
  <si>
    <t>Making of an Explorer : George Hubert Wilkins and the Canadian Arctic Expedition, 1913-1916</t>
  </si>
  <si>
    <t>Jenness, Stuart E.</t>
  </si>
  <si>
    <t>G635.W5</t>
  </si>
  <si>
    <t>Arctic regions -- Discovery and exploration -- Canadian.; Canadian Arctic Expedition -- (1913-1918); Electronic books. -- local; Explorers -- Arctic regions -- Biography.; Wilkins, George H. -- (George Hubert), -- Sir, -- 1888-1958.</t>
  </si>
  <si>
    <t>http://public.eblib.com/choice/PublicFullRecord.aspx?p=3330722</t>
  </si>
  <si>
    <t>New World Order : Corporate Agenda and Parallel Reality</t>
  </si>
  <si>
    <t>Yovanovich, Gordana</t>
  </si>
  <si>
    <t>HF1359</t>
  </si>
  <si>
    <t>Globalization -- Economic aspects.; Globalization -- Political aspects.; Globalization -- Social aspects.; International business enterprises -- Political aspects.; International business enterprises -- Social aspects.; Mondialisation -- Aspect social.; World politics -- 1989-</t>
  </si>
  <si>
    <t>http://public.eblib.com/choice/PublicFullRecord.aspx?p=3330723</t>
  </si>
  <si>
    <t>Night Voices : Heard in the Shadow of Hitler and Stalin</t>
  </si>
  <si>
    <t>Laskey, Heather</t>
  </si>
  <si>
    <t>DK4435.A26</t>
  </si>
  <si>
    <t>Ałapin Rubiłowicz, Stasia.; Electronic books. -- local; Jews -- Poland -- Biography.; Poland -- Biography.; Poland -- History -- 1945-1980.</t>
  </si>
  <si>
    <t>http://public.eblib.com/choice/PublicFullRecord.aspx?p=3330724</t>
  </si>
  <si>
    <t>Ontario Cancer Institute : Successes and Reverses at Sherbourne Street</t>
  </si>
  <si>
    <t>McCulloch, Ernest A.</t>
  </si>
  <si>
    <t>RC279.C3</t>
  </si>
  <si>
    <t>Cancer -- Research -- Ontario -- History -- 20th century.; Electronic books. -- local; Ontario Cancer Institute -- History.</t>
  </si>
  <si>
    <t>http://public.eblib.com/choice/PublicFullRecord.aspx?p=3330725</t>
  </si>
  <si>
    <t>Colonization and Community : The Vancouver Island Coalfield and the Making of the British Columbian Working Class</t>
  </si>
  <si>
    <t>Belshaw, John D.</t>
  </si>
  <si>
    <t>HD8039.M6152 -- C224 2002eb</t>
  </si>
  <si>
    <t>971.1/203</t>
  </si>
  <si>
    <t>British -- British Columbia -- Vancouver Island -- History.; Coal miners -- British Columbia -- Vancouver Island -- History.; Coal mines and mining -- Social aspects -- British Columbia -- Vancouver Island -- History.; Ethnology -- British Columbia -- Vancouver Island.; Mineurs de charbon -- Colombie-Britannique -- Vancouver, Île de -- Histoire.; Travailleurs -- Colombie-Britannique -- Vancouver, Île de -- Histoire.; Working class -- British Columbia -- Vancouver Island -- History.</t>
  </si>
  <si>
    <t>http://public.eblib.com/choice/PublicFullRecord.aspx?p=3330726</t>
  </si>
  <si>
    <t>Imagining Nature : Blake's Environmental Poetics</t>
  </si>
  <si>
    <t>Hutchings, Kevin</t>
  </si>
  <si>
    <t>PR4148.N3 -- H88 2002eb</t>
  </si>
  <si>
    <t>Blake, William, -- 1757-1827 -- Knowledge -- Natural history.; Human ecology in literature.; Nature in literature.</t>
  </si>
  <si>
    <t>http://public.eblib.com/choice/PublicFullRecord.aspx?p=3330727</t>
  </si>
  <si>
    <t>Labeling People : French Scholars on Society, Race, and Empire, 1815–1848</t>
  </si>
  <si>
    <t>Staum, Martin S.</t>
  </si>
  <si>
    <t>GN185.F8</t>
  </si>
  <si>
    <t>Physical anthropology -- France -- History -- 19th century.; Société de géographie (France) -- History.; Société de géographie de Paris -- Histoire.; Société ethnologique de Paris -- Histoire.; Société ethnologique de Paris -- History.; Société phrénologique de Paris -- Histoire.; Société phrénologique de Paris -- History.</t>
  </si>
  <si>
    <t>http://public.eblib.com/choice/PublicFullRecord.aspx?p=3330728</t>
  </si>
  <si>
    <t>Redressing the Past : The Politics of English-Canadian Womens' Drama, 1880-1920</t>
  </si>
  <si>
    <t>Bird, K.</t>
  </si>
  <si>
    <t>PR9188 -- .B57 2004eb</t>
  </si>
  <si>
    <t>812/.409/32042</t>
  </si>
  <si>
    <t>Canadian drama -- 19th century -- History and criticism.; Canadian drama -- 20th century -- History and criticism.; Canadian drama -- Women authors -- History and criticism.; Feminism and literature -- Canada -- History -- 19th century.; Feminism and literature -- Canada -- History -- 20th century.; Women and literature -- Canada -- History -- 19th century.; Women and literature -- Canada -- History -- 20th century.</t>
  </si>
  <si>
    <t>http://public.eblib.com/choice/PublicFullRecord.aspx?p=3330729</t>
  </si>
  <si>
    <t>Assassination, Politics, and Miracles : France and the Royalist Reaction of 1820</t>
  </si>
  <si>
    <t>Skuy, David</t>
  </si>
  <si>
    <t>DC256</t>
  </si>
  <si>
    <t>Berry, Charles-Ferdinand de Bourbon, -- duc de, -- 1778-1820 -- Assassination.; France -- History -- Restoration, 1814-1830.; France -- Kings and rulers -- Succession.; France -- Politics and government -- 1814-1830.</t>
  </si>
  <si>
    <t>http://public.eblib.com/choice/PublicFullRecord.aspx?p=3330730</t>
  </si>
  <si>
    <t>Wisdom of Eccentric Old Men : A Study of Type and Second Character in Galdós's Social Novels, 1870-1897</t>
  </si>
  <si>
    <t>Bly, Peter Anthony</t>
  </si>
  <si>
    <t>PQ6555.Z5 -- B56 2004eb</t>
  </si>
  <si>
    <t>863/.5</t>
  </si>
  <si>
    <t>Old age in literature.; Pérez Galdós, Benito, -- 1843-1920 -- Characters -- Men.; Pérez Galdós, Benito, -- 1843-1920 -- Characters -- Older people.</t>
  </si>
  <si>
    <t>http://public.eblib.com/choice/PublicFullRecord.aspx?p=3330731</t>
  </si>
  <si>
    <t>Nationalism from the Margins : Italians in Alberta and British Columbia</t>
  </si>
  <si>
    <t>Wood, Patricia K.</t>
  </si>
  <si>
    <t>F1080.I8</t>
  </si>
  <si>
    <t>Alberta -- Emigration and immigration.; Alberta -- Ethnic relations.; British Columbia -- Ethnic relations.; Italians -- Alberta -- Ethnic identity.; Italians -- Alberta -- History.; Italians -- British Columbia -- Ethnic identity.; Italians -- British Columbia -- History.</t>
  </si>
  <si>
    <t>http://public.eblib.com/choice/PublicFullRecord.aspx?p=3330732</t>
  </si>
  <si>
    <t>Estrada?! : Grand Narratives and the Philosophy of the Russian Popular Song since Perestroika</t>
  </si>
  <si>
    <t>Popular music -- Russia (Federation) -- 1991-2000 -- History and criticism.; Popular music -- Soviet Union -- 1981-1990 -- History and criticism.</t>
  </si>
  <si>
    <t>http://public.eblib.com/choice/PublicFullRecord.aspx?p=3330733</t>
  </si>
  <si>
    <t>Escott Reid : Diplomat and Scholar</t>
  </si>
  <si>
    <t>Donaghy, Greg; Roussel, Stéphane</t>
  </si>
  <si>
    <t>F1034.3.R45</t>
  </si>
  <si>
    <t>Banque mondiale -- Fonctionnaires -- Biographies.; Glendon College -- Fonctionnaires -- Biographies.; Glendon College -- Officials and employees -- Biography.; Reid, Escott -- Influence.; Reid, Escott.; Reid, Escott.; World Bank -- Officials and employees -- Biography.</t>
  </si>
  <si>
    <t>http://public.eblib.com/choice/PublicFullRecord.aspx?p=3330734</t>
  </si>
  <si>
    <t>Exiles and Islanders : The Irish Settlers of Prince Edward Island</t>
  </si>
  <si>
    <t>O'Grady, Brendan</t>
  </si>
  <si>
    <t>F1049.7.I6</t>
  </si>
  <si>
    <t>Irish -- Prince Edward Island -- History.; Irlandais -- ?Ile-du-Prince-?Edouard -- Histoire.; Prince Edward Island -- History.</t>
  </si>
  <si>
    <t>http://public.eblib.com/choice/PublicFullRecord.aspx?p=3330735</t>
  </si>
  <si>
    <t>Islam and Bosnia : Conflict Resolution and Foreign Policy in Multi-Ethnic States</t>
  </si>
  <si>
    <t>Shatzmiller, Maya</t>
  </si>
  <si>
    <t>DR1750</t>
  </si>
  <si>
    <t>Bosnia and Hercegovina -- Ethnic relations.; Conflict management -- Bosnia and Hercegovina.; Gestion des conflits -- Bosnie-Herzégovine.; Guerre dans l''ex-Yougoslavie, 1991-1995 -- Bosnie-Herzégovine.; Islam -- Bosnia and Hercegovina.; Islam -- Bosnie-Herzégovine.; Yugoslav War, 1991-1995 -- Bosnia and Hercegovina.</t>
  </si>
  <si>
    <t>http://public.eblib.com/choice/PublicFullRecord.aspx?p=3330736</t>
  </si>
  <si>
    <t>Joseph Howe : The Briton Becomes Canadian, 1848-1873</t>
  </si>
  <si>
    <t>Beck, Murray</t>
  </si>
  <si>
    <t>F1038.H82</t>
  </si>
  <si>
    <t>Electronic books. -- local; Howe, Joseph, -- 1804-1873.; Nova Scotia -- Politics and government.; Politicians -- Nova Scotia -- Biography.; Social reformers -- Nova Scotia -- Biography.</t>
  </si>
  <si>
    <t>http://public.eblib.com/choice/PublicFullRecord.aspx?p=3330737</t>
  </si>
  <si>
    <t>Creed and Culture : The Place of English-Speaking Catholics in Canadian Society, 1750-1930</t>
  </si>
  <si>
    <t>Murphy, Terrence; Stortz, Gerald</t>
  </si>
  <si>
    <t>BX1421.2 -- .C74 1993eb</t>
  </si>
  <si>
    <t>Catholic Church -- Canada -- History.; Catholics -- Canada -- Social life and customs.; Electronic books. -- local</t>
  </si>
  <si>
    <t>http://public.eblib.com/choice/PublicFullRecord.aspx?p=3330738</t>
  </si>
  <si>
    <t>Road to Nunavut : The Progress of the Eastern Arctic Inuit since the Second World War</t>
  </si>
  <si>
    <t>Duffy, Quinn; Duffy, R Quinn</t>
  </si>
  <si>
    <t>E99.E7 -- D82 1988eb</t>
  </si>
  <si>
    <t>Electronic books. -- local; Eskimos -- Canada -- Government relations.; Eskimos -- Canada -- Social conditions.; Nunavut.</t>
  </si>
  <si>
    <t>http://public.eblib.com/choice/PublicFullRecord.aspx?p=3330739</t>
  </si>
  <si>
    <t>Beyond Liberty and Property : The Process of Self-Recognition in Eighteenth-Century Political Thought</t>
  </si>
  <si>
    <t>Gunn, J.</t>
  </si>
  <si>
    <t>JA84.G7</t>
  </si>
  <si>
    <t>Electronic books. -- local; Great Britain -- Politics and government -- 18th century.; Political science -- Great Britain -- History -- 18th century.</t>
  </si>
  <si>
    <t>http://public.eblib.com/choice/PublicFullRecord.aspx?p=3330740</t>
  </si>
  <si>
    <t>Voices from Hudson Bay : Cree Stories from York Factory</t>
  </si>
  <si>
    <t>Rupert's Land Record Society Series</t>
  </si>
  <si>
    <t>Beardy, Flora; Coutts, Robert; Coutts, Robert</t>
  </si>
  <si>
    <t>Cree Indians -- Manitoba -- York Factory -- Biography.; Cree Indians -- Manitoba -- York Factory -- Interviews.; Cree Indians -- Manitoba -- York Factory -- Social conditions.; Cree Indians -- Manitoba -- York Factory -- Social life and customs.; Hudson''s Bay Company -- History.; York Factory (Man.) -- Social conditions.; York Factory (Man.) -- Social life and customs.</t>
  </si>
  <si>
    <t>http://public.eblib.com/choice/PublicFullRecord.aspx?p=3330741</t>
  </si>
  <si>
    <t>Barbarous Dissonance and Images of Voice in Milton's Epics</t>
  </si>
  <si>
    <t>Sauer, Elizabeth</t>
  </si>
  <si>
    <t>PR3562</t>
  </si>
  <si>
    <t>Electronic books. -- local; Milton, John, -- 1608-1674 -- Criticism and interpretation.; Milton, John, -- 1608-1674. -- Paradise lost.; Milton, John, -- 1608-1674. -- Paradise regained.; Narration (Rhetoric)</t>
  </si>
  <si>
    <t>http://public.eblib.com/choice/PublicFullRecord.aspx?p=3330742</t>
  </si>
  <si>
    <t>Foisted upon the Government? : State Responsibilities, Family Obligations, and the Care of the Dependent Aged in Late Nineteenth-Century Ontario</t>
  </si>
  <si>
    <t>Montigny, E.</t>
  </si>
  <si>
    <t>HV1475 O6 -- M66 1997eb</t>
  </si>
  <si>
    <t>362.6/09713/09034</t>
  </si>
  <si>
    <t>Electronic books. -- local; Older people -- Government policy -- Ontario -- History -- 19th century.; Older people -- Home care -- Government policy -- Ontario -- History -- 19th century.; Older people -- Ontario -- Social conditions.</t>
  </si>
  <si>
    <t>http://public.eblib.com/choice/PublicFullRecord.aspx?p=3330743</t>
  </si>
  <si>
    <t>Unthinking Modernity : Innis, McLuhan, and the Frankfurt School</t>
  </si>
  <si>
    <t>Stamps, Judith</t>
  </si>
  <si>
    <t>B804 -- .S68 1995eb</t>
  </si>
  <si>
    <t>Adorno, Theodor W., -- 1903-1969.; Benjamin, Walter, -- 1892-1940.; Critical theory.; Frankfurt school of sociology.; Innis, Harold Adams, -- 1894-1952.; McLuhan, Marshall, -- 1911-1980.; Philosophy, Modern -- 20th century.</t>
  </si>
  <si>
    <t>http://public.eblib.com/choice/PublicFullRecord.aspx?p=3330744</t>
  </si>
  <si>
    <t>Getting Down to Business : A History of Business Education at Queen's, 1889-1999</t>
  </si>
  <si>
    <t>Daub, Mervin; Buchan, Bruce</t>
  </si>
  <si>
    <t>HF1134.Q442</t>
  </si>
  <si>
    <t>Business education -- Canada.; Electronic books. -- local; Queen''s University (Kingston, Ont.). -- School of Business -- History.</t>
  </si>
  <si>
    <t>http://public.eblib.com/choice/PublicFullRecord.aspx?p=3330745</t>
  </si>
  <si>
    <t>Minerva's Message : Stabilizing the French Revolution</t>
  </si>
  <si>
    <t>DC33.5</t>
  </si>
  <si>
    <t>Electronic books. -- local; Enlightenment -- France.; France -- History -- Revolution, 1789-1799 -- Influence.; France -- Intellectual life -- 18th century -- Political aspects.; Institut national de France.</t>
  </si>
  <si>
    <t>http://public.eblib.com/choice/PublicFullRecord.aspx?p=3330746</t>
  </si>
  <si>
    <t>Federalism, Bureaucracy, and Public Policy : The Politics of Highway Transport Regulation</t>
  </si>
  <si>
    <t>Canadian Public Administration Series</t>
  </si>
  <si>
    <t>Schultz, Richard J.</t>
  </si>
  <si>
    <t>JL27</t>
  </si>
  <si>
    <t>Electronic books. -- local; Federal government -- Canada.; Transportation, Automotive -- Law and legislation -- Canada.</t>
  </si>
  <si>
    <t>http://public.eblib.com/choice/PublicFullRecord.aspx?p=3330747</t>
  </si>
  <si>
    <t>Feminist Politics on the Farm : Rural Catholic Women in Southern Quebec and Southwestern France</t>
  </si>
  <si>
    <t>Black, Naomi; Brandt, Gail Cuthbert</t>
  </si>
  <si>
    <t>HQ1459.Q4</t>
  </si>
  <si>
    <t>Catholic women -- France, Southwest.; Catholic women -- Québec (Province); Feminism -- France, Southwest.; Feminism -- Québec (Province); Rural women -- France, Southwest.; Rural women -- Québec (Province); Women -- Political activity -- Québec (Province)</t>
  </si>
  <si>
    <t>http://public.eblib.com/choice/PublicFullRecord.aspx?p=3330748</t>
  </si>
  <si>
    <t>Chora 1 : Intervals in the Philosophy of Architecture</t>
  </si>
  <si>
    <t>Pérez-Gómez, Alberto; Parcell, Stephen</t>
  </si>
  <si>
    <t>NA2500</t>
  </si>
  <si>
    <t>Architecture -- History.; Architecture -- Philosophy.; Electronic books. -- local</t>
  </si>
  <si>
    <t>http://public.eblib.com/choice/PublicFullRecord.aspx?p=3330749</t>
  </si>
  <si>
    <t>Politics and Economics of Eric Kierans : A Man for All Canadas</t>
  </si>
  <si>
    <t>McDougall, John N.</t>
  </si>
  <si>
    <t>F1034.3.K54 -- M38 1993eb</t>
  </si>
  <si>
    <t>Canada -- Economic conditions -- 1945-; Electronic books. -- local; Kierans, Eric W., -- 1914-2004.; Politicians -- Canada -- Biography.</t>
  </si>
  <si>
    <t>http://public.eblib.com/choice/PublicFullRecord.aspx?p=3330750</t>
  </si>
  <si>
    <t>Karl Polanyi on Ethics and Economics : Foreword by Marguerite Mendell</t>
  </si>
  <si>
    <t>Baum, Gregory; Mendell, Marguerite</t>
  </si>
  <si>
    <t>HB102.P64</t>
  </si>
  <si>
    <t>Economics -- Moral and ethical aspects.; Economists -- Hungary.; Electronic books. -- local; Polanyi, Karl, -- 1886-1964.</t>
  </si>
  <si>
    <t>http://public.eblib.com/choice/PublicFullRecord.aspx?p=3330751</t>
  </si>
  <si>
    <t>People from Our Side : A Life Story with Photographs by Peter Pisteolak and Oral Biography</t>
  </si>
  <si>
    <t>Pitseolak, Peter; Eber, Dorothy H.; Hanson, Ann</t>
  </si>
  <si>
    <t>E99.E7 -- P535 1993eb</t>
  </si>
  <si>
    <t>Baffin Island (Nunavut) -- Biography.; Electronic books. -- local; Inuit -- Nunavut -- Baffin Island -- Biography.; Inuit -- Nunavut -- Baffin Island.; Pitseolak, Peter, -- 1902-1973.</t>
  </si>
  <si>
    <t>http://public.eblib.com/choice/PublicFullRecord.aspx?p=3330752</t>
  </si>
  <si>
    <t>Beaver Bites Back? : American Popular Culture in Canada</t>
  </si>
  <si>
    <t>Flaherty, David H.; Manning, Frank E.</t>
  </si>
  <si>
    <t>F1021.2</t>
  </si>
  <si>
    <t>Canada -- Civilization -- American influences.; Electronic books. -- local; Popular culture -- Canada.; Popular culture -- United States.</t>
  </si>
  <si>
    <t>http://public.eblib.com/choice/PublicFullRecord.aspx?p=3330753</t>
  </si>
  <si>
    <t>Challenge of Arctic Shipping : Science, Environmental Assessment, and Human Values</t>
  </si>
  <si>
    <t>Vander-Zwaag, David L.; Lamson, Cynthia</t>
  </si>
  <si>
    <t>Economics; Engineering; Environmental Studies; Engineering: Environmental</t>
  </si>
  <si>
    <t>TD428.S55</t>
  </si>
  <si>
    <t>Electronic books. -- local; Environmental impact analysis -- Arctic Ocean.; Shipping -- Environmental aspects -- Arctic Ocean.</t>
  </si>
  <si>
    <t>http://public.eblib.com/choice/PublicFullRecord.aspx?p=3330754</t>
  </si>
  <si>
    <t>Prelude to Quebec's Quiet Revolution : Liberalism Versus Neo-Nationalism, 1945-1960</t>
  </si>
  <si>
    <t>Behiels, M.</t>
  </si>
  <si>
    <t>F1053 -- .B4 1985eb</t>
  </si>
  <si>
    <t>Electronic books. -- local; Nationalism -- Québec (Province) -- History -- 20th century.; Political culture -- Québec (Province) -- History -- 20th century.; Québec (Province) -- Politics and government.</t>
  </si>
  <si>
    <t>http://public.eblib.com/choice/PublicFullRecord.aspx?p=3330755</t>
  </si>
  <si>
    <t>Development of the Idea of History in Antiquity</t>
  </si>
  <si>
    <t>Press, Gerald A.</t>
  </si>
  <si>
    <t>D16.8</t>
  </si>
  <si>
    <t>Electronic books. -- local; History -- Philosophy.; History, Ancient -- Historiography.</t>
  </si>
  <si>
    <t>http://public.eblib.com/choice/PublicFullRecord.aspx?p=3330756</t>
  </si>
  <si>
    <t>Laugh-Makers : Stand-Up Comedy as Art, Business, and Life-Style</t>
  </si>
  <si>
    <t>Stebbins, Robert A.</t>
  </si>
  <si>
    <t>PN1969.C65</t>
  </si>
  <si>
    <t>Comedians -- Canada.; Electronic books. -- local; Stand-up comedy -- Canada.; Stand-up comedy -- United States.</t>
  </si>
  <si>
    <t>http://public.eblib.com/choice/PublicFullRecord.aspx?p=3330757</t>
  </si>
  <si>
    <t>Kierkegaard as Humanist : Discovering My Self</t>
  </si>
  <si>
    <t>Come, Arnold B.</t>
  </si>
  <si>
    <t>B4378.S4</t>
  </si>
  <si>
    <t>http://public.eblib.com/choice/PublicFullRecord.aspx?p=3330758</t>
  </si>
  <si>
    <t>Land, Settlement, and Politics on Eighteenth-Century Prince Edward Island</t>
  </si>
  <si>
    <t>Bumsted, J.; Bumsted,</t>
  </si>
  <si>
    <t>F1048 -- .B86 1987eb</t>
  </si>
  <si>
    <t>971.7/01</t>
  </si>
  <si>
    <t>Electronic books. -- local; Land tenure -- Prince Edward Island -- History -- 18th century.; Prince Edward Island -- History.</t>
  </si>
  <si>
    <t>http://public.eblib.com/choice/PublicFullRecord.aspx?p=3330759</t>
  </si>
  <si>
    <t>Habitants and Merchants in Seventeenth-Century Montreal</t>
  </si>
  <si>
    <t>Dechêne, Louise; Vardi, Liana</t>
  </si>
  <si>
    <t>HN110.M63</t>
  </si>
  <si>
    <t>Canada -- History -- To 1763 (New France); Electronic books. -- local; Montréal (Québec) -- Economic conditions.; Montréal (Québec) -- History.; Montréal (Québec) -- Population -- History.; Montréal (Québec) -- Social conditions.</t>
  </si>
  <si>
    <t>http://public.eblib.com/choice/PublicFullRecord.aspx?p=3330760</t>
  </si>
  <si>
    <t>While the Women Only Wept : Loyalist Refugee Women</t>
  </si>
  <si>
    <t>Potter-MacKinnon, J.</t>
  </si>
  <si>
    <t>F1058 -- .P68 1993eb</t>
  </si>
  <si>
    <t>Canada -- History -- 1763-1791.; Electronic books. -- local; United Empire loyalists.; United States -- History -- Revolution, 1775-1783 -- Refugees.; Women refugees -- Ontario -- History -- 18th century.</t>
  </si>
  <si>
    <t>http://public.eblib.com/choice/PublicFullRecord.aspx?p=3330761</t>
  </si>
  <si>
    <t>Knight-Monks of Vichy France : Uriage, 1940-1945</t>
  </si>
  <si>
    <t>DC397</t>
  </si>
  <si>
    <t>Ecole nationale des cadres d''Uriage.; Electronic books. -- local; France -- Intellectual life -- 20th century.; France -- Politics and government -- 1940-1945.; Uriage-les-Bains (France) -- Intellectual life.; World War, 1939-1945 -- France -- Uriage-les-Bains.</t>
  </si>
  <si>
    <t>http://public.eblib.com/choice/PublicFullRecord.aspx?p=3330762</t>
  </si>
  <si>
    <t>Incorporating the Familiar : An Investigation into Legal Sensibilities in Nunavik</t>
  </si>
  <si>
    <t>Drummond, Susan G.</t>
  </si>
  <si>
    <t>Law; Social Science</t>
  </si>
  <si>
    <t>KEQ1060</t>
  </si>
  <si>
    <t>Electronic books. -- local; Inuit -- Legal status, laws, etc. -- Québec (Province) -- Nunavik.; Inuit -- Québec (Province) -- Nunavik -- Social life and customs.; Justice, Administration of -- Québec (Province) -- Nunavik.</t>
  </si>
  <si>
    <t>http://public.eblib.com/choice/PublicFullRecord.aspx?p=3330763</t>
  </si>
  <si>
    <t>Letters to a Québécois Friend</t>
  </si>
  <si>
    <t>Resnick, Philip; Latouche, Daniel</t>
  </si>
  <si>
    <t>F1027</t>
  </si>
  <si>
    <t>Canada -- English-French relations.; Electronic books. -- local; Latouche, Daniel, -- 1945- -- Correspondence.; Québec (Province) -- History.; Québec (Province) -- Politics and government -- 1960-; Resnick, Philip -- Correspondence.</t>
  </si>
  <si>
    <t>http://public.eblib.com/choice/PublicFullRecord.aspx?p=3330764</t>
  </si>
  <si>
    <t>Idea of Loyalty in Upper Canada, 1784-1850</t>
  </si>
  <si>
    <t>Mills, David</t>
  </si>
  <si>
    <t>F1058</t>
  </si>
  <si>
    <t>Allegiance -- Ontario -- History.; Electronic books. -- local; Ontario -- Politics and government.</t>
  </si>
  <si>
    <t>http://public.eblib.com/choice/PublicFullRecord.aspx?p=3330765</t>
  </si>
  <si>
    <t>Gentle Eminence : A Life of Cardinal Flahiff</t>
  </si>
  <si>
    <t>Platt, Wallace; Roblin, Duff</t>
  </si>
  <si>
    <t>BX4705.F555</t>
  </si>
  <si>
    <t>Cardinals -- Biography.; Cardinals -- Canada -- Biography.; Electronic books. -- local; Flahiff, George Bernard, -- 1905-</t>
  </si>
  <si>
    <t>http://public.eblib.com/choice/PublicFullRecord.aspx?p=3330766</t>
  </si>
  <si>
    <t>Catholic Cults and Devotions : A Psychological Inquiry</t>
  </si>
  <si>
    <t>Carroll, Michael P.</t>
  </si>
  <si>
    <t>BX1970</t>
  </si>
  <si>
    <t>Catholic Church -- Controversial literature.; Catholic Church -- Customs and practices -- Psychological aspects.; Cults.; Electronic books. -- local</t>
  </si>
  <si>
    <t>http://public.eblib.com/choice/PublicFullRecord.aspx?p=3330767</t>
  </si>
  <si>
    <t>Recent Social Trends in Bulgaria, 1960-1995</t>
  </si>
  <si>
    <t>Genov, Nikolai; Krasteva, Anna</t>
  </si>
  <si>
    <t>HN623</t>
  </si>
  <si>
    <t>Bulgaria -- Social conditions -- 20th century.; Quality of life -- Bulgaria.</t>
  </si>
  <si>
    <t>http://public.eblib.com/choice/PublicFullRecord.aspx?p=3330768</t>
  </si>
  <si>
    <t>Recent Social Trends in Russia 1960-1995</t>
  </si>
  <si>
    <t>Boutenko, Irene A.; Razlogov, Kyrill E.</t>
  </si>
  <si>
    <t>HN523.5</t>
  </si>
  <si>
    <t>Electronic books. -- local; Russia (Federation) -- Social conditions -- 1991-; Social indicators -- Soviet Union.; Soviet Union -- Social conditions -- 1945-1991.</t>
  </si>
  <si>
    <t>http://public.eblib.com/choice/PublicFullRecord.aspx?p=3330769</t>
  </si>
  <si>
    <t>Masks of Proteus : Canadian Reflections on the State</t>
  </si>
  <si>
    <t>Resnick, Philip</t>
  </si>
  <si>
    <t>JC325</t>
  </si>
  <si>
    <t>Canada -- Politics and government.; Electronic books. -- local; State, The.</t>
  </si>
  <si>
    <t>http://public.eblib.com/choice/PublicFullRecord.aspx?p=3330770</t>
  </si>
  <si>
    <t>Poetics of Place : The Poetry of Ralph Gustafson</t>
  </si>
  <si>
    <t>McCarthy, Dermot</t>
  </si>
  <si>
    <t>PR9199.3.G8</t>
  </si>
  <si>
    <t>Canadian literature.; Electronic books. -- local; Gustafson, Ralph, -- 1909-1995 -- Criticism and interpretation.</t>
  </si>
  <si>
    <t>http://public.eblib.com/choice/PublicFullRecord.aspx?p=3330771</t>
  </si>
  <si>
    <t>Claude Buffier and Thomas Reid : Two Common-Sense Philosophers</t>
  </si>
  <si>
    <t>Marcil-Lacoste, Louise</t>
  </si>
  <si>
    <t>B1959.B74</t>
  </si>
  <si>
    <t>Buffier, Claude, -- 1661-1737.; Common sense -- History -- 18th century.; Electronic books. -- local; Reid, Thomas, -- 1710-1796.</t>
  </si>
  <si>
    <t>http://public.eblib.com/choice/PublicFullRecord.aspx?p=3330772</t>
  </si>
  <si>
    <t>Evangelism and Apostasy : The Evolution and Impact of Evangelicals in Modern Mexico</t>
  </si>
  <si>
    <t>BR1642.M6</t>
  </si>
  <si>
    <t>Electronic books. -- local; Evangelicalism -- Mexico.; Mexico -- Church history -- 20th century.; Pentecostalism -- Mexico.; Protestant churches -- Mexico.</t>
  </si>
  <si>
    <t>http://public.eblib.com/choice/PublicFullRecord.aspx?p=3330773</t>
  </si>
  <si>
    <t>Early Origins of the Social Sciences</t>
  </si>
  <si>
    <t>H51</t>
  </si>
  <si>
    <t>Civilization -- History.; Electronic books. -- local; Social sciences -- History.</t>
  </si>
  <si>
    <t>http://public.eblib.com/choice/PublicFullRecord.aspx?p=3330774</t>
  </si>
  <si>
    <t>Women's Struggle for Higher Education in Russia, 1855-1900</t>
  </si>
  <si>
    <t>Johanson, Christine</t>
  </si>
  <si>
    <t>LC2166</t>
  </si>
  <si>
    <t>Electronic books. -- local; Women -- Education (Higher) -- Russia -- History -- 19th century.; Women -- Russia -- Social conditions.</t>
  </si>
  <si>
    <t>http://public.eblib.com/choice/PublicFullRecord.aspx?p=3330775</t>
  </si>
  <si>
    <t>Descartes and the Enlightenment</t>
  </si>
  <si>
    <t>Schouls, Peter A.</t>
  </si>
  <si>
    <t>B1875</t>
  </si>
  <si>
    <t>Descartes, René, -- 1596-1650.; Electronic books. -- local; Enlightenment.</t>
  </si>
  <si>
    <t>http://public.eblib.com/choice/PublicFullRecord.aspx?p=3330776</t>
  </si>
  <si>
    <t>Law, Policy, and International Justice : Essays in Honour of Maxwell Cohen</t>
  </si>
  <si>
    <t>Kaplan, William; McRae, Donald; Cohen, Maxwell T.</t>
  </si>
  <si>
    <t>KE4381.Z85</t>
  </si>
  <si>
    <t>Civil rights -- Canada.; Cohen, Maxwell, -- 1910- -- Bibliography.; Electronic books. -- local; Habeas corpus -- History.; International law.; Law -- Study and teaching -- Canada.</t>
  </si>
  <si>
    <t>http://public.eblib.com/choice/PublicFullRecord.aspx?p=3330777</t>
  </si>
  <si>
    <t>Theology of the Oral Torah : Revealing the Justice of God</t>
  </si>
  <si>
    <t>Neusner, Jacob</t>
  </si>
  <si>
    <t>BM496.5</t>
  </si>
  <si>
    <t>Electronic books. -- local; God -- Righteousness.; Judaism -- Doctrines.; Mishnah -- Criticism, interpretation, etc.</t>
  </si>
  <si>
    <t>http://public.eblib.com/choice/PublicFullRecord.aspx?p=3330778</t>
  </si>
  <si>
    <t>John William Dawson : Faith, Hope, and Science</t>
  </si>
  <si>
    <t>Sheets-Pyenson, Susan</t>
  </si>
  <si>
    <t>QE22.D3 -- S54 1996eb</t>
  </si>
  <si>
    <t>Dawson, John William, -- Sir, -- 1820-1899.; Educators -- Canada -- Biography.; Electronic books. -- local; Geologists -- Canada -- Biography.; McGill University -- Presidents -- Biography.</t>
  </si>
  <si>
    <t>http://public.eblib.com/choice/PublicFullRecord.aspx?p=3330779</t>
  </si>
  <si>
    <t>Main Philosophical Writings and the Novel Allwill</t>
  </si>
  <si>
    <t>Jacobi, Friedrich Heinrich</t>
  </si>
  <si>
    <t>B3055.E5</t>
  </si>
  <si>
    <t>Electronic books. -- local; Jacobi, Friedrich Heinrich, -- 1743-1819.; Philosophy, German.</t>
  </si>
  <si>
    <t>http://public.eblib.com/choice/PublicFullRecord.aspx?p=3330780</t>
  </si>
  <si>
    <t>Pearson : The Unlikely Gladiator</t>
  </si>
  <si>
    <t>Hillmer, Norman</t>
  </si>
  <si>
    <t>F1034.3.P4</t>
  </si>
  <si>
    <t>Biography.; Canada -- Politics and government -- 1945-1980.; Electronic books. -- local; Pearson, Lester B.</t>
  </si>
  <si>
    <t>http://public.eblib.com/choice/PublicFullRecord.aspx?p=3330781</t>
  </si>
  <si>
    <t>Home Medicine : The Newfoundland Experience</t>
  </si>
  <si>
    <t>Crellin, John K.</t>
  </si>
  <si>
    <t>R733</t>
  </si>
  <si>
    <t>Alternative medicine -- Newfoundland and Labrador.; Electronic books. -- local; Traditional medicine -- Newfoundland and Labrador.</t>
  </si>
  <si>
    <t>http://public.eblib.com/choice/PublicFullRecord.aspx?p=3330782</t>
  </si>
  <si>
    <t>Franz Rosenzweig and Jehuda Halevi : Translating, Translations, and Translators</t>
  </si>
  <si>
    <t>Galli, Barbara Ellen; Mendes-Flohr, Paul</t>
  </si>
  <si>
    <t>B3327.R64</t>
  </si>
  <si>
    <t>Electronic books. -- local; Jewish philosophy.; Judah, -- ha-Levi, -- 12th cent. -- Criticism and interpretation.; Rosenzweig, Franz, -- 1886-1929.; Translating and interpreting -- Philosophy.</t>
  </si>
  <si>
    <t>http://public.eblib.com/choice/PublicFullRecord.aspx?p=3330783</t>
  </si>
  <si>
    <t>Women, Feminism and Development / Femmes, Féminisme et Développement</t>
  </si>
  <si>
    <t>Published for CRIAW</t>
  </si>
  <si>
    <t>Dagenais, H.; Piche, Denise</t>
  </si>
  <si>
    <t>HQ1106 -- .W654 1994eb</t>
  </si>
  <si>
    <t>Electronic books. -- local; Feminism -- International cooperation -- Congresses.; Women -- Social conditions -- Congresses.; Women in development -- Congresses.</t>
  </si>
  <si>
    <t>http://public.eblib.com/choice/PublicFullRecord.aspx?p=3330784</t>
  </si>
  <si>
    <t>Inauthentic Culture and Its Philosophical Critics</t>
  </si>
  <si>
    <t>HM621</t>
  </si>
  <si>
    <t>Civilization, Western -- Philosophy.; Culture -- Philosophy -- History.; Electronic books. -- local</t>
  </si>
  <si>
    <t>http://public.eblib.com/choice/PublicFullRecord.aspx?p=3330785</t>
  </si>
  <si>
    <t>At Face Value : The Life and Times of Eliza McCormack/John White</t>
  </si>
  <si>
    <t>Akenson, Donald Harman</t>
  </si>
  <si>
    <t>PR9199.3.A35 -- A92 1990eb</t>
  </si>
  <si>
    <t>Canada -- History -- 19th century -- Fiction.; Canadian literature.; Electronic books. -- local; McCormack, Eliza -- Fiction.; White, John, -- 1831-1894 -- Fiction.</t>
  </si>
  <si>
    <t>http://public.eblib.com/choice/PublicFullRecord.aspx?p=3330786</t>
  </si>
  <si>
    <t>Life of Propriety : Anne Murray Powell and Her Family, 1755-1849</t>
  </si>
  <si>
    <t>McKenna, Katherine M.J.</t>
  </si>
  <si>
    <t>F1059.5.T6853</t>
  </si>
  <si>
    <t>Electronic books. -- local; Powell family.; Powell, Anne Murray, -- 1755-1849.; Toronto (Ont.) -- Biography.; Toronto (Ont.) -- History.</t>
  </si>
  <si>
    <t>http://public.eblib.com/choice/PublicFullRecord.aspx?p=3330787</t>
  </si>
  <si>
    <t>Science and Social Context : The Regulation of Recombinant Bovine Growth Hormone in North America</t>
  </si>
  <si>
    <t>Mills, Lisa N.</t>
  </si>
  <si>
    <t>SF98.S65</t>
  </si>
  <si>
    <t>Electronic books. -- local; Monsanto Company.; Recombinant bovine somatotropin -- Economic aspects -- Canada.; Recombinant bovine somatotropin -- Government policy -- Canada.; Recombinant bovine somatotropin -- Government policy -- United States.</t>
  </si>
  <si>
    <t>http://public.eblib.com/choice/PublicFullRecord.aspx?p=3330788</t>
  </si>
  <si>
    <t>Jacob Burckhardt and the Crisis of Modernity</t>
  </si>
  <si>
    <t>Hinde, John R.</t>
  </si>
  <si>
    <t>D15.B8</t>
  </si>
  <si>
    <t>Burckhardt, Jacob, -- 1818-1897.; Historians -- Switzerland -- Biography.</t>
  </si>
  <si>
    <t>http://public.eblib.com/choice/PublicFullRecord.aspx?p=3330789</t>
  </si>
  <si>
    <t>On Their Own? : Making the Transition from School to Work in the Information Age</t>
  </si>
  <si>
    <t>Crysdale, Stewart; King, Alan J.C.; Mandell, Nancy</t>
  </si>
  <si>
    <t>HD6276.C3C78 1999</t>
  </si>
  <si>
    <t>Electronic books. -- local; Labor market -- Canada.; School-to-work transition -- Canada.; Youth -- Employment -- Canada.</t>
  </si>
  <si>
    <t>http://public.eblib.com/choice/PublicFullRecord.aspx?p=3330790</t>
  </si>
  <si>
    <t>Zambian Crisis Behaviour : Confronting Rhodesia's Unilateral Declaration of Independence, 1965-1966</t>
  </si>
  <si>
    <t>Anglin, Douglas G.</t>
  </si>
  <si>
    <t>DT3113</t>
  </si>
  <si>
    <t>Crisis management in government -- Zambia.; Electronic books. -- local; Zambia -- Foreign relations -- Zimbabwe.; Zambia -- Politics and government -- 1964-1991.; Zimbabwe -- Foreign relations -- Zambia.</t>
  </si>
  <si>
    <t>http://public.eblib.com/choice/PublicFullRecord.aspx?p=3330791</t>
  </si>
  <si>
    <t>Pauline Jewett : A Passion for Canada</t>
  </si>
  <si>
    <t>McKenzie, Judith</t>
  </si>
  <si>
    <t>F1034.3.J49</t>
  </si>
  <si>
    <t>Canada. -- Parliament. -- House of Commons -- Biography.; Educators -- Canada -- Biography.; Electronic books. -- local; Jewett, Pauline, -- 1922-; Legislators -- Canada -- Biography.; Simon Fraser University -- Presidents -- Biography.; Women college administrators -- Canada -- Biography.</t>
  </si>
  <si>
    <t>http://public.eblib.com/choice/PublicFullRecord.aspx?p=3330792</t>
  </si>
  <si>
    <t>Recent Social Trends in Italy, 1960-1995</t>
  </si>
  <si>
    <t>Martinelli, Alberto; Chiesi, Antonio</t>
  </si>
  <si>
    <t>HN475.5</t>
  </si>
  <si>
    <t>Electronic books. -- local; Italy -- Social conditions -- 1945-1976.; Italy -- Social conditions -- 1976-1994.; Social indicators -- Italy.</t>
  </si>
  <si>
    <t>http://public.eblib.com/choice/PublicFullRecord.aspx?p=3330793</t>
  </si>
  <si>
    <t>Form and Transformation : A Study in the Philosophy of Plotinus</t>
  </si>
  <si>
    <t>Schroeder, Frederic M.</t>
  </si>
  <si>
    <t>B693.Z7</t>
  </si>
  <si>
    <t>Electronic books. -- local; Form (Philosophy); Plotinus -- Contributions in metaphysics.</t>
  </si>
  <si>
    <t>http://public.eblib.com/choice/PublicFullRecord.aspx?p=3330794</t>
  </si>
  <si>
    <t>Canadian International Development Assistance Policies : An Appraisal</t>
  </si>
  <si>
    <t>Pratt, Cranford</t>
  </si>
  <si>
    <t>HC60 -- .C345 1994eb</t>
  </si>
  <si>
    <t>Canadian International Development Agency.; Economic assistance, Canadian.; Electronic books. -- local</t>
  </si>
  <si>
    <t>http://public.eblib.com/choice/PublicFullRecord.aspx?p=3330795</t>
  </si>
  <si>
    <t>C.P. Snow and the Struggle of Modernity</t>
  </si>
  <si>
    <t>De La Mothe, John</t>
  </si>
  <si>
    <t>PR6037.N58 -- Z62 1992eb</t>
  </si>
  <si>
    <t>823/.912</t>
  </si>
  <si>
    <t>Civil service -- Great Britain -- Biography.; Electronic books. -- local; Novelists, English -- 20th century -- Biography.; Scientists -- Great Britain -- Biography.; Snow, C. P. -- (Charles Percy), -- 1905-1980.</t>
  </si>
  <si>
    <t>http://public.eblib.com/choice/PublicFullRecord.aspx?p=3330796</t>
  </si>
  <si>
    <t>Religion and Nationality in Western Ukraine : The Greek Catholic Church and the Ruthenian National Movement in Galicia, 1867–1900</t>
  </si>
  <si>
    <t>Himka, J-P.</t>
  </si>
  <si>
    <t>BX4711.622 -- H54 1999eb</t>
  </si>
  <si>
    <t>281/.5</t>
  </si>
  <si>
    <t>Catholic Church -- Byzantine rite -- Galicia (Poland and Ukraine); Catholic Church -- Byzantine rite, Ruthenian -- Galicia (Poland and Ukraine); Catholic Church -- Byzantine rite, Ukrainian -- Galicia (Poland and Ukraine) -- History.; Galicia (Poland and Ukraine) -- History.; Galicia (Poland and Ukraine) -- Religion -- 19th century.; Nationalism -- Galicia (Poland and Ukraine) -- History -- 19th century.; Nationalism -- Galicia (Poland and Ukraine) -- Religious aspects -- Catholic Church.</t>
  </si>
  <si>
    <t>http://public.eblib.com/choice/PublicFullRecord.aspx?p=3330797</t>
  </si>
  <si>
    <t>Reformation of Canada's Schools : Breaking the Barriers to Parental Choice</t>
  </si>
  <si>
    <t>Holmes, Mark</t>
  </si>
  <si>
    <t>LA412</t>
  </si>
  <si>
    <t>Educational change -- Canada.; Educational planning -- Canada.; Electronic books. -- local</t>
  </si>
  <si>
    <t>http://public.eblib.com/choice/PublicFullRecord.aspx?p=3330798</t>
  </si>
  <si>
    <t>Les récoltes des forêts publiques au Québec et en Ontario, 1840-1900</t>
  </si>
  <si>
    <t>Studies on the History of Quebec/Études d'histoire du Québec</t>
  </si>
  <si>
    <t>Gaudreau, G.</t>
  </si>
  <si>
    <t>SD538.3 C2 -- G38 1999eb</t>
  </si>
  <si>
    <t>634.9/8/09714</t>
  </si>
  <si>
    <t>Electronic books. -- local; Forest reserves -- Ontario -- History -- 19th century.; Forest reserves -- Québec (Province) -- History -- 19th century.; Logging -- Ontario -- History -- 19th century.; Logging -- Québec (Province) -- History -- 19th century.</t>
  </si>
  <si>
    <t>http://public.eblib.com/choice/PublicFullRecord.aspx?p=3330799</t>
  </si>
  <si>
    <t>On the Political Economy of Social Democracy : Selected Papers of J.C. Weldon</t>
  </si>
  <si>
    <t>Weldon, J.; Fenichel, Allen; Ingerman, Sidney H.</t>
  </si>
  <si>
    <t>HC115</t>
  </si>
  <si>
    <t>Canada -- Economic policy.; Canada -- Social policy.; Electronic books. -- local; Socialism -- Canada.</t>
  </si>
  <si>
    <t>http://public.eblib.com/choice/PublicFullRecord.aspx?p=3330800</t>
  </si>
  <si>
    <t>Economics, Enlightenment, and Canadian Nationalism</t>
  </si>
  <si>
    <t>Wright, Robert W.</t>
  </si>
  <si>
    <t>HB72</t>
  </si>
  <si>
    <t>Economics -- Philosophy.; Electronic books. -- local; Nationalism -- Canada.; Progress.</t>
  </si>
  <si>
    <t>http://public.eblib.com/choice/PublicFullRecord.aspx?p=3330801</t>
  </si>
  <si>
    <t>Newton's Dream</t>
  </si>
  <si>
    <t>Stayer, Marcia Sweet</t>
  </si>
  <si>
    <t>Science: General; Mathematics</t>
  </si>
  <si>
    <t>QA803</t>
  </si>
  <si>
    <t>Electronic books. -- local; Newton, Isaac, -- Sir, -- 1642-1727 -- Knowledge -- Science.; Newton, Isaac, -- Sir, -- 1642-1727. -- Principia -- Congresses.; Science -- History -- Congresses.</t>
  </si>
  <si>
    <t>http://public.eblib.com/choice/PublicFullRecord.aspx?p=3330802</t>
  </si>
  <si>
    <t>Career of Toleration : John Locke, Jonas Proast, and After</t>
  </si>
  <si>
    <t>Vernon, Richard</t>
  </si>
  <si>
    <t>Religion; Political Science</t>
  </si>
  <si>
    <t>BR1610</t>
  </si>
  <si>
    <t>Electronic books. -- local; Locke, John, -- 1632-1704 -- Views on toleration.; Locke, John, -- 1632-1704. -- Epistola de tolerantia.; Proast, Jonas -- Views on toleration.; Toleration.</t>
  </si>
  <si>
    <t>http://public.eblib.com/choice/PublicFullRecord.aspx?p=3330803</t>
  </si>
  <si>
    <t>Racism, Sexism, and the University : The Political Science Affair at the University of British Columbia</t>
  </si>
  <si>
    <t>Marchak, Patricia</t>
  </si>
  <si>
    <t>LC212.43.C22</t>
  </si>
  <si>
    <t>Discrimination in higher education -- British Columbia -- Vancouver -- Case studies.; Electronic books. -- local; Sex discrimination in higher education -- British Columbia -- Vancouver -- Case studies.; University of British Columbia. -- Dept. of Political Science.</t>
  </si>
  <si>
    <t>http://public.eblib.com/choice/PublicFullRecord.aspx?p=3330804</t>
  </si>
  <si>
    <t>Undisciplined Women : Tradition and Culture in Canada</t>
  </si>
  <si>
    <t>Greenhill, Pauline; Tye, Diane</t>
  </si>
  <si>
    <t>HQ1453</t>
  </si>
  <si>
    <t>Electronic books. -- local; Folklore -- Canada.; Women -- Canada -- Folklore.; Women -- Canada -- Social life and customs.</t>
  </si>
  <si>
    <t>http://public.eblib.com/choice/PublicFullRecord.aspx?p=3330805</t>
  </si>
  <si>
    <t>Ringing in the Common Love of Good : The United Farmers of Ontario, 1914–1926</t>
  </si>
  <si>
    <t>Badgely, K.</t>
  </si>
  <si>
    <t>Agriculture; Business/Management; Political Science</t>
  </si>
  <si>
    <t>HD1486.C2 -- B33 2000eb</t>
  </si>
  <si>
    <t>324.2713/02</t>
  </si>
  <si>
    <t>Ontario -- Politics and government -- 20th century.; Ontario -- Politique et gouvernement -- 1919-1923.; United Farmers of Ontario -- Histoire.; United Farmers of Ontario -- History.</t>
  </si>
  <si>
    <t>http://public.eblib.com/choice/PublicFullRecord.aspx?p=3330806</t>
  </si>
  <si>
    <t>Interdisciplinary Approaches to Canadian Society : A Guide to the Literature</t>
  </si>
  <si>
    <t>Artibise, Alan F.J.</t>
  </si>
  <si>
    <t>F1021</t>
  </si>
  <si>
    <t>Canada -- History.; Canada -- Social conditions -- Bibliography.; Canada -- Social conditions -- Study and teaching (Higher) -- Canada.; Electronic books. -- local</t>
  </si>
  <si>
    <t>http://public.eblib.com/choice/PublicFullRecord.aspx?p=3330807</t>
  </si>
  <si>
    <t>Tyendinaga Tales</t>
  </si>
  <si>
    <t>Rustige, Rona; Rustige, Rona</t>
  </si>
  <si>
    <t>E99.M8</t>
  </si>
  <si>
    <t>Electronic books. -- local; Indians of North America -- Ontario -- Folklore.; Mohawk Indians -- Folklore.; Tales -- Canada.; Tales -- Ontario -- Tyendinaga Indian Reserve.; Tales -- United States.</t>
  </si>
  <si>
    <t>http://public.eblib.com/choice/PublicFullRecord.aspx?p=3330808</t>
  </si>
  <si>
    <t>Aristotle's Poetics : Translated and with a commentary by George Whalley</t>
  </si>
  <si>
    <t>Aristotle; Baxter, John; Atherton</t>
  </si>
  <si>
    <t>PN1040</t>
  </si>
  <si>
    <t>Aesthetics -- Early works to 1800.; Aristotle. -- Poetics.; Electronic books. -- local; Poetry -- Early works to 1800.</t>
  </si>
  <si>
    <t>http://public.eblib.com/choice/PublicFullRecord.aspx?p=3330809</t>
  </si>
  <si>
    <t>André Malraux : Towards the Expression of Transcendence</t>
  </si>
  <si>
    <t>Bevan, David</t>
  </si>
  <si>
    <t>PQ2625.A716 -- Z575 1986eb</t>
  </si>
  <si>
    <t>843/.912</t>
  </si>
  <si>
    <t>Electronic books. -- local; Malraux, André, -- 1901-1976 -- Criticism and interpretation.; Transcendence (Philosophy) in literature.</t>
  </si>
  <si>
    <t>http://public.eblib.com/choice/PublicFullRecord.aspx?p=3330810</t>
  </si>
  <si>
    <t>Polar Pioneers : John Ross and James Clark Ross</t>
  </si>
  <si>
    <t>Ross, M.; Holland, Clive; Ross, Honorary Lecturer in Psychology Helen</t>
  </si>
  <si>
    <t>G635.R67 -- R67 1994eb</t>
  </si>
  <si>
    <t>Antarctica -- Discovery and exploration -- British.; Arctic regions -- Discovery and exploration -- British.; Explorers -- Canada -- Biography.; Explorers -- Great Britain -- Biography.; Northwest Passage.; Ross, James Clark, -- Sir, -- 1800-1862.; Ross, John, -- Sir, -- 1777-1856.</t>
  </si>
  <si>
    <t>http://public.eblib.com/choice/PublicFullRecord.aspx?p=3330811</t>
  </si>
  <si>
    <t>Russian Entrepreneur : Publisher Ivan Sytin of Moscow, 1851-1934</t>
  </si>
  <si>
    <t>Ruud, Charles A.</t>
  </si>
  <si>
    <t>Publishing; Journalism</t>
  </si>
  <si>
    <t>Z368 R982r</t>
  </si>
  <si>
    <t>077.090 34</t>
  </si>
  <si>
    <t>Businesspeople -- Soviet Union -- Biography.; Electronic books. -- local; Newspaper publishing -- Soviet Union -- History.; Publishers and publishing -- Soviet Union -- Biography.; Russia -- History -- Revolution, 1905-1907.; Sytin, Ivan Dmitrievich, -- 1851-1934.</t>
  </si>
  <si>
    <t>http://public.eblib.com/choice/PublicFullRecord.aspx?p=3330812</t>
  </si>
  <si>
    <t>Facts of Life : The Social Construction of Vital Statistics, Ontario 1869-1952</t>
  </si>
  <si>
    <t>HA747.O6</t>
  </si>
  <si>
    <t>Electronic books. -- local; Ontario -- Population -- Statistics.; Ontario -- Statistics, Vital.; Statistics -- Ontario.</t>
  </si>
  <si>
    <t>http://public.eblib.com/choice/PublicFullRecord.aspx?p=3330813</t>
  </si>
  <si>
    <t>Bounty and Benevolence : A History of Saskatchewan Treaties</t>
  </si>
  <si>
    <t>Tough, Frank</t>
  </si>
  <si>
    <t>History; Law</t>
  </si>
  <si>
    <t>KES529 -- .R39 2000eb</t>
  </si>
  <si>
    <t>971.24/00497</t>
  </si>
  <si>
    <t>Indians of North America -- Canada -- Treaties -- History.; Indians of North America -- Legal status, laws, etc. -- Canada -- History -- Sources.; Indians of North America -- Legal status, laws, etc. -- Saskatchewan -- History -- Sources.; Indians of North America -- Saskatchewan -- Treaties -- History.</t>
  </si>
  <si>
    <t>http://public.eblib.com/choice/PublicFullRecord.aspx?p=3330814</t>
  </si>
  <si>
    <t>Mimic Fires : Accounts of Early Long Poems on Canada</t>
  </si>
  <si>
    <t>Bentley, D.</t>
  </si>
  <si>
    <t>PR9190.4</t>
  </si>
  <si>
    <t>Canada -- In literature.; Canadian poetry -- 19th century -- History and criticism.; Electronic books. -- local; Epic poetry -- History and criticism.; Historical poetry -- History and criticism.; National characteristics, Canadian, in literature.</t>
  </si>
  <si>
    <t>http://public.eblib.com/choice/PublicFullRecord.aspx?p=3330815</t>
  </si>
  <si>
    <t>Kleist on Stage, 1804-1987</t>
  </si>
  <si>
    <t>Reeve, William C.</t>
  </si>
  <si>
    <t>PT2379</t>
  </si>
  <si>
    <t>Electronic books. -- local; Kleist, Heinrich von, -- 1777-1811 -- Dramatic production.; Kleist, Heinrich von, -- 1777-1811 -- Stage history.; Theater -- Europe, German-speaking -- History.</t>
  </si>
  <si>
    <t>http://public.eblib.com/choice/PublicFullRecord.aspx?p=3330816</t>
  </si>
  <si>
    <t>Jena System, 1804-5 : Logic and Metaphysics</t>
  </si>
  <si>
    <t>Hegel, G.; Burbidge, John W.; di Giovanni, George; Giovanni, George di ; Giovanni, George di</t>
  </si>
  <si>
    <t>B2944.J42 -- E5 1986eb</t>
  </si>
  <si>
    <t>Electronic books. -- local; Logic.; Metaphysics.</t>
  </si>
  <si>
    <t>http://public.eblib.com/choice/PublicFullRecord.aspx?p=3330817</t>
  </si>
  <si>
    <t>Distant Relation : Time and Identity in Spanish American Fiction</t>
  </si>
  <si>
    <t>Thomson, Eoin S.</t>
  </si>
  <si>
    <t>PQ7082.N7</t>
  </si>
  <si>
    <t>Identity (Philosophical concept) in literature.; Spanish American fiction -- 20th century -- History and criticism.; Time in literature.</t>
  </si>
  <si>
    <t>http://public.eblib.com/choice/PublicFullRecord.aspx?p=3330818</t>
  </si>
  <si>
    <t>McGill University : For the Advancement of Learning, Volume II 1895–1971</t>
  </si>
  <si>
    <t>Frost, S.</t>
  </si>
  <si>
    <t>LE3.M22 -- F762 1984eb</t>
  </si>
  <si>
    <t>Electronic books. -- local; McGill University -- History.; Universities and colleges -- Québec (Province) -- Montréal.</t>
  </si>
  <si>
    <t>http://public.eblib.com/choice/PublicFullRecord.aspx?p=3330819</t>
  </si>
  <si>
    <t>Under Technology's Thumb</t>
  </si>
  <si>
    <t>HM221</t>
  </si>
  <si>
    <t>Electronic books. -- local; Technological innovations -- Social aspects.; Technology -- Social aspects.; Technology and civilization.</t>
  </si>
  <si>
    <t>http://public.eblib.com/choice/PublicFullRecord.aspx?p=3330820</t>
  </si>
  <si>
    <t>Carabins ou activistes? : L'idéalism et la radicalisation de la pensée étudiante à l'Université de Montréal au temps du Duplessisme</t>
  </si>
  <si>
    <t>Neatby, Nicole</t>
  </si>
  <si>
    <t>LA418.Q8</t>
  </si>
  <si>
    <t>Electronic books. -- local; Student movements -- Québec (Province) -- Montréal -- History.; Students -- Québec (Province) -- Montréal -- Political activity -- History.; Université de Montréal -- Students -- Political activity -- History.</t>
  </si>
  <si>
    <t>http://public.eblib.com/choice/PublicFullRecord.aspx?p=3330821</t>
  </si>
  <si>
    <t>Local Hospitals in Ancien Régime France : Rationalization, Resistance, Renewal, 1530-1789</t>
  </si>
  <si>
    <t>Hickey, Daniel</t>
  </si>
  <si>
    <t>RA989.F8</t>
  </si>
  <si>
    <t>362.110 94409</t>
  </si>
  <si>
    <t>Electronic books. -- local; Hospitals -- France -- History.; Medical policy -- France -- History.</t>
  </si>
  <si>
    <t>http://public.eblib.com/choice/PublicFullRecord.aspx?p=3330822</t>
  </si>
  <si>
    <t>Counterweights : The Failure of Canada's German and European Policy, 1955-1995</t>
  </si>
  <si>
    <t>Rempel, Roy</t>
  </si>
  <si>
    <t>F1029.5.G3</t>
  </si>
  <si>
    <t>Canada -- Foreign relations -- 1945-; Canada -- Foreign relations -- Germany.; Canada -- Military relations -- Germany.; Germany -- Foreign relations -- 1945-; Germany -- Foreign relations -- Canada.; Germany -- Military relations -- Canada.; International relations.</t>
  </si>
  <si>
    <t>http://public.eblib.com/choice/PublicFullRecord.aspx?p=3330823</t>
  </si>
  <si>
    <t>Pilgrims in Lotus Land : Conservative Protestantism in British Columbia, 1917-1981</t>
  </si>
  <si>
    <t>Burkinshaw, Robert K.</t>
  </si>
  <si>
    <t>BR575.B8</t>
  </si>
  <si>
    <t>British Columbia -- Church history -- 20th century.; Electronic books. -- local; Evangelicalism -- British Columbia -- History -- 20th century.; Protestant churches -- British Columbia -- History -- 20th century.</t>
  </si>
  <si>
    <t>http://public.eblib.com/choice/PublicFullRecord.aspx?p=3330824</t>
  </si>
  <si>
    <t>Old Dualities : Deconstructing Robert Kroetsch and His Critics</t>
  </si>
  <si>
    <t>Tiefensee, Dianne</t>
  </si>
  <si>
    <t>PR9199.3.K76 -- Z84 1994eb</t>
  </si>
  <si>
    <t>Deconstruction.; Kroetsch, Robert, -- 1927-2011 -- Criticism and interpretation.</t>
  </si>
  <si>
    <t>http://public.eblib.com/choice/PublicFullRecord.aspx?p=3330825</t>
  </si>
  <si>
    <t>Silenced Sextet : Six Nineteenth-Century Canadian Women Novelists</t>
  </si>
  <si>
    <t>MacMillan, Carrie; McMullen, Lorraine; Waterston, Elizabeth</t>
  </si>
  <si>
    <t>PR9188</t>
  </si>
  <si>
    <t>Canadian literature -- 19th century -- History and criticism.; Canadian literature -- Women authors -- History and criticism.; Electronic books. -- local</t>
  </si>
  <si>
    <t>http://public.eblib.com/choice/PublicFullRecord.aspx?p=3330826</t>
  </si>
  <si>
    <t>Young Man's Benefit : The Independent Order of Odd Fellows and Sickness Insurance in the United States and Canada, 1860-1929</t>
  </si>
  <si>
    <t>Emery, George; Emery, Herbert</t>
  </si>
  <si>
    <t>HG9383.E44 1998</t>
  </si>
  <si>
    <t>Electronic books. -- local; Fraternal insurance -- Canada -- History.; Fraternal insurance -- United States -- History.; Health insurance -- Canada -- History.; Health insurance -- United States -- History.; Independent Order of Odd Fellows -- Canada -- History.; Independent Order of Odd Fellows -- United States -- History.</t>
  </si>
  <si>
    <t>http://public.eblib.com/choice/PublicFullRecord.aspx?p=3330827</t>
  </si>
  <si>
    <t>Drum Songs : Glimpses of Dene History</t>
  </si>
  <si>
    <t>Abel, Kerry</t>
  </si>
  <si>
    <t>E99.T56</t>
  </si>
  <si>
    <t>Electronic books. -- local; Indians of North America -- Canada, Northern -- History.; Tinne Indians -- History.</t>
  </si>
  <si>
    <t>http://public.eblib.com/choice/PublicFullRecord.aspx?p=3330828</t>
  </si>
  <si>
    <t>Lying about the Wolf : Essays in Culture and Education</t>
  </si>
  <si>
    <t>Solway, David</t>
  </si>
  <si>
    <t>LB45</t>
  </si>
  <si>
    <t>Education -- Philosophy.; Educational anthropology.; Electronic books. -- local</t>
  </si>
  <si>
    <t>http://public.eblib.com/choice/PublicFullRecord.aspx?p=3330829</t>
  </si>
  <si>
    <t>Politics of Codification : The Lower Canadian Civil Code of 1866</t>
  </si>
  <si>
    <t>Young, Brian J.</t>
  </si>
  <si>
    <t>KEQ219</t>
  </si>
  <si>
    <t>Civil law -- Political aspects -- Québec (Province); Civil law -- Québec (Province) -- History.; Electronic books. -- local; Québec (Province). -- Civil Code of Lower Canada.</t>
  </si>
  <si>
    <t>http://public.eblib.com/choice/PublicFullRecord.aspx?p=3330830</t>
  </si>
  <si>
    <t>At Home in Time : Forms of Neo-Augustanism in Modern English Poetry</t>
  </si>
  <si>
    <t>Deane, Patrick</t>
  </si>
  <si>
    <t>PR601 -- .D365 1994eb</t>
  </si>
  <si>
    <t>Electronic books. -- local; English literature -- 20th century -- History and criticism.; English poetry -- 20th century -- History and criticism.</t>
  </si>
  <si>
    <t>http://public.eblib.com/choice/PublicFullRecord.aspx?p=3330831</t>
  </si>
  <si>
    <t>Spenser and the Poetics of Pastoral : A Study of the World of Colin Clout</t>
  </si>
  <si>
    <t>Shore, David R.</t>
  </si>
  <si>
    <t>PR2367.P34 -- S56 1985eb</t>
  </si>
  <si>
    <t>821/.3</t>
  </si>
  <si>
    <t>Clout, Colin (Fictitious character); Electronic books. -- local; Pastoral poetry, English -- History and criticism.; Spenser, Edmund, -- 1552?-1599 -- Characters -- Colin Clout.; Spenser, Edmund, -- 1552?-1599 -- Criticism and interpretation.; Spenser, Edmund, -- 1552?-1599. -- Shepherd''s calender.</t>
  </si>
  <si>
    <t>http://public.eblib.com/choice/PublicFullRecord.aspx?p=3330832</t>
  </si>
  <si>
    <t>Keeping Heads Above Water : Salvadorean Refugees in Costa Rica</t>
  </si>
  <si>
    <t>JV7413</t>
  </si>
  <si>
    <t>Electronic books. -- local; Political refugees -- Costa Rica.; Political refugees -- El Salvador.; Salvadorans -- Costa Rica -- Economic conditions.; Salvadorans -- Costa Rica -- Social conditions.</t>
  </si>
  <si>
    <t>http://public.eblib.com/choice/PublicFullRecord.aspx?p=3330833</t>
  </si>
  <si>
    <t>Glory of Ottawa : Canada's First Parliament Buildings</t>
  </si>
  <si>
    <t>Young, Carolyn A.</t>
  </si>
  <si>
    <t>NA2345.C22</t>
  </si>
  <si>
    <t>Electronic books. -- local; Ottawa (Ont.) -- Buildings, structures, etc.; Parliament Buildings (Ottawa, Ont.); Public buildings -- Ontario -- Ottawa.</t>
  </si>
  <si>
    <t>http://public.eblib.com/choice/PublicFullRecord.aspx?p=3330834</t>
  </si>
  <si>
    <t>Rereading Middle English Romance : Manuscript Layout, Decoration, and the Rhetoric of Composite Structure</t>
  </si>
  <si>
    <t>Evans, Murray J.</t>
  </si>
  <si>
    <t>PR321</t>
  </si>
  <si>
    <t>Decoration and ornament, Medieval -- England.; Illumination of books and manuscripts, English.; Illumination of books and manuscripts, Medieval -- England.; Manuscripts, English (Middle); Romances, English -- Criticism, Textual.; Romances, English -- Illustrations.; Romances, English -- Manuscripts.</t>
  </si>
  <si>
    <t>http://public.eblib.com/choice/PublicFullRecord.aspx?p=3330835</t>
  </si>
  <si>
    <t>New Mecca, New Babylon : Paris and the Russian Exiles, 1920-1945</t>
  </si>
  <si>
    <t>Johnston, Robert H.</t>
  </si>
  <si>
    <t>DC34.5.R8 -- J64 1988eb</t>
  </si>
  <si>
    <t>Political refugees -- France -- History -- 20th century.; Russians -- France -- History -- 20th century.; Russians -- France -- Intellectual life -- 20th century.; Russians -- France -- Paris -- History -- 20th century.; Russians -- France -- Political activity -- History -- 20th century.; Soviet Union -- History -- Revolution, 1917-1921 -- Refugees.; World War, 1939-1945 -- Participation, Russian.</t>
  </si>
  <si>
    <t>http://public.eblib.com/choice/PublicFullRecord.aspx?p=3330836</t>
  </si>
  <si>
    <t>André Thevet's North America : A Sixteeth-Century View</t>
  </si>
  <si>
    <t>Schlesinger/Stabler; Stabler, Arthur</t>
  </si>
  <si>
    <t>E141 -- .T54 1986eb</t>
  </si>
  <si>
    <t>America -- Early works to 1800.; Canada -- Description and travel -- Early works to 1800.; Electronic books. -- local; Indians of North America.; North America -- Description and travel.</t>
  </si>
  <si>
    <t>http://public.eblib.com/choice/PublicFullRecord.aspx?p=3330837</t>
  </si>
  <si>
    <t>Gross National Product, Canada, 1870-1926 : The Derivation of the Estimates</t>
  </si>
  <si>
    <t>Urquhart, M.</t>
  </si>
  <si>
    <t>HC120.I5</t>
  </si>
  <si>
    <t>Canada -- Economic conditions.; Electronic books. -- local; Gross national product -- Canada -- History.</t>
  </si>
  <si>
    <t>http://public.eblib.com/choice/PublicFullRecord.aspx?p=3330838</t>
  </si>
  <si>
    <t>Methodists and Women's Education in Ontario, 1836-1925</t>
  </si>
  <si>
    <t>Selles, Johanna</t>
  </si>
  <si>
    <t>LC1768.O6</t>
  </si>
  <si>
    <t>Electronic books. -- local; Methodist Church -- Canada -- History.; Methodist universities and colleges -- Ontario -- History.; Methodist women -- Education -- Ontario -- History.; Women -- Education -- Ontario -- History.; Women -- Education (Higher) -- Ontario -- History.</t>
  </si>
  <si>
    <t>http://public.eblib.com/choice/PublicFullRecord.aspx?p=3330839</t>
  </si>
  <si>
    <t>Sculptors and Physicians in Fifth-Century Greece : A Preliminary Study</t>
  </si>
  <si>
    <t>Métraux, Guy P.R.</t>
  </si>
  <si>
    <t>NB94</t>
  </si>
  <si>
    <t>Anatomy, Artistic -- History.; Electronic books. -- local; Medicine and art -- History.; Sculpture, Greek.</t>
  </si>
  <si>
    <t>http://public.eblib.com/choice/PublicFullRecord.aspx?p=3330840</t>
  </si>
  <si>
    <t>All the Difference : A Development Economist's Quest</t>
  </si>
  <si>
    <t>Higgins, Benjamin</t>
  </si>
  <si>
    <t>HB121.H54</t>
  </si>
  <si>
    <t>Developing countries -- Economic conditions.; Developing countries -- Economic policy.; Economic assistance.; Economic development.; Economists -- Canada -- Biography.; Economists -- Developing countries -- Biography.; Higgins, Benjamin Howard, -- 1912-</t>
  </si>
  <si>
    <t>http://public.eblib.com/choice/PublicFullRecord.aspx?p=3330841</t>
  </si>
  <si>
    <t>Labrador Memoir of Dr Harry Paddon, 1912-1938</t>
  </si>
  <si>
    <t>Paddon, Harry; Rompkey, Ronald</t>
  </si>
  <si>
    <t>History; Medicine</t>
  </si>
  <si>
    <t>R464.P33</t>
  </si>
  <si>
    <t>Electronic books. -- local; Labrador (N.L.) -- Social conditions.; Medicine, Rural -- Newfoundland and Labrador -- History.; Paddon, Harry, -- 1881-1939.; Physicians (General practice) -- Newfoundland and Labrador -- Biography.</t>
  </si>
  <si>
    <t>http://public.eblib.com/choice/PublicFullRecord.aspx?p=3330842</t>
  </si>
  <si>
    <t>Certain Difficulty of Being : Essays on the Quebec Novel</t>
  </si>
  <si>
    <t>Purdy, Anthony</t>
  </si>
  <si>
    <t>PQ3912</t>
  </si>
  <si>
    <t>Electronic books. -- local; French literature.; French-Canadian fiction -- History and criticism.</t>
  </si>
  <si>
    <t>http://public.eblib.com/choice/PublicFullRecord.aspx?p=3330843</t>
  </si>
  <si>
    <t>Henri Bergson and British Modernism</t>
  </si>
  <si>
    <t>Gillies, Mary Ann</t>
  </si>
  <si>
    <t>PR478.M6</t>
  </si>
  <si>
    <t>Bergson, Henri, -- 1859-1941 -- Influence.; Electronic books. -- local; English literature -- 20th century -- History and criticism.; Modernism (Literature) -- Great Britain.</t>
  </si>
  <si>
    <t>http://public.eblib.com/choice/PublicFullRecord.aspx?p=3330844</t>
  </si>
  <si>
    <t>Enlightenment and Community : Lessing, Abbt, Herder, and the Quest for a German Public</t>
  </si>
  <si>
    <t>Redekop, Benjamin W.</t>
  </si>
  <si>
    <t>B2621</t>
  </si>
  <si>
    <t>Abbt, Thomas, -- 1738-1766 -- Political and social views.; Enlightenment -- Germany.; Herder, Johann Gottfried, -- 1744-1803 -- Political and social views.; Lessing, Gotthold Ephraim, -- 1729-1781 -- Political and social views.</t>
  </si>
  <si>
    <t>http://public.eblib.com/choice/PublicFullRecord.aspx?p=3330845</t>
  </si>
  <si>
    <t>From Politics to Profit : The Commercialization of Canadian Daily Newspapers, 1890-1920</t>
  </si>
  <si>
    <t>Sotiron, Minko</t>
  </si>
  <si>
    <t>PN4908</t>
  </si>
  <si>
    <t>Canadian newspapers -- History.; Electronic books. -- local; Journalism -- Canada -- History.</t>
  </si>
  <si>
    <t>http://public.eblib.com/choice/PublicFullRecord.aspx?p=3330846</t>
  </si>
  <si>
    <t>Planet Earth : Problems and Prospects</t>
  </si>
  <si>
    <t>Leith, James A.; Price, Raymond A.; Spencer, John H.</t>
  </si>
  <si>
    <t>GF3</t>
  </si>
  <si>
    <t>Ecology -- Congresses.; Electronic books. -- local; Environmental management -- Congresses.; Human ecology -- Congresses.</t>
  </si>
  <si>
    <t>http://public.eblib.com/choice/PublicFullRecord.aspx?p=3330847</t>
  </si>
  <si>
    <t>Aboriginal Rights and Self-Government : The Canadian and Mexican Experience in North American Perspective</t>
  </si>
  <si>
    <t>Cook, Curtis; Lindau, Juan</t>
  </si>
  <si>
    <t>E91</t>
  </si>
  <si>
    <t>Autochtones -- Canada -- Politique et gouvernement.; Autochtones -- Canada -- Relations avec l''État.; Indians of Mexico -- Government relations -- Congresses.; Indians of Mexico -- Politics and government -- Congresses.; Indians of North America -- Government relations -- 1934- -- Congresses.; Indians of North America -- Politics and government -- Congresses.; Indiens d''Amérique -- Mexique -- Politique et gouvernement.</t>
  </si>
  <si>
    <t>http://public.eblib.com/choice/PublicFullRecord.aspx?p=3330848</t>
  </si>
  <si>
    <t>De Witt Clinton and the Rise of the People's Men</t>
  </si>
  <si>
    <t>Hanyan, Craig; Hanyan, Mary L.</t>
  </si>
  <si>
    <t>F123.C645</t>
  </si>
  <si>
    <t>Clinton, DeWitt, -- 1769-1828.; Electronic books. -- local; New York (State) -- Politics and government -- 1775-1865.; Political parties -- New York (State) -- History -- 19th century.</t>
  </si>
  <si>
    <t>http://public.eblib.com/choice/PublicFullRecord.aspx?p=3330849</t>
  </si>
  <si>
    <t>Gilded Youth of Thermidor</t>
  </si>
  <si>
    <t>Gendron, François; Cookson, James</t>
  </si>
  <si>
    <t>DC158.8.G4713 1993</t>
  </si>
  <si>
    <t>Electronic books. -- local; France -- History -- Revolution, 1789-1799.; Youth -- Political activity -- France -- History -- 18th century.</t>
  </si>
  <si>
    <t>http://public.eblib.com/choice/PublicFullRecord.aspx?p=3330850</t>
  </si>
  <si>
    <t>Bibliography of John Rastell</t>
  </si>
  <si>
    <t>Devereux, E.J.</t>
  </si>
  <si>
    <t>Z8733.7.D48 1999</t>
  </si>
  <si>
    <t>Early printed books -- 16th century.; Electronic books. -- local; Rastell, John, -- d. 1536 -- Contributions in publishing.</t>
  </si>
  <si>
    <t>http://public.eblib.com/choice/PublicFullRecord.aspx?p=3330851</t>
  </si>
  <si>
    <t>Human Security and the New Diplomacy : Protecting People, Promoting Peace</t>
  </si>
  <si>
    <t>McRae, Rob; Hubert, Don</t>
  </si>
  <si>
    <t>JZ6368 -- .H86 2001eb</t>
  </si>
  <si>
    <t>341.5/84</t>
  </si>
  <si>
    <t>Canada -- Foreign relations.; Conflict management.; Humanitarian intervention.; Peacekeeping forces.; Security, International.</t>
  </si>
  <si>
    <t>http://public.eblib.com/choice/PublicFullRecord.aspx?p=3330852</t>
  </si>
  <si>
    <t>Role Quests in the Post-Cold War Era : Foreign Policies in Transition</t>
  </si>
  <si>
    <t>Le Prestre, Philippe G.</t>
  </si>
  <si>
    <t>JZ1242</t>
  </si>
  <si>
    <t>Electronic books. -- local; International relations.; Post-communism.</t>
  </si>
  <si>
    <t>http://public.eblib.com/choice/PublicFullRecord.aspx?p=3330853</t>
  </si>
  <si>
    <t>Schiller, Hegel, and Marx : State, Society, and the Aesthetic Ideal of Ancient Greece</t>
  </si>
  <si>
    <t>Kain, Philip</t>
  </si>
  <si>
    <t>B3305.M74</t>
  </si>
  <si>
    <t>Electronic books. -- local; Hegel, Georg Wilhelm Friedrich, -- 1770-1831.; Marx, Karl, -- 1818-1883.; Philosophy, German -- Greek influences.; Schiller, Friedrich, -- 1759-1805.</t>
  </si>
  <si>
    <t>http://public.eblib.com/choice/PublicFullRecord.aspx?p=3330854</t>
  </si>
  <si>
    <t>Diplomacy of Prudence : Canada and Israel, 1948-1958</t>
  </si>
  <si>
    <t>Kay, Zachary</t>
  </si>
  <si>
    <t>F1029.5.I7</t>
  </si>
  <si>
    <t>Canada -- Foreign relations -- 1945-; Canada -- Foreign relations -- Israel.; Electronic books. -- local; International relations.; Israel -- Foreign relations -- Canada.</t>
  </si>
  <si>
    <t>http://public.eblib.com/choice/PublicFullRecord.aspx?p=3330855</t>
  </si>
  <si>
    <t>Problems of Cartesianism</t>
  </si>
  <si>
    <t>Lennon, Thomas M.; Nicholas, John M.; Davis, John W.</t>
  </si>
  <si>
    <t>Descartes, René, -- 1596-1650.; Electronic books. -- local; Philosophy, Modern.; Science -- Philosophy.</t>
  </si>
  <si>
    <t>http://public.eblib.com/choice/PublicFullRecord.aspx?p=3330856</t>
  </si>
  <si>
    <t>City of Farmers : Informal Urban Agriculture in the Open Spaces of Nairobi, Kenya</t>
  </si>
  <si>
    <t>S473.K42</t>
  </si>
  <si>
    <t>Electronic books. -- local; Urban agriculture -- Kenya -- Nairobi -- Statistics.; Urban agriculture -- Kenya -- Nairobi.</t>
  </si>
  <si>
    <t>http://public.eblib.com/choice/PublicFullRecord.aspx?p=3330857</t>
  </si>
  <si>
    <t>Canadian Banks and Global Competitiveness</t>
  </si>
  <si>
    <t>Darroch, James L.</t>
  </si>
  <si>
    <t>HG2704</t>
  </si>
  <si>
    <t>Bank of Montreal.; Bank of Nova Scotia.; Banks and banking, Canadian.; Canadian Imperial Bank of Commerce.; Electronic books. -- local; Royal Bank of Canada.</t>
  </si>
  <si>
    <t>http://public.eblib.com/choice/PublicFullRecord.aspx?p=3330858</t>
  </si>
  <si>
    <t>Changing Face of War : Learning from History</t>
  </si>
  <si>
    <t>English, Allan Douglas</t>
  </si>
  <si>
    <t>U39</t>
  </si>
  <si>
    <t>Electronic books. -- local; Military art and science -- History.; Military history, Modern.; War.</t>
  </si>
  <si>
    <t>http://public.eblib.com/choice/PublicFullRecord.aspx?p=3330859</t>
  </si>
  <si>
    <t>Scottish Common Sense in Germany, 1768-1800 : A Contribution to the History of Critical Philosophy</t>
  </si>
  <si>
    <t>Kuehn, Manfred</t>
  </si>
  <si>
    <t>B2615 -- .K84 1987eb</t>
  </si>
  <si>
    <t>Electronic books. -- local; Philosophy, German -- 18th century -- Scottish influences.; Philosophy, Scottish -- 18th century.</t>
  </si>
  <si>
    <t>http://public.eblib.com/choice/PublicFullRecord.aspx?p=3330860</t>
  </si>
  <si>
    <t>New Lease on Life : Landlords, Tenants, and Immigrants in Ireland and Canada</t>
  </si>
  <si>
    <t>Wilson, Catherine Anne</t>
  </si>
  <si>
    <t>HD1331.C2</t>
  </si>
  <si>
    <t>Down (Northern Ireland) -- Emigration and immigration -- History -- 19th century.; Immigrants -- Ontario -- Amherst Island -- History -- 19th century.; Irish -- Ontario -- Amherst Island -- History -- 19th century.; Land settlement -- Ontario -- Amherst Island -- History -- 19th century.; Land tenure -- Ontario -- Amherst Island -- History -- 19th century.; Landlord and tenant -- Ireland -- History -- 19th century.; Landlord and tenant -- Ontario -- History -- 19th century.</t>
  </si>
  <si>
    <t>http://public.eblib.com/choice/PublicFullRecord.aspx?p=3330861</t>
  </si>
  <si>
    <t>Constitutional Predicament : Canada after the Referendum of 1992</t>
  </si>
  <si>
    <t>Cook, Curtis</t>
  </si>
  <si>
    <t>JL65 -- .C67 1994eb</t>
  </si>
  <si>
    <t>Canada -- Politics and government -- 1980-; Consensus Report on the Constitution (1992); Constitutional amendments -- Canada.; Electronic books. -- local; Public administration -- Canada.</t>
  </si>
  <si>
    <t>http://public.eblib.com/choice/PublicFullRecord.aspx?p=3330862</t>
  </si>
  <si>
    <t>Mapping Our Selves : Canadian Women's Autobiography in English</t>
  </si>
  <si>
    <t>Buss, H.</t>
  </si>
  <si>
    <t>CT34.C2 -- B87 1993eb</t>
  </si>
  <si>
    <t>Autobiography -- Canada -- History and criticism.; Autobiography -- Women authors.; Electronic books. -- local; Women -- Canada -- Biography -- History and criticism.</t>
  </si>
  <si>
    <t>http://public.eblib.com/choice/PublicFullRecord.aspx?p=3330863</t>
  </si>
  <si>
    <t>Outbreak of the Irish Rebellion of 1641</t>
  </si>
  <si>
    <t>Perceval-Maxwell, M.</t>
  </si>
  <si>
    <t>DA943</t>
  </si>
  <si>
    <t>Electronic books. -- local; Ireland -- History -- Rebellion of 1641.</t>
  </si>
  <si>
    <t>http://public.eblib.com/choice/PublicFullRecord.aspx?p=3330864</t>
  </si>
  <si>
    <t>Evangelical Mind : Nathanael Burwash and the Methodist Tradition in Canada, 1839-1918</t>
  </si>
  <si>
    <t>Van Die, Marguerite</t>
  </si>
  <si>
    <t>BX8495.B89</t>
  </si>
  <si>
    <t>Burwash, N. -- (Nathanael), -- 1839-1918.; Electronic books. -- local; Methodists -- Canada -- Biography.</t>
  </si>
  <si>
    <t>http://public.eblib.com/choice/PublicFullRecord.aspx?p=3330865</t>
  </si>
  <si>
    <t>Weariness, the Fever, and the Fret : The Campaign against Tuberculosis in Canada, 1900-1950</t>
  </si>
  <si>
    <t>McCuaig, Katherine</t>
  </si>
  <si>
    <t>Medicine; Health</t>
  </si>
  <si>
    <t>RC314</t>
  </si>
  <si>
    <t>Electronic books. -- local; Tuberculosis -- Canada -- History.; Tuberculosis -- Canada -- Prevention.</t>
  </si>
  <si>
    <t>http://public.eblib.com/choice/PublicFullRecord.aspx?p=3330866</t>
  </si>
  <si>
    <t>Reclaiming William Morris : Englishness, Sublimity, and the Rhetoric of Dissent</t>
  </si>
  <si>
    <t>Weinroth, Michelle</t>
  </si>
  <si>
    <t>HX243</t>
  </si>
  <si>
    <t>Arnot, Robert Page, -- 1890-1986. -- William Morris.; Communism -- Great Britain -- History -- 20th century.; Electronic books. -- local; Morris, William, -- 1834-1896 -- Influence.; National characteristics, English.; Socialism -- England -- History -- 19th century.; Sublime, The.</t>
  </si>
  <si>
    <t>http://public.eblib.com/choice/PublicFullRecord.aspx?p=3330867</t>
  </si>
  <si>
    <t>Margaret McWilliams : An Interwar Feminist</t>
  </si>
  <si>
    <t>Kinnear, Mary</t>
  </si>
  <si>
    <t>HQ1455.M38</t>
  </si>
  <si>
    <t>Electronic books. -- local; Feminists -- Canada -- Biography.; McWilliams, Margaret, -- 1875-1952.; Social reformers -- Canada -- Biography.; Women social reformers -- Canada -- Biography.</t>
  </si>
  <si>
    <t>http://public.eblib.com/choice/PublicFullRecord.aspx?p=3330868</t>
  </si>
  <si>
    <t>Depression and the Social Environment : Research and Intervention with Neglected Populations</t>
  </si>
  <si>
    <t>Cappeliez, Philippe; Flynn, Robert J.</t>
  </si>
  <si>
    <t>RC537</t>
  </si>
  <si>
    <t>616.852 7</t>
  </si>
  <si>
    <t>Depression, Mental -- Social aspects.; Depression, Mental.; Electronic books. -- local</t>
  </si>
  <si>
    <t>http://public.eblib.com/choice/PublicFullRecord.aspx?p=3330869</t>
  </si>
  <si>
    <t>Infinity, Faith, and Time : Christian Humanism and Renaissance Literature</t>
  </si>
  <si>
    <t>Hill, John Spencer</t>
  </si>
  <si>
    <t>PN721</t>
  </si>
  <si>
    <t>Electronic books. -- local; European literature -- Renaissance, 1450-1600 -- History and criticism.; Humanism in literature.; Infinite in literature.; Time in literature.</t>
  </si>
  <si>
    <t>http://public.eblib.com/choice/PublicFullRecord.aspx?p=3330870</t>
  </si>
  <si>
    <t>Informal Logic : Issues and Techniques</t>
  </si>
  <si>
    <t>Grennan, Wayne</t>
  </si>
  <si>
    <t>BC177</t>
  </si>
  <si>
    <t>Electronic books. -- local; Logic.; Reasoning.</t>
  </si>
  <si>
    <t>http://public.eblib.com/choice/PublicFullRecord.aspx?p=3330871</t>
  </si>
  <si>
    <t>Private Practice, Public Payment : Canadian Medicine and the Politics of Health Insurance, 1911-1966</t>
  </si>
  <si>
    <t>Naylor, David</t>
  </si>
  <si>
    <t>HD7102.C2</t>
  </si>
  <si>
    <t>Electronic books. -- local; Health insurance -- Canada -- History.; Medical policy -- Canada -- History -- 20th century.; Medicine -- Canada -- History -- 20th century.</t>
  </si>
  <si>
    <t>http://public.eblib.com/choice/PublicFullRecord.aspx?p=3330872</t>
  </si>
  <si>
    <t>Beyond Nuclear Thinking</t>
  </si>
  <si>
    <t>Malcolmson, Robert W.</t>
  </si>
  <si>
    <t>Military Science; Political Science</t>
  </si>
  <si>
    <t>U264.3</t>
  </si>
  <si>
    <t>Deterrence (Strategy); Electronic books. -- local; Nuclear weapons -- Government policy -- United States -- History.; Nuclear weapons -- United States -- History.; World politics -- 1945-1989.</t>
  </si>
  <si>
    <t>http://public.eblib.com/choice/PublicFullRecord.aspx?p=3330873</t>
  </si>
  <si>
    <t>Figuring Grief : Gallant, Munro, and the Poetics of Elegy</t>
  </si>
  <si>
    <t>Smythe, Karen E.</t>
  </si>
  <si>
    <t>PR9192.52</t>
  </si>
  <si>
    <t>Gallant, Mavis -- Criticism and interpretation.; Grief in literature.; Munro, Alice, -- 1931- -- Criticism and interpretation.</t>
  </si>
  <si>
    <t>http://public.eblib.com/choice/PublicFullRecord.aspx?p=3330874</t>
  </si>
  <si>
    <t>Hugh MacDiarmid : The Poetry of Self</t>
  </si>
  <si>
    <t>Baglow, John</t>
  </si>
  <si>
    <t>PR6013.R735 -- Z57 1987eb</t>
  </si>
  <si>
    <t>821/.912</t>
  </si>
  <si>
    <t>Electronic books. -- local; MacDiarmid, Hugh, -- 1892-1978 -- Criticism and interpretation.; Self in literature.</t>
  </si>
  <si>
    <t>http://public.eblib.com/choice/PublicFullRecord.aspx?p=3330875</t>
  </si>
  <si>
    <t>Understanding Canada : Building on the New Canadian Political Economy</t>
  </si>
  <si>
    <t>Clement, Wallace</t>
  </si>
  <si>
    <t>Canada -- Economic conditions -- 1991-; Economic history.; Electronic books. -- local</t>
  </si>
  <si>
    <t>http://public.eblib.com/choice/PublicFullRecord.aspx?p=3330876</t>
  </si>
  <si>
    <t>Largest Amount of Good : Quaker Relief in Ireland, 1654-1921</t>
  </si>
  <si>
    <t>Hatton, Helen E.</t>
  </si>
  <si>
    <t>BX7681.2</t>
  </si>
  <si>
    <t>Electronic books. -- local; Famines -- Ireland -- History.; Food relief -- Ireland -- History.; Ireland -- History.; Quakers -- Ireland -- Charities -- History.</t>
  </si>
  <si>
    <t>http://public.eblib.com/choice/PublicFullRecord.aspx?p=3330877</t>
  </si>
  <si>
    <t>Herman Melville : Starqazer</t>
  </si>
  <si>
    <t>Zimmerman, B.</t>
  </si>
  <si>
    <t>PS2388.A79 -- Z56 1998eb</t>
  </si>
  <si>
    <t>Astronomy in literature.; Electronic books. -- local; Literature and science -- United States -- History -- 19th century.; Melville, Herman, -- 1819-1891 -- Knowledge -- Astronomy.</t>
  </si>
  <si>
    <t>http://public.eblib.com/choice/PublicFullRecord.aspx?p=3330878</t>
  </si>
  <si>
    <t>Walter Gordon and the Rise of Canadian Nationalism</t>
  </si>
  <si>
    <t>Azzi, Stephen</t>
  </si>
  <si>
    <t>F1034.3.G67</t>
  </si>
  <si>
    <t>Cabinet officers -- Canada -- Biography.; Canada -- Economic policy.; Canada -- Politics and government -- 1945-1980.; Electronic books. -- local; Gordon, Walter Lockhart, -- 1906-; Nationalists -- Canada -- Biography.</t>
  </si>
  <si>
    <t>http://public.eblib.com/choice/PublicFullRecord.aspx?p=3330879</t>
  </si>
  <si>
    <t>Civil War Years : Canada and the United States</t>
  </si>
  <si>
    <t>Winks, Robin W.</t>
  </si>
  <si>
    <t>E469</t>
  </si>
  <si>
    <t>Canada -- Foreign relations -- United States.; Canada -- History -- 1841-1867.; Electronic books. -- local; United States -- Foreign relations -- 1861-1865.; United States -- Foreign relations -- Canada.</t>
  </si>
  <si>
    <t>http://public.eblib.com/choice/PublicFullRecord.aspx?p=3330880</t>
  </si>
  <si>
    <t>From Liberal to Labour with Women's Suffrage : The Story of Catherine Marshall</t>
  </si>
  <si>
    <t>Vellacott, Jo</t>
  </si>
  <si>
    <t>HQ1595.M37 -- V45 1993eb</t>
  </si>
  <si>
    <t>324.6/23/092</t>
  </si>
  <si>
    <t>Electronic books. -- local; Marshall, Catherine, -- b. 1880.; Suffragists -- Great Britain -- Biography.; Women -- Suffrage -- Great Britain -- History.</t>
  </si>
  <si>
    <t>http://public.eblib.com/choice/PublicFullRecord.aspx?p=3330881</t>
  </si>
  <si>
    <t>John Toland : His Methods, Manners, and Mind</t>
  </si>
  <si>
    <t>Daniel, Stephen H.</t>
  </si>
  <si>
    <t>B1393.Z7</t>
  </si>
  <si>
    <t>Electronic books. -- local; Philosophy, Modern.; Toland, John, -- 1670-1722.</t>
  </si>
  <si>
    <t>http://public.eblib.com/choice/PublicFullRecord.aspx?p=3330882</t>
  </si>
  <si>
    <t>Victory Harvest : Diary of a Canadian in the Women's Land Army, 1940-1944</t>
  </si>
  <si>
    <t>Kelsey, Marion</t>
  </si>
  <si>
    <t>D811.5</t>
  </si>
  <si>
    <t>Electronic books. -- local; Kelsey, Marion, -- 1912-; Women''s Land Army (Great Britain); World War, 1939-1945 -- Personal narratives, Canadian.; World War, 1939-1945 -- War work -- Great Britain.; World War, 1939-1945 -- Women -- Great Britain.</t>
  </si>
  <si>
    <t>http://public.eblib.com/choice/PublicFullRecord.aspx?p=3330883</t>
  </si>
  <si>
    <t>Degrees of Freedom : Canada and the United States in a Changing World</t>
  </si>
  <si>
    <t>Banting, Keith G.; Hoberg, George; Simeon, Richard</t>
  </si>
  <si>
    <t>Canada -- Politics and government.; Electronic books. -- local; Political planning -- Canada.; Political planning -- United States.; United States -- Politics and government.</t>
  </si>
  <si>
    <t>http://public.eblib.com/choice/PublicFullRecord.aspx?p=3330884</t>
  </si>
  <si>
    <t>Painting the Map Red : Canada and the South African War, 1899-1902</t>
  </si>
  <si>
    <t>DT1913.C3 M55 1998</t>
  </si>
  <si>
    <t>Electronic books. -- local; South African War, 1899-1902 -- Foreign public opinion, Canadian.; South African War, 1899-1902 -- Participation, Canadian.</t>
  </si>
  <si>
    <t>http://public.eblib.com/choice/PublicFullRecord.aspx?p=3330885</t>
  </si>
  <si>
    <t>When the Whalers Were Up North : Inuit Memories from the Eastern Arctic</t>
  </si>
  <si>
    <t>Eber, Dorothy Harley</t>
  </si>
  <si>
    <t>Agriculture; History</t>
  </si>
  <si>
    <t>E99.E7 -- E23 1989eb</t>
  </si>
  <si>
    <t>639.2/8/09719</t>
  </si>
  <si>
    <t>Electronic books. -- local; Eskimos -- Arctic regions -- Biography.; Eskimos -- Arctic regions -- History.; Eskimos -- Fishing -- Arctic regions.; Whaling -- Arctic regions.</t>
  </si>
  <si>
    <t>http://public.eblib.com/choice/PublicFullRecord.aspx?p=3330886</t>
  </si>
  <si>
    <t>Solitude Versus Solidarity in the Novels of Joseph Conrad : Political and Epistemological Implications of Narrative Innovation</t>
  </si>
  <si>
    <t>Lord, Ursula</t>
  </si>
  <si>
    <t>PR6005.O4</t>
  </si>
  <si>
    <t>Conrad, Joseph, -- 1857-1924 -- Criticism and interpretation.; Conrad, Joseph, -- 1857-1924 -- Political and social views.; Electronic books. -- local; Narration (Rhetoric)</t>
  </si>
  <si>
    <t>http://public.eblib.com/choice/PublicFullRecord.aspx?p=3330887</t>
  </si>
  <si>
    <t>Callisto Myth from Ovid to Atwood : Initiation and Rape in Literature</t>
  </si>
  <si>
    <t>Wall, Kathleen</t>
  </si>
  <si>
    <t>PN57.C27</t>
  </si>
  <si>
    <t>Callisto (Greek mythology) in literature.; Electronic books. -- local; Initiations in literature.; Rape in literature.; Women in literature.</t>
  </si>
  <si>
    <t>http://public.eblib.com/choice/PublicFullRecord.aspx?p=3330888</t>
  </si>
  <si>
    <t>Ethnicity in the Mainstream : Three Studies of English Canadian Culture in Ontario</t>
  </si>
  <si>
    <t>Greenhill, Pauline</t>
  </si>
  <si>
    <t>F1059.7.E53</t>
  </si>
  <si>
    <t>Canadians, English-speaking -- Ontario.; Electronic books. -- local; Ethnicity -- Ontario -- Case studies.; Ontario -- Civilization.</t>
  </si>
  <si>
    <t>http://public.eblib.com/choice/PublicFullRecord.aspx?p=3330889</t>
  </si>
  <si>
    <t>Lectures de l'histoire des XVII et XVIII siècles Canadiens / Habitants et marchands Twenty Years Later : Reading the History of Seventeenth- and Eighteenth-Century Canada</t>
  </si>
  <si>
    <t>Depatie et al; Desbarats, Catherine; Gauvreau, Danielle</t>
  </si>
  <si>
    <t>F1030 -- .H25 1998eb</t>
  </si>
  <si>
    <t>Canada -- Economic conditions -- To 1763 -- Congresses.; Canada -- History -- To 1763 (New France); Canada -- History -- To 1763 (New France) -- Congresses.; Canada -- Population -- History -- Congresses.; Canada -- Social conditions -- To 1763 -- Congresses.; Montréal (Québec) -- Economic conditions -- Congresses.; Montréal (Québec) -- Social conditions -- Congresses.</t>
  </si>
  <si>
    <t>http://public.eblib.com/choice/PublicFullRecord.aspx?p=3330890</t>
  </si>
  <si>
    <t>Grillparzer's Libussa : The Tragedy of Separation</t>
  </si>
  <si>
    <t>PT2272</t>
  </si>
  <si>
    <t>Electronic books. -- local; German literature.; Grillparzer, Franz, -- 1791-1872. -- Libussa.</t>
  </si>
  <si>
    <t>http://public.eblib.com/choice/PublicFullRecord.aspx?p=3330891</t>
  </si>
  <si>
    <t>Native Liberty, Crown Sovereignty : The Existing Aboriginal Right of Self-Government in Canada</t>
  </si>
  <si>
    <t>Clark, Bruce</t>
  </si>
  <si>
    <t>KE7742</t>
  </si>
  <si>
    <t>Electronic books. -- local; Indians of North America -- Canada -- Politics and government.; Indians of North America -- Legal status, laws, etc. -- Canada -- History.</t>
  </si>
  <si>
    <t>http://public.eblib.com/choice/PublicFullRecord.aspx?p=3330892</t>
  </si>
  <si>
    <t>Becoming Prominent : Regional Leadership in Upper Canada, 1791-1841</t>
  </si>
  <si>
    <t>Johnson, J.</t>
  </si>
  <si>
    <t>Electronic books. -- local; Ontario -- Biography.; Ontario -- History -- Biography.; Ontario -- Politics and government.; Politicians -- Ontario -- Biography.</t>
  </si>
  <si>
    <t>http://public.eblib.com/choice/PublicFullRecord.aspx?p=3330893</t>
  </si>
  <si>
    <t>Education of a Canadian : My Life as a Scholar and Activist</t>
  </si>
  <si>
    <t>Skilling, Gordon</t>
  </si>
  <si>
    <t>JC253 S53</t>
  </si>
  <si>
    <t>College teachers -- Canada -- Biography.; Communism -- History -- 20th century.; Communisme -- Histoire -- 20e siècle.; Political activists -- Canada -- Biography.; Scholars -- Canada -- Biography.; Skilling, H. Gordon -- (Harold Gordon), -- 1912-; Skilling, H. Gordon -- (Harold Gordon), -- 1912-2001.</t>
  </si>
  <si>
    <t>http://public.eblib.com/choice/PublicFullRecord.aspx?p=3330894</t>
  </si>
  <si>
    <t>Contexts of Acadian History, 1686-1784</t>
  </si>
  <si>
    <t>Griffiths, Naomi E.S.; Mount Allison University,</t>
  </si>
  <si>
    <t>F1037 -- .G754 1992eb</t>
  </si>
  <si>
    <t>Acadians -- History.; Electronic books. -- local; New Brunswick -- History.; Nova Scotia -- History.</t>
  </si>
  <si>
    <t>http://public.eblib.com/choice/PublicFullRecord.aspx?p=3330895</t>
  </si>
  <si>
    <t>Autonomy and Schooling</t>
  </si>
  <si>
    <t>Callan, Eamonn</t>
  </si>
  <si>
    <t>LB880.C144 -- A88 1988eb</t>
  </si>
  <si>
    <t>370/.1</t>
  </si>
  <si>
    <t>Academic freedom.; Education -- Philosophy.; Education -- Political aspects.; Education and state.; Electronic books. -- local</t>
  </si>
  <si>
    <t>http://public.eblib.com/choice/PublicFullRecord.aspx?p=3330896</t>
  </si>
  <si>
    <t>Women, Work, and Coping : A Multidisciplinary Approach to Workplace Stress</t>
  </si>
  <si>
    <t>Critical Perspectives on Public Affairs</t>
  </si>
  <si>
    <t>Long, Bonita C.; Kahn, Sharon E.</t>
  </si>
  <si>
    <t>Business/Management; Psychology</t>
  </si>
  <si>
    <t>HD6053</t>
  </si>
  <si>
    <t>Electronic books. -- local; Psychology, Industrial.; Women -- Employment -- Psychological aspects.; Women -- Job stress.</t>
  </si>
  <si>
    <t>http://public.eblib.com/choice/PublicFullRecord.aspx?p=3330897</t>
  </si>
  <si>
    <t>Rivermen : A Romantic Iconography of the River and the Source</t>
  </si>
  <si>
    <t>Colwell, Frederic S.</t>
  </si>
  <si>
    <t>PR575.R57 -- C65 1989eb</t>
  </si>
  <si>
    <t>821/.709321693</t>
  </si>
  <si>
    <t>Electronic books. -- local; English literature -- History and criticism.; English poetry -- 19th century -- History and criticism.; Rivers in literature.; Romanticism -- Great Britain.</t>
  </si>
  <si>
    <t>http://public.eblib.com/choice/PublicFullRecord.aspx?p=3330898</t>
  </si>
  <si>
    <t>Women, Work, and Place</t>
  </si>
  <si>
    <t>Kobayashi, Audrey</t>
  </si>
  <si>
    <t>Electronic books. -- local; Women -- Employment -- History.; Women -- Employment.</t>
  </si>
  <si>
    <t>http://public.eblib.com/choice/PublicFullRecord.aspx?p=3330899</t>
  </si>
  <si>
    <t>White Canada Forever : Popular Attiudes and Public Policy Toward Orientals in Brotish Columbia</t>
  </si>
  <si>
    <t>Ward, P.</t>
  </si>
  <si>
    <t>F1089.7.O6 -- W37 2002eb</t>
  </si>
  <si>
    <t>British Columbia -- Race relations.; Chinese -- British Columbia -- Public opinion.; East Indians -- British Columbia -- Public opinion.; Electronic books. -- local; Japanese -- British Columbia -- Public opinion.; Public opinion -- British Columbia.</t>
  </si>
  <si>
    <t>http://public.eblib.com/choice/PublicFullRecord.aspx?p=3330900</t>
  </si>
  <si>
    <t>The Making and Unmaking of a University Museum : The McCord, 1921-1996</t>
  </si>
  <si>
    <t>F1003.5</t>
  </si>
  <si>
    <t>Electronic books. -- local; Musée McCord d''histoire canadienne -- History.; Museums -- Canada.</t>
  </si>
  <si>
    <t>http://public.eblib.com/choice/PublicFullRecord.aspx?p=3330901</t>
  </si>
  <si>
    <t>New Era of Global Competition : State Policy and Market Power</t>
  </si>
  <si>
    <t>Drache, Daniel; Gertler, Meric S.</t>
  </si>
  <si>
    <t>Canada -- Social policy.; Economic policy.; Electronic books. -- local</t>
  </si>
  <si>
    <t>http://public.eblib.com/choice/PublicFullRecord.aspx?p=3330902</t>
  </si>
  <si>
    <t>Harvest of Souls : The Jesuit Missions and Colonialism in North America, 1632-1650</t>
  </si>
  <si>
    <t>Blackburn, Carole</t>
  </si>
  <si>
    <t>F1030.7</t>
  </si>
  <si>
    <t>Acculturation -- Québec (Province) -- History -- 17th century.; Indians of North America -- Colonization -- Québec (Province) -- History -- 17th century.; Indians of North America -- Missions -- Québec (Province) -- History -- 17th century.; Jésuites -- Missions -- Québec (Province) -- Histoire -- 17e siècle.; Jesuits -- Missions -- Québec (Province) -- History -- 17th century.; Montagnais Indians -- Missions -- History -- 17th century.; Wyandot Indians -- Missions -- Québec (Province) -- History -- 17th century.</t>
  </si>
  <si>
    <t>http://public.eblib.com/choice/PublicFullRecord.aspx?p=3330903</t>
  </si>
  <si>
    <t>Race and Racism : Canada's Challenge</t>
  </si>
  <si>
    <t>Driedger/Halli</t>
  </si>
  <si>
    <t>F1035.A1 -- R32 2000eb</t>
  </si>
  <si>
    <t>Canada -- Race relations -- Congresses.; Canada -- Relations raciales -- Congrès.; Racism -- Canada -- Congresses.; Racisme -- Canada -- Congrès.</t>
  </si>
  <si>
    <t>http://public.eblib.com/choice/PublicFullRecord.aspx?p=3330904</t>
  </si>
  <si>
    <t>Building Cities That Work</t>
  </si>
  <si>
    <t>Fowler, Edmund P.</t>
  </si>
  <si>
    <t>HT231</t>
  </si>
  <si>
    <t>City planning -- Canada.; City planning -- Ontario -- Toronto.; City planning -- United States.; Electronic books. -- local</t>
  </si>
  <si>
    <t>http://public.eblib.com/choice/PublicFullRecord.aspx?p=3330905</t>
  </si>
  <si>
    <t>Sir John George Bourinot, Victorian Canadian : His Life, Times, and Legacy</t>
  </si>
  <si>
    <t>Banks, Margaret</t>
  </si>
  <si>
    <t>CT310.B666</t>
  </si>
  <si>
    <t>Bourinot, John George, -- 1837-1902.; Canada -- Biography.; Canada. -- Parliament -- Officials and employees -- Biography.; Intellectuals -- Canada -- Biography.; Political scientists -- Canada -- Biography.</t>
  </si>
  <si>
    <t>http://public.eblib.com/choice/PublicFullRecord.aspx?p=3330906</t>
  </si>
  <si>
    <t>Popular Music in England, 1840-1914</t>
  </si>
  <si>
    <t>Russell, Dave</t>
  </si>
  <si>
    <t>ML3492 -- .R87 1987eb</t>
  </si>
  <si>
    <t>Electronic books. -- local; Music -- England -- History and criticism.; Popular music -- England -- History and criticism.</t>
  </si>
  <si>
    <t>http://public.eblib.com/choice/PublicFullRecord.aspx?p=3330907</t>
  </si>
  <si>
    <t>Collective Bargaining and the Public Interest : A Welfare Economics Assessment</t>
  </si>
  <si>
    <t>Winch, David M.</t>
  </si>
  <si>
    <t>HD6524</t>
  </si>
  <si>
    <t>Collective bargaining -- Canada.; Electronic books. -- local; Labor unions -- Canada.</t>
  </si>
  <si>
    <t>http://public.eblib.com/choice/PublicFullRecord.aspx?p=3330908</t>
  </si>
  <si>
    <t>Journals of Yaakov Zipper, 1950-1982 : The Struggle for Yiddishkeit</t>
  </si>
  <si>
    <t>Zipper, Yaakov; Butovsky, Mervin; Butovsky, Mervin</t>
  </si>
  <si>
    <t>Jews -- Québec (Province) -- Montréal -- Diaries.; Jews -- Québec (Province) -- Montréal -- Intellectual life -- 20th century.; Montréal (Québec) -- Biography.; Ziper, Yaʿaḳov -- Diaries.</t>
  </si>
  <si>
    <t>http://public.eblib.com/choice/PublicFullRecord.aspx?p=3330909</t>
  </si>
  <si>
    <t>Coleridge and the Inspired Word</t>
  </si>
  <si>
    <t>Harding, Anthony John</t>
  </si>
  <si>
    <t>PR4487.R4</t>
  </si>
  <si>
    <t>Bible -- Inspiration.; Christianity and literature.; Coleridge, Samuel Taylor, -- 1772-1834 -- Religion.; Coleridge, Samuel Taylor, -- 1772-1834. -- Confessions of an inquiring spirit.; Electronic books. -- local; Inspiration.</t>
  </si>
  <si>
    <t>http://public.eblib.com/choice/PublicFullRecord.aspx?p=3330910</t>
  </si>
  <si>
    <t>Siege of Fort Cumberland, 1776 : An Episode in the American Revolution</t>
  </si>
  <si>
    <t>Clarke, Ernest</t>
  </si>
  <si>
    <t>E231</t>
  </si>
  <si>
    <t>Electronic books. -- local; Fort Cumberland (N.B.) -- Siege, 1776.; United States -- History -- Revolution, 1775-1783.</t>
  </si>
  <si>
    <t>http://public.eblib.com/choice/PublicFullRecord.aspx?p=3330911</t>
  </si>
  <si>
    <t>Architecture in Transition : From Art to Practice, 1885-1906</t>
  </si>
  <si>
    <t>Crossman, Kelly</t>
  </si>
  <si>
    <t>NA744 -- .C765 1987eb</t>
  </si>
  <si>
    <t>Architecture -- Canada -- History -- 19th century.; Architecture -- History.; Electronic books. -- local</t>
  </si>
  <si>
    <t>http://public.eblib.com/choice/PublicFullRecord.aspx?p=3330912</t>
  </si>
  <si>
    <t>Deep Waters : The Ottawa River and Canada's Nuclear Adventure</t>
  </si>
  <si>
    <t>Krenz, Kim</t>
  </si>
  <si>
    <t>Engineering: Electrical; Engineering: General; Engineering</t>
  </si>
  <si>
    <t>TK1347.O6</t>
  </si>
  <si>
    <t>Chalk River Nuclear Laboratories -- History.; Deep River (Ont.) -- History.; Electronic books. -- local; Nuclear energy -- Research -- Canada -- History.; Nuclear engineering -- Research -- Canada -- History.</t>
  </si>
  <si>
    <t>http://public.eblib.com/choice/PublicFullRecord.aspx?p=3330914</t>
  </si>
  <si>
    <t>19th-Century Cape Breton : A Historical Geography</t>
  </si>
  <si>
    <t>Hornsby, S.</t>
  </si>
  <si>
    <t>F1039.C2 -- H67 1992eb</t>
  </si>
  <si>
    <t>971.6/903</t>
  </si>
  <si>
    <t>Cape Breton Island (N.S.) -- Historical geography.; Cape Breton Island (N.S.) -- History.; Electronic books. -- local</t>
  </si>
  <si>
    <t>http://public.eblib.com/choice/PublicFullRecord.aspx?p=3330915</t>
  </si>
  <si>
    <t>Symbols in Life and Art</t>
  </si>
  <si>
    <t>Leith, James A.</t>
  </si>
  <si>
    <t>BH301.S8 -- S95 1987eb</t>
  </si>
  <si>
    <t>Arts -- Congresses.; Electronic books. -- local; Symbolism -- Congresses.; Symbolism in art -- Congresses.</t>
  </si>
  <si>
    <t>http://public.eblib.com/choice/PublicFullRecord.aspx?p=3330916</t>
  </si>
  <si>
    <t>Aestheticism and the Canadian Modernists : Aspects of a Poetic Influence</t>
  </si>
  <si>
    <t>Trehearne, Brian</t>
  </si>
  <si>
    <t>PR9190.5 -- .T74 1989eb</t>
  </si>
  <si>
    <t>811/.509</t>
  </si>
  <si>
    <t>Aestheticism (Literature); Canadian poetry -- 20th century -- History and criticism.; Electronic books. -- local</t>
  </si>
  <si>
    <t>http://public.eblib.com/choice/PublicFullRecord.aspx?p=3330917</t>
  </si>
  <si>
    <t>Irony of Theology and the Nature of Religious Thought</t>
  </si>
  <si>
    <t>Wiebe, Donald</t>
  </si>
  <si>
    <t>BL51</t>
  </si>
  <si>
    <t>Electronic books. -- local; Religion -- Philosophy.; Religious thought.; Theology.</t>
  </si>
  <si>
    <t>http://public.eblib.com/choice/PublicFullRecord.aspx?p=3330918</t>
  </si>
  <si>
    <t>Governance in the Twenty-first Century : Revitalizing the Public Service</t>
  </si>
  <si>
    <t>Peters, Guy</t>
  </si>
  <si>
    <t>JF1601</t>
  </si>
  <si>
    <t>Civil service reform.; Electronic books. -- local; Public administration.</t>
  </si>
  <si>
    <t>http://public.eblib.com/choice/PublicFullRecord.aspx?p=3330919</t>
  </si>
  <si>
    <t>Disturbed State of the Russian Realm</t>
  </si>
  <si>
    <t>Bussow, Conrad; Orchard, Edward</t>
  </si>
  <si>
    <t>DK111 -- .B8713 1994eb</t>
  </si>
  <si>
    <t>Electronic books. -- local; Russia -- History -- Time of Troubles, 1598-1613 -- Sources.; Russia -- History -- Time of Troubles, 1598-1613.</t>
  </si>
  <si>
    <t>http://public.eblib.com/choice/PublicFullRecord.aspx?p=3330920</t>
  </si>
  <si>
    <t>Reading Mansfield and Metaphors of Form</t>
  </si>
  <si>
    <t>New, W.</t>
  </si>
  <si>
    <t>PR6025.A57</t>
  </si>
  <si>
    <t>Electronic books. -- local; English literature.; Mansfield, Katherine, -- 1888-1923 -- Criticism and interpretation.; Mansfield, Katherine, -- 1888-1923 -- Literary style.</t>
  </si>
  <si>
    <t>http://public.eblib.com/choice/PublicFullRecord.aspx?p=3330921</t>
  </si>
  <si>
    <t>Crofters and Habitants : Settler Society, Economy, and Culture in a Quebec Township, 1848-1881</t>
  </si>
  <si>
    <t>Little, J.</t>
  </si>
  <si>
    <t>F1054.5.W56</t>
  </si>
  <si>
    <t>Electronic books. -- local; Winslow (Québec) -- History.; Winslow (Québec) -- Social conditions.</t>
  </si>
  <si>
    <t>http://public.eblib.com/choice/PublicFullRecord.aspx?p=3330922</t>
  </si>
  <si>
    <t>Grammar Schools of Medieval England : A.F. Leach in Historiographical Perspective</t>
  </si>
  <si>
    <t>Miner, John N.</t>
  </si>
  <si>
    <t>LA631.3 -- .M56 1990eb</t>
  </si>
  <si>
    <t>370/.942/0902</t>
  </si>
  <si>
    <t>Education, Medieval -- England -- Historiography.; Electronic books. -- local; Endowed public schools (Great Britain) -- Historiography.; Leach, Arthur Francis, -- 1851-1915.</t>
  </si>
  <si>
    <t>http://public.eblib.com/choice/PublicFullRecord.aspx?p=3330923</t>
  </si>
  <si>
    <t>Reconciling the Solitudes : Essays on Canadian Federalism and Nationalism</t>
  </si>
  <si>
    <t>Taylor, Charles</t>
  </si>
  <si>
    <t>Canada -- English-French relations.; Electronic books. -- local; Federal government -- Canada.; Nationalism -- Canada.</t>
  </si>
  <si>
    <t>http://public.eblib.com/choice/PublicFullRecord.aspx?p=3330924</t>
  </si>
  <si>
    <t>Swinburne and His Gods : The Roots and Growth of an Agnostic Poetry</t>
  </si>
  <si>
    <t>Louis, Margot K.</t>
  </si>
  <si>
    <t>PR5517.R4</t>
  </si>
  <si>
    <t>Agnosticism in literature.; Electronic books. -- local; Gods in literature.; Religion in literature.; Swinburne, Algernon Charles, -- 1837-1909 -- Religion.</t>
  </si>
  <si>
    <t>http://public.eblib.com/choice/PublicFullRecord.aspx?p=3330925</t>
  </si>
  <si>
    <t>Benedict Arnold : A Traitor in Our Midst</t>
  </si>
  <si>
    <t>Wilson, Barry</t>
  </si>
  <si>
    <t>E278.A7</t>
  </si>
  <si>
    <t>American loyalists -- Biography.; Arnold, Benedict, -- 1741-1801.; Arnold, Benedict, -- 1741-1801.; Generals -- United States -- Biography.; Généraux -- États-Unis -- Biographies.; Loyalistes américains -- Biographies.; United States -- History -- Revolution, 1775-1783.</t>
  </si>
  <si>
    <t>http://public.eblib.com/choice/PublicFullRecord.aspx?p=3330926</t>
  </si>
  <si>
    <t>Public Purpose : An Experience of Liberal Opposition and Canadian Government</t>
  </si>
  <si>
    <t>Kent, Tom</t>
  </si>
  <si>
    <t>F1034.3</t>
  </si>
  <si>
    <t>Canada -- History -- 1945-; Canada -- Politics and government -- 1945-; Electronic books. -- local; Kent, Tom.; Liberal Party of Canada -- History.</t>
  </si>
  <si>
    <t>http://public.eblib.com/choice/PublicFullRecord.aspx?p=3330927</t>
  </si>
  <si>
    <t>Tom Paine and William Cobbett : The Transatlantic Connection</t>
  </si>
  <si>
    <t>Wilson, David A.</t>
  </si>
  <si>
    <t>JC178.V2 -- W55 1988eb</t>
  </si>
  <si>
    <t>320.5/1/0922</t>
  </si>
  <si>
    <t>Cobbett, William, -- 1763-1835.; Electronic books. -- local; Paine, Thomas, -- 1737-1809.; Political science -- Philosophy.; Political scientists -- United States -- Biography.; Politicians -- Great Britain -- Biography.</t>
  </si>
  <si>
    <t>http://public.eblib.com/choice/PublicFullRecord.aspx?p=3330928</t>
  </si>
  <si>
    <t>Lifelines : Marian Engel's Writings</t>
  </si>
  <si>
    <t>Verduyn, C.</t>
  </si>
  <si>
    <t>PR9199.3.E5 -- Z93 1995eb</t>
  </si>
  <si>
    <t>Electronic books. -- local; Engel, Marian -- Criticism and interpretation.; Women in literature.</t>
  </si>
  <si>
    <t>http://public.eblib.com/choice/PublicFullRecord.aspx?p=3330929</t>
  </si>
  <si>
    <t>Bishop's University, 1843-1970</t>
  </si>
  <si>
    <t>Nicholl, Christopher</t>
  </si>
  <si>
    <t>LE3.B52</t>
  </si>
  <si>
    <t>Bishop''s University -- History.; Electronic books. -- local; Universities and colleges -- Canada.</t>
  </si>
  <si>
    <t>http://public.eblib.com/choice/PublicFullRecord.aspx?p=3330930</t>
  </si>
  <si>
    <t>Work of Words : The Writing of Susanna Strickland Moodie</t>
  </si>
  <si>
    <t>Thurston, John</t>
  </si>
  <si>
    <t>PR9199.2.M65</t>
  </si>
  <si>
    <t>Canadian literature -- 19th century.; Electronic books. -- local; Moodie, Susanna, -- 1803-1885 -- Criticism and interpretation.</t>
  </si>
  <si>
    <t>http://public.eblib.com/choice/PublicFullRecord.aspx?p=3330931</t>
  </si>
  <si>
    <t>Grounded in Eire : The Story of Two RAF Fliers Interned in Ireland during World War II</t>
  </si>
  <si>
    <t>Keefer, Ralph</t>
  </si>
  <si>
    <t>D805.I74</t>
  </si>
  <si>
    <t>Calder, Jack, -- d. 1944.; Calder, Jack, -- m. 1944.; Great Britain. -- Royal Air Force -- Biography.; Keefer, R. G. -- (Ralph Gardener), -- 1917-; Keefer, R. G. -- (Ralph Gardner), -- 1917-; Prisoners of war -- Ireland -- Biography.; World War, 1939-1945 -- Prisoners and prisons, Irish.</t>
  </si>
  <si>
    <t>http://public.eblib.com/choice/PublicFullRecord.aspx?p=3330932</t>
  </si>
  <si>
    <t>Organizing Rural Women : The Federated Women's Institutes of Ontario, 1897-1919</t>
  </si>
  <si>
    <t>Kechnie, Margaret C.</t>
  </si>
  <si>
    <t>HQ1909.O6</t>
  </si>
  <si>
    <t>Federated Women''s Institutes of Ontario -- Histoire.; Federated Women''s Institutes of Ontario -- History.; Federated Women''s Institutes of Ontario. -- History.; Femmes en milieu rural -- Ontario -- Associations -- Histoire.; Instituts féminins -- Ontario -- Histoire.; Rural women -- Ontario -- Societies, etc. -- History.; Women''s institutes -- Ontario -- History.</t>
  </si>
  <si>
    <t>http://public.eblib.com/choice/PublicFullRecord.aspx?p=3330933</t>
  </si>
  <si>
    <t>Canadian Policy toward Khrushchev's Soviet Union</t>
  </si>
  <si>
    <t>Glazov, Jamie; Teleglobe Raoul-Dandurand Chair of Strategic and D; Universite du Quebec a Montreal, Centre d'etudes d</t>
  </si>
  <si>
    <t>F1029.5.S65</t>
  </si>
  <si>
    <t>Canada -- Foreign relations -- 1945-; Canada -- Foreign relations -- Soviet Union.; Canada -- Relations extérieures -- URSS.; Cold War.; Guerre froide.; Soviet Union -- Foreign relations -- Canada.; URSS -- Relations extérieures -- Canada.</t>
  </si>
  <si>
    <t>http://public.eblib.com/choice/PublicFullRecord.aspx?p=3330934</t>
  </si>
  <si>
    <t>Protegér la démocratie canadienne : Le Sénat en Vérié</t>
  </si>
  <si>
    <t>Joyal, Serge</t>
  </si>
  <si>
    <t>JL155 -- S4614 2003eb</t>
  </si>
  <si>
    <t>328.71/071</t>
  </si>
  <si>
    <t>Canada. -- Parliament. -- Senate -- Reform.; Canada. -- Parliament. -- Senate.; Electronic books. -- local; Legislative bodies -- Canada.</t>
  </si>
  <si>
    <t>http://public.eblib.com/choice/PublicFullRecord.aspx?p=3330935</t>
  </si>
  <si>
    <t>Thomas Attwood : The Biography of a Radical</t>
  </si>
  <si>
    <t>Moss, David</t>
  </si>
  <si>
    <t>DA536.A88</t>
  </si>
  <si>
    <t>Attwood, Thomas, -- 1783-1856.; Economists -- Great Britain -- Biography.; Electronic books. -- local; Great Britain -- Politics and government -- 1800-1837.; Great Britain -- Politics and government -- 1837-1901.; Politicians -- Great Britain -- Biography.</t>
  </si>
  <si>
    <t>http://public.eblib.com/choice/PublicFullRecord.aspx?p=3330936</t>
  </si>
  <si>
    <t>In Good Hands : The Women of the Canadian Handicrafts Guild</t>
  </si>
  <si>
    <t>Women's Experience Series</t>
  </si>
  <si>
    <t>McLeod, Ellen Easton</t>
  </si>
  <si>
    <t>NK841</t>
  </si>
  <si>
    <t>Canadian Handicrafts Guild -- History.; Dignam, Mary, -- 1857-1938.; Electronic books. -- local; Peck, Alice, -- 1855-1943.; Phillips, May, -- 1856-1937.; Women artists -- Canada.</t>
  </si>
  <si>
    <t>http://public.eblib.com/choice/PublicFullRecord.aspx?p=3330937</t>
  </si>
  <si>
    <t>In Its Corporate Capacity : The Seminary of Montreal as a Business Institution, 1816-1876</t>
  </si>
  <si>
    <t>Religion; Business/Management; Economics</t>
  </si>
  <si>
    <t>BX920M6Y67 1986</t>
  </si>
  <si>
    <t>Business enterprises -- Québec (Province) -- Montréal -- History -- 19th century.; Church lands -- Québec (Province) -- Montréal -- History -- 19th century.; Electronic books. -- local; Grand Séminaire de Montréal -- Finance -- History -- 19th century.; Montréal (Québec) -- Economic conditions.</t>
  </si>
  <si>
    <t>http://public.eblib.com/choice/PublicFullRecord.aspx?p=3330938</t>
  </si>
  <si>
    <t>Seafaring Labour : The Merchant Marine of Atlantic Canada, 1820-1914</t>
  </si>
  <si>
    <t>Sager, Eric W.</t>
  </si>
  <si>
    <t>HD8039.S4</t>
  </si>
  <si>
    <t>Electronic books. -- local; Merchant mariners -- Maritime Provinces -- History -- 19th century.; Merchant mariners -- Newfoundland and Labrador -- History -- 19th century.</t>
  </si>
  <si>
    <t>http://public.eblib.com/choice/PublicFullRecord.aspx?p=3330939</t>
  </si>
  <si>
    <t>Politics of Visual Language : Deafness, Language Choice, and Political Socialization</t>
  </si>
  <si>
    <t>Roots, James</t>
  </si>
  <si>
    <t>HV2395</t>
  </si>
  <si>
    <t>Deaf -- Means of communication.; Deafness -- Social aspects.; Electronic books. -- local</t>
  </si>
  <si>
    <t>http://public.eblib.com/choice/PublicFullRecord.aspx?p=3330940</t>
  </si>
  <si>
    <t>Origin of Species, Revisited : The Search for a Victorian Who Anticipated Modern Developments in Darwin's Theory</t>
  </si>
  <si>
    <t>Forsdyke D.R.</t>
  </si>
  <si>
    <t>QH361 -- .F67 2001eb</t>
  </si>
  <si>
    <t>Electronic books. -- local; Evolution (Biology) -- Great Britain -- History -- 19th century.; Romanes, George John, -- 1848-1894.</t>
  </si>
  <si>
    <t>http://public.eblib.com/choice/PublicFullRecord.aspx?p=3330941</t>
  </si>
  <si>
    <t>Harpoon of the Hunter : Markoosie</t>
  </si>
  <si>
    <t>Markoosie</t>
  </si>
  <si>
    <t>PZ7.M3398</t>
  </si>
  <si>
    <t>Electronic books. -- local; Eskimos -- Juvenile fiction.; Whaling -- Juvenile fiction.</t>
  </si>
  <si>
    <t>http://public.eblib.com/choice/PublicFullRecord.aspx?p=3330942</t>
  </si>
  <si>
    <t>Essays on the Early History of Plant Pathology and Mycology in Canada</t>
  </si>
  <si>
    <t>Estey, Ralph H.</t>
  </si>
  <si>
    <t>SB732.54.C2</t>
  </si>
  <si>
    <t>Electronic books. -- local; Mycology -- Research -- Canada -- History.; Plant diseases -- Research -- Canada -- History.; Plant diseases -- Study and teaching -- Canada -- History.</t>
  </si>
  <si>
    <t>http://public.eblib.com/choice/PublicFullRecord.aspx?p=3330943</t>
  </si>
  <si>
    <t>Artists in Dylan Thomas's Prose Works : Adam Naming and Aesop Fabling</t>
  </si>
  <si>
    <t>Mayer, Ann Elizabeth</t>
  </si>
  <si>
    <t>PR6039.H52 -- Z772 1995eb</t>
  </si>
  <si>
    <t>Art and literature -- Wales -- History -- 20th century.; Artists in literature.; Electronic books. -- local; Thomas, Dylan, -- 1914-1953 -- Characters -- Artists.; Thomas, Dylan, -- 1914-1953 -- Prose.</t>
  </si>
  <si>
    <t>http://public.eblib.com/choice/PublicFullRecord.aspx?p=3330944</t>
  </si>
  <si>
    <t>Failure of l'Action Libérale Nationale</t>
  </si>
  <si>
    <t>Dirks, Patricia</t>
  </si>
  <si>
    <t>JL259.A515</t>
  </si>
  <si>
    <t>Action libérale nationale -- History.; Electronic books. -- local; Public administration -- Québec (Province); Québec (Province) -- Politics and government.</t>
  </si>
  <si>
    <t>http://public.eblib.com/choice/PublicFullRecord.aspx?p=3330945</t>
  </si>
  <si>
    <t>Integrated Circus : The New Right and the Restructuring of Global Markets</t>
  </si>
  <si>
    <t>HC59</t>
  </si>
  <si>
    <t>Conservatism.; Electronic books. -- local; Free enterprise.</t>
  </si>
  <si>
    <t>http://public.eblib.com/choice/PublicFullRecord.aspx?p=3330946</t>
  </si>
  <si>
    <t>Kierkegaard's Living-Room : The Relation between Faith and History in Philosophical Fragments</t>
  </si>
  <si>
    <t>Mercer, D.E.</t>
  </si>
  <si>
    <t>BL51.K4873 -- M47 2001eb</t>
  </si>
  <si>
    <t>Christianity -- Philosophy -- History -- 19th century.; Electronic books. -- local; History -- Philosophy -- History -- 19th century.; Kierkegaard, Søren, -- 1813-1855. -- Philosophiske smuler.</t>
  </si>
  <si>
    <t>http://public.eblib.com/choice/PublicFullRecord.aspx?p=3330947</t>
  </si>
  <si>
    <t>Arthur Lismer, Visionary Art Educator : Visionary Art Educator</t>
  </si>
  <si>
    <t>Grigor, Angela N.</t>
  </si>
  <si>
    <t>N89.2.L57</t>
  </si>
  <si>
    <t>Art -- Study and teaching -- Canada.; Artists as teachers -- Canada -- Biography.; Lismer, Arthur, -- 1885-1969.</t>
  </si>
  <si>
    <t>http://public.eblib.com/choice/PublicFullRecord.aspx?p=3330948</t>
  </si>
  <si>
    <t>Contribution of Methodism to Atlantic Canada</t>
  </si>
  <si>
    <t>Scobie, Charles H.H.; Grant, John Webster</t>
  </si>
  <si>
    <t>BX8252.A84</t>
  </si>
  <si>
    <t>Electronic books. -- local; Methodist Church -- Maritime Provinces -- History -- Congresses.; Methodist Church -- Maritime Provinces -- Influence -- History -- Congresses.; Methodist Church -- Newfoundland and Labrador -- History -- Congresses.; Methodist Church -- Newfoundland and Labrador -- Influence -- History -- Congresses.</t>
  </si>
  <si>
    <t>http://public.eblib.com/choice/PublicFullRecord.aspx?p=3330949</t>
  </si>
  <si>
    <t>Canadian Social Welfare Policy : Federal and Provincial Dimensions</t>
  </si>
  <si>
    <t>Ismael, Jacqueline S.</t>
  </si>
  <si>
    <t>HV108</t>
  </si>
  <si>
    <t>Canada -- Social policy -- Congresses.; Electronic books. -- local; Public welfare -- Canada -- Congresses.</t>
  </si>
  <si>
    <t>http://public.eblib.com/choice/PublicFullRecord.aspx?p=3330950</t>
  </si>
  <si>
    <t>Daily Modernism : The Literary Diaries of Virginia Woolf, Antonia White, Elizabeth Smart and Anahis Nin</t>
  </si>
  <si>
    <t>Podnieks, E.; White, Antonia ; Smart, Elizabeth ; Nin, Anais</t>
  </si>
  <si>
    <t>PR908 -- .P53 2000eb</t>
  </si>
  <si>
    <t>828/.91203099287</t>
  </si>
  <si>
    <t>Authors, American -- 20th century -- Diaries -- History and criticism.; Authors, English -- 20th century -- Diaries -- History and criticism.; English diaries -- Women authors -- History and criticism.; Nin, Anaïs, -- 1903-1977 -- Diaries.; Smart, Elizabeth, -- 1913-1986 -- Diaries.; White, Antonia, -- 1899-1980 -- Diaries.; Woolf, Virginia, -- 1882-1941 -- Diaries.</t>
  </si>
  <si>
    <t>http://public.eblib.com/choice/PublicFullRecord.aspx?p=3330951</t>
  </si>
  <si>
    <t>Creating the Welfare State in France, 1880-1940</t>
  </si>
  <si>
    <t>Smith, Timothy B.</t>
  </si>
  <si>
    <t>HV265</t>
  </si>
  <si>
    <t>Aide sociale -- France -- Histoire.; Assurance-maladie -- France -- Histoire -- 20e siècle.; Health insurance -- France -- History -- 20th century.; Public welfare -- France -- History.; Sécurité sociale -- France -- Histoire.; Social security -- France -- History.; Unemployment -- Government policy -- France -- History -- 20th century.</t>
  </si>
  <si>
    <t>http://public.eblib.com/choice/PublicFullRecord.aspx?p=3330952</t>
  </si>
  <si>
    <t>John Clare and the Bounds of Circumstance</t>
  </si>
  <si>
    <t>Clare, Johanne</t>
  </si>
  <si>
    <t>PR4453.C6</t>
  </si>
  <si>
    <t>Clare, John, -- 1793-1864 -- Criticism and interpretation.; Clare, John, -- 1793-1864 -- Political and social views.; Electronic books. -- local; English literature -- 19th century.</t>
  </si>
  <si>
    <t>http://public.eblib.com/choice/PublicFullRecord.aspx?p=3330953</t>
  </si>
  <si>
    <t>Fear and Temptation : The Image of the Indigene in Canadian, Australian, and New Zealand Literatures</t>
  </si>
  <si>
    <t>PN3426.I53 -- G65 1989eb</t>
  </si>
  <si>
    <t>Aboriginal Australians in literature.; Australian literature -- History and criticism.; Electronic books. -- local; Indians in literature.; Maori (New Zealand people) in literature.; New Zealand literature -- History and criticism.</t>
  </si>
  <si>
    <t>http://public.eblib.com/choice/PublicFullRecord.aspx?p=3330954</t>
  </si>
  <si>
    <t>Captive Court : A Study of the Supreme Court of Canada</t>
  </si>
  <si>
    <t>Bushnell, Ian</t>
  </si>
  <si>
    <t>KE8244</t>
  </si>
  <si>
    <t>Canada. -- Supreme Court -- History.; Constitutional law -- Canada.; Electronic books. -- local</t>
  </si>
  <si>
    <t>http://public.eblib.com/choice/PublicFullRecord.aspx?p=3330955</t>
  </si>
  <si>
    <t>Third Solitudes : Tradition and Discontinuity in Jewish-Canadian Literature</t>
  </si>
  <si>
    <t>Greenstein, Michael</t>
  </si>
  <si>
    <t>PR9188.2.J48</t>
  </si>
  <si>
    <t>Canadian literature -- History and criticism.; Canadian literature -- Jewish authors -- History and criticism.; Electronic books. -- local</t>
  </si>
  <si>
    <t>http://public.eblib.com/choice/PublicFullRecord.aspx?p=3330956</t>
  </si>
  <si>
    <t>Man in the Ivory Tower : F. Cyril James of McGill</t>
  </si>
  <si>
    <t>Frost, Stanley Brice</t>
  </si>
  <si>
    <t>LE3.M217 1940</t>
  </si>
  <si>
    <t>College presidents -- Québec (Province) -- Montréal -- Biography.; Electronic books. -- local; James, F. Cyril -- (Frank Cyril), -- 1903-1973.; McGill University -- Presidents -- Biography.</t>
  </si>
  <si>
    <t>http://public.eblib.com/choice/PublicFullRecord.aspx?p=3330957</t>
  </si>
  <si>
    <t>Arctic Artist : The Journal and Paintings of George Back, Midshipman with Franklin, 1819-1822</t>
  </si>
  <si>
    <t>Houston, Stuart; Houston, C.Stuart ; Maclaren, I. S.</t>
  </si>
  <si>
    <t>G650 1819.B33</t>
  </si>
  <si>
    <t>Arctic regions -- Discovery and exploration -- British.; Back, George, -- Sir, -- 1796-1878 -- Diaries.; Back, George, -- Sir, -- 1796-1878 -- Painting.; Canada, Northern -- In art.; Electronic books. -- local; Franklin, John, -- Sir, -- 1786-1847.; Northwest Territories -- Description and travel.</t>
  </si>
  <si>
    <t>http://public.eblib.com/choice/PublicFullRecord.aspx?p=3330958</t>
  </si>
  <si>
    <t>Relations of Ruling : Class and Gender in Postindustrial Societies</t>
  </si>
  <si>
    <t>Clement, Wallace; Myles, John</t>
  </si>
  <si>
    <t>HN17.5</t>
  </si>
  <si>
    <t>Electronic books. -- local; Power (Social sciences); Sex role.; Social classes.</t>
  </si>
  <si>
    <t>http://public.eblib.com/choice/PublicFullRecord.aspx?p=3330959</t>
  </si>
  <si>
    <t>Coast Way : A Portrait of the English on the Lower North Shore of the St Lawrence</t>
  </si>
  <si>
    <t>Abbott, L.</t>
  </si>
  <si>
    <t>F1052 -- .A23 1988eb</t>
  </si>
  <si>
    <t>Electronic books. -- local; Québec (Province) -- Social life and customs -- Pictorial works.; Rivers -- Canada -- Pictorial works.</t>
  </si>
  <si>
    <t>http://public.eblib.com/choice/PublicFullRecord.aspx?p=3330960</t>
  </si>
  <si>
    <t>Political Thought of Lord Durham</t>
  </si>
  <si>
    <t>F1032</t>
  </si>
  <si>
    <t>Canada -- History -- Rebellion, 1837-1838.; Canada -- History.; Canada -- Politics and government -- 1791-1841.; Durham, John George Lambton, -- Earl of, -- 1792-1840 -- Political and social views.; Durham, John George Lambton, -- Earl of, -- 1792-1840. -- Report on the affairs of British North America.; Electronic books. -- local</t>
  </si>
  <si>
    <t>http://public.eblib.com/choice/PublicFullRecord.aspx?p=3330961</t>
  </si>
  <si>
    <t>Different Kind of Care : The Social Pediatrics Approach</t>
  </si>
  <si>
    <t>Julien, Gilles; Lieber, Kathe; Montreal Children's Hospital Staff</t>
  </si>
  <si>
    <t>RJ47.7 -- .J84 2004eb</t>
  </si>
  <si>
    <t>Children -- Diseases -- Prevention -- Social aspects.; Children -- Health and hygiene -- Social aspects.; Children with social disabilities -- Health and hygiene -- Case studies.; Electronic books. -- local; Pediatrics -- Social aspects.</t>
  </si>
  <si>
    <t>http://public.eblib.com/choice/PublicFullRecord.aspx?p=3330962</t>
  </si>
  <si>
    <t>Buried Astrolabe : Canadian Dramatic Imagination and Western Tradition</t>
  </si>
  <si>
    <t>Walker, Craig S.</t>
  </si>
  <si>
    <t>Canadian drama -- 20th century -- History and criticism.; Canadian literature -- 20th century.; Electronic books. -- local</t>
  </si>
  <si>
    <t>http://public.eblib.com/choice/PublicFullRecord.aspx?p=3330963</t>
  </si>
  <si>
    <t>Mediated Associations : Cinematic Dimensions of Social Theory</t>
  </si>
  <si>
    <t>O'Connor, Daniel</t>
  </si>
  <si>
    <t>PN1995.9.S6 -- O36 2002eb</t>
  </si>
  <si>
    <t>Cinéma -- Aspect social.; Motion pictures -- Social aspects.</t>
  </si>
  <si>
    <t>http://public.eblib.com/choice/PublicFullRecord.aspx?p=3330964</t>
  </si>
  <si>
    <t>Royal Vic : The Story of Montreal's Royal Victoria Hospital, 1894-1994</t>
  </si>
  <si>
    <t>Terry, Neville</t>
  </si>
  <si>
    <t>RA983.M6</t>
  </si>
  <si>
    <t>Electronic books. -- local; Hospitals -- Québec (Province) -- Montréal -- History.; Royal Victoria Hospital (Montréal, Québec) -- History.</t>
  </si>
  <si>
    <t>http://public.eblib.com/choice/PublicFullRecord.aspx?p=3330965</t>
  </si>
  <si>
    <t>History of McMaster Meighen</t>
  </si>
  <si>
    <t>Mitchell, D.</t>
  </si>
  <si>
    <t>KE417.M44 -- M58 1989eb</t>
  </si>
  <si>
    <t>Electronic books. -- local; Law firms -- Québec (Province) -- Montréal -- History.; McMaster Meighen (Firm) -- History.</t>
  </si>
  <si>
    <t>http://public.eblib.com/choice/PublicFullRecord.aspx?p=3330966</t>
  </si>
  <si>
    <t>Two Worlds : The Protestant Culture of Nineteenth-Century Ontario</t>
  </si>
  <si>
    <t>Westfall, William</t>
  </si>
  <si>
    <t>BR575.O6</t>
  </si>
  <si>
    <t>Electronic books. -- local; Ontario -- History -- 19th century.; Protestantism -- Ontario -- History -- 19th century.</t>
  </si>
  <si>
    <t>http://public.eblib.com/choice/PublicFullRecord.aspx?p=3330967</t>
  </si>
  <si>
    <t>Pierrot in Petrograd : Commedia dell'Arte/ Balagan in Twentieth-Century Russian Theatre and Drama</t>
  </si>
  <si>
    <t>Clayton, Douglas</t>
  </si>
  <si>
    <t>PG3089.C6</t>
  </si>
  <si>
    <t>Commedia dell''arte -- History and criticism.; Electronic books. -- local; Russian drama -- 20th century -- History and criticism.</t>
  </si>
  <si>
    <t>http://public.eblib.com/choice/PublicFullRecord.aspx?p=3330968</t>
  </si>
  <si>
    <t>Hello, Central? : Gender, Technology, and Culture in the Formation of Telephone Systems</t>
  </si>
  <si>
    <t>Martin, Michèle; Martin, Michaele</t>
  </si>
  <si>
    <t>HE8868.O5 -- M37 1991eb</t>
  </si>
  <si>
    <t>Electronic books. -- local; Telephone -- Ontario -- History.; Telephone -- Québec (Province) -- History.; Telephone -- Social aspects -- Ontario -- History.; Telephone -- Social aspects -- Québec (Province) -- History.; Telephone operators -- Ontario -- History.; Telephone operators -- Québec (Province) -- History.</t>
  </si>
  <si>
    <t>http://public.eblib.com/choice/PublicFullRecord.aspx?p=3330969</t>
  </si>
  <si>
    <t>Tancook Schooners : An Island and Its Boats</t>
  </si>
  <si>
    <t>O'Leary, Wayne M.</t>
  </si>
  <si>
    <t>F1039.T35</t>
  </si>
  <si>
    <t>Electronic books. -- local; Schooners -- Nova Scotia -- Tancook Island -- History.; Shipbuilding -- Nova Scotia -- Tancook Island.; Tancook Island (N.S.) -- History.</t>
  </si>
  <si>
    <t>http://public.eblib.com/choice/PublicFullRecord.aspx?p=3330970</t>
  </si>
  <si>
    <t>Theory and History of Ocean Boundary-Making</t>
  </si>
  <si>
    <t>Johnston, Douglas M.</t>
  </si>
  <si>
    <t>JX4131 -- .J64 1988eb</t>
  </si>
  <si>
    <t>Boundaries.; Economic zones (Law of the sea); Electronic books. -- local; Territorial waters.</t>
  </si>
  <si>
    <t>http://public.eblib.com/choice/PublicFullRecord.aspx?p=3330971</t>
  </si>
  <si>
    <t>Nationalism, Capitalism, and Colonization in Nineteenth-Century Quebec : The Upper Saint Francis District</t>
  </si>
  <si>
    <t>F1054.S254 -- L57 1989eb</t>
  </si>
  <si>
    <t>971.4/573</t>
  </si>
  <si>
    <t>Electronic books. -- local; French-Canadians -- Québec (Province) -- Saint Francis River Valley -- History -- 19th century.; Land settlement -- Québec (Province) -- Saint Francis River Valley -- History -- 19th century.; Lumber trade -- Québec (Province) -- Saint Francis River Valley -- History -- 19th century.; Saint Francis River Valley (Québec) -- History.</t>
  </si>
  <si>
    <t>http://public.eblib.com/choice/PublicFullRecord.aspx?p=3330972</t>
  </si>
  <si>
    <t>Irving Layton and Robert Creeley : The Complete Correspondence, 1953-1978</t>
  </si>
  <si>
    <t>Reed, Sabrina; Faas, Ekbert</t>
  </si>
  <si>
    <t>PS8523.A97 Z542 1989</t>
  </si>
  <si>
    <t>Creeley, Robert, -- 1926-2005 -- Correspondence.; Electronic books. -- local; Layton, Irving, -- 1912-2006 -- Correspondence.; Poets, American -- 20th century -- Correspondence.; Poets, Canadian -- 20th century -- Correspondence.</t>
  </si>
  <si>
    <t>http://public.eblib.com/choice/PublicFullRecord.aspx?p=3330973</t>
  </si>
  <si>
    <t>Newfoundland in the North Atlantic World, 1929-1949</t>
  </si>
  <si>
    <t>Neary, Peter</t>
  </si>
  <si>
    <t>F1123</t>
  </si>
  <si>
    <t>Electronic books. -- local; Newfoundland and Labrador -- History.; Newfoundland and Labrador -- Politics and government.</t>
  </si>
  <si>
    <t>http://public.eblib.com/choice/PublicFullRecord.aspx?p=3330974</t>
  </si>
  <si>
    <t>Economic Theory, Welfare, and the State : Essays in Honour of John C. Weldon</t>
  </si>
  <si>
    <t>Asimakopulos, Athanasios; Cairns, Robert D.; Green, Christopher; Asimakopulos, A</t>
  </si>
  <si>
    <t>HB171 -- .E26 1990eb</t>
  </si>
  <si>
    <t>Economic policy.; Electronic books. -- local; Macroeconomics.; Welfare economics.</t>
  </si>
  <si>
    <t>http://public.eblib.com/choice/PublicFullRecord.aspx?p=3330975</t>
  </si>
  <si>
    <t>Committed to the State Asylum : Insantity and Society in Nineteenth-Century Quebec and Ontario</t>
  </si>
  <si>
    <t>Moran, James E.</t>
  </si>
  <si>
    <t>RC447 -- .M67 2000eb</t>
  </si>
  <si>
    <t>362.2/1/0971309034</t>
  </si>
  <si>
    <t>Psychiatric hospitals -- Ontario -- History -- 19th century.; Psychiatric hospitals -- Québec (Province) -- History -- 19th century.</t>
  </si>
  <si>
    <t>http://public.eblib.com/choice/PublicFullRecord.aspx?p=3330976</t>
  </si>
  <si>
    <t>Serving the Present Age : Revivalism, Progressivism, and the Methodist Tradition in Canada</t>
  </si>
  <si>
    <t>Airhart, Phyllis D.</t>
  </si>
  <si>
    <t>BX8251</t>
  </si>
  <si>
    <t>Canada -- Church history.; Electronic books. -- local; Methodist Church -- Canada -- History.; Revivals -- Canada -- History.</t>
  </si>
  <si>
    <t>http://public.eblib.com/choice/PublicFullRecord.aspx?p=3330977</t>
  </si>
  <si>
    <t>World Mission : Canadian Protestantism and the Quest for a New International Order, 1918-1939</t>
  </si>
  <si>
    <t>Wright, Robert A.</t>
  </si>
  <si>
    <t>BR570 -- .W75 1991eb</t>
  </si>
  <si>
    <t>261.8/7/097109042</t>
  </si>
  <si>
    <t>Canada -- Church history -- 20th century.; Christianity and international relations -- History -- 20th century.; Electronic books. -- local; Missions, Canadian -- History -- 20th century.; Protestant churches -- Canada -- History -- 20th century.</t>
  </si>
  <si>
    <t>http://public.eblib.com/choice/PublicFullRecord.aspx?p=3330978</t>
  </si>
  <si>
    <t>Changing Structures of Inequality : A Comparative Perspective</t>
  </si>
  <si>
    <t>Lemel, Yannick; Noll, Heinz</t>
  </si>
  <si>
    <t>HT611</t>
  </si>
  <si>
    <t>Classes sociales -- Études transculturelles.; Égalité (Sociologie) -- Études transculturelles.; Equality -- Cross-cultural studies.; Social classes -- Cross-cultural studies.; Social stratification -- Cross-cultural studies.</t>
  </si>
  <si>
    <t>http://public.eblib.com/choice/PublicFullRecord.aspx?p=3330979</t>
  </si>
  <si>
    <t>Sods, Soil, and Spades : The Acadians at Grand Pré and Their Dykeland Legacy</t>
  </si>
  <si>
    <t>Bleakney, J. Sherman</t>
  </si>
  <si>
    <t>Engineering: General; Engineering; Engineering: Civil</t>
  </si>
  <si>
    <t>TC345.C2</t>
  </si>
  <si>
    <t>Acadians -- Nova Scotia -- Grand Pré Region -- History.; Dikes (Engineering) -- Nova Scotia -- Grand Pré Region -- History.; Electronic books. -- local; Grand Pré Region (N.S.) -- History.; Reclamation of land -- Nova Scotia -- Grand Pré Region -- History.; Salt marshes -- Nova Scotia -- Grand Pré Region -- History.</t>
  </si>
  <si>
    <t>http://public.eblib.com/choice/PublicFullRecord.aspx?p=3330980</t>
  </si>
  <si>
    <t>Social Trust and Human Communities</t>
  </si>
  <si>
    <t>Govier, Trudy</t>
  </si>
  <si>
    <t>HM291.G654 1997</t>
  </si>
  <si>
    <t>Communities.; Electronic books. -- local; Trust -- Social aspects.</t>
  </si>
  <si>
    <t>http://public.eblib.com/choice/PublicFullRecord.aspx?p=3330981</t>
  </si>
  <si>
    <t>Iron and Blood : Civil Wars in Sixteenth-Century France</t>
  </si>
  <si>
    <t>Heller, Henry</t>
  </si>
  <si>
    <t>DC111</t>
  </si>
  <si>
    <t>Electronic books. -- local; France -- History -- 16th century.; Revolutions -- France -- History -- 16th century.</t>
  </si>
  <si>
    <t>http://public.eblib.com/choice/PublicFullRecord.aspx?p=3330982</t>
  </si>
  <si>
    <t>Understand and Control Your Asthma</t>
  </si>
  <si>
    <t>Boutin, Hélène; Boulet, Louis-Philippe</t>
  </si>
  <si>
    <t>RC591</t>
  </si>
  <si>
    <t>Asthma -- Popular works.; Electronic books. -- local; Respiratory allergy.</t>
  </si>
  <si>
    <t>http://public.eblib.com/choice/PublicFullRecord.aspx?p=3330983</t>
  </si>
  <si>
    <t>Between the Temple and the Cave : The Religious Dimensions of the Poetry of E.J. Pratt</t>
  </si>
  <si>
    <t>McAuliffe, Angela T.</t>
  </si>
  <si>
    <t>PR9199.3.P7</t>
  </si>
  <si>
    <t>God in literature.; Pratt, E. J. -- (Edwin John), -- 1882-1964 -- Religion.; Religious poetry, Canadian -- History and criticism.; Theology in literature.</t>
  </si>
  <si>
    <t>http://public.eblib.com/choice/PublicFullRecord.aspx?p=3330984</t>
  </si>
  <si>
    <t>Ravished by the Spirit : Religious Revivals, Baptists, and Henry Alline</t>
  </si>
  <si>
    <t>Rawlyk, George A.</t>
  </si>
  <si>
    <t>BX6495.A44</t>
  </si>
  <si>
    <t>Alline, Henry, -- 1748-1784.; Baptists -- New Brunswick -- History.; Baptists -- Nova Scotia -- History.; New Brunswick -- Church history.; Nova Scotia -- Church history.; Revivals -- New Brunswick -- History.; Revivals -- Nova Scotia -- History.</t>
  </si>
  <si>
    <t>http://public.eblib.com/choice/PublicFullRecord.aspx?p=3330985</t>
  </si>
  <si>
    <t>Politics of the Northwest Passage</t>
  </si>
  <si>
    <t>Griffiths, Franklin</t>
  </si>
  <si>
    <t>Arctic Archipelago (Nunavut and N.W.T.) -- Politics and government.; Arctic regions -- Boundaries -- Canada.; Canada -- Boundaries -- Arctic regions.; Electronic books. -- local; Shipping -- Political aspects -- Arctic Archipelago (Nunavut and N.W.T.); Territorial waters -- Arctic Archipelago (Nunavut and N.W.T.)</t>
  </si>
  <si>
    <t>http://public.eblib.com/choice/PublicFullRecord.aspx?p=3330986</t>
  </si>
  <si>
    <t>Housing in Postwar Canada : Demographic Change, Household Formation, and Housing Demand</t>
  </si>
  <si>
    <t>Miron, John R.</t>
  </si>
  <si>
    <t>HD7305.A3</t>
  </si>
  <si>
    <t>Canada -- Population.; Electronic books. -- local; Households -- Canada.; Housing -- Canada.</t>
  </si>
  <si>
    <t>http://public.eblib.com/choice/PublicFullRecord.aspx?p=3330987</t>
  </si>
  <si>
    <t>Women, Work, and the French State : Labour Protection and Social Patriarchy, 1879-1919</t>
  </si>
  <si>
    <t>Stewart, Mary Lynn</t>
  </si>
  <si>
    <t>HQ1617</t>
  </si>
  <si>
    <t>Electronic books. -- local; Labor laws and legislation -- France -- History.; Women -- Employment -- Law and legislation -- France.</t>
  </si>
  <si>
    <t>http://public.eblib.com/choice/PublicFullRecord.aspx?p=3330988</t>
  </si>
  <si>
    <t>Government, International Trade, and Laissez-Faire Capitalism : Canada, Australia, and New Zealand's Relations with Japan</t>
  </si>
  <si>
    <t>Holroyd, Carin L.</t>
  </si>
  <si>
    <t>HF1602.15.C2</t>
  </si>
  <si>
    <t>Canada -- Commerce -- Japan.; Commercial policy.; Japan -- Commerce -- Canada.; Japan -- Commerce -- New Zealand.; Japan -- Commercial policy.; New Zealand -- Commerce -- Japan.; Politique commerciale.</t>
  </si>
  <si>
    <t>http://public.eblib.com/choice/PublicFullRecord.aspx?p=3330989</t>
  </si>
  <si>
    <t>Cancer Stories : On Life and Suffering</t>
  </si>
  <si>
    <t>Gregory, David M.; Russell, Cynthia K.</t>
  </si>
  <si>
    <t>RC265.5</t>
  </si>
  <si>
    <t>Cancer -- Patients -- Biography.; Cancer -- Psychological aspects.; Electronic books. -- local; Suffering.</t>
  </si>
  <si>
    <t>http://public.eblib.com/choice/PublicFullRecord.aspx?p=3330990</t>
  </si>
  <si>
    <t>This Kindred People : Canadian-American Relations and the Anglo-Saxon Idea, 1895-1903</t>
  </si>
  <si>
    <t>Kohn, Edward P.</t>
  </si>
  <si>
    <t>Anglo-Saxon race.; Canada -- Foreign relations.; Canada -- Relations -- United States.; Canada -- Relations extérieures -- États-Unis.; Race anglo-saxonne.; United States -- Foreign relations -- 1865-1921.; United States -- Relations -- Canada.</t>
  </si>
  <si>
    <t>http://public.eblib.com/choice/PublicFullRecord.aspx?p=3330991</t>
  </si>
  <si>
    <t>Canada and the International Seabed : Domestic Determinants and External Constraints</t>
  </si>
  <si>
    <t>Riddell-Dixon, Elizabeth</t>
  </si>
  <si>
    <t>JX4426</t>
  </si>
  <si>
    <t>Electronic books. -- local; Maritime law -- Canada.; Ocean bottom -- Law and legislation.; Ocean mining -- Law and legislation -- Canada.</t>
  </si>
  <si>
    <t>http://public.eblib.com/choice/PublicFullRecord.aspx?p=3330992</t>
  </si>
  <si>
    <t>Legendary Jackrabbit Johannsen</t>
  </si>
  <si>
    <t>Johannsen, Alice E.</t>
  </si>
  <si>
    <t>GV854.2.J32 -- J315 1993eb</t>
  </si>
  <si>
    <t>Electronic books. -- local; Johannsen, Jackrabbit, -- 1875-1987.; Skiers -- Canada -- Biography.</t>
  </si>
  <si>
    <t>http://public.eblib.com/choice/PublicFullRecord.aspx?p=3330993</t>
  </si>
  <si>
    <t>For an Amerindian Autohistory : An Essay on the Foundations of a Social Ethic</t>
  </si>
  <si>
    <t>Sioui, George E.; Fischmann, Sheila</t>
  </si>
  <si>
    <t>E99.H9</t>
  </si>
  <si>
    <t>Electronic books. -- local; Wyandot Indians -- Ethnic identity.; Wyandot Indians -- History.; Wyandot philosophy.</t>
  </si>
  <si>
    <t>http://public.eblib.com/choice/PublicFullRecord.aspx?p=3330994</t>
  </si>
  <si>
    <t>Social Classes and Social Credit in Alberta</t>
  </si>
  <si>
    <t>Bell, Edward</t>
  </si>
  <si>
    <t>JL339.A57 B44 1994</t>
  </si>
  <si>
    <t>Alberta Social Credit League -- History.; Electronic books. -- local; Public administration -- Canada.</t>
  </si>
  <si>
    <t>http://public.eblib.com/choice/PublicFullRecord.aspx?p=3330995</t>
  </si>
  <si>
    <t>Search for Good Government : Understanding the Paradox of Italian Democracy</t>
  </si>
  <si>
    <t>Sabetti, Filippo</t>
  </si>
  <si>
    <t>JN5448</t>
  </si>
  <si>
    <t>Italy -- Politics and government.</t>
  </si>
  <si>
    <t>http://public.eblib.com/choice/PublicFullRecord.aspx?p=3330996</t>
  </si>
  <si>
    <t>No Balm in Gilead : A Personal Retrospective of Mandate Days in Palestine</t>
  </si>
  <si>
    <t>Gelber, Sylva M.</t>
  </si>
  <si>
    <t>DS126 -- .G34 1989eb</t>
  </si>
  <si>
    <t>Electronic books. -- local; Gelber, Sylva M., -- 1910-; Palestine -- History -- 1929-1948.</t>
  </si>
  <si>
    <t>http://public.eblib.com/choice/PublicFullRecord.aspx?p=3330997</t>
  </si>
  <si>
    <t>Long Way from Home : The Tuberculosis Epidemic among the Inuit</t>
  </si>
  <si>
    <t>Grygier, Pat Sandiford</t>
  </si>
  <si>
    <t>Electronic books. -- local; Inuit -- Canada -- Government relations -- History.; Inuit -- Health and hygiene -- Canada -- History.; Tuberculosis -- Canada -- History.</t>
  </si>
  <si>
    <t>http://public.eblib.com/choice/PublicFullRecord.aspx?p=3330998</t>
  </si>
  <si>
    <t>Women's Organizing and Public Policy in Canada and Sweden</t>
  </si>
  <si>
    <t>Briskin, Linda; Eliasson, Mona</t>
  </si>
  <si>
    <t>HQ1236.5.C2</t>
  </si>
  <si>
    <t>Electronic books. -- local; Women -- Canada -- Social conditions.; Women -- Government policy -- Canada.; Women -- Government policy -- Sweden.; Women -- Social networks -- Canada.; Women -- Social networks -- Sweden.; Women -- Sweden -- Social conditions.</t>
  </si>
  <si>
    <t>http://public.eblib.com/choice/PublicFullRecord.aspx?p=3330999</t>
  </si>
  <si>
    <t>Remaking Liberalism : The Intellectual Legacy of Adam Shortt, O.D. Skelton, W.C. Clark, and W.A. Mackintosh, 1890-1925</t>
  </si>
  <si>
    <t>Ferguson, Barry</t>
  </si>
  <si>
    <t>HB121.A2</t>
  </si>
  <si>
    <t>Economics -- Canada.; Electronic books. -- local; Liberalism -- Canada.</t>
  </si>
  <si>
    <t>http://public.eblib.com/choice/PublicFullRecord.aspx?p=3331000</t>
  </si>
  <si>
    <t>Nuremberg Forty Years Later : The Struggle against Injustice in Our Time</t>
  </si>
  <si>
    <t>Cotler, Irwin</t>
  </si>
  <si>
    <t>K3239.6 -- I58 1995eb</t>
  </si>
  <si>
    <t>Electronic books. -- local; Human rights -- Congresses.; War crimes -- Congresses.</t>
  </si>
  <si>
    <t>http://public.eblib.com/choice/PublicFullRecord.aspx?p=3331001</t>
  </si>
  <si>
    <t>Principles and Methods in Historical Phonology : From Proto-Algonkian to Arapaho</t>
  </si>
  <si>
    <t>Picard, Marc</t>
  </si>
  <si>
    <t>PM635</t>
  </si>
  <si>
    <t>Arapaho language -- Phonology, Historical.; Electronic books. -- local; Grammar, Comparative and general -- Phonology.; Reconstruction (Linguistics) -- Methodology.</t>
  </si>
  <si>
    <t>http://public.eblib.com/choice/PublicFullRecord.aspx?p=3331002</t>
  </si>
  <si>
    <t>State, Class, and Bureaucracy : Canadian Unemployment Insurance and Public Policy</t>
  </si>
  <si>
    <t>Pal, Leslie A.</t>
  </si>
  <si>
    <t>HD7096.C2</t>
  </si>
  <si>
    <t>Electronic books. -- local; Unemployment -- Canada.; Unemployment insurance -- Canada.</t>
  </si>
  <si>
    <t>http://public.eblib.com/choice/PublicFullRecord.aspx?p=3331003</t>
  </si>
  <si>
    <t>Bibliography of Emblematic Manuscripts</t>
  </si>
  <si>
    <t>Corpus Liborum Emblematum</t>
  </si>
  <si>
    <t>Sider, Sandra; Obrist, Barbara</t>
  </si>
  <si>
    <t>Z1021.3</t>
  </si>
  <si>
    <t>Electronic books. -- local; Emblem books -- Bibliography.; Manuscripts -- Catalogs.</t>
  </si>
  <si>
    <t>http://public.eblib.com/choice/PublicFullRecord.aspx?p=3331004</t>
  </si>
  <si>
    <t>Blacks in Canada : A History</t>
  </si>
  <si>
    <t>Winks, R.</t>
  </si>
  <si>
    <t>F1035.N3.W5 1997eb</t>
  </si>
  <si>
    <t>Blacks -- Canada -- History.; Canada -- History.; Electronic books. -- local</t>
  </si>
  <si>
    <t>http://public.eblib.com/choice/PublicFullRecord.aspx?p=3331005</t>
  </si>
  <si>
    <t>Piety and Nationalism : Lay Voluntary Associations and the Creation of an Irish-Catholic Community in Toronto, 1850-1895</t>
  </si>
  <si>
    <t>Clarke, Brian P.</t>
  </si>
  <si>
    <t>F1059.7.I6</t>
  </si>
  <si>
    <t>Canada -- History -- Fenian Invasions, 1866-1870.; Catholic Church -- Ontario -- Toronto -- Societies, etc. -- History -- 19th century.; Electronic books. -- local; Irish -- Ontario -- Toronto -- History -- 19th century.; Irish -- Ontario -- Toronto -- Societies, etc. -- History -- 19th century.; Laity -- Ontario -- Toronto -- Societies, etc. -- History -- 19th century.; Religious institutions -- Ontario -- Toronto -- History -- 19th century.</t>
  </si>
  <si>
    <t>http://public.eblib.com/choice/PublicFullRecord.aspx?p=3331006</t>
  </si>
  <si>
    <t>Social Scientists and Politics in Canada : Between Clerisy and Vanguard</t>
  </si>
  <si>
    <t>Brooks, Stephen; Gagnon, Alain-G</t>
  </si>
  <si>
    <t>H53.C3</t>
  </si>
  <si>
    <t>Canada -- Politics and government -- 1945-; Electronic books. -- local; Québec (Province) -- Politics and government.; Social sciences and state -- Canada.; Social sciences and state -- Québec (Province); Social scientists -- Canada.; Social scientists -- Québec (Province)</t>
  </si>
  <si>
    <t>http://public.eblib.com/choice/PublicFullRecord.aspx?p=3331007</t>
  </si>
  <si>
    <t>Infected Christianity : A Study of Modern Racism</t>
  </si>
  <si>
    <t>Davies, Alan T.</t>
  </si>
  <si>
    <t>BT734.2</t>
  </si>
  <si>
    <t>Electronic books. -- local; Race relations -- Religious aspects.; Racism -- Religious aspects -- Christianity.</t>
  </si>
  <si>
    <t>http://public.eblib.com/choice/PublicFullRecord.aspx?p=3331008</t>
  </si>
  <si>
    <t>Drink in Canada : Historical Essays</t>
  </si>
  <si>
    <t>Warsh, Cheryl Krasnick</t>
  </si>
  <si>
    <t>HV5306</t>
  </si>
  <si>
    <t>Drinking of alcoholic beverages -- Canada -- History.; Electronic books. -- local; Liquor laws -- Canada -- History.; Prohibition -- Canada -- History.; Temperance -- Canada -- History.</t>
  </si>
  <si>
    <t>http://public.eblib.com/choice/PublicFullRecord.aspx?p=3331009</t>
  </si>
  <si>
    <t>Tense, Reference, and Worldmaking</t>
  </si>
  <si>
    <t>McGilvray, James A.</t>
  </si>
  <si>
    <t>PE1301</t>
  </si>
  <si>
    <t>Electronic books. -- local; English language -- Reference.; English language -- Tense.; Grammar, Comparative and general -- Tense.; Role and reference grammar.</t>
  </si>
  <si>
    <t>http://public.eblib.com/choice/PublicFullRecord.aspx?p=3331010</t>
  </si>
  <si>
    <t>Crisis and War</t>
  </si>
  <si>
    <t>James, Patrick</t>
  </si>
  <si>
    <t>JX1291</t>
  </si>
  <si>
    <t>Electronic books. -- local; Social conflict.; War.</t>
  </si>
  <si>
    <t>http://public.eblib.com/choice/PublicFullRecord.aspx?p=3331011</t>
  </si>
  <si>
    <t>Old English Elegies : A Critical Edition and Genre Study</t>
  </si>
  <si>
    <t>Klinck, Anne L.</t>
  </si>
  <si>
    <t>PR207</t>
  </si>
  <si>
    <t>Electronic books. -- local; Elegiac poetry, English (Old); Elegiac poetry, English (Old) -- History and criticism.</t>
  </si>
  <si>
    <t>http://public.eblib.com/choice/PublicFullRecord.aspx?p=3331012</t>
  </si>
  <si>
    <t>Voices from French Ontario</t>
  </si>
  <si>
    <t>Arnopoulos, Sheila McLeod</t>
  </si>
  <si>
    <t>F1059.7.F83</t>
  </si>
  <si>
    <t>Canada -- English-French relations.; Electronic books. -- local; French-Canadians -- Ontario -- Sudbury.</t>
  </si>
  <si>
    <t>http://public.eblib.com/choice/PublicFullRecord.aspx?p=3331013</t>
  </si>
  <si>
    <t>Bullets on the Water : Refugee Stories</t>
  </si>
  <si>
    <t>Grouev, Ivaylo</t>
  </si>
  <si>
    <t>HV640.4.C2</t>
  </si>
  <si>
    <t>Refugees -- Canada -- Biography.; Refugees -- Canada.; Réfugiés -- Canada -- Biographies.</t>
  </si>
  <si>
    <t>http://public.eblib.com/choice/PublicFullRecord.aspx?p=3331014</t>
  </si>
  <si>
    <t>Risk and Responsibility</t>
  </si>
  <si>
    <t>Leiss, William; Chociolko, Christina</t>
  </si>
  <si>
    <t>HM256</t>
  </si>
  <si>
    <t>Electromagnetic fields -- Health aspects.; Electronic books. -- local; ELF electromagnetic fields -- Health aspects.; Environmental risk assessment.; Health risk assessment.</t>
  </si>
  <si>
    <t>http://public.eblib.com/choice/PublicFullRecord.aspx?p=3331015</t>
  </si>
  <si>
    <t>Zoroastrian Faith : Tradition and Modern Research</t>
  </si>
  <si>
    <t>Nigosian, S.</t>
  </si>
  <si>
    <t>BL1571</t>
  </si>
  <si>
    <t>Electronic books. -- local; Religions.; Zoroastrianism.</t>
  </si>
  <si>
    <t>http://public.eblib.com/choice/PublicFullRecord.aspx?p=3331016</t>
  </si>
  <si>
    <t>Fur Trader's Photographs : A.A. Chesterfield in the District of Ungava, 1901-4</t>
  </si>
  <si>
    <t>James, William; Chesterfield, A. A</t>
  </si>
  <si>
    <t>E78Q3</t>
  </si>
  <si>
    <t>Chesterfield, A. A., -- 1877-1959.; Documentary photography -- Québec (Province) -- Nord-du-Québec.; Fur traders -- Québec (Province) -- Nord-du-Québec -- Biography.; Indians of North America -- Québec (Province) -- Nord-du-Québec -- Pictorial works.; Inuit -- Québec (Province) -- Nord-du-Québec -- Pictorial works.; Nord-du-Québec (Québec) -- History.; Nord-du-Québec (Québec) -- Pictorial works.</t>
  </si>
  <si>
    <t>http://public.eblib.com/choice/PublicFullRecord.aspx?p=3331017</t>
  </si>
  <si>
    <t>Louis XV's Navy, 1748-1762 : A Study of Organization and Administration</t>
  </si>
  <si>
    <t>Pritchard, James</t>
  </si>
  <si>
    <t>VA503</t>
  </si>
  <si>
    <t>Electronic books. -- local; France. -- Marine -- Management -- History -- 18th century.; France. -- Marine -- Organization -- History -- 18th century.; Naval art and science -- France.</t>
  </si>
  <si>
    <t>http://public.eblib.com/choice/PublicFullRecord.aspx?p=3331018</t>
  </si>
  <si>
    <t>Secret Trial : Brian Mulroney, Stevie Cameron, and the Public Trust</t>
  </si>
  <si>
    <t>Kaplan, William</t>
  </si>
  <si>
    <t>FC630 K35 2008</t>
  </si>
  <si>
    <t>Airbus aircraft.; Cameron, Stevie.; Corruption investigation -- Canada.; Electronic books. -- local; Kaplan, William, -- 1957-; Mulroney, Brian, -- 1939-; Political corruption -- Canada.</t>
  </si>
  <si>
    <t>http://public.eblib.com/choice/PublicFullRecord.aspx?p=3331019</t>
  </si>
  <si>
    <t>Communion and Liberation : A Movement in the Church</t>
  </si>
  <si>
    <t>Rondoni, Davide</t>
  </si>
  <si>
    <t>BX814.C663 -- C6613 2000eb</t>
  </si>
  <si>
    <t>267/.182</t>
  </si>
  <si>
    <t>Christian ethics.; Comunione e liberazione.</t>
  </si>
  <si>
    <t>http://public.eblib.com/choice/PublicFullRecord.aspx?p=3331020</t>
  </si>
  <si>
    <t>Italians in Toronto : Development of a National Identity, 1875-1935</t>
  </si>
  <si>
    <t>Zucchi, John E.</t>
  </si>
  <si>
    <t>F1059.5 .T68</t>
  </si>
  <si>
    <t>Electronic books. -- local; Italians -- Ontario -- Toronto -- History.; Toronto (Ont.) -- History.</t>
  </si>
  <si>
    <t>http://public.eblib.com/choice/PublicFullRecord.aspx?p=3331021</t>
  </si>
  <si>
    <t>Trials of Labour : The Re-emergence of Midwifery</t>
  </si>
  <si>
    <t>Burtch, Brian</t>
  </si>
  <si>
    <t>RG950</t>
  </si>
  <si>
    <t>Electronic books. -- local; Midwifery -- Canada.; Midwives -- Legal status, laws, etc. -- Canada.; Obstetrics -- Canada.; Obstetrics -- Law and legislation -- Canada.</t>
  </si>
  <si>
    <t>http://public.eblib.com/choice/PublicFullRecord.aspx?p=3331022</t>
  </si>
  <si>
    <t>North of Athabasca : Slave Lake and Mackenzie River Documents of North West Company, 1800-1821</t>
  </si>
  <si>
    <t>Keith, Lloyd; North West Company Staff</t>
  </si>
  <si>
    <t>F1060.7</t>
  </si>
  <si>
    <t>Fur trade -- Northwest Territories -- Great Slave Lake Region -- History -- 19th century -- Sources.; North West Company -- Biographies.; North West Company -- Biography.; North West Company -- Histoire -- Sources.; North West Company -- History -- Sources.; North West Company. -- History -- Sources.; North West Company. -- History.</t>
  </si>
  <si>
    <t>http://public.eblib.com/choice/PublicFullRecord.aspx?p=3331023</t>
  </si>
  <si>
    <t>Sophocles, Use of Psychological Terminology : Old and New</t>
  </si>
  <si>
    <t>Sullivan, Shirley D.</t>
  </si>
  <si>
    <t>PA4432</t>
  </si>
  <si>
    <t>Electronic books. -- local; Greek drama (Tragedy) -- Psychological aspects.; Greek language -- Terms and phrases.; Psychology -- Terminology.; Psychology in literature.; Sophocles -- Knowledge -- Psychology.; Sophocles -- Language.</t>
  </si>
  <si>
    <t>http://public.eblib.com/choice/PublicFullRecord.aspx?p=3331024</t>
  </si>
  <si>
    <t>Physics and the Rise of Scientific Research in Canada</t>
  </si>
  <si>
    <t>Gingras, Yves</t>
  </si>
  <si>
    <t>Science; Science: General</t>
  </si>
  <si>
    <t>Q180.C2</t>
  </si>
  <si>
    <t>Electronic books. -- local; Federal aid to research -- Canada.; Physics -- Canada -- History.; Research -- Canada -- History.; Royal Society of Canada.; Science -- Study and teaching (Higher) -- Canada -- History.</t>
  </si>
  <si>
    <t>http://public.eblib.com/choice/PublicFullRecord.aspx?p=3331025</t>
  </si>
  <si>
    <t>Swinging the Maelstrom : New Perspectives on Malcolm Lowry</t>
  </si>
  <si>
    <t>PR6023.O96</t>
  </si>
  <si>
    <t>Electronic books. -- local; English literature.; Lowry, Malcolm, -- 1909-1957 -- Criticism and interpretation.</t>
  </si>
  <si>
    <t>http://public.eblib.com/choice/PublicFullRecord.aspx?p=3331026</t>
  </si>
  <si>
    <t>Technology and National Competitiveness : Oligopoly, Technological Innovation and International Competition</t>
  </si>
  <si>
    <t>Niosi, Jorge</t>
  </si>
  <si>
    <t>HC79.T4</t>
  </si>
  <si>
    <t>Comparative advantage (International trade); Electronic books. -- local; International trade.; Technology -- Economic aspects.; Technology and state.</t>
  </si>
  <si>
    <t>http://public.eblib.com/choice/PublicFullRecord.aspx?p=3331027</t>
  </si>
  <si>
    <t>History of Histories of German Literature, 1835-1914</t>
  </si>
  <si>
    <t>Batts, Michael S.</t>
  </si>
  <si>
    <t>PT47 -- .B37 1993eb</t>
  </si>
  <si>
    <t>830.9/001</t>
  </si>
  <si>
    <t>Criticism -- Germany -- History.; Criticism -- History.; Electronic books. -- local; German literature -- History and criticism -- Theory, etc.; German literature -- History and criticism.</t>
  </si>
  <si>
    <t>http://public.eblib.com/choice/PublicFullRecord.aspx?p=3331028</t>
  </si>
  <si>
    <t>Letters of Brendan Behan</t>
  </si>
  <si>
    <t>Mikhail, E.; Mikhail, ; Mikhail, E H</t>
  </si>
  <si>
    <t>PR6003.E417 -- Z48 1992eb</t>
  </si>
  <si>
    <t>822/.914</t>
  </si>
  <si>
    <t>Authors, Irish -- 20th century -- Correspondence.; Behan, Brendan -- Correspondence.; Electronic books. -- local</t>
  </si>
  <si>
    <t>http://public.eblib.com/choice/PublicFullRecord.aspx?p=3331029</t>
  </si>
  <si>
    <t>Canadian Economic Forecasting : In a World Where All's Unsure</t>
  </si>
  <si>
    <t>Daub, Mervin</t>
  </si>
  <si>
    <t>Canada -- Economic conditions.; Economic forecasting -- Canada.; Electronic books. -- local</t>
  </si>
  <si>
    <t>http://public.eblib.com/choice/PublicFullRecord.aspx?p=3331030</t>
  </si>
  <si>
    <t>Stephen Leacock : Humour and Humanity</t>
  </si>
  <si>
    <t>PR9199.3.L367</t>
  </si>
  <si>
    <t>Electronic books. -- local; English literature.; Leacock, Stephen, -- 1869-1944 -- Criticism and interpretation.</t>
  </si>
  <si>
    <t>http://public.eblib.com/choice/PublicFullRecord.aspx?p=3331031</t>
  </si>
  <si>
    <t>Centring the Periphery : Chaos, Order, and the Ethnohistory of Dominica</t>
  </si>
  <si>
    <t>Baker, Patrick L.</t>
  </si>
  <si>
    <t>F2051 -- B24 1994eb</t>
  </si>
  <si>
    <t>Dominica -- History.; Electronic books. -- local</t>
  </si>
  <si>
    <t>http://public.eblib.com/choice/PublicFullRecord.aspx?p=3331032</t>
  </si>
  <si>
    <t>Thackeray's Cultural Frame of Reference : Allusion in The Newcomes</t>
  </si>
  <si>
    <t>McMaster, R.; McMaster,</t>
  </si>
  <si>
    <t>PR5614 -- .M34 1991eb</t>
  </si>
  <si>
    <t>Electronic books. -- local; English literature.; Thackeray, William Makepeace, -- 1811-1863. -- Newcomes.</t>
  </si>
  <si>
    <t>http://public.eblib.com/choice/PublicFullRecord.aspx?p=3331033</t>
  </si>
  <si>
    <t>Pioneer Woman : A Canadian Character Type</t>
  </si>
  <si>
    <t>Thompson, Elizabeth</t>
  </si>
  <si>
    <t>PS8103 .P58 T469p 1991</t>
  </si>
  <si>
    <t>Canadian fiction -- History and criticism.; Electronic books. -- local; Frontier and pioneer life in literature.; Women and literature -- Canada.; Women pioneers in literature.</t>
  </si>
  <si>
    <t>http://public.eblib.com/choice/PublicFullRecord.aspx?p=3331035</t>
  </si>
  <si>
    <t>Moments of Unreason : The Practice of Canadian Psychiatry and the Homewood Retreat, 1883-1923</t>
  </si>
  <si>
    <t>RC448.O53</t>
  </si>
  <si>
    <t>Electronic books. -- local; Homewood Retreat -- History.; Psychiatric hospitals -- Ontario -- Guelph -- History.; Psychiatry -- Canada -- History -- 19th century.</t>
  </si>
  <si>
    <t>http://public.eblib.com/choice/PublicFullRecord.aspx?p=3331036</t>
  </si>
  <si>
    <t>Popular Politics and Political Culture in Upper Canada, 1800-1850</t>
  </si>
  <si>
    <t>Wilton, Carol</t>
  </si>
  <si>
    <t>Culture politique -- Ontario -- Histoire -- 19e siècle.; Droit de pétition -- Ontario -- Histoire -- 19e siècle.; Ontario -- Politics and government -- 19th century.; Ontario -- Politique et gouvernement -- 19e siècle.; Participation politique -- Ontario -- Histoire -- 19e siècle.; Political culture -- Ontario -- History -- 19th century.; Political participation -- Ontario -- History -- 19th century.</t>
  </si>
  <si>
    <t>http://public.eblib.com/choice/PublicFullRecord.aspx?p=3331037</t>
  </si>
  <si>
    <t>René Lévesque and the Parti Québécois in Power</t>
  </si>
  <si>
    <t>Fraser, Graham</t>
  </si>
  <si>
    <t>JL259.A56</t>
  </si>
  <si>
    <t>Lévesque, René, -- 1922-1987.; Lévesque, René, -- 1922-1987.; Parti québécois -- Histoire.; Parti québécois -- History.; Québec (Province) -- Politics and government -- 1960-; Québec (Province) -- Politique et gouvernement -- 1960-1976.; Québec (Province) -- Politique et gouvernement -- 1976-1985.</t>
  </si>
  <si>
    <t>http://public.eblib.com/choice/PublicFullRecord.aspx?p=3331038</t>
  </si>
  <si>
    <t>Cassock and the Crown : Canada's Most Controversial Murder Trial</t>
  </si>
  <si>
    <t>Monet, Jean</t>
  </si>
  <si>
    <t>HV6248.D45</t>
  </si>
  <si>
    <t>Delorme, Adélard.; Electronic books. -- local; Murderers -- Québec (Province) -- Montréal.; Priests -- Québec (Province) -- Biography.; Trials (Murder) -- Québec (Province) -- Montréal.</t>
  </si>
  <si>
    <t>http://public.eblib.com/choice/PublicFullRecord.aspx?p=3331039</t>
  </si>
  <si>
    <t>Reimagining Canada : Language, Culture, Community, and the Canadian Constitution</t>
  </si>
  <si>
    <t>Webber, Jeremy</t>
  </si>
  <si>
    <t>Constitutional amendments -- Canada.; Constitutional history -- Canada.; Constitutional law -- Canada.; Electronic books. -- local; Public administration -- Canada.</t>
  </si>
  <si>
    <t>http://public.eblib.com/choice/PublicFullRecord.aspx?p=3331040</t>
  </si>
  <si>
    <t>Little Slaves of the Harp : Italian Child Street Musicians in 19th-Century Paris, London and New York</t>
  </si>
  <si>
    <t>Zucchi, J.</t>
  </si>
  <si>
    <t>HD6231 -- .Z833 1992eb</t>
  </si>
  <si>
    <t>Child labor -- England -- London -- History -- 19th century.; Child labor -- France -- Paris -- History -- 19th century.; Child labor -- New York (State) -- New York -- History -- 19th century.; Street music -- England -- London -- History -- 19th century.; Street music -- France -- Paris -- History -- 19th century.; Street musicians -- England -- London -- History -- 19th century.; Street musicians -- France -- Paris -- History -- 19th century.</t>
  </si>
  <si>
    <t>http://public.eblib.com/choice/PublicFullRecord.aspx?p=3331041</t>
  </si>
  <si>
    <t>Different Point of View : Sara Jeannette Duncan</t>
  </si>
  <si>
    <t>Dean, Misao</t>
  </si>
  <si>
    <t>PR9199.2.C68 -- Z64 1991eb</t>
  </si>
  <si>
    <t>813/.4</t>
  </si>
  <si>
    <t>Colonies in literature.; Duncan, Sara Jeannette, -- 1861-1922 -- Criticism and interpretation.; Electronic books. -- local; Feminism and literature -- Canada -- History -- 19th century.; Women and literature -- Canada -- History -- 19th century.</t>
  </si>
  <si>
    <t>http://public.eblib.com/choice/PublicFullRecord.aspx?p=3331042</t>
  </si>
  <si>
    <t>Obligation and Opportunity : Single Maritime Women in Boston, 1870-1930</t>
  </si>
  <si>
    <t>Beattie, Betsy</t>
  </si>
  <si>
    <t>HQ800.2</t>
  </si>
  <si>
    <t>Electronic books. -- local; Maritime Provinces -- Emigration and immigration.; Single women -- Employment -- Massachusetts -- Boston -- History -- 19th century.; Single women -- Employment -- Massachusetts -- Boston -- History -- 20th century.; Single women -- Maritime Provinces -- Economic conditions.; Single women -- Maritime Provinces -- History -- 19th century.; Single women -- Maritime Provinces -- History -- 20th century.</t>
  </si>
  <si>
    <t>http://public.eblib.com/choice/PublicFullRecord.aspx?p=3331043</t>
  </si>
  <si>
    <t>Human Rights and Social Technology : The New War on Discrimination</t>
  </si>
  <si>
    <t>Knopff, R.</t>
  </si>
  <si>
    <t>KE4395 -- .K66 1989eb</t>
  </si>
  <si>
    <t>Civil rights -- Canada.; Discrimination -- Government policy -- Canada.; Electronic books. -- local; Human rights.</t>
  </si>
  <si>
    <t>http://public.eblib.com/choice/PublicFullRecord.aspx?p=3331044</t>
  </si>
  <si>
    <t>Lives of Dalhousie University : 1818-1925, Lord Dalhousie's College</t>
  </si>
  <si>
    <t>Waite, P.</t>
  </si>
  <si>
    <t>LE3.D32 -- W35 1994eb</t>
  </si>
  <si>
    <t>378.716/225</t>
  </si>
  <si>
    <t>Dalhousie University -- History.</t>
  </si>
  <si>
    <t>http://public.eblib.com/choice/PublicFullRecord.aspx?p=3331045</t>
  </si>
  <si>
    <t>Cheap Wage Labour : Race and Gender in the Fisheries of British Columbia</t>
  </si>
  <si>
    <t>Muszynski, Alicja</t>
  </si>
  <si>
    <t>HD8039.F6752</t>
  </si>
  <si>
    <t>Electronic books. -- local; Fishery processing industries -- British Columbia -- Employees.; Labor theory of value -- British Columbia.; Minorities -- Employment -- British Columbia.; Wages -- Fish trade -- British Columbia.; Women fish trade workers -- British Columbia.</t>
  </si>
  <si>
    <t>http://public.eblib.com/choice/PublicFullRecord.aspx?p=3331046</t>
  </si>
  <si>
    <t>Openings : A Meditation on History, Method, and Sumas Lake</t>
  </si>
  <si>
    <t>Cameron, Laura</t>
  </si>
  <si>
    <t>F1089.F7</t>
  </si>
  <si>
    <t>Culture -- Environmental aspects -- British Columbia -- Fraser River Valley.; Drainage -- British Columbia -- Fraser River Valley -- History -- 20th century.; Historiography -- Philosophy.; Lakes -- British Columbia -- Fraser River Valley -- History -- 20th century.; Nature -- Effect of human beings on -- British Columbia -- Fraser River Valley.; Oral history -- Philosophy.; Reclamation of land -- British Columbia -- Fraser River Valley -- History -- 20th century.</t>
  </si>
  <si>
    <t>http://public.eblib.com/choice/PublicFullRecord.aspx?p=3331047</t>
  </si>
  <si>
    <t>Disciplined Intelligence : Critical Inquiry and Canadian Thought in the Victorian Era</t>
  </si>
  <si>
    <t>McKillop, A.B.</t>
  </si>
  <si>
    <t>F1021 -- .M346 2001eb</t>
  </si>
  <si>
    <t>305.8/00971/09034</t>
  </si>
  <si>
    <t>Canada -- Intellectual life -- 19th century.; Canada -- Vie intellectuelle -- 19e siècle.; Philosophie canadienne -- 19e siècle.; Philosophy -- Canada -- History -- 19th century.; Philosophy, Canadian.; Religious thought -- Canada.</t>
  </si>
  <si>
    <t>http://public.eblib.com/choice/PublicFullRecord.aspx?p=3331048</t>
  </si>
  <si>
    <t>God's Assassins : State Terrorism in Argentina in the 1970s</t>
  </si>
  <si>
    <t>Marchak, Patricia; Marchak, William</t>
  </si>
  <si>
    <t>HV6433.A7</t>
  </si>
  <si>
    <t>Argentina -- Politics and government -- 1955-1983.; Disappeared persons -- Argentina -- History -- 20th century.; Electronic books. -- local; Political violence -- Argentina -- History -- 20th century.; State-sponsored terrorism -- Argentina.; Terrorism -- Argentina -- History -- 20th century.</t>
  </si>
  <si>
    <t>http://public.eblib.com/choice/PublicFullRecord.aspx?p=3331049</t>
  </si>
  <si>
    <t>Canada's Century : Governance in a Maturing Society</t>
  </si>
  <si>
    <t>Franks, C.E.S.; Hodgetts, J.E.; Dwivedi, O.P.</t>
  </si>
  <si>
    <t>JA39</t>
  </si>
  <si>
    <t>Canada -- History -- 20th century.; Canada -- Politics and government -- 20th century -- Congresses.; Electronic books. -- local; Meisel, John -- Congresses.</t>
  </si>
  <si>
    <t>http://public.eblib.com/choice/PublicFullRecord.aspx?p=3331050</t>
  </si>
  <si>
    <t>Gaullist Attack on Canada, 1967-1997</t>
  </si>
  <si>
    <t>Bosher, J. F.</t>
  </si>
  <si>
    <t>F1029.5.F8</t>
  </si>
  <si>
    <t>Canada -- Relations -- France.; Electronic books. -- local; France -- Relations -- Canada.; Gaullism -- Québec (Province); Québec (Province) -- History -- Autonomy and independence movements.</t>
  </si>
  <si>
    <t>http://public.eblib.com/choice/PublicFullRecord.aspx?p=3331051</t>
  </si>
  <si>
    <t>Church, College, and Clergy : A History of Theological Education at Knox College, Toronto, 1844-1994</t>
  </si>
  <si>
    <t>Education; Religion</t>
  </si>
  <si>
    <t>LE3.K66</t>
  </si>
  <si>
    <t>Electronic books. -- local; Knox College (Toronto, Ont.) -- History.; Presbyterian theological seminaries -- Ontario -- Toronto -- History.</t>
  </si>
  <si>
    <t>http://public.eblib.com/choice/PublicFullRecord.aspx?p=3331052</t>
  </si>
  <si>
    <t>Voices for the Watershed : Environmental Issues in the Great Lakes-St Lawrence Drainage Basin</t>
  </si>
  <si>
    <t>Beck, Gregor G.; Litteljohn, Bruce</t>
  </si>
  <si>
    <t>Science; Science: Geology; Environmental Studies</t>
  </si>
  <si>
    <t>GB992.C2 -- V65 2000eb</t>
  </si>
  <si>
    <t>Electronic books. -- local; Environmental protection -- Great Lakes (North America); Environmental protection -- Saint Lawrence River Watershed.; Water -- Pollution -- Great Lakes (North America); Water -- Pollution -- Saint Lawrence River Watershed.; Water quality management -- Great Lakes (North America); Water quality management -- Saint Lawrence River Watershed.</t>
  </si>
  <si>
    <t>http://public.eblib.com/choice/PublicFullRecord.aspx?p=3331053</t>
  </si>
  <si>
    <t>Wives and Mothers, School Mistresses and Scullery Maids : Working Women in Upper Canada, 1790-1840</t>
  </si>
  <si>
    <t>Errington, Elizabeth Jane</t>
  </si>
  <si>
    <t>HQ1459.O57</t>
  </si>
  <si>
    <t>Electronic books. -- local; Women -- Employment -- Ontario -- History -- 19th century.; Women -- Ontario -- History -- 19th century.; Women -- Ontario -- Social conditions.</t>
  </si>
  <si>
    <t>http://public.eblib.com/choice/PublicFullRecord.aspx?p=3331054</t>
  </si>
  <si>
    <t>Polliticke Courtier : Spenser's The Faerie Queene as a Rhetoric of Justice</t>
  </si>
  <si>
    <t>Dixon, Michael F.N.</t>
  </si>
  <si>
    <t>PR2358</t>
  </si>
  <si>
    <t>Electronic books. -- local; Justice in literature.; Persuasion (Rhetoric); Spenser, Edmund, -- 1552?-1599. -- Faerie queene.</t>
  </si>
  <si>
    <t>http://public.eblib.com/choice/PublicFullRecord.aspx?p=3331055</t>
  </si>
  <si>
    <t>Canada's Early Nuclear Policy : Fate, Chance, and Character</t>
  </si>
  <si>
    <t>Buckley, Brian</t>
  </si>
  <si>
    <t>Armes nucléaires -- Politique gouvernementale -- Canada.; Canada -- Foreign relations -- 1945-; Canada -- Military policy.; Canada -- Politique militaire.; Énergie nucléaire -- Politique gouvernementale -- Canada.; Nuclear energy -- Government policy -- Canada.; Nuclear weapons -- Government policy -- Canada.</t>
  </si>
  <si>
    <t>http://public.eblib.com/choice/PublicFullRecord.aspx?p=3331056</t>
  </si>
  <si>
    <t>Politics of Collegiality : Retrenchment Strategies in Canadian Universities</t>
  </si>
  <si>
    <t>Hardy, Cynthia</t>
  </si>
  <si>
    <t>LB2342.2.C3</t>
  </si>
  <si>
    <t>Electronic books. -- local; Universities and colleges -- Canada -- Administration -- Case studies.; Universities and colleges -- Canada -- Finance -- Case studies.</t>
  </si>
  <si>
    <t>http://public.eblib.com/choice/PublicFullRecord.aspx?p=3331057</t>
  </si>
  <si>
    <t>Strategies of Public Engagement : Shaping a Canadian Agenda for International Co-operation</t>
  </si>
  <si>
    <t>Gillies, David</t>
  </si>
  <si>
    <t>HC60</t>
  </si>
  <si>
    <t>Economic assistance, Canadian -- Developing countries.; Electronic books. -- local; International economic relations.</t>
  </si>
  <si>
    <t>http://public.eblib.com/choice/PublicFullRecord.aspx?p=3331058</t>
  </si>
  <si>
    <t>Making Ontario : Agricultural Colonization and Landscape Re-Creation Before the Railway</t>
  </si>
  <si>
    <t>Wood, David</t>
  </si>
  <si>
    <t>Agricultural colonies -- Ontario, Southern -- History.; Land settlement -- Ontario, Southern -- History.; Land use -- Ontario, Southern -- History.; Landscape changes -- Ontario, Southern -- History.; Ontario, Southern -- Economic conditions.; Ontario, Southern -- History.</t>
  </si>
  <si>
    <t>http://public.eblib.com/choice/PublicFullRecord.aspx?p=3331059</t>
  </si>
  <si>
    <t>Recent Social Trends in Greece, 1960-2000</t>
  </si>
  <si>
    <t>Charalambis, Dimitris; Maratou-Alipranti, Laura; Hadjiyanni, Andromachi</t>
  </si>
  <si>
    <t>HN650.5.A8</t>
  </si>
  <si>
    <t>Changement social -- Grèce -- Histoire -- 20e siècle.; Grèce -- Conditions sociales -- 20e siècle.; Greece -- Social conditions -- 20th century.; Indicateurs sociaux -- Grèce.; Social change -- Greece -- History -- 20th century.; Social indicators -- Greece.</t>
  </si>
  <si>
    <t>http://public.eblib.com/choice/PublicFullRecord.aspx?p=3331060</t>
  </si>
  <si>
    <t>Outside the Lines : Issues in Interdisciplinary Research</t>
  </si>
  <si>
    <t>Salter, Liora; Hearn, Alison</t>
  </si>
  <si>
    <t>General Works/Reference; Science</t>
  </si>
  <si>
    <t>Q180.55.I48</t>
  </si>
  <si>
    <t>Electronic books. -- local; Interdisciplinary research.; Research.</t>
  </si>
  <si>
    <t>http://public.eblib.com/choice/PublicFullRecord.aspx?p=3331061</t>
  </si>
  <si>
    <t>Gate of Heaven : The Story of Congregation Shaar Hashomayim in Montreal, 1846-1996</t>
  </si>
  <si>
    <t>Shuchat, Wilfred</t>
  </si>
  <si>
    <t>BM229.W47 -- S58 2000eb</t>
  </si>
  <si>
    <t>Congregation Shaar Hashomayim (Westmount, Québec) -- History.; Jews -- Québec (Province) -- Westmount -- History.; Westmount (Québec) -- Ethnic relations.</t>
  </si>
  <si>
    <t>http://public.eblib.com/choice/PublicFullRecord.aspx?p=3331062</t>
  </si>
  <si>
    <t>Arvida au Saguenay : Naissance d'une ville industrielle</t>
  </si>
  <si>
    <t>Igartua, José E.</t>
  </si>
  <si>
    <t>HC118.A78</t>
  </si>
  <si>
    <t>Arvida (Saguenay, Québec) -- Economic conditions.; Electronic books. -- local; Working class -- Québec (Province) -- Saguenay -- History.</t>
  </si>
  <si>
    <t>http://public.eblib.com/choice/PublicFullRecord.aspx?p=3331063</t>
  </si>
  <si>
    <t>Merger Mania</t>
  </si>
  <si>
    <t>Sancton, Andrew</t>
  </si>
  <si>
    <t>JS1712.A56</t>
  </si>
  <si>
    <t>Annexation (Municipal government); Annexation (Municipal government) -- Canada.</t>
  </si>
  <si>
    <t>http://public.eblib.com/choice/PublicFullRecord.aspx?p=3331064</t>
  </si>
  <si>
    <t>View from Xanadu : William Randolph Hearst and United States Foreign Policy</t>
  </si>
  <si>
    <t>Mugridge, Ian</t>
  </si>
  <si>
    <t>PN4874.H4</t>
  </si>
  <si>
    <t>Electronic books. -- local; Hearst, William Randolph, -- 1863-1951 -- Influence.; Hearst, William Randolph, -- 1863-1951 -- Views on international relations.; Press and politics -- United States -- History -- 20th century.; Publishers and publishing -- United States -- Biography.</t>
  </si>
  <si>
    <t>http://public.eblib.com/choice/PublicFullRecord.aspx?p=3331065</t>
  </si>
  <si>
    <t>Trudeau and the End of a Canadian Dream</t>
  </si>
  <si>
    <t>Laforest, Guy</t>
  </si>
  <si>
    <t>F1034.3.T7 -- L3413 1995eb</t>
  </si>
  <si>
    <t>Electronic books. -- local; Federal government -- Canada.; Nationalism -- Québec (Province); Québec (Province) -- History -- Autonomy and independence movements.; Trudeau, Pierre Elliott.</t>
  </si>
  <si>
    <t>http://public.eblib.com/choice/PublicFullRecord.aspx?p=3331066</t>
  </si>
  <si>
    <t>Architecture in the Family Way : Doctors, Houses and Men, 1870-1900</t>
  </si>
  <si>
    <t>Adams, A.</t>
  </si>
  <si>
    <t>NA7328 -- .A22 1996eb</t>
  </si>
  <si>
    <t>Architecture and women -- England -- History -- 19th century.; Architecture, Domestic -- Health aspects -- England -- History -- 19th century.; Architecture, Domestic -- Social aspects -- England -- History -- 19th century.; Architecture, Victorian -- England.; Electronic books. -- local; Housing and health -- England -- History -- 19th century.</t>
  </si>
  <si>
    <t>http://public.eblib.com/choice/PublicFullRecord.aspx?p=3331067</t>
  </si>
  <si>
    <t>Is Jesus Your Personal Saviour? : In Search of Canadian Evangelicalism in the 1990s</t>
  </si>
  <si>
    <t>Electronic books. -- local; Evangelicalism -- Canada.; Protestantism -- Canada.</t>
  </si>
  <si>
    <t>http://public.eblib.com/choice/PublicFullRecord.aspx?p=3331068</t>
  </si>
  <si>
    <t>Critical Images : The Canonization of Don Quixote through Illustrated Editions of the Eighteenth Century</t>
  </si>
  <si>
    <t>Schmidt, Rachel</t>
  </si>
  <si>
    <t>PQ6335</t>
  </si>
  <si>
    <t>Cervantes Saavedra, Miguel de, -- 1547-1616 -- Criticism and interpretation.; Cervantes Saavedra, Miguel de, -- 1547-1616. -- Don Quixote -- Illustrations.; Electronic books. -- local; Spanish literature.</t>
  </si>
  <si>
    <t>http://public.eblib.com/choice/PublicFullRecord.aspx?p=3331069</t>
  </si>
  <si>
    <t>Christian Ethics and Political Economy in North America : A Critical Analysis</t>
  </si>
  <si>
    <t>Kroeker, Travis</t>
  </si>
  <si>
    <t>BJ1251</t>
  </si>
  <si>
    <t>Canada -- Economic policy -- Moral and ethical aspects.; Canada -- Social policy -- Moral and ethical aspects.; Electronic books. -- local; Social ethics -- Canada.; Social ethics -- United States.; United States -- Economic policy -- Moral and ethical aspects.; United States -- Social policy -- Moral and ethical aspects.</t>
  </si>
  <si>
    <t>http://public.eblib.com/choice/PublicFullRecord.aspx?p=3331070</t>
  </si>
  <si>
    <t>Capital Culture : A Reader on Modernist Legacies, State Institutions,</t>
  </si>
  <si>
    <t>Berland, Jody; Hornstein, Shelley</t>
  </si>
  <si>
    <t>N8600 -- .C28 2000eb</t>
  </si>
  <si>
    <t>306.4/7/0971</t>
  </si>
  <si>
    <t>Art -- Economic aspects -- Canada -- Congresses.; Art and state -- Canada -- Congresses.; Canada -- Cultural policy -- Congresses.</t>
  </si>
  <si>
    <t>http://public.eblib.com/choice/PublicFullRecord.aspx?p=3331071</t>
  </si>
  <si>
    <t>When the North Was Red : Aboriginal Education in Soviet Siberia</t>
  </si>
  <si>
    <t>Bartels, Dennis A.; Bartels, Alice L.</t>
  </si>
  <si>
    <t>LA1391</t>
  </si>
  <si>
    <t>Education -- Russia (Federation) -- Siberia.; Electronic books. -- local; Indigenous peoples -- Education -- Russia (Federation) -- Siberia -- History.</t>
  </si>
  <si>
    <t>http://public.eblib.com/choice/PublicFullRecord.aspx?p=3331072</t>
  </si>
  <si>
    <t>Documents of Protest and Compassion : The Poetry of Walter Bauer</t>
  </si>
  <si>
    <t>Arend, Angelika</t>
  </si>
  <si>
    <t>PT2603.A79</t>
  </si>
  <si>
    <t>Bauer, Walter, -- 1904-1976 -- Criticism and interpretation.; Electronic books. -- local; German poetry -- History and criticism.</t>
  </si>
  <si>
    <t>http://public.eblib.com/choice/PublicFullRecord.aspx?p=3331073</t>
  </si>
  <si>
    <t>Between Damnation and Starvation : Priests and Merchants in Newfoundland Politics, 1745-1855</t>
  </si>
  <si>
    <t>Greene, John P.</t>
  </si>
  <si>
    <t>Church and state -- Newfoundland and Labrador -- History -- 18th century.; Church and state -- Newfoundland and Labrador -- History -- 19th century.; Electronic books. -- local; Newfoundland and Labrador -- Politics and government.</t>
  </si>
  <si>
    <t>http://public.eblib.com/choice/PublicFullRecord.aspx?p=3331074</t>
  </si>
  <si>
    <t>Sense of Their Duty : Middle-Class Formation in Victorian Ontario Towns</t>
  </si>
  <si>
    <t>Holman, Andrew</t>
  </si>
  <si>
    <t>HT690.C22</t>
  </si>
  <si>
    <t>Classes moyennes -- Ontario -- Histoire -- 19e siècle -- Cas, Études de.; Galt (Cambridge, Ont.) -- Conditions sociales -- 19e siècle.; Galt (Cambridge, Ont.) -- Social conditions -- 19th century.; Goderich (Ont. : Township) -- Social conditions -- 19th century.; Goderich (Ont.) -- Conditions sociales -- 19e siècle.; Middle class -- Ontario -- History -- 19th century -- Case studies.; Social values -- Ontario -- Case studies.</t>
  </si>
  <si>
    <t>http://public.eblib.com/choice/PublicFullRecord.aspx?p=3331075</t>
  </si>
  <si>
    <t>Dilemmas of Trust</t>
  </si>
  <si>
    <t>Philosophy; Psychology</t>
  </si>
  <si>
    <t>BF575.T7</t>
  </si>
  <si>
    <t>Electronic books. -- local; Interpersonal relations.; Trust.</t>
  </si>
  <si>
    <t>http://public.eblib.com/choice/PublicFullRecord.aspx?p=3331076</t>
  </si>
  <si>
    <t>Justice in Paradise</t>
  </si>
  <si>
    <t>KE416.C53</t>
  </si>
  <si>
    <t>Clark, Bruce A., -- 1944-; Electronic books. -- local; Indigenous peoples -- Legal status, laws, etc. -- Canada.; Indigenous peoples -- Legal status, laws, etc. -- United States.; Lawyers -- Canada -- Biography.; Rule of law.</t>
  </si>
  <si>
    <t>http://public.eblib.com/choice/PublicFullRecord.aspx?p=3331077</t>
  </si>
  <si>
    <t>Setting the Stage : Montreal Theatre, 1920-1949</t>
  </si>
  <si>
    <t>Whittaker, Herbert; Rittenhouse, Jonathan ; Plummer, Christopher</t>
  </si>
  <si>
    <t>PN2306.M6</t>
  </si>
  <si>
    <t>Electronic books. -- local; Performing arts -- Québec (Province) -- Montréal.; Theater -- Québec (Province) -- Montréal -- History -- 20th century.</t>
  </si>
  <si>
    <t>http://public.eblib.com/choice/PublicFullRecord.aspx?p=3331078</t>
  </si>
  <si>
    <t>Voice of the Vanishing Minority : Robert Sellar and the Huntingdon Gleaner, 1863+1919</t>
  </si>
  <si>
    <t>Hill, Robert</t>
  </si>
  <si>
    <t>PN4913.S425</t>
  </si>
  <si>
    <t>Canada -- English-French relations -- History.; Eastern Townships (Québec) -- Biography.; Electronic books. -- local; Huntingdon gleaner.; Newspaper editors -- Québec (Province) -- Eastern Townships -- Biography.; Sellar, Robert, -- 1841-1919.</t>
  </si>
  <si>
    <t>http://public.eblib.com/choice/PublicFullRecord.aspx?p=3331079</t>
  </si>
  <si>
    <t>Flexible Innovation : Technological Alliances in Canadian Industry</t>
  </si>
  <si>
    <t>Niosi, Jorge; Bergeron, Maryse; Sawchuck, Michèle</t>
  </si>
  <si>
    <t>T177.C2</t>
  </si>
  <si>
    <t>Cooperative industrial research -- Canada.; Electronic books. -- local; High technology industries -- Canada.; Research, Industrial -- Canada.</t>
  </si>
  <si>
    <t>http://public.eblib.com/choice/PublicFullRecord.aspx?p=3331080</t>
  </si>
  <si>
    <t>Cottage Country in Transition : A Social Geography of Change and Contention in the Rural-Recreational Countryside</t>
  </si>
  <si>
    <t>Halseth, Greg</t>
  </si>
  <si>
    <t>HN110.Z9</t>
  </si>
  <si>
    <t>Canada -- Rural conditions -- Case studies.; Community life -- Canada -- Case studies.; Electronic books. -- local; Recreation areas -- Social aspects -- Canada -- Case studies.; Rural development -- Canada -- Case studies.; Urban-rural migration -- Canada -- Case studies.</t>
  </si>
  <si>
    <t>http://public.eblib.com/choice/PublicFullRecord.aspx?p=3331081</t>
  </si>
  <si>
    <t>Canada Enters the Nuclear Age : A Technical History of Atomic Energy of Canada Limited as Seen from Its Research Laboratories</t>
  </si>
  <si>
    <t>Hurst, D.G.; Critoph, E.</t>
  </si>
  <si>
    <t>Business/Management; Engineering: General; Engineering</t>
  </si>
  <si>
    <t>HD9698.C24 -- A76 1997eb</t>
  </si>
  <si>
    <t>621.4/8/072071</t>
  </si>
  <si>
    <t>Atomic Energy of Canada Limited -- History.; Electronic books. -- local; Nuclear energy -- Research -- Canada -- History.</t>
  </si>
  <si>
    <t>http://public.eblib.com/choice/PublicFullRecord.aspx?p=3331082</t>
  </si>
  <si>
    <t>Missing in Action : An RCAF Navigator's Story</t>
  </si>
  <si>
    <t>Harvie, John D.</t>
  </si>
  <si>
    <t>D805.G3</t>
  </si>
  <si>
    <t>Electronic books. -- local; Flight navigators -- Canada -- Biography.; Harvie, John D., -- 1923-; Prisoners of war -- Germany -- Biography.; World War, 1939-1945 -- Personal narratives, Canadian.; World War, 1939-1945 -- Prisoners and prisons, German.</t>
  </si>
  <si>
    <t>http://public.eblib.com/choice/PublicFullRecord.aspx?p=3331083</t>
  </si>
  <si>
    <t>Is Quebec Nationalism Just? : Perspectives from Anglophone Canada</t>
  </si>
  <si>
    <t>Carens, Joseph H.</t>
  </si>
  <si>
    <t>F1053.2</t>
  </si>
  <si>
    <t>Electronic books. -- local; Federal government -- Canada.; Nationalism -- Québec (Province); Québec (Province) -- Emigration and immigration.; Québec (Province) -- History -- Autonomy and independence movements.</t>
  </si>
  <si>
    <t>http://public.eblib.com/choice/PublicFullRecord.aspx?p=3331084</t>
  </si>
  <si>
    <t>Manner of Correspondence : A Study of the Scriblerus Club</t>
  </si>
  <si>
    <t>Brückmann, Patricia C.</t>
  </si>
  <si>
    <t>PR448.S33</t>
  </si>
  <si>
    <t>Electronic books. -- local; English literature -- 18th century -- History and criticism.; Satire, English -- History and criticism.; Scriblerus Club.</t>
  </si>
  <si>
    <t>http://public.eblib.com/choice/PublicFullRecord.aspx?p=3331085</t>
  </si>
  <si>
    <t>Chignecto Covenanters : A Regional History of Reformed Presbyterianism in New Brunswick and Nova Scotia, 1827-1905</t>
  </si>
  <si>
    <t>Hay, E.</t>
  </si>
  <si>
    <t>BX9002.M37 -- H39 1996eb</t>
  </si>
  <si>
    <t>Brownell, Joseph Howe, -- 1858-1920.; Clarke, Alexander, -- 1793-1874.; Presbyterian Church in Canada -- New Brunswick -- History.; Presbyterian Church in Canada -- Nova Scotia -- History.; Reformed Presbyterian Church in North America, General Synod.; Reformed Presbyterian Church of North America -- New Brunswick.; Reformed Presbyterian Church of North America -- Nova Scotia.</t>
  </si>
  <si>
    <t>http://public.eblib.com/choice/PublicFullRecord.aspx?p=3331086</t>
  </si>
  <si>
    <t>Institutions of Isolation : Border Controls in the Soviet Union and Its Successor States, 1917-1993</t>
  </si>
  <si>
    <t>Chandler, Andrea</t>
  </si>
  <si>
    <t>DK266.45</t>
  </si>
  <si>
    <t>Electronic books. -- local; Former Soviet republics -- Boundaries.; Soviet Union -- Boundaries.; Soviet Union -- Foreign relations.; Soviet Union -- History.; Soviet Union -- Politics and government.</t>
  </si>
  <si>
    <t>http://public.eblib.com/choice/PublicFullRecord.aspx?p=3331087</t>
  </si>
  <si>
    <t>Flying Tiger : Women Shamans and Storytellers of the Amur</t>
  </si>
  <si>
    <t>Evenki (Asian people) -- Folklore.; Femmes chamans -- Amour, Vallée de l'' (Chine et Russie) -- Folklore.; Légendes -- Amour, Vallée de l'' (Chine et Russie); Tales -- Amur River Valley (China and Russia); Toungouses -- Folklore.; Women shamans -- Amur River Valley (China and Russia); Women storytellers -- Amur River Valley (China and Russia)</t>
  </si>
  <si>
    <t>http://public.eblib.com/choice/PublicFullRecord.aspx?p=3331088</t>
  </si>
  <si>
    <t>Carnivalization of Politics : Quebec Cartoons on Relations with Canada, England, and France, 1960-1979</t>
  </si>
  <si>
    <t>Morris, Raymond N.</t>
  </si>
  <si>
    <t>NC1446</t>
  </si>
  <si>
    <t>Canada -- English-French relations -- History -- Caricatures and cartoons.; Editorial cartoons -- Québec (Province) -- History -- 20th century.; France -- Relations -- Québec (Province) -- Caricatures and cartoons.; Great Britain -- Relations -- Québec (Province) -- Caricatures and cartoons.; Political cartoons -- History -- 20th century.; Québec (Province) -- Relations -- France -- History -- Caricatures and cartoons.; Québec (Province) -- Relations -- Great Britain -- History -- Caricatures and cartoons.</t>
  </si>
  <si>
    <t>http://public.eblib.com/choice/PublicFullRecord.aspx?p=3331089</t>
  </si>
  <si>
    <t>Changing Ideals in Modern Architecture</t>
  </si>
  <si>
    <t>Collins, P.; Frampton, Kenneth</t>
  </si>
  <si>
    <t>NA500 -- .C65 1998eb</t>
  </si>
  <si>
    <t>Architecture -- History.; Architecture, Modern.; Electronic books. -- local</t>
  </si>
  <si>
    <t>http://public.eblib.com/choice/PublicFullRecord.aspx?p=3331090</t>
  </si>
  <si>
    <t>Life and Death under Stalin : Kalinin Province, 1945-1953</t>
  </si>
  <si>
    <t>Boterbloem, Kees</t>
  </si>
  <si>
    <t>DK511.K157</t>
  </si>
  <si>
    <t>Kaliningradska︠i︡a oblastʹ (Russia) -- History.; Russia -- History.</t>
  </si>
  <si>
    <t>http://public.eblib.com/choice/PublicFullRecord.aspx?p=3331091</t>
  </si>
  <si>
    <t>Random Walks : Essays in Elective Criticism</t>
  </si>
  <si>
    <t>PR9199.3.S569</t>
  </si>
  <si>
    <t>Criticism.; Electronic books. -- local; Literature -- History and criticism.</t>
  </si>
  <si>
    <t>http://public.eblib.com/choice/PublicFullRecord.aspx?p=3331092</t>
  </si>
  <si>
    <t>Child Letters : Public and Private Life in a Canadian Merchant-Politician's Family, 1841-1845</t>
  </si>
  <si>
    <t>Little, J.; Little, J. I</t>
  </si>
  <si>
    <t>Canada -- Politics and government -- 1841-1867.; Canada. -- Legislature. -- Legislative Assembly -- Biography.; Child, Marcus -- Correspondence.; Electronic books. -- local; Legislators -- Canada -- Correspondence.; Stanstead (Québec : County) -- Biography.</t>
  </si>
  <si>
    <t>http://public.eblib.com/choice/PublicFullRecord.aspx?p=3331093</t>
  </si>
  <si>
    <t>Inside Ethnic Families : Three Generations of Portuguese-Canadians</t>
  </si>
  <si>
    <t>Noivo, Edite</t>
  </si>
  <si>
    <t>F1035.P65</t>
  </si>
  <si>
    <t>Canada -- Ethnic relations.; Electronic books. -- local; Portuguese -- Canada -- History.</t>
  </si>
  <si>
    <t>http://public.eblib.com/choice/PublicFullRecord.aspx?p=3331094</t>
  </si>
  <si>
    <t>Religious Sense</t>
  </si>
  <si>
    <t>Giussani, Luigi</t>
  </si>
  <si>
    <t>BL48</t>
  </si>
  <si>
    <t>Reason.; Religion -- Philosophy.</t>
  </si>
  <si>
    <t>http://public.eblib.com/choice/PublicFullRecord.aspx?p=3331095</t>
  </si>
  <si>
    <t>Harold Innis in the New Century : Reflections and Refractions</t>
  </si>
  <si>
    <t>Acland, Charles R.; Buxton, William J.</t>
  </si>
  <si>
    <t>HB121.I6</t>
  </si>
  <si>
    <t>Economics.; Electronic books. -- local; Innis, Harold Adams, -- 1894-1952 -- Congresses.</t>
  </si>
  <si>
    <t>http://public.eblib.com/choice/PublicFullRecord.aspx?p=3331096</t>
  </si>
  <si>
    <t>Rewind and Search : Conversations with the Makers and Decision-Makers of CBC Television Drama</t>
  </si>
  <si>
    <t>Miller, Mary Jane</t>
  </si>
  <si>
    <t>PN1992.65</t>
  </si>
  <si>
    <t>Canadian Broadcasting Corporation -- History.; Electronic books. -- local; Television plays, Canadian -- History and criticism.</t>
  </si>
  <si>
    <t>http://public.eblib.com/choice/PublicFullRecord.aspx?p=3331097</t>
  </si>
  <si>
    <t>No Justice, No Peace : The 1996 OPSEU Strike against the Harris Government in Ontario</t>
  </si>
  <si>
    <t>Rapaport, David</t>
  </si>
  <si>
    <t>HD8004.2.C3</t>
  </si>
  <si>
    <t>Electronic books. -- local; Ontario -- Politics and government -- 20th century.; Ontario Public Service Employees Union.; Strikes and lockouts -- Civil service -- Ontario.</t>
  </si>
  <si>
    <t>http://public.eblib.com/choice/PublicFullRecord.aspx?p=3331098</t>
  </si>
  <si>
    <t>Anxious Allegiances : Legitimizing Identity in the Early Canadian Long Poem</t>
  </si>
  <si>
    <t>Mazoff, C.</t>
  </si>
  <si>
    <t>Canada -- In literature.; Canadian poetry -- 19th century -- History and criticism.; Colonies in literature.; Electronic books. -- local; Group identity in literature.; Imperialism in literature.; Politics and literature -- Canada -- History -- 19th century.</t>
  </si>
  <si>
    <t>http://public.eblib.com/choice/PublicFullRecord.aspx?p=3331099</t>
  </si>
  <si>
    <t>Secession of Quebec and the Future of Canada</t>
  </si>
  <si>
    <t>Young, Robert A.</t>
  </si>
  <si>
    <t>Canada -- Forecasting.; Economic forecasting -- Canada.; Electronic books. -- local; Québec (Province) -- History -- Autonomy and independence movements.</t>
  </si>
  <si>
    <t>http://public.eblib.com/choice/PublicFullRecord.aspx?p=3331100</t>
  </si>
  <si>
    <t>Nature as Landscape : Dwelling and Understanding</t>
  </si>
  <si>
    <t>Von Maltzahn, Kraft E.</t>
  </si>
  <si>
    <t>GF90 -- V65 1994eb</t>
  </si>
  <si>
    <t>Electronic books. -- local; Human ecology -- Philosophy.; Nature and nurture.</t>
  </si>
  <si>
    <t>http://public.eblib.com/choice/PublicFullRecord.aspx?p=3331101</t>
  </si>
  <si>
    <t>Turtle Hypodermic of Sickenpods : Liberal Studies in the Corporate Age</t>
  </si>
  <si>
    <t>LB14.7</t>
  </si>
  <si>
    <t>Education -- Philosophy.; Educational change.; Educational technology.; Electronic books. -- local; School management and organization.</t>
  </si>
  <si>
    <t>http://public.eblib.com/choice/PublicFullRecord.aspx?p=3331102</t>
  </si>
  <si>
    <t>James McGill of Montreal</t>
  </si>
  <si>
    <t>F1054.5.M853</t>
  </si>
  <si>
    <t>Civic leaders -- Québec (Province) -- Montréal -- Biography.; Electronic books. -- local; McGill University -- Biography.; McGill, James, -- 1744-1813.; Montréal (Québec) -- Biography.; Québec (Province) -- Biography.; Québec (Province) -- Politics and government.</t>
  </si>
  <si>
    <t>http://public.eblib.com/choice/PublicFullRecord.aspx?p=3331103</t>
  </si>
  <si>
    <t>House of Words : Jewish Writing, Identity, and Memory</t>
  </si>
  <si>
    <t>Ravvin, Norman</t>
  </si>
  <si>
    <t>PS374.J48</t>
  </si>
  <si>
    <t>American fiction -- 20th century -- History and criticism.; American fiction -- Jewish authors -- History and criticism.; Electronic books. -- local; Holocaust, Jewish (1939-1945), in literature.; Jews in literature.</t>
  </si>
  <si>
    <t>http://public.eblib.com/choice/PublicFullRecord.aspx?p=3331104</t>
  </si>
  <si>
    <t>Future's Back : Nuclear Rivalry, Deterrence Theory, and Crisis Stability after the Cold War</t>
  </si>
  <si>
    <t>Harvey, Frank P.</t>
  </si>
  <si>
    <t>U162.6</t>
  </si>
  <si>
    <t>Deterrence (Strategy); Electronic books. -- local; Nuclear warfare.; World politics -- 1989-</t>
  </si>
  <si>
    <t>http://public.eblib.com/choice/PublicFullRecord.aspx?p=3331105</t>
  </si>
  <si>
    <t>Veterans Charter and Post-World War II Canada</t>
  </si>
  <si>
    <t>Neary, Peter; Granatstein</t>
  </si>
  <si>
    <t>UB359.C2</t>
  </si>
  <si>
    <t>Canada -- History -- 1945-; Electronic books. -- local; World War, 1939-1945 -- Veterans -- Canada.</t>
  </si>
  <si>
    <t>http://public.eblib.com/choice/PublicFullRecord.aspx?p=3331106</t>
  </si>
  <si>
    <t>Des Pouvoirs et des Hommes : L'Administration Municipales de Montrial, 1900-1950</t>
  </si>
  <si>
    <t>Dagenais, M.</t>
  </si>
  <si>
    <t>JS1761.2 -- .D33 2000eb</t>
  </si>
  <si>
    <t>351.714/28/09041</t>
  </si>
  <si>
    <t>Montréal (Québec) -- History -- 20th century.; Montréal (Québec) -- Politics and government.; Municipal officials and employees -- Labor unions -- Québec (Province) -- Montréal.</t>
  </si>
  <si>
    <t>http://public.eblib.com/choice/PublicFullRecord.aspx?p=3331107</t>
  </si>
  <si>
    <t>Controversy and Complexity : Canadian Immigration Policy during the 1980s</t>
  </si>
  <si>
    <t>Dirks, Gerald E.</t>
  </si>
  <si>
    <t>JV7233</t>
  </si>
  <si>
    <t>Canada -- Emigration and immigration -- Government policy.; Electronic books. -- local; Emigration and immigration.</t>
  </si>
  <si>
    <t>http://public.eblib.com/choice/PublicFullRecord.aspx?p=3331108</t>
  </si>
  <si>
    <t>Art and Work : A Social History of Labour in the Canadian Graphic Arts Industry to the 1940s</t>
  </si>
  <si>
    <t>Davis, Angela E.; Dirks, Gerald E</t>
  </si>
  <si>
    <t>NC998 .6 C3 -- D39 1995eb</t>
  </si>
  <si>
    <t>331.7/617416/0971</t>
  </si>
  <si>
    <t>Art and industry -- Canada -- History.; Electronic books. -- local; Graphic arts -- Canada -- History.; Printing industry -- Canada -- Employees -- History.</t>
  </si>
  <si>
    <t>http://public.eblib.com/choice/PublicFullRecord.aspx?p=3331109</t>
  </si>
  <si>
    <t>T.A. Crerar : A Political Life</t>
  </si>
  <si>
    <t>Rea, J.</t>
  </si>
  <si>
    <t>F1034.3.C74</t>
  </si>
  <si>
    <t>Canada -- Politics and government -- 20th century.; Crerar, T. A., -- 1876-1975.; Electronic books. -- local; Politicians -- Canada -- Biography.</t>
  </si>
  <si>
    <t>http://public.eblib.com/choice/PublicFullRecord.aspx?p=3331110</t>
  </si>
  <si>
    <t>Risks, Dangers, and Rewards in the Nova Scotia Offshore Fishery</t>
  </si>
  <si>
    <t>Binkley, Marian</t>
  </si>
  <si>
    <t>SH224.N8</t>
  </si>
  <si>
    <t>Electronic books. -- local; Fisheries -- Accidents -- Nova Scotia.; Fishers -- Health and hygiene -- Nova Scotia.; Fishers -- Job stress -- Nova Scotia.; Fishers -- Wounds and injuries -- Nova Scotia.</t>
  </si>
  <si>
    <t>http://public.eblib.com/choice/PublicFullRecord.aspx?p=3331111</t>
  </si>
  <si>
    <t>Martin Luther, German Saviour : German Evangelical Theological Factions and the Interpretation of Luther, 1917-1933</t>
  </si>
  <si>
    <t>Stayer, James M.</t>
  </si>
  <si>
    <t>BR856</t>
  </si>
  <si>
    <t>Evangelicalism -- Germany -- History -- 20th century.; Luther, Martin, -- 1483-1546.; Theology, Doctrinal -- Germany -- History -- 20th century.</t>
  </si>
  <si>
    <t>http://public.eblib.com/choice/PublicFullRecord.aspx?p=3331112</t>
  </si>
  <si>
    <t>Assisting Emigration to Upper Canada : The Petworth Project, 1832-1837</t>
  </si>
  <si>
    <t>Cameron, Wendy; Maude, Mary McDougall</t>
  </si>
  <si>
    <t>F1059.7.B7</t>
  </si>
  <si>
    <t>British -- Ontario -- History -- 19th century.; England -- Emigration and immigration -- History -- 19th century.; Great Britain -- Emigration and immigration -- Government policy -- History -- 19th century.; Immigrants -- Ontario -- Registers.; Ontario -- Emigration and immigration -- History -- 19th century.; Petworth Emigration Committee.</t>
  </si>
  <si>
    <t>http://public.eblib.com/choice/PublicFullRecord.aspx?p=3331113</t>
  </si>
  <si>
    <t>In Armageddon's Shadow : The Civil War and Canada's Maritime Provinces</t>
  </si>
  <si>
    <t>Marquis, Greg</t>
  </si>
  <si>
    <t>F1035.8</t>
  </si>
  <si>
    <t>Canadians -- United States -- History -- 19th century.; Electronic books. -- local; Maritime Provinces -- History -- 19th century.; United States -- History -- Civil War, 1861-1865 -- Naval operations.; United States -- History -- Civil War, 1861-1865 -- Participation, Canadian.</t>
  </si>
  <si>
    <t>http://public.eblib.com/choice/PublicFullRecord.aspx?p=3331114</t>
  </si>
  <si>
    <t>Mad Cows and Mother's Milk : The Perils of Poor Risk Communication</t>
  </si>
  <si>
    <t>Powell, Douglas; Leiss, William</t>
  </si>
  <si>
    <t>Engineering; Engineering: General; Social Science</t>
  </si>
  <si>
    <t>T10.68</t>
  </si>
  <si>
    <t>Electronic books. -- local; Health risk assessment.; Health risk communication.</t>
  </si>
  <si>
    <t>http://public.eblib.com/choice/PublicFullRecord.aspx?p=3331115</t>
  </si>
  <si>
    <t>Images of Goethe through Schiller's Egmont</t>
  </si>
  <si>
    <t>John, David G.</t>
  </si>
  <si>
    <t>PT1915.E4</t>
  </si>
  <si>
    <t>Electronic books. -- local; German literature.; Goethe, Johann Wolfgang von, -- 1749-1832. -- Egmont.; Schiller, Friedrich, -- 1759-1805.</t>
  </si>
  <si>
    <t>http://public.eblib.com/choice/PublicFullRecord.aspx?p=3331116</t>
  </si>
  <si>
    <t>Steering the Course : A Memoir</t>
  </si>
  <si>
    <t>Hughes, Sam</t>
  </si>
  <si>
    <t>KE416.H83</t>
  </si>
  <si>
    <t>Child sexual abuse -- Investigation -- Newfoundland and Labrador -- St. John''s.; Hughes, S. H. S. -- (Samuel H. S.); Judges -- Ontario -- Biography.; Mount Cashel Orphanage (St. John''s, N.L.); Ontario. -- Supreme Court -- Biography.</t>
  </si>
  <si>
    <t>http://public.eblib.com/choice/PublicFullRecord.aspx?p=3331117</t>
  </si>
  <si>
    <t>Women and the Canadian State/Les femmes et l'Etat canadien</t>
  </si>
  <si>
    <t>Andrew, Caroline; Rodgers, Sandra</t>
  </si>
  <si>
    <t>Electronic books. -- local; Royal Commission on the Status of Women in Canada. -- Report of the Royal Commission on the Status of Women in Canada -- Congresses.; Women -- Canada -- Social conditions -- Congresses.; Women -- Legal status, laws, etc. -- Canada -- Congresses.</t>
  </si>
  <si>
    <t>http://public.eblib.com/choice/PublicFullRecord.aspx?p=3331118</t>
  </si>
  <si>
    <t>Justice for Natives : Searching for Common Ground</t>
  </si>
  <si>
    <t>Morrison, Andrea P.</t>
  </si>
  <si>
    <t>E92</t>
  </si>
  <si>
    <t>Canada. -- Canadian Charter of Rights and Freedoms.; Constitutional law -- Canada.; Electronic books. -- local; Indians of North America -- Canada -- Government relations.; Indians of North America -- Civil rights -- Canada.; Indians of North America -- Legal status, laws, etc. -- Canada.</t>
  </si>
  <si>
    <t>http://public.eblib.com/choice/PublicFullRecord.aspx?p=3331119</t>
  </si>
  <si>
    <t>Chora 3 : Intervals in the Philosophy of Architecture</t>
  </si>
  <si>
    <t>http://public.eblib.com/choice/PublicFullRecord.aspx?p=3331120</t>
  </si>
  <si>
    <t>Excluded Wife</t>
  </si>
  <si>
    <t>Woon, Yuen-Fong</t>
  </si>
  <si>
    <t>PR9199.3.W646</t>
  </si>
  <si>
    <t>Chinese -- Canada -- Fiction.; Electronic books. -- local; Women -- China -- Fiction.</t>
  </si>
  <si>
    <t>http://public.eblib.com/choice/PublicFullRecord.aspx?p=3331121</t>
  </si>
  <si>
    <t>Social Origins of Violence in Uganda, 1964-1985</t>
  </si>
  <si>
    <t>Kasozi, A.</t>
  </si>
  <si>
    <t>HN794.Z9</t>
  </si>
  <si>
    <t>Social conflict -- Uganda -- History -- 20th century.; Uganda -- Politics and government -- 1962-1971.; Uganda -- Politics and government -- 1971-1979.; Uganda -- Politics and government -- 1979-; Uganda -- Social conditions -- 1971-1979.; Uganda -- Social conditions -- 1979-; Violence -- Uganda -- History -- 20th century.</t>
  </si>
  <si>
    <t>http://public.eblib.com/choice/PublicFullRecord.aspx?p=3331122</t>
  </si>
  <si>
    <t>Service in the Field : The World of Front-Line Public Servants in Canada</t>
  </si>
  <si>
    <t>Carroll, Barbara Wake; Siegel, David</t>
  </si>
  <si>
    <t>JL108 -- .C37 1999eb</t>
  </si>
  <si>
    <t>Civil service -- Canada.; Electronic books. -- local; Public administration -- Canada.</t>
  </si>
  <si>
    <t>http://public.eblib.com/choice/PublicFullRecord.aspx?p=3331123</t>
  </si>
  <si>
    <t>True Spirit and Original Intent of Treaty 7</t>
  </si>
  <si>
    <t>Treaty 7 Elders</t>
  </si>
  <si>
    <t>KE7709</t>
  </si>
  <si>
    <t>Canada. -- Treaties, etc -- (1877 Sept. 22); Electronic books. -- local; Indians of North America -- Canada -- Treaties.; Indians, Treatment of -- Canada -- History -- 19th century.</t>
  </si>
  <si>
    <t>http://public.eblib.com/choice/PublicFullRecord.aspx?p=3331124</t>
  </si>
  <si>
    <t>Excessive Expectations : Maritime Commerce and the Economic Development of Nova Scotia, 1740-1870</t>
  </si>
  <si>
    <t>HC117.N8</t>
  </si>
  <si>
    <t>Electronic books. -- local; Nova Scotia -- Commerce -- History.; Nova Scotia -- Economic conditions -- To 1867.; Nova Scotia -- Economic conditions.; Nova Scotia -- History -- To 1763.</t>
  </si>
  <si>
    <t>http://public.eblib.com/choice/PublicFullRecord.aspx?p=3331125</t>
  </si>
  <si>
    <t>Flexible Design : Revisionary Poetics in Blake's Vala or The Four Zoas</t>
  </si>
  <si>
    <t>Pierce, John B.</t>
  </si>
  <si>
    <t>PR4144.F683</t>
  </si>
  <si>
    <t>Blake, William, -- 1757-1827 -- Technique.; Blake, William, -- 1757-1827. -- Four Zoas -- Criticism, Textual.; Blake, William, -- 1757-1827. -- Four Zoas.; Electronic books. -- local; Narration (Rhetoric) -- History -- 18th century.; Poetics -- History -- 18th century.</t>
  </si>
  <si>
    <t>http://public.eblib.com/choice/PublicFullRecord.aspx?p=3331126</t>
  </si>
  <si>
    <t>Management of the Mentally Disordered Offender in Prisons</t>
  </si>
  <si>
    <t>Conacher, Geoffrey Neil</t>
  </si>
  <si>
    <t>Social Science; Medicine</t>
  </si>
  <si>
    <t>RC451.4.P68</t>
  </si>
  <si>
    <t>Electronic books. -- local; Prisoners -- Canada.; Prisoners -- Mental health services.</t>
  </si>
  <si>
    <t>http://public.eblib.com/choice/PublicFullRecord.aspx?p=3331127</t>
  </si>
  <si>
    <t>Christian Attitudes Towards the State of Israel, 1948-2000</t>
  </si>
  <si>
    <t>Merkley P.C.</t>
  </si>
  <si>
    <t>DS126.5 -- .M478 2001eb</t>
  </si>
  <si>
    <t>261.8/7</t>
  </si>
  <si>
    <t>Christian Zionism.; Christianity and other religions -- Judaism -- 1945-; Israel -- History -- Religious aspects -- Christianity.; Judaism -- Relations -- Christianity -- 1945-; Palestine in Christianity.</t>
  </si>
  <si>
    <t>http://public.eblib.com/choice/PublicFullRecord.aspx?p=3331128</t>
  </si>
  <si>
    <t>At the Origin of the Christian Claim</t>
  </si>
  <si>
    <t>BT216.5</t>
  </si>
  <si>
    <t>Christianity -- Origin.; Electronic books. -- local; Jesus Christ -- Divinity.</t>
  </si>
  <si>
    <t>http://public.eblib.com/choice/PublicFullRecord.aspx?p=3331129</t>
  </si>
  <si>
    <t>Risk, Science, and Politics : Regulating Toxic Substances in Canada and the United States</t>
  </si>
  <si>
    <t>Harrison, Kathryn; Hoberg, George</t>
  </si>
  <si>
    <t>Law; Environmental Studies</t>
  </si>
  <si>
    <t>KDZ697</t>
  </si>
  <si>
    <t>Electronic books. -- local; Hazardous substances -- Law and legislation -- Canada.; Hazardous substances -- Law and legislation -- United States.</t>
  </si>
  <si>
    <t>http://public.eblib.com/choice/PublicFullRecord.aspx?p=3331130</t>
  </si>
  <si>
    <t>Margaret Addison : A Biography</t>
  </si>
  <si>
    <t>O'Grady, Jean</t>
  </si>
  <si>
    <t>LE3 T618</t>
  </si>
  <si>
    <t>Addison, Margaret, -- 1868-1940.; Deans of women -- Ontario -- Toronto -- Biography.; Electronic books. -- local; Victoria College (Toronto, Ont.) -- Biography.</t>
  </si>
  <si>
    <t>http://public.eblib.com/choice/PublicFullRecord.aspx?p=3331131</t>
  </si>
  <si>
    <t>Power versus Prudence : Why Nations Forgo Nuclear Weapons</t>
  </si>
  <si>
    <t>Paul</t>
  </si>
  <si>
    <t>Political Science; Military Science</t>
  </si>
  <si>
    <t>U264</t>
  </si>
  <si>
    <t>Electronic books. -- local; Nuclear nonproliferation.; Nuclear weapons -- Government policy.; Security, International.</t>
  </si>
  <si>
    <t>http://public.eblib.com/choice/PublicFullRecord.aspx?p=3331132</t>
  </si>
  <si>
    <t>Social Discredit : The Canadian Jewish Response to Social Credit's Anti-Semitism</t>
  </si>
  <si>
    <t>Stingel, J.</t>
  </si>
  <si>
    <t>JL339.A52 -- S75 2000eb</t>
  </si>
  <si>
    <t>305.8/92/40712308043</t>
  </si>
  <si>
    <t>Alberta Social Credit League.; Antisemitism -- Alberta -- History -- 20th century.; Canadian Jewish Congress -- History.; Jews -- Alberta -- Politics and government.</t>
  </si>
  <si>
    <t>http://public.eblib.com/choice/PublicFullRecord.aspx?p=3331133</t>
  </si>
  <si>
    <t>Dominion Bureau of Statistics : A History of Canada's Central Statistical Office Audits Antecedents 1841-1972</t>
  </si>
  <si>
    <t>Worton, D.</t>
  </si>
  <si>
    <t>HA37.C22 -- W67 1998eb</t>
  </si>
  <si>
    <t>352.7/5/0971</t>
  </si>
  <si>
    <t>Canada. -- Dominion Bureau of Statistics -- History.; Electronic books. -- local; Statistics -- Canada.</t>
  </si>
  <si>
    <t>http://public.eblib.com/choice/PublicFullRecord.aspx?p=3331134</t>
  </si>
  <si>
    <t>Padres in No Man's Land : Canadian Chaplains and the Great War</t>
  </si>
  <si>
    <t>Crerar, Duff</t>
  </si>
  <si>
    <t>D639.C38</t>
  </si>
  <si>
    <t>Canada. -- Canadian Army. -- Royal Canadian Army Chaplain Corps -- Biography.; Canada. -- Canadian Army. -- Royal Canadian Army Chaplain Corps -- History.; Electronic books. -- local; Military chaplains -- Canada -- Biography.; World War, 1914-1918 -- Chaplains -- Canada.; World War, 1914-1918 -- Personal narratives, Canadian.</t>
  </si>
  <si>
    <t>http://public.eblib.com/choice/PublicFullRecord.aspx?p=3331135</t>
  </si>
  <si>
    <t>Community Besieged : The Anglophone Minority and the Politics of Quebec</t>
  </si>
  <si>
    <t>Stevenson, Garth</t>
  </si>
  <si>
    <t>F1055.E53</t>
  </si>
  <si>
    <t>Canadians, English-speaking -- Québec (Province) -- History.; Electronic books. -- local; Québec (Province) -- Politics and government -- 1960-</t>
  </si>
  <si>
    <t>http://public.eblib.com/choice/PublicFullRecord.aspx?p=3331136</t>
  </si>
  <si>
    <t>Great Place to Raise Kids : Interpretation, Science, and the Rural-Urban Debate</t>
  </si>
  <si>
    <t>Bonner, Kieran</t>
  </si>
  <si>
    <t>HT453</t>
  </si>
  <si>
    <t>Canada -- Rural conditions.; Child rearing -- Social aspects -- Canada.; Electronic books. -- local; Quality of life -- Canada.; Rural children -- Canada.; Sociology, Rural -- Canada.</t>
  </si>
  <si>
    <t>http://public.eblib.com/choice/PublicFullRecord.aspx?p=3331137</t>
  </si>
  <si>
    <t>Struggle for Quebec : From Referendum to Referendum?</t>
  </si>
  <si>
    <t>Canada -- Politics and government -- 1980-; Electronic books. -- local; Québec (Province) -- History -- Autonomy and independence movements.; Québec (Province) -- Politics and government -- 1960-; Referendum -- Québec (Province)</t>
  </si>
  <si>
    <t>http://public.eblib.com/choice/PublicFullRecord.aspx?p=3331138</t>
  </si>
  <si>
    <t>Families in Transition : Industry and Population in Nineteenth-Century Sainte-Hyacinthe</t>
  </si>
  <si>
    <t>Gossage, P.</t>
  </si>
  <si>
    <t>HB3530.S25 -- G68 1999eb</t>
  </si>
  <si>
    <t>304.6/09714/523</t>
  </si>
  <si>
    <t>Electronic books. -- local; Family demography -- Québec (Province) -- Saint-Hyacinthe -- History -- 19th century.; Industries -- Québec (Province) -- Saint-Hyacinthe -- History -- 19th century.; Saint-Hyacinthe (Québec) -- Population -- History -- 19th century.</t>
  </si>
  <si>
    <t>http://public.eblib.com/choice/PublicFullRecord.aspx?p=3331139</t>
  </si>
  <si>
    <t>Chora 2 : Intervals in the Philosophy of Architecture</t>
  </si>
  <si>
    <t>Architecture -- Philosophy.; Buildings.; Electronic books. -- local</t>
  </si>
  <si>
    <t>http://public.eblib.com/choice/PublicFullRecord.aspx?p=3331140</t>
  </si>
  <si>
    <t>With Scarcely a Ripple : Anglo-Canadian Migration into the United States and Western Canada, 1880-1920</t>
  </si>
  <si>
    <t>Widdis, Randy William</t>
  </si>
  <si>
    <t>E184.C2</t>
  </si>
  <si>
    <t>Canada -- Emigration and immigration -- History.; Canadian Americans -- History.; Canadians, English-speaking -- Canada, Western -- History.; Canadians, English-speaking -- United States -- History.; Electronic books. -- local; Migration, Internal -- Canada -- History.; United States -- Emigration and immigration -- History.</t>
  </si>
  <si>
    <t>http://public.eblib.com/choice/PublicFullRecord.aspx?p=3331141</t>
  </si>
  <si>
    <t>Do Conventions Matter? : Choosing National Party Leaders in Canada</t>
  </si>
  <si>
    <t>JL196</t>
  </si>
  <si>
    <t>Canada -- Politics and government -- 20th century.; Electronic books. -- local; Political conventions -- Canada -- History.; Political conventions -- Canada.; Political leadership -- Canada.; Prime ministers -- Selection and appointment -- Canada.</t>
  </si>
  <si>
    <t>http://public.eblib.com/choice/PublicFullRecord.aspx?p=3331142</t>
  </si>
  <si>
    <t>State and Society in Transition : The Politics of Institutional Reform in the Eastern Townships, 1838-1852</t>
  </si>
  <si>
    <t>F1054.E13</t>
  </si>
  <si>
    <t>Eastern Townships (Québec) -- History.; Eastern Townships (Québec) -- Politics and government.; Eastern Townships (Québec) -- Social conditions.; Electronic books. -- local</t>
  </si>
  <si>
    <t>http://public.eblib.com/choice/PublicFullRecord.aspx?p=3331143</t>
  </si>
  <si>
    <t>Builders and Deserters : Students, State, and Community in Leningrad, 1917-1941</t>
  </si>
  <si>
    <t>Konecny, Peter</t>
  </si>
  <si>
    <t>LA839.5.S25</t>
  </si>
  <si>
    <t>Education, Higher -- Political aspects -- Russia (Federation) -- Saint Petersburg.; Electronic books. -- local; Higher education and state -- Soviet Union -- History -- Case studies.</t>
  </si>
  <si>
    <t>http://public.eblib.com/choice/PublicFullRecord.aspx?p=3331144</t>
  </si>
  <si>
    <t>Taking Stock : Assessing Public Sector Reforms</t>
  </si>
  <si>
    <t>Governance and Public Management</t>
  </si>
  <si>
    <t>Peters, Guy; Savoie, Donald J.</t>
  </si>
  <si>
    <t>JF1351</t>
  </si>
  <si>
    <t>Civil service -- Personnel management -- Evaluation.; Civil service reform -- Evaluation.; Electronic books. -- local; Public administration -- Evaluation.</t>
  </si>
  <si>
    <t>http://public.eblib.com/choice/PublicFullRecord.aspx?p=3331145</t>
  </si>
  <si>
    <t>Journey to Vaja : Reconstructing the World of a Hungarian-Jewish Family</t>
  </si>
  <si>
    <t>Naves, Elaine Kalman</t>
  </si>
  <si>
    <t>DS135.H93</t>
  </si>
  <si>
    <t>Electronic books. -- local; Holocaust, Jewish (1939-1945) -- Hungary.; Hungary -- History.</t>
  </si>
  <si>
    <t>http://public.eblib.com/choice/PublicFullRecord.aspx?p=3331146</t>
  </si>
  <si>
    <t>Honest Sins : Georgian Libertinism and the Plays and Novels of Henry Fielding</t>
  </si>
  <si>
    <t>Potter, Tiffany</t>
  </si>
  <si>
    <t>PR3458.L49</t>
  </si>
  <si>
    <t>Electronic books. -- local; English literature -- 18th century -- History and criticism.; English literature -- Early modern, 1500-1700 -- History and criticism.; Fielding, Henry, -- 1707-1754 -- Criticism and interpretation.; Libertinism in literature.</t>
  </si>
  <si>
    <t>http://public.eblib.com/choice/PublicFullRecord.aspx?p=3331147</t>
  </si>
  <si>
    <t>V-Bombs and Weathermaps : Reminiscences of World War II</t>
  </si>
  <si>
    <t>McElheran, Brock</t>
  </si>
  <si>
    <t>D787</t>
  </si>
  <si>
    <t>Electronic books. -- local; Great Britain -- History -- Bombardment, 1944-1945.; McElheran, Brock, -- 1918-; Meteorologists -- Canada -- Biography.; World War, 1939-1945 -- Aerial operations, German.; World War, 1939-1945 -- Personal narratives, Canadian.</t>
  </si>
  <si>
    <t>http://public.eblib.com/choice/PublicFullRecord.aspx?p=3331148</t>
  </si>
  <si>
    <t>World of the Gift</t>
  </si>
  <si>
    <t>Godbout, Jacques T.; Caille, Alain C.</t>
  </si>
  <si>
    <t>GT3040 -- .G6313 1998eb</t>
  </si>
  <si>
    <t>Electronic books. -- local; Exchange.; Gifts -- Social aspects.; Gifts.</t>
  </si>
  <si>
    <t>http://public.eblib.com/choice/PublicFullRecord.aspx?p=3331149</t>
  </si>
  <si>
    <t>Toronto Architect Edmund Burke : Redefining Canadian Architecture</t>
  </si>
  <si>
    <t>Carr, Angela</t>
  </si>
  <si>
    <t>NA749 -- .B87 1995eb</t>
  </si>
  <si>
    <t>720/.92</t>
  </si>
  <si>
    <t>Architects -- Canada -- Biography.; Architecture -- Canada -- 19th century -- History.; Architecture -- Canada -- 20th century -- History.; Burke, Edmund, -- 1850-1919.; Electronic books. -- local</t>
  </si>
  <si>
    <t>http://public.eblib.com/choice/PublicFullRecord.aspx?p=3331150</t>
  </si>
  <si>
    <t>Governance in a Changing Environment</t>
  </si>
  <si>
    <t>Canada -- Politics and government.; Electronic books. -- local; Public administration.</t>
  </si>
  <si>
    <t>http://public.eblib.com/choice/PublicFullRecord.aspx?p=3331151</t>
  </si>
  <si>
    <t>Straight Talk : Speeches and Writings on Canadian Unity</t>
  </si>
  <si>
    <t>Dion, Stéphane</t>
  </si>
  <si>
    <t>Electronic books. -- local; Federal government -- Canada.; Québec (Province) -- History -- Autonomy and independence movements.</t>
  </si>
  <si>
    <t>http://public.eblib.com/choice/PublicFullRecord.aspx?p=3331152</t>
  </si>
  <si>
    <t>Innovation Systems in a Global Context : The North American Experience</t>
  </si>
  <si>
    <t>Anderson, Robert; Cohn, Theodore; Day, Chad</t>
  </si>
  <si>
    <t>Electronic books. -- local; International economic integration.; North America -- Economic integration.; North America -- Economic policy.; Technological innovations -- North America.</t>
  </si>
  <si>
    <t>http://public.eblib.com/choice/PublicFullRecord.aspx?p=3331153</t>
  </si>
  <si>
    <t>Blood Ground : The Khoekhoe, Colonialism, Missions, and the Contest for Christianity in the Cape Colony and Britain, 1799-1853</t>
  </si>
  <si>
    <t>Elbourne E.</t>
  </si>
  <si>
    <t>DT1768.K56 -- E53 2002eb</t>
  </si>
  <si>
    <t>968.7/004961</t>
  </si>
  <si>
    <t>Khoikhoi (African people) -- History -- 19th century.; Khoikhoi (African people) -- Missions.; Khoi-Khoi (Peuple d''Afrique) -- Histoire -- 19e siècle.; London Missionary Society -- Histoire -- 19e siècle.; London Missionary Society -- History -- 19th century.; Missions britanniques -- Afrique du Sud -- Le Cap (Province) -- Histoire -- 19e siècle.; Missions, British -- South Africa -- Cape of Good Hope -- History -- 19th century.</t>
  </si>
  <si>
    <t>http://public.eblib.com/choice/PublicFullRecord.aspx?p=3331154</t>
  </si>
  <si>
    <t>Metamorphoses of Landscape and Community in Early Quebec</t>
  </si>
  <si>
    <t>Coates, Colin M.</t>
  </si>
  <si>
    <t>HN110.Q4</t>
  </si>
  <si>
    <t>b -- Nationalism -- z -- Canada -- z -- Québec (Province) -- y -- 1720-1900. -- aat; b -- Settlement patterns -- z -- Canada -- z -- Québec (Province) -- y -- 1720-1900. -- aat; Canada -- History -- To 1763 (New France); Land settlement patterns -- Québec (Province) -- History.; Nationalism -- Québec (Province) -- History -- 19th century.; r -- Landscapes (environments) -- z -- Canada -- z -- Québec (Province) -- y -- 1720-1900. -- aat</t>
  </si>
  <si>
    <t>http://public.eblib.com/choice/PublicFullRecord.aspx?p=3331155</t>
  </si>
  <si>
    <t>Accidental Indies</t>
  </si>
  <si>
    <t>Finley, Robert</t>
  </si>
  <si>
    <t>PR9199.3.F5315</t>
  </si>
  <si>
    <t>Colomb, Christophe, -- ca 1451-1506 -- Romans, nouvelles, etc.; Columbus, Christopher -- Fiction.; Discoveries in geography -- Fiction.; Explorers -- Fiction.; West Indies -- Fiction.</t>
  </si>
  <si>
    <t>http://public.eblib.com/choice/PublicFullRecord.aspx?p=3331156</t>
  </si>
  <si>
    <t>Road to Egdon Heath : The Aesthetics of the Great in Nature</t>
  </si>
  <si>
    <t>Bevis, Richard</t>
  </si>
  <si>
    <t>PN48</t>
  </si>
  <si>
    <t>Electronic books. -- local; Hardy, Thomas, -- 1840-1928. -- Return of the native.; Landscapes in literature.; Nature (Aesthetics); Nature in literature.</t>
  </si>
  <si>
    <t>http://public.eblib.com/choice/PublicFullRecord.aspx?p=3331157</t>
  </si>
  <si>
    <t>Feminist Challenge to the Canadian Left, 1900-1918</t>
  </si>
  <si>
    <t>Newton, Janice</t>
  </si>
  <si>
    <t>Electronic books. -- local; Feminism -- Canada -- History.; Women -- Political activity -- Canada -- History -- 20th century.; Women and socialism -- Canada -- History -- 20th century.</t>
  </si>
  <si>
    <t>http://public.eblib.com/choice/PublicFullRecord.aspx?p=3331158</t>
  </si>
  <si>
    <t>Through Sunshine and Shadow : The Woman's Christian Temperance Union, Evangelicalism, and Reform in Ontario, 1874-1930</t>
  </si>
  <si>
    <t>Cook, Sharon Anne</t>
  </si>
  <si>
    <t>HV5239</t>
  </si>
  <si>
    <t>Electronic books. -- local; Evangelicalism -- Ontario -- History.; Temperance -- Ontario -- History.; Woman''s Christian Temperance Union -- History.; Women''s rights -- Ontario -- History.; Women''s rights -- Ontario -- Religious aspects -- History.</t>
  </si>
  <si>
    <t>http://public.eblib.com/choice/PublicFullRecord.aspx?p=3331159</t>
  </si>
  <si>
    <t>Our Own Agendas : Autobiographical Essays by Women Associated with McGill University</t>
  </si>
  <si>
    <t>Gillett, Margaret; Beer, Ann</t>
  </si>
  <si>
    <t>LE3.M21</t>
  </si>
  <si>
    <t>Electronic books. -- local; McGill University -- Students -- Biography.; Women -- Canada -- Biography.</t>
  </si>
  <si>
    <t>http://public.eblib.com/choice/PublicFullRecord.aspx?p=3331160</t>
  </si>
  <si>
    <t>Persistence of Unemployment : Hysteresis in Canadian Labour Markets</t>
  </si>
  <si>
    <t>Jones, Stephen R.G.</t>
  </si>
  <si>
    <t>HD5728.J66 1995</t>
  </si>
  <si>
    <t>Canada -- Economic conditions -- 1991-; Electronic books. -- local; Employment (Economic theory); Hysteresis (Economics) -- Canada.; Labor market -- Canada.; Unemployment -- Canada.</t>
  </si>
  <si>
    <t>http://public.eblib.com/choice/PublicFullRecord.aspx?p=3331161</t>
  </si>
  <si>
    <t>Carlyle and the Economics of Terror : A Study of Revisionary Gothicism in The French Revolution</t>
  </si>
  <si>
    <t>Desaulniers, Mary</t>
  </si>
  <si>
    <t>PR4437.E25</t>
  </si>
  <si>
    <t>Carlyle, Thomas, -- 1795-1881 -- Literary style.; Carlyle, Thomas, -- 1795-1881. -- French revolution.; Electronic books. -- local; English literature.</t>
  </si>
  <si>
    <t>http://public.eblib.com/choice/PublicFullRecord.aspx?p=3331162</t>
  </si>
  <si>
    <t>Waning of the Green : Catholics, the Irish, and Identity in Toronto, 1887-1922</t>
  </si>
  <si>
    <t>McGowan, Mark G.</t>
  </si>
  <si>
    <t>F1059.5.T689</t>
  </si>
  <si>
    <t>Catholics -- Ontario -- Toronto -- History.; Electronic books. -- local; Irish -- Ontario -- Toronto -- History.; Toronto (Ont.) -- Church history.; Toronto (Ont.) -- Ethnic relations.; Toronto (Ont.) -- History.</t>
  </si>
  <si>
    <t>http://public.eblib.com/choice/PublicFullRecord.aspx?p=3331163</t>
  </si>
  <si>
    <t>Aeschylus' Use of Psychological Terminology : Traditional and New</t>
  </si>
  <si>
    <t>PA3829</t>
  </si>
  <si>
    <t>Aeschylus -- Knowledge -- Psychology.; Aeschylus -- Language.; Electronic books. -- local; Greek literature -- History and criticism.</t>
  </si>
  <si>
    <t>http://public.eblib.com/choice/PublicFullRecord.aspx?p=3331164</t>
  </si>
  <si>
    <t>Journeys of Fear : Refugee Return and National Transformation in Guatemala</t>
  </si>
  <si>
    <t>North, Liisa L.; Simmons, Alan B.</t>
  </si>
  <si>
    <t>F1466.7</t>
  </si>
  <si>
    <t>Electronic books. -- local; Guatemala -- Economic conditions -- 1985-; Guatemala -- Politics and government -- 1985-; Guatemala -- Social conditions.; Mayas -- Guatemala -- Government relations.; Return migration -- Guatemala.</t>
  </si>
  <si>
    <t>http://public.eblib.com/choice/PublicFullRecord.aspx?p=3331165</t>
  </si>
  <si>
    <t>Canadian Defence Industry in the New Global Environment</t>
  </si>
  <si>
    <t>Edgar, Alistair D.; Haglund, David G.</t>
  </si>
  <si>
    <t>HD9743.C36</t>
  </si>
  <si>
    <t>Canada -- Defenses.; Defense industries -- Canada.; Electronic books. -- local</t>
  </si>
  <si>
    <t>http://public.eblib.com/choice/PublicFullRecord.aspx?p=3331166</t>
  </si>
  <si>
    <t>In Pursuit of the Public Good : Essays in Honour of Allan J. MacEachen</t>
  </si>
  <si>
    <t>F1034.3.M15</t>
  </si>
  <si>
    <t>Canada -- History -- 20th century.; Canada -- Politics and government -- 1945-1980.; Canada -- Politics and government -- 1980-; Electronic books. -- local; MacEachen, Allan J.</t>
  </si>
  <si>
    <t>http://public.eblib.com/choice/PublicFullRecord.aspx?p=3331167</t>
  </si>
  <si>
    <t>Theatre of Apollo : Divine Justice and Sophocles' Oedipus the King</t>
  </si>
  <si>
    <t>Griffith, Drew</t>
  </si>
  <si>
    <t>PA4413.O7</t>
  </si>
  <si>
    <t>Apollo (Greek deity) in literature.; Electronic books. -- local; Justice in literature.; Sophocles.; Sophocles. -- Oedipus Rex.</t>
  </si>
  <si>
    <t>http://public.eblib.com/choice/PublicFullRecord.aspx?p=3331168</t>
  </si>
  <si>
    <t>Future of NATO : Enlargement, Russia, and European Security</t>
  </si>
  <si>
    <t>David, Charles-Philippe; Levesque, Jacques</t>
  </si>
  <si>
    <t>JZ5930</t>
  </si>
  <si>
    <t>Electronic books. -- local; Europe -- Foreign relations -- Russia (Federation); National security -- Europe.; North Atlantic Treaty Organization.; Russia (Federation) -- Foreign relations -- Europe.</t>
  </si>
  <si>
    <t>http://public.eblib.com/choice/PublicFullRecord.aspx?p=3331169</t>
  </si>
  <si>
    <t>Canada's Vegetation : A World Perspective</t>
  </si>
  <si>
    <t>Scott, Geoffrey A.J.</t>
  </si>
  <si>
    <t>QK201</t>
  </si>
  <si>
    <t>Electronic books. -- local; Phytogeography -- Canada.; Phytogeography.; Plant ecology -- Canada.</t>
  </si>
  <si>
    <t>http://public.eblib.com/choice/PublicFullRecord.aspx?p=3331170</t>
  </si>
  <si>
    <t>Four Quarters of the Night : The Life-Journey of an Emigrant Sikh</t>
  </si>
  <si>
    <t>Bains, Tara Singh; Johnston, Hugh</t>
  </si>
  <si>
    <t>F1089.7.S54</t>
  </si>
  <si>
    <t>Bains, Tara Singh, -- 1923-; Electronic books. -- local; Immigrants -- British Columbia -- Biography.; Immigrants -- India -- Punjab -- Biography.; Sikhs -- British Columbia -- Biography.; Sikhs -- Ethnic identity.</t>
  </si>
  <si>
    <t>http://public.eblib.com/choice/PublicFullRecord.aspx?p=3331171</t>
  </si>
  <si>
    <t>Canada's National System of Innovation</t>
  </si>
  <si>
    <t>Niosi, Jorge; Godin, Benoit</t>
  </si>
  <si>
    <t>Engineering: General; Science: General; Engineering</t>
  </si>
  <si>
    <t>T173.8</t>
  </si>
  <si>
    <t>Electronic books. -- local; Research -- Canada.; Science and state -- Canada.; Technological innovations -- Canada.; Technological innovations -- Government policy -- Canada.; Technology and state -- Canada.</t>
  </si>
  <si>
    <t>http://public.eblib.com/choice/PublicFullRecord.aspx?p=3331172</t>
  </si>
  <si>
    <t>Euripides' Use of Psychological Terminology</t>
  </si>
  <si>
    <t>PA3978</t>
  </si>
  <si>
    <t>Drama -- Psychological aspects.; Euripides -- Knowledge -- Psychology.; Euripides -- Language.; Mythology, Greek, in literature.; Psychology in literature.; Tragedy.</t>
  </si>
  <si>
    <t>http://public.eblib.com/choice/PublicFullRecord.aspx?p=3331173</t>
  </si>
  <si>
    <t>Questions of Miracle</t>
  </si>
  <si>
    <t>Larmer, Robert A.</t>
  </si>
  <si>
    <t>BT97.2</t>
  </si>
  <si>
    <t>Electronic books. -- local; Hume, David, -- 1711-1776.; Miracles -- History of doctrines.; Miracles.</t>
  </si>
  <si>
    <t>http://public.eblib.com/choice/PublicFullRecord.aspx?p=3331174</t>
  </si>
  <si>
    <t>Border Within : National Identity, Cultural Plurality, and Wilderness</t>
  </si>
  <si>
    <t>Canadians, English-speaking.; Electronic books. -- local; Group identity -- Canada.</t>
  </si>
  <si>
    <t>http://public.eblib.com/choice/PublicFullRecord.aspx?p=3331175</t>
  </si>
  <si>
    <t>Patchworks of Purpose : The Development of Provincial Social Assistance Regimes in Canada</t>
  </si>
  <si>
    <t>Boychuk, Gerard William</t>
  </si>
  <si>
    <t>HV105</t>
  </si>
  <si>
    <t>Canada -- Social policy.; Electronic books. -- local; Public welfare -- Canada -- Provinces.</t>
  </si>
  <si>
    <t>http://public.eblib.com/choice/PublicFullRecord.aspx?p=3331176</t>
  </si>
  <si>
    <t>Doctor Dilemma : Public Policy and the Changing Role of Physicians Under Ontario Medicare</t>
  </si>
  <si>
    <t>Shortt, S.</t>
  </si>
  <si>
    <t>R463.O6</t>
  </si>
  <si>
    <t>Electronic books. -- local; Health care reform -- Ontario.; Medical policy -- Ontario.; Physicians -- Government policy -- Ontario.</t>
  </si>
  <si>
    <t>http://public.eblib.com/choice/PublicFullRecord.aspx?p=3331177</t>
  </si>
  <si>
    <t>Valour and the Horror Revisited</t>
  </si>
  <si>
    <t>Bercuson, David J.; Wise</t>
  </si>
  <si>
    <t>D768.15 -- .V35 1994eb</t>
  </si>
  <si>
    <t>Electronic books. -- local; Journalistic ethics.; Valour and the horror (Television program); World War, 1939-1945 -- Canada.</t>
  </si>
  <si>
    <t>http://public.eblib.com/choice/PublicFullRecord.aspx?p=3331178</t>
  </si>
  <si>
    <t>Nation's Navy : In Quest of Canadian Naval Identity</t>
  </si>
  <si>
    <t>Hadley, Michael L.; Crickard, Fred W.</t>
  </si>
  <si>
    <t>VA400</t>
  </si>
  <si>
    <t>Canada -- History, Naval -- Congresses.; Canada. -- Royal Canadian Navy -- History -- Congresses.; Electronic books. -- local; Naval history.</t>
  </si>
  <si>
    <t>http://public.eblib.com/choice/PublicFullRecord.aspx?p=3331179</t>
  </si>
  <si>
    <t>British Generals in the War of 1812 : High Command in the Canadas</t>
  </si>
  <si>
    <t>Turner, Wesley B.</t>
  </si>
  <si>
    <t>E353</t>
  </si>
  <si>
    <t>Command of troops -- History -- 19th century.; Generals -- Canada -- Biography.; Generals -- Great Britain -- Biography.; Great Britain. -- Army -- Officers -- Biography.; United States -- History -- War of 1812 -- Biography.; United States -- History -- War of 1812 -- Campaigns.; United States -- History -- War of 1812 -- Participation, British.</t>
  </si>
  <si>
    <t>http://public.eblib.com/choice/PublicFullRecord.aspx?p=3331180</t>
  </si>
  <si>
    <t>Institutionalized Cabinet : Governing the Western Provinces</t>
  </si>
  <si>
    <t>Dunn, Christopher</t>
  </si>
  <si>
    <t>JL198</t>
  </si>
  <si>
    <t>British Columbia. -- Executive Council.; Cabinet system -- Canada, Western.; Canada, Western -- Politics and government.; Electronic books. -- local; Manitoba. -- Executive Council.; Saskatchewan. -- Executive Council.</t>
  </si>
  <si>
    <t>http://public.eblib.com/choice/PublicFullRecord.aspx?p=3331181</t>
  </si>
  <si>
    <t>Canada Fire : Radical Evangelicalism in British North America, 1775-1812</t>
  </si>
  <si>
    <t>Electronic books. -- local; Evangelical Revival -- Canada.; Great Awakening.</t>
  </si>
  <si>
    <t>http://public.eblib.com/choice/PublicFullRecord.aspx?p=3331182</t>
  </si>
  <si>
    <t>Moral Foundations of Canadian Federalism : Paradoxes, Achievements, and Tragedies of Nationhood</t>
  </si>
  <si>
    <t>Laselva, Samuel V.</t>
  </si>
  <si>
    <t>Canada -- Politics and government.; Constitutional history -- Canada.; Electronic books. -- local; Federal government -- Canada -- History.</t>
  </si>
  <si>
    <t>http://public.eblib.com/choice/PublicFullRecord.aspx?p=3331183</t>
  </si>
  <si>
    <t>Pursuit of Division : Race, Gender and Preferential Hiring in Canada</t>
  </si>
  <si>
    <t>Loney, Martin</t>
  </si>
  <si>
    <t>HF5549.5.A34</t>
  </si>
  <si>
    <t>331.133 0971</t>
  </si>
  <si>
    <t>Affirmative action programs -- Canada.; Discrimination in employment -- Canada.; Electronic books. -- local; Minorities -- Employment -- Government policy -- Canada.; Women -- Employment -- Government policy -- Canada.</t>
  </si>
  <si>
    <t>http://public.eblib.com/choice/PublicFullRecord.aspx?p=3331184</t>
  </si>
  <si>
    <t>This Distant and Unsurveyed Country : A Woman's Winter at Baffin Island, 1857-1858</t>
  </si>
  <si>
    <t>Ross, Gillies</t>
  </si>
  <si>
    <t>F1105.B3</t>
  </si>
  <si>
    <t>Baffin Island (Nunavut) -- Description and travel.; Electronic books. -- local; Penny, Margaret, -- 1812-1891 -- Travel -- Nunavut -- Baffin Island.; Whaling -- Nunavut -- Baffin Island.</t>
  </si>
  <si>
    <t>http://public.eblib.com/choice/PublicFullRecord.aspx?p=3331185</t>
  </si>
  <si>
    <t>Centrality of Agriculture : Between Humankind and the Rest of Nature</t>
  </si>
  <si>
    <t>Duncan, Colin A.M.</t>
  </si>
  <si>
    <t>HD1415 -- .D85 1996eb</t>
  </si>
  <si>
    <t>Agriculture -- Economic aspects.; Agriculture -- Environmental aspects.; Agriculture -- Social aspects.; Communism and agriculture.; Electronic books. -- local</t>
  </si>
  <si>
    <t>http://public.eblib.com/choice/PublicFullRecord.aspx?p=3331186</t>
  </si>
  <si>
    <t>Lord's Dominion : The History of Canadian Methodism</t>
  </si>
  <si>
    <t>Semple, Neil</t>
  </si>
  <si>
    <t>BX8251 -- .S45 1996eb</t>
  </si>
  <si>
    <t>Canada -- Church history.; Electronic books. -- local; Methodism -- Canada.; Methodist Church (Canada) -- History.; Methodist Church of Canada -- History.</t>
  </si>
  <si>
    <t>http://public.eblib.com/choice/PublicFullRecord.aspx?p=3331187</t>
  </si>
  <si>
    <t>Imagining Culture : New World Narrative and the Writing of Canada</t>
  </si>
  <si>
    <t>Turner, Margaret E.</t>
  </si>
  <si>
    <t>PR9192.6.N37</t>
  </si>
  <si>
    <t>America -- In literature.; Canada -- In literature.; Canadian fiction -- History and criticism.; Electronic books. -- local; Narration (Rhetoric); National characteristics, Canadian, in literature.</t>
  </si>
  <si>
    <t>http://public.eblib.com/choice/PublicFullRecord.aspx?p=3331188</t>
  </si>
  <si>
    <t>Challenge of Direct Democracy : The 1992 Canadian Referendum</t>
  </si>
  <si>
    <t>Johnston, Richard; Blais, Andre; Gidengi, Elisabeth</t>
  </si>
  <si>
    <t>Canada -- Politics and government -- 1980-; Consensus Report on the Constitution (1992); Constitutional amendments -- Canada.; Electronic books. -- local; Referendum -- Canada.</t>
  </si>
  <si>
    <t>http://public.eblib.com/choice/PublicFullRecord.aspx?p=3331189</t>
  </si>
  <si>
    <t>Keeping the Dream Alive : The Survival of the Ontario CCF/NDP, 1950-1963</t>
  </si>
  <si>
    <t>Azoulay, Dan</t>
  </si>
  <si>
    <t>JL279.A54</t>
  </si>
  <si>
    <t>Co-operative Commonwealth Federation. -- Ontario Section -- History.; Electronic books. -- local; New Democratic Party of Ontario -- History.; Public administration -- Canada.</t>
  </si>
  <si>
    <t>http://public.eblib.com/choice/PublicFullRecord.aspx?p=3331190</t>
  </si>
  <si>
    <t>Christian Plain Style : The Evolution of a Spiritual Ideal</t>
  </si>
  <si>
    <t>Auski, Peter</t>
  </si>
  <si>
    <t>Literature; Religion</t>
  </si>
  <si>
    <t>BR115.R55</t>
  </si>
  <si>
    <t>Electronic books. -- local; Language and languages -- Religious aspects -- Christianity.; Rhetoric -- History.; Rhetoric -- Religious aspects -- Christianity.</t>
  </si>
  <si>
    <t>http://public.eblib.com/choice/PublicFullRecord.aspx?p=3331191</t>
  </si>
  <si>
    <t>Good Citizens : British Missionaries and Imperial States, 1870-1918</t>
  </si>
  <si>
    <t>Greenlee, James G.; Johnston, Charles M.</t>
  </si>
  <si>
    <t>BV2420</t>
  </si>
  <si>
    <t>Electronic books. -- local; Imperialism -- History.; Missionaries -- Great Britain -- Political activity.; Missions, British -- History.; Missions, British -- Political aspects.</t>
  </si>
  <si>
    <t>http://public.eblib.com/choice/PublicFullRecord.aspx?p=3331192</t>
  </si>
  <si>
    <t>Reasonable Self-Esteem</t>
  </si>
  <si>
    <t>Keshen, Richard</t>
  </si>
  <si>
    <t>BF697.5.S46</t>
  </si>
  <si>
    <t>Electronic books. -- local; Self-esteem.; Self-perception.</t>
  </si>
  <si>
    <t>http://public.eblib.com/choice/PublicFullRecord.aspx?p=3331193</t>
  </si>
  <si>
    <t>Seat at the Table : Persons with Disabilities and Policy Making</t>
  </si>
  <si>
    <t>Boyce, William</t>
  </si>
  <si>
    <t>HV1559.C2</t>
  </si>
  <si>
    <t>Handicapés -- Politique gouvernementale -- Canada.; People with disabilities -- Civil rights -- Canada.; People with disabilities -- Government policy -- Canada.</t>
  </si>
  <si>
    <t>http://public.eblib.com/choice/PublicFullRecord.aspx?p=3331194</t>
  </si>
  <si>
    <t>Rockingham Connection and the Second Founding of the Whig Party</t>
  </si>
  <si>
    <t>DA510</t>
  </si>
  <si>
    <t>Electronic books. -- local; Great Britain -- History -- 1760-1789.; Great Britain -- Politics and government -- 1760-1789.; Rockingham (England) -- Politics and government.; Whig Party (Great Britain)</t>
  </si>
  <si>
    <t>http://public.eblib.com/choice/PublicFullRecord.aspx?p=3331195</t>
  </si>
  <si>
    <t>Jena Romanticism and Its Appropriation of Jakob Bhohme : Theosophy, Hagiography, Literature</t>
  </si>
  <si>
    <t>Mayer, P.</t>
  </si>
  <si>
    <t>B781.B64 -- M39 1999eb</t>
  </si>
  <si>
    <t>141/.6/094309034</t>
  </si>
  <si>
    <t>Böhme, Jakob, -- 1575-1624.; Philosophy, German -- 19th century.; Romanticism -- Germany.</t>
  </si>
  <si>
    <t>http://public.eblib.com/choice/PublicFullRecord.aspx?p=3331196</t>
  </si>
  <si>
    <t>Gael Force : A Century of Football at Queen's</t>
  </si>
  <si>
    <t>GV958</t>
  </si>
  <si>
    <t>Electronic books. -- local; Football -- Canada.; Golden Gaels (Football team) -- History.; Queen''s University (Kingston, Ont.) -- Football -- History.</t>
  </si>
  <si>
    <t>http://public.eblib.com/choice/PublicFullRecord.aspx?p=3331197</t>
  </si>
  <si>
    <t>Rule of Law, Justice, and Interpretation</t>
  </si>
  <si>
    <t>Tremblay, Luc B.</t>
  </si>
  <si>
    <t>KE4238</t>
  </si>
  <si>
    <t>Electronic books. -- local; Justice, Administration of -- Canada.; Rule of law -- Canada.</t>
  </si>
  <si>
    <t>http://public.eblib.com/choice/PublicFullRecord.aspx?p=3331198</t>
  </si>
  <si>
    <t>Un Homme Grand : Jack Kerouac at the Crossroads of Many Cultures/Jack Kerouac a la confluence des cultures</t>
  </si>
  <si>
    <t>Anctil, Pierre; Ferland, Remi</t>
  </si>
  <si>
    <t>PS3521.E735 -- Z676 1990eb</t>
  </si>
  <si>
    <t>Beat generation -- Congresses.; Electronic books. -- local; Kerouac, Jack, -- 1922-1969 -- Criticism and interpretation -- Congresses.</t>
  </si>
  <si>
    <t>http://public.eblib.com/choice/PublicFullRecord.aspx?p=3331199</t>
  </si>
  <si>
    <t>Steps on the Road to Medicare : Why Saskatchewan Led the Way</t>
  </si>
  <si>
    <t>Houston, Stuart; Fedoruk, Sylvia O.</t>
  </si>
  <si>
    <t>RA412.5.C3</t>
  </si>
  <si>
    <t>Electronic books. -- local; Health care reform -- Saskatchewan -- History -- 20th century.; Medical care -- Saskatchewan -- History -- 20th century.; Medical policy -- Saskatchewan -- History -- 20th century.</t>
  </si>
  <si>
    <t>http://public.eblib.com/choice/PublicFullRecord.aspx?p=3331200</t>
  </si>
  <si>
    <t>The Birth of Modernism : Ezra Pound, T.S. Eliot, W.B. Yeats, and the Occult</t>
  </si>
  <si>
    <t>Surette, Leon</t>
  </si>
  <si>
    <t>PN56.M54</t>
  </si>
  <si>
    <t>Eliot, T. S. -- (Thomas Stearns), -- 1888-1965 -- Criticism and interpretation.; European literature -- 19th century -- History and criticism.; European literature -- 20th century -- History and criticism.; Modernism (Literature) -- Europe.; Pound, Ezra, -- 1885-1972 -- Criticism and interpretation.; Theosophy in literature.; Yeats, W. B. -- (William Butler), -- 1865-1939.</t>
  </si>
  <si>
    <t>http://public.eblib.com/choice/PublicFullRecord.aspx?p=3331201</t>
  </si>
  <si>
    <t>Inauspicious Beginnings : Principal Powers and International Security Institutions after the Cold War, 1989-1999</t>
  </si>
  <si>
    <t>Beylerian, Onnig; Lévesque, Jacques</t>
  </si>
  <si>
    <t>JZ5588</t>
  </si>
  <si>
    <t>Balance of power.; Équilibre des puissances.; Politique mondiale -- 1989-; Sécurité internationale.; Security, International.; World politics -- 1989-; World politics -- 1995-2005.</t>
  </si>
  <si>
    <t>http://public.eblib.com/choice/PublicFullRecord.aspx?p=3331202</t>
  </si>
  <si>
    <t>Picturesque Prison : Evelyn Waugh and His Writing</t>
  </si>
  <si>
    <t>Heath, Jeffrey</t>
  </si>
  <si>
    <t>PR6045.A97</t>
  </si>
  <si>
    <t>Authors, English -- 20th century -- Biography.; Electronic books. -- local; Waugh, Evelyn, -- 1903-1966.</t>
  </si>
  <si>
    <t>http://public.eblib.com/choice/PublicFullRecord.aspx?p=3331203</t>
  </si>
  <si>
    <t>Democratic Legitimacy : Plural Values and Political Power</t>
  </si>
  <si>
    <t>JC423</t>
  </si>
  <si>
    <t>Democracy.; Electronic books. -- local; Legitimacy of governments.; Political participation.; Responsibility.</t>
  </si>
  <si>
    <t>http://public.eblib.com/choice/PublicFullRecord.aspx?p=3331204</t>
  </si>
  <si>
    <t>House, Home, and Community : Progress in Housing Canadians, 1945 -1986</t>
  </si>
  <si>
    <t>HD7305 .A3 H842h 1993</t>
  </si>
  <si>
    <t>Dwellings -- Social aspects -- Canada.; Electronic books. -- local; Housing -- Canada -- History -- 20th century.</t>
  </si>
  <si>
    <t>http://public.eblib.com/choice/PublicFullRecord.aspx?p=3331205</t>
  </si>
  <si>
    <t>Becoming Bamboo : Western and Eastern Explorations of the Meaning of Life</t>
  </si>
  <si>
    <t>Carter, Robert E.</t>
  </si>
  <si>
    <t>B799 -- .C37 1992eb</t>
  </si>
  <si>
    <t>Electronic books. -- local; Philosophy, Comparative.; Philosophy, Japanese.; Values.; Zen Buddhism.</t>
  </si>
  <si>
    <t>http://public.eblib.com/choice/PublicFullRecord.aspx?p=3331206</t>
  </si>
  <si>
    <t>George-Etienne Cartier : Montreal Bourgeois</t>
  </si>
  <si>
    <t>F1033.C425</t>
  </si>
  <si>
    <t>Canada -- Politics and government -- 1841-1867.; Cartier, George-Etienne, -- Sir, -- 1814-1873.; Electronic books. -- local; Politicians -- Canada -- Biography.</t>
  </si>
  <si>
    <t>http://public.eblib.com/choice/PublicFullRecord.aspx?p=3331207</t>
  </si>
  <si>
    <t>Mind in Creation : Essays on English Romantic Literature in Honour of Ross G. Woodman</t>
  </si>
  <si>
    <t>Kneale, Douglas</t>
  </si>
  <si>
    <t>PR457</t>
  </si>
  <si>
    <t>Electronic books. -- local; English literature -- 18th century -- History and criticism.; English literature -- 19th century -- History and criticism.; Romanticism -- England.</t>
  </si>
  <si>
    <t>http://public.eblib.com/choice/PublicFullRecord.aspx?p=3331208</t>
  </si>
  <si>
    <t>Canada and the Global Economy : The Geography of Structural and Technological Change</t>
  </si>
  <si>
    <t>Canadian Association of Geographers Series in Canadian Geography</t>
  </si>
  <si>
    <t>Britton, John N.H.</t>
  </si>
  <si>
    <t>HC115.C197 1996</t>
  </si>
  <si>
    <t>Canada -- Economic conditions -- 1991-; Canada -- Foreign economic relations.; Economic geography.; Electronic books. -- local; Technological innovations -- Canada.</t>
  </si>
  <si>
    <t>http://public.eblib.com/choice/PublicFullRecord.aspx?p=3331209</t>
  </si>
  <si>
    <t>Amateurs, Professionals, and Serious Leisure</t>
  </si>
  <si>
    <t>GV14.45</t>
  </si>
  <si>
    <t>Amateurism.; Electronic books. -- local; Leisure -- Social aspects.; Professional employees.; Work -- Social aspects.</t>
  </si>
  <si>
    <t>http://public.eblib.com/choice/PublicFullRecord.aspx?p=3331210</t>
  </si>
  <si>
    <t>First Nations? : Second Thoughts</t>
  </si>
  <si>
    <t>Flanagan, T.</t>
  </si>
  <si>
    <t>E92 -- .F535 2000eb</t>
  </si>
  <si>
    <t>Electronic books. -- local; Indians of North America -- Canada -- Government relations.; Indians of North America -- Canada -- Politics and government.; Indians of North America -- Legal status, laws, etc. -- Canada.</t>
  </si>
  <si>
    <t>http://public.eblib.com/choice/PublicFullRecord.aspx?p=3331211</t>
  </si>
  <si>
    <t>Middle Power Internationalism : The North-South Dimension</t>
  </si>
  <si>
    <t>Economics; Business/Management; History</t>
  </si>
  <si>
    <t>D849 -- .M52 1990eb</t>
  </si>
  <si>
    <t>Developing countries -- Foreign economic relations.; Electronic books. -- local; International economic relations.; Middle powers.</t>
  </si>
  <si>
    <t>http://public.eblib.com/choice/PublicFullRecord.aspx?p=3331212</t>
  </si>
  <si>
    <t>Corporate Autonomy and Institutional Control : The Crown Corporation as a Problem in Organization Design</t>
  </si>
  <si>
    <t>Stevens, Douglas F.</t>
  </si>
  <si>
    <t>HD4005</t>
  </si>
  <si>
    <t>Corporations, Government -- Prairie Provinces.; Electronic books. -- local; Organization.</t>
  </si>
  <si>
    <t>http://public.eblib.com/choice/PublicFullRecord.aspx?p=3331213</t>
  </si>
  <si>
    <t>Recognizing Religion in a Secular Society : Essays in Pluarism, Religion, and Public Policy</t>
  </si>
  <si>
    <t>Farrow, Douglas</t>
  </si>
  <si>
    <t>BL65.P7 -- R39 2004eb</t>
  </si>
  <si>
    <t>322/.10971</t>
  </si>
  <si>
    <t>Cultural pluralism -- Congresses.; Religion and law -- Canada -- Congresses.; Religion and politics -- Congresses.; Religion and science -- Congresses.; Religion and state -- Congresses.; Religion et État -- Congrès.; Religion et politique -- Congrès.</t>
  </si>
  <si>
    <t>http://public.eblib.com/choice/PublicFullRecord.aspx?p=3331214</t>
  </si>
  <si>
    <t>Do We Care? : Renewing Canada's Commitment to Health</t>
  </si>
  <si>
    <t>Somerville, Margaret A.; Somerville, Margaret A.</t>
  </si>
  <si>
    <t>RA449</t>
  </si>
  <si>
    <t>Electronic books. -- local; Health care reform -- Canada.; Medical policy -- Canada.</t>
  </si>
  <si>
    <t>http://public.eblib.com/choice/PublicFullRecord.aspx?p=3331215</t>
  </si>
  <si>
    <t>Town House, Country House : Recollections of a Quebec Childhood</t>
  </si>
  <si>
    <t>Boswell, Hazel; Belisle, Jean-Francois; Hubbard, R.H. ; Baelisle, Jean-Fran cois</t>
  </si>
  <si>
    <t>PR9256.B67 -- T68 1990eb</t>
  </si>
  <si>
    <t>Children -- Québec (Province) -- Juvenile fiction.; Electronic books. -- local; English literature.</t>
  </si>
  <si>
    <t>http://public.eblib.com/choice/PublicFullRecord.aspx?p=3331216</t>
  </si>
  <si>
    <t>Wyndham Lewis and the Avant-Garde : The Politics of the Intellect</t>
  </si>
  <si>
    <t>Foshay, Toby Avard</t>
  </si>
  <si>
    <t>PR6023.E97Z644 1992</t>
  </si>
  <si>
    <t>Electronic books. -- local; Lewis, Wyndham, -- 1882-1957 -- Criticism and interpretation.; Modernism (Literature)</t>
  </si>
  <si>
    <t>http://public.eblib.com/choice/PublicFullRecord.aspx?p=3331217</t>
  </si>
  <si>
    <t>Founding Moment : Church, Society, and the Construction of Trinity College</t>
  </si>
  <si>
    <t>LE3.T72</t>
  </si>
  <si>
    <t>Trinity College (Toronto, Ont.) -- Histoire.; Trinity College (Toronto, Ont.) -- History.</t>
  </si>
  <si>
    <t>http://public.eblib.com/choice/PublicFullRecord.aspx?p=3331218</t>
  </si>
  <si>
    <t>New World Myth : Postmodernism and Postcolonialism in Canadian Fiction</t>
  </si>
  <si>
    <t>Vautier, Marie</t>
  </si>
  <si>
    <t>Canadian fiction -- History and criticism.; Imperialism in literature.; Literature and history -- Canada -- History.; National characteristics, Canadian, in literature.; Postcolonialism -- Canada.; Postcolonialism in literature.; Postmodernism (Literature) -- Canada.</t>
  </si>
  <si>
    <t>http://public.eblib.com/choice/PublicFullRecord.aspx?p=3331219</t>
  </si>
  <si>
    <t>As Though Life Mattered : Leo Kennedy's Story</t>
  </si>
  <si>
    <t>Morley, Patricia</t>
  </si>
  <si>
    <t>PR9199.3.K418</t>
  </si>
  <si>
    <t>Canadian literature.; Electronic books. -- local; Kennedy, Leo.</t>
  </si>
  <si>
    <t>http://public.eblib.com/choice/PublicFullRecord.aspx?p=3331220</t>
  </si>
  <si>
    <t>St Petersburg Dialogues : Or Conversations on the Temporal Government of Providence</t>
  </si>
  <si>
    <t>Maistre, Joseph de</t>
  </si>
  <si>
    <t>BT96</t>
  </si>
  <si>
    <t>Electronic books. -- local; Good and evil.; Providence and government of God.; Sacrifice.</t>
  </si>
  <si>
    <t>http://public.eblib.com/choice/PublicFullRecord.aspx?p=3331221</t>
  </si>
  <si>
    <t>Historical Essays on Upper Canada : New Perspectives</t>
  </si>
  <si>
    <t>Johnson, J.K.; Wilson, Bruce G.</t>
  </si>
  <si>
    <t>Electronic books. -- local; Ontario -- History.</t>
  </si>
  <si>
    <t>http://public.eblib.com/choice/PublicFullRecord.aspx?p=3331222</t>
  </si>
  <si>
    <t>Wilhelm Pfeffer : Early Advances in Plant Biology</t>
  </si>
  <si>
    <t>Carleton Contemporary Series</t>
  </si>
  <si>
    <t>Bünning, Erwin; Pfeffer, Helmut Wilhelm</t>
  </si>
  <si>
    <t>QK31.P45 -- B8313 1989eb</t>
  </si>
  <si>
    <t>581/.092; B</t>
  </si>
  <si>
    <t>Botanists -- Germany -- Biography.; Electronic books. -- local; Pferrer, W. -- (Wilhelm), -- 1845-1920.</t>
  </si>
  <si>
    <t>http://public.eblib.com/choice/PublicFullRecord.aspx?p=3331223</t>
  </si>
  <si>
    <t>Stealing the Show : Seven Women Artists in Canadian Public Art</t>
  </si>
  <si>
    <t>Lambton, Gunda</t>
  </si>
  <si>
    <t>N6545</t>
  </si>
  <si>
    <t>Art, Canadian.; Art, Modern -- 20th century.; Electronic books. -- local; Public art.; Women artists -- Canada.</t>
  </si>
  <si>
    <t>http://public.eblib.com/choice/PublicFullRecord.aspx?p=3331224</t>
  </si>
  <si>
    <t>Imperial Challenge : Quebec and Britain in the Age of the American Revolution</t>
  </si>
  <si>
    <t>Lawson, Philip</t>
  </si>
  <si>
    <t>Canada -- History -- 1755-1763.; Canada -- History -- 1763-1791.; Canada -- History -- 18th century.; Electronic books. -- local; Québec (Province) -- History.</t>
  </si>
  <si>
    <t>http://public.eblib.com/choice/PublicFullRecord.aspx?p=3331225</t>
  </si>
  <si>
    <t>Enemy Aliens, Prisoners of War : Internment in Canada during the Great War</t>
  </si>
  <si>
    <t>Aliens -- Canada -- History -- 20th century.; Guerre mondiale, 1914-1918 -- Camps de concentration -- Canada.; Guerre mondiale, 1914-1918 -- Évacuation des civils -- Canada.; Ukrainians -- Canada -- History -- 20th century.; World War, 1914-1918 -- Concentration camps -- Canada.; World War, 1914-1918 -- Conscript labor -- Canada.; World War, 1914-1918 -- Evacuation of civilians -- Canada.</t>
  </si>
  <si>
    <t>http://public.eblib.com/choice/PublicFullRecord.aspx?p=3331226</t>
  </si>
  <si>
    <t>Beyond Mexico</t>
  </si>
  <si>
    <t>Changing American Series</t>
  </si>
  <si>
    <t>Daudelin, Jean; Dosman</t>
  </si>
  <si>
    <t>F1029.5.L3</t>
  </si>
  <si>
    <t>Canada -- Foreign economic relations -- Latin America.; Canada -- Foreign relations -- Latin America.; Canada -- Relations -- Mexico.; International relations.; Latin America -- Foreign economic relations -- Canada.; Latin America -- Foreign relations -- Canada.; Mexico -- Relations -- Canada.</t>
  </si>
  <si>
    <t>http://public.eblib.com/choice/PublicFullRecord.aspx?p=3331227</t>
  </si>
  <si>
    <t>History of Emily Montague</t>
  </si>
  <si>
    <t>Centre for Editing Early Canadian Texts</t>
  </si>
  <si>
    <t>Brooke, Frances; Edwards, Mary Jane</t>
  </si>
  <si>
    <t>PR3326.B37 -- E5 1985eb</t>
  </si>
  <si>
    <t>Electronic books. -- local; English literature.; Epistolary fiction, English.</t>
  </si>
  <si>
    <t>http://public.eblib.com/choice/PublicFullRecord.aspx?p=3331228</t>
  </si>
  <si>
    <t>Columbia Journals : David Thompson</t>
  </si>
  <si>
    <t>Belyea, Barbara; Belyea, Barbara</t>
  </si>
  <si>
    <t>F1060.7 -- .T46 1998eb</t>
  </si>
  <si>
    <t>Fur trade -- Northwest, Canadian -- History.; Fur trade -- Northwest, Pacific -- History.; North West Company.; Northwest, Canadian -- Description and travel.; Northwest, Canadian -- Discovery and exploration.; Northwest, Pacific -- Description and travel.; Thompson, David, -- 1770-1857 -- Diaries.</t>
  </si>
  <si>
    <t>http://public.eblib.com/choice/PublicFullRecord.aspx?p=3331229</t>
  </si>
  <si>
    <t>Civil Wars in Africa : Roots and Resolution</t>
  </si>
  <si>
    <t>Ali, Taisier M.; Matthews, Robert O.</t>
  </si>
  <si>
    <t>DT352.8</t>
  </si>
  <si>
    <t>Africa -- History -- 1960-; Africa -- Politics and government -- 1960-; Civil war.; Electronic books. -- local</t>
  </si>
  <si>
    <t>http://public.eblib.com/choice/PublicFullRecord.aspx?p=3331230</t>
  </si>
  <si>
    <t>Maritime Capital : The Shipping Industry in Atlantic Canada, 1820-1914</t>
  </si>
  <si>
    <t>Sager, Eric W.; Panting, Gerald E.</t>
  </si>
  <si>
    <t>HE635.27</t>
  </si>
  <si>
    <t>Electronic books. -- local; Shipbuilding industry -- Maritime Provinces -- History -- 19th century.; Shipping -- Maritime Provinces -- History -- 19th century.</t>
  </si>
  <si>
    <t>http://public.eblib.com/choice/PublicFullRecord.aspx?p=3331231</t>
  </si>
  <si>
    <t>John Case and Aristotelianism in Renaissance England</t>
  </si>
  <si>
    <t>Schmitt, Charles</t>
  </si>
  <si>
    <t>B785.C364 -- S36 1983eb</t>
  </si>
  <si>
    <t>Aristotle -- Influence.; Case, John, -- d. 1600.; Electronic books. -- local; Philosophy, English -- 16th century.</t>
  </si>
  <si>
    <t>http://public.eblib.com/choice/PublicFullRecord.aspx?p=3331232</t>
  </si>
  <si>
    <t>How Much Price Competition</t>
  </si>
  <si>
    <t>Moore, Milton</t>
  </si>
  <si>
    <t>HF1480 1970 -- .M66 1970eb</t>
  </si>
  <si>
    <t>Canada -- Commercial policy.; Competition -- Canada.; Electronic books. -- local; Trade regulation -- Canada.</t>
  </si>
  <si>
    <t>http://public.eblib.com/choice/PublicFullRecord.aspx?p=3331233</t>
  </si>
  <si>
    <t>Anthropology, Public Policy, and Native Peoples in Canada</t>
  </si>
  <si>
    <t>Dyck, Noel; Waldram, James B.</t>
  </si>
  <si>
    <t>E78.C2</t>
  </si>
  <si>
    <t>Anthropology -- Canada.; Electronic books. -- local; Ethnology -- Canada.</t>
  </si>
  <si>
    <t>http://public.eblib.com/choice/PublicFullRecord.aspx?p=3331234</t>
  </si>
  <si>
    <t>Most Dangerous Branch : How the Supreme Court of Canada Has Undermined Our Law and Our Democracy</t>
  </si>
  <si>
    <t>Martin, Robert  I.</t>
  </si>
  <si>
    <t>Canada. -- Supreme Court -- History.; Constitutional courts -- Canada -- History.; Constitutional history -- Canada.; Judicial review -- Canada -- History.; Political questions and judicial power -- Canada -- History.</t>
  </si>
  <si>
    <t>http://public.eblib.com/choice/PublicFullRecord.aspx?p=3331235</t>
  </si>
  <si>
    <t>The English Housewife : Containing the Inward and Outward Virtues Which Ought to Be in a Complete Woman</t>
  </si>
  <si>
    <t>Markham, Gervase; Best, Michael R.</t>
  </si>
  <si>
    <t>TX144 -- .M37 1986eb</t>
  </si>
  <si>
    <t>Cookbooks -- England -- Early works to 1800.; Cooking -- England -- Early works to 1800.; Electronic books. -- local; Home economics -- England -- Early works to 1800.</t>
  </si>
  <si>
    <t>http://public.eblib.com/choice/PublicFullRecord.aspx?p=3331236</t>
  </si>
  <si>
    <t>Welfare, Property Rights and Economic Policy : Essays and Tributes in Honour of H. Scott Gordon</t>
  </si>
  <si>
    <t>Rymes, Thomas K.</t>
  </si>
  <si>
    <t>HB34 -- .W34 1991eb</t>
  </si>
  <si>
    <t>Economic policy.; Electronic books. -- local; Gordon, Scott, -- 1924-; Right of property.; Welfare economics.</t>
  </si>
  <si>
    <t>http://public.eblib.com/choice/PublicFullRecord.aspx?p=3331237</t>
  </si>
  <si>
    <t>Canada Among Nations, 1989 : The Challenge of Change</t>
  </si>
  <si>
    <t>Public Policy Series</t>
  </si>
  <si>
    <t>Molot, Maureen Appel; Hampson, Fen Osler</t>
  </si>
  <si>
    <t>F1034.2 -- .C36 1990eb</t>
  </si>
  <si>
    <t>Canada -- Foreign relations -- 1970-; Canada -- History -- 1970-; Canada -- Politics and government -- 1980-; Electronic books. -- local</t>
  </si>
  <si>
    <t>http://public.eblib.com/choice/PublicFullRecord.aspx?p=3331238</t>
  </si>
  <si>
    <t>Belonging : The Meaning and Future of Canadian Citizenship</t>
  </si>
  <si>
    <t>JL187</t>
  </si>
  <si>
    <t>Citizenship -- Canada.; Electronic books. -- local; Public law -- Canada.</t>
  </si>
  <si>
    <t>http://public.eblib.com/choice/PublicFullRecord.aspx?p=3331239</t>
  </si>
  <si>
    <t>Black Then : Blacks and Montreal, 1780-1880's</t>
  </si>
  <si>
    <t>Mackey, Frank</t>
  </si>
  <si>
    <t>F1054.5.M89 -- N36 2004eb</t>
  </si>
  <si>
    <t>971.4/2800496071</t>
  </si>
  <si>
    <t>Blacks -- Québec (Province) -- Montréal -- Biography.; Blacks -- Québec (Province) -- Montréal -- History -- 18th century.; Blacks -- Québec (Province) -- Montréal -- History -- 19th century.; Freedmen -- Québec (Province) -- Montréal -- Biography.; Montréal (Québec) -- Biography.; Noirs -- Québec (Province) -- Montréal -- Histoire.; Slaves -- Québec (Province) -- Montréal -- Biography.</t>
  </si>
  <si>
    <t>http://public.eblib.com/choice/PublicFullRecord.aspx?p=3331240</t>
  </si>
  <si>
    <t>Seeking New Horizons : A Perceptual Approach to Geographic Education</t>
  </si>
  <si>
    <t>Castner, Henry W.</t>
  </si>
  <si>
    <t>G74</t>
  </si>
  <si>
    <t>Cartography -- Study and teaching.; Electronic books. -- local; Geographical perception.; Geography -- Study and teaching.</t>
  </si>
  <si>
    <t>http://public.eblib.com/choice/PublicFullRecord.aspx?p=3331241</t>
  </si>
  <si>
    <t>Saqiyuq : Stories from the Lives of Three Inuit Women</t>
  </si>
  <si>
    <t>Wachowich, Nancy; Awa, Apphia Agalakti; Katsak, Rhoda</t>
  </si>
  <si>
    <t>E99.E7</t>
  </si>
  <si>
    <t>Awa, Apphia Agalakti, -- 1931-1996.; Electronic books. -- local; Inuit -- Canada -- History -- 20th century.; Inuit -- Canada -- Social life and customs.; Inuit women -- Canada -- Social life and customs.; Katsak, Rhoda Kaukjak.; Katsak, Sandra Pikujak.</t>
  </si>
  <si>
    <t>http://public.eblib.com/choice/PublicFullRecord.aspx?p=3331242</t>
  </si>
  <si>
    <t>O'Callaghan : The Making and Unmaking of a Rebel</t>
  </si>
  <si>
    <t>Verney, Jack</t>
  </si>
  <si>
    <t>E175.5.O33 -- V47 1994eb</t>
  </si>
  <si>
    <t>Canada -- History -- Rebellion, 1837-1838 -- Biography.; Electronic books. -- local; Historians -- New York (State) -- Biography.; Journalists -- Biography.; O''Callaghan, E. B. -- (Edmund Bailey), -- 1797-1880.; Physicians -- Biography.</t>
  </si>
  <si>
    <t>http://public.eblib.com/choice/PublicFullRecord.aspx?p=3331243</t>
  </si>
  <si>
    <t>Greek Scepticism : Anti-Realist Trends in Ancient Thought</t>
  </si>
  <si>
    <t>B525</t>
  </si>
  <si>
    <t>Electronic books. -- local; Philosophy, Ancient.; Skeptics (Greek philosophy)</t>
  </si>
  <si>
    <t>http://public.eblib.com/choice/PublicFullRecord.aspx?p=3331244</t>
  </si>
  <si>
    <t>Antoinette de Mirecourt or Secret Marrying and Secret Sorrowing : Or, Secret Marrying and Secret Sorrowing</t>
  </si>
  <si>
    <t>Leprohon, Rosanna; Stockdale, John C.</t>
  </si>
  <si>
    <t>PS8623E676A74 1989</t>
  </si>
  <si>
    <t>http://public.eblib.com/choice/PublicFullRecord.aspx?p=3331245</t>
  </si>
  <si>
    <t>Politics of Transport in Twentieth-Century France</t>
  </si>
  <si>
    <t>Jones, Joseph</t>
  </si>
  <si>
    <t>HE248 -- .J66 1984eb</t>
  </si>
  <si>
    <t>380.5/0944</t>
  </si>
  <si>
    <t>Electronic books. -- local; Transportation -- France -- History -- 20th century.; Transportation and state -- France -- History -- 20th century.</t>
  </si>
  <si>
    <t>http://public.eblib.com/choice/PublicFullRecord.aspx?p=3331246</t>
  </si>
  <si>
    <t>Isak Dinesen and Narrativity : Reassessments for the 1990s</t>
  </si>
  <si>
    <t>Textual Analysis, Discourse and Culture</t>
  </si>
  <si>
    <t>Woods, Gurli A.</t>
  </si>
  <si>
    <t>PT8175.B545</t>
  </si>
  <si>
    <t>Blixen, Karen, -- 1885-1962 -- Criticism and interpretation.; Electronic books. -- local; Feminist literary criticism.</t>
  </si>
  <si>
    <t>http://public.eblib.com/choice/PublicFullRecord.aspx?p=3331247</t>
  </si>
  <si>
    <t>Struggle for Swazi Labour, 1890-1920</t>
  </si>
  <si>
    <t>Crush, Jonathan</t>
  </si>
  <si>
    <t>HC925</t>
  </si>
  <si>
    <t>Electronic books. -- local; Social structure -- Swaziland.; South Africa -- Relations -- Swaziland.; Swaziland -- Economic conditions.; Swaziland -- Relations -- South Africa.; Swaziland -- Social conditions.</t>
  </si>
  <si>
    <t>http://public.eblib.com/choice/PublicFullRecord.aspx?p=3331248</t>
  </si>
  <si>
    <t>Canada Among Nations, 1994 : A Part of the Peace</t>
  </si>
  <si>
    <t>Molot, Maureen Appel; Von Riekhoff, H.</t>
  </si>
  <si>
    <t>F1034.2 -- .C278 1994eb</t>
  </si>
  <si>
    <t>Canada -- Foreign relations -- 1945-; Canada -- History -- 1945-; Canada -- Politics and government -- 1980-; Electronic books. -- local</t>
  </si>
  <si>
    <t>http://public.eblib.com/choice/PublicFullRecord.aspx?p=3331249</t>
  </si>
  <si>
    <t>So Obstinately Loyal : James Moody, 1744-1809</t>
  </si>
  <si>
    <t>Shenstone, Susan Burgess</t>
  </si>
  <si>
    <t>E278.M8</t>
  </si>
  <si>
    <t>American loyalists -- New Jersey -- Biography.; Loyalistes américains -- New Jersey -- Biographies.; Moody, James, -- 1744-1809.; Moody, James, -- 1744-1809.; United Empire Loyalists -- Nouvelle-Écosse -- Biographies.; United Empire loyalists -- Nova Scotia -- Biography.; United States -- History -- Revolution, 1775-1783.</t>
  </si>
  <si>
    <t>http://public.eblib.com/choice/PublicFullRecord.aspx?p=3331250</t>
  </si>
  <si>
    <t>Missed Opportunities : The Story of Canada's Broadcasting Policy</t>
  </si>
  <si>
    <t>Raboy, Marc</t>
  </si>
  <si>
    <t>HE8689.9.C3</t>
  </si>
  <si>
    <t>Broadcasting policy -- Canada -- History.; Electronic books. -- local; Mass media policy -- Canada -- History.</t>
  </si>
  <si>
    <t>http://public.eblib.com/choice/PublicFullRecord.aspx?p=3331251</t>
  </si>
  <si>
    <t>National Survival in Dependent Societies : Social Change in Canada and Poland</t>
  </si>
  <si>
    <t>Breton, R.; Breton,</t>
  </si>
  <si>
    <t>HN110.Q4 -- N37 1990eb</t>
  </si>
  <si>
    <t>306/.09714</t>
  </si>
  <si>
    <t>Electronic books. -- local; Nationalism -- Poland.; Nationalism -- Québec (Province); Poland -- Politics and government -- 20th century.; Poland -- Social conditions -- 1945-; Québec (Province) -- Politics and government -- 1960-; Québec (Province) -- Social conditions.</t>
  </si>
  <si>
    <t>http://public.eblib.com/choice/PublicFullRecord.aspx?p=3331252</t>
  </si>
  <si>
    <t>Communitarian Third Way : Alexandre Marc's Ordre Nouveau 1930-2000</t>
  </si>
  <si>
    <t>Hellman, J.</t>
  </si>
  <si>
    <t>HM758 -- .H45 2002eb</t>
  </si>
  <si>
    <t>320.52/0944/0904</t>
  </si>
  <si>
    <t>Communitarianism -- Europe -- History -- 20th century.; Conservatism -- Europe -- History -- 20th century.; Conservatism -- France -- History -- 20th century.; France -- Politics and government -- 1914-1940.; Marc, Alexandre.; Personalism.; Youth movements -- France -- History -- 20th century.</t>
  </si>
  <si>
    <t>http://public.eblib.com/choice/PublicFullRecord.aspx?p=3331253</t>
  </si>
  <si>
    <t>Three Pillars of Public Management : Secrets of Sustained Success</t>
  </si>
  <si>
    <t>Ingstrup, Ole; Crookall, Paul</t>
  </si>
  <si>
    <t>Electronic books. -- local; Political science.; Public administration.</t>
  </si>
  <si>
    <t>http://public.eblib.com/choice/PublicFullRecord.aspx?p=3331255</t>
  </si>
  <si>
    <t>Citizenship, Diversity, and Pluralism : Canadian and Comparative Perspectives</t>
  </si>
  <si>
    <t>Cairns, Alan C.; Courtney, John C.</t>
  </si>
  <si>
    <t>JF801</t>
  </si>
  <si>
    <t>Citizenship -- Canada -- Congresses.; Citizenship -- Congresses.; Cultural pluralism -- Congresses.; Electronic books. -- local; Multiculturalism -- Canada -- Congresses.</t>
  </si>
  <si>
    <t>http://public.eblib.com/choice/PublicFullRecord.aspx?p=3331256</t>
  </si>
  <si>
    <t>Nations are Built of Babies : Saving Ontario's Mothers and Children, 1900-1940</t>
  </si>
  <si>
    <t>Comacchio, Cynthia R.</t>
  </si>
  <si>
    <t>R463.O6 C65 1993</t>
  </si>
  <si>
    <t>Electronic books. -- local; Infants -- Health and hygiene -- Ontario -- History.; Infants -- Mortality -- Ontario -- History.; Maternal health services -- Ontario -- History.; Preventive health services for children -- Ontario -- History.</t>
  </si>
  <si>
    <t>http://public.eblib.com/choice/PublicFullRecord.aspx?p=3331257</t>
  </si>
  <si>
    <t>Continentalizing Canadian Telecommunications : The Politics of Regulatory Reform</t>
  </si>
  <si>
    <t>Rideout, Vanda</t>
  </si>
  <si>
    <t>Electronic books. -- local; Telecommunication -- Canada.; Telecommunication policy -- Canada.</t>
  </si>
  <si>
    <t>http://public.eblib.com/choice/PublicFullRecord.aspx?p=3331258</t>
  </si>
  <si>
    <t>Reigns of Terror</t>
  </si>
  <si>
    <t>JC571</t>
  </si>
  <si>
    <t>Crimes against humanity.; Electronic books. -- local; Genocide -- History -- 20th century.; Genocide -- Sociological aspects.; Political atrocities -- History -- 20th century.</t>
  </si>
  <si>
    <t>http://public.eblib.com/choice/PublicFullRecord.aspx?p=3331259</t>
  </si>
  <si>
    <t>Bridge Built Halfway : A History of Memorial University College, 1925-1950</t>
  </si>
  <si>
    <t>LE3.N45</t>
  </si>
  <si>
    <t>Electronic books. -- local; Memorial University of Newfoundland -- History.; Universities and colleges -- Canada.</t>
  </si>
  <si>
    <t>http://public.eblib.com/choice/PublicFullRecord.aspx?p=3331260</t>
  </si>
  <si>
    <t>Sensitive Independence : Canadian Methodist Women Missionaries in Canada and the Orient, 1881-1925</t>
  </si>
  <si>
    <t>Gagan, Rosemary R.</t>
  </si>
  <si>
    <t>BV2418</t>
  </si>
  <si>
    <t>Electronic books. -- local; Methodist Church (Canada) -- Missions -- History.; Women missionaries -- Canada -- History.; Women missionaries -- China -- History.; Women missionaries -- Japan -- History.</t>
  </si>
  <si>
    <t>http://public.eblib.com/choice/PublicFullRecord.aspx?p=3331261</t>
  </si>
  <si>
    <t>In Business for Ourselves : Northern Entrepreneurs</t>
  </si>
  <si>
    <t>Wuttunee, Wanda A.</t>
  </si>
  <si>
    <t>HD62.7 -- .W87 1992eb</t>
  </si>
  <si>
    <t>Electronic books. -- local; Industrial management -- Canada, Northern.; Small business -- Canada, Northern -- Management -- Case studies.</t>
  </si>
  <si>
    <t>http://public.eblib.com/choice/PublicFullRecord.aspx?p=3331262</t>
  </si>
  <si>
    <t>Family Life and Sociability in Upper and Lower Canada, 1780-1870 : A View from Diaries and Family Correspondence</t>
  </si>
  <si>
    <t>Noël, Françoise</t>
  </si>
  <si>
    <t>Families -- Ontario -- History -- Sources.; Families -- Québec (Province) -- History -- Sources.; Famille -- Ontario -- Histoire -- 19e siècle.; Famille -- Québec (Province) -- Histoire -- 19e siècle.; Ontario -- Moeurs et coutumes -- 19e siècle.; Ontario -- Social life and customs -- Sources.; Québec (Province) -- Social life and customs -- Sources.</t>
  </si>
  <si>
    <t>http://public.eblib.com/choice/PublicFullRecord.aspx?p=3331263</t>
  </si>
  <si>
    <t>Making of Canadian Food Aid Policy</t>
  </si>
  <si>
    <t>Charlton, Mark W.</t>
  </si>
  <si>
    <t>HV696.F6 -- C43 1992eb</t>
  </si>
  <si>
    <t>363.8/83/097124</t>
  </si>
  <si>
    <t>Economic assistance, Canadian -- Developing countries.; Electronic books. -- local; Food relief, Canadian -- Developing countries.</t>
  </si>
  <si>
    <t>http://public.eblib.com/choice/PublicFullRecord.aspx?p=3331264</t>
  </si>
  <si>
    <t>Courtship, Love, and Marriage in Nineteenth-Century English Canada</t>
  </si>
  <si>
    <t>Ward, Peter</t>
  </si>
  <si>
    <t>GT2713</t>
  </si>
  <si>
    <t>Courtship -- Canada -- History -- 19th century.; Electronic books. -- local; Marriage -- Canada -- History -- 19th century.</t>
  </si>
  <si>
    <t>http://public.eblib.com/choice/PublicFullRecord.aspx?p=3331265</t>
  </si>
  <si>
    <t>Canada and Immigration : Public Policy and Public Concern</t>
  </si>
  <si>
    <t>Hawkins, F.</t>
  </si>
  <si>
    <t>JV7234 1988.H38 1988eb</t>
  </si>
  <si>
    <t>Canada -- Emigration and immigration -- Government policy.; Electronic books. -- local; Population geography -- Canada.</t>
  </si>
  <si>
    <t>http://public.eblib.com/choice/PublicFullRecord.aspx?p=3331266</t>
  </si>
  <si>
    <t>Alexander Kennedy Isbister : A Respectable Critic of the Honourable Company</t>
  </si>
  <si>
    <t>Cooper, Barry</t>
  </si>
  <si>
    <t>F1060.8 -- .C66 1988eb</t>
  </si>
  <si>
    <t>Educators -- Great Britain -- Biography.; Electronic books. -- local; Hudson''s Bay Company -- Biography.; Isbister, Alexander Kennedy, -- 1822-1883.</t>
  </si>
  <si>
    <t>http://public.eblib.com/choice/PublicFullRecord.aspx?p=3331267</t>
  </si>
  <si>
    <t>Canada's Department of External Affairs, Volume 2 : Coming of Age, 1946-1968</t>
  </si>
  <si>
    <t>Hilliker, John; Barry, Donald</t>
  </si>
  <si>
    <t>JL103.H6</t>
  </si>
  <si>
    <t>Canada -- Foreign relations administration -- History.; Canada. -- Dept. of External Affairs -- History.; Diplomacy.; Electronic books. -- local</t>
  </si>
  <si>
    <t>http://public.eblib.com/choice/PublicFullRecord.aspx?p=3331268</t>
  </si>
  <si>
    <t>Eighteenth-Century Naturalists of Hudson Bay</t>
  </si>
  <si>
    <t>Houston, Stuart; Ball, Tim; Houston, Mary</t>
  </si>
  <si>
    <t>Science: General; Science; Science: Biology/Natural History</t>
  </si>
  <si>
    <t>QH26</t>
  </si>
  <si>
    <t>Electronic books. -- local; Hudson''s Bay Company -- Biography.; Naturalists -- Great Britain -- Biography.; Naturalists -- Hudson Bay Region -- Biography.</t>
  </si>
  <si>
    <t>http://public.eblib.com/choice/PublicFullRecord.aspx?p=3331269</t>
  </si>
  <si>
    <t>Distributed Algorithms on Graphs</t>
  </si>
  <si>
    <t>Gafni, Eli; Santoro, Nicola</t>
  </si>
  <si>
    <t>Computer Science/IT</t>
  </si>
  <si>
    <t>QA76.9.D5 -- I67 1986eb</t>
  </si>
  <si>
    <t>004/.36</t>
  </si>
  <si>
    <t>Algorithms.; Electronic books. -- local; Electronic data processing -- Distributed processing -- Congresses.</t>
  </si>
  <si>
    <t>http://public.eblib.com/choice/PublicFullRecord.aspx?p=3331270</t>
  </si>
  <si>
    <t>King Edward II : Edward of Caernarfon, His Life, His Reign, and Its Aftermath, 1284-1330</t>
  </si>
  <si>
    <t>Haines, R.M.</t>
  </si>
  <si>
    <t>DA230 -- .H35 2003eb</t>
  </si>
  <si>
    <t>942.03/6/092; B</t>
  </si>
  <si>
    <t>Edward -- II, -- King of England, -- 1284-1327.; Great Britain -- History -- Edward II, 1307-1327.; Great Britain -- History -- Edward III, 1327-1377.; Great Britain -- Kings and rulers -- Biography.</t>
  </si>
  <si>
    <t>http://public.eblib.com/choice/PublicFullRecord.aspx?p=3331271</t>
  </si>
  <si>
    <t>Johan Schrxder's Travels in Canada, 1863</t>
  </si>
  <si>
    <t>Overland, O; Overland, O.</t>
  </si>
  <si>
    <t>F1013 -- .S34 1989eb</t>
  </si>
  <si>
    <t>http://public.eblib.com/choice/PublicFullRecord.aspx?p=3331272</t>
  </si>
  <si>
    <t>Backwoods of Canada</t>
  </si>
  <si>
    <t>Traill, Catharine Parr; Peterman, Michael A.; Peterman, Michael A</t>
  </si>
  <si>
    <t>F1057 -- .T73 1997eb</t>
  </si>
  <si>
    <t>917.1304/2</t>
  </si>
  <si>
    <t>Electronic books. -- local; Frontier and pioneer life -- Ontario.; Ontario -- Description and travel.; Ontario -- Social life and customs.; Traill, Catherine Parr Strickland, -- 1802-1899 -- Correspondence.</t>
  </si>
  <si>
    <t>http://public.eblib.com/choice/PublicFullRecord.aspx?p=3331273</t>
  </si>
  <si>
    <t>Giving Canada a Literary History : A Memoir by Carl F. Klinck</t>
  </si>
  <si>
    <t>Djwa, Sandra</t>
  </si>
  <si>
    <t>PR9199.3.K5 -- Z467 1991eb</t>
  </si>
  <si>
    <t>C810.9/00092</t>
  </si>
  <si>
    <t>Electronic books. -- local; Klinck, Carl Frederick, -- 1908-; Literary historians -- Canada -- Biography.</t>
  </si>
  <si>
    <t>http://public.eblib.com/choice/PublicFullRecord.aspx?p=3331274</t>
  </si>
  <si>
    <t>Potters' View of Canada : Canadian Scenes on Nineteenth-Century Earthenware</t>
  </si>
  <si>
    <t>Collard, Elizabeth</t>
  </si>
  <si>
    <t>NK4085 -- .C57 1983eb</t>
  </si>
  <si>
    <t>738.3/7</t>
  </si>
  <si>
    <t>Canada -- In art.; Electronic books. -- local; National Museum of Man (Canada); Pottery, British.</t>
  </si>
  <si>
    <t>http://public.eblib.com/choice/PublicFullRecord.aspx?p=3331275</t>
  </si>
  <si>
    <t>Nietzsche and the Rhetoric of Nihilism : Essays on Interpretation, Language and Politics</t>
  </si>
  <si>
    <t>Darby, Tom; Egyed, Bela; Jones, Ben</t>
  </si>
  <si>
    <t>B3318.N5</t>
  </si>
  <si>
    <t>Electronic books. -- local; Nietzsche, Friedrich Wilhelm, -- 1844-1900.; Nihilism (Philosophy)</t>
  </si>
  <si>
    <t>http://public.eblib.com/choice/PublicFullRecord.aspx?p=3331276</t>
  </si>
  <si>
    <t>Peeking through the Keyhole : The Evolution of North American Homes</t>
  </si>
  <si>
    <t>Friedman, Avi; Krawitz, David</t>
  </si>
  <si>
    <t>NA7203</t>
  </si>
  <si>
    <t>Architecture and society -- North America -- History -- 20th century.; Architecture, Domestic -- Social aspects -- North America.</t>
  </si>
  <si>
    <t>http://public.eblib.com/choice/PublicFullRecord.aspx?p=3331277</t>
  </si>
  <si>
    <t>Canadian Health Care and the State : A Century of Evolution</t>
  </si>
  <si>
    <t>Electronic books. -- local; Health insurance -- Canada -- History.; Medical care -- Canada -- History -- 20th century.; Medical policy -- Canada -- History -- 20th century.</t>
  </si>
  <si>
    <t>http://public.eblib.com/choice/PublicFullRecord.aspx?p=3331278</t>
  </si>
  <si>
    <t>Coldest Harbour in the Land : Simon Stock and Lord Baltimore's Colony in Newfoundland, 1621-1649</t>
  </si>
  <si>
    <t>Codignola, Luca; Weston, A.</t>
  </si>
  <si>
    <t>Baltimore, George Calvert, -- Baron, -- 1580?-1632.; Catholics -- Newfoundland and Labrador -- History -- 17th century.; Doughty, Thomas, -- fl. 1618-1638 -- Correspondence.; Electronic books. -- local; Newfoundland and Labrador -- Discovery and exploration.; Newfoundland and Labrador -- History.</t>
  </si>
  <si>
    <t>http://public.eblib.com/choice/PublicFullRecord.aspx?p=3331279</t>
  </si>
  <si>
    <t>Old Age Pensions and Policy-Making in Canada</t>
  </si>
  <si>
    <t>Bryden, K.</t>
  </si>
  <si>
    <t>HD7106.C2 -- B78 1974eb</t>
  </si>
  <si>
    <t>Electronic books. -- local; Old age pensions -- Canada -- History.; Pensions -- Canada -- History.</t>
  </si>
  <si>
    <t>http://public.eblib.com/choice/PublicFullRecord.aspx?p=3331280</t>
  </si>
  <si>
    <t>From Wooden Ploughs To Welfare : Why Indian Policy Failed in the Prairie Provinces</t>
  </si>
  <si>
    <t>Buckley, Helen</t>
  </si>
  <si>
    <t>E78.P7 -- B83 1993eb</t>
  </si>
  <si>
    <t>Electronic books. -- local; Indians of North America -- Canada -- Government relations.; Indians of North America -- Prairie Provinces -- Economic conditions.; Indians of North America -- Prairie Provinces.</t>
  </si>
  <si>
    <t>http://public.eblib.com/choice/PublicFullRecord.aspx?p=3331281</t>
  </si>
  <si>
    <t>Origin and Evolution of the Universe : Evidence for Design?</t>
  </si>
  <si>
    <t>Robson, John</t>
  </si>
  <si>
    <t>Science: Astronomy; Science</t>
  </si>
  <si>
    <t>QB981 -- .O68 1987eb</t>
  </si>
  <si>
    <t>Cosmogony.; Cosmology.; Electronic books. -- local; Life -- Origin.; Teleology.</t>
  </si>
  <si>
    <t>http://public.eblib.com/choice/PublicFullRecord.aspx?p=3331282</t>
  </si>
  <si>
    <t>Malaysian Development : A Retrospective</t>
  </si>
  <si>
    <t>Rudner, Martin</t>
  </si>
  <si>
    <t>HC445.5</t>
  </si>
  <si>
    <t>Economic history.; Electronic books. -- local; Malaysia -- Economic conditions.; Malaysia -- Economic policy.</t>
  </si>
  <si>
    <t>http://public.eblib.com/choice/PublicFullRecord.aspx?p=3331283</t>
  </si>
  <si>
    <t>Kit's Kingdom : The Journalism of Kathleen Blake Coleman</t>
  </si>
  <si>
    <t>Freeman, Barbara M.</t>
  </si>
  <si>
    <t>PN4913.C6</t>
  </si>
  <si>
    <t>Coleman, Kit, -- 1864-1915.; Electronic books. -- local; Journalists -- Canada -- Biography.</t>
  </si>
  <si>
    <t>http://public.eblib.com/choice/PublicFullRecord.aspx?p=3331284</t>
  </si>
  <si>
    <t>Interests of State : The Politics of Language, Multiculturalism, and Feminism in Canada</t>
  </si>
  <si>
    <t>JL103.S7</t>
  </si>
  <si>
    <t>Canada. -- Dept. of the Secretary of State.; Citizenship -- Canada.; Electronic books. -- local; Feminism -- Canada.; Language policy -- Canada.; Multiculturalism -- Canada.</t>
  </si>
  <si>
    <t>http://public.eblib.com/choice/PublicFullRecord.aspx?p=3331285</t>
  </si>
  <si>
    <t>Roughing it in the Bush or Life in Canada : Or Life in Canada</t>
  </si>
  <si>
    <t>Moodie, Susanna; Ballstadt, Carl</t>
  </si>
  <si>
    <t>F1057</t>
  </si>
  <si>
    <t>Electronic books. -- local; Frontier and pioneer life -- Ontario.; Moodie, Susanna, -- 1803-1885.; Ontario -- Description and travel.; Pioneers -- Ontario -- Biography.; Women pioneers -- Ontario -- Biography.</t>
  </si>
  <si>
    <t>http://public.eblib.com/choice/PublicFullRecord.aspx?p=3331286</t>
  </si>
  <si>
    <t>From Personal Duties Towards Personal Rights : Late Medieval and Early Modern Political Thought, 1300-1600</t>
  </si>
  <si>
    <t>Monahan, Arthur P.</t>
  </si>
  <si>
    <t>JA82</t>
  </si>
  <si>
    <t>Electronic books. -- local; Political science -- History.; Social sciences -- History.</t>
  </si>
  <si>
    <t>http://public.eblib.com/choice/PublicFullRecord.aspx?p=3331287</t>
  </si>
  <si>
    <t>Prairie en Nouvelle-France, 1647-1760 : Étude d'histoire sociale</t>
  </si>
  <si>
    <t>Lavallée, Louis</t>
  </si>
  <si>
    <t>F1054.L26</t>
  </si>
  <si>
    <t>Canada -- Social conditions -- To 1763.; Electronic books. -- local; La Prairie Region (Québec) -- History.; Montréal (Québec) -- History.; Prairie-de-la-Madeleine (Québec : Seigniory) -- History.</t>
  </si>
  <si>
    <t>http://public.eblib.com/choice/PublicFullRecord.aspx?p=3331288</t>
  </si>
  <si>
    <t>Urban Affairs : Is It Back on the Policy Agenda?</t>
  </si>
  <si>
    <t>Andrew, Caroline</t>
  </si>
  <si>
    <t>HT127 -- .U62 2002eb</t>
  </si>
  <si>
    <t>City planning -- Canada.; Electronic books. -- local; Urban policy -- Canada.</t>
  </si>
  <si>
    <t>http://public.eblib.com/choice/PublicFullRecord.aspx?p=3331289</t>
  </si>
  <si>
    <t>Children of Aataentsic : A History of the Huron People to 1660</t>
  </si>
  <si>
    <t>Trigger, Bruce G.</t>
  </si>
  <si>
    <t>Electronic books. -- local; Indians of North America -- Ontario -- History.; Wyandot Indians -- History.</t>
  </si>
  <si>
    <t>http://public.eblib.com/choice/PublicFullRecord.aspx?p=3331290</t>
  </si>
  <si>
    <t>Ethico-Religious Concepts in the Qur'an</t>
  </si>
  <si>
    <t>Izutsu, Toshihiko</t>
  </si>
  <si>
    <t>BP134.E8</t>
  </si>
  <si>
    <t>Koran -- Ethics.</t>
  </si>
  <si>
    <t>http://public.eblib.com/choice/PublicFullRecord.aspx?p=3331291</t>
  </si>
  <si>
    <t>Making of the English Literary Canon : From the Middle Ages to the Late Eighteenth Century</t>
  </si>
  <si>
    <t>Ross, Trevor</t>
  </si>
  <si>
    <t>PR63</t>
  </si>
  <si>
    <t>Canon (Literature) -- History and criticism.; Criticism -- Great Britain -- History.; Electronic books. -- local; English literature -- History and criticism.</t>
  </si>
  <si>
    <t>http://public.eblib.com/choice/PublicFullRecord.aspx?p=3331292</t>
  </si>
  <si>
    <t>In His Name : The Anglican Experience in Upper Canada, 1791-1854</t>
  </si>
  <si>
    <t>Fahey, Curtis</t>
  </si>
  <si>
    <t>BX5611.O6 -- F34 1991eb</t>
  </si>
  <si>
    <t>283/.713/09</t>
  </si>
  <si>
    <t>Anglican Church of Canada -- Ontario -- History -- 19th century.; Anglican Communion -- Ontario -- History -- 19th century.; Electronic books. -- local; Ontario -- Church history -- 19th century.</t>
  </si>
  <si>
    <t>http://public.eblib.com/choice/PublicFullRecord.aspx?p=3331293</t>
  </si>
  <si>
    <t>Joseph de Maistre's Life, Thought, and Influence : Selected Studies</t>
  </si>
  <si>
    <t>Lebrun, Richard A.</t>
  </si>
  <si>
    <t>B2331.M274</t>
  </si>
  <si>
    <t>Maistre, Joseph Marie, -- comte de, -- 1753-1821.</t>
  </si>
  <si>
    <t>http://public.eblib.com/choice/PublicFullRecord.aspx?p=3331294</t>
  </si>
  <si>
    <t>Ferranti-Packard : Pioneers in Canadian Electrical Manufacturing</t>
  </si>
  <si>
    <t>Ball, Norman R.; Vardalas, John N.</t>
  </si>
  <si>
    <t>HD9697.C334 -- F47 1994eb</t>
  </si>
  <si>
    <t>338.7/62131/0420971</t>
  </si>
  <si>
    <t>Electric machinery industry -- Canada -- History.; Electronic books. -- local; Electronic industries -- Canada -- History.; Ferranti-Packard Transformers -- History.</t>
  </si>
  <si>
    <t>http://public.eblib.com/choice/PublicFullRecord.aspx?p=3331295</t>
  </si>
  <si>
    <t>Milton Acorn : In Love and Anger</t>
  </si>
  <si>
    <t>Lemm, Richard</t>
  </si>
  <si>
    <t>PR9199.3.A36 -- Z75 1999eb</t>
  </si>
  <si>
    <t>Acorn, Milton.; Canadian literature.; Electronic books. -- local</t>
  </si>
  <si>
    <t>http://public.eblib.com/choice/PublicFullRecord.aspx?p=3331296</t>
  </si>
  <si>
    <t>Stages and Playgoers : Open Address from Guild Plays to Shakespeare</t>
  </si>
  <si>
    <t>Hill J.</t>
  </si>
  <si>
    <t>PR658.A88 -- H55 2002eb</t>
  </si>
  <si>
    <t>822/.045/09031</t>
  </si>
  <si>
    <t>English drama -- 17th century -- History and criticism.; English drama -- Early modern and Elizabethan, 1500-1600 -- History and criticism.; Mysteries and miracle-plays, English -- History and criticism.; Shakespeare, William, -- 1564-1616 -- Stage history -- To 1625.; Shakespeare, William, -- 1564-1616 -- Technique.; Theater audiences -- England -- History -- 16th century.; Theater audiences -- England -- History -- 17th century.</t>
  </si>
  <si>
    <t>http://public.eblib.com/choice/PublicFullRecord.aspx?p=3331297</t>
  </si>
  <si>
    <t>Mystic Leeway</t>
  </si>
  <si>
    <t>Gregg, Frances; Wilkinson, Oliver Marlow</t>
  </si>
  <si>
    <t>PR6013.R417</t>
  </si>
  <si>
    <t>Electronic books. -- local; Gregg, Frances, -- 1885-1941.; H. D. -- (Hilda Doolittle), -- 1886-1961 -- Friends and associates.; Mysticism.</t>
  </si>
  <si>
    <t>http://public.eblib.com/choice/PublicFullRecord.aspx?p=3331298</t>
  </si>
  <si>
    <t>Surface Climates of Canada</t>
  </si>
  <si>
    <t>Bailey, W.G.; Oke, Timothy R.; Rouse, Wayne</t>
  </si>
  <si>
    <t>Science; Science: Physics; Science: Geology</t>
  </si>
  <si>
    <t>QC985</t>
  </si>
  <si>
    <t>Canada -- Climate.; Climatic geomorphology -- Canada.; Electronic books. -- local</t>
  </si>
  <si>
    <t>http://public.eblib.com/choice/PublicFullRecord.aspx?p=3331299</t>
  </si>
  <si>
    <t>Irish Catholics and Irish Protestants, 1815-1922 : An International Perspective</t>
  </si>
  <si>
    <t>Akenson D.H.</t>
  </si>
  <si>
    <t>DA959 -- .A54 1991eb</t>
  </si>
  <si>
    <t>Catholics -- Ireland -- Social conditions.; Electronic books. -- local; Ireland -- Social conditions.; National characteristics, Irish.; Protestants -- Ireland -- Social conditions.</t>
  </si>
  <si>
    <t>http://public.eblib.com/choice/PublicFullRecord.aspx?p=3331300</t>
  </si>
  <si>
    <t>Psychological Activity in Homer : A Study of Phren</t>
  </si>
  <si>
    <t>PA4037</t>
  </si>
  <si>
    <t>Electronic books. -- local; Homer -- Criticism and interpretation.; Phrēn (The Greek word); Psychology in literature.</t>
  </si>
  <si>
    <t>http://public.eblib.com/choice/PublicFullRecord.aspx?p=3331301</t>
  </si>
  <si>
    <t>Niagara's Changing Landscapes</t>
  </si>
  <si>
    <t>Gayler, Hugh J.</t>
  </si>
  <si>
    <t>F1059.N5</t>
  </si>
  <si>
    <t>Electronic books. -- local; Niagara Peninsula (Ont.) -- Geography.; Niagara Peninsula (Ont.) -- History.</t>
  </si>
  <si>
    <t>http://public.eblib.com/choice/PublicFullRecord.aspx?p=3331302</t>
  </si>
  <si>
    <t>Syntactic Recoverability of Null Arguments</t>
  </si>
  <si>
    <t>Roberge, Yves</t>
  </si>
  <si>
    <t>PC2131R63 1990</t>
  </si>
  <si>
    <t>Electronic books. -- local; Romance languages -- Clitics.; Romance languages -- Grammar, Generative.; Romance languages -- Syntax.</t>
  </si>
  <si>
    <t>http://public.eblib.com/choice/PublicFullRecord.aspx?p=3331303</t>
  </si>
  <si>
    <t>Joseph Howe : Conservative Reformer, 1804-1848</t>
  </si>
  <si>
    <t>http://public.eblib.com/choice/PublicFullRecord.aspx?p=3331304</t>
  </si>
  <si>
    <t>Values in Conflict : The University, the Marketplace, and the Trials of Liberal Education</t>
  </si>
  <si>
    <t>Education, Higher -- Aims and objectives -- Canada.; Education, Higher -- Economic aspects -- Canada.; Education, Humanistic -- Canada.; Electronic books. -- local</t>
  </si>
  <si>
    <t>http://public.eblib.com/choice/PublicFullRecord.aspx?p=3331305</t>
  </si>
  <si>
    <t>From Barrow to Boothia : The Arctic Journal of Chief Factor Peter Warren Dease, 1836-1839</t>
  </si>
  <si>
    <t>Barr, William</t>
  </si>
  <si>
    <t>Cartographers -- Arctic Coast (Canada) -- Diaries.; Cartography -- Arctic Coast (Canada) -- History -- 19th century.; Dease, Peter Warren -- Diaries.; Dease, Peter Warren -- Travel -- Arctic Coast (Canada); Explorers -- Arctic Coast (Canada) -- Diaries.; Hudson''s Bay Company -- Biography.; Simpson, Thomas, -- 1808-1840 -- Travel -- Arctic Coast (Canada)</t>
  </si>
  <si>
    <t>http://public.eblib.com/choice/PublicFullRecord.aspx?p=3331306</t>
  </si>
  <si>
    <t>Burning Bush and A Few Acres of Snow : The Presbyterian Contribution to Canadian Life and Culture</t>
  </si>
  <si>
    <t>Klempa, William</t>
  </si>
  <si>
    <t>BX9001 -- .B87 1994eb</t>
  </si>
  <si>
    <t>Canada -- Intellectual life.; Electronic books. -- local; Presbyterian Church -- Canada -- History.</t>
  </si>
  <si>
    <t>http://public.eblib.com/choice/PublicFullRecord.aspx?p=3331307</t>
  </si>
  <si>
    <t>By Loving our Own : George Grant and the Legacy of Lament For a Nation</t>
  </si>
  <si>
    <t>Emberley, Peter C.</t>
  </si>
  <si>
    <t>History; Philosophy</t>
  </si>
  <si>
    <t>Electronic books. -- local; Grant, George Parkin, -- 1918-1988.; Nationalism -- Canada.; Political science -- Philosophy.; Technology -- Social aspects.</t>
  </si>
  <si>
    <t>http://public.eblib.com/choice/PublicFullRecord.aspx?p=3331308</t>
  </si>
  <si>
    <t>Poet and the Critic : A Literary Correspondence Between D.C. Scott and E.K. Brown</t>
  </si>
  <si>
    <t>McDougall, Robert L.</t>
  </si>
  <si>
    <t>PR6037.C9</t>
  </si>
  <si>
    <t>Brown, E. K. -- (Edward Killoran), -- 1905-1951 -- Correspondence.; Critics -- Canada -- Correspondence.; Electronic books. -- local; Poets, Canadian -- 20th century -- Correspondence.; Scott, Duncan Campbell, -- 1862-1947 -- Correspondence.</t>
  </si>
  <si>
    <t>http://public.eblib.com/choice/PublicFullRecord.aspx?p=3331309</t>
  </si>
  <si>
    <t>St Mary's : The History of a London Teaching Hospital</t>
  </si>
  <si>
    <t>Heaman, E.A.</t>
  </si>
  <si>
    <t>RA988.L8</t>
  </si>
  <si>
    <t>Electronic books. -- local; St. Mary''s Hospital (London, England) -- History.; Teaching hospitals -- England -- London -- History.</t>
  </si>
  <si>
    <t>http://public.eblib.com/choice/PublicFullRecord.aspx?p=3331310</t>
  </si>
  <si>
    <t>People of Glengarry : Highlanders in Transition, 1745-1820</t>
  </si>
  <si>
    <t>McLean, Marianne</t>
  </si>
  <si>
    <t>JV7285.S3</t>
  </si>
  <si>
    <t>Electronic books. -- local; Glengarry (Ont.) -- Emigration and immigration -- History.; Highlands (Scotland) -- Emigration and immigration -- History.; Highlands (Scotland) -- History.; Immigrants -- Ontario -- Glengarry -- History.; Scots -- Ontario -- Glengarry -- History.</t>
  </si>
  <si>
    <t>http://public.eblib.com/choice/PublicFullRecord.aspx?p=3331311</t>
  </si>
  <si>
    <t>Career Paths of Nursing Professionals : A Study of Employment Mobility</t>
  </si>
  <si>
    <t>Hiscott, Robert D.</t>
  </si>
  <si>
    <t>RT6.O5 -- H57 1998eb</t>
  </si>
  <si>
    <t>Electronic books. -- local; Nurses -- Employment -- Ontario.; Occupational mobility -- Ontario.</t>
  </si>
  <si>
    <t>http://public.eblib.com/choice/PublicFullRecord.aspx?p=3331312</t>
  </si>
  <si>
    <t>Ellen Smallboy : Glimpses of a Cree Woman's Life</t>
  </si>
  <si>
    <t>Flannery, Regina</t>
  </si>
  <si>
    <t>Cree Indians -- James Bay Region -- History.; Cree Indians -- James Bay Region -- Social life and customs.; Cree women -- James Bay Region -- Biography.; Electronic books. -- local; Smallboy, Ellen, -- 1853-1941.</t>
  </si>
  <si>
    <t>http://public.eblib.com/choice/PublicFullRecord.aspx?p=3331313</t>
  </si>
  <si>
    <t>Women and Well-Being / Les Femmes et le Mieux-Être</t>
  </si>
  <si>
    <t>Dhruvarajan, V.</t>
  </si>
  <si>
    <t>HQ1453 -- .W59 1990eb</t>
  </si>
  <si>
    <t>Electronic books. -- local; Women -- Canada -- Social conditions -- Congresses.; Women -- Health and hygiene -- Canada.</t>
  </si>
  <si>
    <t>http://public.eblib.com/choice/PublicFullRecord.aspx?p=3331314</t>
  </si>
  <si>
    <t>Planets, Potions, and Parchments : Scientifica Hebraica from the Dead Sea Scrolls to the Eighteenth Century</t>
  </si>
  <si>
    <t>Levy, Barry</t>
  </si>
  <si>
    <t>Q105.C32</t>
  </si>
  <si>
    <t>Electronic books. -- local; Hebrew imprints -- Exhibitions.; Jewish illumination of books and manuscripts -- Exhibitions.; Jewish scientists -- Early works to 1800 -- Bibliography -- Exhibitions.; Jews -- Medicine -- Early works to 1800 -- Bibliography -- Exhibitions.; Manuscripts, Hebrew -- Exhibitions.; Science -- Early works to 1800 -- Bibliography -- Exhibitions.</t>
  </si>
  <si>
    <t>http://public.eblib.com/choice/PublicFullRecord.aspx?p=3331315</t>
  </si>
  <si>
    <t>Charter vs. Federalism : The Dilemmas of Constitutional Reform</t>
  </si>
  <si>
    <t>Cairns, A.</t>
  </si>
  <si>
    <t>JL31 -- .C35 1992eb</t>
  </si>
  <si>
    <t>Civil rights -- Canada.; Constitutional amendments -- Canada.; Electronic books. -- local</t>
  </si>
  <si>
    <t>http://public.eblib.com/choice/PublicFullRecord.aspx?p=3331316</t>
  </si>
  <si>
    <t>Ignorance Explosion : Understanding Industrial Civilization</t>
  </si>
  <si>
    <t>Lukasiewicz, Julius</t>
  </si>
  <si>
    <t>Civilization, Modern -- 20th century.; Electronic books. -- local; Technology -- Social aspects.</t>
  </si>
  <si>
    <t>http://public.eblib.com/choice/PublicFullRecord.aspx?p=3331317</t>
  </si>
  <si>
    <t>Captive of the Castle of Sennaar : An African Tale</t>
  </si>
  <si>
    <t>Cumberland, George A.; Bentley, Jr; Bentley, Professor of English G E , Jr</t>
  </si>
  <si>
    <t>PR4519.C85 -- C3 1991eb</t>
  </si>
  <si>
    <t>Electronic books. -- local; English literature.; Folklore -- Africa.</t>
  </si>
  <si>
    <t>http://public.eblib.com/choice/PublicFullRecord.aspx?p=3331318</t>
  </si>
  <si>
    <t>Drama and Intelligence : A Cognitive Theory</t>
  </si>
  <si>
    <t>Courtney, Richard</t>
  </si>
  <si>
    <t>PN2039 -- .C68 1990eb</t>
  </si>
  <si>
    <t>792/.02</t>
  </si>
  <si>
    <t>Drama in education.; Electronic books. -- local; Intellect.; Theater -- Philosophy.; Theater -- Psychological aspects.</t>
  </si>
  <si>
    <t>http://public.eblib.com/choice/PublicFullRecord.aspx?p=3331319</t>
  </si>
  <si>
    <t>Canada Among Nations, 1993-94 : Global Jeopardy</t>
  </si>
  <si>
    <t>Hampson, Fen Osler; Maule, Christopher J.</t>
  </si>
  <si>
    <t>F1034.2 -- .C278 1993eb</t>
  </si>
  <si>
    <t>http://public.eblib.com/choice/PublicFullRecord.aspx?p=3331320</t>
  </si>
  <si>
    <t>Language of the Skies : The Bilingual Air Traffic Control Conflict in Canada</t>
  </si>
  <si>
    <t>Borins, Sandford F.</t>
  </si>
  <si>
    <t>Engineering: Mechanical; Engineering; Business/Management</t>
  </si>
  <si>
    <t>TL725 .3.T7 B734L</t>
  </si>
  <si>
    <t>Air traffic control, Bilingual -- Political aspects -- Canada.; Air traffic control, Bilingual -- Québec (Province); Canada -- English-French relations.; Electronic books. -- local; Language policy -- Canada.</t>
  </si>
  <si>
    <t>http://public.eblib.com/choice/PublicFullRecord.aspx?p=3331321</t>
  </si>
  <si>
    <t>Champions of the Truth : Fundamentalism, Modernism, and the Maritime Baptists</t>
  </si>
  <si>
    <t>BX6252.M37</t>
  </si>
  <si>
    <t>Baptists -- Maritime Provinces -- History.; Electronic books. -- local; Maritime Provinces -- Church history.; Modernist-fundamentalist controversy.</t>
  </si>
  <si>
    <t>http://public.eblib.com/choice/PublicFullRecord.aspx?p=3331322</t>
  </si>
  <si>
    <t>Most Pernicious Thing : Gun Trading and Native Warfare in the Early Contact Period</t>
  </si>
  <si>
    <t>Given, Brian J.</t>
  </si>
  <si>
    <t>Engineering; History; Engineering: Manufacturing</t>
  </si>
  <si>
    <t>TS534.5 -- .G56 1994eb</t>
  </si>
  <si>
    <t>970.004/97</t>
  </si>
  <si>
    <t>Electronic books. -- local; Firearms industry and trade -- North America.; Indians of North America -- Foreign influences.; Indians of North America -- History -- 17th century.; Indians of North America -- History -- Colonial period, ca. 1600-1775.</t>
  </si>
  <si>
    <t>http://public.eblib.com/choice/PublicFullRecord.aspx?p=3331323</t>
  </si>
  <si>
    <t>English Fact in Quebec</t>
  </si>
  <si>
    <t>Arnopoulos, Sheila McLeod; Clift, Dominique</t>
  </si>
  <si>
    <t>F1055.B7</t>
  </si>
  <si>
    <t>British -- Québec (Province); Canada -- English-French relations.; Electronic books. -- local; Québec (Province) -- Ethnic relations.</t>
  </si>
  <si>
    <t>http://public.eblib.com/choice/PublicFullRecord.aspx?p=3331324</t>
  </si>
  <si>
    <t>Seize the Day : Lester B. Pearson and Crisis Diplomacy</t>
  </si>
  <si>
    <t>Pearson, Geoffrey A.H.</t>
  </si>
  <si>
    <t>F1034.3.P4 -- P43 1993eb</t>
  </si>
  <si>
    <t>Canada -- Foreign relations.; Electronic books. -- local; Pearson, Lester B.; Prime ministers -- Canada -- Biography.</t>
  </si>
  <si>
    <t>http://public.eblib.com/choice/PublicFullRecord.aspx?p=3331325</t>
  </si>
  <si>
    <t>For the Love of the Game : Amateur Sport in Small-Town Ontario, 1838-1895</t>
  </si>
  <si>
    <t>Bouchier, Nancy B.</t>
  </si>
  <si>
    <t>GV585.5.I54</t>
  </si>
  <si>
    <t>Ingersoll (Ont.) -- Social life and customs -- 19th century.; Sports -- Social aspects -- Ontario -- Ingersoll -- History -- 19th century.; Sports -- Social aspects -- Ontario -- Woodstock -- History -- 19th century.; Woodstock (Ont.) -- Social life and customs -- 19th century.</t>
  </si>
  <si>
    <t>http://public.eblib.com/choice/PublicFullRecord.aspx?p=3331326</t>
  </si>
  <si>
    <t>World as Event : The Poetry of Charles Tomlinson</t>
  </si>
  <si>
    <t>John, Brian</t>
  </si>
  <si>
    <t>PR6039.O349</t>
  </si>
  <si>
    <t>Canadian poetry -- History and criticism.; Electronic books. -- local; Tomlinson, Charles, -- 1927- -- Criticism and interpretation.</t>
  </si>
  <si>
    <t>http://public.eblib.com/choice/PublicFullRecord.aspx?p=3331327</t>
  </si>
  <si>
    <t>Charles Clarke, Pen and Ink Warrior</t>
  </si>
  <si>
    <t>Dewar, Kenneth C.</t>
  </si>
  <si>
    <t>Clarke, Charles, -- 1826-1909.; Clarke, Charles, -- 1826-1909.; Clarke, Charles.; Hommes politiques -- Ontario -- Biographies.; Ontario. -- Assemblée législative -- Biographies.; Ontario. -- Legislative Assembly -- Biography.; Politicians -- Ontario -- Biography.</t>
  </si>
  <si>
    <t>http://public.eblib.com/choice/PublicFullRecord.aspx?p=3331329</t>
  </si>
  <si>
    <t>Sociology of Work in Canada : Papers in Honour of Oswald Hall</t>
  </si>
  <si>
    <t>Carleton Library</t>
  </si>
  <si>
    <t>Wipper, Audrey</t>
  </si>
  <si>
    <t>HD6955 -- .S65 1994eb</t>
  </si>
  <si>
    <t>306.3/6</t>
  </si>
  <si>
    <t>Electronic books. -- local; Industrial sociology.; Work ethic -- Canada.</t>
  </si>
  <si>
    <t>http://public.eblib.com/choice/PublicFullRecord.aspx?p=3331330</t>
  </si>
  <si>
    <t>Life through a Lens : Memoirs of a Cinematographer</t>
  </si>
  <si>
    <t>Borradaile, Osmond; Hadley, Anita B.; Hadley, Anita Borrodaile</t>
  </si>
  <si>
    <t>TR849.B67</t>
  </si>
  <si>
    <t>778.530 92</t>
  </si>
  <si>
    <t>Borradaile, Osmond, -- 1898-1999.; Cinematographers -- Canada -- Biography.</t>
  </si>
  <si>
    <t>http://public.eblib.com/choice/PublicFullRecord.aspx?p=3331331</t>
  </si>
  <si>
    <t>Development of the Pacific Salmon-Canning Industry : A Grown Man's Game</t>
  </si>
  <si>
    <t>Newell, Diane</t>
  </si>
  <si>
    <t>HD9469.S23</t>
  </si>
  <si>
    <t>Canned fish industry -- British Columbia -- History.; Electronic books. -- local; Salmon canning industry -- British Columbia -- History.</t>
  </si>
  <si>
    <t>http://public.eblib.com/choice/PublicFullRecord.aspx?p=3331332</t>
  </si>
  <si>
    <t>Getting on Track : Social Democratic Strategies for Ontario</t>
  </si>
  <si>
    <t>HC117.O6</t>
  </si>
  <si>
    <t>Electronic books. -- local; Industrial policy -- Ontario.; Labor market -- Ontario.; Socialism -- Ontario.</t>
  </si>
  <si>
    <t>http://public.eblib.com/choice/PublicFullRecord.aspx?p=3331333</t>
  </si>
  <si>
    <t>In Whose Interest? : Quebec's Caisses Populaires, 1900-1945</t>
  </si>
  <si>
    <t>Rudin, Ronald</t>
  </si>
  <si>
    <t>HG2039.C2</t>
  </si>
  <si>
    <t>Banks and banking, Cooperative -- Québec (Province) -- History.; Credit unions -- Québec (Province) -- History.; Electronic books. -- local</t>
  </si>
  <si>
    <t>http://public.eblib.com/choice/PublicFullRecord.aspx?p=3331334</t>
  </si>
  <si>
    <t>Education in New France</t>
  </si>
  <si>
    <t>Magnuson, Roger</t>
  </si>
  <si>
    <t>LA418.Q4</t>
  </si>
  <si>
    <t>Education -- Québec (Province) -- History -- 17th century.; Education -- Québec (Province) -- History -- 18th century.; Electronic books. -- local; Indians of North America -- Education -- Canada -- History -- 17th century.; Indians of North America -- Missions -- Canada -- History -- 17th century.; New France.</t>
  </si>
  <si>
    <t>http://public.eblib.com/choice/PublicFullRecord.aspx?p=3331335</t>
  </si>
  <si>
    <t>Uqalurait : An Oral History of Nunavut</t>
  </si>
  <si>
    <t>Bennett, John; Rowley, Susan</t>
  </si>
  <si>
    <t>Ethnologie -- Nunavut.; Ethnology -- Nunavut.; Inuit -- Nunavut -- Histoire.; Inuit -- Nunavut -- History.; Inuit -- Nunavut -- Moeurs et coutumes.; Inuit -- Nunavut -- Social life and customs.; Oral history -- Nunavut.</t>
  </si>
  <si>
    <t>http://public.eblib.com/choice/PublicFullRecord.aspx?p=3331336</t>
  </si>
  <si>
    <t>William R. McIntyre : Paladin of Common Law</t>
  </si>
  <si>
    <t>McConnell, W.</t>
  </si>
  <si>
    <t>KE8248.M35</t>
  </si>
  <si>
    <t>Canada. -- Supreme Court -- Biography.; Judges -- Canada -- Biography.; McIntyre, W. R. -- (William Rogers), -- 1918-</t>
  </si>
  <si>
    <t>http://public.eblib.com/choice/PublicFullRecord.aspx?p=3331337</t>
  </si>
  <si>
    <t>Federal-Provincial Collaboration : The Canada-New Brunswick General Development Agreement</t>
  </si>
  <si>
    <t>Savoie, Donald J.</t>
  </si>
  <si>
    <t>HC117.N35</t>
  </si>
  <si>
    <t>Electronic books. -- local; Federal government -- Canada.; New Brunswick -- Economic policy.</t>
  </si>
  <si>
    <t>http://public.eblib.com/choice/PublicFullRecord.aspx?p=3331338</t>
  </si>
  <si>
    <t>Youth, University, and Canadian Society : Essays in the Social History of Higher Education</t>
  </si>
  <si>
    <t>Axelrod, Paul; Reid, John G.</t>
  </si>
  <si>
    <t>LA417</t>
  </si>
  <si>
    <t>Canada -- Intellectual life.; College students -- Social conditions -- Canada.; Education, Higher -- Canada -- History.; Electronic books. -- local; Universities and colleges -- Canada -- Sociological aspects -- History.</t>
  </si>
  <si>
    <t>http://public.eblib.com/choice/PublicFullRecord.aspx?p=3331339</t>
  </si>
  <si>
    <t>St. Ursula's Convent or the Nun of Canada : Or the Nun of Canada</t>
  </si>
  <si>
    <t>Hart, Julia C.B.; Lochhead, Douglas G.</t>
  </si>
  <si>
    <t>PS8403.E23</t>
  </si>
  <si>
    <t>Electronic books. -- local; English fiction.; Nuns -- Fiction.</t>
  </si>
  <si>
    <t>http://public.eblib.com/choice/PublicFullRecord.aspx?p=3331340</t>
  </si>
  <si>
    <t>Island Doctor : John Mackieson and Medicine in Nineteenth-Century Prince Edward Island</t>
  </si>
  <si>
    <t>Shephard, David A. E.</t>
  </si>
  <si>
    <t>R464.M27</t>
  </si>
  <si>
    <t>Mackieson, John, -- 1795-1885.; Mackieson, John, -- 1795-1885.; Médecine rurale -- Île-du-Prince-Édouard -- Histoire -- 19e siècle.; Médecins -- Île-du-Prince-Édouard -- Biographies.; Medicine, Rural -- Prince Edward Island -- History -- 19th century.; Physicians -- Prince Edward Island -- Biography.</t>
  </si>
  <si>
    <t>http://public.eblib.com/choice/PublicFullRecord.aspx?p=3331341</t>
  </si>
  <si>
    <t>American Empire and the Fourth World : The Bowl With One Spoon, Part One</t>
  </si>
  <si>
    <t>Hall, Anthony  J.</t>
  </si>
  <si>
    <t>E93</t>
  </si>
  <si>
    <t>America -- Civilization -- European influences.; Electronic books. -- local; Indians of North America -- Government relations.</t>
  </si>
  <si>
    <t>http://public.eblib.com/choice/PublicFullRecord.aspx?p=3331342</t>
  </si>
  <si>
    <t>Outrageous Seas : Shipwreck and Survival in the Waters off Newfoundland, 1583-1893</t>
  </si>
  <si>
    <t>Baehre, Rainer K.</t>
  </si>
  <si>
    <t>G525 -- .O877 1999eb</t>
  </si>
  <si>
    <t>Electronic books. -- local; Sea stories.; Shipwrecks -- Newfoundland and Labrador -- History.</t>
  </si>
  <si>
    <t>http://public.eblib.com/choice/PublicFullRecord.aspx?p=3331343</t>
  </si>
  <si>
    <t>Pitseolak : Pictures Out of My Life</t>
  </si>
  <si>
    <t>Artistes -- Canada -- Biographies.; Inuit art -- Nunavut -- Baffin Island.; Inuit artists -- Nunavut -- Baffin Island -- Biography.; Inuit dans l''art.; Pitseolak, -- 1904-1983.; Pitseolak.</t>
  </si>
  <si>
    <t>http://public.eblib.com/choice/PublicFullRecord.aspx?p=3331344</t>
  </si>
  <si>
    <t>Getting It Right : Regional Development in Canada</t>
  </si>
  <si>
    <t>McGee, Harley</t>
  </si>
  <si>
    <t>HT395.C3 -- M4 1992eb</t>
  </si>
  <si>
    <t>Canada. -- Dept. of Regional Economic Expansion.; Economic assistance, Domestic -- Canada.; Electronic books. -- local; Regional planning -- Canada.</t>
  </si>
  <si>
    <t>http://public.eblib.com/choice/PublicFullRecord.aspx?p=3331345</t>
  </si>
  <si>
    <t>Protecting Canadian Democracy : The Senate You Never Knew</t>
  </si>
  <si>
    <t>JL155</t>
  </si>
  <si>
    <t>Canada. -- Parlement. -- Sénat -- Réforme.; Canada. -- Parlement. -- Sénat.; Canada. -- Parliament. -- Senate -- Reform.; Canada. -- Parliament. -- Senate.</t>
  </si>
  <si>
    <t>http://public.eblib.com/choice/PublicFullRecord.aspx?p=3331346</t>
  </si>
  <si>
    <t>McGill University : For the Advancement of Learning, Volume I, 1801-1895</t>
  </si>
  <si>
    <t>LE3.M22</t>
  </si>
  <si>
    <t>http://public.eblib.com/choice/PublicFullRecord.aspx?p=3331347</t>
  </si>
  <si>
    <t>Away : Maritimers in Massachusetts, Ontario, and Alberta</t>
  </si>
  <si>
    <t>Burrill, Gary</t>
  </si>
  <si>
    <t>JV7215</t>
  </si>
  <si>
    <t>Electronic books. -- local; Maritime Provinces -- Emigration and immigration -- Biography.; Maritime Provinces -- Emigration and immigration.; Sailors -- Canada.</t>
  </si>
  <si>
    <t>http://public.eblib.com/choice/PublicFullRecord.aspx?p=3331348</t>
  </si>
  <si>
    <t>Leonard and Reva Brooks : A Biography of Canadian Artists in Exile</t>
  </si>
  <si>
    <t>Virtue J.</t>
  </si>
  <si>
    <t>ND249.B778 -- V57 2001eb</t>
  </si>
  <si>
    <t>759.11; B</t>
  </si>
  <si>
    <t>Artists -- Canada -- Biography.; Brooks, Leonard, -- 1911- -- Homes and haunts -- Mexico -- San Miguel de Allende.; Brooks, Leonard, -- 1911- -- Résidences et lieux familiers -- Mexique -- San Miguel de Allende.; Brooks, Reva -- Homes and haunts -- Mexico -- San Miguel de Allende.; Brooks, Reva, -- 1913- -- Résidences et lieux familiers -- Mexique -- San Miguel de Allende.; Canadians -- Mexico -- San Miguel de Allende -- Biography.; Expatriate artists -- Mexico -- Biography.</t>
  </si>
  <si>
    <t>http://public.eblib.com/choice/PublicFullRecord.aspx?p=3331349</t>
  </si>
  <si>
    <t>Challenging Times : The Women's Movement in Canada and the United States</t>
  </si>
  <si>
    <t>Backhouse, Constance; Flaherty, David H.</t>
  </si>
  <si>
    <t>HQ1457</t>
  </si>
  <si>
    <t>Electronic books. -- local; Feminism -- Canada -- Congresses.; Feminism -- United States -- Congresses.</t>
  </si>
  <si>
    <t>http://public.eblib.com/choice/PublicFullRecord.aspx?p=3331350</t>
  </si>
  <si>
    <t>Keeping to the Marketplace : The Evolution of Canadian Housing Policy</t>
  </si>
  <si>
    <t>Bacher, John C.</t>
  </si>
  <si>
    <t>Canada -- Social policy.; Electronic books. -- local; Housing policy -- Canada.</t>
  </si>
  <si>
    <t>http://public.eblib.com/choice/PublicFullRecord.aspx?p=3331351</t>
  </si>
  <si>
    <t>Teaching for Commitment : Liberal Education, Indoctrination, and Christian Nurture</t>
  </si>
  <si>
    <t>BV1464</t>
  </si>
  <si>
    <t>Christian education -- Philosophy.; Education, Humanistic -- Philosophy.; Electronic books. -- local</t>
  </si>
  <si>
    <t>http://public.eblib.com/choice/PublicFullRecord.aspx?p=3331352</t>
  </si>
  <si>
    <t>Canada's Changing North</t>
  </si>
  <si>
    <t>Wonders, William  C.</t>
  </si>
  <si>
    <t>Canada (Nord); Canada, Northern.</t>
  </si>
  <si>
    <t>http://public.eblib.com/choice/PublicFullRecord.aspx?p=3331353</t>
  </si>
  <si>
    <t>Mephibosheth Stepsure Letters</t>
  </si>
  <si>
    <t>McCulloch, Thomas</t>
  </si>
  <si>
    <t>PR9199.2.M4 -- L48 1990eb</t>
  </si>
  <si>
    <t>C813/.3</t>
  </si>
  <si>
    <t>Canadian fiction.; Electronic books. -- local; Nova Scotia -- Fiction.; Nova Scotia -- Humor.</t>
  </si>
  <si>
    <t>http://public.eblib.com/choice/PublicFullRecord.aspx?p=3331354</t>
  </si>
  <si>
    <t>Class, Ethnicity, and Social Inequality</t>
  </si>
  <si>
    <t>McAll, Chrisopher</t>
  </si>
  <si>
    <t>HT675</t>
  </si>
  <si>
    <t>Electronic books. -- local; Equality.; Ethnicity.; Social classes.</t>
  </si>
  <si>
    <t>http://public.eblib.com/choice/PublicFullRecord.aspx?p=3331355</t>
  </si>
  <si>
    <t>Canada - An American Nation? : Essays on Continentalism, Identity, and the Canadian Frame of Mind</t>
  </si>
  <si>
    <t>Smith, Allan</t>
  </si>
  <si>
    <t>Canada -- Civilization -- American influences.; Canada -- Relations -- United States.; Nationalism -- Canada.; United States -- Relations -- Canada.</t>
  </si>
  <si>
    <t>http://public.eblib.com/choice/PublicFullRecord.aspx?p=3331356</t>
  </si>
  <si>
    <t>The Good Regiment : The Carignan-Salières Regiment in Canada, 1665-1668</t>
  </si>
  <si>
    <t>F1030.V47</t>
  </si>
  <si>
    <t>Canada -- History.; Electronic books. -- local; France. -- Armée. -- Régiment de Carignan-Salières -- History.; France. -- Armée. -- Régiment de Carignan-Salières -- Registers.</t>
  </si>
  <si>
    <t>http://public.eblib.com/choice/PublicFullRecord.aspx?p=3331357</t>
  </si>
  <si>
    <t>Democracy with Justice/La juste democratie : Melanges en l'honneur de/Essays in Honour of Khayyam Zev Paltiel</t>
  </si>
  <si>
    <t>Gagnon, Alain-G; Tanguay, Brian</t>
  </si>
  <si>
    <t>JL65 -- .D44 1992eb</t>
  </si>
  <si>
    <t>Canada -- Politics and government.; Civil rights -- Canada.; Electronic books. -- local</t>
  </si>
  <si>
    <t>http://public.eblib.com/choice/PublicFullRecord.aspx?p=3331358</t>
  </si>
  <si>
    <t>Virtual Marshall McLuhan</t>
  </si>
  <si>
    <t>Theall, Donald; Carpenter, Edmund</t>
  </si>
  <si>
    <t>P92.5 M25T42 2001</t>
  </si>
  <si>
    <t>Electronic books. -- local; Mass media and literature.; Mass media specialists -- Canada -- Biography.; McLuhan, Marshall, -- 1911-1980.</t>
  </si>
  <si>
    <t>http://public.eblib.com/choice/PublicFullRecord.aspx?p=3331359</t>
  </si>
  <si>
    <t>Housing the North American City</t>
  </si>
  <si>
    <t>Doucet, Michael; Weaver, John C.</t>
  </si>
  <si>
    <t>HD7305.H37</t>
  </si>
  <si>
    <t>Architecture, Domestic -- Ontario -- Hamilton -- History.; Building trades -- Ontario -- Hamilton -- History.; Electronic books. -- local; Hamilton (Ont.) -- History.; Housing -- Ontario -- Hamilton -- History.</t>
  </si>
  <si>
    <t>http://public.eblib.com/choice/PublicFullRecord.aspx?p=3331360</t>
  </si>
  <si>
    <t>Making of the Alice Books : Lewis Carroll's Uses of Earlier Children's Literature</t>
  </si>
  <si>
    <t>Reichertz, Ronald</t>
  </si>
  <si>
    <t>PR4611.A73</t>
  </si>
  <si>
    <t>Carroll, Lewis, -- 1832-1898 -- Sources.; Carroll, Lewis, -- 1832-1898. -- Alice''s adventures in Wonderland.; Carroll, Lewis, -- 1832-1898. -- Through the looking-glass.; Children''s literature, English -- History and criticism.; Electronic books. -- local</t>
  </si>
  <si>
    <t>http://public.eblib.com/choice/PublicFullRecord.aspx?p=3331361</t>
  </si>
  <si>
    <t>Artisan Republic : Revolution, Reaction, and Resistance in Lyon, 1848-1851</t>
  </si>
  <si>
    <t>DC271.L9</t>
  </si>
  <si>
    <t>Electronic books. -- local; France -- History -- February Revolution, 1848.; France -- History -- Second Republic, 1848-1852.; History -- France -- February Revolution, 1848.; Lyon (France) -- History.</t>
  </si>
  <si>
    <t>http://public.eblib.com/choice/PublicFullRecord.aspx?p=3331362</t>
  </si>
  <si>
    <t>Urban Policing in Canada : Anatomy of an Aging Craft</t>
  </si>
  <si>
    <t>Martin, Maurice A.</t>
  </si>
  <si>
    <t>HV8157</t>
  </si>
  <si>
    <t>Electronic books. -- local; Law enforcement -- Canada.; Police -- Canada.; Urban policy -- Canada.</t>
  </si>
  <si>
    <t>http://public.eblib.com/choice/PublicFullRecord.aspx?p=3331363</t>
  </si>
  <si>
    <t>Newfoundland National Convention,Volume Two : Reports and Papers, 1946-1948</t>
  </si>
  <si>
    <t>Published for Memorial University</t>
  </si>
  <si>
    <t>Hiller, James K.; Harrington, Michael F.</t>
  </si>
  <si>
    <t>F1123 -- .N483 1995eb</t>
  </si>
  <si>
    <t>Canada -- History -- 1914-1945.; Canada -- Politics and government -- 1914-1945.; Electronic books. -- local; Newfoundland and Labrador -- Economic conditions.; Newfoundland and Labrador -- History -- 20th century.; Newfoundland and Labrador -- History.; Newfoundland and Labrador -- Politics and government -- 1934-1949.</t>
  </si>
  <si>
    <t>http://public.eblib.com/choice/PublicFullRecord.aspx?p=3331364</t>
  </si>
  <si>
    <t>Social and Environmental Impacts of the James Bay Hydroelectric Project</t>
  </si>
  <si>
    <t>Hornig, James F.</t>
  </si>
  <si>
    <t>HD9685</t>
  </si>
  <si>
    <t>Cree Indians -- James Bay Region -- Social conditions.; Electronic books. -- local; Environmental impact analysis -- James Bay Region.; James Bay Hydroelectric Project -- Environmental aspects.; James Bay Hydroelectric Project -- Social aspects.; James Bay Region -- Social conditions.</t>
  </si>
  <si>
    <t>http://public.eblib.com/choice/PublicFullRecord.aspx?p=3331365</t>
  </si>
  <si>
    <t>Claude Jutra : Filmmaker</t>
  </si>
  <si>
    <t>Leach, Jim</t>
  </si>
  <si>
    <t>PN1998.3.J895</t>
  </si>
  <si>
    <t>Electronic books. -- local; Jutra, Claude, -- 1930-1986 -- Criticism and interpretation.; Motion picture producers and directors.</t>
  </si>
  <si>
    <t>http://public.eblib.com/choice/PublicFullRecord.aspx?p=3331366</t>
  </si>
  <si>
    <t>It's a Working Man's Town : Male Working -Class Culture in Northwestern Ontario</t>
  </si>
  <si>
    <t>Dunk, Thomas W.</t>
  </si>
  <si>
    <t>HN110.O5 -- D86 1991eb</t>
  </si>
  <si>
    <t>305.5/62/0971312</t>
  </si>
  <si>
    <t>Electronic books. -- local; Men -- Ontario -- Thunder Bay.; Working class -- Ontario -- Thunder Bay -- Case studies.; Working class -- Ontario -- Thunder Bay.</t>
  </si>
  <si>
    <t>http://public.eblib.com/choice/PublicFullRecord.aspx?p=3331367</t>
  </si>
  <si>
    <t>Domestic Battleground : Canada and the Arab-Israeli Conflict</t>
  </si>
  <si>
    <t>Taras, David; Goldberg, David</t>
  </si>
  <si>
    <t>DS63.2.C2</t>
  </si>
  <si>
    <t>Arab-Israeli conflict.; Canada -- Foreign relations -- 1945-; Canada -- Foreign relations -- Middle East.; Electronic books. -- local; Jewish-Arab relations.; Middle East -- Foreign relations -- Canada.</t>
  </si>
  <si>
    <t>http://public.eblib.com/choice/PublicFullRecord.aspx?p=3331368</t>
  </si>
  <si>
    <t>Creating Societies : Immigrant Lives in Canada</t>
  </si>
  <si>
    <t>Hoerder, Dirk</t>
  </si>
  <si>
    <t>JV7220 -- .H64 1999eb</t>
  </si>
  <si>
    <t>971/.0086/91</t>
  </si>
  <si>
    <t>Canada -- History.; Electronic books. -- local; Immigrants -- Canada -- History.</t>
  </si>
  <si>
    <t>http://public.eblib.com/choice/PublicFullRecord.aspx?p=3331369</t>
  </si>
  <si>
    <t>Early Canadian Gardening : An 1827 Nursery Catalogue</t>
  </si>
  <si>
    <t>Woodhead, Eileen</t>
  </si>
  <si>
    <t>SB451.36.C3</t>
  </si>
  <si>
    <t>Botany -- Ontario.; Electronic books. -- local; Gardening -- Ontario -- History -- 19th century.; Horticulture -- Ontario -- History -- 19th century.; Ontario -- Social life and customs.; Plants -- Catalogs.; Seeds -- Catalogs.</t>
  </si>
  <si>
    <t>http://public.eblib.com/choice/PublicFullRecord.aspx?p=3331370</t>
  </si>
  <si>
    <t>Current Perspectives on Nutrition and Health</t>
  </si>
  <si>
    <t>Carroll, Kenneth K.</t>
  </si>
  <si>
    <t>Medicine; Health; Pharmacy</t>
  </si>
  <si>
    <t>RM214</t>
  </si>
  <si>
    <t>Diet in disease -- Congresses.; Electronic books. -- local; Nutrition -- Congresses.; Nutritionally induced diseases -- Congresses.</t>
  </si>
  <si>
    <t>http://public.eblib.com/choice/PublicFullRecord.aspx?p=3331371</t>
  </si>
  <si>
    <t>Trans-Atlantic Partners : Canadian Approaches to the European Union</t>
  </si>
  <si>
    <t>D1065.C2</t>
  </si>
  <si>
    <t>Canada -- Relations -- European Union countries.; Electronic books. -- local; European Union countries -- Relations -- Canada.; International relations.</t>
  </si>
  <si>
    <t>http://public.eblib.com/choice/PublicFullRecord.aspx?p=3331372</t>
  </si>
  <si>
    <t>At Home on the World Markets : Dutch International Trading Companies from the 16th Century Until the Present</t>
  </si>
  <si>
    <t>Jonker, Joost; Sluyterman, Keetie</t>
  </si>
  <si>
    <t>HF1416.6.N4 -- J665 2000eb</t>
  </si>
  <si>
    <t>Electronic books. -- local; International business enterprises -- Netherlands -- History.; Merchants -- Netherlands -- History.; Netherlands -- Commerce -- History.; Trading companies -- Netherlands -- History.</t>
  </si>
  <si>
    <t>http://public.eblib.com/choice/PublicFullRecord.aspx?p=3331373</t>
  </si>
  <si>
    <t>Graham Greene's Thrillers and the 1930s</t>
  </si>
  <si>
    <t>Diemert, Brian</t>
  </si>
  <si>
    <t>PR6013.R44</t>
  </si>
  <si>
    <t>Electronic books. -- local; Greene, Graham, -- 1904-1991 -- Criticism and interpretation.; Greene, Graham, -- 1904-1991 -- Political and social views.; Political fiction, English -- History and criticism.</t>
  </si>
  <si>
    <t>http://public.eblib.com/choice/PublicFullRecord.aspx?p=3331374</t>
  </si>
  <si>
    <t>Christie Seigneuries : Estate Management and Settlement in the Upper Richelieu Valley, 1760-1854</t>
  </si>
  <si>
    <t>Noël, Francoise</t>
  </si>
  <si>
    <t>F1054.R5</t>
  </si>
  <si>
    <t>Electronic books. -- local; Richelieu River Valley (N.Y. and Vt.-Québec) -- History.; Seigniorial tenure -- Richelieu River Valley (N.Y. and Vt.-Québec) -- History.</t>
  </si>
  <si>
    <t>http://public.eblib.com/choice/PublicFullRecord.aspx?p=3331375</t>
  </si>
  <si>
    <t>Examination of the Philosophy of Bacon : Wherein Different Questions of Rational Philosophy Are Treated</t>
  </si>
  <si>
    <t>Maistre, Joseph de; Lebrun, Richard A.; Lebrun, Richard A.</t>
  </si>
  <si>
    <t>B1198</t>
  </si>
  <si>
    <t>Bacon, Francis, -- 1561-1626 -- Criticism and interpretation.; Bacon, Francis, -- 1561-1626.; Electronic books. -- local; Maistre, Joseph Marie, -- comte de, -- 1753-1821.; Maistre, Joseph Marie, -- comte de, -- 1753-1821. -- Examen de la philosophie de Bacon.; Philosophy.; Science -- Philosophy.</t>
  </si>
  <si>
    <t>http://public.eblib.com/choice/PublicFullRecord.aspx?p=3331376</t>
  </si>
  <si>
    <t>McGill Medicine, Volume 1 : The First Half Century 1829-1885</t>
  </si>
  <si>
    <t>Hanaway, Joseph; Cruess, Richard</t>
  </si>
  <si>
    <t>R749.M42 -- H36 1996eb</t>
  </si>
  <si>
    <t>610/.71/171428</t>
  </si>
  <si>
    <t>Electronic books. -- local; McGill University. -- Faculty of Medicine -- History.; Universities and colleges -- Canada.</t>
  </si>
  <si>
    <t>http://public.eblib.com/choice/PublicFullRecord.aspx?p=3331377</t>
  </si>
  <si>
    <t>White Siberia : The Politics of Civil War</t>
  </si>
  <si>
    <t>Pereira, N.</t>
  </si>
  <si>
    <t>DK265.8.S5</t>
  </si>
  <si>
    <t>Anti-communist movements -- Russia (Federation) -- Siberia.; Electronic books. -- local; Kolchak, Aleksandr Vasiliyevich, -- 1873-1920.; Siberia (Russia) -- History -- Revolution, 1917-1921.; Siberia (Russia) -- Politics and government.</t>
  </si>
  <si>
    <t>http://public.eblib.com/choice/PublicFullRecord.aspx?p=3331378</t>
  </si>
  <si>
    <t>Austria in World War II : An Anglo-American Dilemma</t>
  </si>
  <si>
    <t>Keyserlingk, Robert H.</t>
  </si>
  <si>
    <t>D753</t>
  </si>
  <si>
    <t>Austria -- Foreign relations -- Great Britain.; Austria -- Foreign relations -- United States.; Austria -- History -- 1938-1945.; Great Britain -- Foreign relations -- Austria.; United States -- Foreign relations -- Austria.; World War, 1939-1945 -- Austria.; World War, 1939-1945 -- Diplomatic history.</t>
  </si>
  <si>
    <t>http://public.eblib.com/choice/PublicFullRecord.aspx?p=3331379</t>
  </si>
  <si>
    <t>Equity and Efficiency in Economic Development : Essays in Honour of Benjamin Higgins</t>
  </si>
  <si>
    <t>Savoie, Donald J.; Brecher, Irving</t>
  </si>
  <si>
    <t>HD82</t>
  </si>
  <si>
    <t>Economic development.; Economic policy.; Electronic books. -- local</t>
  </si>
  <si>
    <t>http://public.eblib.com/choice/PublicFullRecord.aspx?p=3331380</t>
  </si>
  <si>
    <t>Chee Chee : A Study of Aboriginal Suicide</t>
  </si>
  <si>
    <t>Evans, Al</t>
  </si>
  <si>
    <t>Health; Social Science; Fine Arts</t>
  </si>
  <si>
    <t>ND249.C415</t>
  </si>
  <si>
    <t>Chee Chee, Benjamin, -- 1944-1977.; Electronic books. -- local; Indigenous peoples -- Canada.</t>
  </si>
  <si>
    <t>http://public.eblib.com/choice/PublicFullRecord.aspx?p=3331381</t>
  </si>
  <si>
    <t>Dream of Nation : A Social and Intellectual History of Quebec</t>
  </si>
  <si>
    <t>Mann, Susan</t>
  </si>
  <si>
    <t>F1052.95</t>
  </si>
  <si>
    <t>Electronic books. -- local; Nationalism -- Québec (Province) -- History.; Québec (Province) -- History.</t>
  </si>
  <si>
    <t>http://public.eblib.com/choice/PublicFullRecord.aspx?p=3331382</t>
  </si>
  <si>
    <t>Capturing Women : The Manipulation of Cultural Imagery in Canada's Prairie West</t>
  </si>
  <si>
    <t>Carter, Sarah A.</t>
  </si>
  <si>
    <t>HQ1459.P7</t>
  </si>
  <si>
    <t>Electronic books. -- local; Indian captivities -- Prairie Provinces.; Indigenous women -- Prairie Provinces -- History.; Prairie Provinces -- Ethnic relations -- History -- 19th century.; Prairie Provinces -- Social conditions.; Women, White -- Prairie Provinces -- History.</t>
  </si>
  <si>
    <t>http://public.eblib.com/choice/PublicFullRecord.aspx?p=3331383</t>
  </si>
  <si>
    <t>Kleist's Aristocratic Heritage and Das Käthchen von Heilbronn</t>
  </si>
  <si>
    <t>PT2378.K4</t>
  </si>
  <si>
    <t>Electronic books. -- local; German literature.; Kleist, Heinrich von, -- 1777-1811. -- Käthchen von Heilbronn.</t>
  </si>
  <si>
    <t>http://public.eblib.com/choice/PublicFullRecord.aspx?p=3331384</t>
  </si>
  <si>
    <t>Survival and Consolidation : The Foreign Policy of Soviet Russion 1918-1921</t>
  </si>
  <si>
    <t>Debo, R.</t>
  </si>
  <si>
    <t>DK265 -- .D352 1992eb</t>
  </si>
  <si>
    <t>Electronic books. -- local; History -- Russia.; Soviet Union -- Foreign relations -- 1917-1945.</t>
  </si>
  <si>
    <t>http://public.eblib.com/choice/PublicFullRecord.aspx?p=3331385</t>
  </si>
  <si>
    <t>Le Bureau fédéral de la statistique : Les Origines et l'évolution du bureau central de la statistique au Canada, 1841-1972</t>
  </si>
  <si>
    <t>Worton, David A.</t>
  </si>
  <si>
    <t>HC37.C22 -- W67 1998</t>
  </si>
  <si>
    <t>Canada -- Statistical services.; Statistics -- Canada.</t>
  </si>
  <si>
    <t>http://public.eblib.com/choice/PublicFullRecord.aspx?p=3331386</t>
  </si>
  <si>
    <t>Marguerite Bourgeoys and Montreal, 1640-1665</t>
  </si>
  <si>
    <t>Simpson, Patricia</t>
  </si>
  <si>
    <t>BX4700.B77</t>
  </si>
  <si>
    <t>Bourgeoys, Marguerite, -- Saint, -- 1620-1700.; Canada -- History -- To 1763 (New France); Christian saints -- Canada -- Biography.; Electronic books. -- local; Montréal (Québec) -- History.; Nuns -- Québec (Province) -- Biography.</t>
  </si>
  <si>
    <t>http://public.eblib.com/choice/PublicFullRecord.aspx?p=3331387</t>
  </si>
  <si>
    <t>Sport and Canadian Diplomacy</t>
  </si>
  <si>
    <t>Hawes, Michael; Greenhorn, Donna Ruth</t>
  </si>
  <si>
    <t>GV706.35</t>
  </si>
  <si>
    <t>Canada -- Foreign relations -- 1945-; Electronic books. -- local; Sports and state -- Canada.</t>
  </si>
  <si>
    <t>http://public.eblib.com/choice/PublicFullRecord.aspx?p=3331388</t>
  </si>
  <si>
    <t>Aspects of the Canadian Evangelical Experience</t>
  </si>
  <si>
    <t>BR1642.C3</t>
  </si>
  <si>
    <t>http://public.eblib.com/choice/PublicFullRecord.aspx?p=3331389</t>
  </si>
  <si>
    <t>Why the Church?</t>
  </si>
  <si>
    <t>BR145.3</t>
  </si>
  <si>
    <t>Church history.; Church.; Electronic books. -- local</t>
  </si>
  <si>
    <t>http://public.eblib.com/choice/PublicFullRecord.aspx?p=3331390</t>
  </si>
  <si>
    <t>Ethical World of British MPs</t>
  </si>
  <si>
    <t>Mancuso, Maureen</t>
  </si>
  <si>
    <t>JN677</t>
  </si>
  <si>
    <t>Electronic books. -- local; Great Britain. -- Parliament. -- House of Commons -- Ethics.; Legislators -- Great Britain -- Professional ethics.</t>
  </si>
  <si>
    <t>http://public.eblib.com/choice/PublicFullRecord.aspx?p=3331391</t>
  </si>
  <si>
    <t>Count Not the Dead : The Popular Image of the German Submarine</t>
  </si>
  <si>
    <t>Hadley, Michael L.</t>
  </si>
  <si>
    <t>V859.G3</t>
  </si>
  <si>
    <t>Electronic books. -- local; Submarines (Ships) -- Germany -- History.; Submarines (Ships) in literature.</t>
  </si>
  <si>
    <t>http://public.eblib.com/choice/PublicFullRecord.aspx?p=3331392</t>
  </si>
  <si>
    <t>Against Rousseau : On the State of Nature and On the Sovereignty of the People</t>
  </si>
  <si>
    <t>Political Science; Literature</t>
  </si>
  <si>
    <t>PQ2053.A3</t>
  </si>
  <si>
    <t>Electronic books. -- local; Essentialism (Philosophy); Rousseau, Jean-Jacques, -- 1712-1778 -- Criticism and interpretation.; Sovereignty.</t>
  </si>
  <si>
    <t>http://public.eblib.com/choice/PublicFullRecord.aspx?p=3331393</t>
  </si>
  <si>
    <t>Business and Politics : A Study of Collective Action</t>
  </si>
  <si>
    <t>Coleman, William D.</t>
  </si>
  <si>
    <t>HD2429.C2 -- C65 1988eb</t>
  </si>
  <si>
    <t>Business and politics -- Canada.; Canada -- Politics and government -- 1980-; Electronic books. -- local; Professional associations -- Canada.; Trade associations -- Canada.</t>
  </si>
  <si>
    <t>http://public.eblib.com/choice/PublicFullRecord.aspx?p=3331394</t>
  </si>
  <si>
    <t>Queen's University, Volume II : To Serve and Yet be Free, 1917–1961</t>
  </si>
  <si>
    <t>Gibson, Frederick W.; Gibson, Frederick W</t>
  </si>
  <si>
    <t>LE3.Q32 -- N43 1983eb</t>
  </si>
  <si>
    <t>Electronic books. -- local; Queen''s University (Kingston, Ont.) -- History.; Universities and colleges -- Canada.</t>
  </si>
  <si>
    <t>http://public.eblib.com/choice/PublicFullRecord.aspx?p=3331395</t>
  </si>
  <si>
    <t>Patriots and Proletarians : Politicizing Hungarian Immigrants in Interwar Canada</t>
  </si>
  <si>
    <t>Patrias, Carmela</t>
  </si>
  <si>
    <t>F1035.H8 -- P38 1994eb</t>
  </si>
  <si>
    <t>971/.00494511</t>
  </si>
  <si>
    <t>Canada -- History -- 1914-1945.; Electronic books. -- local; Hungarians -- Canada -- Politics and government.; Hungarians -- Canada -- Societies, etc. -- History.</t>
  </si>
  <si>
    <t>http://public.eblib.com/choice/PublicFullRecord.aspx?p=3331396</t>
  </si>
  <si>
    <t>Water into Wine? : An Investigation of the Concept of Miracle</t>
  </si>
  <si>
    <t>Electronic books. -- local; Miracles.; Theology, Doctrinal.</t>
  </si>
  <si>
    <t>http://public.eblib.com/choice/PublicFullRecord.aspx?p=3331397</t>
  </si>
  <si>
    <t>Land of Feast and Famine</t>
  </si>
  <si>
    <t>Ingstad, Helge; Gay-Tifft, Eugene</t>
  </si>
  <si>
    <t>Electronic books. -- local; Hunting -- Northwest Territories.; Indians of North America -- Northwest Territories.; Ingstad, Helge, -- 1899-2001.; Northwest Territories -- Description and travel.; Northwest, Canadian -- Description and travel.; Trapping -- Northwest Territories.</t>
  </si>
  <si>
    <t>http://public.eblib.com/choice/PublicFullRecord.aspx?p=3331398</t>
  </si>
  <si>
    <t>Nuclear Pursuits : The Scientific Biography of Wilfrid Bennett Lewis</t>
  </si>
  <si>
    <t>Fawcett, Ruth</t>
  </si>
  <si>
    <t>QC774.L49</t>
  </si>
  <si>
    <t>Electronic books. -- local; Lewis, Wilfrid Bennett, -- 1908-1987.; Nuclear energy -- Research -- Canada.; Physicists -- Canada -- Biography.</t>
  </si>
  <si>
    <t>http://public.eblib.com/choice/PublicFullRecord.aspx?p=3331399</t>
  </si>
  <si>
    <t>Liberal Education and the Small University in Canada</t>
  </si>
  <si>
    <t>Storm, Christine</t>
  </si>
  <si>
    <t>LC1024.C2</t>
  </si>
  <si>
    <t>Education, Higher -- Canada.; Education, Humanistic -- Canada.; Electronic books. -- local; Mount Allison University.; Small colleges -- Canada.</t>
  </si>
  <si>
    <t>http://public.eblib.com/choice/PublicFullRecord.aspx?p=3331400</t>
  </si>
  <si>
    <t>Workers and Canadian History</t>
  </si>
  <si>
    <t>Kealey, Gregory S.</t>
  </si>
  <si>
    <t>HD8104</t>
  </si>
  <si>
    <t>Electronic books. -- local; Labor movement -- Canada -- History.; Working class -- Canada -- History.</t>
  </si>
  <si>
    <t>http://public.eblib.com/choice/PublicFullRecord.aspx?p=3331401</t>
  </si>
  <si>
    <t>Full of Hope and Promise : The Canadas in 1841</t>
  </si>
  <si>
    <t>Ross, Eric</t>
  </si>
  <si>
    <t>PR9199.3.R68</t>
  </si>
  <si>
    <t>Canada -- History -- 1791-1841 -- Fiction.; Canadian literature.; Electronic books. -- local; Québec (Province) -- History -- Fiction.</t>
  </si>
  <si>
    <t>http://public.eblib.com/choice/PublicFullRecord.aspx?p=3331402</t>
  </si>
  <si>
    <t>From Talking Chiefs to a Native Corporate Elite : The Birth of Class and Nationalism among Canadian Inuit</t>
  </si>
  <si>
    <t>Mitchell, Marybelle</t>
  </si>
  <si>
    <t>Cooperative societies -- Canada, Northern.; Electronic books. -- local; Inuit -- Canada -- Economic conditions.; Inuit -- Canada -- Politics and government.; Inuit -- Canada -- Social conditions.</t>
  </si>
  <si>
    <t>http://public.eblib.com/choice/PublicFullRecord.aspx?p=3331403</t>
  </si>
  <si>
    <t>Sea Has Many Voices : Oceans Policy for a Complex World</t>
  </si>
  <si>
    <t>Lamson, Cynthia</t>
  </si>
  <si>
    <t>Economics; Science; Environmental Studies; Science: Geology</t>
  </si>
  <si>
    <t>GC1023.15 -- .S432 1994eb</t>
  </si>
  <si>
    <t>Electronic books. -- local; Marine resources -- Government policy -- Canada.; Maritime law -- Canada.; Oceanography and state -- Canada.</t>
  </si>
  <si>
    <t>http://public.eblib.com/choice/PublicFullRecord.aspx?p=3331404</t>
  </si>
  <si>
    <t>Canada Among Nations, 1990-91 : After the Cold War</t>
  </si>
  <si>
    <t>F1034.2 -- .C36 1991eb</t>
  </si>
  <si>
    <t>Canada -- Foreign relations -- 1945-; Canada -- Politics and government -- 1980-; Electronic books. -- local; International relations.</t>
  </si>
  <si>
    <t>http://public.eblib.com/choice/PublicFullRecord.aspx?p=3331405</t>
  </si>
  <si>
    <t>Poverty Reform in Canada, 1958-1978 : State and Class Influences on Policy Making</t>
  </si>
  <si>
    <t>Haddow, Rodney S.</t>
  </si>
  <si>
    <t>Electronic books. -- local; Poverty -- Government policy -- Canada -- History.; Public welfare -- Canada -- History.</t>
  </si>
  <si>
    <t>http://public.eblib.com/choice/PublicFullRecord.aspx?p=3331406</t>
  </si>
  <si>
    <t>Theopompus The Historian</t>
  </si>
  <si>
    <t>Shrimpton, Gordon S.</t>
  </si>
  <si>
    <t>DE9.T54</t>
  </si>
  <si>
    <t>Electronic books. -- local; Greece -- Historiography.; Hellenica Oxyrhynchia.; Historians -- Greece.; Theopompus, -- of Chios.</t>
  </si>
  <si>
    <t>http://public.eblib.com/choice/PublicFullRecord.aspx?p=3331407</t>
  </si>
  <si>
    <t>Literature and Ethics : Essays Presented to A.E. Malloch</t>
  </si>
  <si>
    <t>Wihl, Gary; Williams, David A.</t>
  </si>
  <si>
    <t>PN49 -- .L57 1988eb</t>
  </si>
  <si>
    <t>801/.3</t>
  </si>
  <si>
    <t>Electronic books. -- local; Literature and morals.; Malloch, A. E. -- (Archibald Edward), -- 1926-</t>
  </si>
  <si>
    <t>http://public.eblib.com/choice/PublicFullRecord.aspx?p=3331408</t>
  </si>
  <si>
    <t>Full-Orbed Christianity : The Protestant Churches and Social Welfare in Canada, 1900-1940</t>
  </si>
  <si>
    <t>Canada -- Social conditions -- 20th century.; Christian sociology -- Canada -- History.; Church and social problems -- Canada -- History.; Electronic books. -- local; Protestant churches -- Canada -- History.</t>
  </si>
  <si>
    <t>http://public.eblib.com/choice/PublicFullRecord.aspx?p=3331409</t>
  </si>
  <si>
    <t>In Subordination : Professional Women, 1870-1970</t>
  </si>
  <si>
    <t>HD6054.2.C22</t>
  </si>
  <si>
    <t>Electronic books. -- local; Sex discrimination in employment -- Canada -- History.; Sex discrimination in employment -- Manitoba -- History.; Women in the professions -- Canada -- History.; Women in the professions -- Manitoba -- History.</t>
  </si>
  <si>
    <t>http://public.eblib.com/choice/PublicFullRecord.aspx?p=3331410</t>
  </si>
  <si>
    <t>Children of Peace</t>
  </si>
  <si>
    <t>McIntyre, John</t>
  </si>
  <si>
    <t>BR575.O6 -- M356 1994eb</t>
  </si>
  <si>
    <t>Children of Peace -- History.; Christian communities -- Ontario -- Sharon -- History -- 19th century.; Electronic books. -- local; Millennialism -- Ontario -- History -- 19th century.; Ontario -- Church history -- 19th century.</t>
  </si>
  <si>
    <t>http://public.eblib.com/choice/PublicFullRecord.aspx?p=3331411</t>
  </si>
  <si>
    <t>English Immigrant Voices : Labourers' Letters from Upper Canada in the 1830s</t>
  </si>
  <si>
    <t>Cameron, Wendy; Haines, Sheila; Maude, Mary</t>
  </si>
  <si>
    <t>British -- Ontario -- Correspondence.; Electronic books. -- local; England -- Emigration and immigration -- History -- 19th century.; Immigrants -- Ontario -- Correspondence.; Ontario -- Emigration and immigration -- History -- 19th century.; Working class -- Ontario -- History -- 19th century.</t>
  </si>
  <si>
    <t>http://public.eblib.com/choice/PublicFullRecord.aspx?p=3331412</t>
  </si>
  <si>
    <t>Female Economy : Women's Work in a Prairie Province, 1870-1970</t>
  </si>
  <si>
    <t>HD6100.M3</t>
  </si>
  <si>
    <t>Electronic books. -- local; Feminist economics.; Sex role -- Manitoba -- History.; Sexual division of labor -- Manitoba -- History.; Women -- Employment -- Manitoba -- History.; Women -- Manitoba -- Economic conditions.; Women -- Manitoba -- Social conditions.</t>
  </si>
  <si>
    <t>http://public.eblib.com/choice/PublicFullRecord.aspx?p=3331413</t>
  </si>
  <si>
    <t>Diet, Nutrition, and Health</t>
  </si>
  <si>
    <t>RA784</t>
  </si>
  <si>
    <t>Diet in disease.; Electronic books. -- local; Nutrition.; Nutritionally induced diseases.</t>
  </si>
  <si>
    <t>http://public.eblib.com/choice/PublicFullRecord.aspx?p=3331414</t>
  </si>
  <si>
    <t>Making Knowledge Count : Advocacy and Social Science</t>
  </si>
  <si>
    <t>Harries-Jones, Peter</t>
  </si>
  <si>
    <t>Electronic books. -- local; Social action.; Social sciences -- Canada -- Philosophy.</t>
  </si>
  <si>
    <t>http://public.eblib.com/choice/PublicFullRecord.aspx?p=3331415</t>
  </si>
  <si>
    <t>Staples, Markets, and Cultural Change : Selected Essays</t>
  </si>
  <si>
    <t>Innis, Harold A.; Drache, Daniel</t>
  </si>
  <si>
    <t>Canada -- Economic conditions.; Canada -- Social conditions.; Electronic books. -- local; History -- Canada.</t>
  </si>
  <si>
    <t>http://public.eblib.com/choice/PublicFullRecord.aspx?p=3331416</t>
  </si>
  <si>
    <t>Democracy in Kingston : A Social Movement in Urban Politics, 1965-1970</t>
  </si>
  <si>
    <t>Harris, Richard</t>
  </si>
  <si>
    <t>F1059.5.K56</t>
  </si>
  <si>
    <t>Electronic books. -- local; Kingston (Ont.) -- Politics and government.; Kingston (Ont.) -- Social conditions.; Urban renewal -- Ontario -- Kingston -- Political activity.</t>
  </si>
  <si>
    <t>http://public.eblib.com/choice/PublicFullRecord.aspx?p=3331417</t>
  </si>
  <si>
    <t>Fall and Rise of the Market in Sandinista Nicaragua</t>
  </si>
  <si>
    <t>Ryan, Phil</t>
  </si>
  <si>
    <t>HC146</t>
  </si>
  <si>
    <t>Electronic books. -- local; History -- Nicaragua -- 1979-1990.; Nicaragua -- Economic conditions -- 1979-; Nicaragua -- Politics and government -- 1979-1990.</t>
  </si>
  <si>
    <t>http://public.eblib.com/choice/PublicFullRecord.aspx?p=3331418</t>
  </si>
  <si>
    <t>Inventing Tom Thomson : From Biographical Fictions to Fictional Autobiographies and Reproductions</t>
  </si>
  <si>
    <t>Grace, Sherrill</t>
  </si>
  <si>
    <t>ND249.T5</t>
  </si>
  <si>
    <t>Electronic books. -- local; Painting -- Canada -- History.; Thomson, Tom, -- 1877-1917 -- In literature.; Thomson, Tom, -- 1877-1917 -- Portraits.; Thomson, Tom, -- 1877-1917.</t>
  </si>
  <si>
    <t>http://public.eblib.com/choice/PublicFullRecord.aspx?p=3331419</t>
  </si>
  <si>
    <t>Strangers Among Us</t>
  </si>
  <si>
    <t>Woodman, David C.</t>
  </si>
  <si>
    <t>G660</t>
  </si>
  <si>
    <t>Arctic regions -- Discovery and exploration -- British.; Discoveries in geography.; Electronic books. -- local; Franklin, John, -- Sir, -- 1786-1847.; Melville Peninsula (N.W.T.) -- History.</t>
  </si>
  <si>
    <t>http://public.eblib.com/choice/PublicFullRecord.aspx?p=3331420</t>
  </si>
  <si>
    <t>Canada's Forests : A History</t>
  </si>
  <si>
    <t>Drushka, Ken</t>
  </si>
  <si>
    <t>Economics; Agriculture; Environmental Studies</t>
  </si>
  <si>
    <t>SD145</t>
  </si>
  <si>
    <t>Electronic books. -- local; Forest management -- Canada -- History.; Forests and forestry -- Canada -- History.; Sustainable forestry -- Canada -- History.</t>
  </si>
  <si>
    <t>http://public.eblib.com/choice/PublicFullRecord.aspx?p=3331421</t>
  </si>
  <si>
    <t>Sphaerae Mundi : Early Globes at the Stewart Museum</t>
  </si>
  <si>
    <t>Dahl, Edward H.; Gauvin, Jean-François</t>
  </si>
  <si>
    <t>G201 -- .D38 2000eb</t>
  </si>
  <si>
    <t>912/.074/71428</t>
  </si>
  <si>
    <t>Cartography -- History.; Celestial globes -- History.; David M. Stewart Museum -- Catalogs.; Electronic books. -- local; Globes -- History.</t>
  </si>
  <si>
    <t>http://public.eblib.com/choice/PublicFullRecord.aspx?p=3331422</t>
  </si>
  <si>
    <t>Anatomy of a Naval Disaster : The 1746 French Expedition to North America</t>
  </si>
  <si>
    <t>DC52</t>
  </si>
  <si>
    <t>Electronic books. -- local; France -- History -- Louis XV, 1715-1774.; France -- History, Naval -- 18th century.; La Rochefoucauld de Roye, Jean-Baptiste-Louis-Frédéric de, -- duc d''Anville, -- 1709-1746.; Naval history.; United States -- History -- King George''s War, 1744-1748 -- Naval operations, French.</t>
  </si>
  <si>
    <t>http://public.eblib.com/choice/PublicFullRecord.aspx?p=3331423</t>
  </si>
  <si>
    <t>Planners and Politicians : Liberal Politics and Social Policy, 1957-1968</t>
  </si>
  <si>
    <t>Bryden, P.</t>
  </si>
  <si>
    <t>JL197.L5</t>
  </si>
  <si>
    <t>Canada -- Politics and government -- 1945-1980.; Canada -- Politics and government -- 1957-1963.; Canada -- Politics and government -- 1963-1968.; Canada -- Social policy.; Electronic books. -- local; History -- Canada -- 20th century.; Liberal Party of Canada -- History.</t>
  </si>
  <si>
    <t>http://public.eblib.com/choice/PublicFullRecord.aspx?p=3331424</t>
  </si>
  <si>
    <t>Ex Uno Plures : Federal-Provincial Relations in Canada, 1867-1896</t>
  </si>
  <si>
    <t>JL27 S697 1997</t>
  </si>
  <si>
    <t>Canada -- Politics and government -- 1867-1914.; Electronic books. -- local; Federal government -- Canada -- History -- 19th century.</t>
  </si>
  <si>
    <t>http://public.eblib.com/choice/PublicFullRecord.aspx?p=3331425</t>
  </si>
  <si>
    <t>Steamboat Connections : Montreal to Upper Canada, 1816-1843</t>
  </si>
  <si>
    <t>Engineering: Mechanical; Engineering; Business/Management; Military Science</t>
  </si>
  <si>
    <t>VM626</t>
  </si>
  <si>
    <t>Electronic books. -- local; Ottawa River (Québec and Ont.) -- History.; Saint Lawrence River -- History.; Steam-navigation -- Ottawa River (Québec and Ont.) -- History.; Steam-navigation -- Saint Lawrence River -- History.</t>
  </si>
  <si>
    <t>http://public.eblib.com/choice/PublicFullRecord.aspx?p=3331426</t>
  </si>
  <si>
    <t>Lives and Landscapes : A Photographic Memoir of Outport Newfoundland and Labrador, 1949-1963</t>
  </si>
  <si>
    <t>Harp, Jr, Elmer</t>
  </si>
  <si>
    <t>HE554.A3</t>
  </si>
  <si>
    <t>Electronic books. -- local; Harbors -- Newfoundland and Labrador -- History -- 20th century -- Pictorial works.; Terminals (Transportation) -- Newfoundland and Labrador -- History -- 20th century -- Pictorial works.</t>
  </si>
  <si>
    <t>http://public.eblib.com/choice/PublicFullRecord.aspx?p=3331427</t>
  </si>
  <si>
    <t>For the People : A History of St Francis Xavier University</t>
  </si>
  <si>
    <t>Cameron, James D.</t>
  </si>
  <si>
    <t>LE3.S25</t>
  </si>
  <si>
    <t>Catholic universities and colleges -- Nova Scotia.; Electronic books. -- local; St. Francis Xavier University -- History.</t>
  </si>
  <si>
    <t>http://public.eblib.com/choice/PublicFullRecord.aspx?p=3331428</t>
  </si>
  <si>
    <t>Normal Bad Boys : Public Policies, Institutions, and the Politics of Client Recruitment</t>
  </si>
  <si>
    <t>Rains, Prue; Teram, Eli</t>
  </si>
  <si>
    <t>HV9110.M66</t>
  </si>
  <si>
    <t>Electronic books. -- local; Juvenile corrections -- Québec (Province); Juvenile delinquents -- Rehabilitation -- Québec (Province); Juvenile justice, Administration of -- Québec (Province); Shawbridge Youth Centres (Montréal, Québec)</t>
  </si>
  <si>
    <t>http://public.eblib.com/choice/PublicFullRecord.aspx?p=3331429</t>
  </si>
  <si>
    <t>In Between Countries : Australia, Canada, and the Search for Order in Agricultural Trade</t>
  </si>
  <si>
    <t>Cooper, Andrew F.</t>
  </si>
  <si>
    <t>HD9018.A7</t>
  </si>
  <si>
    <t>Electronic books. -- local; Produce trade -- Australia.; Produce trade -- Canada.</t>
  </si>
  <si>
    <t>http://public.eblib.com/choice/PublicFullRecord.aspx?p=3331430</t>
  </si>
  <si>
    <t>History and Ethnography of the Beothuk</t>
  </si>
  <si>
    <t>Marshall, Ingeborg</t>
  </si>
  <si>
    <t>E99.B4</t>
  </si>
  <si>
    <t>Beothuk Indians -- History.; Electronic books. -- local; Ethnology -- Newfoundland and Labrador.</t>
  </si>
  <si>
    <t>http://public.eblib.com/choice/PublicFullRecord.aspx?p=3331431</t>
  </si>
  <si>
    <t>Women Who Made the News : Female Journalists in Canada, 1880-1945</t>
  </si>
  <si>
    <t>Lang, Marjory</t>
  </si>
  <si>
    <t>PN4914.W58</t>
  </si>
  <si>
    <t>Electronic books. -- local; Women journalists -- Canada -- Biography.; Women journalists -- Canada -- History.</t>
  </si>
  <si>
    <t>http://public.eblib.com/choice/PublicFullRecord.aspx?p=3331432</t>
  </si>
  <si>
    <t>Twenty-First Century Democracy</t>
  </si>
  <si>
    <t>Democracy.; Electronic books. -- local; Twenty-first century.</t>
  </si>
  <si>
    <t>http://public.eblib.com/choice/PublicFullRecord.aspx?p=3331433</t>
  </si>
  <si>
    <t>Clockmaker : Series One, Two and Three</t>
  </si>
  <si>
    <t>Haliburton, Thomas Chandler; Parker, George L.</t>
  </si>
  <si>
    <t>PR4735.H25 -- C6 1995eb</t>
  </si>
  <si>
    <t>http://public.eblib.com/choice/PublicFullRecord.aspx?p=3331434</t>
  </si>
  <si>
    <t>Strange Manuscript found in a Copper Cylinder</t>
  </si>
  <si>
    <t>De Mille, James; Parks, Malcolm</t>
  </si>
  <si>
    <t>PS1534.D3 -- S75 1986eb</t>
  </si>
  <si>
    <t>American fiction.; Detective and mystery stories.; Electronic books. -- local</t>
  </si>
  <si>
    <t>http://public.eblib.com/choice/PublicFullRecord.aspx?p=3331435</t>
  </si>
  <si>
    <t>Norbert Elias and Human Interdependencies</t>
  </si>
  <si>
    <t>Salumets, Thomas</t>
  </si>
  <si>
    <t>HM479.E38</t>
  </si>
  <si>
    <t>Civilization, Modern -- Congresses.; Electronic books. -- local; Elias, Norbert -- Congresses.; Sociology -- Congresses.</t>
  </si>
  <si>
    <t>http://public.eblib.com/choice/PublicFullRecord.aspx?p=3331436</t>
  </si>
  <si>
    <t>Learning to Look : A Visual Response to Mavis Gallant's Fiction</t>
  </si>
  <si>
    <t>Clement, Lesley</t>
  </si>
  <si>
    <t>PS8513.A593</t>
  </si>
  <si>
    <t>Canadian literature.; Electronic books. -- local; Gallant, Mavis -- Criticism and interpretation.</t>
  </si>
  <si>
    <t>http://public.eblib.com/choice/PublicFullRecord.aspx?p=3331437</t>
  </si>
  <si>
    <t>Catholic Power in the Netherlands</t>
  </si>
  <si>
    <t>Bakvis, Herman</t>
  </si>
  <si>
    <t>JN5985.C5 -- B25 1981eb</t>
  </si>
  <si>
    <t>Catholics -- Netherlands -- Political activity -- History -- 20th century.; Electronic books. -- local; Katholieke Volkspartij (Netherlands) -- History.; Netherlands -- Politics and government -- 1945-</t>
  </si>
  <si>
    <t>http://public.eblib.com/choice/PublicFullRecord.aspx?p=3331438</t>
  </si>
  <si>
    <t>Power and Pleasure : Louis Barthou and the Third French Republic</t>
  </si>
  <si>
    <t>Young, Robert J.</t>
  </si>
  <si>
    <t>DC373.B35</t>
  </si>
  <si>
    <t>Barthou, Louis, -- 1862-1934.; Electronic books. -- local; France -- History -- Third Republic, 1870-1940.; France -- Politics and government -- 1870-1940.; Politicians -- France -- Biography.</t>
  </si>
  <si>
    <t>http://public.eblib.com/choice/PublicFullRecord.aspx?p=3331439</t>
  </si>
  <si>
    <t>Maturing in Hard Times : Canada's Department of Finance through the Great Depression</t>
  </si>
  <si>
    <t>Bryce, Robert B.</t>
  </si>
  <si>
    <t>HJ796 -- .B79 1986eb</t>
  </si>
  <si>
    <t>Canada -- Economic policy.; Canada. -- Dept. of Finance -- History -- 20th century.; Depressions -- 1929 -- Canada.; Electronic books. -- local; Finance, Public -- Canada -- History -- 20th century.</t>
  </si>
  <si>
    <t>http://public.eblib.com/choice/PublicFullRecord.aspx?p=3331440</t>
  </si>
  <si>
    <t>Sovereign Idea : Essays on Canada as a Democratic Community</t>
  </si>
  <si>
    <t>Whitaker, Reg</t>
  </si>
  <si>
    <t>Canada -- Politics and government.; Democracy.; Electronic books. -- local; Federal government -- Canada.</t>
  </si>
  <si>
    <t>http://public.eblib.com/choice/PublicFullRecord.aspx?p=3331441</t>
  </si>
  <si>
    <t>Origins of Walter Rauschenbusch's Social Ethics</t>
  </si>
  <si>
    <t>BX6495.R3</t>
  </si>
  <si>
    <t>Church and social problems.; Electronic books. -- local; Rauschenbusch, Walter, -- 1861-1918.; Social ethics.; Social gospel.</t>
  </si>
  <si>
    <t>http://public.eblib.com/choice/PublicFullRecord.aspx?p=3331442</t>
  </si>
  <si>
    <t>Inventing Secondary Education : The Rise of the High School in Nineteenth-Century Ontario</t>
  </si>
  <si>
    <t>Gidney, R.D.; Millar</t>
  </si>
  <si>
    <t>LA418.O6</t>
  </si>
  <si>
    <t>Education -- Ontario -- History -- 19th century.; Education, Secondary -- Ontario -- History -- 19th century.; Electronic books. -- local</t>
  </si>
  <si>
    <t>http://public.eblib.com/choice/PublicFullRecord.aspx?p=3331443</t>
  </si>
  <si>
    <t>Insights, Discoveries, Surprises : Drawing from the Model</t>
  </si>
  <si>
    <t>Caiserman-Roth, Ghitta; Cohen, Rhoda</t>
  </si>
  <si>
    <t>NC593 -- .C35 1993eb</t>
  </si>
  <si>
    <t>Caiserman-Roth, Ghitta, -- 1923-; Cohen, Rhoda, -- 1933-; Creation (Literary, artistic, etc.); Drawing -- Technique.; Electronic books. -- local</t>
  </si>
  <si>
    <t>http://public.eblib.com/choice/PublicFullRecord.aspx?p=3331444</t>
  </si>
  <si>
    <t>Canadian Marxists and the Search for a Third Way</t>
  </si>
  <si>
    <t>Campbell, Peter</t>
  </si>
  <si>
    <t>HX104.5</t>
  </si>
  <si>
    <t>Labor leaders -- Canada -- Biography.; Labor movement -- Canada -- History.; Mould, Arthur, -- 1879-1961.; Pritchard, William Arthur, -- 1888-1981.; Russell, Robert Boyd, -- 1888-1964.; Socialists -- Canada -- Biography.; Winch, Ernest E., -- 1879-1957.</t>
  </si>
  <si>
    <t>http://public.eblib.com/choice/PublicFullRecord.aspx?p=3331445</t>
  </si>
  <si>
    <t>Limiting Rights : The Dilemma of Judicial Review</t>
  </si>
  <si>
    <t>KE4248</t>
  </si>
  <si>
    <t>Canada -- Constitutional law -- Amendments.; Canada. -- Canadian Charter of Rights and Freedoms.; Canada. -- Sumpreme Court.; Civil rights -- Canada.; Federal government -- Canada.; Judicial review -- Canada.; Legislative power -- Canada.</t>
  </si>
  <si>
    <t>http://public.eblib.com/choice/PublicFullRecord.aspx?p=3331446</t>
  </si>
  <si>
    <t>Canada's Jews : A Social and Economic Study of Jews in Canada in the 1930s</t>
  </si>
  <si>
    <t>Rosenberg, Louis; Weinfeld, Morton</t>
  </si>
  <si>
    <t>Canada -- Ethnic relations.; Electronic books. -- local; Jews -- Canada -- History -- 20th century.; Jews -- Canada -- Statistics.</t>
  </si>
  <si>
    <t>http://public.eblib.com/choice/PublicFullRecord.aspx?p=3331447</t>
  </si>
  <si>
    <t>Long Road to Reform : Restructuring Public Education in Quebec</t>
  </si>
  <si>
    <t>Milner, Henry</t>
  </si>
  <si>
    <t>LA418.Q7</t>
  </si>
  <si>
    <t>Education -- Québec (Province); Education -- Québec (Province) -- History.; Education and state -- Québec (Province); Electronic books. -- local; School management and organization -- Québec (Province)</t>
  </si>
  <si>
    <t>http://public.eblib.com/choice/PublicFullRecord.aspx?p=3331448</t>
  </si>
  <si>
    <t>Contribution of Presbyterianism to the Maritime Provinces of Canada</t>
  </si>
  <si>
    <t>Scobie, Charles H.H.; Rawlyk, George A.</t>
  </si>
  <si>
    <t>BX9002.M37</t>
  </si>
  <si>
    <t>Electronic books. -- local; Maritime Provinces -- Social conditions.; Presbyterian Church -- Maritime Provinces -- History.</t>
  </si>
  <si>
    <t>http://public.eblib.com/choice/PublicFullRecord.aspx?p=3331449</t>
  </si>
  <si>
    <t>Ontario Hydro at the Millennium : Has Monopoly's Moment Passed?</t>
  </si>
  <si>
    <t>Daniels, Ronald J.</t>
  </si>
  <si>
    <t>HD9685.C4</t>
  </si>
  <si>
    <t>Electric utilities -- Ontario -- Congresses.; Electronic books. -- local; Hydroelectric power plants -- Ontario -- Congresses.; Ontario Hydro -- Congresses.</t>
  </si>
  <si>
    <t>http://public.eblib.com/choice/PublicFullRecord.aspx?p=3331450</t>
  </si>
  <si>
    <t>Faking Death : Canadian Art Photography and the Canadian Imagination</t>
  </si>
  <si>
    <t>Cousineau-Levine, Penny</t>
  </si>
  <si>
    <t>TR26</t>
  </si>
  <si>
    <t>Electronic books. -- local; Photography -- Canada.; Photography, Artistic.</t>
  </si>
  <si>
    <t>http://public.eblib.com/choice/PublicFullRecord.aspx?p=3331451</t>
  </si>
  <si>
    <t>History of the Liverpool Privateers and Letters of Marque with an Account of the Liverpool Slave Trade, 1744-1812</t>
  </si>
  <si>
    <t>Williams, Gomer</t>
  </si>
  <si>
    <t>DA77</t>
  </si>
  <si>
    <t>Electronic books. -- local; Liverpool (England) -- History, Naval.; Privateering.; Slave trade -- England -- Liverpool.</t>
  </si>
  <si>
    <t>http://public.eblib.com/choice/PublicFullRecord.aspx?p=3331452</t>
  </si>
  <si>
    <t>Fragile Social Fabric? : Fairness, Trust, and Commitment in Canada</t>
  </si>
  <si>
    <t>Breton, Raymond; Hartmann, Norbert J.; Lennards, Jos</t>
  </si>
  <si>
    <t>Canada -- Social conditions.; Civil society -- Canada.; Electronic books. -- local; Social participation -- Canada.; Social values -- Canada.</t>
  </si>
  <si>
    <t>http://public.eblib.com/choice/PublicFullRecord.aspx?p=3331453</t>
  </si>
  <si>
    <t>Angel in the Sun : Turner's Vision of History</t>
  </si>
  <si>
    <t>Finley, Gerald</t>
  </si>
  <si>
    <t>ND497.T8</t>
  </si>
  <si>
    <t>Electronic books. -- local; History in art.; Turner, J. M. W. -- (Joseph Mallord William), -- 1775-1851 -- Criticism and interpretation.</t>
  </si>
  <si>
    <t>http://public.eblib.com/choice/PublicFullRecord.aspx?p=3331454</t>
  </si>
  <si>
    <t>Bank of Canada : Origins and Early History /La Banque du Canada Origins et Premiéres années</t>
  </si>
  <si>
    <t>Watts, George S.; Rymes, Thomas K.</t>
  </si>
  <si>
    <t>HG2706 -- .W38 1993eb</t>
  </si>
  <si>
    <t>Bank of Canada -- History.; Banks and banking -- Canada.; Electronic books. -- local</t>
  </si>
  <si>
    <t>http://public.eblib.com/choice/PublicFullRecord.aspx?p=3331455</t>
  </si>
  <si>
    <t>Charlevoix : Two Centuries at Murray Bay</t>
  </si>
  <si>
    <t>Dubé, Philippe; Martin-Sperry, Tony</t>
  </si>
  <si>
    <t>F1054.C445</t>
  </si>
  <si>
    <t>Architecture, Domestic -- Québec (Province) -- Charlevoix Region.; Charlevoix Region (Québec) -- History.; Electronic books. -- local; La Malbaie (Québec) -- History.; Summer resorts -- Québec (Province) -- Charlevoix Region -- History.</t>
  </si>
  <si>
    <t>http://public.eblib.com/choice/PublicFullRecord.aspx?p=3331456</t>
  </si>
  <si>
    <t>Small Town in Modern Times : Alexandria, Ontario</t>
  </si>
  <si>
    <t>Rayside, David M.</t>
  </si>
  <si>
    <t>HN110A44R39 1991</t>
  </si>
  <si>
    <t>Alexandria (Ont.) -- Economic conditions.; Alexandria (Ont.) -- Politics and government.; Alexandria (Ont.) -- Social conditions.; Electronic books. -- local; History -- Ontario -- Alexandria.</t>
  </si>
  <si>
    <t>http://public.eblib.com/choice/PublicFullRecord.aspx?p=3331457</t>
  </si>
  <si>
    <t>Putting the Charter to Work : Designing a Constitutional Labour Code</t>
  </si>
  <si>
    <t>Beatty, David M.</t>
  </si>
  <si>
    <t>KE3109 -- .B43 1987eb</t>
  </si>
  <si>
    <t>344.71/01; 347.1041</t>
  </si>
  <si>
    <t>Civil rights -- Canada.; Electronic books. -- local; Judicial review -- Canada.; Labor laws and legislation -- Canada.</t>
  </si>
  <si>
    <t>http://public.eblib.com/choice/PublicFullRecord.aspx?p=3331458</t>
  </si>
  <si>
    <t>War Diary of Clare Gass : 1915-1918</t>
  </si>
  <si>
    <t>Gass, Clare; Mann, Susan</t>
  </si>
  <si>
    <t>CT310.G37</t>
  </si>
  <si>
    <t>Canada. -- Canadian Army. -- Royal Canadian Army Medical Corps -- Biography.; Electronic books. -- local; Gass, Clare, -- 1887-1968 -- Diaries.; Nurses -- Canada -- Diaries.; World War, 1914-1918 -- Medical care -- Canada.; World War, 1914-1918 -- Medical care -- France.; World War, 1914-1918 -- Personal narratives, Canadian.</t>
  </si>
  <si>
    <t>http://public.eblib.com/choice/PublicFullRecord.aspx?p=3331459</t>
  </si>
  <si>
    <t>Post Secondary Education in a Technological Society/L'enseignement Post-secondaire dans une société technologique</t>
  </si>
  <si>
    <t>McLeod, T.</t>
  </si>
  <si>
    <t>LB2301 -- .N88 1973eb</t>
  </si>
  <si>
    <t>Education, Higher -- Congresses.; Electronic books. -- local; Postsecondary education -- Congresses.</t>
  </si>
  <si>
    <t>http://public.eblib.com/choice/PublicFullRecord.aspx?p=3331460</t>
  </si>
  <si>
    <t>From Peacekeeping to Peacemaking : Canada's Response to the Yugoslav Crisis</t>
  </si>
  <si>
    <t>Gammer, Nicholas</t>
  </si>
  <si>
    <t>JZ6377.C2</t>
  </si>
  <si>
    <t>Canada. -- Canadian Armed Forces -- Yugoslavia.; Electronic books. -- local; International police -- History.; Peacekeeping forces -- Yugoslavia -- History.; United Nations -- Armed Forces -- History.</t>
  </si>
  <si>
    <t>http://public.eblib.com/choice/PublicFullRecord.aspx?p=3331461</t>
  </si>
  <si>
    <t>Diplomacy of Hope : Canada and Disarmament, 1945-1988</t>
  </si>
  <si>
    <t>Legault, Albert; Fortmann, Michel</t>
  </si>
  <si>
    <t>JX1974</t>
  </si>
  <si>
    <t>Arms control -- History -- 20th century.; Canada -- Foreign relations -- 1945-; Disarmament -- History -- 20th century.; Electronic books. -- local</t>
  </si>
  <si>
    <t>http://public.eblib.com/choice/PublicFullRecord.aspx?p=3331462</t>
  </si>
  <si>
    <t>Woman's Way Through Unknown Labrador</t>
  </si>
  <si>
    <t>Hubbard, Mina  Benson; Grace, Sherrill  E</t>
  </si>
  <si>
    <t>F1137.H83</t>
  </si>
  <si>
    <t>Discoveries in geography.; Electronic books. -- local; Hubbard, Leonidas, -- 1872-1903.; Hubbard, Mina.; Labrador (N.L.) -- Description and travel.</t>
  </si>
  <si>
    <t>http://public.eblib.com/choice/PublicFullRecord.aspx?p=3331463</t>
  </si>
  <si>
    <t>A Rich Broth : Memoirs of a Canadian Diplomat</t>
  </si>
  <si>
    <t>Reece, David C.</t>
  </si>
  <si>
    <t>F1034.3.R44 -- A3 1993eb</t>
  </si>
  <si>
    <t>327.2/092</t>
  </si>
  <si>
    <t>Canada -- Foreign relations.; Diplomatic and consular service, Canadian -- Biography.; Diplomats -- Canada -- Biography.; Electronic books. -- local; Reece, David, -- 1926-</t>
  </si>
  <si>
    <t>http://public.eblib.com/choice/PublicFullRecord.aspx?p=3331464</t>
  </si>
  <si>
    <t>Intolerance : A General Survay</t>
  </si>
  <si>
    <t>Noël, Lise; Bennett, Arnold</t>
  </si>
  <si>
    <t>HM276 -- .N641 1994eb</t>
  </si>
  <si>
    <t>Discrimination.; Electronic books. -- local; Social psychology.; Toleration.</t>
  </si>
  <si>
    <t>http://public.eblib.com/choice/PublicFullRecord.aspx?p=3331465</t>
  </si>
  <si>
    <t>Queen's University, Volume I : To Strive, to Seek, to Find and Not to Yield, 1841-1917</t>
  </si>
  <si>
    <t>Neatby, Hilda; Gibson, Frederick W.; Graham, Roger</t>
  </si>
  <si>
    <t>LE3.Q33 -- N43 1978eb</t>
  </si>
  <si>
    <t>http://public.eblib.com/choice/PublicFullRecord.aspx?p=3331466</t>
  </si>
  <si>
    <t>Coalescence of Styles : The Ethnic Heritage of St John River Valley Regional Furniture, 1763-1851</t>
  </si>
  <si>
    <t>Cook, Jane L.</t>
  </si>
  <si>
    <t>NK2442.N46</t>
  </si>
  <si>
    <t>Electronic books. -- local; Furniture -- Saint John River Valley (Me. and N.B.) -- History.; Furniture making -- Saint John River Valley (Me. and N.B.) -- History.; Saint John River Valley (Me. and N.B.) -- History.</t>
  </si>
  <si>
    <t>http://public.eblib.com/choice/PublicFullRecord.aspx?p=3331467</t>
  </si>
  <si>
    <t>Game Planners : Transforming Canada's Sport System</t>
  </si>
  <si>
    <t>Whitson, David</t>
  </si>
  <si>
    <t>GV585.M24 1994</t>
  </si>
  <si>
    <t>Electronic books. -- local; Sports -- Canada.; Sports and state -- Canada.</t>
  </si>
  <si>
    <t>http://public.eblib.com/choice/PublicFullRecord.aspx?p=3331468</t>
  </si>
  <si>
    <t>Shifting Sands : Government-Group Relationships in the Health Care Sector</t>
  </si>
  <si>
    <t>Boase, Joan Price</t>
  </si>
  <si>
    <t>RA184</t>
  </si>
  <si>
    <t>Electronic books. -- local; Medical policy -- Alberta.; Medical policy -- Canada.; Medical policy -- Nova Scotia.; Medical policy -- Ontario.; Medical policy -- Québec (Province)</t>
  </si>
  <si>
    <t>http://public.eblib.com/choice/PublicFullRecord.aspx?p=3331469</t>
  </si>
  <si>
    <t>Schools of Sympathy : Gender and Identification Through the Novel</t>
  </si>
  <si>
    <t>Roberts, Nancy</t>
  </si>
  <si>
    <t>PR830.F45</t>
  </si>
  <si>
    <t>American fiction -- History and criticism.; English fiction -- History and criticism.; Feminism and literature -- Great Britain -- History.; Feminism and literature.; Gender identity in literature.; Sympathy in literature.; Victims in literature.</t>
  </si>
  <si>
    <t>http://public.eblib.com/choice/PublicFullRecord.aspx?p=3331470</t>
  </si>
  <si>
    <t>Dialectic of Love : Platonism in Schiller's Aesthetics</t>
  </si>
  <si>
    <t>Pugh, David</t>
  </si>
  <si>
    <t>PT2496.E8</t>
  </si>
  <si>
    <t>Electronic books. -- local; Platonists.; Schiller, Friedrich, -- 1759-1805 -- Aesthetics.</t>
  </si>
  <si>
    <t>http://public.eblib.com/choice/PublicFullRecord.aspx?p=3331471</t>
  </si>
  <si>
    <t>Cream of the Crop : Canadian Aircrew, 1939-1945</t>
  </si>
  <si>
    <t>D792.C2</t>
  </si>
  <si>
    <t>Aeronautics, Military -- Canada -- Psychological aspects -- History.; Airmen -- Training of -- Canada -- History.; Canada. -- Royal Canadian Air Force -- Recruiting, enlistment, etc. -- World War, 1939-1945.; Electronic books. -- local; World War, 1939-1945 -- Aerial operations, Canadian.</t>
  </si>
  <si>
    <t>http://public.eblib.com/choice/PublicFullRecord.aspx?p=3331472</t>
  </si>
  <si>
    <t>Politics and Ideology in Canada : Elite and Public Opinion in the Transformation of the Welfare State</t>
  </si>
  <si>
    <t>Ornstein, Michael; Stevenson, Michael</t>
  </si>
  <si>
    <t>Canada -- Politics and government -- 1980-; Electronic books. -- local; Elite (Social sciences) -- Canada -- Attitudes.; Public opinion -- Canada.; Quality of life -- Canada -- Public opinion.</t>
  </si>
  <si>
    <t>http://public.eblib.com/choice/PublicFullRecord.aspx?p=3331473</t>
  </si>
  <si>
    <t>Restructuring Societies : Insights from the Social Sciences</t>
  </si>
  <si>
    <t>Knight, David B.; Joseph, Alun E.</t>
  </si>
  <si>
    <t>HN17.5 -- .R48 1999eb</t>
  </si>
  <si>
    <t>Electronic books. -- local; Social change.; Social policy.; Social sciences.</t>
  </si>
  <si>
    <t>http://public.eblib.com/choice/PublicFullRecord.aspx?p=3331474</t>
  </si>
  <si>
    <t>Unemployment Crisis : All for Nought?</t>
  </si>
  <si>
    <t>MacLean, Brian K.; Osberg, Lars</t>
  </si>
  <si>
    <t>HD5728</t>
  </si>
  <si>
    <t>Canada -- Economic policy.; Electronic books. -- local; Manpower policy -- Canada.; Unemployment -- Canada.</t>
  </si>
  <si>
    <t>http://public.eblib.com/choice/PublicFullRecord.aspx?p=3331475</t>
  </si>
  <si>
    <t>True Poetry : Traditional and Popular Verse in Ontario</t>
  </si>
  <si>
    <t>PR8925.O5</t>
  </si>
  <si>
    <t>Canadian poetry -- Ontario -- History and criticism.; Electronic books. -- local; Folk poetry, Canada -- Ontario -- History and criticism.</t>
  </si>
  <si>
    <t>http://public.eblib.com/choice/PublicFullRecord.aspx?p=3331476</t>
  </si>
  <si>
    <t>Evangelical Century : College and Creed in English Canada from the Great Revival to the Great Depression</t>
  </si>
  <si>
    <t>Gauvreau, Michael</t>
  </si>
  <si>
    <t>Canada -- Church history.; Electronic books. -- local; Evangelicalism -- Canada -- History.</t>
  </si>
  <si>
    <t>http://public.eblib.com/choice/PublicFullRecord.aspx?p=3331477</t>
  </si>
  <si>
    <t>Suspended Conversations : The Afterlife of Memory in Photographic Albums</t>
  </si>
  <si>
    <t>Langford, Martha; McCord Museum of Canadian History Staff</t>
  </si>
  <si>
    <t>Fine Arts; Geography/Travel</t>
  </si>
  <si>
    <t>TR650</t>
  </si>
  <si>
    <t>Electronic books. -- local; Musée McCord d''histoire canadienne.; Oral tradition.; Photograph albums -- Social aspects.; Photographs in genealogy.; Photography in historiography.</t>
  </si>
  <si>
    <t>http://public.eblib.com/choice/PublicFullRecord.aspx?p=3331478</t>
  </si>
  <si>
    <t>Canada's Cold Environments</t>
  </si>
  <si>
    <t>French, Hugh M.; Slaymaker, Olav</t>
  </si>
  <si>
    <t>Science; Science: Geology; Geography/Travel</t>
  </si>
  <si>
    <t>GB648.15</t>
  </si>
  <si>
    <t>Cold regions.; Electronic books. -- local; Natural history -- Canada, Northern.; Natural history -- Canada.; Physical geography -- Canada, Northern.; Physical geography -- Canada.</t>
  </si>
  <si>
    <t>http://public.eblib.com/choice/PublicFullRecord.aspx?p=3331479</t>
  </si>
  <si>
    <t>Particular Condition in Life : Self-Employment and Social Mobility in Mid-Victorian Brantford, Ontario</t>
  </si>
  <si>
    <t>Burley, David G.</t>
  </si>
  <si>
    <t>HN110.B68</t>
  </si>
  <si>
    <t>Brantford (Ont.) -- Social conditions -- 19th century.; Electronic books. -- local; Labor market -- Ontario -- Brantford -- History -- 19th century.; Social mobility -- Ontario -- Brantford -- History -- 19th century.</t>
  </si>
  <si>
    <t>http://public.eblib.com/choice/PublicFullRecord.aspx?p=3331480</t>
  </si>
  <si>
    <t>Faces in the Forest : First Nations Art Created on Living Trees</t>
  </si>
  <si>
    <t>Blackstock, Michael D.</t>
  </si>
  <si>
    <t>E98.A7</t>
  </si>
  <si>
    <t>Electronic books. -- local; Indian art -- British Columbia.; Indian art -- Yukon.; Indians of North America -- British Columbia -- Religion.; Indians of North America -- Yukon -- Religion.</t>
  </si>
  <si>
    <t>http://public.eblib.com/choice/PublicFullRecord.aspx?p=3331481</t>
  </si>
  <si>
    <t>Power at Cost : Ontario Hydro and Rural Electrification, 1911-1958</t>
  </si>
  <si>
    <t>Fleming, Keith R.</t>
  </si>
  <si>
    <t>HD9685.C4 -- O5744 1992eb</t>
  </si>
  <si>
    <t>Electronic books. -- local; Ontario Hydro.; Rural electrification -- Ontario -- History.</t>
  </si>
  <si>
    <t>http://public.eblib.com/choice/PublicFullRecord.aspx?p=3331482</t>
  </si>
  <si>
    <t>Brian Moore : A Critical Study</t>
  </si>
  <si>
    <t>O'Donoghue, Jo</t>
  </si>
  <si>
    <t>PR9199.3.M617 -- Z6 1991eb</t>
  </si>
  <si>
    <t>Canadian literature.; Electronic books. -- local; Moore, Brian, -- 1921-1999 -- Criticism and interpretation.</t>
  </si>
  <si>
    <t>http://public.eblib.com/choice/PublicFullRecord.aspx?p=3331483</t>
  </si>
  <si>
    <t>Grow Home</t>
  </si>
  <si>
    <t>Friedman, Avi</t>
  </si>
  <si>
    <t>NA7520</t>
  </si>
  <si>
    <t>Dwellings -- Design and construction -- Economic aspects.; Dwellings -- Design and construction.; Electronic books. -- local</t>
  </si>
  <si>
    <t>http://public.eblib.com/choice/PublicFullRecord.aspx?p=3331484</t>
  </si>
  <si>
    <t>Making a Middle Class : Student Life in English Canada during the Thirties</t>
  </si>
  <si>
    <t>LA417.7</t>
  </si>
  <si>
    <t>College students -- Canada -- History -- 20th century.; Electronic books. -- local; Universities and colleges -- Social aspects -- Canada -- History -- 20th century.</t>
  </si>
  <si>
    <t>http://public.eblib.com/choice/PublicFullRecord.aspx?p=3331485</t>
  </si>
  <si>
    <t>Tales for an Unknown City : Stores from One Thousand and One Friday Nights of Storytelling</t>
  </si>
  <si>
    <t>Yashinsky, Dan</t>
  </si>
  <si>
    <t>GR113.T67</t>
  </si>
  <si>
    <t>Electronic books. -- local; Folklore -- Ontario -- Toronto.; Tales -- Ontario -- Toronto.</t>
  </si>
  <si>
    <t>http://public.eblib.com/choice/PublicFullRecord.aspx?p=3331486</t>
  </si>
  <si>
    <t>Plunder, Profit, and Paroles : A Social History of the War of 1812 in Upper Canada</t>
  </si>
  <si>
    <t>Sheppard, George</t>
  </si>
  <si>
    <t>E359.85 -- .S54 1994eb</t>
  </si>
  <si>
    <t>Canada -- Economic conditions -- 19th century.; Canada -- History -- 1791-1841.; Canada -- Social conditions -- 19th century.; Electronic books. -- local; United States -- History -- War of 1812 -- Social aspects.</t>
  </si>
  <si>
    <t>http://public.eblib.com/choice/PublicFullRecord.aspx?p=3331487</t>
  </si>
  <si>
    <t>Transforming Psyche</t>
  </si>
  <si>
    <t>Huber, Barbara Weir</t>
  </si>
  <si>
    <t>HQ1206</t>
  </si>
  <si>
    <t>Electronic books. -- local; Psyche (Greek deity); Women -- Psychology.</t>
  </si>
  <si>
    <t>http://public.eblib.com/choice/PublicFullRecord.aspx?p=3331488</t>
  </si>
  <si>
    <t>Sun in Winter : A Toronto Wartime Journal, 1942-1945</t>
  </si>
  <si>
    <t>Electronic books. -- local; Lambton, Gunda, -- 1914- -- Diaries.; Lambton, Gunda, -- 1914- -- Journal intime.; Toronto (Ont.) -- Social conditions.; World War, 1939-1945 -- Ontario -- Toronto.; World War, 1939-1945 -- Personal narratives, British.; World War, 1939-1945 -- Personal narratives, German.</t>
  </si>
  <si>
    <t>http://public.eblib.com/choice/PublicFullRecord.aspx?p=3331489</t>
  </si>
  <si>
    <t>Natives and Newcomers : Canada's "Heroic Age" Reconsidered</t>
  </si>
  <si>
    <t>Trigger, Bruce</t>
  </si>
  <si>
    <t>Canada -- History -- To 1763 (New France); Electronic books. -- local; Indians of North America -- Canada -- History.</t>
  </si>
  <si>
    <t>http://public.eblib.com/choice/PublicFullRecord.aspx?p=3331490</t>
  </si>
  <si>
    <t>National Soul : Canadian Mural Painting, 1860s - 1930s</t>
  </si>
  <si>
    <t>McKay, Marylin J.</t>
  </si>
  <si>
    <t>ND2641 M33 2002</t>
  </si>
  <si>
    <t>Electronic books. -- local; Mural painting and decoration -- Canada.; Painting -- Canada.</t>
  </si>
  <si>
    <t>http://public.eblib.com/choice/PublicFullRecord.aspx?p=3331491</t>
  </si>
  <si>
    <t>New Canadian Political Economy</t>
  </si>
  <si>
    <t>Clement, Wallace; Williams, Glen</t>
  </si>
  <si>
    <t>Canada -- Economic conditions.; Capitalism -- Canada -- History.; Economics -- Canada -- History.; Electronic books. -- local; Radical economics.</t>
  </si>
  <si>
    <t>http://public.eblib.com/choice/PublicFullRecord.aspx?p=3331492</t>
  </si>
  <si>
    <t>Poetic Argument : Studies in Modern Poetry</t>
  </si>
  <si>
    <t>Kertzer, Jonathan</t>
  </si>
  <si>
    <t>Literature; Geography/Travel</t>
  </si>
  <si>
    <t>PS310.M57</t>
  </si>
  <si>
    <t>American poetry -- 20th century -- History and criticism.; Electronic books. -- local; English poetry -- 20th century -- History and criticism.; Modernism (Literature) -- Great Britain.; Modernism (Literature) -- United States.</t>
  </si>
  <si>
    <t>http://public.eblib.com/choice/PublicFullRecord.aspx?p=3331493</t>
  </si>
  <si>
    <t>Survival by Association : Supply Management Landscapes of the Eastern Caribbean</t>
  </si>
  <si>
    <t>Welch, Barbara M.</t>
  </si>
  <si>
    <t>HD9259.B3</t>
  </si>
  <si>
    <t>Banana growers -- Antilles, Lesser -- Societies, etc. -- History.; Banana trade -- Antilles, Lesser -- History -- 20th century.; Electronic books. -- local; Land use, Rural -- Antilles, Lesser -- History -- 20th century.</t>
  </si>
  <si>
    <t>http://public.eblib.com/choice/PublicFullRecord.aspx?p=3331494</t>
  </si>
  <si>
    <t>From Outpost to Outport : A Structural Analysis of the Jersey-Gaspé Cod Fishery, 1767-1886</t>
  </si>
  <si>
    <t>Ommer, Rosemary E.</t>
  </si>
  <si>
    <t>HD9464.C22</t>
  </si>
  <si>
    <t>Cod fisheries -- Québec (Province) -- Gaspé Peninsula -- History.; Electronic books. -- local; Fish trade -- Channel Islands -- Jersey -- History.; Fish trade -- Québec (Province) -- Gaspé Peninsula -- History.; Gaspé Peninsula (Québec) -- Commerce -- Channel Islands -- Jersey -- History.; Jersey (Channel Islands) -- Commerce -- Québec (Province) -- Gaspé Peninsula -- History.</t>
  </si>
  <si>
    <t>http://public.eblib.com/choice/PublicFullRecord.aspx?p=3331495</t>
  </si>
  <si>
    <t>Diary of a European Tour, 1900</t>
  </si>
  <si>
    <t>Addison, Margaret; O'Grady, Jean</t>
  </si>
  <si>
    <t>Geography/Travel; Education</t>
  </si>
  <si>
    <t>LE3.T618</t>
  </si>
  <si>
    <t>Addison, Margaret, -- 1868-1940 -- Travel -- Europe.; Addison,, Margaret, -- 1868-1940 -- Diaries.; Electronic books. -- local; Europe -- Description and travel.</t>
  </si>
  <si>
    <t>http://public.eblib.com/choice/PublicFullRecord.aspx?p=3331497</t>
  </si>
  <si>
    <t>Listening In : The First Decade of Canadian Broadcasting, 1922-1932</t>
  </si>
  <si>
    <t>Vipond, Mary</t>
  </si>
  <si>
    <t>PN1991.3.C3</t>
  </si>
  <si>
    <t>Broadcasting -- Canada.; Electronic books. -- local; Radio broadcasting -- Canada -- History.</t>
  </si>
  <si>
    <t>http://public.eblib.com/choice/PublicFullRecord.aspx?p=3331498</t>
  </si>
  <si>
    <t>Peter M. Pringle, Master Decoy Maker</t>
  </si>
  <si>
    <t>NK9798.P73</t>
  </si>
  <si>
    <t>Decoys (Hunting) -- Canada -- Pictorial works.; Electronic books. -- local; Pringle, Peter M., -- 1878-1953.; Wood-carvers -- Canada -- Biography.</t>
  </si>
  <si>
    <t>http://public.eblib.com/choice/PublicFullRecord.aspx?p=3331499</t>
  </si>
  <si>
    <t>Federfuchser/Penpusher from Lessing to Grillparzer : A Study Focused on Grillparzer's Ein Bruderzwist in Habsburg</t>
  </si>
  <si>
    <t>PT2259.B8</t>
  </si>
  <si>
    <t>Electronic books. -- local; German drama -- 18th century -- History and criticism.; German drama -- 19th century -- History and criticism.; Grillparzer, Franz, -- 1791-1872. -- Bruderzwist in Habsburg.; Secretaries in literature.</t>
  </si>
  <si>
    <t>http://public.eblib.com/choice/PublicFullRecord.aspx?p=3331500</t>
  </si>
  <si>
    <t>Feminist Research Prospect and Retrospect/Recherche Féministe Bilan et Perspectives D'avenir</t>
  </si>
  <si>
    <t>Tancred-Sheriff, P.</t>
  </si>
  <si>
    <t>HQ1206 -- .F4519951988eb</t>
  </si>
  <si>
    <t>Electronic books. -- local; Women -- Psychology.; Women''s studies.</t>
  </si>
  <si>
    <t>http://public.eblib.com/choice/PublicFullRecord.aspx?p=3331501</t>
  </si>
  <si>
    <t>Harriet Brooks : Pioneer Nuclear Nuclear Scientist</t>
  </si>
  <si>
    <t>Rayner-Canham, Marelene F.; Rayner-Canham, Geoffrey W.</t>
  </si>
  <si>
    <t>QC16.B79 -- R39 1992eb</t>
  </si>
  <si>
    <t>Brooks, Harriet, -- 1876-1933.; Electronic books. -- local; Women physicists -- Canada -- Biography.</t>
  </si>
  <si>
    <t>http://public.eblib.com/choice/PublicFullRecord.aspx?p=3331502</t>
  </si>
  <si>
    <t>Styles of Meaning and Meanings of Style in Richardson's Clarissa</t>
  </si>
  <si>
    <t>Fulton, Gordon</t>
  </si>
  <si>
    <t>PR3664.C43</t>
  </si>
  <si>
    <t>Electronic books. -- local; English literature.; Richardson, Samuel, -- 1689-1761 -- Literary style.; Richardson, Samuel, -- 1689-1761. -- Clarissa.</t>
  </si>
  <si>
    <t>http://public.eblib.com/choice/PublicFullRecord.aspx?p=3331503</t>
  </si>
  <si>
    <t>Ingmar Bergman : Magician and Prophet</t>
  </si>
  <si>
    <t>Gervais, Marc; Ullmann, Liv</t>
  </si>
  <si>
    <t>PN1998.3.B47</t>
  </si>
  <si>
    <t>Bergman, Ingmar, -- 1918-2007 -- Criticism and interpretation.; Electronic books. -- local; Motion pictures -- Biography.</t>
  </si>
  <si>
    <t>http://public.eblib.com/choice/PublicFullRecord.aspx?p=3331504</t>
  </si>
  <si>
    <t>Lives of Dalhousie University, Volume II,1925-1980 : The Old College Transformed</t>
  </si>
  <si>
    <t>LE3.D32 -- W35 1998eb</t>
  </si>
  <si>
    <t>Dalhousie University -- History.; Electronic books. -- local; Universities and colleges -- Canada.</t>
  </si>
  <si>
    <t>http://public.eblib.com/choice/PublicFullRecord.aspx?p=3331505</t>
  </si>
  <si>
    <t>George Costakis : A Russian Life in Art</t>
  </si>
  <si>
    <t>Roberts, Peter</t>
  </si>
  <si>
    <t>N5257.2.C68 -- R63 1993eb</t>
  </si>
  <si>
    <t>Costakis, Georgi -- Art collections.; Costakis, Georgi.; Electronic books. -- local; Painting, Modern -- 20th century -- Soviet Union.; Painting, Russian -- Collectors and collecting -- Soviet Union -- Biography.; Painting, Russian -- Private collections -- Soviet Union.; Painting, Russian.</t>
  </si>
  <si>
    <t>http://public.eblib.com/choice/PublicFullRecord.aspx?p=3331506</t>
  </si>
  <si>
    <t>Battle Exhaustion : Soldiers and Paychiatrists in the Canadian Army, 1939-1945</t>
  </si>
  <si>
    <t>Copp, Terry; McAndrew, Bill</t>
  </si>
  <si>
    <t>UH629.5.C3 -- C66 1990eb</t>
  </si>
  <si>
    <t>940.54/7571</t>
  </si>
  <si>
    <t>Canada. -- Canadian Army -- History -- World War, 1939-1945.; Canada. -- Canadian Army -- Medical care -- History.; Electronic books. -- local; Military psychiatry.; World War, 1939-1945 -- Canada.; World War, 1939-1945 -- Psychological aspects.</t>
  </si>
  <si>
    <t>http://public.eblib.com/choice/PublicFullRecord.aspx?p=3331507</t>
  </si>
  <si>
    <t>National Gallery of Canada : Ideas, Art, Architecture</t>
  </si>
  <si>
    <t>Ord, Douglas</t>
  </si>
  <si>
    <t>N910.O7 -- O74 2003eb</t>
  </si>
  <si>
    <t>Art museums -- Canada.; Electronic books. -- local; National Gallery of Canada.</t>
  </si>
  <si>
    <t>http://public.eblib.com/choice/PublicFullRecord.aspx?p=3331508</t>
  </si>
  <si>
    <t>Architecture, Ethics, and Technology/Architecture Éthique et Technologie</t>
  </si>
  <si>
    <t>Published for l'Institut de recherche en histoire de l'architecture</t>
  </si>
  <si>
    <t>Pelletier, Louise; Pérez-Gómez, Alberto</t>
  </si>
  <si>
    <t>NA2543.T43 -- A72 1994eb</t>
  </si>
  <si>
    <t>Architectural writing -- Congresses.; Architecture -- Moral and ethical aspects -- Congresses.; Architecture -- Technological innovations -- Congresses.; Electronic books. -- local</t>
  </si>
  <si>
    <t>http://public.eblib.com/choice/PublicFullRecord.aspx?p=3331509</t>
  </si>
  <si>
    <t>Development of Postwar Canadian Trade Policy : The Failure of the Anglo-European Option</t>
  </si>
  <si>
    <t>Muirhead, B.</t>
  </si>
  <si>
    <t>HF1479</t>
  </si>
  <si>
    <t>Canada -- Commercial policy.; Canada -- Economic conditions -- 1945-; Canada -- Foreign economic relations.; Electronic books. -- local; History -- Canada -- 1945-</t>
  </si>
  <si>
    <t>http://public.eblib.com/choice/PublicFullRecord.aspx?p=3331510</t>
  </si>
  <si>
    <t>Political Choices and Electoral Consequences : a Study of Organization Labour and the New Democratic Party</t>
  </si>
  <si>
    <t>Archer, K.</t>
  </si>
  <si>
    <t>HD6527 -- .A73 1990eb</t>
  </si>
  <si>
    <t>322/.2/0971</t>
  </si>
  <si>
    <t>Electronic books. -- local; Labor unions -- Canada -- Political activity.; New Democratic Party.</t>
  </si>
  <si>
    <t>http://public.eblib.com/choice/PublicFullRecord.aspx?p=3331511</t>
  </si>
  <si>
    <t>Canadian Baptists and Christian Higher Education</t>
  </si>
  <si>
    <t>LC623</t>
  </si>
  <si>
    <t>Baptists -- Education -- Canada -- History.; Christian universities and colleges -- Canada -- History.; Electronic books. -- local</t>
  </si>
  <si>
    <t>http://public.eblib.com/choice/PublicFullRecord.aspx?p=3331512</t>
  </si>
  <si>
    <t>Law of Multi-Bank Financing</t>
  </si>
  <si>
    <t>Mugasha, Agasha</t>
  </si>
  <si>
    <t>KE1030</t>
  </si>
  <si>
    <t>Commercial loans -- Law and legislation -- Canada.; Electronic books. -- local; Syndicates (Finance) -- Canada.</t>
  </si>
  <si>
    <t>http://public.eblib.com/choice/PublicFullRecord.aspx?p=3331513</t>
  </si>
  <si>
    <t>Postmodern Canadian Fiction and the Rhetoric of Authority</t>
  </si>
  <si>
    <t>Deer, Glenn</t>
  </si>
  <si>
    <t>Canadian fiction -- 20th century -- History and criticism.; Electronic books. -- local; Postmodernism (Literature) -- Canada.</t>
  </si>
  <si>
    <t>http://public.eblib.com/choice/PublicFullRecord.aspx?p=3331514</t>
  </si>
  <si>
    <t>Charles Baillairgé : Architect and Engineer</t>
  </si>
  <si>
    <t>Cameron, Christina</t>
  </si>
  <si>
    <t>NA749.B3</t>
  </si>
  <si>
    <t>Architects -- Canada -- Biography.; Architecture -- Canada -- 19th century.; Baillairgé, Charles P. Florent, -- 1827-1906.; Electronic books. -- local</t>
  </si>
  <si>
    <t>http://public.eblib.com/choice/PublicFullRecord.aspx?p=3331515</t>
  </si>
  <si>
    <t>Visible Histories : Women and Environments in a Post-War British City</t>
  </si>
  <si>
    <t>Mackenzie, Suzanne</t>
  </si>
  <si>
    <t>HQ1600.B68 -- M33 1989eb</t>
  </si>
  <si>
    <t>Brighton (England) -- Social conditions.; Electronic books. -- local; Women -- Employment -- England -- Brighton.; Women -- England -- Brighton -- Social conditions.</t>
  </si>
  <si>
    <t>http://public.eblib.com/choice/PublicFullRecord.aspx?p=3331516</t>
  </si>
  <si>
    <t>Making Fast Food : From the Frying Pan into the Fryer</t>
  </si>
  <si>
    <t>Reiter, Ester</t>
  </si>
  <si>
    <t>HD8039.H8 -- R457 1991eb</t>
  </si>
  <si>
    <t>Convenience foods.; Electronic books. -- local; Fast food restaurants -- Employees.; Food industry and trade -- Employees.</t>
  </si>
  <si>
    <t>http://public.eblib.com/choice/PublicFullRecord.aspx?p=3331517</t>
  </si>
  <si>
    <t>James's Will-To-Believe Doctrine : A Heretical View</t>
  </si>
  <si>
    <t>Wernham, James C.S.</t>
  </si>
  <si>
    <t>B945.J24</t>
  </si>
  <si>
    <t>Belief and doubt.; Electronic books. -- local; James, William, -- 1842-1910. -- Will to believe.</t>
  </si>
  <si>
    <t>http://public.eblib.com/choice/PublicFullRecord.aspx?p=3331518</t>
  </si>
  <si>
    <t>English River Book : A North West Company Journal and Account Book of 1786</t>
  </si>
  <si>
    <t>Duckworth, Harry W.; North West Company,</t>
  </si>
  <si>
    <t>F1060.7 -- .N63 1990eb</t>
  </si>
  <si>
    <t>Electronic books. -- local; Fur trade -- Northwest, Canadian -- History -- 18th century.; North West Company -- History -- 18th century.; Northwest, Canadian -- History.</t>
  </si>
  <si>
    <t>http://public.eblib.com/choice/PublicFullRecord.aspx?p=3331519</t>
  </si>
  <si>
    <t>Language, Schooling, and Cultural Conflict : The Origins of the French-Language Controversy in Ontario</t>
  </si>
  <si>
    <t>Gaffield, Chad</t>
  </si>
  <si>
    <t>F1059.P74</t>
  </si>
  <si>
    <t>Electronic books. -- local; French language -- Ontario -- Prescott (County); Language and education -- Ontario -- Prescott (County) -- History -- 19th century.; Ontario -- English-French relations.; Prescott (Ont. : County) -- History.</t>
  </si>
  <si>
    <t>http://public.eblib.com/choice/PublicFullRecord.aspx?p=3331520</t>
  </si>
  <si>
    <t>Between Principle and Practice : Human Rights in North-South Relations</t>
  </si>
  <si>
    <t>JC599.A78</t>
  </si>
  <si>
    <t>Electronic books. -- local; Human rights -- Asia -- Case studies.; Human rights -- Developing countries -- Case studies.; Netherlands -- Foreign relations -- 1948-; Norway -- Foreign relations -- 1945-</t>
  </si>
  <si>
    <t>http://public.eblib.com/choice/PublicFullRecord.aspx?p=3331521</t>
  </si>
  <si>
    <t>Divorcing Marriage : Unveiling the Dangers in Canada’s New Social Experiment</t>
  </si>
  <si>
    <t>Cere, Daniel; Farrow, Douglas; Institute for the Study of Marriage, Law, and Cult</t>
  </si>
  <si>
    <t>HQ1034.C2 -- D58 2004eb</t>
  </si>
  <si>
    <t>306.84/8/0971</t>
  </si>
  <si>
    <t>Electronic books. -- local; Same-sex marriage -- Canada.; Same-sex marriage -- Law and legislation -- Canada.</t>
  </si>
  <si>
    <t>http://public.eblib.com/choice/PublicFullRecord.aspx?p=3331522</t>
  </si>
  <si>
    <t>Ireland and the Federal Solution : The Debate Over the United Kingdom Constitution, 1870-1921</t>
  </si>
  <si>
    <t>Kendle, J.</t>
  </si>
  <si>
    <t>DA960 -- .K45 1989eb</t>
  </si>
  <si>
    <t>Constitutional history -- Great Britain.; Electronic books. -- local; Great Britain -- Politics and government -- 1837-1901.; Great Britain -- Politics and government -- 1901-1936.; Home rule -- Ireland.; Home rule -- Scotland.; Home rule -- Wales.</t>
  </si>
  <si>
    <t>http://public.eblib.com/choice/PublicFullRecord.aspx?p=3331523</t>
  </si>
  <si>
    <t>Pragmatic Idealism : Canadian Foreign Policy, 1945-1995</t>
  </si>
  <si>
    <t>Melakopides, Costas</t>
  </si>
  <si>
    <t>Canada -- Foreign relations -- 1945-; Electronic books. -- local; History -- Canada -- 1945-</t>
  </si>
  <si>
    <t>http://public.eblib.com/choice/PublicFullRecord.aspx?p=3331524</t>
  </si>
  <si>
    <t>Close Ties : Railways, Covernment, and the Board of Railway Comissioners, 1851-1933</t>
  </si>
  <si>
    <t>Cruikshank, K.</t>
  </si>
  <si>
    <t>HE2807 -- .C78 1991eb</t>
  </si>
  <si>
    <t>Board of Railway Commissioners for Canada -- History.; Electronic books. -- local; Railroads -- Canada -- Rates -- History.; Railroads and state -- Canada -- History.</t>
  </si>
  <si>
    <t>http://public.eblib.com/choice/PublicFullRecord.aspx?p=3331525</t>
  </si>
  <si>
    <t>Logging the Globe</t>
  </si>
  <si>
    <t>HD9750.5</t>
  </si>
  <si>
    <t>Electronic books. -- local; Forests and forestry -- Economic aspects.; Forests and forestry -- Environmental aspects.; Logging -- Economic aspects.; Logging -- Environmental aspects.</t>
  </si>
  <si>
    <t>http://public.eblib.com/choice/PublicFullRecord.aspx?p=3331526</t>
  </si>
  <si>
    <t>Ill-Made Alliance : Anglo-Turkish Relation, 1939-1940</t>
  </si>
  <si>
    <t>Millman, Brock</t>
  </si>
  <si>
    <t>DA47.9.T8 -- M55 1998eb</t>
  </si>
  <si>
    <t>Electronic books. -- local; Great Britain -- Relations -- Turkey.; International relations.; Turkey -- Relations -- Great Britain.</t>
  </si>
  <si>
    <t>http://public.eblib.com/choice/PublicFullRecord.aspx?p=3331527</t>
  </si>
  <si>
    <t>Ideology and Class Conflict in Jamaica : The Politics of Rebellion</t>
  </si>
  <si>
    <t>Bakan, Abigail B.</t>
  </si>
  <si>
    <t>F1886</t>
  </si>
  <si>
    <t>Electronic books. -- local; Insurgency -- Jamaica -- History.; Jamaica -- History -- To 1962.; Jamaica -- Race relations.; Racism -- Jamaica -- History.; Social conflict -- Jamaica -- History.</t>
  </si>
  <si>
    <t>http://public.eblib.com/choice/PublicFullRecord.aspx?p=3331528</t>
  </si>
  <si>
    <t>Prince Michael Vorontsov : Viceroy to the Tsar</t>
  </si>
  <si>
    <t>Rhinelander, Anthony L.H.</t>
  </si>
  <si>
    <t>DK209.6.V67</t>
  </si>
  <si>
    <t>Colonial administrators -- Soviet Union, Southern -- Biography.; Russia -- Politics and government -- 1825-1855.; Voron︠t︡sov, Mikhail Semenovich, -- kn︠i︡azʹ, -- 1782-1856.</t>
  </si>
  <si>
    <t>http://public.eblib.com/choice/PublicFullRecord.aspx?p=3331529</t>
  </si>
  <si>
    <t>In Search of Paradise : The Odyssey of an Italian Family</t>
  </si>
  <si>
    <t>Gabori, Susan</t>
  </si>
  <si>
    <t>F1059.5.T67</t>
  </si>
  <si>
    <t>Canada -- Emigration and immigration -- History.; Electronic books. -- local; Italians -- Ontario -- Toronto -- History -- 20th century.; Italy -- Emigration and immigration -- History.</t>
  </si>
  <si>
    <t>http://public.eblib.com/choice/PublicFullRecord.aspx?p=3331530</t>
  </si>
  <si>
    <t>Le Privilege Parliamentaire au Canada</t>
  </si>
  <si>
    <t>Maingot, J.</t>
  </si>
  <si>
    <t>KE4578 -- .M3514 1997eb</t>
  </si>
  <si>
    <t>Canada. -- Parliament -- Privileges and immunities.; Constitutional law -- Canada.; Electronic books. -- local</t>
  </si>
  <si>
    <t>http://public.eblib.com/choice/PublicFullRecord.aspx?p=3331531</t>
  </si>
  <si>
    <t>Seigneurial System in Early Canada : A Geographical Study</t>
  </si>
  <si>
    <t>Harris, Cole</t>
  </si>
  <si>
    <t>HD314</t>
  </si>
  <si>
    <t>Canada -- History.; Electronic books. -- local; Land tenure -- Canada -- History.</t>
  </si>
  <si>
    <t>http://public.eblib.com/choice/PublicFullRecord.aspx?p=3331532</t>
  </si>
  <si>
    <t>Reconstructed World : A Feminist Biography of Gertrude Richardson</t>
  </si>
  <si>
    <t>HQ1455.R53</t>
  </si>
  <si>
    <t>Electronic books. -- local; Feminists -- Canada -- Biography.; Richardson, Gertrude, -- 1875-1946.; Women pacifists -- Canada -- Biography.</t>
  </si>
  <si>
    <t>http://public.eblib.com/choice/PublicFullRecord.aspx?p=3331533</t>
  </si>
  <si>
    <t>Mort Très Digne : L'Historie du Cimetiére Mont-Royal</t>
  </si>
  <si>
    <t>Young, B.</t>
  </si>
  <si>
    <t>Environmental Studies; History</t>
  </si>
  <si>
    <t>F1054.5.M862 -- M68914 2003eb</t>
  </si>
  <si>
    <t>363.7/50971428</t>
  </si>
  <si>
    <t>Burial -- Québec (Province) -- Montréal -- History.; Death -- Québec (Province) -- Montréal -- History.; Electronic books. -- local; Montréal (Québec) -- History.; Montréal (Québec) -- Social life and customs.; Mount Royal Cemetery (Montréal, Québec) -- History.; Protestants -- Québec (Province) -- Montréal -- History.</t>
  </si>
  <si>
    <t>http://public.eblib.com/choice/PublicFullRecord.aspx?p=3331534</t>
  </si>
  <si>
    <t>Concrete : The Vision of a New Architecture (2nd Edition)</t>
  </si>
  <si>
    <t>Collins, Peter; Frampton, Kenneth</t>
  </si>
  <si>
    <t>NA4125 -- .C6 2004eb</t>
  </si>
  <si>
    <t>Architecture, Modern -- 20th century.; Concrete construction -- History.; Electronic books. -- local; Perret, Auguste, -- 1874-1954.</t>
  </si>
  <si>
    <t>http://public.eblib.com/choice/PublicFullRecord.aspx?p=3331535</t>
  </si>
  <si>
    <t>Cold Comfort : My Love Affair with the Arctic</t>
  </si>
  <si>
    <t>Rowley, Graham W.</t>
  </si>
  <si>
    <t>Baffin Island (Nunavut) -- Description and travel.; Baffin Island (Nunavut) -- Discovery and exploration -- British.; Electronic books. -- local; History -- Canada.; Rowley, Graham -- Travel -- Nunavut -- Baffin Island.</t>
  </si>
  <si>
    <t>http://public.eblib.com/choice/PublicFullRecord.aspx?p=3331536</t>
  </si>
  <si>
    <t>Changing Social Geography of Canadian Cities</t>
  </si>
  <si>
    <t>Bourne, Larry S.; Ley, David F.</t>
  </si>
  <si>
    <t>HT127</t>
  </si>
  <si>
    <t>Cities and towns -- Canada.; Electronic books. -- local; Sociology, Urban -- Canada.</t>
  </si>
  <si>
    <t>http://public.eblib.com/choice/PublicFullRecord.aspx?p=3331537</t>
  </si>
  <si>
    <t>Search Out the Land : The Jews and the Growth of Equality in British Colonial America, 1740-1867</t>
  </si>
  <si>
    <t>Godfrey, Sheldon J.; Godfrey, Judith C.</t>
  </si>
  <si>
    <t>F1035.J5 -- G63 1995eb</t>
  </si>
  <si>
    <t>Civil rights -- Great Britain -- Colonies.; Freedom of religion -- Great Britain -- History.; Jews -- Emancipation -- Canada.; Jews -- Emancipation -- Great Britain -- Colonies.; Jews -- Legal status, laws, etc. -- Canada -- History -- 18th century.; Jews -- Legal status, laws, etc. -- Canada -- History -- 19th century.; Jews -- Legal status, laws, etc. -- United States -- History -- 18th century.</t>
  </si>
  <si>
    <t>http://public.eblib.com/choice/PublicFullRecord.aspx?p=3331538</t>
  </si>
  <si>
    <t>U-Boats Against Canada : German Submarines in Canadian Waters</t>
  </si>
  <si>
    <t>D781</t>
  </si>
  <si>
    <t>Coast defenses -- Canada.; Electronic books. -- local; World War, 1939-1945 -- Campaigns -- Atlantic Ocean.; World War, 1939-1945 -- Naval operations -- Submarine.; World War, 1939-1945 -- Naval operations, Canadian.; World War, 1939-1945 -- Naval operations, German.</t>
  </si>
  <si>
    <t>http://public.eblib.com/choice/PublicFullRecord.aspx?p=3331539</t>
  </si>
  <si>
    <t>Canada's Department of External Affairs, Volume 1 : The Early Years, 1909-1946</t>
  </si>
  <si>
    <t>Hilliker, John; Institute of Public Administration of Canada,</t>
  </si>
  <si>
    <t>JX1730.A4 -- H55 1990eb</t>
  </si>
  <si>
    <t>Canada -- Foreign relations administration -- History.; Canada. -- Dept. of External Affairs -- History.; Electronic books. -- local; International relations.</t>
  </si>
  <si>
    <t>http://public.eblib.com/choice/PublicFullRecord.aspx?p=3331540</t>
  </si>
  <si>
    <t>Such Hardworking People : Italian Immigrants in Postwar Toronto</t>
  </si>
  <si>
    <t>Iacovetta, Franca</t>
  </si>
  <si>
    <t>Electronic books. -- local; Foreign workers, Italian -- Ontario -- Toronto.; Immigrants -- Ontario -- Toronto -- Social conditions.; Italians -- Ontario -- Toronto -- Social conditions.</t>
  </si>
  <si>
    <t>http://public.eblib.com/choice/PublicFullRecord.aspx?p=3331541</t>
  </si>
  <si>
    <t>Sourcebook of Canadian Media Law</t>
  </si>
  <si>
    <t>Martin, Robert; Adam, Stuart</t>
  </si>
  <si>
    <t>KE4422 -- .M371 1994eb</t>
  </si>
  <si>
    <t>Electronic books. -- local; Freedom of information -- Canada.; Freedom of speech -- Canada.; Freedom of the press -- Canada.</t>
  </si>
  <si>
    <t>http://public.eblib.com/choice/PublicFullRecord.aspx?p=3331542</t>
  </si>
  <si>
    <t>Framing Our Past : Constructing Canadian Women's History in the Twentieth Century</t>
  </si>
  <si>
    <t>Cook, Sharon Anne; McLean, Lorna R; O'Rourke, Kate</t>
  </si>
  <si>
    <t>Electronic books. -- local; Women -- Canada -- History -- 20th century.; Women -- History -- 20th century.</t>
  </si>
  <si>
    <t>http://public.eblib.com/choice/PublicFullRecord.aspx?p=3331543</t>
  </si>
  <si>
    <t>Respectable Ditch : A History of the Trent-Severn Waterway, 1833-1920</t>
  </si>
  <si>
    <t>Angus, James T.</t>
  </si>
  <si>
    <t>HE401.T7</t>
  </si>
  <si>
    <t>Electronic books. -- local; Trent-Severn Waterway (Ont.) -- History.; Waterways -- Ontario.</t>
  </si>
  <si>
    <t>http://public.eblib.com/choice/PublicFullRecord.aspx?p=3331544</t>
  </si>
  <si>
    <t>Respectable Burial : Montreal's Mount Royal Cemetery</t>
  </si>
  <si>
    <t>F1054.5.M862</t>
  </si>
  <si>
    <t>http://public.eblib.com/choice/PublicFullRecord.aspx?p=3331545</t>
  </si>
  <si>
    <t>Verbal Art : A Philosophy of Literature and Literary Experience</t>
  </si>
  <si>
    <t>Pettersson, Anders</t>
  </si>
  <si>
    <t>PN45</t>
  </si>
  <si>
    <t>Aesthetics.; Electronic books. -- local; Literature -- Philosophy.</t>
  </si>
  <si>
    <t>http://public.eblib.com/choice/PublicFullRecord.aspx?p=3331546</t>
  </si>
  <si>
    <t>Development of Elites in Acadian New Brunswick, 1861-1881</t>
  </si>
  <si>
    <t>Andrew, Sheila M.</t>
  </si>
  <si>
    <t>F1045.F83</t>
  </si>
  <si>
    <t>Acadians -- New Brunswick -- History -- 19th century.; Electronic books. -- local; New Brunswick -- History -- 19th century.</t>
  </si>
  <si>
    <t>http://public.eblib.com/choice/PublicFullRecord.aspx?p=3331547</t>
  </si>
  <si>
    <t>German Peasants' War and Anabaptist Community of Goods</t>
  </si>
  <si>
    <t>BX4931.2</t>
  </si>
  <si>
    <t>Anabaptists -- History -- 16th century.; Electronic books. -- local; Peasants'' War, 1524-1525.</t>
  </si>
  <si>
    <t>http://public.eblib.com/choice/PublicFullRecord.aspx?p=3331548</t>
  </si>
  <si>
    <t>Surgeons, Smallpox, and the Poor : A History of Medicine and Social Conditions in Nova Scotia, 1749-1799</t>
  </si>
  <si>
    <t>Marble, Allan Everett</t>
  </si>
  <si>
    <t>R463.N8</t>
  </si>
  <si>
    <t>Electronic books. -- local; Medical care -- Nova Scotia -- History -- 18th century.; Medicine -- Nova Scotia -- History -- 18th century.</t>
  </si>
  <si>
    <t>http://public.eblib.com/choice/PublicFullRecord.aspx?p=3331549</t>
  </si>
  <si>
    <t>Choosing Canada's Capital : Conflict Resolution In a Parliamentary System</t>
  </si>
  <si>
    <t>Knight, David B.</t>
  </si>
  <si>
    <t>Canada -- Capital and capitol -- History -- Sources.; Canada -- History -- 1841-1867 -- Sources.; Electronic books. -- local; History -- Canada.</t>
  </si>
  <si>
    <t>http://public.eblib.com/choice/PublicFullRecord.aspx?p=3331550</t>
  </si>
  <si>
    <t>Lost Harvests : Prairie Indian Reserve Farmers and Government Policy</t>
  </si>
  <si>
    <t>E78.P7 -- C38 1990eb</t>
  </si>
  <si>
    <t>338.1/8712/08997</t>
  </si>
  <si>
    <t>Electronic books. -- local; Indian reservations -- Prairie Provinces -- History.; Indians of North America -- Prairie Provinces -- Agriculture -- History.</t>
  </si>
  <si>
    <t>http://public.eblib.com/choice/PublicFullRecord.aspx?p=3331551</t>
  </si>
  <si>
    <t>Diary of a Country Clergyman 1848-1851</t>
  </si>
  <si>
    <t>Reid, James; Reisner</t>
  </si>
  <si>
    <t>BX5620.R38</t>
  </si>
  <si>
    <t>Church of England -- Québec (Province) -- Clergy -- Diaries.; Clergy -- Québec (Province) -- Frelighsburg -- Diaries.; Electronic books. -- local; Frelighsburg (Québec) -- Biography.; Frelighsburg (Québec) -- History.; Québec (Province) -- Social life and customs -- 19th century.; Reid, James, -- 1780-1865 -- Diaries.</t>
  </si>
  <si>
    <t>http://public.eblib.com/choice/PublicFullRecord.aspx?p=3331552</t>
  </si>
  <si>
    <t>Best Left as Indians : Native-White Relavations in the Yukon Territory, 1840-1973</t>
  </si>
  <si>
    <t>Coates, K.</t>
  </si>
  <si>
    <t>E78.Y8 -- C63 1991eb</t>
  </si>
  <si>
    <t>Electronic books. -- local; Indians of North America -- Yukon -- History.; Yukon Territory -- Race relations.</t>
  </si>
  <si>
    <t>http://public.eblib.com/choice/PublicFullRecord.aspx?p=3331553</t>
  </si>
  <si>
    <t>Champlain : The Birth of French America</t>
  </si>
  <si>
    <t>Litalien, Raymonde</t>
  </si>
  <si>
    <t>F1030.1</t>
  </si>
  <si>
    <t>Acadia -- History.; Champlain, Samuel de, -- 1574-1635.; France -- History -- 17th century.; France -- History.</t>
  </si>
  <si>
    <t>http://public.eblib.com/choice/PublicFullRecord.aspx?p=3331554</t>
  </si>
  <si>
    <t>The Dévotes : Women and Church in Seventeenth-Century France</t>
  </si>
  <si>
    <t>Rapley, Elizabeth</t>
  </si>
  <si>
    <t>BX2347.8.W6</t>
  </si>
  <si>
    <t>Electronic books. -- local; France -- Church history -- 17th century.; Monasticism and religious orders for women -- France -- History -- 17th century.; Women in the Catholic Church -- France -- History -- 17th century.</t>
  </si>
  <si>
    <t>http://public.eblib.com/choice/PublicFullRecord.aspx?p=3331555</t>
  </si>
  <si>
    <t>Profiting the Crown : Canada's Polymer Corporation, 1942-1990</t>
  </si>
  <si>
    <t>Bellamy, Matthew J.</t>
  </si>
  <si>
    <t>Corporations, Government -- Canada -- Case studies.; Entreprises publiques -- Canada -- Cas, Études de.; Government business enterprises -- Canada -- Case studies.; Polymer Corporation -- History.; Société Polymer -- Histoire.; Sociétés d''État -- Canada -- Cas, Études de.</t>
  </si>
  <si>
    <t>http://public.eblib.com/choice/PublicFullRecord.aspx?p=3331556</t>
  </si>
  <si>
    <t>Watching Quebec : Selected Essays</t>
  </si>
  <si>
    <t>Cook, Ramsay</t>
  </si>
  <si>
    <t>Canada -- English-French relations.; Canada -- Politics and government -- 1945-; Nationalism -- Québec (Province); Nationalisme -- Québec (Province); Québec (Province) -- Histoire.; Québec (Province) -- Politics and government -- 1960-; Québec (Province) -- Politique et gouvernement.</t>
  </si>
  <si>
    <t>http://public.eblib.com/choice/PublicFullRecord.aspx?p=3331557</t>
  </si>
  <si>
    <t>Situating Race and Racisms in Time, Space, and Theory : Critical Essays for Activists and Scholars</t>
  </si>
  <si>
    <t>Lee, Jo-Anne</t>
  </si>
  <si>
    <t>HT1521 -- .S534 2005eb</t>
  </si>
  <si>
    <t>Racism.</t>
  </si>
  <si>
    <t>http://public.eblib.com/choice/PublicFullRecord.aspx?p=3331558</t>
  </si>
  <si>
    <t>Rabbi Talks with Jesus</t>
  </si>
  <si>
    <t>BM620</t>
  </si>
  <si>
    <t>Electronic books. -- local; Jesus Christ -- Jewish interpretations.; Theology, Doctrinal.</t>
  </si>
  <si>
    <t>http://public.eblib.com/choice/PublicFullRecord.aspx?p=3331559</t>
  </si>
  <si>
    <t>History of the German Resistance, 1933-1945</t>
  </si>
  <si>
    <t>Hoffmann, Peter</t>
  </si>
  <si>
    <t>DD256.3</t>
  </si>
  <si>
    <t>Anti-Nazi movement.; Electronic books. -- local; Hitler, Adolf, -- 1889-1945 -- Assassination attempt, 1944 (July 20)</t>
  </si>
  <si>
    <t>http://public.eblib.com/choice/PublicFullRecord.aspx?p=3331560</t>
  </si>
  <si>
    <t>Crafting Identity : The Development of Professional Fine Craft in Canada</t>
  </si>
  <si>
    <t>Alfoldy, Sandra</t>
  </si>
  <si>
    <t>TT26</t>
  </si>
  <si>
    <t>Decorative arts -- Canada -- History -- 20th century.; Electronic books. -- local; Handicraft -- Canada -- History -- 20th century.</t>
  </si>
  <si>
    <t>http://public.eblib.com/choice/PublicFullRecord.aspx?p=3331561</t>
  </si>
  <si>
    <t>Canada and the Cost of World War II : The International Operations of Canada's Department of Finance, 1939-1947</t>
  </si>
  <si>
    <t>Bryce, Robert</t>
  </si>
  <si>
    <t>HJ793 -- .B79 2005eb</t>
  </si>
  <si>
    <t>Canada -- Appropriations and expenditures.; Canada. -- Dept. of Finance -- History.; Finance, Public -- Canada.; World War, 1939-1945 -- Finance -- Canada.</t>
  </si>
  <si>
    <t>http://public.eblib.com/choice/PublicFullRecord.aspx?p=3331562</t>
  </si>
  <si>
    <t>Edgar Allan Poe : Rhetoric and Style</t>
  </si>
  <si>
    <t>Zimmerman, Brett</t>
  </si>
  <si>
    <t>PS2644</t>
  </si>
  <si>
    <t>Poe, Edgar Allan, -- 1809-1849 -- Literary style.; Poe, Edgar Allan, -- 1809-1849 -- Technique.</t>
  </si>
  <si>
    <t>http://public.eblib.com/choice/PublicFullRecord.aspx?p=3331563</t>
  </si>
  <si>
    <t>Dialogues on the Practice of Fiscal Federalism : Comparative Perspectives</t>
  </si>
  <si>
    <t>Global Dialogue on Federalism Booklet Series</t>
  </si>
  <si>
    <t>Blindenbacher, Raoul</t>
  </si>
  <si>
    <t>HJ197</t>
  </si>
  <si>
    <t>Federal government.; Intergovernmental fiscal relations.</t>
  </si>
  <si>
    <t>http://public.eblib.com/choice/PublicFullRecord.aspx?p=3331564</t>
  </si>
  <si>
    <t>Labour in the Laboratory : Medical Laboratory Workers in the Maritimes, 1900-1950</t>
  </si>
  <si>
    <t>Twohig, Peter</t>
  </si>
  <si>
    <t>Nursing; Medicine</t>
  </si>
  <si>
    <t>RB37.6 -- T96 2005eb</t>
  </si>
  <si>
    <t>610.73/7/09715</t>
  </si>
  <si>
    <t>Electronic books. -- local; Hospital laboratories -- Maritime Provinces -- History -- 20th century.; Medical technologists -- Maritime Provinces -- History -- 20th century.</t>
  </si>
  <si>
    <t>http://public.eblib.com/choice/PublicFullRecord.aspx?p=3331565</t>
  </si>
  <si>
    <t>Getting it Done : A Memoir</t>
  </si>
  <si>
    <t>Burney, Derek</t>
  </si>
  <si>
    <t>F1034.3.B87</t>
  </si>
  <si>
    <t>Ambassadors -- Canada -- Biography.; Burney, Derek H. -- (Derek Hudson), -- 1939-; Canada -- Foreign relations -- 20th century.; Diplomats -- Canada -- Biography.; Electronic books. -- local</t>
  </si>
  <si>
    <t>http://public.eblib.com/choice/PublicFullRecord.aspx?p=3331566</t>
  </si>
  <si>
    <t>Changing Women, Changing History : A Bibliography of the History of Women in Canada</t>
  </si>
  <si>
    <t>Pederson, Diana</t>
  </si>
  <si>
    <t>Social Science; General Works/Reference</t>
  </si>
  <si>
    <t>HQ1453.A12 -- P43 1996eb</t>
  </si>
  <si>
    <t>016.3054/0971/09</t>
  </si>
  <si>
    <t>Electronic books. -- local; Women -- Canada -- History -- Bibliography.; Women''s studies -- Canada.</t>
  </si>
  <si>
    <t>http://public.eblib.com/choice/PublicFullRecord.aspx?p=3331567</t>
  </si>
  <si>
    <t>Boys and Girls Apart : Children's Play in Canada and Poland</t>
  </si>
  <si>
    <t>Richer, Stephen</t>
  </si>
  <si>
    <t>Social Science; Psychology</t>
  </si>
  <si>
    <t>HQ782 -- .R53 1990eb</t>
  </si>
  <si>
    <t>Electronic books. -- local; Play -- Social aspects -- Canada.; Play -- Social aspects -- Poland.; Sex differences (Psychology) in children -- Canada.; Sex differences (Psychology) in children -- Poland.</t>
  </si>
  <si>
    <t>http://public.eblib.com/choice/PublicFullRecord.aspx?p=3331568</t>
  </si>
  <si>
    <t>Boundaries of the Canadian Confederation</t>
  </si>
  <si>
    <t>Nicholson, Norman</t>
  </si>
  <si>
    <t>F1027.5 -- .N52 1979eb</t>
  </si>
  <si>
    <t>Canada -- Boundaries.; Electronic books. -- local; Historical geography.</t>
  </si>
  <si>
    <t>http://public.eblib.com/choice/PublicFullRecord.aspx?p=3331569</t>
  </si>
  <si>
    <t>Against the Current : The Memoirs of Boris Ragula</t>
  </si>
  <si>
    <t>Ragula Boris</t>
  </si>
  <si>
    <t>R464.R33 -- A3 2005eb</t>
  </si>
  <si>
    <t>610.69/5/092</t>
  </si>
  <si>
    <t>Belarus -- History -- German occupation, 1941-1944.; Belarusian Canadians -- Biography.; Electronic books. -- local; Physicians -- Canada -- Biography.; Ragula, Boris, -- 1921-; World War, 1939-1945 -- Personal narratives, Belarusian.</t>
  </si>
  <si>
    <t>http://public.eblib.com/choice/PublicFullRecord.aspx?p=3331570</t>
  </si>
  <si>
    <t>Crimes, Constables, and Courts : Order and Transgression in a Canadian City, 1816-1970</t>
  </si>
  <si>
    <t>HV6810.H35</t>
  </si>
  <si>
    <t>Crime -- Ontario -- Hamilton -- History.; Criminal justice, Administration of -- Ontario -- Hamilton -- History.; Electronic books. -- local; Hamilton (Ont.) -- Social conditions.; Police -- Ontario -- Hamilton -- History.</t>
  </si>
  <si>
    <t>http://public.eblib.com/choice/PublicFullRecord.aspx?p=3331571</t>
  </si>
  <si>
    <t>Historical Essays on British Columbia</t>
  </si>
  <si>
    <t>Friesen, J.; Ralston, H K ; Friesen,</t>
  </si>
  <si>
    <t>F5820 -- .H57 1976eb</t>
  </si>
  <si>
    <t>British Columbia -- History.; Electronic books. -- local</t>
  </si>
  <si>
    <t>http://public.eblib.com/choice/PublicFullRecord.aspx?p=3331572</t>
  </si>
  <si>
    <t>Interactive Realism : The Poetics of Cyberspace</t>
  </si>
  <si>
    <t>Downes, Daniel</t>
  </si>
  <si>
    <t>HM851</t>
  </si>
  <si>
    <t>Cyberspace -- Social aspects.; Digital media -- Social aspects.; Electronic books. -- local; Human-computer interaction.</t>
  </si>
  <si>
    <t>http://public.eblib.com/choice/PublicFullRecord.aspx?p=3331573</t>
  </si>
  <si>
    <t>Dialogues on Legislative and Executive Governance in Federal Countries</t>
  </si>
  <si>
    <t>Blindenbacher, Raoul; Ostien, Abigail</t>
  </si>
  <si>
    <t>Comparative government.; Federal government.</t>
  </si>
  <si>
    <t>http://public.eblib.com/choice/PublicFullRecord.aspx?p=3331574</t>
  </si>
  <si>
    <t>Rhodes and Rhodesia : The White Conquest of Zimbabwe 1884-1902</t>
  </si>
  <si>
    <t>Keppel-Jones, Arthur</t>
  </si>
  <si>
    <t>DT962.7</t>
  </si>
  <si>
    <t>Electronic books. -- local; Zimbabwe -- History -- 19th century.</t>
  </si>
  <si>
    <t>http://public.eblib.com/choice/PublicFullRecord.aspx?p=3331575</t>
  </si>
  <si>
    <t>Wampum Denied : Procter's War of 1812</t>
  </si>
  <si>
    <t>Antal, Sandy</t>
  </si>
  <si>
    <t>E355.2</t>
  </si>
  <si>
    <t>Electronic books. -- local; Michigan -- History -- War of 1812 -- Campaigns.; Procter, Henry, -- 1763-1822.; Shawnee Indians -- Wars.; Tecumseh, -- Shawnee Chief, -- 1768-1813.</t>
  </si>
  <si>
    <t>http://public.eblib.com/choice/PublicFullRecord.aspx?p=3331576</t>
  </si>
  <si>
    <t>Fear's Folly / Les Demi-Civilises</t>
  </si>
  <si>
    <t>Harvey, Jean-Charles</t>
  </si>
  <si>
    <t>PQ3919.H37 -- D4613 1982eb</t>
  </si>
  <si>
    <t>C843/.52</t>
  </si>
  <si>
    <t>Authors, French-Canadian.</t>
  </si>
  <si>
    <t>http://public.eblib.com/choice/PublicFullRecord.aspx?p=3331577</t>
  </si>
  <si>
    <t>In War and Famine : Missionaries in China's Honan Province in the 1940s</t>
  </si>
  <si>
    <t>Christensen, Erleen</t>
  </si>
  <si>
    <t>BV3420.H6</t>
  </si>
  <si>
    <t>Famines -- China -- Henan Sheng -- History -- 20th century.; Famines -- Chine -- Henan (Sheng) -- Histoire -- 20e siècle.; Henan Sheng (China) -- History -- 20th century.; Missionaries -- China -- Henan Sheng -- History -- 20th century.; Missionnaires -- Chine -- Henan (Sheng) -- Histoire -- 20e siècle.; Missions -- China -- Henan Sheng -- History -- 20th century.; Missions -- Chine -- Henan (Sheng) -- Histoire -- 20e siècle.</t>
  </si>
  <si>
    <t>http://public.eblib.com/choice/PublicFullRecord.aspx?p=3331578</t>
  </si>
  <si>
    <t>Family Names of the Island of Newfoundland</t>
  </si>
  <si>
    <t>Seary, E.; Kirwin, William</t>
  </si>
  <si>
    <t>CS2509.N48</t>
  </si>
  <si>
    <t>Electronic books. -- local; Names -- Newfoundland and Labrador.; Names, Personal -- Newfoundland and Labrador.</t>
  </si>
  <si>
    <t>http://public.eblib.com/choice/PublicFullRecord.aspx?p=3331579</t>
  </si>
  <si>
    <t>Marguerite Bourgeoys and the Congregation of Notre Dame, 1665-1700</t>
  </si>
  <si>
    <t>Bourgeoys, Marguerite, -- Saint, -- 1620-1700.; Bourgeoys, Marguerite, -- sainte, -- 1620-1700.; Christian saints -- Québec (Province) -- Biography.; Congrégation de Notre-Dame -- Histoire.; Congregation of Notre-Dame -- History.; Nuns -- Québec (Province) -- Biography.; Religieuses -- Québec (Province) -- Biographies.</t>
  </si>
  <si>
    <t>http://public.eblib.com/choice/PublicFullRecord.aspx?p=3331580</t>
  </si>
  <si>
    <t>Maritime Rights Movement, 1919-1927 : A Study in Canadian Regionalism</t>
  </si>
  <si>
    <t>Forbes, E.</t>
  </si>
  <si>
    <t>F1035.8 -- .F67 1979eb</t>
  </si>
  <si>
    <t>Electronic books. -- local; Maritime Provinces -- Politics and government.; Regionalism -- Canada.</t>
  </si>
  <si>
    <t>http://public.eblib.com/choice/PublicFullRecord.aspx?p=3331581</t>
  </si>
  <si>
    <t>From Power Sharing to Democracy : Post-Conflict Institutions in Ethnically Divided Societies</t>
  </si>
  <si>
    <t>Studies in Nationalism and Ethnic Conflict</t>
  </si>
  <si>
    <t>Noel, Sid</t>
  </si>
  <si>
    <t>Democratization.; Ethnic conflict -- Political aspects.; Ethnic groups -- Political activity.; Political stability.</t>
  </si>
  <si>
    <t>http://public.eblib.com/choice/PublicFullRecord.aspx?p=3331582</t>
  </si>
  <si>
    <t>New England and the Maritime Provinces : Connections and Comparisons</t>
  </si>
  <si>
    <t>Hornsby, Stephen J.; Reid, John G.</t>
  </si>
  <si>
    <t>F4 -- .N475 2005eb</t>
  </si>
  <si>
    <t>Maritime Provinces -- History.; Maritime Provinces -- Relations -- New England.; New England -- History.; New England -- Relations -- Maritime Provinces.; Nouvelle-Angleterre -- Histoire.; Provinces maritimes -- Histoire.; Provinces maritimes -- Relations -- Nouvelle-Angleterre.</t>
  </si>
  <si>
    <t>http://public.eblib.com/choice/PublicFullRecord.aspx?p=3331583</t>
  </si>
  <si>
    <t>Aphorism in the Francophone Novel of the Twentieth Century</t>
  </si>
  <si>
    <t>Bell, Mark</t>
  </si>
  <si>
    <t>PQ673</t>
  </si>
  <si>
    <t>Aphorisms and apothegms in literature.; Electronic books. -- local; French literature -- 20th century -- History and criticism.</t>
  </si>
  <si>
    <t>http://public.eblib.com/choice/PublicFullRecord.aspx?p=3331584</t>
  </si>
  <si>
    <t>Mad Cows and Mothers Milk : The Perils of Poor Risk Communication</t>
  </si>
  <si>
    <t>T10.68 -- .P69 2004eb</t>
  </si>
  <si>
    <t>Health risk assessment.; Health risk communication.; Risques pour la santé -- Communication.; Risques pour la santé -- Évaluation.</t>
  </si>
  <si>
    <t>http://public.eblib.com/choice/PublicFullRecord.aspx?p=3331585</t>
  </si>
  <si>
    <t>Something New in the Air : The Story of First Peoples Television Broadcasting in Canada</t>
  </si>
  <si>
    <t>Roth, Lorna</t>
  </si>
  <si>
    <t>Business/Management; Fine Arts</t>
  </si>
  <si>
    <t>PN1992.3.C3</t>
  </si>
  <si>
    <t>Aboriginal Peoples Television Network.; Indianen. -- gtt; Indians of North America -- Canada.; Televisie. -- gtt; Television broadcasting -- Canada, Northern -- History.; Television broadcasting policy -- Canada -- History.; Television Northern Canada.</t>
  </si>
  <si>
    <t>http://public.eblib.com/choice/PublicFullRecord.aspx?p=3331586</t>
  </si>
  <si>
    <t>Canadian Quandary</t>
  </si>
  <si>
    <t>New</t>
  </si>
  <si>
    <t>Johnson, Harry</t>
  </si>
  <si>
    <t>Canada -- Conditions économiques -- 1945-1971.; Canada -- Economic conditions -- 1945-; Canada -- Economic policy.; Canada -- Politique économique -- 1945-1971.</t>
  </si>
  <si>
    <t>http://public.eblib.com/choice/PublicFullRecord.aspx?p=3331587</t>
  </si>
  <si>
    <t>Margaret MacDonald : Military Nurse</t>
  </si>
  <si>
    <t>Mann Susan</t>
  </si>
  <si>
    <t>UH347.M23 -- M35 2005eb</t>
  </si>
  <si>
    <t>355.3/45/092</t>
  </si>
  <si>
    <t>Canada -- Armed Forces -- Medical personnel -- Biography.; Electronic books. -- local; Macdonald, Margaret Chisholm.; Military nursing.; Nurses -- Canada -- Biography.; World War, 1914-1918 -- Medical care.</t>
  </si>
  <si>
    <t>http://public.eblib.com/choice/PublicFullRecord.aspx?p=3331588</t>
  </si>
  <si>
    <t>Literary Sisterhoods : Imagining Women Artists</t>
  </si>
  <si>
    <t>Heller, Deborah</t>
  </si>
  <si>
    <t>PN481</t>
  </si>
  <si>
    <t>Femmes et littérature.; Fiction -- 19th century -- History and criticism.; Fiction -- 20th century -- History and criticism.; Fiction -- Women authors -- History and criticism.; Women and literature.; Women artists in literature.; Women authors in literature.</t>
  </si>
  <si>
    <t>http://public.eblib.com/choice/PublicFullRecord.aspx?p=3331589</t>
  </si>
  <si>
    <t>Bibliotheca Osleriana : A Catalogue of Books Illustrating the History of Medicine and Science</t>
  </si>
  <si>
    <t>Sir</t>
  </si>
  <si>
    <t>Z6676</t>
  </si>
  <si>
    <t>Electronic books. -- local; Medicine -- Bibliography -- Catalogs.; Medicine -- Bibliography.</t>
  </si>
  <si>
    <t>http://public.eblib.com/choice/PublicFullRecord.aspx?p=3331590</t>
  </si>
  <si>
    <t>Greenland Mummies</t>
  </si>
  <si>
    <t>Hansen, Jens  Peder Hart; Medlgaard, Jorgen</t>
  </si>
  <si>
    <t>E99.E7 -- Q551 1991eb</t>
  </si>
  <si>
    <t>Electronic books. -- local; Eskimos -- Greenland.; Greenland -- Antiquities.; Mummies -- Greenland.</t>
  </si>
  <si>
    <t>http://public.eblib.com/choice/PublicFullRecord.aspx?p=3331591</t>
  </si>
  <si>
    <t>Gender and Land Reform : The Zimbabwe Experience</t>
  </si>
  <si>
    <t>Goebel, Allison</t>
  </si>
  <si>
    <t>HD1333.Z55</t>
  </si>
  <si>
    <t>Femmes -- Droits -- Zimbabwe.; Femmes en agriculture -- Zimbabwe -- Conditions sociales.; Land reform -- Zimbabwe.; Land settlement -- Government policy -- Zimbabwe.; Réforme agraire -- Zimbabwe.; Women in agriculture -- Zimbabwe -- Social conditions.; Women''s rights -- Zimbabwe.</t>
  </si>
  <si>
    <t>http://public.eblib.com/choice/PublicFullRecord.aspx?p=3331592</t>
  </si>
  <si>
    <t>Talking in Context : Language and Identity in Kwakw_ak_a'wakw Society</t>
  </si>
  <si>
    <t>Goodfellow Anne Marie</t>
  </si>
  <si>
    <t>PM1641 -- .G65 2005eb</t>
  </si>
  <si>
    <t>306.44/089/97953</t>
  </si>
  <si>
    <t>Electronic books. -- local; English language -- Influence on Kwakiutl.; Kwakiutl Indians -- British Columbia -- Ethnic identity.; Kwakiutl language.; Language and culture -- British Columbia -- Case studies.; Languages in contact -- British Columbia.</t>
  </si>
  <si>
    <t>http://public.eblib.com/choice/PublicFullRecord.aspx?p=3331593</t>
  </si>
  <si>
    <t>Devotion to Their Science : Pioneer Women of Radioactivity</t>
  </si>
  <si>
    <t>Q141</t>
  </si>
  <si>
    <t>Electronic books. -- local; Nuclear physics -- History.; Radioactivity -- History.; Women chemists -- Biography.; Women physicists -- Biography.</t>
  </si>
  <si>
    <t>http://public.eblib.com/choice/PublicFullRecord.aspx?p=3331594</t>
  </si>
  <si>
    <t>Blatant Injustice : The Story of a Jewish Refugee from Nazi Germany Imprisoned in Britain and Canada during World War II</t>
  </si>
  <si>
    <t>Footprints Series</t>
  </si>
  <si>
    <t>Igersheimer, Walter; Darragh, Ian</t>
  </si>
  <si>
    <t>D810.J4</t>
  </si>
  <si>
    <t>Igersheimer, Walter W.; Jewish refugees -- Canada -- Biography.; World War, 1939-1945 -- Refugees -- Biography.</t>
  </si>
  <si>
    <t>http://public.eblib.com/choice/PublicFullRecord.aspx?p=3331595</t>
  </si>
  <si>
    <t>Growing a Race : Nellie L. McClung and the Fiction of Eugenic Feminism</t>
  </si>
  <si>
    <t>Devereux, Cecily</t>
  </si>
  <si>
    <t>PR9199.3.M4237 -- Z6 2005eb</t>
  </si>
  <si>
    <t>Electronic books. -- local; Eugenics in literature.; Feminism in literature.; McClung, Nellie L., -- 1873-1951.</t>
  </si>
  <si>
    <t>http://public.eblib.com/choice/PublicFullRecord.aspx?p=3331596</t>
  </si>
  <si>
    <t>Wrapped up in God : A Study of Several Canadian Revivals and Revivalists</t>
  </si>
  <si>
    <t>Rawlyk, George</t>
  </si>
  <si>
    <t>BV3777.C2</t>
  </si>
  <si>
    <t>Canada -- Church history.; Electronic books. -- local; Evangelists -- Canada.; Revivals -- Canada.</t>
  </si>
  <si>
    <t>http://public.eblib.com/choice/PublicFullRecord.aspx?p=3331597</t>
  </si>
  <si>
    <t>Iron Wedge/L'appel de la race</t>
  </si>
  <si>
    <t>Groulx, Lionel</t>
  </si>
  <si>
    <t>PQ3912.G763</t>
  </si>
  <si>
    <t>Electronic books. -- local; French-Canadian fiction.; French-Canadian literature.</t>
  </si>
  <si>
    <t>http://public.eblib.com/choice/PublicFullRecord.aspx?p=3331598</t>
  </si>
  <si>
    <t>National Identity and the Varieties of Capitalism : The Danish Experience</t>
  </si>
  <si>
    <t>Campbell, John L.; Pedersen, Ove</t>
  </si>
  <si>
    <t>HC355</t>
  </si>
  <si>
    <t>Denmark -- Economic conditions.; Denmark -- Politics and government.; Electronic books. -- local; States, Small.</t>
  </si>
  <si>
    <t>http://public.eblib.com/choice/PublicFullRecord.aspx?p=3331599</t>
  </si>
  <si>
    <t>The Last French and Indian War</t>
  </si>
  <si>
    <t>Vaugeois, Denis</t>
  </si>
  <si>
    <t>E78.Q3V3813 2002</t>
  </si>
  <si>
    <t>Canada -- History -- 1755-1763.; Hurons -- Relations avec l''État.; Indians of North America -- Québec (Province) -- Government relations.; Indians of North America -- Québec (Province) -- Treaties.; Indiens d''Amérique -- Québec (Province) -- Relations avec l''État.; Indiens d''Amérique -- Québec (Province) -- Traités.; Wyandot Indians -- Government relations.</t>
  </si>
  <si>
    <t>http://public.eblib.com/choice/PublicFullRecord.aspx?p=3331600</t>
  </si>
  <si>
    <t>Vasil Byka? : His Life and Works</t>
  </si>
  <si>
    <t>Gimpelevich, Zina J.</t>
  </si>
  <si>
    <t>PG2835.2.B9</t>
  </si>
  <si>
    <t>Authors, Belarusian -- 20th century -- Biography.; Bykaŭ, Vasilʹ, -- 1924-2003.; Bykaŭ, Vasilʹ, -- 1924-2003.; Dissenters -- Belarus -- Biography.; Dissidents -- Biélorussie -- Biographies.; Écrivains biélorusses -- 20e siècle -- Biographies.</t>
  </si>
  <si>
    <t>http://public.eblib.com/choice/PublicFullRecord.aspx?p=3331601</t>
  </si>
  <si>
    <t>Body Counts : Medical Quantification in Historical and Sociological Perspectives / La Quantification Medicale, Perspectives Historiques et Sociologiques</t>
  </si>
  <si>
    <t>Jorland, Gerard; Opinel, Annick; Weisz, George</t>
  </si>
  <si>
    <t>RA407 A2 -- B62 2005eb</t>
  </si>
  <si>
    <t>610/.72/7</t>
  </si>
  <si>
    <t>Electronic books. -- local; Epidemiology -- Statistical methods -- History -- Congresses.; Medical instruments and apparatus -- History -- Congresses.; Medical statistics -- History -- Congresses.</t>
  </si>
  <si>
    <t>http://public.eblib.com/choice/PublicFullRecord.aspx?p=3331602</t>
  </si>
  <si>
    <t>Ghost Brothers : Adoption of a French Tribe by Bereaved Native America : A Transdisiplinary Longitudinal Mutilevel Integrated Analysis</t>
  </si>
  <si>
    <t>Blum, Rony</t>
  </si>
  <si>
    <t>F1030 -- .B675 2005eb</t>
  </si>
  <si>
    <t>971.01/6</t>
  </si>
  <si>
    <t>Acculturation -- Canada -- History -- 17th century.; Canada -- History -- To 1763 (New France); Canada -- Social conditions -- To 1763.; French-Canadians -- Social conditions -- 17th century.; Indians of North America -- First contact with Europeans.; Indians of North America -- Foreign influences.; Spiritualism -- Canada -- History.</t>
  </si>
  <si>
    <t>http://public.eblib.com/choice/PublicFullRecord.aspx?p=3331603</t>
  </si>
  <si>
    <t>Romantic Aversions : Aftermaths of Classicism in Wordsworth and Coleridge</t>
  </si>
  <si>
    <t>PR5892.L5</t>
  </si>
  <si>
    <t>Coleridge, Samuel Taylor, -- 1772-1834 -- Criticism and interpretation.; Electronic books. -- local; English poetry -- 19th century -- History and criticism.; Romanticism -- England -- History and criticism.; Wordsworth, William, -- 1770-1850 -- Criticism and interpretation.</t>
  </si>
  <si>
    <t>http://public.eblib.com/choice/PublicFullRecord.aspx?p=3331604</t>
  </si>
  <si>
    <t>Made in Canada : Craft and Design in the Sixties</t>
  </si>
  <si>
    <t>Elder, Alan</t>
  </si>
  <si>
    <t>NK1413.A1</t>
  </si>
  <si>
    <t>Design -- Canada -- History -- 20th century.; Design -- Government policy -- Canada -- History -- 20th century.; Electronic books. -- local</t>
  </si>
  <si>
    <t>http://public.eblib.com/choice/PublicFullRecord.aspx?p=3331605</t>
  </si>
  <si>
    <t>Element of Hope : Radium and the Response to Cancer in Canada, 1900-1940</t>
  </si>
  <si>
    <t>Hayter, Charles</t>
  </si>
  <si>
    <t>RC271.R3</t>
  </si>
  <si>
    <t>Cancer -- Radiotherapy -- Canada -- History.; Cancer -- Treatment -- Canada -- History.; Electronic books. -- local; Radium -- Therapeutic use -- Canada -- History.</t>
  </si>
  <si>
    <t>http://public.eblib.com/choice/PublicFullRecord.aspx?p=3331606</t>
  </si>
  <si>
    <t>Letter and the Spirit of Nineteenth-Century American Literature : Justice, Politics, Theology</t>
  </si>
  <si>
    <t>Loebel, Thomas</t>
  </si>
  <si>
    <t>PS217.L37</t>
  </si>
  <si>
    <t>American literature -- 19th century -- History and criticism.; Discourse analysis, Narrative.; Justice in literature.; Law and literature -- United States -- History -- 19th century.; Politics and literature -- United States -- History -- 19th century.; Theology in literature.</t>
  </si>
  <si>
    <t>http://public.eblib.com/choice/PublicFullRecord.aspx?p=3331607</t>
  </si>
  <si>
    <t>Mothers of Invention : Feminist Authors and Experimental Fiction in France and Quebec</t>
  </si>
  <si>
    <t>Santoro, Miléna</t>
  </si>
  <si>
    <t>PQ149S36 2002</t>
  </si>
  <si>
    <t>Experimental fiction, French -- History and criticism.; Experimental fiction, French-Canadian -- History and criticism.; French fiction -- 20th century -- History and criticism.; French fiction -- Women authors -- History and criticism.; French-Canadian fiction -- 20th century -- History and criticism.; French-Canadian fiction -- Québec (Province) -- History and criticism.; French-Canadian fiction -- Women authors -- History and criticism.</t>
  </si>
  <si>
    <t>http://public.eblib.com/choice/PublicFullRecord.aspx?p=3331608</t>
  </si>
  <si>
    <t>Tremblay Report</t>
  </si>
  <si>
    <t>Kwavnick, David</t>
  </si>
  <si>
    <t>Biculturalism -- Canada.; Canada. -- Constitution.; Federal government -- Canada.</t>
  </si>
  <si>
    <t>http://public.eblib.com/choice/PublicFullRecord.aspx?p=3331609</t>
  </si>
  <si>
    <t>Irish Migrants in Canada</t>
  </si>
  <si>
    <t>Elliott, B.S.</t>
  </si>
  <si>
    <t>F1035.I6 -- E45 2004eb</t>
  </si>
  <si>
    <t>Canada -- Emigration and immigration -- History -- 19th century.; Canada -- Population -- History -- 19th century.; Irish -- Canada -- Genealogy.; Irish -- Canada -- Migrations -- History -- 19th century.; Irish -- North America -- Genealogy.; Migration, Internal -- Canada -- History -- 19th century.; Protestants -- Canada -- History -- 19th century.</t>
  </si>
  <si>
    <t>http://public.eblib.com/choice/PublicFullRecord.aspx?p=3331610</t>
  </si>
  <si>
    <t>Malcolm MacDonald : Bringing an End to Empire</t>
  </si>
  <si>
    <t>Sanger, Clyde</t>
  </si>
  <si>
    <t>DA822.M3</t>
  </si>
  <si>
    <t>Colonial administrators -- Great Britain -- Biography.; Decolonization.; Diplomats -- Great Britain -- Biography.; Electronic books. -- local; Great Britain -- Colonies -- Administration -- History -- 20th century.; MacDonald, Malcolm, -- 1901-1981.; Scotland -- Biography.</t>
  </si>
  <si>
    <t>http://public.eblib.com/choice/PublicFullRecord.aspx?p=3331611</t>
  </si>
  <si>
    <t>This Unfriendly Soil : The Loyalist Experience in Nova Scotia, 1783-1791</t>
  </si>
  <si>
    <t>MacKinnon, Neil</t>
  </si>
  <si>
    <t>F1038 -- .M335 1986eb</t>
  </si>
  <si>
    <t>Electronic books. -- local; Nova Scotia -- History -- 1763-1867.; United Empire loyalists.</t>
  </si>
  <si>
    <t>http://public.eblib.com/choice/PublicFullRecord.aspx?p=3331612</t>
  </si>
  <si>
    <t>Peasant Economic Development within the English Manorial System</t>
  </si>
  <si>
    <t>Raftis, J.</t>
  </si>
  <si>
    <t>HC254.3.R33 1997</t>
  </si>
  <si>
    <t>Electronic books. -- local; Farm tenancy -- Economic aspects -- England -- History.; Manors -- Economic aspects -- England -- History.; Peasants -- England -- History.</t>
  </si>
  <si>
    <t>http://public.eblib.com/choice/PublicFullRecord.aspx?p=3331613</t>
  </si>
  <si>
    <t>Women in Zones of Conflict : Power and Resistance in Israel</t>
  </si>
  <si>
    <t>Jacoby, Tami Amanda</t>
  </si>
  <si>
    <t>HQ1236.5.I75</t>
  </si>
  <si>
    <t>Politieke bewegingen. -- gtt; Politieke conflicten. -- gtt; Sex discrimination against women -- Israel.; Vrouwen. -- gtt; War and society -- Israel.; Women -- Political activity -- Israel.; Women and war -- Israel.</t>
  </si>
  <si>
    <t>http://public.eblib.com/choice/PublicFullRecord.aspx?p=3331614</t>
  </si>
  <si>
    <t>Canada Among Nations, 1997 : Asia Pacific Face-Off</t>
  </si>
  <si>
    <t>Hampson, Fen</t>
  </si>
  <si>
    <t>Canada -- Foreign relations -- 1945-; Canada -- History -- 20th century.; Canada -- Politics and government -- 1980-; Electronic books. -- local</t>
  </si>
  <si>
    <t>http://public.eblib.com/choice/PublicFullRecord.aspx?p=3331615</t>
  </si>
  <si>
    <t>In Search of Elegance : Towards an Architecture of Satisfaction</t>
  </si>
  <si>
    <t>Lincourt, Michel</t>
  </si>
  <si>
    <t>NA2750</t>
  </si>
  <si>
    <t>Architecture -- Aesthetics.; Architecture -- Québec (Province) -- Outremont.; Electronic books. -- local; Palais-Royal (Paris, France); Working class -- Dwellings -- France -- Paris.</t>
  </si>
  <si>
    <t>http://public.eblib.com/choice/PublicFullRecord.aspx?p=3331616</t>
  </si>
  <si>
    <t>Convergence or Divergence? : Comparing Recent Social Trends in Industrial Societies</t>
  </si>
  <si>
    <t>Langlois, Simon; Mendras, Henri</t>
  </si>
  <si>
    <t>Electronic books. -- local; Social change.; Social evolution.</t>
  </si>
  <si>
    <t>http://public.eblib.com/choice/PublicFullRecord.aspx?p=3331617</t>
  </si>
  <si>
    <t>Recent Social Trends in West Germany, 1960-1990</t>
  </si>
  <si>
    <t>Glatzer, Wolfgang</t>
  </si>
  <si>
    <t>HN445.5</t>
  </si>
  <si>
    <t>Electronic books. -- local; Germany (West) -- History.; Germany (West) -- Social conditions.</t>
  </si>
  <si>
    <t>http://public.eblib.com/choice/PublicFullRecord.aspx?p=3331618</t>
  </si>
  <si>
    <t>Canadian Brothers or the Prophecy Fulfilled : A Tale of the Late American War</t>
  </si>
  <si>
    <t>Richardson, John</t>
  </si>
  <si>
    <t>PR9199.2.R43 -- C36 1992eb</t>
  </si>
  <si>
    <t>Electronic books. -- local; United States -- History -- War of 1812 -- Fiction.</t>
  </si>
  <si>
    <t>http://public.eblib.com/choice/PublicFullRecord.aspx?p=3331619</t>
  </si>
  <si>
    <t>Case of Witchcraft : The Trial of Urbain Grandier</t>
  </si>
  <si>
    <t>Rapley, Robert</t>
  </si>
  <si>
    <t>Philosophy; Law</t>
  </si>
  <si>
    <t>BF1517.F5</t>
  </si>
  <si>
    <t>Demoniac possession -- France -- Loudun -- History -- 17th century.; Electronic books. -- local; Grandier, Urbain, -- 1590-1634 -- Trials, litigation, etc.; Trials (Witchcraft) -- France -- Loudun.</t>
  </si>
  <si>
    <t>http://public.eblib.com/choice/PublicFullRecord.aspx?p=3331620</t>
  </si>
  <si>
    <t>Far in the Waste Sudan : On Assignment in Africa</t>
  </si>
  <si>
    <t>DT157.673</t>
  </si>
  <si>
    <t>Canada -- Officials and employees -- Sudan -- Biography.; Coghlan, Nicholas, -- 1954-; Diplomats -- Canada -- Biography.; Diplomats -- Sudan -- Biography.; Electronic books. -- local; Sudan -- History -- 1956-; Sudan -- Politics and government -- 1985-</t>
  </si>
  <si>
    <t>http://public.eblib.com/choice/PublicFullRecord.aspx?p=3331621</t>
  </si>
  <si>
    <t>Catholic Origins of Quebec's Quiet Revolution, 1931-1970</t>
  </si>
  <si>
    <t>BX1422.Q4</t>
  </si>
  <si>
    <t>Catholic Action -- Québec (Province) -- History -- 20th century.; Catholic Church -- Québec (Province) -- History -- 20th century.; Catholic youth -- Québec (Province) -- History -- 20th century.; Electronic books. -- local; Social change -- Québec (Province) -- History -- 20th century.; Youth movements -- Québec (Province) -- History -- 20th century.</t>
  </si>
  <si>
    <t>http://public.eblib.com/choice/PublicFullRecord.aspx?p=3331622</t>
  </si>
  <si>
    <t>Six Hundred Years of Reform : Bishops and the French Church, 1190-1789</t>
  </si>
  <si>
    <t>Hayden, J. Michael; Greenshields, Malcolm R.</t>
  </si>
  <si>
    <t>BX1529</t>
  </si>
  <si>
    <t>Catholic Church -- France -- Bishops -- History.; Church renewal -- Catholic Church -- History.; Église catholique -- France -- Évêques -- Histoire.; Église catholique -- France -- Histoire.; Évêques -- France -- Histoire.; Renouveau de l''Église -- Église catholique -- Histoire.; Renouveau de l''Église -- France -- Histoire.</t>
  </si>
  <si>
    <t>http://public.eblib.com/choice/PublicFullRecord.aspx?p=3331623</t>
  </si>
  <si>
    <t>Migrant Labour in South Africa's Mining Economy : The Struggle for the Gold Mines' Labour Supply, 1890-1920</t>
  </si>
  <si>
    <t>Jeeves, Alan H.</t>
  </si>
  <si>
    <t>HD8039.M732 -- S6 1985eb</t>
  </si>
  <si>
    <t>Blacks -- Employment -- South Africa.; Electronic books. -- local; Gold mines and mining -- South Africa.; Migrant labor -- South Africa.; South Africa -- Economic policy.</t>
  </si>
  <si>
    <t>http://public.eblib.com/choice/PublicFullRecord.aspx?p=3331624</t>
  </si>
  <si>
    <t>To the Arctic by Canoe 1819-1821 : The Journal and Paintings of Robert Hood, Midshipman with Franklin</t>
  </si>
  <si>
    <t>Houston, Stuart; Houston, C.Stuart</t>
  </si>
  <si>
    <t>G650 1819</t>
  </si>
  <si>
    <t>Arctic regions -- Discovery and exploration -- British.; Electronic books. -- local; Hood, Robert, -- 1797-1821 -- Travel -- Northwest Territories.; Natural history -- Northwest Territories.; Northwest Territories -- Description and travel.</t>
  </si>
  <si>
    <t>http://public.eblib.com/choice/PublicFullRecord.aspx?p=3331625</t>
  </si>
  <si>
    <t>Robert and Frances Flaherty : A Documentary Life, 1883-1922</t>
  </si>
  <si>
    <t>Christopher, Robert J.</t>
  </si>
  <si>
    <t>PN1998.3.F59</t>
  </si>
  <si>
    <t>Flaherty, Frances Hubbard -- Diaries.; Flaherty, Frances Hubbard.; Flaherty, Robert Joseph, -- 1884-1951 -- Diaries.; Flaherty, Robert Joseph, -- 1884-1951.; Inuit in motion pictures.; Motion picture producers and directors -- United States -- Biography.; Motion picture producers and directors -- United States -- Diaries.</t>
  </si>
  <si>
    <t>http://public.eblib.com/choice/PublicFullRecord.aspx?p=3331626</t>
  </si>
  <si>
    <t>Recent Social Trends in Canada, 1960-2000</t>
  </si>
  <si>
    <t>Roberts, Lance W.</t>
  </si>
  <si>
    <t>Canada -- Conditions sociales -- 1945-; Canada -- Social conditions -- 1945-; Changement social -- Canada -- Histoire -- 20e siècle.; Indicateurs sociaux -- Canada.; Social change -- Canada -- History -- 20th century.; Social indicators -- Canada.; Sociale verandering. -- gtt</t>
  </si>
  <si>
    <t>http://public.eblib.com/choice/PublicFullRecord.aspx?p=3331627</t>
  </si>
  <si>
    <t>Pleasure of Fools : Essays in the Ethics of Laughter</t>
  </si>
  <si>
    <t>Gantar, Jure</t>
  </si>
  <si>
    <t>PN56.L3</t>
  </si>
  <si>
    <t>Laughter -- Moral and ethical aspects.; Laughter in literature.</t>
  </si>
  <si>
    <t>http://public.eblib.com/choice/PublicFullRecord.aspx?p=3331628</t>
  </si>
  <si>
    <t>Woman Who Mapped Labrador : The Life and Expedition Diary of Mina Hubbard</t>
  </si>
  <si>
    <t>Hubbard, Mina Benson; Buchanan, Roberta ; Hart, Ann</t>
  </si>
  <si>
    <t>Explorers -- Newfoundland and Labrador -- Labrador -- Biography.; Hubbard, Mina -- Diaries.; Hubbard, Mina -- Travel -- Newfoundland and Labrador -- Labrador.; Labrador (N.L.) -- Discovery and exploration.; Women explorers -- Newfoundland and Labrador -- Labrador -- Biography.</t>
  </si>
  <si>
    <t>http://public.eblib.com/choice/PublicFullRecord.aspx?p=3331629</t>
  </si>
  <si>
    <t>Constitutional Origins, Structure, and Change in Federal Countries</t>
  </si>
  <si>
    <t>lobal Dialogue on Federalism Series</t>
  </si>
  <si>
    <t>Kincaid, John; Tarr, G. Alan</t>
  </si>
  <si>
    <t>JC355 -- .C67 2005eb</t>
  </si>
  <si>
    <t>Comparative government.; Constitutional history.; Electronic books. -- local; Federal government.</t>
  </si>
  <si>
    <t>http://public.eblib.com/choice/PublicFullRecord.aspx?p=3331630</t>
  </si>
  <si>
    <t>Franco-Americans of New England : Dreams and Realities</t>
  </si>
  <si>
    <t>Roby, Yves</t>
  </si>
  <si>
    <t>F15.F85R63 2004</t>
  </si>
  <si>
    <t>Electronic books. -- local; French Americans -- New England -- History.; New England -- Emigration and immigration -- History.; Québec (Province) -- Emigration and immigration -- History.</t>
  </si>
  <si>
    <t>http://public.eblib.com/choice/PublicFullRecord.aspx?p=3331631</t>
  </si>
  <si>
    <t>Tales Until Dawn : The World of a Cape Breton Gaelic Story-Teller</t>
  </si>
  <si>
    <t>MacNeil, Joe Neil; Shaw, John</t>
  </si>
  <si>
    <t>GR113.5.C36 -- M33 1987eb</t>
  </si>
  <si>
    <t>Cape Breton (N.S. : County) -- Social life and customs.; Celts -- Nova Scotia -- Cape Breton (County) -- Folklore.; Electronic books. -- local; Folklore -- Nova Scotia -- Cape Breton (County); MacNeil, Joe Neil.; Storytellers -- Nova Scotia -- Cape Breton (County); Tales -- Nova Scotia -- Cape Breton (County)</t>
  </si>
  <si>
    <t>http://public.eblib.com/choice/PublicFullRecord.aspx?p=3331632</t>
  </si>
  <si>
    <t>Contesting Rural Space : Land Policy and Practices of Resettlement on Saltspring Island, 1859-1891</t>
  </si>
  <si>
    <t>Sandwell, R.W.</t>
  </si>
  <si>
    <t>HN110.S35</t>
  </si>
  <si>
    <t>Colonisation intérieure -- Colombie-Britannique -- Saltspring, Île -- Histoire -- 19e siècle.; Land settlement -- British Columbia -- Saltspring Island -- History -- 19th century.; Land use -- British Columbia -- Saltspring Island -- History -- 19th century.; Saltspring Island (B.C.) -- History -- 19th century.; Saltspring Island (B.C.) -- Rural conditions.; Saltspring, Île (C.-B.) -- Histoire -- 19e siècle.; Sol, Utilisation du -- Colombie-Britannique -- Saltspring, Île -- Histoire -- 19e siècle.</t>
  </si>
  <si>
    <t>http://public.eblib.com/choice/PublicFullRecord.aspx?p=3331633</t>
  </si>
  <si>
    <t>Democracy of Despots</t>
  </si>
  <si>
    <t>Murray, Donald</t>
  </si>
  <si>
    <t>DK510.763</t>
  </si>
  <si>
    <t>Electronic books. -- local; Gorbachev, Mikhail Sergeevich, -- 1931-; Russia (Federation) -- History.; Russia (Federation) -- Politics and government -- 1991-; Soviet Union -- Politics and government -- 1985-1991.; Yeltsin, Boris Nikolayevich, -- 1931-2007.</t>
  </si>
  <si>
    <t>http://public.eblib.com/choice/PublicFullRecord.aspx?p=3331634</t>
  </si>
  <si>
    <t>My Life at the Bar and Beyond</t>
  </si>
  <si>
    <t>Paterson, Alex K.</t>
  </si>
  <si>
    <t>KE416.P38</t>
  </si>
  <si>
    <t>Lawyers -- Québec (Province) -- Biography.; Montréal (Québec) -- Biography.; Paterson, Alex K., -- 1932-; Québec (Province) -- Biography.; Québec (Province) -- History -- 1960-</t>
  </si>
  <si>
    <t>http://public.eblib.com/choice/PublicFullRecord.aspx?p=3331635</t>
  </si>
  <si>
    <t>Shame and Humiliation : Presidential Decision Making on Vietnam</t>
  </si>
  <si>
    <t>Steinberg, Blema S.</t>
  </si>
  <si>
    <t>DS558</t>
  </si>
  <si>
    <t>Electronic books. -- local; United States -- Politics and government -- 20th century.; Vietnam War, 1961-1975 -- Psychological aspects.; Vietnam War, 1961-1975 -- United States.</t>
  </si>
  <si>
    <t>http://public.eblib.com/choice/PublicFullRecord.aspx?p=3331636</t>
  </si>
  <si>
    <t>Essays for Richard Ellmann : Omnium Gatherum</t>
  </si>
  <si>
    <t>Dick, Susan</t>
  </si>
  <si>
    <t>PR8754 -- .E88 1989eb</t>
  </si>
  <si>
    <t>Electronic books. -- local; Ellmann, Richard, -- 1918-1987.; English literature -- 19th century -- History and criticism.; English literature -- 20th century -- History and criticism.; English literature -- Irish authors -- History and criticism.</t>
  </si>
  <si>
    <t>http://public.eblib.com/choice/PublicFullRecord.aspx?p=3331637</t>
  </si>
  <si>
    <t>Tin-Pots and Pirate Ships : Canadian Naval Forces and German Sea Raiders 1880-1918</t>
  </si>
  <si>
    <t>FC231</t>
  </si>
  <si>
    <t>Canada -- History, Naval.; Canada. -- Royal Canadian Navy -- History.; Electronic books. -- local; World War, 1914-1918 -- Naval operations, Canadian.; World War, 1914-1918 -- Naval operations, German.</t>
  </si>
  <si>
    <t>http://public.eblib.com/choice/PublicFullRecord.aspx?p=3331638</t>
  </si>
  <si>
    <t>Mackenzie Pipeline : Arctic Gas and Canadian Energy Policy</t>
  </si>
  <si>
    <t>Pearse, Peter</t>
  </si>
  <si>
    <t>HD9506.C2</t>
  </si>
  <si>
    <t>Electronic books. -- local; Natural gas -- Canada.; Natural gas pipelines.</t>
  </si>
  <si>
    <t>http://public.eblib.com/choice/PublicFullRecord.aspx?p=3331639</t>
  </si>
  <si>
    <t>Canada Among Nations, 2005 : Split Images</t>
  </si>
  <si>
    <t>Cooper, Andrew F.; Rowlands, Dane</t>
  </si>
  <si>
    <t>F1034.2 -- .S65 2005eb</t>
  </si>
  <si>
    <t>Canada -- Foreign relations -- 1945-; Canada -- Politics and government -- 1945-; Electronic books. -- local; Political science.</t>
  </si>
  <si>
    <t>http://public.eblib.com/choice/PublicFullRecord.aspx?p=3331640</t>
  </si>
  <si>
    <t>Why Botswana Prospered</t>
  </si>
  <si>
    <t>Leith, J.</t>
  </si>
  <si>
    <t>HC930</t>
  </si>
  <si>
    <t>Botswana -- Conditions économiques -- 1966-; Botswana -- Economic conditions -- 1966-; Botswana -- Economic policy.; Botswana -- Politics and government -- 1966-; Botswana -- Politique économique.; Botswana -- Politique et gouvernement -- 1966-</t>
  </si>
  <si>
    <t>http://public.eblib.com/choice/PublicFullRecord.aspx?p=3331641</t>
  </si>
  <si>
    <t>Henry Goulburn, 1784-1856 : A Political Biography</t>
  </si>
  <si>
    <t>Jenkins, Brian</t>
  </si>
  <si>
    <t>DA565.G68</t>
  </si>
  <si>
    <t>Electronic books. -- local; Goulburn, Henry, -- 1784-1856.; Great Britain -- Politics and government -- 19th century.; Politicians -- Great Britain -- Biography.</t>
  </si>
  <si>
    <t>http://public.eblib.com/choice/PublicFullRecord.aspx?p=3331642</t>
  </si>
  <si>
    <t>Working Light : The Wandering Life of Photographer Edith S. Watson</t>
  </si>
  <si>
    <t>Rooney, F.</t>
  </si>
  <si>
    <t>TR140.W37 -- R66 1996eb</t>
  </si>
  <si>
    <t>Canada -- Social life and customs -- Pictorial works.; Electronic books. -- local; Photographers -- United States -- Biography.; Women photographers -- United States -- Biography.</t>
  </si>
  <si>
    <t>http://public.eblib.com/choice/PublicFullRecord.aspx?p=3331643</t>
  </si>
  <si>
    <t>More Moderate Side of Joseph de Maistre : Views on Political Liberty and Political Economy</t>
  </si>
  <si>
    <t>Camcastle, Cara</t>
  </si>
  <si>
    <t>Economics -- Philosophy.; Économie politique -- Philosophie.; International relations -- Philosophy.; Maistre, Joseph Marie, -- comte de, -- 1753-1821.; Maistre, Joseph, -- comte de, -- 1753-1821 -- Critique et interprétation.; Maistre, Joseph, -- comte de, -- 1753-1821 -- Pensée politique et sociale.; Political science -- Philosophy.</t>
  </si>
  <si>
    <t>http://public.eblib.com/choice/PublicFullRecord.aspx?p=3331644</t>
  </si>
  <si>
    <t>A Biography of Conor Cruise O'Brien : Narrative</t>
  </si>
  <si>
    <t>Akenson, D.H.</t>
  </si>
  <si>
    <t>PR6065.B67 -- A54 1994eb</t>
  </si>
  <si>
    <t>Electronic books. -- local; Intellectuals -- Ireland -- Biography.; O''Brien, Conor Cruise, -- 1917-2008.</t>
  </si>
  <si>
    <t>http://public.eblib.com/choice/PublicFullRecord.aspx?p=3331645</t>
  </si>
  <si>
    <t>Dialogues on Distribution of Powers and Responsibilities in Federal Countries</t>
  </si>
  <si>
    <t>Comparative government.; Federal government.; Fédéralisme.; Institutions politiques comparées.</t>
  </si>
  <si>
    <t>http://public.eblib.com/choice/PublicFullRecord.aspx?p=3331646</t>
  </si>
  <si>
    <t>Living and Learning in the Free School</t>
  </si>
  <si>
    <t>Novak, Mark</t>
  </si>
  <si>
    <t>LB1029 -- .N68 1975eb</t>
  </si>
  <si>
    <t>Alternative schools -- Canada.; Electronic books. -- local; Free schools -- Canada.</t>
  </si>
  <si>
    <t>http://public.eblib.com/choice/PublicFullRecord.aspx?p=3331647</t>
  </si>
  <si>
    <t>Recovery of Wonder : The New Freedom and the Asceticism of Power</t>
  </si>
  <si>
    <t>Schmitz, Kenneth</t>
  </si>
  <si>
    <t>B105.W65</t>
  </si>
  <si>
    <t>Étonnement (Philosophie); Réalité.; Reality.; Wonder (Philosophy)</t>
  </si>
  <si>
    <t>http://public.eblib.com/choice/PublicFullRecord.aspx?p=3331648</t>
  </si>
  <si>
    <t>Maps of Difference : Canada, Women, and Travel</t>
  </si>
  <si>
    <t>Roy, Wendy</t>
  </si>
  <si>
    <t>CT3203</t>
  </si>
  <si>
    <t>Hubbard, Mina, -- 1870-1956. -- Woman''s way through unknown Labrador.; Hubbard, Mina. -- Woman''s way through unknown Labrador.; Jameson, -- Mrs. -- (Anna), -- 1794-1860. -- Winter studies and summer rambles in Canada.; Jameson, Anna Brownell, -- 1794-1860. -- Winter studies and Summer rambles in Canada.; Laurence, Margaret, -- 1926-1987. -- Prophet''s camel bell.; Laurence, Margaret. -- Prophet''s camel bell.; Women travelers -- Canada.</t>
  </si>
  <si>
    <t>http://public.eblib.com/choice/PublicFullRecord.aspx?p=3331649</t>
  </si>
  <si>
    <t>Forkhill Protestants and Forkhill Catholics, 1787-1858</t>
  </si>
  <si>
    <t>Madden, Kyla</t>
  </si>
  <si>
    <t>DA995.F67</t>
  </si>
  <si>
    <t>Armagh (Northern Ireland : County) -- History -- 18th century.; Armagh (Northern Ireland : County) -- History -- 19th century.; Catholics -- Northern Ireland -- Forkill.; Forkhill (Irlande du Nord) -- Histoire -- 18e siècle.; Forkill (Northern Ireland) -- History -- 18th century.; Forkill (Northern Ireland) -- History -- 19th century.; Protestants -- Northern Ireland -- Forkill.</t>
  </si>
  <si>
    <t>http://public.eblib.com/choice/PublicFullRecord.aspx?p=3331650</t>
  </si>
  <si>
    <t>Dialogues sur les origines, structures et changements constitutionnels dans les pays federaux</t>
  </si>
  <si>
    <t>Constitutional law.; Electronic books. -- local; Federal government.</t>
  </si>
  <si>
    <t>http://public.eblib.com/choice/PublicFullRecord.aspx?p=3331651</t>
  </si>
  <si>
    <t>Traditional Gaelic Bagpiping, 1745-1945</t>
  </si>
  <si>
    <t>ML980</t>
  </si>
  <si>
    <t>Bagpipe -- Nova Scotia -- History.; Bagpipe -- Scotland -- Highlands -- History.; Bagpipe music -- History and criticism.; Electronic books. -- local</t>
  </si>
  <si>
    <t>http://public.eblib.com/choice/PublicFullRecord.aspx?p=3331652</t>
  </si>
  <si>
    <t>Consent, Coercion, and Limit : The Medieval Origins of Parliamentary Democracy</t>
  </si>
  <si>
    <t>JC423 -- .M66 1987eb</t>
  </si>
  <si>
    <t>Consent (Law) -- History.; Democracy -- History.; Duress (Law) -- History.; Electronic books. -- local; Representative government and representation -- History.</t>
  </si>
  <si>
    <t>http://public.eblib.com/choice/PublicFullRecord.aspx?p=3331653</t>
  </si>
  <si>
    <t>Early Journals and Letters of Fanny Burney</t>
  </si>
  <si>
    <t>Burney/Rizzo; Rizzo, Betty</t>
  </si>
  <si>
    <t>PR3316.A4 -- S87 2003eb</t>
  </si>
  <si>
    <t>Burney, Fanny, -- 1752-1840 -- Correspondence.; Burney, Fanny, -- 1752-1840 -- Diaries.; Electronic books. -- local; Novelists, English -- 18th century -- Correspondence.; Novelists, English -- 18th century -- Diaries.</t>
  </si>
  <si>
    <t>http://public.eblib.com/choice/PublicFullRecord.aspx?p=3331654</t>
  </si>
  <si>
    <t>Repairing Eden : Humility, Mysticism, and the Existentialist Problem of Religious Diversity</t>
  </si>
  <si>
    <t>McLeod-Harrison Mark S.</t>
  </si>
  <si>
    <t>BR127 -- .M35 2005eb</t>
  </si>
  <si>
    <t>Christianity and other religions.; Humility -- Religious aspects -- Christianity.; Mysticism.; Religious pluralism.</t>
  </si>
  <si>
    <t>http://public.eblib.com/choice/PublicFullRecord.aspx?p=3331655</t>
  </si>
  <si>
    <t>Freedom to Smoke : Tobacco Consumption and Identity</t>
  </si>
  <si>
    <t>Rudy, Jarrett</t>
  </si>
  <si>
    <t>HV5730</t>
  </si>
  <si>
    <t>Group identity -- Canada.; Smoking -- Canada -- History.; Smoking -- Québec (Province) -- Montréal -- History -- 19th century.; Smoking -- Québec (Province) -- Montréal -- History -- 20th century.; Smoking -- Social aspects -- Québec (Province) -- Montréal.; Tabagisme -- Aspect social -- Québec (Province) -- Montréal.; Tabagisme -- Québec (Province) -- Montréal -- Histoire -- 19e siècle.</t>
  </si>
  <si>
    <t>http://public.eblib.com/choice/PublicFullRecord.aspx?p=3331656</t>
  </si>
  <si>
    <t>Ethical Canary : Science, Society, and the Human Spirit</t>
  </si>
  <si>
    <t>Somerville, Margaret</t>
  </si>
  <si>
    <t>R725.55</t>
  </si>
  <si>
    <t>Bioethics.; Electronic books. -- local; Science -- Moral and ethical aspects.</t>
  </si>
  <si>
    <t>http://public.eblib.com/choice/PublicFullRecord.aspx?p=3331657</t>
  </si>
  <si>
    <t>Distribution of Powers and Responsibilities in Federal Countries</t>
  </si>
  <si>
    <t>Global Dialogue on Federalism Series</t>
  </si>
  <si>
    <t>Majeed, Akhtar; Watts, Ronald L; Brown, Douglas</t>
  </si>
  <si>
    <t>Electronic books. -- local; Federal government -- Case studies.; Political science.</t>
  </si>
  <si>
    <t>http://public.eblib.com/choice/PublicFullRecord.aspx?p=3331658</t>
  </si>
  <si>
    <t>Jesuit Relations and Allied Documents, Number 7 : A Selection</t>
  </si>
  <si>
    <t>Mealing. S.R.</t>
  </si>
  <si>
    <t>BV2290 -- .J47 1997eb</t>
  </si>
  <si>
    <t>Electronic books. -- local; Indians of North America -- Missions.; Jesuits -- North America.</t>
  </si>
  <si>
    <t>http://public.eblib.com/choice/PublicFullRecord.aspx?p=3331659</t>
  </si>
  <si>
    <t>State and Status : The Rise of the State and Aristocratic Power in Western Europe</t>
  </si>
  <si>
    <t>Clark, Samuel</t>
  </si>
  <si>
    <t>HT653.E9</t>
  </si>
  <si>
    <t>Aristocracy (Political science) -- Europe -- History -- 17th century.; Aristocracy (Political science) -- Europe -- History -- 18th century.; Electronic books. -- local; Power (Social sciences) -- Europe -- History -- 17th century.; Power (Social sciences) -- Europe -- History -- 18th century.; State, The.</t>
  </si>
  <si>
    <t>http://public.eblib.com/choice/PublicFullRecord.aspx?p=3331660</t>
  </si>
  <si>
    <t>History of Canadian Catholics</t>
  </si>
  <si>
    <t>Fay, Terence J.</t>
  </si>
  <si>
    <t>BX1421.2</t>
  </si>
  <si>
    <t>Catholic Church -- Canada -- History.; Catholics -- Canada -- History.; Electronic books. -- local</t>
  </si>
  <si>
    <t>http://public.eblib.com/choice/PublicFullRecord.aspx?p=3331662</t>
  </si>
  <si>
    <t>Partners in Furs : A History of the Fur Trade in Eastern James Bay, 1600-1870</t>
  </si>
  <si>
    <t>HD9944.C23</t>
  </si>
  <si>
    <t>Electronic books. -- local; Fur trade -- James Bay Region -- History.; Indians of North America -- Trapping -- James Bay Region -- History.; Québec (Province) -- History.</t>
  </si>
  <si>
    <t>http://public.eblib.com/choice/PublicFullRecord.aspx?p=3331664</t>
  </si>
  <si>
    <t>Frinisie des Fusions</t>
  </si>
  <si>
    <t>Sancton, A.</t>
  </si>
  <si>
    <t>JS78 -- .S2414 2000eb</t>
  </si>
  <si>
    <t>320.8/59</t>
  </si>
  <si>
    <t>Annexation (Municipal government); Annexation (Municipal government) -- Canada.; Annexation (Municipal government) -- Case studies.; Annexation (Municipal government) -- United States.; Electronic books. -- local; Municipal government.</t>
  </si>
  <si>
    <t>http://public.eblib.com/choice/PublicFullRecord.aspx?p=3331665</t>
  </si>
  <si>
    <t>History of Slovak Literature</t>
  </si>
  <si>
    <t>Petro, Peter</t>
  </si>
  <si>
    <t>PG5401</t>
  </si>
  <si>
    <t>Electronic books. -- local; Slovak literature -- History and criticism.; Slovakia -- Literatures -- History and criticism.</t>
  </si>
  <si>
    <t>http://public.eblib.com/choice/PublicFullRecord.aspx?p=3331666</t>
  </si>
  <si>
    <t>Silent Surrender : The Multinational Corporation in Canada</t>
  </si>
  <si>
    <t>Levitt, Kari</t>
  </si>
  <si>
    <t>HD2809</t>
  </si>
  <si>
    <t>Corporations, American -- Canada.; Corporations, Foreign -- Canada.; Sociétés américaines -- Canada.; Sociétés étrangères -- Canada.</t>
  </si>
  <si>
    <t>http://public.eblib.com/choice/PublicFullRecord.aspx?p=3331667</t>
  </si>
  <si>
    <t>Place to Belong : Community Order and Everyday Space in Calvert, Newfoundland</t>
  </si>
  <si>
    <t>Pocius, Gerald L.</t>
  </si>
  <si>
    <t>GF512.N49 -- P63 2000eb</t>
  </si>
  <si>
    <t>304.2/3/09718</t>
  </si>
  <si>
    <t>Calvert (N.L.) -- Social conditions.; Calvert (N.L.) -- Social life and customs.; Electronic books. -- local; Human geography -- Newfoundland and Labrador -- Calvert.; Spatial behavior -- Newfoundland and Labrador -- Calvert.</t>
  </si>
  <si>
    <t>http://public.eblib.com/choice/PublicFullRecord.aspx?p=3331668</t>
  </si>
  <si>
    <t>Canada's Regional Innovation Systems : The Science-Based Industries</t>
  </si>
  <si>
    <t>Niosi, J.</t>
  </si>
  <si>
    <t>Business/Management; Economics; Engineering: General; Engineering</t>
  </si>
  <si>
    <t>T177.C2 -- N553 2005eb</t>
  </si>
  <si>
    <t>338/.064/0971</t>
  </si>
  <si>
    <t>Electronic books. -- local; High technology industries -- Canada.; Industrial location -- Canada.; Technological innovations -- Economic aspects -- Canada.</t>
  </si>
  <si>
    <t>http://public.eblib.com/choice/PublicFullRecord.aspx?p=3331669</t>
  </si>
  <si>
    <t>Open-Mindedness and Education</t>
  </si>
  <si>
    <t>Hare, William</t>
  </si>
  <si>
    <t>LB41</t>
  </si>
  <si>
    <t>Education -- Aims and objectives.; Electronic books. -- local; Judgment.; Reasoning.</t>
  </si>
  <si>
    <t>http://public.eblib.com/choice/PublicFullRecord.aspx?p=3331670</t>
  </si>
  <si>
    <t>Money and Banking in Canada</t>
  </si>
  <si>
    <t>Neufeld, E.P.</t>
  </si>
  <si>
    <t>Banks and banking -- Canada.; Electronic books. -- local; Money -- Canada.</t>
  </si>
  <si>
    <t>http://public.eblib.com/choice/PublicFullRecord.aspx?p=3331671</t>
  </si>
  <si>
    <t>Cystic Fibrosis and You : A Guide for Adolescents</t>
  </si>
  <si>
    <t>Korneluk, Y.G.</t>
  </si>
  <si>
    <t>RC858.C95 -- K67 1996eb</t>
  </si>
  <si>
    <t>Cystic fibrosis.; Electronic books. -- local; Genetic disorders.</t>
  </si>
  <si>
    <t>http://public.eblib.com/choice/PublicFullRecord.aspx?p=3331672</t>
  </si>
  <si>
    <t>Labour, Love, and Prayer : Female Piety in Ulster Religious Literature, 1850-1914</t>
  </si>
  <si>
    <t>Brozyna, Andrea Ebel</t>
  </si>
  <si>
    <t>PR8722.R4</t>
  </si>
  <si>
    <t>Electronic books. -- local; Piety in literature.; Religious literature, English -- Irish authors -- History and criticism.; Ulster (Northern Ireland and Ireland) -- Religious life and customs.; Women -- Religious life -- Northern Ireland.; Women in literature.</t>
  </si>
  <si>
    <t>http://public.eblib.com/choice/PublicFullRecord.aspx?p=3331673</t>
  </si>
  <si>
    <t>Life and Religion at Louisbourg, 1713-1758</t>
  </si>
  <si>
    <t>Johnston, A.</t>
  </si>
  <si>
    <t>BX1424.L6</t>
  </si>
  <si>
    <t>Catholic Church -- Nova Scotia -- Louisbourg -- History.; Electronic books. -- local; Louisbourg (N.S.) -- Church history.; Louisbourg (N.S.) -- Religious life and customs.; Monasticism and religious orders -- Nova Scotia -- Louisbourg -- History.</t>
  </si>
  <si>
    <t>http://public.eblib.com/choice/PublicFullRecord.aspx?p=3331674</t>
  </si>
  <si>
    <t>How Ottawa Spends, 2005-2006 : Managing the Minority</t>
  </si>
  <si>
    <t>Doern, G. Bruce</t>
  </si>
  <si>
    <t>HJ7663</t>
  </si>
  <si>
    <t>http://public.eblib.com/choice/PublicFullRecord.aspx?p=3331675</t>
  </si>
  <si>
    <t>Yugoslav Drama</t>
  </si>
  <si>
    <t>Crnobrnja, M.</t>
  </si>
  <si>
    <t>DR1313 -- .C766 1996eb</t>
  </si>
  <si>
    <t>Electronic books. -- local; Yugoslav War, 1991-1995.; Yugoslavia -- History -- 1980-1992.; Yugoslavia -- History -- 1992-2003.; Yugoslavia -- Politics and government -- 1945-1980.; Yugoslavia -- Politics and government -- 1980-1992.; Yugoslavia -- Politics and government -- 1992-2003.</t>
  </si>
  <si>
    <t>http://public.eblib.com/choice/PublicFullRecord.aspx?p=3331676</t>
  </si>
  <si>
    <t>Era of Emancipation : British Government of Ireland, 1812-1830</t>
  </si>
  <si>
    <t>DA950.2 -- .J46 1988eb</t>
  </si>
  <si>
    <t>Catholic emancipation.; Electronic books. -- local; Great Britain -- Politics and government -- 1820-1830.; Ireland -- Politics and government -- 1800-1837.</t>
  </si>
  <si>
    <t>http://public.eblib.com/choice/PublicFullRecord.aspx?p=3331677</t>
  </si>
  <si>
    <t>Rent Boys : The World of Male Sex Trade Workers</t>
  </si>
  <si>
    <t>Dorais, Michel</t>
  </si>
  <si>
    <t>HQ117</t>
  </si>
  <si>
    <t>Male prostitutes -- Québec (Province); Male prostitutes.; Male prostitution -- Québec (Province); Male prostitution.</t>
  </si>
  <si>
    <t>http://public.eblib.com/choice/PublicFullRecord.aspx?p=3331678</t>
  </si>
  <si>
    <t>Embattled Shadows : A History of Canadian Cinema, 1895-1939</t>
  </si>
  <si>
    <t>Morris, Oeter</t>
  </si>
  <si>
    <t>PN1993.5.C2 -- M67 1978eb</t>
  </si>
  <si>
    <t>Electronic books. -- local; Motion pictures -- Canada -- History.; Performing arts -- Canada -- History.</t>
  </si>
  <si>
    <t>http://public.eblib.com/choice/PublicFullRecord.aspx?p=3331679</t>
  </si>
  <si>
    <t>Complete Plays of Frances Burney : Volume 1: Comedies. Volume 2: Tragedies</t>
  </si>
  <si>
    <t>Burney, Frances</t>
  </si>
  <si>
    <t>PR3316.A4 -- A19 1995eb</t>
  </si>
  <si>
    <t>822/.6</t>
  </si>
  <si>
    <t>Electronic books. -- local; English drama (Comedy) -- 18th century.; English drama (Tragedy) -- 18th century.; English literature -- 18th century.</t>
  </si>
  <si>
    <t>http://public.eblib.com/choice/PublicFullRecord.aspx?p=3331680</t>
  </si>
  <si>
    <t>Recent Social Trends in France, 1960-1990</t>
  </si>
  <si>
    <t>Forsé, Michel; Jaslin, Jean-Pierre; et al.,</t>
  </si>
  <si>
    <t>HN425.5</t>
  </si>
  <si>
    <t>Electronic books. -- local; France -- History -- 1945-; France -- Social conditions -- 1945-1995.</t>
  </si>
  <si>
    <t>http://public.eblib.com/choice/PublicFullRecord.aspx?p=3331681</t>
  </si>
  <si>
    <t>African Exploits : The Diaries of William Stairs, 1887-1892</t>
  </si>
  <si>
    <t>MacLaren, Roy D.</t>
  </si>
  <si>
    <t>DT363.2.S73</t>
  </si>
  <si>
    <t>Electronic books. -- local; Emin Pasha Relief Expedition -- (1887-1889) -- Personal narratives.; Explorers -- Canada -- Diaries.; Explorers -- Congo (Democratic Republic) -- Diaries.; Katanga Expedition -- (1891-1892) -- Personal narratives.; Stairs, William G. -- Diaries.</t>
  </si>
  <si>
    <t>http://public.eblib.com/choice/PublicFullRecord.aspx?p=3331682</t>
  </si>
  <si>
    <t>Canadian Crusoes : A Tale of the Rice Lake Plains</t>
  </si>
  <si>
    <t>Traill, Catharine</t>
  </si>
  <si>
    <t>PR9199.2.T73 -- C36 1997eb</t>
  </si>
  <si>
    <t>Canadian literature.; Electronic books. -- local; Frontier and pioneer life -- Ontario -- Fiction.</t>
  </si>
  <si>
    <t>http://public.eblib.com/choice/PublicFullRecord.aspx?p=3331683</t>
  </si>
  <si>
    <t>Recent Social Trends in Quebec, 1960-1990</t>
  </si>
  <si>
    <t>Langlois, Simon; Baillargeon</t>
  </si>
  <si>
    <t>HN110.Q8</t>
  </si>
  <si>
    <t>Electronic books. -- local; Québec (Province) -- Civilization.; Québec (Province) -- Economic conditions.; Québec (Province) -- Social conditions.; Social change.</t>
  </si>
  <si>
    <t>http://public.eblib.com/choice/PublicFullRecord.aspx?p=3331684</t>
  </si>
  <si>
    <t>Michael Power : The Struggle to Build the Catholic Church on the Canadian Frontier</t>
  </si>
  <si>
    <t>McGowan, Mark</t>
  </si>
  <si>
    <t>BX4705.P711</t>
  </si>
  <si>
    <t>Catholic Church -- Canada -- Bishops -- Biography.; Église catholique -- Canada -- Histoire -- 19e siècle.; Église catholique -- Évêques -- Biographies.; Évêques -- Ontario -- Toronto -- Biography.; Power, Michael, -- 1804-1847.; Power, Michael, -- 1804-1847.</t>
  </si>
  <si>
    <t>http://public.eblib.com/choice/PublicFullRecord.aspx?p=3331685</t>
  </si>
  <si>
    <t>Anatomy of Gender : Women's Struggle for the Body</t>
  </si>
  <si>
    <t>Currie, Dawn; Raoul, V</t>
  </si>
  <si>
    <t>HQ1154 -- .A683 1992eb</t>
  </si>
  <si>
    <t>Electronic books. -- local; Feminism.; Sex discrimination against women.; Sex role.; Women -- Social conditions.</t>
  </si>
  <si>
    <t>http://public.eblib.com/choice/PublicFullRecord.aspx?p=3331686</t>
  </si>
  <si>
    <t>Resistance and Revolution : Vaclav Havel's Czechoslovakia</t>
  </si>
  <si>
    <t>McRae, Rob</t>
  </si>
  <si>
    <t>DB2228.7 -- .M37 1997eb</t>
  </si>
  <si>
    <t>943.704/3/092</t>
  </si>
  <si>
    <t>Czechoslovakia -- History -- 20th century.; Czechoslovakia -- Politics and government -- 1989-1992.; Electronic books. -- local; Havel, Václav.</t>
  </si>
  <si>
    <t>http://public.eblib.com/choice/PublicFullRecord.aspx?p=3331687</t>
  </si>
  <si>
    <t>Self-Employed Workers Organize : Law, Policy, and Unions</t>
  </si>
  <si>
    <t>Cranford, Cynthia</t>
  </si>
  <si>
    <t>HD8037.C2</t>
  </si>
  <si>
    <t>Self-employed -- Labor unions -- Organizing -- Canada -- Case studies.; Self-employed -- Legal status, laws, etc. -- Canada -- Case studies.; Travailleurs indépendants -- Droit -- Canada -- Cas, Études de.; Travailleurs indépendants -- Syndicalisation -- Canada -- Cas, Études de.</t>
  </si>
  <si>
    <t>http://public.eblib.com/choice/PublicFullRecord.aspx?p=3331688</t>
  </si>
  <si>
    <t>Writing Lovers : Reading Canadian Love Poetry by Women</t>
  </si>
  <si>
    <t>Cook, Méira</t>
  </si>
  <si>
    <t>PR9190.9.L68</t>
  </si>
  <si>
    <t>Canadian poetry -- Women authors -- History and criticism.; Love poetry, Canadian -- History and criticism.</t>
  </si>
  <si>
    <t>http://public.eblib.com/choice/PublicFullRecord.aspx?p=3331689</t>
  </si>
  <si>
    <t>Enlightenment Tory in Victorian Scotland : The Career of Sir Archibald Alison</t>
  </si>
  <si>
    <t>Michie, Michael</t>
  </si>
  <si>
    <t>DA816.A45</t>
  </si>
  <si>
    <t>Alison, Archibald, -- Sir, -- 1792-1867 -- Political and social views.; Conservatism -- Scotland -- History -- 19th century.; Electronic books. -- local; Enlightenment -- Scotland.; Scotland -- Intellectual life -- 19th century.; Scotland -- Politics and government -- 19th century.</t>
  </si>
  <si>
    <t>http://public.eblib.com/choice/PublicFullRecord.aspx?p=3331690</t>
  </si>
  <si>
    <t>Outposts of Empire : Korea, Vietnam, and the Origins of the Cold War in Asia, 1949-1954</t>
  </si>
  <si>
    <t>Lee, Steven</t>
  </si>
  <si>
    <t>DS35.2</t>
  </si>
  <si>
    <t>Asia -- Foreign relations -- Canada.; Asia -- Foreign relations -- Great Britain.; Asia -- Foreign relations -- United States.; Canada -- Foreign relations -- Asia.; Cold War.; Great Britain -- Foreign relations -- Asia.; United States -- Foreign relations -- Asia.</t>
  </si>
  <si>
    <t>http://public.eblib.com/choice/PublicFullRecord.aspx?p=3331691</t>
  </si>
  <si>
    <t>McGill Medicine, Volume 2 : 1885-1936</t>
  </si>
  <si>
    <t>Hanaway Joseph; Darragh, James</t>
  </si>
  <si>
    <t>R749.M34 -- H35 2006eb</t>
  </si>
  <si>
    <t>McGill University -- History.; McGill University. -- Faculty of Medicine.; Medical education -- Canada.</t>
  </si>
  <si>
    <t>http://public.eblib.com/choice/PublicFullRecord.aspx?p=3331692</t>
  </si>
  <si>
    <t>Tecumseh's Bones</t>
  </si>
  <si>
    <t>St-Denis, Guy</t>
  </si>
  <si>
    <t>E99.S35</t>
  </si>
  <si>
    <t>Moraviantown, Bataille de, 1813.; Tecumseh, -- 1768-1813 -- Mort et sépulture.; Tecumseh, -- Shawnee Chief, -- 1768-1813 -- Death and burial.; Thames, Battle of the, Ont., 1813.</t>
  </si>
  <si>
    <t>http://public.eblib.com/choice/PublicFullRecord.aspx?p=3331693</t>
  </si>
  <si>
    <t>Strange Death of the Liberal Empire : Lord Selborne in South Africa</t>
  </si>
  <si>
    <t>Torrance, David E.</t>
  </si>
  <si>
    <t>DT1921</t>
  </si>
  <si>
    <t>Electronic books. -- local; Great Britain -- Colonies -- South Africa.; Selborne, William Waldegrave Palmer, -- Earl of, -- 1859-1942.; South Africa -- History -- 1836-1909.; South Africa -- History.; South Africa -- Politics and government -- 1836-1909.</t>
  </si>
  <si>
    <t>http://public.eblib.com/choice/PublicFullRecord.aspx?p=3331694</t>
  </si>
  <si>
    <t>My First Years in the Fur Trade : The Journals of 1802-1804</t>
  </si>
  <si>
    <t>Nelson, George; Schenck, Theresa</t>
  </si>
  <si>
    <t>HD9944.U46 -- W66 2002eb</t>
  </si>
  <si>
    <t>380.1/456753/092</t>
  </si>
  <si>
    <t>Electronic books. -- local; Fur trade -- Wisconsin -- History -- 19th century.; Ojibwa Indians -- History.; Ojibwa Indians -- Social life and customs.</t>
  </si>
  <si>
    <t>http://public.eblib.com/choice/PublicFullRecord.aspx?p=3331695</t>
  </si>
  <si>
    <t>Twentieth-Century Shore-Station Whaling in Newfoundland and Labrador</t>
  </si>
  <si>
    <t>Dickinson, Anthony; Sanger, Chesley</t>
  </si>
  <si>
    <t>SH383.5.C2</t>
  </si>
  <si>
    <t>Baleines -- Chasse -- Terre-Neuve-et-Labrador -- Histoire -- 20e siècle.; Whaling -- Newfoundland and Labrador -- History -- 20th century.</t>
  </si>
  <si>
    <t>http://public.eblib.com/choice/PublicFullRecord.aspx?p=3331696</t>
  </si>
  <si>
    <t>Works by A.Y. Jackson from the 1930s</t>
  </si>
  <si>
    <t>Groves, Naomi</t>
  </si>
  <si>
    <t>ND249.J3 -- C37 1990eb</t>
  </si>
  <si>
    <t>Carleton University. -- Art Collection.; Electronic books. -- local; Jackson, A. Y. -- (Alexander Young), -- 1882-1974 -- Correspondence.; Jackson, A. Y. -- (Alexander Young), -- 1882-1974.; Painters -- Canada -- Biography.; Painting -- Ontario -- Ottawa.; Savage, Anne, -- 1896-1971 -- Correspondence.</t>
  </si>
  <si>
    <t>http://public.eblib.com/choice/PublicFullRecord.aspx?p=3331697</t>
  </si>
  <si>
    <t>Reclaiming Democracy : The Social Justice and Economics of Kari Polanyi Levitt and Gregory Baum</t>
  </si>
  <si>
    <t>Mendell, Marguerite</t>
  </si>
  <si>
    <t>HM671 -- .R43 2005eb</t>
  </si>
  <si>
    <t>Baum, Gregory, -- 1923-; Canada -- Economic conditions.; Democracy -- Canada.; Democracy -- Caribbean Area.; Levitt, Kari.; Social justice -- Canada.; Social justice -- Caribbean Area.</t>
  </si>
  <si>
    <t>http://public.eblib.com/choice/PublicFullRecord.aspx?p=3331698</t>
  </si>
  <si>
    <t>Women and Work</t>
  </si>
  <si>
    <t>John Deutsch Institute</t>
  </si>
  <si>
    <t>Chaykowski, Richard; Powell, Lisa</t>
  </si>
  <si>
    <t>HD6099 -- .W625 1999eb</t>
  </si>
  <si>
    <t>331.4/0971</t>
  </si>
  <si>
    <t>Electronic books. -- local; Women -- Employment -- Canada -- Congresses.; Women employees.</t>
  </si>
  <si>
    <t>http://public.eblib.com/choice/PublicFullRecord.aspx?p=3331699</t>
  </si>
  <si>
    <t>Preparing for Post-Secondary Education : New Roles for Governments and Families</t>
  </si>
  <si>
    <t>Sweet, Robert</t>
  </si>
  <si>
    <t>College students -- Canada -- Finance, Personal.; Education savings accounts -- Canada.; Education, Higher -- Canada -- Costs.; Education, Higher -- Canada -- Finance.; Education, Higher -- Parent participation -- Canada.; Higher education and state -- Canada.; Postsecondary education -- Canada -- Finance.</t>
  </si>
  <si>
    <t>http://public.eblib.com/choice/PublicFullRecord.aspx?p=3331700</t>
  </si>
  <si>
    <t>Native Peoples of Atlantic Canada : A History of Indian-European Relations</t>
  </si>
  <si>
    <t>McGee, H.F.</t>
  </si>
  <si>
    <t>E78.M28</t>
  </si>
  <si>
    <t>Canada -- History.; Electronic books. -- local; Indians of North America -- Atlantic Provinces.</t>
  </si>
  <si>
    <t>http://public.eblib.com/choice/PublicFullRecord.aspx?p=3331701</t>
  </si>
  <si>
    <t>Irish History of Civilization</t>
  </si>
  <si>
    <t>DA911.2 -- .A38 2005eb</t>
  </si>
  <si>
    <t>Civilization, Modern -- Irish influences -- Anecdotes.; Ireland -- Civilization -- Anecdotes.; Ireland -- Emigration and immigration -- Anecdotes.; Ireland -- History -- Anecdotes.; Irish -- Foreign countries -- Anecdotes.</t>
  </si>
  <si>
    <t>http://public.eblib.com/choice/PublicFullRecord.aspx?p=3331702</t>
  </si>
  <si>
    <t>Four Contemporary Novelists : Angus Wilson, Brian Moore, John Fowles, V. S. Naipaul</t>
  </si>
  <si>
    <t>McSweeney, K.</t>
  </si>
  <si>
    <t>PR881 -- .M43 1983eb</t>
  </si>
  <si>
    <t>823/.914/09</t>
  </si>
  <si>
    <t>Electronic books. -- local; English fiction -- 20th century -- History and criticism.; Fowles, John, -- 1926-2005 -- Criticism and interpretation.; Moore, Brian, -- 1921-1999 -- Criticism and interpretation.; Naipaul, V. S. -- (Vidiadhar Surajprasad), -- 1932- -- Criticism and interpretation.; Wilson, Angus -- Criticism and interpretation.</t>
  </si>
  <si>
    <t>http://public.eblib.com/choice/PublicFullRecord.aspx?p=3331703</t>
  </si>
  <si>
    <t>Isotopes and Innovation : MDS Nordion's First Fifty Years, 1946-1996</t>
  </si>
  <si>
    <t>Litt, Paul</t>
  </si>
  <si>
    <t>HD9698.C24</t>
  </si>
  <si>
    <t>Electronic books. -- local; MDS Nordion -- History.; Radium -- Therapeutic use -- Canada -- History.</t>
  </si>
  <si>
    <t>http://public.eblib.com/choice/PublicFullRecord.aspx?p=3331704</t>
  </si>
  <si>
    <t>Stefansson and the Canadian Arctic</t>
  </si>
  <si>
    <t>Diubaldo, Richard</t>
  </si>
  <si>
    <t>G635.S7</t>
  </si>
  <si>
    <t>Arctic regions.; Electronic books. -- local; Stefansson, Vilhjalmur, -- 1879-1962.</t>
  </si>
  <si>
    <t>http://public.eblib.com/choice/PublicFullRecord.aspx?p=3331705</t>
  </si>
  <si>
    <t>Life and Letters of Sir Wilfrid Laurier : 1841-1896</t>
  </si>
  <si>
    <t>Skelton, Oscar</t>
  </si>
  <si>
    <t>F1033 -- .L386 1922eb</t>
  </si>
  <si>
    <t>Canada -- History -- 19th century.; Canada -- Politics and government -- 1867-; Laurier, Wilfrid, -- Sir, -- 1841-1919.</t>
  </si>
  <si>
    <t>http://public.eblib.com/choice/PublicFullRecord.aspx?p=3331706</t>
  </si>
  <si>
    <t>Deformed Discourse : The Function of the Monster in Mediaeval Thought and Literature</t>
  </si>
  <si>
    <t>Williams, David A.</t>
  </si>
  <si>
    <t>PN682.M65</t>
  </si>
  <si>
    <t>Art, Medieval.; Electronic books. -- local; Literature, Medieval -- History and criticism.; Monsters -- Symbolic aspects.; Monsters in art.; Monsters in literature.; Theology -- History -- Middle Ages, 600-1500.</t>
  </si>
  <si>
    <t>http://public.eblib.com/choice/PublicFullRecord.aspx?p=3331707</t>
  </si>
  <si>
    <t>Letting the People Decide : Dynamics of a Canadian Election</t>
  </si>
  <si>
    <t>Johnston, Richard; Brady, Henry</t>
  </si>
  <si>
    <t>Canada. -- Parliament -- Elections.; Electronic books. -- local; Political parties -- Canada.</t>
  </si>
  <si>
    <t>http://public.eblib.com/choice/PublicFullRecord.aspx?p=3331708</t>
  </si>
  <si>
    <t>Rewriting Apocalypse in Canadian Fiction</t>
  </si>
  <si>
    <t>Goldman, Marlene</t>
  </si>
  <si>
    <t>PR9192.6.A66</t>
  </si>
  <si>
    <t>Apocalypse in literature.; Canadian literature -- 20th century -- History and criticism.; Electronic books. -- local</t>
  </si>
  <si>
    <t>http://public.eblib.com/choice/PublicFullRecord.aspx?p=3331709</t>
  </si>
  <si>
    <t>Limits to Satisfaction : An Essay on the Problem of Needs and Commodities</t>
  </si>
  <si>
    <t>HF1051</t>
  </si>
  <si>
    <t>Commodity control.; Electronic books. -- local; Raw materials.; Supply and demand.</t>
  </si>
  <si>
    <t>http://public.eblib.com/choice/PublicFullRecord.aspx?p=3331710</t>
  </si>
  <si>
    <t>Robert Edwards Holloway : Newfoundland Educator, Scientist, Photographer, 1874-1904</t>
  </si>
  <si>
    <t>Gough, Ruby</t>
  </si>
  <si>
    <t>LA2325.H65</t>
  </si>
  <si>
    <t>College teachers -- Newfoundland and Labrador -- St. John''s -- Biography.; Holloway, Robert Edwards, -- 1850-1904.; Holloway, Robert Edwards, -- 1850-1904.; Methodist College (St. John''s, N.-L.) -- Corps enseignant -- Biographies.; Methodist College (St. John''s, N.L.) -- Faculty -- Biography.; Professeurs (Enseignement supérieur) -- Terre-Neuve-et-Labrador -- St. Johns''s -- Biographies.</t>
  </si>
  <si>
    <t>http://public.eblib.com/choice/PublicFullRecord.aspx?p=3331711</t>
  </si>
  <si>
    <t>On the Job : Confronting the Labour Process in Canada</t>
  </si>
  <si>
    <t>Heron, Craig; Storey, Robert H.</t>
  </si>
  <si>
    <t>Electronic books. -- local; Industrial sociology -- Canada -- History.; Labor -- Canada -- History.</t>
  </si>
  <si>
    <t>http://public.eblib.com/choice/PublicFullRecord.aspx?p=3331712</t>
  </si>
  <si>
    <t>Alejandro Malaspina : Portrait of a Visionary</t>
  </si>
  <si>
    <t>Kendrick, John</t>
  </si>
  <si>
    <t>G420.M23</t>
  </si>
  <si>
    <t>Discoveries in geography -- Spanish.; Electronic books. -- local; Explorers -- Italy -- Biography.; Malaspina, Alessandro, -- 1754-1809.</t>
  </si>
  <si>
    <t>http://public.eblib.com/choice/PublicFullRecord.aspx?p=3331713</t>
  </si>
  <si>
    <t>For Canada's Sake : The Centennial Celebrations, Expo 67, and the Religious Construction of Canada in the 1960s</t>
  </si>
  <si>
    <t>Miedema Gary</t>
  </si>
  <si>
    <t>BL2530.C2 -- M53 2005eb</t>
  </si>
  <si>
    <t>Canada -- Anniversaires.; Canada -- Centennial celebrations, etc.; Christianisme -- Canada -- 20e siècle.; Christianity -- Canada -- 20th century.; Pluralisme religieux -- Canada.; Religious pluralism -- Canada.</t>
  </si>
  <si>
    <t>http://public.eblib.com/choice/PublicFullRecord.aspx?p=3331714</t>
  </si>
  <si>
    <t>Hot Money and the Politics of Debt</t>
  </si>
  <si>
    <t>Naylor, R.T.</t>
  </si>
  <si>
    <t>HG3891</t>
  </si>
  <si>
    <t>Debts, External -- Developing countries.; Electronic books. -- local; International finance.; Money laundering.</t>
  </si>
  <si>
    <t>http://public.eblib.com/choice/PublicFullRecord.aspx?p=3331715</t>
  </si>
  <si>
    <t>Wages of Crime : Black Markets, Illegal Finance, and the Underworld Economy</t>
  </si>
  <si>
    <t>HV6791 -- N34 2002eb</t>
  </si>
  <si>
    <t>338.4/3364</t>
  </si>
  <si>
    <t>Black market.; Crime -- Economic aspects.; Electronic books. -- local; Money laundering.; Organized crime -- Economic aspects.</t>
  </si>
  <si>
    <t>http://public.eblib.com/choice/PublicFullRecord.aspx?p=3331716</t>
  </si>
  <si>
    <t>Behold the Hero : General Wolfe and the Arts in the Eighteenth Century</t>
  </si>
  <si>
    <t>McNairn, Alan</t>
  </si>
  <si>
    <t>NX652.W55</t>
  </si>
  <si>
    <t>Electronic books. -- local; Popular culture -- Canada -- History -- 18th century.; Popular culture -- Great Britain -- History -- 18th century.; Popular culture -- United States -- History -- 18th century.; Wolfe, James, -- 1727-1759 -- In literature.; Wolfe, James, -- 1727-1759 -- Pictorial works.; Wolfe, James, -- 1727-1759 -- Portraits.</t>
  </si>
  <si>
    <t>http://public.eblib.com/choice/PublicFullRecord.aspx?p=3331717</t>
  </si>
  <si>
    <t>Rockefeller Foundation Funding and Medical Education in Toronto, Montreal, and Halifax</t>
  </si>
  <si>
    <t>Fedunkiw, Marianne</t>
  </si>
  <si>
    <t>R749.A6</t>
  </si>
  <si>
    <t>Electronic books. -- local; Medical education -- Canada -- Finance -- History.; Medical education -- Canada -- History.; Rockefeller Foundation -- History.</t>
  </si>
  <si>
    <t>http://public.eblib.com/choice/PublicFullRecord.aspx?p=3331718</t>
  </si>
  <si>
    <t>Pari de la Franchise : Discours et écrits sur l'unité canadienne</t>
  </si>
  <si>
    <t>Canada -- Politics and government -- 1945-; Electronic books. -- local; Federal government -- Canada.; Québec (Province) -- History -- Autonomy and independence movements.; Québec (Province) -- Politics and government -- 1960-</t>
  </si>
  <si>
    <t>http://public.eblib.com/choice/PublicFullRecord.aspx?p=3331719</t>
  </si>
  <si>
    <t>Wacousta or, The Prophecy : A Tale of the Canadas</t>
  </si>
  <si>
    <t>Richardson, John; Cronk, Douglas</t>
  </si>
  <si>
    <t>PR9199.2.R53 -- W3 1990eb</t>
  </si>
  <si>
    <t>Canadian literature.; Electronic books. -- local; Pontiac''s Conspiracy, 1763-1765 -- Fiction.</t>
  </si>
  <si>
    <t>http://public.eblib.com/choice/PublicFullRecord.aspx?p=3331720</t>
  </si>
  <si>
    <t>Language of the Senses : Sensory-Perceptual Dynamics in Wordsworth, Coleridge, Thoreau, Whitman, and Dickinson</t>
  </si>
  <si>
    <t>McSweeney, Kerry</t>
  </si>
  <si>
    <t>PS217.S46</t>
  </si>
  <si>
    <t>American poetry -- 19th century -- History and criticism.; Electronic books. -- local; English poetry -- 19th century -- History and criticism.; Perception in literature.; Senses and sensation in literature.</t>
  </si>
  <si>
    <t>http://public.eblib.com/choice/PublicFullRecord.aspx?p=3331721</t>
  </si>
  <si>
    <t>Nuclear Fallacies : How We Have Been Misguided since Hiroshima</t>
  </si>
  <si>
    <t>U263</t>
  </si>
  <si>
    <t>Electronic books. -- local; Nuclear warfare -- Moral and ethical aspects.; World politics -- 1945-1989.</t>
  </si>
  <si>
    <t>http://public.eblib.com/choice/PublicFullRecord.aspx?p=3331722</t>
  </si>
  <si>
    <t>Epic of Qayaq : The Longest Story Ever Told by My People</t>
  </si>
  <si>
    <t>Oman, Lela; Brooks, Maree</t>
  </si>
  <si>
    <t>Electronic books. -- local; Inuit -- Alaska -- Folklore.; Legends -- Alaska.</t>
  </si>
  <si>
    <t>http://public.eblib.com/choice/PublicFullRecord.aspx?p=3331723</t>
  </si>
  <si>
    <t>Labour's Apprentices : Working-Class Lads in Late Victorian and Edwardian England</t>
  </si>
  <si>
    <t>Childs, Michael J.</t>
  </si>
  <si>
    <t>HQ799 .G7</t>
  </si>
  <si>
    <t>Electronic books. -- local; England -- Social life and customs -- 19th century.; England -- Social life and customs -- 20th century.; Working class -- England -- History -- 19th century.; Working class -- England -- History -- 20th century.; Youth -- England -- History -- 19th century.; Youth -- England -- History -- 20th century.</t>
  </si>
  <si>
    <t>http://public.eblib.com/choice/PublicFullRecord.aspx?p=3331724</t>
  </si>
  <si>
    <t>Acadie de 1686 a 1784 : Contexte d'une histoire</t>
  </si>
  <si>
    <t>Griffiths, Naomi</t>
  </si>
  <si>
    <t>F1038 -- .G85314 1997eb</t>
  </si>
  <si>
    <t>971.5/004114</t>
  </si>
  <si>
    <t>Acadians -- History.; Electronic books. -- local; Ethnology -- Canada.</t>
  </si>
  <si>
    <t>http://public.eblib.com/choice/PublicFullRecord.aspx?p=3331725</t>
  </si>
  <si>
    <t>Constructing Colonial Discourse : Captain Cook at Nootka Sound</t>
  </si>
  <si>
    <t>Currie N. E.</t>
  </si>
  <si>
    <t>F1089.N8 -- C87 2005eb</t>
  </si>
  <si>
    <t>305.8/001; 971.1/2</t>
  </si>
  <si>
    <t>Cook, James, -- 1728-1779.; Cook, James, -- 1728-1779.; Discourse analysis.; Ethnocentrism -- Europe.; Ethnology -- Philosophy.; Nootka Indians -- British Columbia -- Nootka Sound Region -- Social life and customs.; Travelers'' writings, English -- British Columbia -- Nootka Sound Region -- History and criticism.</t>
  </si>
  <si>
    <t>http://public.eblib.com/choice/PublicFullRecord.aspx?p=3331726</t>
  </si>
  <si>
    <t>Stauffenberg : A Family History, 1905 - 1944</t>
  </si>
  <si>
    <t>Hoffmann, P.</t>
  </si>
  <si>
    <t>DD247.S342 -- H6413 2003eb</t>
  </si>
  <si>
    <t>943.086/092; B</t>
  </si>
  <si>
    <t>Anti-Nazi movement -- Germany -- Biography.; Hitler, Adolf, -- 1889-1945 -- Assassination attempt, 1944 (July 20); Revolutionaries -- Germany -- Biography.; Schenk von Stauffenberg, Klaus Philipp, -- Graf, -- 1907-1944 -- Family.; Schenk von Stauffenberg, Klaus Philipp, -- Graf, -- 1907-1944.</t>
  </si>
  <si>
    <t>http://public.eblib.com/choice/PublicFullRecord.aspx?p=3331727</t>
  </si>
  <si>
    <t>Government of Edward Schreyer : Democratic Socialism in Manitoba</t>
  </si>
  <si>
    <t>McAllister, James</t>
  </si>
  <si>
    <t>F1063</t>
  </si>
  <si>
    <t>Electronic books. -- local; Manitoba -- Politics and government.; New Democratic Party of Manitoba -- History.; Schreyer, Edward R.; Socialism -- Manitoba.</t>
  </si>
  <si>
    <t>http://public.eblib.com/choice/PublicFullRecord.aspx?p=3331728</t>
  </si>
  <si>
    <t>McCord Family : A Passionate Vision</t>
  </si>
  <si>
    <t>Miller, Pamela</t>
  </si>
  <si>
    <t>CS90</t>
  </si>
  <si>
    <t>Biography.; Electronic books. -- local; McCord family -- Exhibitions.; McCord Museum -- Exhibitions.</t>
  </si>
  <si>
    <t>http://public.eblib.com/choice/PublicFullRecord.aspx?p=3331729</t>
  </si>
  <si>
    <t>Fontanka 16 : The Tsars' Secret Police</t>
  </si>
  <si>
    <t>HV8227.2.A2</t>
  </si>
  <si>
    <t>Police -- Russia -- History.; Russia. -- Departament poli︠t︡sīi.; Russia. -- Okhranny︠i︡a otd︠i︡elenī︠i︡a -- History.; Secret service -- Russia -- History.</t>
  </si>
  <si>
    <t>http://public.eblib.com/choice/PublicFullRecord.aspx?p=3331730</t>
  </si>
  <si>
    <t>Walter Long, Ireland, and the Union, 1905-1920</t>
  </si>
  <si>
    <t>Kendle, John</t>
  </si>
  <si>
    <t>DA960</t>
  </si>
  <si>
    <t>Electronic books. -- local; Great Britain -- Politics and government -- 1901-1936.; Irish question.; Statesmen -- Great Britain -- Biography.</t>
  </si>
  <si>
    <t>http://public.eblib.com/choice/PublicFullRecord.aspx?p=3331731</t>
  </si>
  <si>
    <t>Culture, Religion, and Demographic Behaviour : Catholics and Lutherans in Alsace, 1750-1870</t>
  </si>
  <si>
    <t>McQuillan, K.</t>
  </si>
  <si>
    <t>HB3594.A48 -- M37 1999eb</t>
  </si>
  <si>
    <t>Alsace (France) -- Population -- History -- 18th century.; Alsace (France) -- Population -- History -- 19th century.; Alsace (France) -- Religion -- 18th century.; Catholics -- France -- Alsace -- History -- 18th century.; Catholics -- France -- Alsace -- History -- 19th century.; Lutherans -- France -- Alsace -- History -- 18th century.; Lutherans -- France -- Alsace -- History -- 19th century.</t>
  </si>
  <si>
    <t>http://public.eblib.com/choice/PublicFullRecord.aspx?p=3331732</t>
  </si>
  <si>
    <t>Economic Intelligence and National Security</t>
  </si>
  <si>
    <t>Potter, Evan</t>
  </si>
  <si>
    <t>HD38.7 -- E36 1998eb</t>
  </si>
  <si>
    <t>Business intelligence.; Canada -- Economic policy.; Electronic books. -- local; Intelligence service -- Canada.; National security -- Economic aspects -- Canada.</t>
  </si>
  <si>
    <t>http://public.eblib.com/choice/PublicFullRecord.aspx?p=3331733</t>
  </si>
  <si>
    <t>Pierre-Esprit Radisson : Merchant Adventurer, 1636-1701</t>
  </si>
  <si>
    <t>Fournier M.; Brennan-Ricard, Mary E.</t>
  </si>
  <si>
    <t>F1060.7.R15 -- F6713 2002eb</t>
  </si>
  <si>
    <t>971.01/63/092; B</t>
  </si>
  <si>
    <t>Canada -- History -- To 1763 (New France); Explorers -- Canada -- Biography.; Explorers -- France -- Biography.; Fur trade -- Hudson Bay Region -- History -- 17th century.; Hudson Bay Region -- Discovery and exploration.; New France -- Discovery and exploration.; Radisson, Pierre Esprit, -- ca. 1636-1710.</t>
  </si>
  <si>
    <t>http://public.eblib.com/choice/PublicFullRecord.aspx?p=3331734</t>
  </si>
  <si>
    <t>Arctic Voyages of Martin Frobisher : An Elizabethan Venture</t>
  </si>
  <si>
    <t>McGhee R.</t>
  </si>
  <si>
    <t>G246.F7 -- M34 2001eb</t>
  </si>
  <si>
    <t>971.9/52</t>
  </si>
  <si>
    <t>Baffin Island (Nunavut) -- Discovery and exploration -- English.; Explorers -- Great Britain -- Biography.; Frobisher, Martin, -- Sir, -- ca. 1535-1594 -- Travel -- Nunavut -- Baffin Island.; Gold mines and mining -- Nunavut -- Baffin Island -- History -- 16th century.; Northwest Passage -- Discovery and exploration -- English.</t>
  </si>
  <si>
    <t>http://public.eblib.com/choice/PublicFullRecord.aspx?p=3331735</t>
  </si>
  <si>
    <t>Joseph Brodsky and the Baroque</t>
  </si>
  <si>
    <t>Arts, Baroque.; Brodsky, Joseph, -- 1940-1996 -- Criticism and interpretation.; Electronic books. -- local</t>
  </si>
  <si>
    <t>http://public.eblib.com/choice/PublicFullRecord.aspx?p=3331736</t>
  </si>
  <si>
    <t>Dialogues on Constitutional Origins, Structure, and Change in Federal Countries</t>
  </si>
  <si>
    <t>JC355 -- .D46 2005eb</t>
  </si>
  <si>
    <t>342.02; 342/.042</t>
  </si>
  <si>
    <t>Constitutional law -- Case studies.; Constitutions.; Federal government -- Case studies.; Gouvernement fédéral.</t>
  </si>
  <si>
    <t>http://public.eblib.com/choice/PublicFullRecord.aspx?p=3331737</t>
  </si>
  <si>
    <t>Critical Years in Immigration : Canada and Australia Compared</t>
  </si>
  <si>
    <t>Hawkins, Freda</t>
  </si>
  <si>
    <t>JV7225 -- .H39 1989eb</t>
  </si>
  <si>
    <t>Australia -- Emigration and immigration -- Government policy.; Canada -- Emigration and immigration -- Government policy.; Electronic books. -- local; Emigration and immigration.</t>
  </si>
  <si>
    <t>http://public.eblib.com/choice/PublicFullRecord.aspx?p=3331738</t>
  </si>
  <si>
    <t>Arctic Ordeal : The Journal of John Richardson, Surgeon-Naturalist with Franklin, 1820-1822</t>
  </si>
  <si>
    <t>Houston, Stuart; Hochbaum, H.Albert</t>
  </si>
  <si>
    <t>Arctic regions -- Discovery and exploration -- British.; Electronic books. -- local; Natural history -- Northwest Territories.; Richardson, John, -- Sir, -- 1787-1865 -- Diaries.; Scientific expeditions -- Arctic regions.</t>
  </si>
  <si>
    <t>http://public.eblib.com/choice/PublicFullRecord.aspx?p=3331739</t>
  </si>
  <si>
    <t>Land of the Midnight Sun : A History of the Yukon</t>
  </si>
  <si>
    <t>F1091</t>
  </si>
  <si>
    <t>Yukon -- History.</t>
  </si>
  <si>
    <t>http://public.eblib.com/choice/PublicFullRecord.aspx?p=3331740</t>
  </si>
  <si>
    <t>Canada : The State of the Federation 2002  : Reconsidering the Institutions of Canadian Federalism</t>
  </si>
  <si>
    <t>Meekison, J. Peter</t>
  </si>
  <si>
    <t>JL27 -- .C466 2004eb</t>
  </si>
  <si>
    <t>320.4''71</t>
  </si>
  <si>
    <t>Canada -- Politics and government -- 1980-; Electronic books. -- local; Federal government -- Canada.</t>
  </si>
  <si>
    <t>http://public.eblib.com/choice/PublicFullRecord.aspx?p=3331741</t>
  </si>
  <si>
    <t>Public Violence in Canada, 1867-1982</t>
  </si>
  <si>
    <t>Torrance, Judy</t>
  </si>
  <si>
    <t>Electronic books. -- local; Violence -- Canada -- History.; Violence -- Canada.</t>
  </si>
  <si>
    <t>http://public.eblib.com/choice/PublicFullRecord.aspx?p=3331742</t>
  </si>
  <si>
    <t>Julien Thoulet in Newfoundland : The Voyage of the Clorinde, 1886</t>
  </si>
  <si>
    <t>Thoulet, Julien</t>
  </si>
  <si>
    <t>F1122 -- .T5213 2005eb</t>
  </si>
  <si>
    <t>917.1804/2/092</t>
  </si>
  <si>
    <t>Clorinde (Navire); Clorinde (Ship); Cod fisheries -- Newfoundland and Labrador -- History -- 19th century.; Morue -- Pêche commerciale -- Terre-Neuve-et-Labrador -- Histoire -- 19e siècle.; Newfoundland and Labrador -- Description and travel.; Thoulet, J. -- (Julien), -- 1843-1936 -- Travel -- Newfoundland and Labrador.; Thoulet, J. -- (Julien), -- 1843-1936 -- Voyages -- Terre-Neuve-et-Labrador.</t>
  </si>
  <si>
    <t>http://public.eblib.com/choice/PublicFullRecord.aspx?p=3331743</t>
  </si>
  <si>
    <t>Light of Nature and the Law of God : Antislavery in Ontario, 1833-1877</t>
  </si>
  <si>
    <t>Stouffer, Allen P.</t>
  </si>
  <si>
    <t>HT1052</t>
  </si>
  <si>
    <t>Antislavery movements -- Ontario -- History -- 19th century.; Blacks -- Ontario -- History -- 19th century.; Electronic books. -- local; Fugitive slaves -- Ontario -- History -- 19th century.; Ontario -- Race relations.</t>
  </si>
  <si>
    <t>http://public.eblib.com/choice/PublicFullRecord.aspx?p=3331744</t>
  </si>
  <si>
    <t>Chief Justice W.R. Jackett : By the Law of the Land</t>
  </si>
  <si>
    <t>Pound, Richard W.</t>
  </si>
  <si>
    <t>KE416.J33</t>
  </si>
  <si>
    <t>Canada. -- Federal Court -- Biography.; Electronic books. -- local; Jackett, W. R.; Judges -- Canada -- Biography.</t>
  </si>
  <si>
    <t>http://public.eblib.com/choice/PublicFullRecord.aspx?p=3331745</t>
  </si>
  <si>
    <t>Security and Defence in the Terrorist Era : Canada and North America</t>
  </si>
  <si>
    <t>Sloan, Elinor C.</t>
  </si>
  <si>
    <t>UA10.5</t>
  </si>
  <si>
    <t>Canada -- Defenses.; Electronic books. -- local; National security -- Canada.; National security -- United States.; United States -- Defenses.</t>
  </si>
  <si>
    <t>http://public.eblib.com/choice/PublicFullRecord.aspx?p=3331746</t>
  </si>
  <si>
    <t>Irene Avaalaaqiaq : Myth and Reality</t>
  </si>
  <si>
    <t>Nasby, Judith</t>
  </si>
  <si>
    <t>N6549.A89</t>
  </si>
  <si>
    <t>Avaalaaqiaq Tiktaalaaq, Irene, -- 1941-; Inuit artists -- Canada -- Biography.</t>
  </si>
  <si>
    <t>http://public.eblib.com/choice/PublicFullRecord.aspx?p=3331747</t>
  </si>
  <si>
    <t>In Defence of Open-Mindedness</t>
  </si>
  <si>
    <t>LB1025.2</t>
  </si>
  <si>
    <t>Education -- Philosophy.; Electronic books. -- local; Teachers -- Attitudes.</t>
  </si>
  <si>
    <t>http://public.eblib.com/choice/PublicFullRecord.aspx?p=3331748</t>
  </si>
  <si>
    <t>Revival in the City : The Impact of American Revivalists in Canada, 1884-1914</t>
  </si>
  <si>
    <t>Crouse Eric R.</t>
  </si>
  <si>
    <t>BV3777.C3 -- C76 2005eb</t>
  </si>
  <si>
    <t>270.8/1/092271</t>
  </si>
  <si>
    <t>Electronic books. -- local; Evangelicalism -- Canada -- History.; Evangelicalism -- United States -- History.; Evangelists -- Canada -- History.; Evangelists -- United States -- History.</t>
  </si>
  <si>
    <t>http://public.eblib.com/choice/PublicFullRecord.aspx?p=3331749</t>
  </si>
  <si>
    <t>Robert Laird Borden : His Memoirs, Volume 1</t>
  </si>
  <si>
    <t>Borden, Robert</t>
  </si>
  <si>
    <t>F1033.B76 -- A3 1969eb</t>
  </si>
  <si>
    <t>Canada -- Politics and government -- 1867-; Electronic books. -- local; World War, 1914-1918 -- Canada.</t>
  </si>
  <si>
    <t>http://public.eblib.com/choice/PublicFullRecord.aspx?p=3331750</t>
  </si>
  <si>
    <t>Dread Talk : The Language of the Rastafari</t>
  </si>
  <si>
    <t>Pollard, Velma</t>
  </si>
  <si>
    <t>PM7874.J3 -- P65 2000eb</t>
  </si>
  <si>
    <t>427/.97292</t>
  </si>
  <si>
    <t>Creole dialects, English -- Jamaica.; Creole dialects, English -- West Indies.; Electronic books. -- local; Jamaican poetry -- History and criticism.; Rastafari movement.</t>
  </si>
  <si>
    <t>http://public.eblib.com/choice/PublicFullRecord.aspx?p=3331751</t>
  </si>
  <si>
    <t>Faithful Intellect : Samuel S. Nelles and Victoria University</t>
  </si>
  <si>
    <t>LE3.T617</t>
  </si>
  <si>
    <t>Education, Higher -- Ontario -- History -- 19th century.; Nelles, S. S. -- (Samuel Sobieski), -- 1823-1887.; Nelles, S. S. -- (Samuel Sobieski), -- 1823-1887.; Victoria University (Cobourg, Ont.) -- Histoire.; Victoria University (Cobourg, Ont.) -- History.; Victoria University (Cobourg, Ont.) -- Presidents -- Biography.; Victoria University (Cobourg, Ont.) -- Présidents et recteurs d''université -- Biographies.</t>
  </si>
  <si>
    <t>http://public.eblib.com/choice/PublicFullRecord.aspx?p=3331752</t>
  </si>
  <si>
    <t>Listening to Old Woman Speak : Natives and alterNatives in Canadian Literature</t>
  </si>
  <si>
    <t>Groening, Laura Smyth</t>
  </si>
  <si>
    <t>PR9185.6.I5</t>
  </si>
  <si>
    <t>Canadian literature -- 19th century -- History and criticism.; Canadian literature -- 20th century -- History and criticism.; Indians in literature.; Indians of North America -- Ethnic identity.; Race in literature.</t>
  </si>
  <si>
    <t>http://public.eblib.com/choice/PublicFullRecord.aspx?p=3331753</t>
  </si>
  <si>
    <t>Robert Creeley : The First Fifty Years</t>
  </si>
  <si>
    <t>Faas E.; Trombacco, Maria</t>
  </si>
  <si>
    <t>PS3505.R43 -- Z63 2001eb</t>
  </si>
  <si>
    <t>Creeley, Robert, -- 1926-2005.; Electronic books. -- local; Poets, American -- 20th century -- Biography.</t>
  </si>
  <si>
    <t>http://public.eblib.com/choice/PublicFullRecord.aspx?p=3331754</t>
  </si>
  <si>
    <t>Sport and Politics in Canada : Federal Government Involvement since 1961</t>
  </si>
  <si>
    <t>Bedecki, Tom</t>
  </si>
  <si>
    <t>GV585 -- .M25 1987eb</t>
  </si>
  <si>
    <t>Electronic books. -- local; Sports -- Social aspects -- Canada.; Sports and state -- Canada.</t>
  </si>
  <si>
    <t>http://public.eblib.com/choice/PublicFullRecord.aspx?p=3331755</t>
  </si>
  <si>
    <t>French-Canadian Heritage in New England</t>
  </si>
  <si>
    <t>Brault, Gerard J.</t>
  </si>
  <si>
    <t>F15.F85 -- B73 1986eb</t>
  </si>
  <si>
    <t>Electronic books. -- local; French-Canadians -- New England -- History.; New England -- History.</t>
  </si>
  <si>
    <t>http://public.eblib.com/choice/PublicFullRecord.aspx?p=3331756</t>
  </si>
  <si>
    <t>Ethics of Catholicism and the Consecration of the Intellectual</t>
  </si>
  <si>
    <t>Bélanger, Andre J.</t>
  </si>
  <si>
    <t>BJ1231</t>
  </si>
  <si>
    <t>Catholics -- France -- Attitudes.; Christian ethics -- History.; Intellectual life -- History.; Intellectuals -- France -- History.; Intellectuals -- History.; Religion and culture -- History.; Religion and ethics -- History.</t>
  </si>
  <si>
    <t>http://public.eblib.com/choice/PublicFullRecord.aspx?p=3331757</t>
  </si>
  <si>
    <t>Politics of Development : Forests, Mines, and Hydro-Electric Power in Ontario, 1849-1941</t>
  </si>
  <si>
    <t>Nelles, H.V.</t>
  </si>
  <si>
    <t>HD3616.C24</t>
  </si>
  <si>
    <t>Industrial policy -- Ontario -- History.; Natural resources -- Government policy -- Ontario.; Ontario -- Economic policy.; Ontario -- Politique économique.; Politique industrielle -- Ontario -- Histoire.; Ressources naturelles -- Politique gouvernementale -- Ontario.</t>
  </si>
  <si>
    <t>http://public.eblib.com/choice/PublicFullRecord.aspx?p=3331758</t>
  </si>
  <si>
    <t>Yellow Crocodiles and Blue Oranges : Russian Animated Film since World War II</t>
  </si>
  <si>
    <t>PN1993.5.R9</t>
  </si>
  <si>
    <t>Animated films -- Russia -- History and criticism.; Electronic books. -- local; Phenomenology.</t>
  </si>
  <si>
    <t>http://public.eblib.com/choice/PublicFullRecord.aspx?p=3331759</t>
  </si>
  <si>
    <t>Domination of Nature</t>
  </si>
  <si>
    <t>BD581</t>
  </si>
  <si>
    <t>Electronic books. -- local; Human ecology.; Nature -- Effect of human beings on.; Philosophy of nature.; Science and civilization.; Technology and civilization.</t>
  </si>
  <si>
    <t>http://public.eblib.com/choice/PublicFullRecord.aspx?p=3331760</t>
  </si>
  <si>
    <t>Ethnic Relations in Canada : Institutional Dynamics</t>
  </si>
  <si>
    <t>Breton, Raymond</t>
  </si>
  <si>
    <t>F1035.A1</t>
  </si>
  <si>
    <t>Canada -- Ethnic relations.; Electronic books. -- local; Ethnicity -- Canada.</t>
  </si>
  <si>
    <t>http://public.eblib.com/choice/PublicFullRecord.aspx?p=3331761</t>
  </si>
  <si>
    <t>Unfulfilled Union : Canadian Federalism and National Unity</t>
  </si>
  <si>
    <t>JL27 -- .S73 2004eb</t>
  </si>
  <si>
    <t>Federal government -- Canada.; Fédéralisme -- Canada.; Relations fédérales-provinciales (Canada)</t>
  </si>
  <si>
    <t>http://public.eblib.com/choice/PublicFullRecord.aspx?p=3331762</t>
  </si>
  <si>
    <t>Philosophy of Language</t>
  </si>
  <si>
    <t>Fundamentals of Philosophy</t>
  </si>
  <si>
    <t>Miller, Alex</t>
  </si>
  <si>
    <t>P107 -- .M547 2007beb</t>
  </si>
  <si>
    <t>Language and languages -- Philosophy.; Meaning (Philosophy)</t>
  </si>
  <si>
    <t>http://public.eblib.com/choice/PublicFullRecord.aspx?p=3331763</t>
  </si>
  <si>
    <t>Nationalism and Minority Identities in Islamic Societies</t>
  </si>
  <si>
    <t>DS35.625.A1</t>
  </si>
  <si>
    <t>Ethnicity -- Islamic countries.; Ethnology -- Islamic countries.; Minorities -- Islamic countries.</t>
  </si>
  <si>
    <t>http://public.eblib.com/choice/PublicFullRecord.aspx?p=3331764</t>
  </si>
  <si>
    <t>Top Secret Exchange : The Tizard Mission and the Scientific War</t>
  </si>
  <si>
    <t>Zimmerman, David</t>
  </si>
  <si>
    <t>D810.S7 -- Z56 1996eb</t>
  </si>
  <si>
    <t>Electronic books. -- local; Tizard, Henry Thomas, -- 1885-1959.; World War, 1939-1945 -- Military intelligence -- Canada.; World War, 1939-1945 -- Military intelligence -- Great Britain.; World War, 1939-1945 -- Military intelligence -- United States.; World War, 1939-1945 -- Science.; World War, 1939-1945 -- Technology.</t>
  </si>
  <si>
    <t>http://public.eblib.com/choice/PublicFullRecord.aspx?p=3331765</t>
  </si>
  <si>
    <t>Canada in the Global Village</t>
  </si>
  <si>
    <t>T23.A1</t>
  </si>
  <si>
    <t>Communication and culture -- Canada.; Electronic books. -- local; Technology -- Social aspects -- Canada.; Transportation -- Social aspects -- Canada.</t>
  </si>
  <si>
    <t>http://public.eblib.com/choice/PublicFullRecord.aspx?p=3331766</t>
  </si>
  <si>
    <t>Teaching as Activism : Equity Meets Environmentalism</t>
  </si>
  <si>
    <t>Tripp, Peggy; Muzzin, Linda</t>
  </si>
  <si>
    <t>Critical pedagogy.; Education, Higher -- Philosophy.; Environmentalism.; Equality -- Philosophy.; Feminist theory.; Science -- Study and teaching (Higher); Teaching -- Philosophy.</t>
  </si>
  <si>
    <t>http://public.eblib.com/choice/PublicFullRecord.aspx?p=3331767</t>
  </si>
  <si>
    <t>Confrontation at Winnipeg : Labour, Industrial Relations, and the General Strike</t>
  </si>
  <si>
    <t>Bercuson, David</t>
  </si>
  <si>
    <t>HD8106</t>
  </si>
  <si>
    <t>Electronic books. -- local; General Strike, Winnipeg, Man., 1919.; Industrial relations -- Canada -- History.</t>
  </si>
  <si>
    <t>http://public.eblib.com/choice/PublicFullRecord.aspx?p=3331768</t>
  </si>
  <si>
    <t>Measure of Wealth : The English Land Tax in Historical Analysis</t>
  </si>
  <si>
    <t>Ginter, Donald E.</t>
  </si>
  <si>
    <t>HJ2614.5 -- .G46 1992eb</t>
  </si>
  <si>
    <t>336.22/0942</t>
  </si>
  <si>
    <t>Electronic books. -- local; Property tax -- England.; Real property tax -- England -- History -- Sources.</t>
  </si>
  <si>
    <t>http://public.eblib.com/choice/PublicFullRecord.aspx?p=3331769</t>
  </si>
  <si>
    <t>A Biography of Conor Cruise O'Brien : Anthology</t>
  </si>
  <si>
    <t>PR6065.B67 -- A546 1994eb</t>
  </si>
  <si>
    <t>http://public.eblib.com/choice/PublicFullRecord.aspx?p=3331770</t>
  </si>
  <si>
    <t>Rockefeller, Carnegie, and Canada : American Philanthropy and the Arts and Letters in Canada</t>
  </si>
  <si>
    <t>Brison, Jeffrey</t>
  </si>
  <si>
    <t>HV97.R6</t>
  </si>
  <si>
    <t>Arts -- Canada -- Endowments -- History -- 20th century.; Arts -- Canada -- Foundations -- Histoire -- 20e siècle.; Carnegie Corporation of New York -- Histoire.; Carnegie Corporation of New York -- History.; Endowment of research -- Canada -- History -- 20th century.; Rockefeller Foundation -- Histoire.; Rockefeller Foundation -- History.</t>
  </si>
  <si>
    <t>http://public.eblib.com/choice/PublicFullRecord.aspx?p=3331771</t>
  </si>
  <si>
    <t>Missionary Oblate Sisters : Vision and Mission</t>
  </si>
  <si>
    <t>Bruno-Jofré, Rosa</t>
  </si>
  <si>
    <t>BX3821.Z9</t>
  </si>
  <si>
    <t>Electronic books. -- local; Manitoba -- Church history.; Oblates of Mary Immaculate -- History.; Women -- Education -- Manitoba.</t>
  </si>
  <si>
    <t>http://public.eblib.com/choice/PublicFullRecord.aspx?p=3331772</t>
  </si>
  <si>
    <t>Conquest and Survival in Colonial Guatemala : A Historical Geography of the Cuchumat n Highlands, 1500-1821</t>
  </si>
  <si>
    <t>Lovell, George</t>
  </si>
  <si>
    <t>F1466.4 -- .L68 2005eb</t>
  </si>
  <si>
    <t>Guatemala -- History -- To 1821.; Indians of Central America -- Guatemala -- History.</t>
  </si>
  <si>
    <t>http://public.eblib.com/choice/PublicFullRecord.aspx?p=3331773</t>
  </si>
  <si>
    <t>Orwell : The Road to Airstrip One</t>
  </si>
  <si>
    <t>Slater, Ian</t>
  </si>
  <si>
    <t>PR6029.R8</t>
  </si>
  <si>
    <t>Electronic books. -- local; English literature.; Orwell, George, -- 1903-1950 -- Criticism and interpretation.; Orwell, George, -- 1903-1950 -- Political and social views.</t>
  </si>
  <si>
    <t>http://public.eblib.com/choice/PublicFullRecord.aspx?p=3331774</t>
  </si>
  <si>
    <t>Role of Transportation in the Industrial Revolution : A Comparison of England and France</t>
  </si>
  <si>
    <t>Szostak, Rick</t>
  </si>
  <si>
    <t>HE243.S96 1991</t>
  </si>
  <si>
    <t>England -- Economic conditions -- 18th century.; Metal trade -- England -- History -- 18th century.; Metal trade -- France -- History -- 18th century.; Textile industry -- England -- History -- 18th century.; Textile industry -- France -- History -- 18th century.; Transportation -- England -- History -- 18th century.; Transportation -- France -- History -- 18th century.</t>
  </si>
  <si>
    <t>http://public.eblib.com/choice/PublicFullRecord.aspx?p=3331775</t>
  </si>
  <si>
    <t>Vancouver's Chinatown : Racial Discourse in Canada, 1875-1980</t>
  </si>
  <si>
    <t>Anderson, Kay J.</t>
  </si>
  <si>
    <t>F1089.5.V22</t>
  </si>
  <si>
    <t>Chinatown (Vancouver, B.C.) -- History.; Electronic books. -- local; Race.</t>
  </si>
  <si>
    <t>http://public.eblib.com/choice/PublicFullRecord.aspx?p=3331776</t>
  </si>
  <si>
    <t>Village Politics and the Mafia in Sicily</t>
  </si>
  <si>
    <t>JS5796.S55</t>
  </si>
  <si>
    <t>Electronic books. -- local; Local government -- Italy -- Sicily.; Political participation -- Italy -- Sicily.; Power (Social sciences); Sicily (Italy) -- Social conditions.</t>
  </si>
  <si>
    <t>http://public.eblib.com/choice/PublicFullRecord.aspx?p=3331777</t>
  </si>
  <si>
    <t>Pearson and Canada's Role in Nuclear Disarmament and Arms Control Negotiations, 1945-1957</t>
  </si>
  <si>
    <t>Levitt, Joseph</t>
  </si>
  <si>
    <t>JX1974.7</t>
  </si>
  <si>
    <t>Canada -- Foreign relations -- 1945-; Electronic books. -- local; Nuclear arms control -- Canada.; Nuclear disarmament -- Canada.</t>
  </si>
  <si>
    <t>http://public.eblib.com/choice/PublicFullRecord.aspx?p=3331778</t>
  </si>
  <si>
    <t>Ishtar Gate : Last and Selected Poems</t>
  </si>
  <si>
    <t>Hugh MacLennan Poetry Series</t>
  </si>
  <si>
    <t>Brebner, Diana; Stephanie  Bolster</t>
  </si>
  <si>
    <t>PR9199.3.B688 -- I84 2005eb</t>
  </si>
  <si>
    <t>http://public.eblib.com/choice/PublicFullRecord.aspx?p=3331779</t>
  </si>
  <si>
    <t>Hurt Thyself</t>
  </si>
  <si>
    <t>Steinmetz, Andrew</t>
  </si>
  <si>
    <t>PR9199.3.S7826 -- H87 2005eb</t>
  </si>
  <si>
    <t>http://public.eblib.com/choice/PublicFullRecord.aspx?p=3331780</t>
  </si>
  <si>
    <t>Bamboo Church</t>
  </si>
  <si>
    <t>Sternberg, Ricardo</t>
  </si>
  <si>
    <t>PR9199.3.S7849 -- B36 2003eb</t>
  </si>
  <si>
    <t>http://public.eblib.com/choice/PublicFullRecord.aspx?p=3331781</t>
  </si>
  <si>
    <t>A Social History of the Cloister : Daily Life in the Teaching Monasteries of the Old Regime</t>
  </si>
  <si>
    <t>Religion; Education</t>
  </si>
  <si>
    <t>LC506.F8 -- R36 2001eb</t>
  </si>
  <si>
    <t>271/.903044</t>
  </si>
  <si>
    <t>Electronic books. -- local; Monasticism and religious orders for women -- France -- History.; Women in Christianity -- France -- History.</t>
  </si>
  <si>
    <t>http://public.eblib.com/choice/PublicFullRecord.aspx?p=3331782</t>
  </si>
  <si>
    <t>Frontier Cattle Ranching in the Land and Times of Charlie Russell : A re-examination of the free-range cattle ranching era in Montana, Southern Alberta, and Southern Saskatchewan.</t>
  </si>
  <si>
    <t>Elofson, Warren  M.</t>
  </si>
  <si>
    <t>F731 -- .E47 2004eb</t>
  </si>
  <si>
    <t>978.6/01</t>
  </si>
  <si>
    <t>Cowboys -- Montana -- Biography.; Cowboys -- Prairie Provinces -- Biography.; Frontier and pioneer life -- Montana.; Frontier and pioneer life -- Prairie Provinces.; Ranch life -- Montana -- History -- 19th century.; Ranch life -- Prairie Provinces -- History -- 19th century.; Russell, Charles M. -- (Charles Marion), -- 1864-1926.</t>
  </si>
  <si>
    <t>http://public.eblib.com/choice/PublicFullRecord.aspx?p=3331783</t>
  </si>
  <si>
    <t>Lord for the Body : Religion, Medicine, and Protestant Faith Healing in Canada, 1880-1930</t>
  </si>
  <si>
    <t>Opp, James</t>
  </si>
  <si>
    <t>BL65.M4 -- O67 2005eb</t>
  </si>
  <si>
    <t>234/.1310882804</t>
  </si>
  <si>
    <t>Protestantism -- Canada -- 19th century.; Protestantism -- Canada -- 20th century.; Spiritual healing -- Canada -- History.</t>
  </si>
  <si>
    <t>http://public.eblib.com/choice/PublicFullRecord.aspx?p=3331784</t>
  </si>
  <si>
    <t>Credo</t>
  </si>
  <si>
    <t>Starnino, Carmine</t>
  </si>
  <si>
    <t>PR9199.3.S725 -- C74 2000eb</t>
  </si>
  <si>
    <t>http://public.eblib.com/choice/PublicFullRecord.aspx?p=3331785</t>
  </si>
  <si>
    <t>Franklin's Passage</t>
  </si>
  <si>
    <t>PS8537.O4 -- F73 2003eb</t>
  </si>
  <si>
    <t>Electronic books. -- local; Franklin, John, -- Sir, -- 1786-1847 -- Poetry.; Self (Philosophy) -- Poetry.</t>
  </si>
  <si>
    <t>http://public.eblib.com/choice/PublicFullRecord.aspx?p=3331786</t>
  </si>
  <si>
    <t>The Silver Palace Restaurant</t>
  </si>
  <si>
    <t>Abley, Mark</t>
  </si>
  <si>
    <t>PR9199.3.A165 -- S55 2005eb</t>
  </si>
  <si>
    <t>http://public.eblib.com/choice/PublicFullRecord.aspx?p=3331787</t>
  </si>
  <si>
    <t>Before We Had Words</t>
  </si>
  <si>
    <t>Zitner, S.P.; Zitner,</t>
  </si>
  <si>
    <t>PR9199.3.Z58 -- B44 2002eb</t>
  </si>
  <si>
    <t>http://public.eblib.com/choice/PublicFullRecord.aspx?p=3331788</t>
  </si>
  <si>
    <t>Her Festival Clothes</t>
  </si>
  <si>
    <t>Jones, Mavis</t>
  </si>
  <si>
    <t>PR9199.3.J633 -- H47 2001eb</t>
  </si>
  <si>
    <t>http://public.eblib.com/choice/PublicFullRecord.aspx?p=3331789</t>
  </si>
  <si>
    <t>Saint Saul : A Skeleton Key to the Historical Jesus</t>
  </si>
  <si>
    <t>BT303.2 -- .A54 2000eb</t>
  </si>
  <si>
    <t>232.9/08</t>
  </si>
  <si>
    <t>Bible. -- N.T. -- Epistles of Paul -- Criticism, interpretation, etc.; Electronic books. -- local; Jesus Christ -- Historicity.; Jesus Christ -- Jewishness.; Theology, Doctrinal.</t>
  </si>
  <si>
    <t>http://public.eblib.com/choice/PublicFullRecord.aspx?p=3331790</t>
  </si>
  <si>
    <t>Fabriqué au Canada : Métiers d'art et design dans les années soixante</t>
  </si>
  <si>
    <t>NK1413.A1 -- M3314 2005eb</t>
  </si>
  <si>
    <t>Design -- Canada -- History -- 20th century.; Design -- Social aspects -- Canada.</t>
  </si>
  <si>
    <t>http://public.eblib.com/choice/PublicFullRecord.aspx?p=3331791</t>
  </si>
  <si>
    <t>Nuvisavik : The Place Where We Weave</t>
  </si>
  <si>
    <t>Von Finkenstein, Maria</t>
  </si>
  <si>
    <t>NK8998.U66</t>
  </si>
  <si>
    <t>Inuit textile fabrics -- Nunavut -- Pangnirtung.; Uqqurmiut Centre for Arts &amp; Crafts.</t>
  </si>
  <si>
    <t>http://public.eblib.com/choice/PublicFullRecord.aspx?p=3331792</t>
  </si>
  <si>
    <t>The History of Jamaica, Volume 2 : Reflections on its Situation, Settlements, Inhabitants, Climate, Products, Commerce, Laws, and Government</t>
  </si>
  <si>
    <t>Long, Edward</t>
  </si>
  <si>
    <t>F1868 -- .L662 2002eb</t>
  </si>
  <si>
    <t>Electronic books. -- local; Jamaica -- History.; Jamaica.; Natural history -- Jamaica.; Slavery -- Jamaica.</t>
  </si>
  <si>
    <t>http://public.eblib.com/choice/PublicFullRecord.aspx?p=3331793</t>
  </si>
  <si>
    <t>Ethnology of the Ungava District, Hudson Bay Territory</t>
  </si>
  <si>
    <t>Turner, Lucien M.</t>
  </si>
  <si>
    <t>E78.Q3 -- T9 2001eb</t>
  </si>
  <si>
    <t>Electronic books. -- local; Indians of North America -- Québec (Province) -- Ungava Peninsula -- Folklore.; Indians of North America -- Québec (Province) -- Ungava Peninsula -- Social life and customs.; Inuit -- Québec (Province) -- Ungava Peninsula -- Folklore.; Inuit -- Québec (Province) -- Ungava Peninsula -- Social life and customs.</t>
  </si>
  <si>
    <t>http://public.eblib.com/choice/PublicFullRecord.aspx?p=3331794</t>
  </si>
  <si>
    <t>Surpassing Wonder : The Invention of the Bible and the Talmuds</t>
  </si>
  <si>
    <t>BS511.2</t>
  </si>
  <si>
    <t>Bible -- Criticism, interpretation, etc.; Bible -- Criticism, interpretation, etc. -- History.; Electronic books. -- local; Rabbinical literature.; Talmud -- Criticism, interpretation, etc.; Talmud -- Criticism, interpretation, etc. -- History.</t>
  </si>
  <si>
    <t>http://public.eblib.com/choice/PublicFullRecord.aspx?p=3331795</t>
  </si>
  <si>
    <t>The History of Jamaica, Volume 3 : Reflections on its Situation, Settlements, Inhabitants, Climate, Products, Commerce, Laws, and Government</t>
  </si>
  <si>
    <t>F1868 -- .L663 2002eb</t>
  </si>
  <si>
    <t>http://public.eblib.com/choice/PublicFullRecord.aspx?p=3331796</t>
  </si>
  <si>
    <t>What Really Matters</t>
  </si>
  <si>
    <t>O'Grady, Thomas</t>
  </si>
  <si>
    <t>PR9199.3.O345</t>
  </si>
  <si>
    <t>Canadian poetry.; Electronic books. -- local; Narrative poetry, Canadian.</t>
  </si>
  <si>
    <t>http://public.eblib.com/choice/PublicFullRecord.aspx?p=3331797</t>
  </si>
  <si>
    <t>Polar Castaways : The Ross Sea Party of Sir Ernest Shackleton, 1914-17</t>
  </si>
  <si>
    <t>McElrea, Richard; Harrowfield, David</t>
  </si>
  <si>
    <t>G850 1914 -- .M54 2004eb</t>
  </si>
  <si>
    <t>Airplane crash survival.; Antarctica -- Discovery and exploration -- British.; Aurora Relief Expedition -- (1915-1917); Imperial Trans-Antarctic Expedition -- (1914-1917); Shipwreck survival.; Survival at sea.; Survival.</t>
  </si>
  <si>
    <t>http://public.eblib.com/choice/PublicFullRecord.aspx?p=3331798</t>
  </si>
  <si>
    <t>Beneath Flanders Fields : The Tunnellers' War, 1914-1918</t>
  </si>
  <si>
    <t>Barton, Peter; Peter  Doyle; John  Vandewalle</t>
  </si>
  <si>
    <t>D607.3 -- .B34 2005eb</t>
  </si>
  <si>
    <t>940.4/144</t>
  </si>
  <si>
    <t>Tunneling -- Belgium -- History -- 20th century.; World War, 1914-1918 -- Campaigns -- Belgium.; World War, 1914-1918 -- Engineering and construction.; World War, 1914-1918 -- Tunnel warfare -- Belgium.</t>
  </si>
  <si>
    <t>http://public.eblib.com/choice/PublicFullRecord.aspx?p=3331799</t>
  </si>
  <si>
    <t>The Thin Smoke of the Heart</t>
  </si>
  <si>
    <t>Bowling, Tim</t>
  </si>
  <si>
    <t>PR9199.3.B6358</t>
  </si>
  <si>
    <t>http://public.eblib.com/choice/PublicFullRecord.aspx?p=3331800</t>
  </si>
  <si>
    <t>A History of Canadian Literature</t>
  </si>
  <si>
    <t>New, W.H.</t>
  </si>
  <si>
    <t>PR9184.3</t>
  </si>
  <si>
    <t>810.997 1</t>
  </si>
  <si>
    <t>Canada -- Literatures -- History and criticism.; Canadian literature -- History and criticism.; French-Canadian literature -- History and criticism.</t>
  </si>
  <si>
    <t>http://public.eblib.com/choice/PublicFullRecord.aspx?p=3331801</t>
  </si>
  <si>
    <t>The Afterlife of Trees</t>
  </si>
  <si>
    <t>Bartlett, Brian</t>
  </si>
  <si>
    <t>PR9199.3.B374</t>
  </si>
  <si>
    <t>Nature -- Poetry.</t>
  </si>
  <si>
    <t>http://public.eblib.com/choice/PublicFullRecord.aspx?p=3331802</t>
  </si>
  <si>
    <t>Saviours of the Nation : Serbia's Intellectual Opposition and the Revival of Nationalism</t>
  </si>
  <si>
    <t>Dragovic-Soso, Jasna</t>
  </si>
  <si>
    <t>DR2050 -- .D73 2002eb</t>
  </si>
  <si>
    <t>Electronic books. -- local; Intellectuals -- Serbia -- Attitudes.; Nationalism -- Serbia and Montenegro -- History -- 20th century.; Serbia -- History -- 1945-1992.</t>
  </si>
  <si>
    <t>http://public.eblib.com/choice/PublicFullRecord.aspx?p=3331803</t>
  </si>
  <si>
    <t>History of Jamaica, Volume 1 : Reflections on its Situation, Settlements, Inhabitants, Climate, Products, Commerce, Laws and Government</t>
  </si>
  <si>
    <t>F1868 -- .L66 2002eb</t>
  </si>
  <si>
    <t>http://public.eblib.com/choice/PublicFullRecord.aspx?p=3331804</t>
  </si>
  <si>
    <t>Parallel Destinies : Canadian-American Relations West of the Rockies</t>
  </si>
  <si>
    <t>Findlay, John M.; Coates, Ken</t>
  </si>
  <si>
    <t>E183.8.C2 -- P36 2002eb</t>
  </si>
  <si>
    <t>Canada -- Boundaries -- United States.; Canada -- Relations -- United States.; International relations.; Northern boundary of the United States -- History.; Northwest, Pacific -- History.; United States -- Boundaries -- Canada.; United States -- Relations -- Canada.</t>
  </si>
  <si>
    <t>http://public.eblib.com/choice/PublicFullRecord.aspx?p=3331805</t>
  </si>
  <si>
    <t>Robert Emmet : A Life</t>
  </si>
  <si>
    <t>Geoghegan, Patrick M.</t>
  </si>
  <si>
    <t>DA948.6.E5</t>
  </si>
  <si>
    <t>Electronic books. -- local; Emmet, Robert, -- 1778-1803.; Ireland -- History -- Emmet''s Rebellion, 1803.; Revolutionaries -- Ireland -- Biography.</t>
  </si>
  <si>
    <t>http://public.eblib.com/choice/PublicFullRecord.aspx?p=3331806</t>
  </si>
  <si>
    <t>Where Have the Old Words Got Me? : Explications of Dylan Thomas's Collected Poems</t>
  </si>
  <si>
    <t>PR6039.H52 -- Z7712 2003eb</t>
  </si>
  <si>
    <t>Electronic books. -- local; English poetry -- 20th century -- Criticism and interpretation.; Thomas, Dylan, -- 1914-1953 -- Criticism and interpretation.</t>
  </si>
  <si>
    <t>http://public.eblib.com/choice/PublicFullRecord.aspx?p=3331807</t>
  </si>
  <si>
    <t>The Serbian Project and Its Adversaries : A Strategy of War Crimes</t>
  </si>
  <si>
    <t>Gow, James</t>
  </si>
  <si>
    <t>DR1313.2 -- .G69 2003eb</t>
  </si>
  <si>
    <t>Electronic books. -- local; Milošević, Slobodan, -- 1941-2006.; Serbia -- History -- 1992-; Strategy.; Yugoslav War, 1991-1995.; Yugoslavia -- Military policy.</t>
  </si>
  <si>
    <t>http://public.eblib.com/choice/PublicFullRecord.aspx?p=3331808</t>
  </si>
  <si>
    <t>The Irish War of Independence</t>
  </si>
  <si>
    <t>Hopkinson, Michael</t>
  </si>
  <si>
    <t>DA962 -- .H67 2002beb</t>
  </si>
  <si>
    <t>941.7082/1</t>
  </si>
  <si>
    <t>Ireland -- History -- War of Independence, 1919-1921.</t>
  </si>
  <si>
    <t>http://public.eblib.com/choice/PublicFullRecord.aspx?p=3331809</t>
  </si>
  <si>
    <t>Oatmeal and the Catechism : Scottish Gaelic Settlers in Quebec</t>
  </si>
  <si>
    <t>Bennett, Margaret</t>
  </si>
  <si>
    <t>F1054.E13 -- B46 2003eb</t>
  </si>
  <si>
    <t>Eastern Townships (Québec) -- History.; Electronic books. -- local; Québec (Province) -- Emigration and immigration.; Scotland -- Emigration and immigration.; Scots -- Québec (Province) -- Eastern Townships -- History.; Western Isles (Scotland) -- Emigration and immigration.</t>
  </si>
  <si>
    <t>http://public.eblib.com/choice/PublicFullRecord.aspx?p=3331810</t>
  </si>
  <si>
    <t>Culture, Identity, Commodity : Diasporic Chinese Literatures in English</t>
  </si>
  <si>
    <t>Khoo, Tseen; Louie, Kam</t>
  </si>
  <si>
    <t>PR9080 -- .C84 2005eb</t>
  </si>
  <si>
    <t>American literature -- 20th century -- History and criticism.; American literature -- Chinese American authors -- History and criticism.; Australian literature -- 20th century -- History and criticism.; Australian literature -- Chinese authors -- History and criticism.; Canadian literature -- 20th century -- History and criticism.; Canadian literature -- Chinese authors -- History and criticism.; Electronic books. -- local</t>
  </si>
  <si>
    <t>http://public.eblib.com/choice/PublicFullRecord.aspx?p=3331811</t>
  </si>
  <si>
    <t>Banana Bending : Asian-Australian and Asian-Canadian Literatures</t>
  </si>
  <si>
    <t>PR9080.5 -- K48 2003eb</t>
  </si>
  <si>
    <t>Asian Australians in literature.; Asian Canadians in literature.; Australian literature -- Asian Australian authors -- History and criticism.; Canadian literature -- Asian Canadian authors -- History and criticism.; Electronic books. -- local</t>
  </si>
  <si>
    <t>http://public.eblib.com/choice/PublicFullRecord.aspx?p=3331812</t>
  </si>
  <si>
    <t>The Shape of Irish History</t>
  </si>
  <si>
    <t>Stewart, ATQ; Stewart, 0 ; Stewart, Professor Mary Lynn</t>
  </si>
  <si>
    <t>DA910 -- .S72 2001eb</t>
  </si>
  <si>
    <t>941.5/007/2</t>
  </si>
  <si>
    <t>Electronic books. -- local; Ireland -- Historiography.; Ireland -- History.</t>
  </si>
  <si>
    <t>http://public.eblib.com/choice/PublicFullRecord.aspx?p=3331813</t>
  </si>
  <si>
    <t>Michael Walzer on War and Justice</t>
  </si>
  <si>
    <t>Orend, Brian</t>
  </si>
  <si>
    <t>U21.2 -- .O695 2000eb</t>
  </si>
  <si>
    <t>Distributive justice.; Electronic books. -- local; Just war doctrine.; Walzer, Michael.</t>
  </si>
  <si>
    <t>http://public.eblib.com/choice/PublicFullRecord.aspx?p=3331814</t>
  </si>
  <si>
    <t>Tulip in the Desert : A Selection of the Poetry of Muhammad Iqbal</t>
  </si>
  <si>
    <t>Iqbal, Muhammed; Mustansir, Mir</t>
  </si>
  <si>
    <t>PK2199.I65 -- T87 2000eb</t>
  </si>
  <si>
    <t>Electronic books. -- local; Iqbal, Muhammad, -- Sir, -- 1877-1938 -- Translations into English.; Urdu poetry -- Translations into English.</t>
  </si>
  <si>
    <t>http://public.eblib.com/choice/PublicFullRecord.aspx?p=3331815</t>
  </si>
  <si>
    <t>A Short History of Modern Ireland</t>
  </si>
  <si>
    <t>Killeen, Richard</t>
  </si>
  <si>
    <t>DA950 -- .K55 2003eb</t>
  </si>
  <si>
    <t>Electronic books. -- local; Ireland -- History -- 19th century.; Ireland -- History -- 20th century.; Ireland -- History.</t>
  </si>
  <si>
    <t>http://public.eblib.com/choice/PublicFullRecord.aspx?p=3331816</t>
  </si>
  <si>
    <t>A Dream of Sulphur</t>
  </si>
  <si>
    <t>Haller, Aurian</t>
  </si>
  <si>
    <t>PR9199.3.H3176</t>
  </si>
  <si>
    <t>http://public.eblib.com/choice/PublicFullRecord.aspx?p=3331817</t>
  </si>
  <si>
    <t>Modern Philosophy : The Seventeenth and Eighteenth Centuries</t>
  </si>
  <si>
    <t>Francks, Richard</t>
  </si>
  <si>
    <t>B799 -- .F72 2003eb</t>
  </si>
  <si>
    <t>190/.9/032</t>
  </si>
  <si>
    <t>Electronic books. -- local; Philosophy, Modern -- 17th century.; Philosophy, Modern -- 18th century.</t>
  </si>
  <si>
    <t>http://public.eblib.com/choice/PublicFullRecord.aspx?p=3331818</t>
  </si>
  <si>
    <t>Redesigning Life? : The Worldwide Challenge to Genetic Engineering</t>
  </si>
  <si>
    <t>Tokar, Brian</t>
  </si>
  <si>
    <t>Science; Social Science; Science: Biology/Natural History</t>
  </si>
  <si>
    <t>QH442 -- .R44 2001eb</t>
  </si>
  <si>
    <t>Biotechnology -- Social aspects.; Electronic books. -- local; Genetic engineering -- Social aspects.</t>
  </si>
  <si>
    <t>http://public.eblib.com/choice/PublicFullRecord.aspx?p=3331819</t>
  </si>
  <si>
    <t>Arctic Clothing of North America-Alaska, Canada, Greenland : Alaska, Canada, Greenland</t>
  </si>
  <si>
    <t>King, J.C.H.; Birgit  Pauksztat; Robert  Storrie</t>
  </si>
  <si>
    <t>GT1605 -- .A73 2005eb</t>
  </si>
  <si>
    <t>Clothing and dress -- Arctic regions.; Electronic books. -- local; Fur garments.; Hides and skins.; Inuit -- Arctic regions -- Social life and customs.</t>
  </si>
  <si>
    <t>http://public.eblib.com/choice/PublicFullRecord.aspx?p=3331820</t>
  </si>
  <si>
    <t>Demography, State and Society : Irish Migration to Britain, 1921-1971</t>
  </si>
  <si>
    <t>Delaney, Enda</t>
  </si>
  <si>
    <t>HB3589 -- .D45 2000eb</t>
  </si>
  <si>
    <t>304.8/410415</t>
  </si>
  <si>
    <t>Electronic books. -- local; Great Britain -- Emigration and immigration -- History -- 20th century.; Ireland -- Emigration and immigration -- History -- 20th century.; Ireland -- History -- 20th century.; Ireland -- Population -- History -- 20th century.; Irish -- Great Britain -- History -- 20th century.</t>
  </si>
  <si>
    <t>http://public.eblib.com/choice/PublicFullRecord.aspx?p=3331821</t>
  </si>
  <si>
    <t>Tudor Housewife</t>
  </si>
  <si>
    <t>Sim, Alison</t>
  </si>
  <si>
    <t>HQ1149.G7 -- S54 2000eb</t>
  </si>
  <si>
    <t>Electronic books. -- local; England -- Social conditions -- 16th century.; Housewives -- England -- Social conditions.; Women -- England -- Social conditions.</t>
  </si>
  <si>
    <t>http://public.eblib.com/choice/PublicFullRecord.aspx?p=3331822</t>
  </si>
  <si>
    <t>Intimate Citizenship : Private Decisions and Public Dialogues</t>
  </si>
  <si>
    <t>Plummer, Ken</t>
  </si>
  <si>
    <t>HQ2042 -- .P58 2003eb</t>
  </si>
  <si>
    <t>Alternative lifestyles.; Electronic books. -- local; Intimacy (Psychology); Lifestyles.</t>
  </si>
  <si>
    <t>http://public.eblib.com/choice/PublicFullRecord.aspx?p=3331823</t>
  </si>
  <si>
    <t>The Suffering Gene : Environmental Threats to our Health</t>
  </si>
  <si>
    <t>Burdon, Roy; Burdon, R H</t>
  </si>
  <si>
    <t>RA1224.3 -- .B87 2003eb</t>
  </si>
  <si>
    <t>616/.042</t>
  </si>
  <si>
    <t>Genetic toxicology.</t>
  </si>
  <si>
    <t>http://public.eblib.com/choice/PublicFullRecord.aspx?p=3331824</t>
  </si>
  <si>
    <t>Deep Futures : Our Prospects for Survival</t>
  </si>
  <si>
    <t>CB161 -- .C63 2003eb</t>
  </si>
  <si>
    <t>Civilization, Modern.; Electronic books. -- local; Forecasting.; Social prediction.</t>
  </si>
  <si>
    <t>http://public.eblib.com/choice/PublicFullRecord.aspx?p=3331825</t>
  </si>
  <si>
    <t>After the Terror</t>
  </si>
  <si>
    <t>Honderich, Ted</t>
  </si>
  <si>
    <t>HV6432 -- .H66 2003eb</t>
  </si>
  <si>
    <t>Electronic books. -- local; September 11 Terrorist Attacks, 2001.; Terrorism.</t>
  </si>
  <si>
    <t>http://public.eblib.com/choice/PublicFullRecord.aspx?p=3331826</t>
  </si>
  <si>
    <t>The People of Denendeh : Ethnohistory of the Indians of Canada's Northwest Territories</t>
  </si>
  <si>
    <t>Helm, June</t>
  </si>
  <si>
    <t>E99.A86 -- H45 2000eb</t>
  </si>
  <si>
    <t>Athapascan Indians -- Northwest Territories -- History.; Athapascan Indians -- Northwest Territories -- Social life and customs.; Electronic books. -- local; Ethnohistory -- Northwest Territories.; Northwest Territories -- Social life and customs.</t>
  </si>
  <si>
    <t>http://public.eblib.com/choice/PublicFullRecord.aspx?p=3331827</t>
  </si>
  <si>
    <t>Picturesque and the Sublime : Poetics of the Canadian Landscape</t>
  </si>
  <si>
    <t>Glickman, Susan</t>
  </si>
  <si>
    <t>PR9185.5.L35 -- G58 1998eb</t>
  </si>
  <si>
    <t>Canadian literature -- History and criticism.; Electronic books. -- local; Landscapes in literature.</t>
  </si>
  <si>
    <t>http://public.eblib.com/choice/PublicFullRecord.aspx?p=3331828</t>
  </si>
  <si>
    <t>The Ancient Books of Ireland</t>
  </si>
  <si>
    <t>Slavin, Michael; Wallace, Patrick</t>
  </si>
  <si>
    <t>ND3137 -- .S53 2005eb</t>
  </si>
  <si>
    <t>841/.5</t>
  </si>
  <si>
    <t>Civilization, Celtic -- Sources.; Electronic books. -- local; Illumination of books and manuscripts, Celtic.; Ireland -- History -- Sources.; Manuscripts, Medieval -- Ireland.</t>
  </si>
  <si>
    <t>http://public.eblib.com/choice/PublicFullRecord.aspx?p=3331829</t>
  </si>
  <si>
    <t>Now : Images of Present Time/Maintenant : Images du temps prÃ©sent</t>
  </si>
  <si>
    <t>Lavoie, Vincent</t>
  </si>
  <si>
    <t>TR642</t>
  </si>
  <si>
    <t>Electronic books. -- local; Photography, Artistic -- Exhibitions.; Photojournalism -- Exhibitions.</t>
  </si>
  <si>
    <t>http://public.eblib.com/choice/PublicFullRecord.aspx?p=3331830</t>
  </si>
  <si>
    <t>Valparaíso School : Open City Group</t>
  </si>
  <si>
    <t>Rispa, Raúl; Pérez de Arce, Rodrigo; Pérez Oyarzún, Fernando</t>
  </si>
  <si>
    <t>NA2305.C5</t>
  </si>
  <si>
    <t>Architecture -- Chile -- History -- 20th century.; City planning -- Chile -- Ritoque.; City planning -- Philosophy.; Electronic books. -- local; Group work in architecture -- Chile.; Valparaíso school (Architecture)</t>
  </si>
  <si>
    <t>http://public.eblib.com/choice/PublicFullRecord.aspx?p=3331831</t>
  </si>
  <si>
    <t>Red Travellers : Jeanne Corbin &amp; Her Comrades</t>
  </si>
  <si>
    <t>Lévesque, Andrée; Klein, Yvonne M.</t>
  </si>
  <si>
    <t>HX104.7.C67 -- L4813 2006eb</t>
  </si>
  <si>
    <t>Communism -- Canada -- History.; Corbin, Jeanne, -- 1906-1944.; Women communists -- Canada -- Biography.</t>
  </si>
  <si>
    <t>http://public.eblib.com/choice/PublicFullRecord.aspx?p=3331832</t>
  </si>
  <si>
    <t>Revivalists : Marketing the Gospel in English Canada, 1884-1957</t>
  </si>
  <si>
    <t>Kee, Kevin</t>
  </si>
  <si>
    <t>BV3777.C36</t>
  </si>
  <si>
    <t>Evangelicalism -- Canada -- History.; Evangelicalism -- Social aspects -- Canada.; Évangélisme -- Canada -- Aspect social.; Évangélisme -- Canada -- Histoire.; Evangelists -- Canada -- History.; Prédicateurs -- Canada -- Histoire.</t>
  </si>
  <si>
    <t>http://public.eblib.com/choice/PublicFullRecord.aspx?p=3331833</t>
  </si>
  <si>
    <t>HA! : A Self-Murder Mystery</t>
  </si>
  <si>
    <t>Sheppard, Gordon</t>
  </si>
  <si>
    <t>PQ3919.2.A66</t>
  </si>
  <si>
    <t>Aquin, Hubert, -- 1929-1977.; Electronic books. -- local; Suicide victims -- Québec (Province) -- Biography.</t>
  </si>
  <si>
    <t>http://public.eblib.com/choice/PublicFullRecord.aspx?p=3331834</t>
  </si>
  <si>
    <t>Against Judicial Activism : The Decline of Freedom and Democracy in Canada</t>
  </si>
  <si>
    <t>Leishman, Rory</t>
  </si>
  <si>
    <t>Canada. -- Canadian Charter of Rights and Freedoms.; Canada. -- Supreme Court.; Civil rights -- Canada.; Judge-made law -- Canada.; Judicial power -- Canada.; Judicial review -- Canada.; Political questions and judicial power -- Canada.</t>
  </si>
  <si>
    <t>http://public.eblib.com/choice/PublicFullRecord.aspx?p=3331835</t>
  </si>
  <si>
    <t>Rethinking Social Evolution : The Perspective from Middle-Range Societies</t>
  </si>
  <si>
    <t>Rousseau, Jérôme</t>
  </si>
  <si>
    <t>GN360</t>
  </si>
  <si>
    <t>Évolution sociale -- Cas, Études de.; Évolution sociale.; Indians of North America -- Social life and customs.; Indigenous peoples -- Social life and customs.; Social evolution -- Case studies.; Social systems -- Case studies.; Systèmes sociaux.</t>
  </si>
  <si>
    <t>http://public.eblib.com/choice/PublicFullRecord.aspx?p=3331836</t>
  </si>
  <si>
    <t>Democratic Society and Human Needs : Towards a Renewed Critique of Liberal Capitalism</t>
  </si>
  <si>
    <t>Capitalism -- Moral and ethical aspects.; Capitalism -- Political aspects.; Democracy -- Moral and ethical aspects.; Democracy -- Social aspects.; Démocratie -- Aspect moral.; Démocratie -- Aspect social.; Socialism.</t>
  </si>
  <si>
    <t>http://public.eblib.com/choice/PublicFullRecord.aspx?p=3331837</t>
  </si>
  <si>
    <t>After Auschwitz : One Man's Story</t>
  </si>
  <si>
    <t>Gruenwald, Hermann; Demchinsky, Bryan</t>
  </si>
  <si>
    <t>F1055.J5</t>
  </si>
  <si>
    <t>Businessmen -- Québec (Province) -- Montréal -- Biography.; Clothing trade -- Québec (Province) -- Montréal -- History.; Gruenwald, Hermann.; Holocaust survivors -- Québec (Province) -- Montréal -- Biography.; Holocaust, Jewish (1939-1945) -- Personal narratives.; Jews -- Québec (Province) -- Montréal -- Biography.; Montréal (Québec) -- Biography.</t>
  </si>
  <si>
    <t>http://public.eblib.com/choice/PublicFullRecord.aspx?p=3331838</t>
  </si>
  <si>
    <t>The Boundaries of Meaning and the Formation of Law : Legal Concepts and Reasoning in the English, Arabic, and Chinese Traditions</t>
  </si>
  <si>
    <t>Gu, Sharron</t>
  </si>
  <si>
    <t>K237</t>
  </si>
  <si>
    <t>Electronic books. -- local; Islamic law -- History.; Law -- China -- History.; Law -- Great Britain -- History.; Law -- Language.; Semantics (Law)</t>
  </si>
  <si>
    <t>http://public.eblib.com/choice/PublicFullRecord.aspx?p=3331839</t>
  </si>
  <si>
    <t>Pictorial Illusionism : The Theatre of Steele MacKaye</t>
  </si>
  <si>
    <t>Sokalski, J. A.</t>
  </si>
  <si>
    <t>PN2287.M17</t>
  </si>
  <si>
    <t>Dramatists, American -- 19th century -- Biography.; Inventors -- United States -- Biography.; MacKaye, Steele, -- 1842-1894.; Madison Square Theatre -- History.; Theater -- United States -- History -- 19th century.; Theaters -- Stage-setting and scenery -- United States -- History -- 19th century.; Theatrical managers -- United States -- Biography.</t>
  </si>
  <si>
    <t>http://public.eblib.com/choice/PublicFullRecord.aspx?p=3331840</t>
  </si>
  <si>
    <t>Georges Bernanos : The Theological Source of His Art</t>
  </si>
  <si>
    <t>Tobin, Michael R.</t>
  </si>
  <si>
    <t>PQ2603.E5875</t>
  </si>
  <si>
    <t>Bernanos, Georges, -- 1888-1948 -- Criticism and interpretation.; Bernanos, Georges, -- 1888-1948 -- Religion.; French literature -- Catholic authors -- History and criticism.</t>
  </si>
  <si>
    <t>http://public.eblib.com/choice/PublicFullRecord.aspx?p=3331841</t>
  </si>
  <si>
    <t>Legislative, Executive, and Judicial Governance in Federal Countries : Volume 3</t>
  </si>
  <si>
    <t>Le Roy, Katy; Saunders, Cheryl</t>
  </si>
  <si>
    <t>Federal government.; Gouvernement fédéral.</t>
  </si>
  <si>
    <t>http://public.eblib.com/choice/PublicFullRecord.aspx?p=3331842</t>
  </si>
  <si>
    <t>Archaeologies of an Uncertain Future : Recent Generations of Canadian Women Writing</t>
  </si>
  <si>
    <t>McPherson, Karen</t>
  </si>
  <si>
    <t>PR9194.5.W6</t>
  </si>
  <si>
    <t>Canadian fiction -- 20th century -- History and criticism.; Canadian fiction -- Women authors -- History and criticism.; Écrits de femmes canadiens -- Histoire et critique.; Roman canadien -- 20e siècle -- Histoire et critique.</t>
  </si>
  <si>
    <t>http://public.eblib.com/choice/PublicFullRecord.aspx?p=3331843</t>
  </si>
  <si>
    <t>Mothers of Heroes, Mothers of Martyrs : World War I and the Politics of Grief</t>
  </si>
  <si>
    <t>Evans, Suzanne</t>
  </si>
  <si>
    <t>Mother and child -- Political aspects -- Canada -- History -- 20th century.; Mother and child -- Religious aspects -- History.; Mothers of soldiers -- Canada -- Attitudes -- History -- 20th century.; Mothers of war casualties -- Canada -- Attitudes -- History -- 20th century.; World War, 1914-1918 -- Canada.; World War, 1914-1918 -- Casualties -- Canada.</t>
  </si>
  <si>
    <t>http://public.eblib.com/choice/PublicFullRecord.aspx?p=3331844</t>
  </si>
  <si>
    <t>J. Wendell Macleod : Saskatchewan's Red Dean</t>
  </si>
  <si>
    <t>Horlick, Louis</t>
  </si>
  <si>
    <t>R464.M33</t>
  </si>
  <si>
    <t>Deans (Education) -- Saskatchewan -- Biography.; Electronic books. -- local; Macleod, J. Wendell, -- 1905-2001.; Medical education -- Canada -- History.; Medical education -- Saskatchewan -- History.; Social medicine -- Canada -- History.; University of Saskatchewan. -- College of Medicine -- Biography.</t>
  </si>
  <si>
    <t>http://public.eblib.com/choice/PublicFullRecord.aspx?p=3331845</t>
  </si>
  <si>
    <t>alcides lanza : Portrait of a Composer</t>
  </si>
  <si>
    <t>Jones, Pamela</t>
  </si>
  <si>
    <t>ML410.L2827</t>
  </si>
  <si>
    <t>Composers -- Argentina -- Biography.; Compositeurs -- Argentine -- Biographie.; Compositeurs -- Canada -- Biographies.; Expatriate composers -- Canada -- Biography.; Lanza, Alcides, -- 1929-; Lanza, Alcides.</t>
  </si>
  <si>
    <t>http://public.eblib.com/choice/PublicFullRecord.aspx?p=3331846</t>
  </si>
  <si>
    <t>The Practice of Fiscal Federalism : Comparative Perspectives</t>
  </si>
  <si>
    <t>Shah, Anwar</t>
  </si>
  <si>
    <t>Comparative government.; Federal government -- Economic aspects.; Fédéralisme -- Aspect économique.; Fédéralisme.; Fiscal policy.; Intergovernmental fiscal relations.; Régimes politiques.</t>
  </si>
  <si>
    <t>http://public.eblib.com/choice/PublicFullRecord.aspx?p=3331847</t>
  </si>
  <si>
    <t>Shifting Voices : Feminist Thought and Women's Writing in Fin-de-Siècle Austria and Hungary</t>
  </si>
  <si>
    <t>Schwartz, Agatha</t>
  </si>
  <si>
    <t>PT3826.W65</t>
  </si>
  <si>
    <t>Austrian literature -- Women authors -- History and criticism.; Feminism -- Austria -- History.; Feminism and literature -- Austria.; Feminism and literature -- Hungary.; Feminist literature -- Austria -- History and criticism.; Feminist literature -- Hungary -- History and criticism.; Hungarian literature -- Women authors -- History and criticism.</t>
  </si>
  <si>
    <t>http://public.eblib.com/choice/PublicFullRecord.aspx?p=3331848</t>
  </si>
  <si>
    <t>Race Riots : Comedy and Ethnicity in Modern British Fiction</t>
  </si>
  <si>
    <t>Ross, Michael L.</t>
  </si>
  <si>
    <t>PR830.R34</t>
  </si>
  <si>
    <t>Comic, The, in literature.; Electronic books. -- local; English fiction -- History and criticism.; Laughter in literature.; Racism in literature.; Stereotypes (Social psychology) in literature.</t>
  </si>
  <si>
    <t>http://public.eblib.com/choice/PublicFullRecord.aspx?p=3331849</t>
  </si>
  <si>
    <t>From Peasants to Labourers : Ukrainian and Belarusan Immigration from the Russian Empire to Canada</t>
  </si>
  <si>
    <t>Kukushkin, Vadim</t>
  </si>
  <si>
    <t>F1035.R8</t>
  </si>
  <si>
    <t>Belarusians -- Canada -- History -- 20th century.; Biélorusses -- Canada -- Histoire -- 20e siècle.; Canada -- Emigration and immigration -- Economic aspects -- History -- 20th century.; Russia, Western -- Emigration and immigration -- Economic aspects -- History -- 20th century.; Russie (Ouest) -- Émigration et immigration -- Aspect économique -- Histoire -- 20e siècle.; Ukrainians -- Canada -- History -- 20th century.; Ukrainiens -- Canada -- Histoire -- 20e siècle.</t>
  </si>
  <si>
    <t>http://public.eblib.com/choice/PublicFullRecord.aspx?p=3331850</t>
  </si>
  <si>
    <t>The Chrétien Legacy : Politics and Public Policy in Canada</t>
  </si>
  <si>
    <t>Harder, Lois; Patten, Steve</t>
  </si>
  <si>
    <t>F1034.3.C47</t>
  </si>
  <si>
    <t>Canada -- Politics and government -- 1980-; Canada -- Politique et gouvernement -- 1993-2006.; Canada -- Social policy.; Chrétien, Jean, -- 1934-; Chrétien, Jean, -- 1934-; Chrétien, Jean, -- 1934- -- Influence.; Prime ministers -- Canada.</t>
  </si>
  <si>
    <t>http://public.eblib.com/choice/PublicFullRecord.aspx?p=3331851</t>
  </si>
  <si>
    <t>Memoirs and Madness : Leonid Andreev Through the Prism of the Literary Portrait</t>
  </si>
  <si>
    <t>White, Frederick H.</t>
  </si>
  <si>
    <t>PG3452.Z5</t>
  </si>
  <si>
    <t>Andreyev, Leonid, -- 1871-1919 -- Mental health.; Andreyev, Leonid, -- 1871-1919.; Authors, Russian -- 20th century -- Biography.; Biography as a literary form.</t>
  </si>
  <si>
    <t>http://public.eblib.com/choice/PublicFullRecord.aspx?p=3331852</t>
  </si>
  <si>
    <t>From Quaker to Upper Canadian : Faith and Community among Yonge Street Friends, 1801-1850</t>
  </si>
  <si>
    <t>McGill-Queen’s Studies in the History of Religion</t>
  </si>
  <si>
    <t>Healey, Robynne Rogers</t>
  </si>
  <si>
    <t>BX7652.Y67 -- H42 2006eb</t>
  </si>
  <si>
    <t>Electronic books. -- local; Newmarket (Ont.) -- Church history -- 19th century.; Quaker women -- Ontario -- Newmarket -- History -- 19th century.; Quakers -- Ontario -- Newmarket -- History -- 19th century.; Society of Friends -- Ontario -- Newmarket -- History -- 19th century.</t>
  </si>
  <si>
    <t>http://public.eblib.com/choice/PublicFullRecord.aspx?p=3331853</t>
  </si>
  <si>
    <t>Carol Shields and the Extra-Ordinary</t>
  </si>
  <si>
    <t>Dvorak, Marta; Jones, Manina</t>
  </si>
  <si>
    <t>PR9199.3.S514</t>
  </si>
  <si>
    <t>Canadian literature -- 20th century.; Electronic books. -- local; Shields, Carol -- Criticism and interpretation.</t>
  </si>
  <si>
    <t>http://public.eblib.com/choice/PublicFullRecord.aspx?p=3331854</t>
  </si>
  <si>
    <t>Sir William C. Macdonald : A Biography</t>
  </si>
  <si>
    <t>Fong, William</t>
  </si>
  <si>
    <t>HD9130.5</t>
  </si>
  <si>
    <t>Businessmen -- Québec (Province) -- Montréal -- Biography.; Education, Higher -- Canada -- Endowments -- History.; Macdonald, William C. -- (William Christopher), -- 1831-1917.; Macdonald, William C. -- (William Christopher), -- 1831-1917.; McGill University -- Endowments -- History.; Philanthropists -- Canada -- Biography.; Tobacco industry -- Canada -- History.</t>
  </si>
  <si>
    <t>http://public.eblib.com/choice/PublicFullRecord.aspx?p=3331855</t>
  </si>
  <si>
    <t>Policy Unplugged : Dis/Connections between Technology Policy and Practices in Canadian Schools</t>
  </si>
  <si>
    <t>Jenson, Jennifer; Rose, Chloë Brushwood; Lewis, Brian</t>
  </si>
  <si>
    <t>LB1028.43</t>
  </si>
  <si>
    <t>Education, Elementary -- Canada -- Data processing.; Education, Secondary -- Canada -- Data processing.; Educational technology -- Canada.; Educational technology -- Government policy -- Canada.; Enseignement primaire -- Canada -- Informatique.; Technologie éducative -- Canada.; Technologie éducative -- Politique gouvernementale -- Canada.</t>
  </si>
  <si>
    <t>http://public.eblib.com/choice/PublicFullRecord.aspx?p=3331856</t>
  </si>
  <si>
    <t>Sober Reflections : Commerce, Public Health, and the Evolution of Alcohol Policy in Canada, 1980-2000</t>
  </si>
  <si>
    <t>Demers, Andree; Lindquist, Evert</t>
  </si>
  <si>
    <t>HV5087.C3</t>
  </si>
  <si>
    <t>Alcoholic beverage industry -- Government policy -- Canada.; Drinking of alcoholic beverages -- Government policy -- Canada.</t>
  </si>
  <si>
    <t>http://public.eblib.com/choice/PublicFullRecord.aspx?p=3331857</t>
  </si>
  <si>
    <t>Chora 5 : Intervals in the Philosophy of Architecture</t>
  </si>
  <si>
    <t>Archicecture -- History.; Architecture -- Philosophy.</t>
  </si>
  <si>
    <t>http://public.eblib.com/choice/PublicFullRecord.aspx?p=3331858</t>
  </si>
  <si>
    <t>Evolutionary Intuitionism : A Theory of the Origin and Nature of Moral Facts</t>
  </si>
  <si>
    <t>Zamulinski, Brian</t>
  </si>
  <si>
    <t>BJ1311</t>
  </si>
  <si>
    <t>Ethics, Evolutionary.; Morale évolutive.</t>
  </si>
  <si>
    <t>http://public.eblib.com/choice/PublicFullRecord.aspx?p=3331859</t>
  </si>
  <si>
    <t>Fous, Prodigues, Ivrognes : Famille et déviance à Montréal au 19è siecle</t>
  </si>
  <si>
    <t>Nootens, Thierry</t>
  </si>
  <si>
    <t>RC455.4.F3</t>
  </si>
  <si>
    <t>Electronic books. -- local; Families -- Mental health -- Québec (Province) -- Montréal.; Insanity (Law) -- Québec (Province) -- Montréal -- History -- 19th century.</t>
  </si>
  <si>
    <t>http://public.eblib.com/choice/PublicFullRecord.aspx?p=3331860</t>
  </si>
  <si>
    <t>Not Needing all the Words : Michael Ondaatje's Literature of Silence</t>
  </si>
  <si>
    <t>Hillger, Annick</t>
  </si>
  <si>
    <t>PR9199.3.O5</t>
  </si>
  <si>
    <t>Canadian literature -- 20th century -- History and criticism.; Electronic books. -- local; Modernism (Literature) -- Canada.; Ondaatje, Michael, -- 1943- -- Criticism and interpretation.</t>
  </si>
  <si>
    <t>http://public.eblib.com/choice/PublicFullRecord.aspx?p=3331861</t>
  </si>
  <si>
    <t>Legalizing Misandry : From Public Shame to Systematic Discrimination Against Men</t>
  </si>
  <si>
    <t>Nathanson, P; Young, Katherine</t>
  </si>
  <si>
    <t>HQ1090.7.C2 -- N28 2006eb</t>
  </si>
  <si>
    <t>Misandry -- Canada.; Misandry -- United States.; Sex discrimination against men -- Canada.; Sex discrimination against men -- United States.</t>
  </si>
  <si>
    <t>http://public.eblib.com/choice/PublicFullRecord.aspx?p=3331862</t>
  </si>
  <si>
    <t>Lessons on the English Verb : No Expression Without Representation</t>
  </si>
  <si>
    <t>Hirtle, Walter</t>
  </si>
  <si>
    <t>PE1271</t>
  </si>
  <si>
    <t>Electronic books. -- local; English language -- Verb.</t>
  </si>
  <si>
    <t>http://public.eblib.com/choice/PublicFullRecord.aspx?p=3331863</t>
  </si>
  <si>
    <t>Places of Last Resort : The Expansion of the Farm Frontier into the Boreal Forest in Canada, c. 1910-1940</t>
  </si>
  <si>
    <t>Wood, J. David</t>
  </si>
  <si>
    <t>S451.5.A1</t>
  </si>
  <si>
    <t>Agriculturally marginal lands -- Canada -- History -- 20th century.; Agriculturally marginal lands -- Government policy -- Canada.; Clearing of land -- Canada -- History -- 20th century.; Electronic books. -- local; Farmers -- Canada -- History -- 20th century.; Frontier and pioneer life -- Canada.; Land settlement -- Canada.</t>
  </si>
  <si>
    <t>http://public.eblib.com/choice/PublicFullRecord.aspx?p=3331864</t>
  </si>
  <si>
    <t>Woman with Demons : A Life of Kamiya Mieko, 1914-1979</t>
  </si>
  <si>
    <t>Ota, Yuzo</t>
  </si>
  <si>
    <t>RC438.6.K359 -- O73 2006eb</t>
  </si>
  <si>
    <t>616.890092; B</t>
  </si>
  <si>
    <t>Authors, Japanese -- 20th century -- Biography.; Kamiya, Mieko, -- 1914-1979.; Psychiatrists -- Japan -- Biography.; Women psychiatrists -- Japan -- Biography.</t>
  </si>
  <si>
    <t>http://public.eblib.com/choice/PublicFullRecord.aspx?p=3331865</t>
  </si>
  <si>
    <t>Being Arab : Ethnic and Religious Identity Building among Second Generation Youth in Montreal</t>
  </si>
  <si>
    <t>Eid, Paul</t>
  </si>
  <si>
    <t>Arabs -- Québec (Province) -- Montréal -- Ethnic identity.; Arabs -- Québec (Province) -- Montréal -- Religion.; Arabs -- Québec (Province) -- Montréal -- Social conditions.; Group identity -- Québec (Province) -- Montréal.; Jeunesse canadienne d''origine arabe -- Québec (Province) -- Montréal -- Identité ethnique.; Minority youth -- Québec (Province) -- Montréal -- Social conditions.; Youth -- Québec (Province) -- Montréal -- Social conditions.</t>
  </si>
  <si>
    <t>http://public.eblib.com/choice/PublicFullRecord.aspx?p=3331866</t>
  </si>
  <si>
    <t>English Atlantics Revisited : Essays Honouring Ian K. Steele</t>
  </si>
  <si>
    <t>Rhoden, Nancy L.</t>
  </si>
  <si>
    <t>E19 .E54 2007</t>
  </si>
  <si>
    <t>Atlantique Nord, Région de l'' -- Histoire.; Grande-Bretagne -- Colonies -- Amérique -- Histoire.; Great Britain -- Colonies -- America -- History.; North Atlantic Region -- History.</t>
  </si>
  <si>
    <t>http://public.eblib.com/choice/PublicFullRecord.aspx?p=3331867</t>
  </si>
  <si>
    <t>The Blue Mountains and Other Gaelic Stories from Cape Breton : Na Beanntaichean Gorma agus Sgeulachdan Eile à Ceap Breatainn</t>
  </si>
  <si>
    <t>Shaw, John</t>
  </si>
  <si>
    <t>GR113.N8</t>
  </si>
  <si>
    <t>Canadiens d''origine écossaise -- Nouvelle-Écosse -- Cap-Breton, Île du -- Folklore.; Contes -- Nouvelle-Écosse -- Cap-Breton, Île du.; Écossais (Langue) -- Dialectes -- Nouvelle-Écosse -- Cap-Breton, Île du -- Textes.; Scots -- Nova Scotia -- Cape Breton Island -- Folklore.; Scottish Gaelic language -- Dialects -- Nova Scotia -- Cape Breton Island -- Texts.; Storytellers -- Nova Scotia -- Cape Breton Island -- Biography.; Tales -- Nova Scotia -- Cape Breton Island.</t>
  </si>
  <si>
    <t>http://public.eblib.com/choice/PublicFullRecord.aspx?p=3331868</t>
  </si>
  <si>
    <t>The North Atlantic Treaty Organization, 1948-1957 : Community or Alliance?</t>
  </si>
  <si>
    <t>Milloy, John C.</t>
  </si>
  <si>
    <t>UA646.3</t>
  </si>
  <si>
    <t>Electronic books. -- local; International relations.; North Atlantic Treaty Organization -- History -- 20th century.</t>
  </si>
  <si>
    <t>http://public.eblib.com/choice/PublicFullRecord.aspx?p=3331869</t>
  </si>
  <si>
    <t>Thinking about Faith : Speculative Theology</t>
  </si>
  <si>
    <t>Horvath, Tibor</t>
  </si>
  <si>
    <t>BX2200</t>
  </si>
  <si>
    <t>Catholic Church -- Doctrines.; Faith.; Love -- Religious aspects -- Catholic Church.; Sacraments -- Catholic Church.</t>
  </si>
  <si>
    <t>http://public.eblib.com/choice/PublicFullRecord.aspx?p=3331870</t>
  </si>
  <si>
    <t>The Circle of Rights Expands : Modern Political Thought after the Reformation, 1521 (Luther) to 1762 (Rousseau)</t>
  </si>
  <si>
    <t>JA84.E9</t>
  </si>
  <si>
    <t>Human rights -- Economic aspects -- Europe -- History -- 17th century.; Human rights -- Europe -- History -- 17th century.; Human rights -- Europe -- History -- 18th century.; Political science -- Europe -- History -- 17th century.; Political science -- Europe -- History -- 18th century.; Political science -- Philosophy.; Reformation.</t>
  </si>
  <si>
    <t>http://public.eblib.com/choice/PublicFullRecord.aspx?p=3331871</t>
  </si>
  <si>
    <t>Keepers of the Record : The History of the Hudson's Bay Company Archives</t>
  </si>
  <si>
    <t>Simmons, Deidre</t>
  </si>
  <si>
    <t>HD9778.C24</t>
  </si>
  <si>
    <t>Canada -- Histoire -- Fonds d''archives.; Canada -- History -- Archival resources.; Compagnie de la Baie d''Hudson -- Archives -- Histoire.; Compagnie de la Baie d''Hudson -- Documents et correspondance -- Histoire.; Hudson''s Bay Company -- Records and correspondence -- History.; Hudson''s Bay Company Archives -- Histoire.; Hudson''s Bay Company. -- Archives -- History.</t>
  </si>
  <si>
    <t>http://public.eblib.com/choice/PublicFullRecord.aspx?p=3331872</t>
  </si>
  <si>
    <t>Towards a Francophone Community : Canada's Relations with France and French Africa, 1945-1968</t>
  </si>
  <si>
    <t>Gendron, Robin S.</t>
  </si>
  <si>
    <t>Africa, French-speaking -- Foreign relations -- Canada.; Canada -- Foreign relations -- 1945-; Canada -- Foreign relations -- Africa, French-speaking.; Canada -- Foreign relations -- France.; France -- Foreign relations -- 1945-1958.; France -- Foreign relations -- 1958-1969.; France -- Foreign relations -- Canada.</t>
  </si>
  <si>
    <t>http://public.eblib.com/choice/PublicFullRecord.aspx?p=3331873</t>
  </si>
  <si>
    <t>Hummocks : Journeys and Inquiries Among the Canadian Inuit</t>
  </si>
  <si>
    <t>Malaurie, Jean</t>
  </si>
  <si>
    <t>GN673 -- .M35 2007eb</t>
  </si>
  <si>
    <t>Arctic peoples -- Social conditions.; Eskimos -- Social conditions.; Inuit -- Social conditions.</t>
  </si>
  <si>
    <t>http://public.eblib.com/choice/PublicFullRecord.aspx?p=3331874</t>
  </si>
  <si>
    <t>Latinocanadá : A Critical Study of Ten Latin American Writers of Canada</t>
  </si>
  <si>
    <t>Hazelton, Hugh</t>
  </si>
  <si>
    <t>PQ7075</t>
  </si>
  <si>
    <t>Authors, Latin American -- Canada -- Biography.; Canadian literature (Spanish) -- 20th century -- History and criticism.; Canadian literature (Spanish) -- 20th century.; Littérature canadienne -- Auteurs canadiens d''origine latino-américane -- Histoire et critique.; Littérature canadienne (espagnole) -- Histoire et critique.; Littérature canadienne (espagnole) -- Traductions anglaises.; Littérature hispano-américaine -- Histoire et critique.</t>
  </si>
  <si>
    <t>http://public.eblib.com/choice/PublicFullRecord.aspx?p=3331875</t>
  </si>
  <si>
    <t>Bilingual Today, United Tomorrow : Official Languages in Education and Canadian Federalism</t>
  </si>
  <si>
    <t>Hayday, Matthew</t>
  </si>
  <si>
    <t>Education, Bilingual -- Canada.; Langage et éducation -- Politique gouvernementale -- Canada.; Language and education -- Government policy -- Canada.; Language policy -- Canada -- History.; Official Languages in Education Program (Canada); Politique linguistique -- Canada -- Histoire.; Programme des langues officielles dans l''enseignement (Canada)</t>
  </si>
  <si>
    <t>http://public.eblib.com/choice/PublicFullRecord.aspx?p=3331876</t>
  </si>
  <si>
    <t>Networked Operations and Transformation : Context and Canadian Contributions</t>
  </si>
  <si>
    <t>English, Allan; Gimblett, Richard; Coombs, Howard</t>
  </si>
  <si>
    <t>UA10</t>
  </si>
  <si>
    <t>Command and control systems -- Canada.; Command and control systems -- Western countries.; Electronic books. -- local; Military art and science -- Technological innovations.; Western countries -- Armed Forces -- Reorganization.; Western countries -- Armed Forces -- Technological innovations.</t>
  </si>
  <si>
    <t>http://public.eblib.com/choice/PublicFullRecord.aspx?p=3331877</t>
  </si>
  <si>
    <t>Hierarchies of Belonging : National Identity and Political Culture in Scotland and Quebec</t>
  </si>
  <si>
    <t>Henderson, Ailsa</t>
  </si>
  <si>
    <t>JL246.S8</t>
  </si>
  <si>
    <t>Federal government -- Québec (Province); Federal government -- Scotland.; Group identity -- Québec (Province); Nationalism -- Québec (Province); Nationalism -- Scotland.; Political culture -- Québec (Province); Political culture -- Scotland.</t>
  </si>
  <si>
    <t>http://public.eblib.com/choice/PublicFullRecord.aspx?p=3331878</t>
  </si>
  <si>
    <t>Irish Nationalism and the British State : From Repeal to Revolutionary Nationalism</t>
  </si>
  <si>
    <t>DA950</t>
  </si>
  <si>
    <t>Ireland -- Politics and government -- 19th century.; Irlande -- Politique et gouvernement -- 19e siècle.; Nationalism -- Ireland -- History -- 19th century.; Nationalisme -- Irlande -- Histoire -- 19e siècle.</t>
  </si>
  <si>
    <t>http://public.eblib.com/choice/PublicFullRecord.aspx?p=3331879</t>
  </si>
  <si>
    <t>Unlucky to the End : The Story of Janise Marie Gamble</t>
  </si>
  <si>
    <t>HV6535.C33</t>
  </si>
  <si>
    <t>Bank robberies -- Alberta -- Calgary -- History -- 20th century.; Female offenders -- Alberta -- Calgary -- Biography.; Gamble, Janise, -- 1954-1989 -- Procès, instances, etc.; Gamble, Janise, -- 1954-1989 -- Trials, litigation, etc.; Gamble, Janise, -- 1954-1989.; Gamble, Janise, -- 1954-1989.; Police murders -- Alberta -- Calgary -- History -- 20th century.</t>
  </si>
  <si>
    <t>http://public.eblib.com/choice/PublicFullRecord.aspx?p=3331880</t>
  </si>
  <si>
    <t>Commissions High : Canada in London, 1870-1971</t>
  </si>
  <si>
    <t>MacLaren, Roy</t>
  </si>
  <si>
    <t>F1029.5.G7</t>
  </si>
  <si>
    <t>Ambassadors -- Canada.; Canada -- Foreign relations -- Great Britain.; Canada. -- Canadian High Commission (Great Britain) -- History.; Commonwealth (Organization); Diplomatic and consular service, Canadian -- Great Britain -- History.; Great Britain -- Foreign relations -- Canada.; Nationalism -- Canada -- History.</t>
  </si>
  <si>
    <t>http://public.eblib.com/choice/PublicFullRecord.aspx?p=3331881</t>
  </si>
  <si>
    <t>Language in the Mind : An Introduction to Guillaume's Theory</t>
  </si>
  <si>
    <t>P85.G8</t>
  </si>
  <si>
    <t>Cognitive grammar.; Electronic books. -- local; English language -- Grammar -- Theory, etc.; Guillaume, Gustave, -- 1883-1960.; Language and languages -- Philosophy.; Linguistics.</t>
  </si>
  <si>
    <t>http://public.eblib.com/choice/PublicFullRecord.aspx?p=3331882</t>
  </si>
  <si>
    <t>From Drawing to Visual Culture : A History of Art Education in Canada</t>
  </si>
  <si>
    <t>Pearse, Harold</t>
  </si>
  <si>
    <t>N331.C33</t>
  </si>
  <si>
    <t>Art -- Study and teaching -- Canada -- History.; Art -- Study and teaching -- Canada.; Electronic books. -- local</t>
  </si>
  <si>
    <t>http://public.eblib.com/choice/PublicFullRecord.aspx?p=3331883</t>
  </si>
  <si>
    <t>Reconciling France against Democracy : The Croix de Feu and the Parti Social Français, 1927-1945</t>
  </si>
  <si>
    <t>Kennedy, Sean</t>
  </si>
  <si>
    <t>DC389</t>
  </si>
  <si>
    <t>Croix de feu (Organization : France) -- History.; France -- Politics and government -- 1914-1940.; France -- Politics and government -- 1940-1945.; La Rocque, François de, -- 1886-1946.; Parti social français -- History.; Right-wing extremists -- France -- History -- 20th century.</t>
  </si>
  <si>
    <t>http://public.eblib.com/choice/PublicFullRecord.aspx?p=3331884</t>
  </si>
  <si>
    <t>Defining Work : Gender, Professional Work, and the Case of Rural Clergy</t>
  </si>
  <si>
    <t>Mellow, Muriel</t>
  </si>
  <si>
    <t>BV638.7</t>
  </si>
  <si>
    <t>Occupations -- Sociological aspects.; Religion and sociology.; Rural clergy.; Sex role in the work environment.</t>
  </si>
  <si>
    <t>http://public.eblib.com/choice/PublicFullRecord.aspx?p=3331885</t>
  </si>
  <si>
    <t>What's the Import? : Nineteenth-Century Poems and Contemporary Critical Practice</t>
  </si>
  <si>
    <t>PR585.T47</t>
  </si>
  <si>
    <t>Aesthetics.; American poetry -- 19th century -- History and criticism -- Theory, etc.; Criticism.; Critique.; English poetry -- 19th century -- History and criticism -- Theory, etc.; Poésie américaine -- 19e siècle -- Histoire et critique -- Théorie, etc.; Poésie anglaise -- 19e siècle -- Histoire et critique -- Théorie, etc.</t>
  </si>
  <si>
    <t>http://public.eblib.com/choice/PublicFullRecord.aspx?p=3331886</t>
  </si>
  <si>
    <t>Women in British Imperial Airspace : 1922-1937</t>
  </si>
  <si>
    <t>Millward, Liz</t>
  </si>
  <si>
    <t>TL526.G7</t>
  </si>
  <si>
    <t>Aeronautics -- Great Britain -- History -- 20th century.; Aeronautics -- New Zealand -- History -- 20th century.; Women air pilots -- Great Britain -- History -- 20th century.; Women air pilots -- New Zealand -- History -- 20th century.; Women in aeronautics -- Great Britain -- History -- 20th century.; Women in aeronautics -- New Zealand -- History -- 20th century.</t>
  </si>
  <si>
    <t>http://public.eblib.com/choice/PublicFullRecord.aspx?p=3331887</t>
  </si>
  <si>
    <t>Beyond Quebec : Taking Stock of Canada</t>
  </si>
  <si>
    <t>McRoberts, Kenneth</t>
  </si>
  <si>
    <t>Canada -- Civilization -- 1945- -- Congresses.; Canada -- Economic conditions -- 1991- -- Congresses.; Canada -- Politics and government -- 1980- -- Congresses.; Québec (Province) -- History -- Autonomy and independence movements -- Congresses.; Regionalism -- Canada -- Congresses.</t>
  </si>
  <si>
    <t>http://public.eblib.com/choice/PublicFullRecord.aspx?p=3331888</t>
  </si>
  <si>
    <t>Federalism in a Changing World : Learning from Each Other : Scientific Background, Proceedings and Plenary Speeches of the International Conference on Federalism 2002</t>
  </si>
  <si>
    <t>Blindenbacher, Raoul; Koller, Arnold</t>
  </si>
  <si>
    <t>JC355 -- .I58 2002eb</t>
  </si>
  <si>
    <t>Federal government -- Congresses.</t>
  </si>
  <si>
    <t>http://public.eblib.com/choice/PublicFullRecord.aspx?p=3331889</t>
  </si>
  <si>
    <t>C'était du spectacle! : L'histoire des artistes transsexuelles à Montréal, 1955-1985</t>
  </si>
  <si>
    <t>Namaste, Viviane</t>
  </si>
  <si>
    <t>HQ77.95.C2 -- N346 2005eb</t>
  </si>
  <si>
    <t>Female impersonators -- Québec (Province) -- Montréal -- Social conditions.; Music-halls (Variety-theaters, cabarets, etc.) -- Québec (Province) -- Montréal -- History -- 20th century.; Prostitution -- Québec (Province) -- Montréal -- History -- 20th century.; Transsexuals -- Health and hygiene -- Québec (Province) -- Montréal.; Transsexuals -- Legal status, laws, etc. -- Québec (Province) -- Montréal.; Transsexuals -- Québec (Province) -- Montréal -- Social conditions.; Transvestites -- Québec (Province) -- Montréal -- Social conditions.</t>
  </si>
  <si>
    <t>http://public.eblib.com/choice/PublicFullRecord.aspx?p=3331890</t>
  </si>
  <si>
    <t>Palilalia</t>
  </si>
  <si>
    <t>Donaldson, Jeffery</t>
  </si>
  <si>
    <t>PR9199.3.D5518</t>
  </si>
  <si>
    <t>Canadian poetry.; Electronic books. -- local</t>
  </si>
  <si>
    <t>http://public.eblib.com/choice/PublicFullRecord.aspx?p=3331891</t>
  </si>
  <si>
    <t>Mosaic Orpheus</t>
  </si>
  <si>
    <t>Scott, Peter</t>
  </si>
  <si>
    <t>PR9199.3.S364</t>
  </si>
  <si>
    <t>Canadian literature.; Electronic books. -- local; Political poetry.</t>
  </si>
  <si>
    <t>http://public.eblib.com/choice/PublicFullRecord.aspx?p=3331892</t>
  </si>
  <si>
    <t>Double Lives : Writing and Motherhood</t>
  </si>
  <si>
    <t>Cowan, Shannon; Lam, Fiona; Stonehouse, Cathy</t>
  </si>
  <si>
    <t>NX180.M68</t>
  </si>
  <si>
    <t>Children of authors -- Canada.; Electronic books. -- local; Motherhood -- Canada.; Motherhood and the arts -- Canada.</t>
  </si>
  <si>
    <t>http://public.eblib.com/choice/PublicFullRecord.aspx?p=3331893</t>
  </si>
  <si>
    <t>Common Ground : A Priest and a Rabbi Read Scripture Together</t>
  </si>
  <si>
    <t>Greeley, Andrew; Neusner, Jacob</t>
  </si>
  <si>
    <t>BS538</t>
  </si>
  <si>
    <t>Bible -- Criticism, interpretation, etc.; Bible. -- O.T. -- Criticism, interpretation, etc., Jewish.; Electronic books. -- local; Religions.</t>
  </si>
  <si>
    <t>http://public.eblib.com/choice/PublicFullRecord.aspx?p=3331894</t>
  </si>
  <si>
    <t>Psyche</t>
  </si>
  <si>
    <t>Young, Phyllis</t>
  </si>
  <si>
    <t>PS8547.O58</t>
  </si>
  <si>
    <t>Electronic books. -- local; Missing children -- Fiction.; Young, Phyllis Brett.</t>
  </si>
  <si>
    <t>http://public.eblib.com/choice/PublicFullRecord.aspx?p=3331895</t>
  </si>
  <si>
    <t>Dal and Rice</t>
  </si>
  <si>
    <t>Davis, Wendy M.</t>
  </si>
  <si>
    <t>DS481.D364</t>
  </si>
  <si>
    <t>Davis, Godfrey, -- 1890-1968.; Davis, Wendy M. -- (Wendy Marion), -- 1928- -- Childhood and youth.; Davis, Wendy M. -- (Wendy Marion), -- 1928- -- Family.; Electronic books. -- local; India -- Biography.; Judges -- Biography.</t>
  </si>
  <si>
    <t>http://public.eblib.com/choice/PublicFullRecord.aspx?p=3331896</t>
  </si>
  <si>
    <t>Stauffenberg : A Family History, 1905-1944</t>
  </si>
  <si>
    <t>Hoffman, Peter</t>
  </si>
  <si>
    <t>DD247.S342</t>
  </si>
  <si>
    <t>Anti-Nazi movement -- Germany -- Biography.; Electronic books. -- local; Hitler, Adolf, -- 1889-1945 -- Assassination attempt, 1944 (July 20); Revolutionaries -- Germany -- Biography.; Schenk von Stauffenberg, Klaus Philipp, -- Graf, -- 1907-1944 -- Family.; Schenk von Stauffenberg, Klaus Philipp, -- Graf, -- 1907-1944.</t>
  </si>
  <si>
    <t>http://public.eblib.com/choice/PublicFullRecord.aspx?p=3331897</t>
  </si>
  <si>
    <t>Patriots and Profiteers : Economic Warfare, Embargo Busting, and State-Sponsored Crime</t>
  </si>
  <si>
    <t>HF1413.5</t>
  </si>
  <si>
    <t>Economic sanctions.; Electronic books. -- local; International economic relations.; Political corruption.</t>
  </si>
  <si>
    <t>http://public.eblib.com/choice/PublicFullRecord.aspx?p=3331898</t>
  </si>
  <si>
    <t>Mr Charlotte Brontë : The Life of Arthur Bell Nicholls</t>
  </si>
  <si>
    <t>Adamson, Alan H.</t>
  </si>
  <si>
    <t>PR4168</t>
  </si>
  <si>
    <t>Authors'' spouses -- England -- Biography.; Brontë, Charlotte, -- 1816-1855 -- Mariage.; Brontë, Charlotte, -- 1816-1855 -- Marriage.; Écrivains Conjoints -- Angleterre -- Biographies.; Executors and administrators -- England -- Biography.; Nicholls, Arthur Bell, -- 1819-1906.; Nicholls, Arthur Bell, -- 1819-1906.</t>
  </si>
  <si>
    <t>http://public.eblib.com/choice/PublicFullRecord.aspx?p=3331899</t>
  </si>
  <si>
    <t>How Ottawa Spends 2008-2009 : A More Orderly Federalism?</t>
  </si>
  <si>
    <t>Maslove, Allan</t>
  </si>
  <si>
    <t>JL71</t>
  </si>
  <si>
    <t>Canada -- Appropriations and expenditures.; Electronic books. -- local; Political science.</t>
  </si>
  <si>
    <t>http://public.eblib.com/choice/PublicFullRecord.aspx?p=3331900</t>
  </si>
  <si>
    <t>Grenfell of Labrador : A Biography</t>
  </si>
  <si>
    <t>Medicine; History</t>
  </si>
  <si>
    <t>F1137.G75</t>
  </si>
  <si>
    <t>Electronic books. -- local; Grenfell Labrador Medical Mission -- Biography.; Grenfell Labrador Medical Mission -- History.; Grenfell, Wilfred Thomason, -- Sir, -- 1865-1940.; Missionaries, Medical -- Newfoundland and Labrador -- Biography.; Missions, Medical -- Newfoundland and Labrador -- Labrador -- History.; Social reformers -- Newfoundland and Labrador -- Biography.</t>
  </si>
  <si>
    <t>http://public.eblib.com/choice/PublicFullRecord.aspx?p=3331901</t>
  </si>
  <si>
    <t>In the Eye of the Wind : A Travel Memoir of Prewar Japan</t>
  </si>
  <si>
    <t>Baenninger, Ron; Baenninger, Martin</t>
  </si>
  <si>
    <t>DS890.B34</t>
  </si>
  <si>
    <t>Baenninger, Ethel.; Baenninger, Hans.; Canadians -- Japan -- Biography.; Electronic books. -- local; Japan -- History -- 1926-1945.; Swiss -- Japan -- Biography.; World War, 1939-1945 -- Japan.</t>
  </si>
  <si>
    <t>http://public.eblib.com/choice/PublicFullRecord.aspx?p=3331902</t>
  </si>
  <si>
    <t>The World and Darfur : International Response to Crimes Against Humanity in Western Sudan</t>
  </si>
  <si>
    <t>Arts Insights</t>
  </si>
  <si>
    <t>Grzyb, Amanda</t>
  </si>
  <si>
    <t>DT159.6.D27 -- W67 2009eb</t>
  </si>
  <si>
    <t>Conflict management -- Sudan -- Darfur -- International cooperation.; Crimes against humanity -- Sudan -- Darfur.; Genocide -- Sudan -- Darfur -- Prevention -- International cooperation.; Humanitarian intervention -- Sudan -- Darfur.; Sudan -- History -- Darfur Conflict, 2003- -- Civilian relief.; Sudan -- History -- Darfur Conflict, 2003- -- Mass media and the conflict.; United Nations -- Peacekeeping forces -- Sudan -- Darfur.</t>
  </si>
  <si>
    <t>http://public.eblib.com/choice/PublicFullRecord.aspx?p=3331903</t>
  </si>
  <si>
    <t>Doctor to the North : Thirty Years Treating Heart Disease among the Inuit</t>
  </si>
  <si>
    <t>Burgess, John H.</t>
  </si>
  <si>
    <t>R464.B87</t>
  </si>
  <si>
    <t>Burgess, John H., -- 1933-; Cardiologists -- Canada, Northern -- Biography.; Cardiovascular system -- Diseases -- Canada, Northern.; Heart -- Diseases -- Canada, Northern.; Inuit -- Health and hygiene -- Nunavut -- Baffin Region.; Inuit -- Health and hygiene -- Québec (Province) -- Nunavik.; Inuit -- Medical care -- Nunavut -- Baffin Region.</t>
  </si>
  <si>
    <t>http://public.eblib.com/choice/PublicFullRecord.aspx?p=3331904</t>
  </si>
  <si>
    <t>No Easy Fix : Global Responses to Internal Wars and Crimes Against Humanity</t>
  </si>
  <si>
    <t>JZ6369</t>
  </si>
  <si>
    <t>Civil war -- Case studies.; Crimes against humanity -- Case studies.; Crimes contre l''humanité.; Droit d''ingérence humanitaire -- Cas, Études de.; Droit d''ingérence humanitaire.; Guerre civile.; Humanitarian intervention -- Case studies.</t>
  </si>
  <si>
    <t>http://public.eblib.com/choice/PublicFullRecord.aspx?p=3331905</t>
  </si>
  <si>
    <t>Making Witches : Newfoundland Traditions of Spells and Counterspells</t>
  </si>
  <si>
    <t>Rieti, Barbara</t>
  </si>
  <si>
    <t>BF1584.C3</t>
  </si>
  <si>
    <t>Incantations -- Newfoundland and Labrador -- History.; Sorcellerie -- Terre-Neuve-et-Labrador -- Histoire.; Sorcières -- Terre-Neuve-et-Labrador -- Biographies.; Sorcières -- Terre-Neuve-et-Labrador -- Histoire.; Witchcraft -- Newfoundland and Labrador -- History.; Witches -- Newfoundland and Labrador -- Biography.; Witches -- Newfoundland and Labrador -- History.</t>
  </si>
  <si>
    <t>http://public.eblib.com/choice/PublicFullRecord.aspx?p=3331907</t>
  </si>
  <si>
    <t>A Surgeon in the Army of the Potomac</t>
  </si>
  <si>
    <t>Wafer, Francis M.; Wells, Cheryl A.</t>
  </si>
  <si>
    <t>R464.W24</t>
  </si>
  <si>
    <t>Electronic books. -- local; Physicians -- Canada -- Biography.; Surgeons -- Canada -- Biography.; United States -- History -- Civil War, 1861-1865 -- Medical care.; United States -- History -- Civil War, 1861-1865 -- Personal narratives, Canadian.; United States. -- Army -- Surgeons -- Biography.; Wafer, Francis M., -- 1830-1876.</t>
  </si>
  <si>
    <t>http://public.eblib.com/choice/PublicFullRecord.aspx?p=3331908</t>
  </si>
  <si>
    <t>Who Killed the Queen? : The Story of a Community Hospital and How to Fix Public Health Care</t>
  </si>
  <si>
    <t>Dressel, Holly</t>
  </si>
  <si>
    <t>Electronic books. -- local; Hospital closures -- Canada -- Case studies.; Hospital closures -- Canada.; Medical care -- Canada.; Queen Elizabeth Hospital (Montréal, Québec)</t>
  </si>
  <si>
    <t>http://public.eblib.com/choice/PublicFullRecord.aspx?p=3331909</t>
  </si>
  <si>
    <t>J.W. McConnell : Financier, Philanthropist, Patriot</t>
  </si>
  <si>
    <t>HV28.M335</t>
  </si>
  <si>
    <t>Businessmen -- Canada -- Biography.; Capitalists and financiers -- Canada -- Biography.; Directors of corporations -- Canada -- Biography.; Electronic books. -- local; McConnell, J. W. -- (John Wilson), -- 1877-1963.; Montréal (Québec) -- Biography.; Philanthropists -- Canada -- Biography.</t>
  </si>
  <si>
    <t>http://public.eblib.com/choice/PublicFullRecord.aspx?p=3331910</t>
  </si>
  <si>
    <t>The Book of Absolutes : A Critique of Relativism and a Defence of Universals</t>
  </si>
  <si>
    <t>Gairdner, William D.</t>
  </si>
  <si>
    <t>BJ1500.R37</t>
  </si>
  <si>
    <t>Cultural relativism.; Universals (Philosophy)</t>
  </si>
  <si>
    <t>http://public.eblib.com/choice/PublicFullRecord.aspx?p=3331911</t>
  </si>
  <si>
    <t>Mordecai Richler : Leaving St Urbain</t>
  </si>
  <si>
    <t>Kramer, Reinhold</t>
  </si>
  <si>
    <t>PR9199.3.R5</t>
  </si>
  <si>
    <t>Jewish authors -- Canada -- Biography.; Novelists, Canadian -- 20th century -- Biography.; Richler, Mordecai, -- 1931-2001 -- Criticism and interpretation.; Richler, Mordecai, -- 1931-2001 -- Critique et interprétation.; Richler, Mordecai, -- 1931-2001.; Richler, Mordecai, -- 1931-2001.; Romanciers canadiens-anglais -- 20e siècle -- Biographies.</t>
  </si>
  <si>
    <t>http://public.eblib.com/choice/PublicFullRecord.aspx?p=3331912</t>
  </si>
  <si>
    <t>How Peary Reached the Pole : The Personal Story of His Assistant</t>
  </si>
  <si>
    <t>MacMillan, Donald; Kaplan, Susan A. ; Lemoine, Genevieve M.</t>
  </si>
  <si>
    <t>G670 1909</t>
  </si>
  <si>
    <t>Arctic regions -- Discovery and exploration.; Electronic books. -- local; Explorers -- United States -- Biography.; MacMillan, Donald Baxter, -- 1874-1970 -- Travel -- Arctic regions.; North Pole -- Discovery and exploration.; Peary, Robert E. -- (Robert Edwin), -- 1856-1920 -- Travel -- Arctic regions.</t>
  </si>
  <si>
    <t>http://public.eblib.com/choice/PublicFullRecord.aspx?p=3331913</t>
  </si>
  <si>
    <t>Women in Power : The Personalities and Leadership Styles of Indira Gandhi, Golda Meir, and Margaret Thatcher</t>
  </si>
  <si>
    <t>Arts Insights Series</t>
  </si>
  <si>
    <t>D839.5</t>
  </si>
  <si>
    <t>Gandhi, Indira, -- 1917-1984.; Gandhi, Indira, -- 1917-1984.; Meir, Golda, -- 1898-1978.; Meir, Golda, -- 1898-1978.; Thatcher, Margaret.; Thatcher, Margaret.; Women prime ministers -- Biography.</t>
  </si>
  <si>
    <t>http://public.eblib.com/choice/PublicFullRecord.aspx?p=3331914</t>
  </si>
  <si>
    <t>Fred Taylor : Brother in the Shadows</t>
  </si>
  <si>
    <t>Virtue, John</t>
  </si>
  <si>
    <t>N6549.T39</t>
  </si>
  <si>
    <t>Artists -- Canada -- Biography.; Electronic books. -- local; Labor-Progressive Party -- Biography.; Taylor, Frederick Bourchier, -- 1906-1987 -- Family.; Taylor, Frederick Bourchier, -- 1906-1987.</t>
  </si>
  <si>
    <t>http://public.eblib.com/choice/PublicFullRecord.aspx?p=3331915</t>
  </si>
  <si>
    <t>Thomas D'Arcy McGee, Volume 1 : Passion, Reason, and Politics, 1825-1857</t>
  </si>
  <si>
    <t>Wilson, David</t>
  </si>
  <si>
    <t>F1032.M126 -- W55 2008eb</t>
  </si>
  <si>
    <t>Canada -- Politics and government -- 1841-1867.; McGee, Thomas D''Arcy, -- 1825-1868.; Politicians -- Canada -- Biography.</t>
  </si>
  <si>
    <t>http://public.eblib.com/choice/PublicFullRecord.aspx?p=3331916</t>
  </si>
  <si>
    <t>As affecting the fate of my absent husband : Selected Letters of Lady Franklin Concerning the Search for the Lost Franklin Expedition, 1848-1860</t>
  </si>
  <si>
    <t>Franklin, Lady Jane; Elce, Erika Behrisch</t>
  </si>
  <si>
    <t>G662</t>
  </si>
  <si>
    <t>Arctic regions -- Discovery and exploration -- British.; Electronic books. -- local; Explorers'' spouses -- Great Britain -- Correspondence.; Franklin, Jane Griffin, -- Lady, -- 1792-1875 -- Correspondence.; Franklin, John, -- Sir, -- 1786-1847.; Search and rescue operations -- Arctic regions.; Search and rescue operations -- Northwest Territories.</t>
  </si>
  <si>
    <t>http://public.eblib.com/choice/PublicFullRecord.aspx?p=3331917</t>
  </si>
  <si>
    <t>The New Labrador Papers of Captain George Cartwright</t>
  </si>
  <si>
    <t>Cartwright, George; Stopp, Marianne P.</t>
  </si>
  <si>
    <t>F1136</t>
  </si>
  <si>
    <t>Building -- Newfoundland and Labrador -- Labrador -- History -- 18th century.; Cartwright, George, -- 1739-1819 -- Archives.; Cartwright, George, -- 1739-1819.; Frontier and pioneer life -- Newfoundland and Labrador -- Labrador.; Indians of North America -- Commerce -- Newfoundland and Labrador -- Labrador -- History -- 18th century.; Material culture -- Newfoundland and Labrador -- Labrador -- History -- 18th century.; Merchants -- Newfoundland and Labrador -- Labrador -- Biography.</t>
  </si>
  <si>
    <t>http://public.eblib.com/choice/PublicFullRecord.aspx?p=3331918</t>
  </si>
  <si>
    <t>The Blue Banner : The Presbyterian Church of Saint David and Presbyterian Witness in Halifax</t>
  </si>
  <si>
    <t>Cahill, Barry; DeWolfe, Laurence; Alary, Murray</t>
  </si>
  <si>
    <t>BX9215.H28</t>
  </si>
  <si>
    <t>Electronic books. -- local; Presbyterian Church -- Nova Scotia -- Halifax -- History.; Presbyterian Church of Saint David (Halifax, N.S.) -- History.</t>
  </si>
  <si>
    <t>http://public.eblib.com/choice/PublicFullRecord.aspx?p=3331919</t>
  </si>
  <si>
    <t>Leadership in Disaster : Learning for a Future with Global Climate Change</t>
  </si>
  <si>
    <t>Murphy, Raymond</t>
  </si>
  <si>
    <t>QC926.45.C2</t>
  </si>
  <si>
    <t>Climatic changes -- Canada.; Climatic changes -- United States.; Electronic books. -- local; Emergency management -- Planning.; Ice storms -- Canada, Eastern.; Ice storms -- New England.; Leadership.</t>
  </si>
  <si>
    <t>http://public.eblib.com/choice/PublicFullRecord.aspx?p=3331920</t>
  </si>
  <si>
    <t>Rocke Robertson : Surgeon and Shepherd of Change</t>
  </si>
  <si>
    <t>RD27.35.R63</t>
  </si>
  <si>
    <t>McGill University -- History -- 20th century.; McGill University -- Presidents -- Biography.; Montreal General Hospital -- Biography.; Robertson, H. Rocke -- (Harold Rocke), -- 1912-1998.; Surgeons -- Canada -- Biography.; University of British Columbia. -- Faculty of Medicine -- Biography.</t>
  </si>
  <si>
    <t>http://public.eblib.com/choice/PublicFullRecord.aspx?p=3331921</t>
  </si>
  <si>
    <t>The Cultivated Landscape : An Exploration of Art and Agriculture</t>
  </si>
  <si>
    <t>Pearson, Craig; Nasby, Judith</t>
  </si>
  <si>
    <t>N8217.A49</t>
  </si>
  <si>
    <t>Agriculture -- Social aspects -- History.; Agriculture in art.; Art and society.</t>
  </si>
  <si>
    <t>http://public.eblib.com/choice/PublicFullRecord.aspx?p=3331922</t>
  </si>
  <si>
    <t>The Practice of Her Profession : Florence Carlyle, Canadian Painter in the Age of Impressionism</t>
  </si>
  <si>
    <t>McGill-Queen's/Beaverbrook Canadian Foundation Studies in Art History</t>
  </si>
  <si>
    <t>Butlin, Susan</t>
  </si>
  <si>
    <t>ND249.C294</t>
  </si>
  <si>
    <t>Art, Canadian -- 19th century.; Art, Canadian -- 20th century.; Carlyle, Florence, -- 1864-1923.; Electronic books. -- local; Women artists -- Canada -- History.; Women painters -- Canada -- Biography.</t>
  </si>
  <si>
    <t>http://public.eblib.com/choice/PublicFullRecord.aspx?p=3331923</t>
  </si>
  <si>
    <t>The Life and Times of Raúl Prebisch, 1901-1986</t>
  </si>
  <si>
    <t>Dosman, Edgar J.</t>
  </si>
  <si>
    <t>HC172.5.P74</t>
  </si>
  <si>
    <t>Banco Central de la República Argentina -- Biographies.; Banco Central de la República Argentina.; Latin American Institute for Economic and Social Planning -- Biography.; Prebisch, Raúl.; Prebisch, Raúl.; United Nations Conference on Trade and Development.; United Nations. -- Economic Commission for Latin America.</t>
  </si>
  <si>
    <t>http://public.eblib.com/choice/PublicFullRecord.aspx?p=3331924</t>
  </si>
  <si>
    <t>Images of Justice</t>
  </si>
  <si>
    <t>KEN5929.5.C75</t>
  </si>
  <si>
    <t>Electronic books. -- local; Inuit -- Legal status, laws, etc. -- Northwest Territories -- History.; Inuit sculpture -- Northwest Territories.; Justice, Administration of -- Northwest Territories -- History.; Law in art.</t>
  </si>
  <si>
    <t>http://public.eblib.com/choice/PublicFullRecord.aspx?p=3331925</t>
  </si>
  <si>
    <t>The Lansdowne Era : Victoria College, 1946-1963</t>
  </si>
  <si>
    <t>Harvey, Edward</t>
  </si>
  <si>
    <t>LE3.B88</t>
  </si>
  <si>
    <t>Electronic books. -- local; Universities and colleges -- Canada -- History.; Victoria College (B.C.) -- Alumni and alumnae -- Biography.; Victoria College (B.C.) -- Faculty -- Biography.; Victoria College (B.C.) -- History.</t>
  </si>
  <si>
    <t>http://public.eblib.com/choice/PublicFullRecord.aspx?p=3331926</t>
  </si>
  <si>
    <t>The Sum of the Satisfactions : Canada in the Age of National Accounting</t>
  </si>
  <si>
    <t>Canada -- Economic conditions.; Electronic books. -- local; National income -- Canada -- Accounting -- History.</t>
  </si>
  <si>
    <t>http://public.eblib.com/choice/PublicFullRecord.aspx?p=3331927</t>
  </si>
  <si>
    <t>Sir Andrew Macphail : The Life and Legacy of a Canadian Man of Letters</t>
  </si>
  <si>
    <t>Robertson, Ian Ross</t>
  </si>
  <si>
    <t>PN4913.M33</t>
  </si>
  <si>
    <t>Authors, Canadian -- 20th century -- Biography.; College teachers -- Canada -- Biography.; Editors -- Canada -- Biography.; Macphail, Andrew, -- 1864-1938.</t>
  </si>
  <si>
    <t>http://public.eblib.com/choice/PublicFullRecord.aspx?p=3331928</t>
  </si>
  <si>
    <t>A Russian Paints America : The Travels of Pavel P. Svin'in, 1811-1813</t>
  </si>
  <si>
    <t>Svin'in, Pavel P.; Swoboda, Marina; Whisenhunt, William</t>
  </si>
  <si>
    <t>E165</t>
  </si>
  <si>
    <t>Canada -- Description and travel.; Canada -- Pictorial works.; Svinʹin, Pavel Petrovich, -- 1788-1839 -- Travel -- Canada.; Svinʹin, Pavel Petrovich, -- 1788-1839 -- Travel -- United States.; United States -- Description and travel.; United States -- Pictorial works.; Watercolor painting, Russian -- 19th century.</t>
  </si>
  <si>
    <t>http://public.eblib.com/choice/PublicFullRecord.aspx?p=3331929</t>
  </si>
  <si>
    <t>Music in Canada : Capturing Landscape and Diversity</t>
  </si>
  <si>
    <t>Keillor, Elaine</t>
  </si>
  <si>
    <t>ML205</t>
  </si>
  <si>
    <t>Electronic books. -- local; Music -- Canada -- History and criticism.; Music -- History and criticism.</t>
  </si>
  <si>
    <t>http://public.eblib.com/choice/PublicFullRecord.aspx?p=3331930</t>
  </si>
  <si>
    <t>The Modern Dilemma : Wallace Stevens, T.S. Eliot, and Humanism</t>
  </si>
  <si>
    <t>PS3537.T4753</t>
  </si>
  <si>
    <t>Civilization, Western, in literature.; Eliot, T. S. -- (Thomas Stearns), -- 1888-1965 -- Criticism and interpretation.; Eliot, T. S. -- (Thomas Stearns), -- 1888-1965 -- Critique et interprétation.; Humanism in literature.; Poetry, Modern -- 20th century.; Stevens, Wallace, -- 1879-1955 -- Criticism and interpretation.; Stevens, Wallace, -- 1879-1955 -- Critique et interprétation.</t>
  </si>
  <si>
    <t>http://public.eblib.com/choice/PublicFullRecord.aspx?p=3331931</t>
  </si>
  <si>
    <t>Is It Possible To Live This Way? : An Unusual Approach to Christian Existence</t>
  </si>
  <si>
    <t>PS8637.T437 -- W41 2008eb</t>
  </si>
  <si>
    <t>Christian youth -- Religious life.; Faith.; Spiritual life -- Catholic Church.</t>
  </si>
  <si>
    <t>http://public.eblib.com/choice/PublicFullRecord.aspx?p=3331932</t>
  </si>
  <si>
    <t>Firekeepers of the Twenty-First Century : First Nations Women Chiefs</t>
  </si>
  <si>
    <t>Voyageur, Cora</t>
  </si>
  <si>
    <t>E89 .V69 2007</t>
  </si>
  <si>
    <t>Femmes leaders indiennes d''Amérique -- Canada -- Biographies.; Indian leadership -- Canada.; Indian women -- Canada -- Biography.; Indian women civic leaders -- Canada -- Biography.; Indians of North America -- Canada -- Politics and government.; Indiennes d''Amérique -- Canada -- Biographies.; Women -- Canada -- Biography.</t>
  </si>
  <si>
    <t>http://public.eblib.com/choice/PublicFullRecord.aspx?p=3331935</t>
  </si>
  <si>
    <t>The Sixties : Passion, Politics, and Style</t>
  </si>
  <si>
    <t>Anastakis, Dimitry</t>
  </si>
  <si>
    <t>Années soixante (Vingtième siècle); Canada -- Conditions sociales -- 1945-1971.; Canada -- History -- 1945-1963.; Canada -- History -- 1963-; Canada -- Social conditions -- 20th century.; Canada -- Social life and customs -- 1945-; Nineteen sixties.</t>
  </si>
  <si>
    <t>http://public.eblib.com/choice/PublicFullRecord.aspx?p=3331936</t>
  </si>
  <si>
    <t>The Shady Side of Fifty : Age and Old Age in Late Victorian Canada and the United States</t>
  </si>
  <si>
    <t>Dillon, Lisa</t>
  </si>
  <si>
    <t>HQ1064.C2</t>
  </si>
  <si>
    <t>Old age -- Canada -- History -- 19th century.; Old age -- United States -- History -- 19th century.; Older people -- Canada -- Statistics.; Older people -- United States -- Statistics.; Personnes âgées -- Canada -- Statistiques.; Vieillesse -- Canada -- Histoire -- 19e siècle.; Vieillesse -- États-Unis -- Histoire -- 19e siècle.</t>
  </si>
  <si>
    <t>http://public.eblib.com/choice/PublicFullRecord.aspx?p=3331937</t>
  </si>
  <si>
    <t>Gender, Religion, and Modern Hindi Drama</t>
  </si>
  <si>
    <t>Dimitrova, Diana</t>
  </si>
  <si>
    <t>PK2041</t>
  </si>
  <si>
    <t>Electronic books. -- local; Hindi drama -- History and criticism.; Hindu women in literature.; Hinduism in literature.; Theater -- India -- History -- 19th century.; Theater -- India -- History -- 20th century.</t>
  </si>
  <si>
    <t>http://public.eblib.com/choice/PublicFullRecord.aspx?p=3331938</t>
  </si>
  <si>
    <t>Finding Freedom : Hegel's Philosophy and the Emancipation of Women</t>
  </si>
  <si>
    <t>MacDonald, Sara</t>
  </si>
  <si>
    <t>B2948</t>
  </si>
  <si>
    <t>Families -- Philosophy.; Hegel, Georg Wilhelm Friedrich, -- 1770-1831.; Hegel, Georg Wilhelm Friedrich, -- 1770-1831.; Human rights.; Liberty -- Philosophy.; State, The.; Women''s rights.</t>
  </si>
  <si>
    <t>http://public.eblib.com/choice/PublicFullRecord.aspx?p=3331939</t>
  </si>
  <si>
    <t>The Limits of Boundaries : Why City-regions Cannot be Self-governing</t>
  </si>
  <si>
    <t>JS78</t>
  </si>
  <si>
    <t>Metropolitan government.; Municipal government.</t>
  </si>
  <si>
    <t>http://public.eblib.com/choice/PublicFullRecord.aspx?p=3331940</t>
  </si>
  <si>
    <t>Jerusalem on the Amur : Birobidzhan and the Canadian Jewish Communist Movement, 1924-1951</t>
  </si>
  <si>
    <t>Srebrnik, Henry Felix</t>
  </si>
  <si>
    <t>HX104</t>
  </si>
  <si>
    <t>Birobidzhan (Russia) -- History.; Brainin, Reuven, -- 1862-1939.; Canadian Birobidjan Committee.; Communism -- Canada -- History -- 20th century.; Icor.; Jewish communists -- Canada -- History.; Jews -- Canada -- Politics and government -- 20th century.</t>
  </si>
  <si>
    <t>http://public.eblib.com/choice/PublicFullRecord.aspx?p=3331941</t>
  </si>
  <si>
    <t>Lady Landlords of Prince Edward Island : Imperial Dreams and the Defence of Property</t>
  </si>
  <si>
    <t>Bittermann, Rusty; McCallum, Margaret</t>
  </si>
  <si>
    <t>HD319.P75</t>
  </si>
  <si>
    <t>Absentee landlordism -- Prince Edward Island -- History -- 19th century.; Femmes propriétaires fonciers -- Île-du-Prince-Édouard -- Histoire -- 19e siècle.; Gentry -- Great Britain -- History -- 19th century.; Land tenure -- Prince Edward Island -- History -- 19th century.; Landlord and tenant -- Prince Edward Island -- History -- 19th century.; Women landowners -- Prince Edward Island -- Biography.; Women landowners -- Prince Edward Island -- History -- 19th century.</t>
  </si>
  <si>
    <t>http://public.eblib.com/choice/PublicFullRecord.aspx?p=3331942</t>
  </si>
  <si>
    <t>Canada Among Nations, 2007 : What Room for Manoeuvre?</t>
  </si>
  <si>
    <t>Daudelin, Jean; Schwanen, Daniel</t>
  </si>
  <si>
    <t>F1008</t>
  </si>
  <si>
    <t>Canada -- Foreign relations -- 1945-; Canada -- Politics and government -- 1980-; Political science.</t>
  </si>
  <si>
    <t>http://public.eblib.com/choice/PublicFullRecord.aspx?p=3331943</t>
  </si>
  <si>
    <t>Isuma : Inuit Video Art</t>
  </si>
  <si>
    <t>Evans, Michael Robert</t>
  </si>
  <si>
    <t>PN1993.5.C2</t>
  </si>
  <si>
    <t>Igloolik Isuma Productions.; Inuit -- Folklore.; Inuit -- Nunavut -- Igloolik.; Inuit art.; Kunuk, Zacharias.; Oral tradition -- Canada, Northern.; Video art -- Canada, Northern.</t>
  </si>
  <si>
    <t>http://public.eblib.com/choice/PublicFullRecord.aspx?p=3331944</t>
  </si>
  <si>
    <t>Secession and Self : Quebec in Canadian Thought</t>
  </si>
  <si>
    <t>Millard, Gregory</t>
  </si>
  <si>
    <t>Biculturalism -- Canada.; Federal government -- Canada.; Liberalism -- Canada.; National characteristics, Canadian.; Nationalism -- Canada.; Nationalisme -- Canada.; Secession -- Québec (Province)</t>
  </si>
  <si>
    <t>http://public.eblib.com/choice/PublicFullRecord.aspx?p=3331946</t>
  </si>
  <si>
    <t>British Businessmen and Canadian Confederation : Constitution Making in an Era of Anglo-Globalization</t>
  </si>
  <si>
    <t>Smith, Andrew</t>
  </si>
  <si>
    <t>HG5152</t>
  </si>
  <si>
    <t>British North American Association.; Canada -- History -- Confederation, 1867.; Capitalism -- Great Britain -- History -- 19th century.; Electronic books. -- local; Great Britain -- Colonies -- America -- Administration.; Great Britain -- Colonies -- America -- Economic policy.; Investments, British -- Canada -- History -- 19th century.</t>
  </si>
  <si>
    <t>http://public.eblib.com/choice/PublicFullRecord.aspx?p=3331947</t>
  </si>
  <si>
    <t>Innovation, Science, Environment 08/09 : Canadian Policies and Performance, 2008-2009</t>
  </si>
  <si>
    <t>Innovation, Science, Environment Series</t>
  </si>
  <si>
    <t>Toner, Glen</t>
  </si>
  <si>
    <t>GE190.C2</t>
  </si>
  <si>
    <t>Electronic books. -- local; Environmental policy -- Canada -- Evaluation.; Environmental policy -- Canada.; Science and state -- Canada.; Sustainable development -- Government policy -- Canada.; Technological innovations -- Government policy -- Canada.</t>
  </si>
  <si>
    <t>http://public.eblib.com/choice/PublicFullRecord.aspx?p=3331948</t>
  </si>
  <si>
    <t>A Silent Revolution? : Gender and Wealth in English Canada, 1860-1930</t>
  </si>
  <si>
    <t>Baskerville, Peter</t>
  </si>
  <si>
    <t>Marital property -- Canada -- History.; Women -- British Columbia -- Victoria -- Economic conditions -- 19th century -- Case studies.; Women -- British Columbia -- Victoria -- Economic conditions -- 20th century -- Case studies.; Women -- Canada -- Economic conditions -- 19th century.; Women -- Canada -- Economic conditions -- 20th century.; Women -- Employment -- Canada -- History -- 19th century.; Women -- Employment -- Canada -- History -- 20th century.</t>
  </si>
  <si>
    <t>http://public.eblib.com/choice/PublicFullRecord.aspx?p=3331950</t>
  </si>
  <si>
    <t>Transatlantic Subjects : Ideas, Institutions, and Social Experience in Post-Revolutionary British North America</t>
  </si>
  <si>
    <t>Canada -- Civilisation -- Influence britannique.; Canada -- Civilization -- British influences.; Canada -- Conditions sociales -- 1763-1867.; Canada -- Histoire -- 1763-1867 (Régime anglais); Canada -- History -- 1763-1867.; Canada -- Relations -- Great Britain.; Great Britain -- Relations -- Canada.</t>
  </si>
  <si>
    <t>http://public.eblib.com/choice/PublicFullRecord.aspx?p=3331952</t>
  </si>
  <si>
    <t>Seeing Ghosts : 9/11 and the Visual Imagination</t>
  </si>
  <si>
    <t>Engle, Karen</t>
  </si>
  <si>
    <t>HV6432.7</t>
  </si>
  <si>
    <t>Documentary photography -- Political aspects.; Documentary photography -- Social aspects.; Electronic books. -- local; September 11 Terrorist Attacks, 2001 -- Pictorial works.; September 11 Terrorist Attacks, 2001.; Terrorism -- New York (State) -- New York -- Pictorial works.; World Trade Center (New York, N.Y.) -- Pictorial works.</t>
  </si>
  <si>
    <t>http://public.eblib.com/choice/PublicFullRecord.aspx?p=3331953</t>
  </si>
  <si>
    <t>Uniting in Measures of Common Good : The Construction of Liberal Identities in Central Canada</t>
  </si>
  <si>
    <t>Ferry, Darren</t>
  </si>
  <si>
    <t>HN103</t>
  </si>
  <si>
    <t>Associations, institutions, etc. -- Canada, Central -- History -- 19th century.; Canada, Central -- Social conditions -- 19th century.; Common good -- Case studies.; Community organization -- Canada, Central -- History -- 19th century.; Electronic books. -- local; Liberalism -- Canada, Central -- History -- 19th century.; Social change -- Canada, Central -- History -- 19th century.</t>
  </si>
  <si>
    <t>http://public.eblib.com/choice/PublicFullRecord.aspx?p=3331954</t>
  </si>
  <si>
    <t>Waiting for the Wave : The Reform Party and the Conservative Movement</t>
  </si>
  <si>
    <t>Flanagan, Tom</t>
  </si>
  <si>
    <t>JL197.R45</t>
  </si>
  <si>
    <t>Electronic books. -- local; Manning, Preston, -- 1942-; Political parties -- Canada.; Reform Party of Canada.</t>
  </si>
  <si>
    <t>http://public.eblib.com/choice/PublicFullRecord.aspx?p=3331955</t>
  </si>
  <si>
    <t>The Congrégation de Notre-Dame, Superiors, and the Paradox of Power, 1693-1796</t>
  </si>
  <si>
    <t>Gray, Colleen</t>
  </si>
  <si>
    <t>BX4331.2.Z45 -- G73 2007eb</t>
  </si>
  <si>
    <t>271/.97</t>
  </si>
  <si>
    <t>Congregation of Notre-Dame -- History -- 18th century.; Electronic books. -- local; Monastic and religious life of women -- Québec (Province) -- Montréal -- History -- 18th century.; Power (Social sciences); Superiors, Religious -- Québec (Province) -- Montréal -- History -- 18th century.</t>
  </si>
  <si>
    <t>http://public.eblib.com/choice/PublicFullRecord.aspx?p=3331956</t>
  </si>
  <si>
    <t>The Geography of Aging : Preparing Communities for the Surge in Seniors</t>
  </si>
  <si>
    <t>Hodge, Gerald</t>
  </si>
  <si>
    <t>Aging -- Social aspects -- Canada.; Baby boom generation -- Canada.; Barrier-free design for older people -- Canada.; Canada -- Population -- 21st century.; City planning -- Canada.; Electronic books. -- local; Older people -- Services for -- Canada.</t>
  </si>
  <si>
    <t>http://public.eblib.com/choice/PublicFullRecord.aspx?p=3331957</t>
  </si>
  <si>
    <t>The Absolute Violation : Why Torture Must Be Prohibited</t>
  </si>
  <si>
    <t>Matthews, Richard S.</t>
  </si>
  <si>
    <t>HV8593</t>
  </si>
  <si>
    <t>Torture -- Aspect moral.; Torture -- Moral and ethical aspects.; Torture.; Torture.</t>
  </si>
  <si>
    <t>http://public.eblib.com/choice/PublicFullRecord.aspx?p=3331958</t>
  </si>
  <si>
    <t>Trade Barriers to the Public Good : Free Trade and Environmental Protection</t>
  </si>
  <si>
    <t>Michalos, Alex C.</t>
  </si>
  <si>
    <t>KDZ944</t>
  </si>
  <si>
    <t>Canada. -- Treaties, etc. -- (1992 Oct. 7); Dispute resolution (Law) -- Canada.; Ethyl Corporation -- Trials, litigation, etc.; Free trade -- North America.; Interstate commerce -- Environmental aspects -- Canada.; Manganese -- Law and legislation -- Canada.; Motor fuel additives industry -- Law and legislation -- Canada.</t>
  </si>
  <si>
    <t>http://public.eblib.com/choice/PublicFullRecord.aspx?p=3331959</t>
  </si>
  <si>
    <t>Outside Looking In : Viewing First Nations Peoples in Canadian Dramatic Television Series</t>
  </si>
  <si>
    <t>PN1992.8.I64</t>
  </si>
  <si>
    <t>Indians on television.; North of 60 (Television program); Television programs -- Canada -- History.; Television programs -- Social aspects -- Canada.</t>
  </si>
  <si>
    <t>http://public.eblib.com/choice/PublicFullRecord.aspx?p=3331960</t>
  </si>
  <si>
    <t>From Cohen to Carson : The Poet's Novel in Canada</t>
  </si>
  <si>
    <t>Rae, Ian</t>
  </si>
  <si>
    <t>Canadian fiction -- 20th century -- History and criticism.; Literary form.; Narration (Rhetoric); Novelists, Canadian -- 20th century.; Poètes canadiens-anglais -- 20e siècle.; Poets, Canadian -- 20th century.; Roman canadien -- 20e siècle -- Histoire et critique.</t>
  </si>
  <si>
    <t>http://public.eblib.com/choice/PublicFullRecord.aspx?p=3331961</t>
  </si>
  <si>
    <t>Nightclub : Bouncers, Risk, and the Spectacle of Consumption</t>
  </si>
  <si>
    <t>Rigakos, George S.</t>
  </si>
  <si>
    <t>Social Science; Tourism/Hospitality</t>
  </si>
  <si>
    <t>TX911.3.S4</t>
  </si>
  <si>
    <t>Bouncers.; Consumption (Economics) -- Social aspects.; Electronic books. -- local; Nightclubs -- Social aspects.; Private security services.</t>
  </si>
  <si>
    <t>http://public.eblib.com/choice/PublicFullRecord.aspx?p=3331962</t>
  </si>
  <si>
    <t>The Spirit of Industry and Improvement : Liberal Government and Rural-Industrial Society, Nova Scotia, 1790-1862</t>
  </si>
  <si>
    <t>Samson, Daniel</t>
  </si>
  <si>
    <t>HC117.N8 S24 2008</t>
  </si>
  <si>
    <t>Agriculture -- Nova Scotia -- History -- 19th century.; Coal mines and mining -- Nova Scotia -- History -- 19th century.; Industrialization -- Nova Scotia -- History -- 19th century.; Liberalism -- Nova Scotia -- History -- 19th century.; Nova Scotia -- Rural conditions.</t>
  </si>
  <si>
    <t>http://public.eblib.com/choice/PublicFullRecord.aspx?p=3331963</t>
  </si>
  <si>
    <t>Northern Spirits : John Watson, George Grant, and Charles Taylor - Appropriations of Hegelian Political Thought</t>
  </si>
  <si>
    <t>Sibley, Robert C.</t>
  </si>
  <si>
    <t>B982</t>
  </si>
  <si>
    <t>Grant, George Parkin, -- 1918-1988 -- Political and social views.; Grant, George, -- 1918-1988 -- Pensée politique et sociale.; Hegel, Georg Wilhelm Friedrich, -- 1770-1831 -- Political and social views.; Taylor, Charles, -- 1931- -- Pensée politique et sociale.; Taylor, Charles, -- 1931- -- Political and social views.; Watson, John, -- 1847-1939 -- Political and social views.; Watson, John, 1847-1939 -- Pensée politique et sociale.</t>
  </si>
  <si>
    <t>http://public.eblib.com/choice/PublicFullRecord.aspx?p=3331964</t>
  </si>
  <si>
    <t>Divining Margaret Laurence : A Study of Her Complete Writings</t>
  </si>
  <si>
    <t>Stovel, Nora Foster</t>
  </si>
  <si>
    <t>PR9199.3.L33</t>
  </si>
  <si>
    <t>Laurence, Margaret -- Criticism and interpretation.</t>
  </si>
  <si>
    <t>http://public.eblib.com/choice/PublicFullRecord.aspx?p=3331965</t>
  </si>
  <si>
    <t>Compositional Crossroads : Music, McGill, Montreal</t>
  </si>
  <si>
    <t>Stubley, Eleanor V.</t>
  </si>
  <si>
    <t>MT5.M75</t>
  </si>
  <si>
    <t>Composers -- Canada -- 20th century.; Compositeurs -- Canada -- 20e siècle.; McGill University. -- Faculty of Music -- Histoire et critique.; McGill University. -- Faculty of Music -- History.</t>
  </si>
  <si>
    <t>http://public.eblib.com/choice/PublicFullRecord.aspx?p=3331966</t>
  </si>
  <si>
    <t>Kiviuq : An Inuit Hero and His Siberian Cousins</t>
  </si>
  <si>
    <t>Inuit -- Nunavut -- Folklore.; Legends -- Nunavut.; Legends -- Russia (Federation) -- Siberia.; Oral tradition -- Nunavut.; Shamanism -- Nunavut.; Storytelling -- Nunavut.; Superheroes -- Arctic regions.</t>
  </si>
  <si>
    <t>http://public.eblib.com/choice/PublicFullRecord.aspx?p=3331968</t>
  </si>
  <si>
    <t>Tenants in Time : Family Strategies, Land, and Liberalism in Upper Canada, 1799-1871</t>
  </si>
  <si>
    <t>Wilson, Catharine Anne</t>
  </si>
  <si>
    <t>Agriculture -- Ontario -- History -- 19th century.; Farm tenancy -- Economic aspects -- Ontario -- History -- 19th century.; Farm tenancy -- Social aspects -- Ontario -- History -- 19th century.; Land tenure -- Ontario -- History -- 19th century.; Landlord and tenant -- Ontario -- History -- 19th century.; Tenant farmers -- Legal status, laws, etc. -- Ontario -- History -- 19th century.; Tenant farmers -- Ontario -- Social conditions -- 19th century.</t>
  </si>
  <si>
    <t>http://public.eblib.com/choice/PublicFullRecord.aspx?p=3331969</t>
  </si>
  <si>
    <t>Disrobing the Aboriginal Industry : The Deception Behind Indigenous Cultural Preservation</t>
  </si>
  <si>
    <t>Widdowson, Frances; Howard, Albert</t>
  </si>
  <si>
    <t>Canada -- Cultural policy.; Indians of North America -- Canada -- Government relations.; Indians of North America -- Canada -- Social conditions.; Indians of North America -- Government relations -- Canada.</t>
  </si>
  <si>
    <t>http://public.eblib.com/choice/PublicFullRecord.aspx?p=3331970</t>
  </si>
  <si>
    <t>The World in Canada : Diaspora, Demography, and Domestic Politics</t>
  </si>
  <si>
    <t>Carment, David; Bercuson, David</t>
  </si>
  <si>
    <t>HM1271</t>
  </si>
  <si>
    <t>Canada -- Emigration and immigration -- Political aspects.; Canada -- Foreign relations -- 1945-; Canada -- Politics and government -- 21st century.; Electronic books. -- local; Multiculturalism -- Canada.</t>
  </si>
  <si>
    <t>http://public.eblib.com/choice/PublicFullRecord.aspx?p=3331972</t>
  </si>
  <si>
    <t>Making and Moving Knowledge : Interdisciplinary and Community-based Research in a World on the Edge</t>
  </si>
  <si>
    <t>Lutz, John Sutton; Neis, Barbara</t>
  </si>
  <si>
    <t>HM651</t>
  </si>
  <si>
    <t>Interdisciplinarité.; Interdisciplinary approach to knowledge.; Knowledge management.; Knowledge, Sociology of.; Research.; Sociologie de la connaissance.; Traditional ecological knowledge.</t>
  </si>
  <si>
    <t>http://public.eblib.com/choice/PublicFullRecord.aspx?p=3331973</t>
  </si>
  <si>
    <t>Trade and Health : Seeking Common Ground</t>
  </si>
  <si>
    <t>Blouin, Chantal; Heymann, Jody; Drager, Nick</t>
  </si>
  <si>
    <t>Health; Social Science; Business/Management</t>
  </si>
  <si>
    <t>RA410.5</t>
  </si>
  <si>
    <t>Electronic books. -- local; International trade.; Medical economics.; Medical policy -- International cooperation.</t>
  </si>
  <si>
    <t>http://public.eblib.com/choice/PublicFullRecord.aspx?p=3331974</t>
  </si>
  <si>
    <t>Precarious Visualities : New Perspectives on Identification in Contemporary Art and Visual Culture</t>
  </si>
  <si>
    <t>Asselin, Olivier; Lamoureux, Johanne; Ross, Christine</t>
  </si>
  <si>
    <t>NX650.I35</t>
  </si>
  <si>
    <t>Arts -- 20e siècle.; Arts, Modern -- 20th century.; Arts, Modern -- 21st century.; Identité (Psychologie) dans l''art.; Identité (Psychologie) et médias.; Identity (Psychology) and mass media.; Identity (Psychology) in art.</t>
  </si>
  <si>
    <t>http://public.eblib.com/choice/PublicFullRecord.aspx?p=3331975</t>
  </si>
  <si>
    <t>Healing the World's Children : Interdisciplinary Perspectives on Child Health in the Twentieth Century</t>
  </si>
  <si>
    <t>Comacchio, Cynthia; Golden, Janet; Weisz, George</t>
  </si>
  <si>
    <t>RJ101</t>
  </si>
  <si>
    <t>Children -- Health and hygiene.; Electronic books. -- local; Pediatrics.</t>
  </si>
  <si>
    <t>http://public.eblib.com/choice/PublicFullRecord.aspx?p=3331976</t>
  </si>
  <si>
    <t>La somme des satisfactions : Le Canada à l'ère des comptes nationaux</t>
  </si>
  <si>
    <t>http://public.eblib.com/choice/PublicFullRecord.aspx?p=3331977</t>
  </si>
  <si>
    <t>Jesuit Series : Part One, A-D</t>
  </si>
  <si>
    <t>Daly, Peter M.; Dimler, Richard</t>
  </si>
  <si>
    <t>Z1021.3 -- .J4 1997eb</t>
  </si>
  <si>
    <t>Emblem books -- Bibliography.; Emblems -- Bibliography.; Jesuits -- Bibliography.</t>
  </si>
  <si>
    <t>http://public.eblib.com/choice/PublicFullRecord.aspx?p=3331978</t>
  </si>
  <si>
    <t>Changing Canada : Political Economy as Transformation</t>
  </si>
  <si>
    <t>Clement, Wallace; Vosko, Leah F.</t>
  </si>
  <si>
    <t>HB121 A2</t>
  </si>
  <si>
    <t>Canada -- Economic conditions -- 1991-; Canada -- Politics and government -- 1980-; Canada -- Social conditions -- 1991-; Social change -- Canada.</t>
  </si>
  <si>
    <t>http://public.eblib.com/choice/PublicFullRecord.aspx?p=3331979</t>
  </si>
  <si>
    <t>Health Insurance and Canadian Public Policy : The Seven Decisions That Created the Health Insurance System and Their Outcomes</t>
  </si>
  <si>
    <t>Taylor, Malcolm</t>
  </si>
  <si>
    <t>HG9399.C22 -- T39 2009eb</t>
  </si>
  <si>
    <t>368.4/200971</t>
  </si>
  <si>
    <t>Health insurance -- Canada.; Health insurance -- Government policy -- Canada.</t>
  </si>
  <si>
    <t>http://public.eblib.com/choice/PublicFullRecord.aspx?p=3331980</t>
  </si>
  <si>
    <t>Dark Age : The Political Odyssey of Emperor Bokassa</t>
  </si>
  <si>
    <t>Titley, Brian</t>
  </si>
  <si>
    <t>DT546.383.B64</t>
  </si>
  <si>
    <t>Bokassa -- I, -- Emperor of the Central African Empire, -- 1921-1996.; Central African Republic -- Politics and government -- 1966-1979.; Dictators -- Central African Republic -- Biography.; Heads of state -- Central African Republic -- Biography.</t>
  </si>
  <si>
    <t>http://public.eblib.com/choice/PublicFullRecord.aspx?p=3331981</t>
  </si>
  <si>
    <t>Lord Durham's Report : An abridgement of &lt;i&gt;Report on the Affiars of British North America&lt;/i&gt; by Lord Durham</t>
  </si>
  <si>
    <t>Craig, Gerald M.; Ajzenstat, Janet</t>
  </si>
  <si>
    <t>F1032 -- .D966 2007eb</t>
  </si>
  <si>
    <t>Canada -- History -- Rebellion, 1837-1838.; Canada -- Politics and government -- 1837-1838.; Canada -- Politics and government -- 1838-1841.; History.; Québec (Province) -- Politics and government -- 19th century.</t>
  </si>
  <si>
    <t>http://public.eblib.com/choice/PublicFullRecord.aspx?p=3331982</t>
  </si>
  <si>
    <t>Confederation Debates in the Province of Canada, 1865</t>
  </si>
  <si>
    <t>Waite, P.B.</t>
  </si>
  <si>
    <t>JL55</t>
  </si>
  <si>
    <t>Canada -- Politics and government -- 1841-1867 -- Sources.; Constitutional history -- Canada -- Sources.</t>
  </si>
  <si>
    <t>http://public.eblib.com/choice/PublicFullRecord.aspx?p=3331983</t>
  </si>
  <si>
    <t>Refugee Sandwich : Stories of Exile and Asylum</t>
  </si>
  <si>
    <t>Showler, Peter</t>
  </si>
  <si>
    <t>Refugees -- Government policy -- Canada.; Refugees -- Legal status, laws, etc. -- Canada.</t>
  </si>
  <si>
    <t>http://public.eblib.com/choice/PublicFullRecord.aspx?p=3331984</t>
  </si>
  <si>
    <t>Translating Montreal : Episodes in the Life of a Divided City</t>
  </si>
  <si>
    <t>Simon, Sherry</t>
  </si>
  <si>
    <t>P306.8.C2</t>
  </si>
  <si>
    <t>Intercultural communication -- Québec (Province) -- Montréal -- History -- 20th century.; Literature -- Translations -- History and criticism.; Translating and interpreting -- Québec (Province) -- Montréal -- History -- 20th century.</t>
  </si>
  <si>
    <t>http://public.eblib.com/choice/PublicFullRecord.aspx?p=3331985</t>
  </si>
  <si>
    <t>Kingdom of the Mind : How the Scots Helped Make Canada</t>
  </si>
  <si>
    <t>Rider, Peter E.; McNabb, Heather</t>
  </si>
  <si>
    <t>F1035.S4</t>
  </si>
  <si>
    <t>Canada -- History -- Congresses.; Scots -- Canada -- History -- Congresses.</t>
  </si>
  <si>
    <t>http://public.eblib.com/choice/PublicFullRecord.aspx?p=3331986</t>
  </si>
  <si>
    <t>Teeth of Time : Remembering Pierre Elliott Trudeau</t>
  </si>
  <si>
    <t>F1034.3.T7</t>
  </si>
  <si>
    <t>Cook, Ramsay.; Prime ministers -- Canada -- Biography.; Trudeau, Pierre Elliott -- Friends and associates.; Trudeau, Pierre Elliott.</t>
  </si>
  <si>
    <t>http://public.eblib.com/choice/PublicFullRecord.aspx?p=3331987</t>
  </si>
  <si>
    <t>Push! : The Struggle for Midwifery in Ontario</t>
  </si>
  <si>
    <t>Bourgeault, Ivy Lynn</t>
  </si>
  <si>
    <t>Midwifery -- Government policy -- Ontario.; Midwifery -- Ontario -- History.; Midwifery -- Political aspects -- Ontario.; Midwives -- Ontario.</t>
  </si>
  <si>
    <t>http://public.eblib.com/choice/PublicFullRecord.aspx?p=3331988</t>
  </si>
  <si>
    <t>Mental Health and Canadian Society : Historical Perspectives</t>
  </si>
  <si>
    <t>RA790.7.C3</t>
  </si>
  <si>
    <t>Mental illness -- Canada -- History.; Psychiatric hospitals -- Canada -- History.; Psychiatry -- Canada -- History.</t>
  </si>
  <si>
    <t>http://public.eblib.com/choice/PublicFullRecord.aspx?p=3331989</t>
  </si>
  <si>
    <t>SARS in Context : Memory, History, and Policy</t>
  </si>
  <si>
    <t>Duffin, Jacalyn</t>
  </si>
  <si>
    <t>RA644.S17</t>
  </si>
  <si>
    <t>Communicable diseases -- Ontario -- History.; SARS (Disease) -- Ontario -- Epidemiology -- History -- 21st century.</t>
  </si>
  <si>
    <t>http://public.eblib.com/choice/PublicFullRecord.aspx?p=3331990</t>
  </si>
  <si>
    <t>Coyote and Raven Go Canoeing : Coming Home to the Village</t>
  </si>
  <si>
    <t>Cole, Peter</t>
  </si>
  <si>
    <t>E96.2</t>
  </si>
  <si>
    <t>Indian mythology -- Canada.; Indians of North America -- Canada -- Intellectual life.; Indians of North America -- Education -- Canada.; Indigenous peoples -- Education.; Indigenous peoples -- Social conditions.</t>
  </si>
  <si>
    <t>http://public.eblib.com/choice/PublicFullRecord.aspx?p=3331991</t>
  </si>
  <si>
    <t>Churches and Social Order in Nineteenth- and Twentieth-Century Canada</t>
  </si>
  <si>
    <t>Gauvreau, Michael; Hubert, Ollivier</t>
  </si>
  <si>
    <t>BT738</t>
  </si>
  <si>
    <t>Canada -- Church history -- 19th century.; Canada -- Church history -- 20th century.; Christian sociology -- Canada -- History -- 19th century.; Christian sociology -- Canada -- History -- 20th century.</t>
  </si>
  <si>
    <t>http://public.eblib.com/choice/PublicFullRecord.aspx?p=3331992</t>
  </si>
  <si>
    <t>Canada Among Nations, 2006 : Minorities and Priorities</t>
  </si>
  <si>
    <t>Economic assistance, Canadian -- Afghanistan.; Economic assistance, Canadian -- Africa.; Economic assistance, Canadian -- Haiti.; Energy policy -- Canada.; Environmental policy -- Canada.; Humanitarian intervention -- Sudan -- Darfur.; United Nations -- Reform.</t>
  </si>
  <si>
    <t>http://public.eblib.com/choice/PublicFullRecord.aspx?p=3331993</t>
  </si>
  <si>
    <t>Freedom, Equality, Community : The Political Philosophy of Six Influential Canadians</t>
  </si>
  <si>
    <t>Bickerton, James; Gagnon, Alain-G.</t>
  </si>
  <si>
    <t>JC253</t>
  </si>
  <si>
    <t>Canada -- Politics and government -- 20th century.; Liberty -- Philosophy.; Political science -- Canada -- Philosophy.</t>
  </si>
  <si>
    <t>http://public.eblib.com/choice/PublicFullRecord.aspx?p=3331994</t>
  </si>
  <si>
    <t>Imprisoning Our Sisters : The New Federal Women's Prisons in Canada</t>
  </si>
  <si>
    <t>Hayman, Stephanie</t>
  </si>
  <si>
    <t>HV9507</t>
  </si>
  <si>
    <t>Correctional Service Canada. -- Task Force on Federally Sentenced Women.; Reformatories for women -- Canada.; Women prisoners -- Canada.</t>
  </si>
  <si>
    <t>http://public.eblib.com/choice/PublicFullRecord.aspx?p=3331995</t>
  </si>
  <si>
    <t>Social Reproduction : Feminist Political Economy Challenges Neo-Liberalism</t>
  </si>
  <si>
    <t>Bezanson, Kate</t>
  </si>
  <si>
    <t>Feminist economics -- Canada.; Feminist theory -- Canada.; Sex discrimination against women -- Canada.; Women -- Canada -- Economic conditions.; Women -- Canada -- Social conditions.</t>
  </si>
  <si>
    <t>http://public.eblib.com/choice/PublicFullRecord.aspx?p=3331996</t>
  </si>
  <si>
    <t>Parallel Paths : The Development of Nationalism in Ireland and Quebec</t>
  </si>
  <si>
    <t>Ireland -- History -- Autonomy and independence movements.; Nationalism -- Ireland -- History.; Nationalism -- Québec (Province) -- History.; Québec (Province) -- History -- Autonomy and independence movements.</t>
  </si>
  <si>
    <t>http://public.eblib.com/choice/PublicFullRecord.aspx?p=3331997</t>
  </si>
  <si>
    <t>Changing Places : History, Community, and Identity in Northeastern Ontario</t>
  </si>
  <si>
    <t>Abel, Kerry M.</t>
  </si>
  <si>
    <t>HN110.O5</t>
  </si>
  <si>
    <t>Community life -- Ontario -- Iroquois Falls Region.; Iroquois Falls Region (Ont.) -- History.; Iroquois Falls Region (Ont.) -- Social life and customs.</t>
  </si>
  <si>
    <t>http://public.eblib.com/choice/PublicFullRecord.aspx?p=3331998</t>
  </si>
  <si>
    <t>Romance of Transgression in Canada : Queering Sexualities, Nations, Cinemas</t>
  </si>
  <si>
    <t>Waugh, Thomas</t>
  </si>
  <si>
    <t>PN1995.9.H55</t>
  </si>
  <si>
    <t>Gays in motion pictures.; Homosexuality in motion pictures.; Lesbians in motion pictures.; Motion pictures -- Canada -- History and criticism.</t>
  </si>
  <si>
    <t>http://public.eblib.com/choice/PublicFullRecord.aspx?p=3331999</t>
  </si>
  <si>
    <t>Canada in the European Age, 1453-1919, New Edition</t>
  </si>
  <si>
    <t>HC114 -- .N39 2006eb</t>
  </si>
  <si>
    <t>Canada -- Economic conditions -- 19th century.; Canada -- Economic conditions -- To 1763.; Canada -- Foreign economic relations -- Europe.; Canada -- Foreign economic relations -- United States.; Economic history.; Europe -- Foreign economic relations -- Canada.; United States -- Foreign economic relations -- Canada.</t>
  </si>
  <si>
    <t>http://public.eblib.com/choice/PublicFullRecord.aspx?p=3332000</t>
  </si>
  <si>
    <t>October Crisis, 1970 : An Insider’s View</t>
  </si>
  <si>
    <t>Tetley, William</t>
  </si>
  <si>
    <t>FLQ.; Political crimes and offenses -- Québec (Province); Québec (Province) -- History -- Autonomy and independence movements.; Québec (Province) -- History -- October Crisis, 1970.; Tetley, William, -- 1927-</t>
  </si>
  <si>
    <t>http://public.eblib.com/choice/PublicFullRecord.aspx?p=3332001</t>
  </si>
  <si>
    <t>Hollow Tree : Fighting Addiction with Traditional Native Healing</t>
  </si>
  <si>
    <t>Herb, Nabigon</t>
  </si>
  <si>
    <t>Health; History; Social Science</t>
  </si>
  <si>
    <t>Alcoholism -- Treatment -- Canada.; Indians of North America -- Alcohol use -- Canada.; Indians of North America -- Canada -- Biography.; Indians of North America -- Canada -- Rites and ceremonies.; Nabigon, Herb -- Alcohol use.; Spiritual healing.</t>
  </si>
  <si>
    <t>http://public.eblib.com/choice/PublicFullRecord.aspx?p=3332002</t>
  </si>
  <si>
    <t>Journey to Truth is an Experience</t>
  </si>
  <si>
    <t>BX814.C663</t>
  </si>
  <si>
    <t>Bible. -- N.T. -- Criticism, interpretation, etc.; Christian education of young people.; Christian life -- Catholic authors.; Comunione e liberazione.; Jesus Christ -- Teachings.; Presence of God.</t>
  </si>
  <si>
    <t>http://public.eblib.com/choice/PublicFullRecord.aspx?p=3332003</t>
  </si>
  <si>
    <t>Bringing Power to Justice? : The Prospects of the International Criminal Court</t>
  </si>
  <si>
    <t>Harrington, Joanna; Vernon, Richard</t>
  </si>
  <si>
    <t>KZ6311</t>
  </si>
  <si>
    <t>Criminal justice, Administration of.; International Criminal Court -- Congresses.; International Criminal Court.</t>
  </si>
  <si>
    <t>http://public.eblib.com/choice/PublicFullRecord.aspx?p=3332004</t>
  </si>
  <si>
    <t>Invention of Journalism Ethics : The Path to Objectivity and Beyond</t>
  </si>
  <si>
    <t>Ward, Stephen J.A.</t>
  </si>
  <si>
    <t>Philosophy; Journalism</t>
  </si>
  <si>
    <t>PN4756</t>
  </si>
  <si>
    <t>Journalism -- Objectivity.; Journalistic ethics.; Objectivity.</t>
  </si>
  <si>
    <t>http://public.eblib.com/choice/PublicFullRecord.aspx?p=3332005</t>
  </si>
  <si>
    <t>Fight, Flight, or Chill : Subcultures, Youth, and Rave into the Twenty-First Century</t>
  </si>
  <si>
    <t>Wilson, Brian</t>
  </si>
  <si>
    <t>HM646</t>
  </si>
  <si>
    <t>Rave culture -- Ontario.; Youth -- Recreation -- Ontario.</t>
  </si>
  <si>
    <t>http://public.eblib.com/choice/PublicFullRecord.aspx?p=3332006</t>
  </si>
  <si>
    <t>Weakening Philosophy : Essays in Honour of Gianni Vattimo</t>
  </si>
  <si>
    <t>Zabala, Santiago</t>
  </si>
  <si>
    <t>B3654.V384</t>
  </si>
  <si>
    <t>Philosophy.; Vattimo, Gianni, -- 1936-</t>
  </si>
  <si>
    <t>http://public.eblib.com/choice/PublicFullRecord.aspx?p=3332007</t>
  </si>
  <si>
    <t>Radical Gestures : Feminism and Performance Art in North America</t>
  </si>
  <si>
    <t>Wark, Jayne</t>
  </si>
  <si>
    <t>N72.F45</t>
  </si>
  <si>
    <t>Feminism and art -- Canada -- History -- 20th century.; Feminism and art -- United States -- History -- 20th century.; Performance art -- Canada -- History -- 20th century.; Performance art -- United States -- History -- 20th century.; Women performance artists -- Canada.; Women performance artists -- United States.</t>
  </si>
  <si>
    <t>http://public.eblib.com/choice/PublicFullRecord.aspx?p=3332008</t>
  </si>
  <si>
    <t>The History of Canadian Business 1867-1914, New Edition</t>
  </si>
  <si>
    <t>Naylor, R.T.; Phillips, Paul C.</t>
  </si>
  <si>
    <t>HF3226.5 -- .N39 2006eb</t>
  </si>
  <si>
    <t>338.097109/034</t>
  </si>
  <si>
    <t>Canada -- Commerce -- History -- 19th century.; Canada -- Commerce -- History -- 20th century.; Finance -- Canada -- History -- 19th century.; Finance -- Canada -- History -- 20th century.; Industries -- Canada -- History -- 19th century.; Industries -- Canada -- History -- 20th century.</t>
  </si>
  <si>
    <t>http://public.eblib.com/choice/PublicFullRecord.aspx?p=3332009</t>
  </si>
  <si>
    <t>Capitol Idea : Think Tanks and U.S. Foreign Policy</t>
  </si>
  <si>
    <t>E744</t>
  </si>
  <si>
    <t>Political planning -- United States.; Research institutes -- United States -- History.; United States -- Foreign relations.</t>
  </si>
  <si>
    <t>http://public.eblib.com/choice/PublicFullRecord.aspx?p=3332010</t>
  </si>
  <si>
    <t>Encounters with Wild Children : Temptation and Disappointment in the Study of Human Nature</t>
  </si>
  <si>
    <t>Benzaquén, Adriana S.</t>
  </si>
  <si>
    <t>GN372</t>
  </si>
  <si>
    <t>Anthropology.; Feral children.</t>
  </si>
  <si>
    <t>http://public.eblib.com/choice/PublicFullRecord.aspx?p=3332011</t>
  </si>
  <si>
    <t>Innovation, Science, Environment 07/08 : Canadian Policies and Performance, 2007-2008</t>
  </si>
  <si>
    <t>HC120.T4.I56 2007eb</t>
  </si>
  <si>
    <t>Environmental policy -- Canada.; Environmental policy.; Research institutes -- Canada.; Science and state -- Canada.; Science and state.; Technological innovations -- Government policy -- Canada.; Technological innovations -- Government policy.</t>
  </si>
  <si>
    <t>http://public.eblib.com/choice/PublicFullRecord.aspx?p=3332012</t>
  </si>
  <si>
    <t>The Torontonians</t>
  </si>
  <si>
    <t>Young, Phyllis Brett</t>
  </si>
  <si>
    <t>PR9199.3.Y66</t>
  </si>
  <si>
    <t>Feminism -- Fiction.; Toronto (Ont.) -- Fiction.</t>
  </si>
  <si>
    <t>http://public.eblib.com/choice/PublicFullRecord.aspx?p=3332013</t>
  </si>
  <si>
    <t>Projecting Canada : Government Policy and Documentary Film at the National Film Board</t>
  </si>
  <si>
    <t>Druick, Zoë</t>
  </si>
  <si>
    <t>Canada -- Cultural policy.; Documentary films -- Canada -- History and criticism.; Documentary films -- Social aspects -- Canada.; Educational films -- Canada -- History and criticism.; Educational films -- Social aspects -- Canada.; National Film Board of Canada -- History.</t>
  </si>
  <si>
    <t>http://public.eblib.com/choice/PublicFullRecord.aspx?p=3332014</t>
  </si>
  <si>
    <t>Choosing to Labour? : School-Work Transitions and Social Class</t>
  </si>
  <si>
    <t>Lehmann, Wolfgang</t>
  </si>
  <si>
    <t>Education; Economics</t>
  </si>
  <si>
    <t>LC1037.8.C2</t>
  </si>
  <si>
    <t>Apprenticeship programs -- Canada.; Apprenticeship programs -- Germany.; High school students -- Canada -- Economic conditions.; School-to-work transition -- Canada.; School-to-work transition -- Germany.; Vocational guidance -- Canada.; Vocational guidance -- Germany.</t>
  </si>
  <si>
    <t>http://public.eblib.com/choice/PublicFullRecord.aspx?p=3332015</t>
  </si>
  <si>
    <t>Spirit Lives in the Mind : Omushkego Stories, Lives, and Dreams</t>
  </si>
  <si>
    <t>Bird, Louis</t>
  </si>
  <si>
    <t>Cree Indians -- James Bay Region -- Folklore.; Cree Indians -- James Bay Region -- Religion.; Cree philosophy -- James Bay Region.</t>
  </si>
  <si>
    <t>http://public.eblib.com/choice/PublicFullRecord.aspx?p=3332016</t>
  </si>
  <si>
    <t>Emigrant Worlds and Transatlantic Communities : Migration to Upper Canada in the First Half of the Nineteenth Century</t>
  </si>
  <si>
    <t>British -- Kinship -- Ontario -- History -- 19th century.; Families -- Ontario -- History -- 19th century.; Great Britain -- Emigration and immigration -- History -- 19th century.; Immigrants -- Family relationships -- Ontario -- History -- 19th century.; Immigrants -- Ontario -- Biography.; Ontario -- Emigration and immigration -- History -- 19th century.</t>
  </si>
  <si>
    <t>http://public.eblib.com/choice/PublicFullRecord.aspx?p=3332017</t>
  </si>
  <si>
    <t>How Ottawa Spends, 2007-2008 : The Harper Conservatives - Climate of Change</t>
  </si>
  <si>
    <t>Canada -- Appropriations and expenditures.; Canada -- Politics and government.; Government spending policy -- Canada.; Harper, Stephen, -- 1959-</t>
  </si>
  <si>
    <t>http://public.eblib.com/choice/PublicFullRecord.aspx?p=3332018</t>
  </si>
  <si>
    <t>Religion, Family, and Community in Victorian Canada : The Colbys of Carrollcroft</t>
  </si>
  <si>
    <t>BR1643.A1</t>
  </si>
  <si>
    <t>Colby family.; Evangelicalism -- Canada -- History -- 19th century.; Families -- Religious aspects -- Christianity -- Case studies.; Families -- Religious life -- Canada -- Case studies.; Religion and sociology -- Canada -- Case studies.; Stanstead (Québec) -- Biography.</t>
  </si>
  <si>
    <t>http://public.eblib.com/choice/PublicFullRecord.aspx?p=3332019</t>
  </si>
  <si>
    <t>Canadian Founding : John Locke and Parliament</t>
  </si>
  <si>
    <t>Canada -- History -- Confederation, 1867.; Canada -- Politics and government.; Locke, John, -- 1632-1704 -- Influence.; National characteristics, Canadian.; Representative government and representation -- Canada -- History.</t>
  </si>
  <si>
    <t>http://public.eblib.com/choice/PublicFullRecord.aspx?p=3332020</t>
  </si>
  <si>
    <t>Towards North American Monetary Union? : The Politics and History of Canada's Exchange Rate Regime</t>
  </si>
  <si>
    <t>Helleiner, Eric</t>
  </si>
  <si>
    <t>HG3915</t>
  </si>
  <si>
    <t>Foreign exchange -- Canada.; Foreign exchange rates -- Government policy -- Canada.; Monetary unions -- Canada.</t>
  </si>
  <si>
    <t>http://public.eblib.com/choice/PublicFullRecord.aspx?p=3332021</t>
  </si>
  <si>
    <t>Transforming the Nation : Canada and Brian Mulroney</t>
  </si>
  <si>
    <t>Blake, Raymond B.</t>
  </si>
  <si>
    <t>F1034.3.M85</t>
  </si>
  <si>
    <t>Canada -- History -- 1945-; Canada -- Politics and government -- 1980-; Mulroney, Brian, -- 1939-; Prime ministers -- Canada -- Biography.</t>
  </si>
  <si>
    <t>http://public.eblib.com/choice/PublicFullRecord.aspx?p=3332022</t>
  </si>
  <si>
    <t>Working People : An Illustrated History of the Canadian Labour Movement. Fifth Edition</t>
  </si>
  <si>
    <t>Morton, Desmond</t>
  </si>
  <si>
    <t>HD6524 -- .M67 1998eb</t>
  </si>
  <si>
    <t>Labor movement -- Canada -- History.; Labor unions -- Canada -- History.; Working class -- Canada -- History.</t>
  </si>
  <si>
    <t>http://public.eblib.com/choice/PublicFullRecord.aspx?p=3332023</t>
  </si>
  <si>
    <t>Blackness and Modernity : The Colour of Humanity and the Quest for Freedom</t>
  </si>
  <si>
    <t>Foster, Cecil</t>
  </si>
  <si>
    <t>F1035.N3</t>
  </si>
  <si>
    <t>Blacks -- Canada -- Ethnic identity.; Blacks -- Canada -- Social conditions.; Blacks.; Canada -- Race relations.; Multiculturalism -- Canada.</t>
  </si>
  <si>
    <t>http://public.eblib.com/choice/PublicFullRecord.aspx?p=3332024</t>
  </si>
  <si>
    <t>Work in Tumultuous Times : Critical Perspectives</t>
  </si>
  <si>
    <t>Shalla, Vivian</t>
  </si>
  <si>
    <t>HD8106.5</t>
  </si>
  <si>
    <t>Discrimination in employment -- Canada.; Job security -- Canada.; Labor -- Canada.</t>
  </si>
  <si>
    <t>http://public.eblib.com/choice/PublicFullRecord.aspx?p=3332025</t>
  </si>
  <si>
    <t>Fighting Newfoundlander</t>
  </si>
  <si>
    <t>Nicholson, Gerald W.L.</t>
  </si>
  <si>
    <t>UA652.R826</t>
  </si>
  <si>
    <t>Great Britain. -- Army. -- Royal Newfoundland Regiment -- History.; Great Britain. -- Army. -- Royal Newfoundland Regiment -- Medals, badges, decorations, etc.; Great Britain. -- Army. -- Royal Newfoundland Regiment -- Registers.; World War, 1914-1918 -- Regimental histories -- Newfoundland and Labrador.</t>
  </si>
  <si>
    <t>http://public.eblib.com/choice/PublicFullRecord.aspx?p=3332026</t>
  </si>
  <si>
    <t>Coasts Under Stress : Restructuring and Social-Ecological Health</t>
  </si>
  <si>
    <t>HT395.C3</t>
  </si>
  <si>
    <t>Atlantic Coast (Canada); Coastal zone management -- Canada.; Human ecology -- Atlantic Coast (Canada); Human ecology -- British Columbia -- Pacific Coast.; Marine resources conservation -- Canada.; Social ecology -- Atlantic Coast (Canada); Social ecology -- British Columbia -- Pacific Coast.</t>
  </si>
  <si>
    <t>http://public.eblib.com/choice/PublicFullRecord.aspx?p=3332027</t>
  </si>
  <si>
    <t>Beyond Wilderness : The Group of Seven, Canadian Identity, and Contemporary Art</t>
  </si>
  <si>
    <t>O'Brian, John</t>
  </si>
  <si>
    <t>ND1352.C36</t>
  </si>
  <si>
    <t>Canada -- In art.; Group of Seven (Group of artists); Landscape painting, Canadian -- 20th century.; Nationalism and art -- Canada.; Nature in art.</t>
  </si>
  <si>
    <t>http://public.eblib.com/choice/PublicFullRecord.aspx?p=3332028</t>
  </si>
  <si>
    <t>Wet Apples, White Blood</t>
  </si>
  <si>
    <t>Guttman, Naomi</t>
  </si>
  <si>
    <t>PR9199.3.G845</t>
  </si>
  <si>
    <t>Breastfeeding -- Poetry.; Mother and child -- Poetry.</t>
  </si>
  <si>
    <t>http://public.eblib.com/choice/PublicFullRecord.aspx?p=3332029</t>
  </si>
  <si>
    <t>CEO-Speak : The Language of Corporate Leadership</t>
  </si>
  <si>
    <t>Amernic, Joel; Craig, Russell</t>
  </si>
  <si>
    <t>HD30.3</t>
  </si>
  <si>
    <t>Chief executive officers -- Language -- Case studies.; Corporate culture -- Case studies.; Discourse analysis -- Social aspects -- Case studies.</t>
  </si>
  <si>
    <t>http://public.eblib.com/choice/PublicFullRecord.aspx?p=3332030</t>
  </si>
  <si>
    <t>Moving Cultures : Mobile Communication in Everyday Life</t>
  </si>
  <si>
    <t>Caron, André; Caronia, Letizia</t>
  </si>
  <si>
    <t>P94.6 -- .C373 2007eb</t>
  </si>
  <si>
    <t>Communication -- Social aspects.; Communication -- Technological innovations -- Social aspects.; Communication and culture.; Mobile communication systems -- Social aspects.; Technology and youth.</t>
  </si>
  <si>
    <t>http://public.eblib.com/choice/PublicFullRecord.aspx?p=3332031</t>
  </si>
  <si>
    <t>Theatricality of Robert Lepage</t>
  </si>
  <si>
    <t>Dundjerovi?, Aleksandar Saša</t>
  </si>
  <si>
    <t>PN2308.L46</t>
  </si>
  <si>
    <t>Lepage, Robert, -- 1957- -- Criticism and interpretation.; Theater -- Québec (Province) -- History -- 20th century.</t>
  </si>
  <si>
    <t>http://public.eblib.com/choice/PublicFullRecord.aspx?p=3332032</t>
  </si>
  <si>
    <t>Whose Canada? : Continental Integration, Fortress North America, and the Corporate Agenda</t>
  </si>
  <si>
    <t>Grinspun, Ricardo</t>
  </si>
  <si>
    <t>HF3211</t>
  </si>
  <si>
    <t>Canada -- Relations -- United States.; Canada -- Social policy.; Free trade -- Canada.; Free trade -- North America.; National security -- North America.; North America -- Economic integration.; Political planning -- Canada.</t>
  </si>
  <si>
    <t>http://public.eblib.com/choice/PublicFullRecord.aspx?p=3332033</t>
  </si>
  <si>
    <t>Some Family : The Mormons and How Humanity Keeps Track of Itself</t>
  </si>
  <si>
    <t>CS14</t>
  </si>
  <si>
    <t>Church of Jesus Christ of Latter-day Saints. -- Family History Library -- History.; Genealogy -- Religious aspects -- Church of Jesus Christ of Latter-day Saints.; Genealogy -- Religious aspects -- Mormon Church.; Genealogy.</t>
  </si>
  <si>
    <t>http://public.eblib.com/choice/PublicFullRecord.aspx?p=3332035</t>
  </si>
  <si>
    <t>Witch Hunts : From Salem to Guantanamo Bay</t>
  </si>
  <si>
    <t>Civil rights -- History -- Case studies.; Judicial error -- History -- Case studies.; Prisoners -- Abuse of -- History.; Terrorism -- Political aspects -- United States.; Terrorism -- United States -- Prevention.; Trials (Witchcraft) -- History -- Case studies.</t>
  </si>
  <si>
    <t>http://public.eblib.com/choice/PublicFullRecord.aspx?p=3332036</t>
  </si>
  <si>
    <t>Scissors, Paper, Stone : Expressions of Memory in Contemporary Photographic Art</t>
  </si>
  <si>
    <t>Langford, Martha</t>
  </si>
  <si>
    <t>Memory in art.; Photography -- Canada.; Photography, Artistic.</t>
  </si>
  <si>
    <t>http://public.eblib.com/choice/PublicFullRecord.aspx?p=3332037</t>
  </si>
  <si>
    <t>From Revolution to Ethics : May 1968 and Contemporary French Thought</t>
  </si>
  <si>
    <t>Bourg, Julian</t>
  </si>
  <si>
    <t>DC420</t>
  </si>
  <si>
    <t>Feminism -- France -- History -- 20th century.; General Strike, France, 1968.; Philosophy, French -- 20th century.; Postmodernism -- France.; Riots -- France -- Paris.; Social change -- France -- History -- 20th century.; Social ethics -- France -- History -- 20th century.</t>
  </si>
  <si>
    <t>http://public.eblib.com/choice/PublicFullRecord.aspx?p=3332038</t>
  </si>
  <si>
    <t>Urban Enigmas : Montreal, Toronto, and the Problem of Comparing Cities</t>
  </si>
  <si>
    <t>Culture of Cities Series</t>
  </si>
  <si>
    <t>Sloan, Johanne</t>
  </si>
  <si>
    <t>HN110.T6 -- U73 2007eb</t>
  </si>
  <si>
    <t>307.7609713/541</t>
  </si>
  <si>
    <t>Arts and society -- Ontario -- Toronto.; Arts and society -- Québec (Province) -- Montréal.; Cultural pluralism -- Ontario -- Toronto.; Cultural pluralism -- Québec (Province) -- Montréal.; Sociology, Urban -- Ontario -- Toronto.; Sociology, Urban -- Québec (Province) -- Montréal.; Toronto (Ont.) -- Social conditions.</t>
  </si>
  <si>
    <t>http://public.eblib.com/choice/PublicFullRecord.aspx?p=3332039</t>
  </si>
  <si>
    <t>Canadian Water Politics : Conflicts and Institutions</t>
  </si>
  <si>
    <t>Sproule-Jones, Mark; Johns, Carolyn</t>
  </si>
  <si>
    <t>Environmental Studies; Economics; Agriculture; Business/Management</t>
  </si>
  <si>
    <t>HD1696.C2</t>
  </si>
  <si>
    <t>Water -- Canada -- Management.; Water -- Government policy -- Canada.; Water conservation -- Canada.; Water resources development -- Canada.; Water rights -- Canada.; Water use -- Canada.; Water-supply -- Canada.</t>
  </si>
  <si>
    <t>http://public.eblib.com/choice/PublicFullRecord.aspx?p=3332040</t>
  </si>
  <si>
    <t>Tides of Change on Grand Manan Island : Culture and Belonging in a Fishing Community</t>
  </si>
  <si>
    <t>Marshall, Joan</t>
  </si>
  <si>
    <t>HN110.G715</t>
  </si>
  <si>
    <t>Fisheries -- Economic aspects -- New Brunswick -- Grand Manan Island.; Fisheries -- Social aspects -- New Brunswick -- Grand Manan Island.; Grand Manan Island (N.B.) -- Economic conditions.; Grand Manan Island (N.B.) -- Social conditions.; Grand Manan Island (N.B.) -- Social life and customs.; Group identity -- New Brunswick -- Grand Manan Island.</t>
  </si>
  <si>
    <t>http://public.eblib.com/choice/PublicFullRecord.aspx?p=3332041</t>
  </si>
  <si>
    <t>Branding Canada : Projecting Canada's Soft Power through Public Diplomacy</t>
  </si>
  <si>
    <t>Canada -- Foreign relations -- 1945-; Canada -- Relations.; Diplomacy.; Public relations and politics -- Canada -- History.</t>
  </si>
  <si>
    <t>http://public.eblib.com/choice/PublicFullRecord.aspx?p=3332042</t>
  </si>
  <si>
    <t>Missionaires Oblates : Vision et Mission</t>
  </si>
  <si>
    <t>BX4406.Z6</t>
  </si>
  <si>
    <t>Education -- Manitoba -- History.; Education, Bilingual -- Manitoba -- History.; Missionary Oblate Sisters of the Sacred Heart and of Mary Immaculate -- Manitoba -- History.; Nuns as teachers -- Manitoba -- History.</t>
  </si>
  <si>
    <t>http://public.eblib.com/choice/PublicFullRecord.aspx?p=3332043</t>
  </si>
  <si>
    <t>Policing the Banks : Accountability Mechanisms for the Financial Sector</t>
  </si>
  <si>
    <t>van Putten, Maartje</t>
  </si>
  <si>
    <t>HG1725</t>
  </si>
  <si>
    <t>Banks and banking, International.; Investments, Foreign -- Developing countries.; Investments, Foreign -- Environmental aspects.; Investments, Foreign -- Social aspects.; Private banks -- Developing countries.; Social responsibility of business -- Developing countries.</t>
  </si>
  <si>
    <t>http://public.eblib.com/choice/PublicFullRecord.aspx?p=3332044</t>
  </si>
  <si>
    <t>Woman's Songs in Ancient Greece</t>
  </si>
  <si>
    <t>PA3021</t>
  </si>
  <si>
    <t>Femininity in literature.; Greek poetry -- History and criticism.; Greek poetry -- Translations into English.; Lyric poetry.; Oral interpretation of poetry -- History -- To 1500.; Women and literature -- Greece -- History -- To 1500.; Women in literature.</t>
  </si>
  <si>
    <t>http://public.eblib.com/choice/PublicFullRecord.aspx?p=3332045</t>
  </si>
  <si>
    <t>Fenian Problem : Insurgency and Terrorism in a Liberal State, 1858-1874</t>
  </si>
  <si>
    <t>DA954</t>
  </si>
  <si>
    <t>Civil rights -- Great Britain -- History -- 19th century.; Fenians.; Great Britain -- Politics and government -- 1837-1901.; Ireland -- History -- 1837-1901.; Terrorism -- Political aspects -- Great Britain -- History -- 19th century.</t>
  </si>
  <si>
    <t>http://public.eblib.com/choice/PublicFullRecord.aspx?p=3332046</t>
  </si>
  <si>
    <t>Watch that Ends the Night</t>
  </si>
  <si>
    <t>MacLennan, Hugh</t>
  </si>
  <si>
    <t>PR9199.3.M334</t>
  </si>
  <si>
    <t>Bethune, Norman -- Fiction.; Surgeons -- China -- Fiction.</t>
  </si>
  <si>
    <t>http://public.eblib.com/choice/PublicFullRecord.aspx?p=3332047</t>
  </si>
  <si>
    <t>Harper's Team : Behind the Scenes in the Conservative Rise to Power, Second Edition</t>
  </si>
  <si>
    <t>JL197.C56 -- F53 2009eb</t>
  </si>
  <si>
    <t>Canada -- Politics and government -- 1980-; Conservative Party of Canada -- History -- 21st century.; Harper, Stephen, -- 1959-; Political campaigns -- Canada.; Political leadership -- Canada.</t>
  </si>
  <si>
    <t>http://public.eblib.com/choice/PublicFullRecord.aspx?p=3332048</t>
  </si>
  <si>
    <t>Irish Nationalism in Canada</t>
  </si>
  <si>
    <t>F1035.I6</t>
  </si>
  <si>
    <t>Canada -- Emigration and immigration.; Ireland -- Emigration and immigration.; Ireland -- Politics and government -- 19th century.; Ireland -- Politics and government -- 20th century.; Irish -- Canada -- History -- 19th century.; Irish -- Canada -- History -- 20th century.; Nationalism -- Ireland.</t>
  </si>
  <si>
    <t>http://public.eblib.com/choice/PublicFullRecord.aspx?p=3332049</t>
  </si>
  <si>
    <t>Innovation, Science, Environment 1987-2007 : Special Edition: Charting Sustainable Development in Canada, 1987-2007</t>
  </si>
  <si>
    <t>Special</t>
  </si>
  <si>
    <t>Environmental Studies; Political Science</t>
  </si>
  <si>
    <t>GE190</t>
  </si>
  <si>
    <t>Environmental policy -- Canada -- Evaluation.; Science and state -- Canada.; Sustainable development -- Government policy -- Canada.; Technological innovations -- Government policy -- Canada.</t>
  </si>
  <si>
    <t>http://public.eblib.com/choice/PublicFullRecord.aspx?p=3332050</t>
  </si>
  <si>
    <t>Memories, Myths, and Dreams of an Ojibwe Leader</t>
  </si>
  <si>
    <t>Berens, William; Hallowell, A. Irving; Brown, Jennifer</t>
  </si>
  <si>
    <t>E99.C6</t>
  </si>
  <si>
    <t>Berens, William, -- 1866-1947.; Ojibwa Indians -- Folklore.; Ojibwa Indians -- Manitoba -- Berens River Valley -- Biography.; Ojibwa mythology.</t>
  </si>
  <si>
    <t>http://public.eblib.com/choice/PublicFullRecord.aspx?p=3332051</t>
  </si>
  <si>
    <t>Native Peoples and Water Rights : Irrigation, Dams, and the Law in Western Canada</t>
  </si>
  <si>
    <t>Matsui, Kenichi</t>
  </si>
  <si>
    <t>KE7722.W38</t>
  </si>
  <si>
    <t>Agriculture and state -- Canada, Western -- History.; Dams -- Law and legislation -- Canada, Western -- History.; Indians of North America -- British Columbia -- History.; Indians of North America -- Legal status, laws, etc. -- Canada, Western -- History.; Irrigation laws -- Canada, Western -- History.; Water rights -- Alberta -- History.; Water rights -- British Columbia -- History.</t>
  </si>
  <si>
    <t>http://public.eblib.com/choice/PublicFullRecord.aspx?p=3332052</t>
  </si>
  <si>
    <t>No Place for Fairness : Indigenous Land Rights and Policy in the Bear Island Case and Beyond</t>
  </si>
  <si>
    <t>McNab, David T.</t>
  </si>
  <si>
    <t>Indian land transfers -- Ontario.; Indigenous peoples -- Land tenure -- Ontario.; Indigenous peoples -- Ontario -- Claims.; Indigenous peoples -- Ontario -- Government relations.</t>
  </si>
  <si>
    <t>http://public.eblib.com/choice/PublicFullRecord.aspx?p=3332053</t>
  </si>
  <si>
    <t>Inventing Canada : Early Victorian Science and the Idea of a Transcontinental Nation</t>
  </si>
  <si>
    <t>Zeller, Suzanne</t>
  </si>
  <si>
    <t>Q127.C2</t>
  </si>
  <si>
    <t>Nationalism -- Canada -- History.; Science -- Canada -- History.; Science -- Canada -- Societies, etc. -- History.</t>
  </si>
  <si>
    <t>http://public.eblib.com/choice/PublicFullRecord.aspx?p=3332054</t>
  </si>
  <si>
    <t>Documents on the Confederation of British North America</t>
  </si>
  <si>
    <t>Browne, G.P.</t>
  </si>
  <si>
    <t>Canada -- Politics and government -- 1841-1867 -- Sources.; Constitutional history -- Canada.</t>
  </si>
  <si>
    <t>http://public.eblib.com/choice/PublicFullRecord.aspx?p=3332055</t>
  </si>
  <si>
    <t>Canada Among Nations, 2008 : 100 Years of Canadian Foreign Policy</t>
  </si>
  <si>
    <t>Bothwell, Robert</t>
  </si>
  <si>
    <t>F1029</t>
  </si>
  <si>
    <t>Canada -- Foreign relations.; Canada -- History.; Canada -- Politics and government.; National characteristics, Canadian.</t>
  </si>
  <si>
    <t>http://public.eblib.com/choice/PublicFullRecord.aspx?p=3332056</t>
  </si>
  <si>
    <t>Canada Among Nations, 2009-2010 : As Others See Us</t>
  </si>
  <si>
    <t>Canada -- Foreign relations -- 1945-; Canada -- Politics and government -- 1980-; National characteristics, Canadian.</t>
  </si>
  <si>
    <t>http://public.eblib.com/choice/PublicFullRecord.aspx?p=3332057</t>
  </si>
  <si>
    <t>How Ottawa Spends, 2009-2010 : Economic Upheaval and Political Dysfunction</t>
  </si>
  <si>
    <t>Allan, Maslove</t>
  </si>
  <si>
    <t>Canada -- Appropriations and expenditures.; Canada -- Politics and government.; Government spending policy -- Canada.</t>
  </si>
  <si>
    <t>http://public.eblib.com/choice/PublicFullRecord.aspx?p=3332058</t>
  </si>
  <si>
    <t>Identity Captured by Law : Membership in Canada's Indigenous Peoples and Linguistic Minorities</t>
  </si>
  <si>
    <t>Grammond, Sébastien</t>
  </si>
  <si>
    <t>KE4395 G746 2009</t>
  </si>
  <si>
    <t>Human rights -- Canada.; Indians of North America -- Legal status, laws, etc. -- Canada.; Indigenous peoples -- Legal status, laws, etc. -- Canada.; Linguistic minorities -- Legal status, laws, etc. -- Canada.</t>
  </si>
  <si>
    <t>http://public.eblib.com/choice/PublicFullRecord.aspx?p=3332059</t>
  </si>
  <si>
    <t>Second Promised Land : Migration to Alberta and the Transformation of Canadian Society</t>
  </si>
  <si>
    <t>Hiller, Harry H.</t>
  </si>
  <si>
    <t>HB3530 A333 H652 2009</t>
  </si>
  <si>
    <t>Alberta -- Population.; Migration, Internal -- Canada.</t>
  </si>
  <si>
    <t>http://public.eblib.com/choice/PublicFullRecord.aspx?p=3332061</t>
  </si>
  <si>
    <t>What's to Eat? : Entrées in Canadian Food History</t>
  </si>
  <si>
    <t>Cooke, Nathalie</t>
  </si>
  <si>
    <t>TX360 C213 W555 2009</t>
  </si>
  <si>
    <t>Canada -- Social life and customs.; Cooking, Canadian -- History.; Food habits -- Canada -- History.</t>
  </si>
  <si>
    <t>http://public.eblib.com/choice/PublicFullRecord.aspx?p=3332062</t>
  </si>
  <si>
    <t>Quest of the Folk : Antimodernism and Cultural Selection in Twentieth-Century Nova Scotia</t>
  </si>
  <si>
    <t>New Introduction</t>
  </si>
  <si>
    <t>McKay, Ian</t>
  </si>
  <si>
    <t>F1037 -- .M38 2009eb</t>
  </si>
  <si>
    <t>Culture and tourism -- Nova Scotia.; Folklore -- Nova Scotia.; Folklorists -- Nova Scotia.; Nova Scotia -- Social life and customs.; Tourism -- Social aspects -- Nova Scotia.</t>
  </si>
  <si>
    <t>http://public.eblib.com/choice/PublicFullRecord.aspx?p=3332063</t>
  </si>
  <si>
    <t>Adolescent Health : Policy, Science, and Human Rights</t>
  </si>
  <si>
    <t>Boyce, William; Roche, Jennifer</t>
  </si>
  <si>
    <t>RJ103 C3 A347 2009</t>
  </si>
  <si>
    <t>Teenagers -- Health and hygiene -- Canada.; Teenagers -- Health and hygiene -- Government policy -- Canada.; Teenagers -- Health and hygiene -- Research -- Canada.; Youth -- Health and hygiene -- Canada.; Youth -- Health and hygiene -- Government policy -- Canada.; Youth -- Health and hygiene -- Research -- Canada.</t>
  </si>
  <si>
    <t>http://public.eblib.com/choice/PublicFullRecord.aspx?p=3332064</t>
  </si>
  <si>
    <t>Family and Community Life in Northeastern Ontario : The Interwar Years</t>
  </si>
  <si>
    <t>HN110 O59 N766 2009</t>
  </si>
  <si>
    <t>Community life -- Ontario, Northern -- History -- 20th century.; Families -- Ontario, Northern -- History -- 20th century.; Ontario, Northern -- Social life and customs -- 20th century.</t>
  </si>
  <si>
    <t>http://public.eblib.com/choice/PublicFullRecord.aspx?p=3332065</t>
  </si>
  <si>
    <t>Regulating Flexibility : The Political Economy of Employment Standards</t>
  </si>
  <si>
    <t>Thomas, Mark P.</t>
  </si>
  <si>
    <t>KE3247</t>
  </si>
  <si>
    <t>Labor laws and legislation -- Canada.; Labor laws and legislation -- Social aspects -- Canada.; Manpower policy -- Canada.</t>
  </si>
  <si>
    <t>http://public.eblib.com/choice/PublicFullRecord.aspx?p=3332066</t>
  </si>
  <si>
    <t>Foreign Relations in Federal Countries</t>
  </si>
  <si>
    <t>Michelmann, Hans</t>
  </si>
  <si>
    <t>K3201</t>
  </si>
  <si>
    <t>Comparative government.; Federal government.; International relations.</t>
  </si>
  <si>
    <t>http://public.eblib.com/choice/PublicFullRecord.aspx?p=3332067</t>
  </si>
  <si>
    <t>Canadians Under Fire : Infantry Effectiveness in the Second World War</t>
  </si>
  <si>
    <t>Engen, Robert</t>
  </si>
  <si>
    <t>Canada -- History.; Canada. -- Canadian Army -- History -- World War, 1939-1945.; Canada. -- Canadian Army. -- Infantry -- Combat sustainability.; Canada. -- Canadian Army. -- Infantry -- Operational readiness.; Marshall, S. L. A. -- (Samuel Lyman Atwood), -- 1900-1977.</t>
  </si>
  <si>
    <t>http://public.eblib.com/choice/PublicFullRecord.aspx?p=3332068</t>
  </si>
  <si>
    <t>Canadian Pentecostalism : Transition and Transformation</t>
  </si>
  <si>
    <t>Wilkinson, Michael</t>
  </si>
  <si>
    <t>BR1644.5.C3</t>
  </si>
  <si>
    <t>Pentecostalism -- Canada -- History.; Pentecostalism -- Social aspects -- Canada.; Social change -- Religious aspects -- Christianity -- Canada.</t>
  </si>
  <si>
    <t>http://public.eblib.com/choice/PublicFullRecord.aspx?p=3332069</t>
  </si>
  <si>
    <t>Is It Possible To Live This Way? : An Unusual Approach to Christian Existence, Volume 3: Charity</t>
  </si>
  <si>
    <t>BX2350.3 -- .G48133 2009eb</t>
  </si>
  <si>
    <t>Christian youth -- Religious life.; Spiritual life -- Catholic Church.</t>
  </si>
  <si>
    <t>http://public.eblib.com/choice/PublicFullRecord.aspx?p=3332070</t>
  </si>
  <si>
    <t>Rediscovered Self : Indigenous Identity and Cultural Justice</t>
  </si>
  <si>
    <t>Niezen, Ronald</t>
  </si>
  <si>
    <t>Indigenous peoples -- Civil rights.; Indigenous peoples -- Ethnic identity.; Indigenous peoples -- Legal status, laws, etc.; Indigenous peoples -- Politics and government.</t>
  </si>
  <si>
    <t>http://public.eblib.com/choice/PublicFullRecord.aspx?p=3332071</t>
  </si>
  <si>
    <t>Canada's Game : Hockey and Identity</t>
  </si>
  <si>
    <t>Holman, Andrew C.</t>
  </si>
  <si>
    <t>GV848.4 C213 C213 2009</t>
  </si>
  <si>
    <t>Hockey -- Social aspects -- Canada.; Hockey Canada.</t>
  </si>
  <si>
    <t>http://public.eblib.com/choice/PublicFullRecord.aspx?p=3332072</t>
  </si>
  <si>
    <t>I Sing the Body Politic : History as Prophecy in Contemporary American Literature</t>
  </si>
  <si>
    <t>PS169.H5</t>
  </si>
  <si>
    <t>American fiction -- 20th century -- History and criticism.; Literature and history -- United States.; Literature and society -- United States.; Motion pictures -- United States -- History -- 20th century.; Politics and literature -- United States.; United States -- In literature.; United States -- In motion pictures.</t>
  </si>
  <si>
    <t>http://public.eblib.com/choice/PublicFullRecord.aspx?p=3332073</t>
  </si>
  <si>
    <t>Reconciliation(s) : Transitional Justice in Postconflict Societies</t>
  </si>
  <si>
    <t>Quinn, Joanna R.</t>
  </si>
  <si>
    <t>Crimes against humanity.; Human rights.; Justice, Administration of.; Peace-building.; Reconciliation -- Political aspects.; Restorative justice.; Transitional justice.</t>
  </si>
  <si>
    <t>http://public.eblib.com/choice/PublicFullRecord.aspx?p=3332074</t>
  </si>
  <si>
    <t>Do Think Tanks Matter? Assessing the Impact of Public Policy Institutes (2nd Edition)</t>
  </si>
  <si>
    <t>Policy sciences.; Research institutes -- Canada.; Research institutes -- United States.; Research institutes.</t>
  </si>
  <si>
    <t>http://public.eblib.com/choice/PublicFullRecord.aspx?p=3332075</t>
  </si>
  <si>
    <t>Unfulfilled Union : Canadian Federalism and National Unity, Fifth Edition</t>
  </si>
  <si>
    <t>JL27 -- .S73 2009eb</t>
  </si>
  <si>
    <t>Federal government -- Canada.; Political science -- Canada.</t>
  </si>
  <si>
    <t>http://public.eblib.com/choice/PublicFullRecord.aspx?p=3332076</t>
  </si>
  <si>
    <t>An Aristotelian Account of Induction : Creating Something from Nothing</t>
  </si>
  <si>
    <t>Groarke, Louis</t>
  </si>
  <si>
    <t>B491.L8</t>
  </si>
  <si>
    <t>Aristotle.; Induction (Logic)</t>
  </si>
  <si>
    <t>http://public.eblib.com/choice/PublicFullRecord.aspx?p=3332077</t>
  </si>
  <si>
    <t>Weariness of the Self : Diagnosing the History of Depression in the Contemporary Age</t>
  </si>
  <si>
    <t>Ehrenberg, Alain</t>
  </si>
  <si>
    <t>Depression, Mental -- History.; Depression, Mental -- Social aspects.; Social psychiatry.; Social psychology.</t>
  </si>
  <si>
    <t>http://public.eblib.com/choice/PublicFullRecord.aspx?p=3332078</t>
  </si>
  <si>
    <t>Selling Out : Academic Freedom and the Corporate Market</t>
  </si>
  <si>
    <t>Woodhouse, Howard</t>
  </si>
  <si>
    <t>LC72.3.C2</t>
  </si>
  <si>
    <t>Academic freedom -- Canada.; Business and education -- Canada.; Higher education and state -- Canada.; University autonomy -- Canada.</t>
  </si>
  <si>
    <t>http://public.eblib.com/choice/PublicFullRecord.aspx?p=3332079</t>
  </si>
  <si>
    <t>Media, Memory, and the First World War</t>
  </si>
  <si>
    <t>D522.23</t>
  </si>
  <si>
    <t>Literature, Modern -- 20th century -- History and criticism.; Memory -- History.; Motion pictures and literature.; War and literature.; World War, 1914-1918 -- Motion pictures and the war.</t>
  </si>
  <si>
    <t>http://public.eblib.com/choice/PublicFullRecord.aspx?p=3332080</t>
  </si>
  <si>
    <t>Writings of David Thompson, Volume 1 : The Travels, 1850 Version</t>
  </si>
  <si>
    <t>Thompson, David; Moreau, William E.</t>
  </si>
  <si>
    <t>F1060.7.T48</t>
  </si>
  <si>
    <t>Cartographers -- Canada -- Biography.; Explorers -- Canada -- Biography.; Fur traders -- Canada -- Biography.; Hudson''s Bay Company -- History.; North West Company -- History.; Thompson, David, -- 1770-1857 -- Travel -- Canada, Western.; Thompson, David, -- 1770-1857 -- Travel -- Northwest, Pacific.</t>
  </si>
  <si>
    <t>http://public.eblib.com/choice/PublicFullRecord.aspx?p=3332081</t>
  </si>
  <si>
    <t>Tuberculosis Then and Now : Perspectives on the History of an Infectious Disease</t>
  </si>
  <si>
    <t>Condrau, Flurin</t>
  </si>
  <si>
    <t>RC311</t>
  </si>
  <si>
    <t>Tuberculosis -- History.; Tuberculosis.</t>
  </si>
  <si>
    <t>http://public.eblib.com/choice/PublicFullRecord.aspx?p=3332082</t>
  </si>
  <si>
    <t>SARS Unmasked : Risk Communication of Pandemics and Influenza in Canada</t>
  </si>
  <si>
    <t>Tyshenko, Michael G.; Paterson, Cathy</t>
  </si>
  <si>
    <t>RA423.2</t>
  </si>
  <si>
    <t>Communicable diseases -- Risk factors -- Canada.; Health risk communication -- Canada.; SARS (Disease) -- Ontario -- Toronto.; SARS (Disease) -- Risk factors -- Canada.</t>
  </si>
  <si>
    <t>http://public.eblib.com/choice/PublicFullRecord.aspx?p=3332083</t>
  </si>
  <si>
    <t>Achieving Student Success : Effective Student Services in Canadian Higher Education</t>
  </si>
  <si>
    <t>Hardy Cox, Donna; Strange, C. Carney</t>
  </si>
  <si>
    <t>LB2342.94 C3</t>
  </si>
  <si>
    <t>College students -- Services for -- Canada.; Student affairs services -- Canada.; Universities and colleges -- Canada -- Administration.</t>
  </si>
  <si>
    <t>http://public.eblib.com/choice/PublicFullRecord.aspx?p=3332084</t>
  </si>
  <si>
    <t>Inuit Shamanism and Christianity : Transitions and Transformations in the Twentieth Century</t>
  </si>
  <si>
    <t>Laugrand, Frédéric B.</t>
  </si>
  <si>
    <t>E99 E7 L374i 2010</t>
  </si>
  <si>
    <t>Christianity -- Canada, Northern -- History -- 20th century.; Inuit -- Missions.; Inuit -- Religion.; Inuit -- Social life and customs.; Inuit mythology.; Shamanism -- Canada, Northern -- History -- 20th century.</t>
  </si>
  <si>
    <t>http://public.eblib.com/choice/PublicFullRecord.aspx?p=3332085</t>
  </si>
  <si>
    <t>A Political Space : Reading the Global through Clayoquot Sound</t>
  </si>
  <si>
    <t>Magnusson, Warren; Shaw, Karena; Atleo, E Richard ; Chaloupka, William ; Luke, Timothy W</t>
  </si>
  <si>
    <t>JS1734.C53 -- P65 2003eb</t>
  </si>
  <si>
    <t>Clayoquot Sound Region (B.C.) -- Politics and government.; Environmental policy -- British Columbia -- Clayoquot Sound Region.; Environmental policy -- Case studies.; Politics, Practical -- Case studies.</t>
  </si>
  <si>
    <t>http://public.eblib.com/choice/PublicFullRecord.aspx?p=3332086</t>
  </si>
  <si>
    <t>General Consent in Jane Austen : A Study of Dialogism</t>
  </si>
  <si>
    <t>Seeber, Barbara K.</t>
  </si>
  <si>
    <t>PR4037</t>
  </si>
  <si>
    <t>Austen, Jane, -- 1775-1817 -- Political and social views.; Consensus (Social sciences) in literature.; Dialogism (Literary analysis)</t>
  </si>
  <si>
    <t>http://public.eblib.com/choice/PublicFullRecord.aspx?p=3332087</t>
  </si>
  <si>
    <t>Innovation, Science, Environment 06/07 : Canadian Policies and Performance, 2006-2007</t>
  </si>
  <si>
    <t>Political Science; Environmental Studies</t>
  </si>
  <si>
    <t>GE190.C2.I55 2006eb</t>
  </si>
  <si>
    <t>http://public.eblib.com/choice/PublicFullRecord.aspx?p=3332088</t>
  </si>
  <si>
    <t>How Ottawa Spends, 2006-2007 : In From the Cold: The Tory Rise and the Liberal Demise</t>
  </si>
  <si>
    <t>G. Bruce, Doern</t>
  </si>
  <si>
    <t>HJ7664 H74 2006</t>
  </si>
  <si>
    <t>http://public.eblib.com/choice/PublicFullRecord.aspx?p=3332089</t>
  </si>
  <si>
    <t>Archaeology of Bruce Trigger : Theoretical Empiricism</t>
  </si>
  <si>
    <t>Williamson, Ronald F.; Bisson, Michael S.</t>
  </si>
  <si>
    <t>CC115.T74</t>
  </si>
  <si>
    <t>Archaeology.; Trigger, Bruce G.; Trigger, Bruce G. -- Influence.</t>
  </si>
  <si>
    <t>http://public.eblib.com/choice/PublicFullRecord.aspx?p=3332090</t>
  </si>
  <si>
    <t>Staples and Beyond : Selected Writings of Mel Watkins</t>
  </si>
  <si>
    <t>Watkins, Mel; Grant, Hugh Thomas</t>
  </si>
  <si>
    <t>HC115 W335n 2006</t>
  </si>
  <si>
    <t>Canada -- Economic conditions.; Canada -- Economic policy -- 1945-; Canada -- Politics and government.; Economics -- Canada.</t>
  </si>
  <si>
    <t>http://public.eblib.com/choice/PublicFullRecord.aspx?p=3332091</t>
  </si>
  <si>
    <t>Strategic Cousins : Australian and Canadian Expeditionary Forces and the British and American Empires</t>
  </si>
  <si>
    <t>Blaxland, John C.</t>
  </si>
  <si>
    <t>Australia -- Armed Forces -- Foreign countries -- History.; Australia -- Foreign relations.; Canada -- Armed Forces -- Foreign countries -- History.; Great Britain -- Foreign relations -- 20th century.; Great Britain -- Military policy.; United States -- Foreign relations -- 20th century.; United States -- Military policy.</t>
  </si>
  <si>
    <t>http://public.eblib.com/choice/PublicFullRecord.aspx?p=3332092</t>
  </si>
  <si>
    <t>Vie et mort du couple en Nouvelle-France : Québec et Louisbourg au XVIIIe siècle</t>
  </si>
  <si>
    <t>Brun, Josette</t>
  </si>
  <si>
    <t>HQ560.15.Q4</t>
  </si>
  <si>
    <t>Domestic relations -- Canada -- History -- 18th century.; Man-woman relationships -- Canada -- History -- 18th century.; Married people -- Nova Scotia -- Louisbourg -- History -- 18th century.; Married people -- Québec (Province) -- Québec -- History -- 18th century.; Widowhood -- Nova Scotia -- Louisbourg -- History -- 18th century.; Widowhood -- Québec (Province) -- Québec -- History -- 18th century.</t>
  </si>
  <si>
    <t>http://public.eblib.com/choice/PublicFullRecord.aspx?p=3332093</t>
  </si>
  <si>
    <t>Building Jewish Roots : The Israel Experience</t>
  </si>
  <si>
    <t>Shapiro, Faydra L.</t>
  </si>
  <si>
    <t>HQ799.7</t>
  </si>
  <si>
    <t>Israel and the diaspora.; Jewish youth -- Education -- Israel.; Jews -- Canada -- Identity.; Jews -- United States -- Identity.; Livnot U''Lehibanot (program)</t>
  </si>
  <si>
    <t>http://public.eblib.com/choice/PublicFullRecord.aspx?p=3332094</t>
  </si>
  <si>
    <t>Sonic Experience : A Guide to Everyday Sounds</t>
  </si>
  <si>
    <t>Augoyard, Jean-François; Torgue, Henri</t>
  </si>
  <si>
    <t>BF353.5 .N65</t>
  </si>
  <si>
    <t>Sound -- Psychological aspects.; Sound.</t>
  </si>
  <si>
    <t>http://public.eblib.com/choice/PublicFullRecord.aspx?p=3332095</t>
  </si>
  <si>
    <t>Frontiers and Sanctuaries : A Woman's Life in Holland and Canada</t>
  </si>
  <si>
    <t>Brandis, Marianne</t>
  </si>
  <si>
    <t>PR9199.3.B6895</t>
  </si>
  <si>
    <t>Brender à Brandis, Madzy, -- 1910-1984.; Immigrants -- Canada -- Biography.</t>
  </si>
  <si>
    <t>http://public.eblib.com/choice/PublicFullRecord.aspx?p=3332096</t>
  </si>
  <si>
    <t>Forgotten Labrador : Kegashka to Blanc-Sablon</t>
  </si>
  <si>
    <t>Belvin, Cleophas</t>
  </si>
  <si>
    <t>Fisheries -- Newfoundland and Labrador -- History.; Newfoundland and Labrador -- History.</t>
  </si>
  <si>
    <t>http://public.eblib.com/choice/PublicFullRecord.aspx?p=3332097</t>
  </si>
  <si>
    <t>As One Who Serves : The Making of the University of Regina</t>
  </si>
  <si>
    <t>Pitsula, James M.</t>
  </si>
  <si>
    <t>LE3.R44</t>
  </si>
  <si>
    <t>Nineteen sixties.; Regina (Sask.) -- Social conditions -- 20th century.; Saskatchewan -- Social conditions -- 1945-1991.; University of Regina -- History.</t>
  </si>
  <si>
    <t>http://public.eblib.com/choice/PublicFullRecord.aspx?p=3332098</t>
  </si>
  <si>
    <t>Vikings to U-Boats : The German Experience in Newfoundland and Labrador</t>
  </si>
  <si>
    <t>Bassler, Gerhard P.</t>
  </si>
  <si>
    <t>F1125.G3</t>
  </si>
  <si>
    <t>Germans -- Newfoundland and Labrador -- History.; Newfoundland and Labrador -- History.</t>
  </si>
  <si>
    <t>http://public.eblib.com/choice/PublicFullRecord.aspx?p=3332099</t>
  </si>
  <si>
    <t>Political Ecumenism : Catholics, Jews, and Protestants in De Gaulle’s Free France, 1940-1945</t>
  </si>
  <si>
    <t>DC397 -- .A33 2006eb</t>
  </si>
  <si>
    <t>France -- Politics and government -- 1940-1945.; Religion and politics -- France -- History -- 20th century.</t>
  </si>
  <si>
    <t>http://public.eblib.com/choice/PublicFullRecord.aspx?p=3332100</t>
  </si>
  <si>
    <t>Canada's Victorian Oil Town : The Transformation of Petrolia from Resource Town into a Victorian Community</t>
  </si>
  <si>
    <t>Burr, Christina</t>
  </si>
  <si>
    <t>F1059.5.P43</t>
  </si>
  <si>
    <t>Community life -- Ontario -- Petrolia -- History.; Group identity -- Ontario -- Petrolia -- History.; Petroleum industry and trade -- Social aspects -- Ontario -- Petrolia -- History.; Petrolia (Ont.) -- History.</t>
  </si>
  <si>
    <t>http://public.eblib.com/choice/PublicFullRecord.aspx?p=3332101</t>
  </si>
  <si>
    <t>Persuasion and Propaganda : Monuments and the Eighteenth-Century British Empire</t>
  </si>
  <si>
    <t>Coutu, Joan</t>
  </si>
  <si>
    <t>DA16</t>
  </si>
  <si>
    <t>Great Britain -- History.; Monuments -- Colonies -- Great Britain -- History -- 18th century.</t>
  </si>
  <si>
    <t>http://public.eblib.com/choice/PublicFullRecord.aspx?p=3332102</t>
  </si>
  <si>
    <t>Violence and the Female Imagination : Quebec's Women Writers Re-frame Gender in North American Cultures</t>
  </si>
  <si>
    <t>Gilbert, Paula Ruth</t>
  </si>
  <si>
    <t>PS8089 G55 2006</t>
  </si>
  <si>
    <t>French-Canadian fiction -- Québec (Province) -- History and criticism.; French-Canadian fiction -- Women authors -- History and criticism.; Sex role in literature.; Violence in literature.; Violence in women -- North America.; Women in literature.</t>
  </si>
  <si>
    <t>http://public.eblib.com/choice/PublicFullRecord.aspx?p=3332103</t>
  </si>
  <si>
    <t>Atlas of Congenital Cardiac Disease : New Edition</t>
  </si>
  <si>
    <t>Abbott, Maude E.; Fraser, Richard S.</t>
  </si>
  <si>
    <t>RC683</t>
  </si>
  <si>
    <t>Congenital heart disease -- Atlases.; Heart -- Abnormalities.</t>
  </si>
  <si>
    <t>http://public.eblib.com/choice/PublicFullRecord.aspx?p=3332104</t>
  </si>
  <si>
    <t>Canadian Bilingual Districts : From Cornerstone to Tombstone</t>
  </si>
  <si>
    <t>Bourgeois, Daniel</t>
  </si>
  <si>
    <t>Communication policy -- Canada -- History.; Language policy -- Canada -- History.</t>
  </si>
  <si>
    <t>http://public.eblib.com/choice/PublicFullRecord.aspx?p=3332105</t>
  </si>
  <si>
    <t>Reason and Self-Enactment in History and Politics : Themes and Voices of Modernity</t>
  </si>
  <si>
    <t>Barnard, F. M.</t>
  </si>
  <si>
    <t>History -- Philosophy.; Political science -- Philosophy.</t>
  </si>
  <si>
    <t>http://public.eblib.com/choice/PublicFullRecord.aspx?p=3332106</t>
  </si>
  <si>
    <t>Greater Glory : Thirty-Seven Years with the Jesuits</t>
  </si>
  <si>
    <t>Casey, Stephen</t>
  </si>
  <si>
    <t>BX4668.3.C38</t>
  </si>
  <si>
    <t>Casey, Stephen.; Jesuits -- Canada -- Biography.; Religious communities -- Canada -- History.</t>
  </si>
  <si>
    <t>http://public.eblib.com/choice/PublicFullRecord.aspx?p=3332107</t>
  </si>
  <si>
    <t>Diagnosing Genius : The Life and Death of Beethoven</t>
  </si>
  <si>
    <t>Mai, François Martin</t>
  </si>
  <si>
    <t>ML410.B4</t>
  </si>
  <si>
    <t>Beethoven, Ludwig van, -- 1770-1827 -- Death and burial.; Beethoven, Ludwig van, -- 1770-1827 -- Health.; Genius and mental illness.</t>
  </si>
  <si>
    <t>http://public.eblib.com/choice/PublicFullRecord.aspx?p=3332108</t>
  </si>
  <si>
    <t>Proximity, Levinas, and the Soul of Law</t>
  </si>
  <si>
    <t>Manderson, Desmond</t>
  </si>
  <si>
    <t>Law; Philosophy</t>
  </si>
  <si>
    <t>BJ55</t>
  </si>
  <si>
    <t>Law and ethics.; Lévinas, Emmanuel -- Ethics.; Negligence.; Torts.</t>
  </si>
  <si>
    <t>http://public.eblib.com/choice/PublicFullRecord.aspx?p=3332109</t>
  </si>
  <si>
    <t>Return of Caribou to Ungava</t>
  </si>
  <si>
    <t>Bergerud, A. T.; Luttich, Stuart N. ; Camps, Lodewijk</t>
  </si>
  <si>
    <t>QL737.U55</t>
  </si>
  <si>
    <t>Caribou -- Newfoundland and Labrador -- Labrador.; Caribou -- Québec (Province) -- George River Region.</t>
  </si>
  <si>
    <t>http://public.eblib.com/choice/PublicFullRecord.aspx?p=3332110</t>
  </si>
  <si>
    <t>Seduced by Modernity : The Photography of Margaret Watkins</t>
  </si>
  <si>
    <t>O'Connor, Mary; Tweedie, Katherine</t>
  </si>
  <si>
    <t>TR140 W37O36 2007</t>
  </si>
  <si>
    <t>Photography, Artistic -- History and criticism.; Watkins, Margaret, -- 1884-1969 -- Criticism and interpretation.; Watkins, Margaret, -- 1884-1969.; Women photographers -- Canada -- Biography.</t>
  </si>
  <si>
    <t>http://public.eblib.com/choice/PublicFullRecord.aspx?p=3332111</t>
  </si>
  <si>
    <t>Lyndhurst : Canada's First Rehabilitation Centre for People with Spinal Cord Injuries, 1945-1998</t>
  </si>
  <si>
    <t>Reaume, Geoffrey</t>
  </si>
  <si>
    <t>RA645.S66</t>
  </si>
  <si>
    <t>Lyndhurst Lodge (Toronto, Ont.) -- History.; Spinal cord -- Wounds and injuries -- Patients -- Ontario -- Biography.; Spinal cord -- Wounds and injuries -- Patients -- Rehabilitation -- Canada -- History.</t>
  </si>
  <si>
    <t>http://public.eblib.com/choice/PublicFullRecord.aspx?p=3332112</t>
  </si>
  <si>
    <t>Britannia’s Palette : The Arts of Naval Victory</t>
  </si>
  <si>
    <t>Tracy, Nicholas</t>
  </si>
  <si>
    <t>ND1373.G74</t>
  </si>
  <si>
    <t>First Coalition, War of the, 1792-1797 -- Art and the war.; Great Britain. -- Royal Navy -- In art.; Marine painting, British -- 18th century.; Marine painting, British -- 19th century.; Napoleonic Wars, 1800-1815 -- Art and the wars.; Naval battles in art.; Second Coalition, War of the, 1798-1801 -- Art and the war.</t>
  </si>
  <si>
    <t>http://public.eblib.com/choice/PublicFullRecord.aspx?p=3332113</t>
  </si>
  <si>
    <t>Chinese Shadow Theatre : History, Popular Religion, and Women Warriors</t>
  </si>
  <si>
    <t>Chen, Fan Pen Li</t>
  </si>
  <si>
    <t>PN1979.S5</t>
  </si>
  <si>
    <t>Chinese drama -- Translations into English.; Puppet plays, Chinese -- History.; Religion in literature -- China -- History.; Shadow shows -- China -- History.; Women in popular culture -- China -- History.</t>
  </si>
  <si>
    <t>http://public.eblib.com/choice/PublicFullRecord.aspx?p=3332114</t>
  </si>
  <si>
    <t>Mapping Postcommunist Cultures : Russia and Ukraine in the Context of Globalization</t>
  </si>
  <si>
    <t>Chernetsky, Vitaly</t>
  </si>
  <si>
    <t>PG3026.P67</t>
  </si>
  <si>
    <t>Postmodernism (Literature) -- Russia (Federation); Postmodernism (Literature) -- Ukraine.; Russian literature -- 20th century -- History and criticism.; Ukrainian literature -- 20th century -- History and criticism.</t>
  </si>
  <si>
    <t>http://public.eblib.com/choice/PublicFullRecord.aspx?p=3332115</t>
  </si>
  <si>
    <t>On Wings of Moonlight : Elliot R. Wolfson's Poetry in the Path of Rosenzweig and Celan</t>
  </si>
  <si>
    <t>Galli, Barbara Ellen</t>
  </si>
  <si>
    <t>PS3623.O587</t>
  </si>
  <si>
    <t>Celan, Paul.; Jewish philosophy in literature.; Jewish philosophy.; Poetics.; Rosenzweig, Franz, -- 1886-1929.; Wolfson, Elliot R.; Wolfson, Elliot R. -- Poetic works.</t>
  </si>
  <si>
    <t>http://public.eblib.com/choice/PublicFullRecord.aspx?p=3332116</t>
  </si>
  <si>
    <t>Tropes and Territories : Short Fiction, Postcolonial Readings, Canadian Writings in Context</t>
  </si>
  <si>
    <t>Dvorak, Marta; New, W.H.</t>
  </si>
  <si>
    <t>PR9084</t>
  </si>
  <si>
    <t>Commonwealth fiction (English) -- 20th century -- History and criticism.; Postcolonialism.; Short stories, Canadian -- History and criticism.; Short stories, Commonwealth (English) -- History and criticism.</t>
  </si>
  <si>
    <t>http://public.eblib.com/choice/PublicFullRecord.aspx?p=3332117</t>
  </si>
  <si>
    <t>Jan van Noordt : Painter of History and Portraits in Amsterdam</t>
  </si>
  <si>
    <t>de Witt, David</t>
  </si>
  <si>
    <t>ND653.N66</t>
  </si>
  <si>
    <t>Painters -- Netherlands -- Amsterdam -- Biography.; Painting, Dutch -- 17th century.</t>
  </si>
  <si>
    <t>http://public.eblib.com/choice/PublicFullRecord.aspx?p=3332118</t>
  </si>
  <si>
    <t>Marguerite Bourgeoys et la Congrégation de Notre Dame, 1665-1670</t>
  </si>
  <si>
    <t>BX4700.B756</t>
  </si>
  <si>
    <t>Bourgeoys, Marguerite, -- Saint, -- 1620-1700.; Christian saints -- Québec (Province) -- Biography.; Congregation of Notre-Dame -- History -- 17th century.; Montréal (Québec) -- Church history -- 17th century.; Nuns -- Québec (Province) -- Biography.</t>
  </si>
  <si>
    <t>http://public.eblib.com/choice/PublicFullRecord.aspx?p=3332119</t>
  </si>
  <si>
    <t>Montreal Olympics : An Insider's View of Organizing a Self-financing Games</t>
  </si>
  <si>
    <t>Howell, Paul Charles</t>
  </si>
  <si>
    <t>GV722 1976</t>
  </si>
  <si>
    <t>Montreal Olympic Organizing Committee -- History.; Olympic Games -- (21st : -- 1976 : -- Montréal, Québec); Olympics -- Planning.</t>
  </si>
  <si>
    <t>http://public.eblib.com/choice/PublicFullRecord.aspx?p=3332120</t>
  </si>
  <si>
    <t>York University : The Way Must Be Tried</t>
  </si>
  <si>
    <t>Horn, Michiel</t>
  </si>
  <si>
    <t>LE3.Y6</t>
  </si>
  <si>
    <t>Universities and colleges -- Ontario -- Toronto -- History.; York University (Toronto, Ont.) -- History.</t>
  </si>
  <si>
    <t>http://public.eblib.com/choice/PublicFullRecord.aspx?p=3332121</t>
  </si>
  <si>
    <t>We Are What We Mourn : The Contemporary English-Canadian Elegy</t>
  </si>
  <si>
    <t>Uppal, Priscila</t>
  </si>
  <si>
    <t>PR9190.5</t>
  </si>
  <si>
    <t>Death in literature.; Grief in literature.; Mourning customs in literature.</t>
  </si>
  <si>
    <t>http://public.eblib.com/choice/PublicFullRecord.aspx?p=3332122</t>
  </si>
  <si>
    <t>C.B. Macpherson : Dilemmas of Liberalism and Socialism, Second Edition</t>
  </si>
  <si>
    <t>Leiss, Willilam</t>
  </si>
  <si>
    <t>JC253 -- .L44 2009eb</t>
  </si>
  <si>
    <t>Canada -- Politics and government.; Liberalism.; Macpherson, C. B. -- (Crawford Brough), -- 1911-1987.; Political scientists -- Canada -- Biography.; Socialism.</t>
  </si>
  <si>
    <t>http://public.eblib.com/choice/PublicFullRecord.aspx?p=3332123</t>
  </si>
  <si>
    <t>I'm from Bouctouche, Me : Roots Matter</t>
  </si>
  <si>
    <t>F1043.S28</t>
  </si>
  <si>
    <t>Acadians -- New Brunswick -- Biography.; Canada -- Politics and government.; College teachers -- New Brunswick -- Biography.; Savoie, Donald J.</t>
  </si>
  <si>
    <t>http://public.eblib.com/choice/PublicFullRecord.aspx?p=3332124</t>
  </si>
  <si>
    <t>Moi, je suis de Bouctouche : Les racines bien ancrées</t>
  </si>
  <si>
    <t>Savoie, Donald</t>
  </si>
  <si>
    <t>F1041-1045</t>
  </si>
  <si>
    <t>http://public.eblib.com/choice/PublicFullRecord.aspx?p=3332125</t>
  </si>
  <si>
    <t>Finance and Governance of Capital Cities in Federal Systems</t>
  </si>
  <si>
    <t>Thematic Issues in Federalism</t>
  </si>
  <si>
    <t>Slack, Enid</t>
  </si>
  <si>
    <t>HJ9105</t>
  </si>
  <si>
    <t>Capitals (Cities) -- Case studies.; Capitals (Cities) -- Economic aspects.; Capitals (Cities) -- Political aspects.; Federal government.; Municipal government.</t>
  </si>
  <si>
    <t>http://public.eblib.com/choice/PublicFullRecord.aspx?p=3332126</t>
  </si>
  <si>
    <t>Art of the Landscape</t>
  </si>
  <si>
    <t>Milani, Raffaele</t>
  </si>
  <si>
    <t>ND1340</t>
  </si>
  <si>
    <t>Landscape painting.; Nature (Aesthetics)</t>
  </si>
  <si>
    <t>http://public.eblib.com/choice/PublicFullRecord.aspx?p=3332127</t>
  </si>
  <si>
    <t>Local Government and Metropolitan Regions in Federal Countries</t>
  </si>
  <si>
    <t>Kincaid, John</t>
  </si>
  <si>
    <t>JS113</t>
  </si>
  <si>
    <t>Comparative government.; Federal government.; Metropolitan government.</t>
  </si>
  <si>
    <t>http://public.eblib.com/choice/PublicFullRecord.aspx?p=3332128</t>
  </si>
  <si>
    <t>Patriotic Elaborations : Essays in Practical Philosophy</t>
  </si>
  <si>
    <t>JA71</t>
  </si>
  <si>
    <t>Philosophy.; Political science -- Philosophy.</t>
  </si>
  <si>
    <t>http://public.eblib.com/choice/PublicFullRecord.aspx?p=3332129</t>
  </si>
  <si>
    <t>Prestige Squeeze : Occupational Prestige in Canada since 1965</t>
  </si>
  <si>
    <t>Goyder, John</t>
  </si>
  <si>
    <t>HT675 G724 2009</t>
  </si>
  <si>
    <t>Occupational prestige -- Canada.; Occupations -- Social aspects -- Canada.</t>
  </si>
  <si>
    <t>http://public.eblib.com/choice/PublicFullRecord.aspx?p=3332130</t>
  </si>
  <si>
    <t>Triquet's Cross : A Study of Military Heroism</t>
  </si>
  <si>
    <t>MacFarlane, John</t>
  </si>
  <si>
    <t>D811</t>
  </si>
  <si>
    <t>Canada. -- Canadian Army. -- Royal Regiment, 22nd -- Biography.; Heroes -- Political aspects -- Canada.; Heroes -- Social aspects -- Canada.; Soldiers -- Canada -- Biography.; Triquet, Paul, -- 1910-1980.; Victoria Cross -- Biography.; World War, 1939-1945 -- Campaigns -- Italy.</t>
  </si>
  <si>
    <t>http://public.eblib.com/choice/PublicFullRecord.aspx?p=3332131</t>
  </si>
  <si>
    <t>Le Concept de liberté au Canada à l’époque des Révolutions atlantiques (1776-1838)</t>
  </si>
  <si>
    <t>Ducharme, Michel</t>
  </si>
  <si>
    <t>Canada -- History -- 18th century.; Canada -- History -- 19th century.; Canada -- Intellectual life -- 18th century.; Canada -- Intellectual life -- 19th century.; Canada -- Politics and government -- Philosophy.; Canada -- Social conditions -- 18th century.; Canada -- Social conditions -- 19th century.</t>
  </si>
  <si>
    <t>http://public.eblib.com/choice/PublicFullRecord.aspx?p=3332132</t>
  </si>
  <si>
    <t>Bringing Art to Life : A Biography of Alan Jarvis</t>
  </si>
  <si>
    <t>Horrall, Andrew</t>
  </si>
  <si>
    <t>N910.O7</t>
  </si>
  <si>
    <t>Art museum directors -- Canada -- Biography.; Jarvis, Alan, -- 1915-1972.; National Gallery of Canada -- History.</t>
  </si>
  <si>
    <t>http://public.eblib.com/choice/PublicFullRecord.aspx?p=3332133</t>
  </si>
  <si>
    <t>The Constant Diplomat : Robert Ford in Moscow</t>
  </si>
  <si>
    <t>F1034.3.F66</t>
  </si>
  <si>
    <t>Ambassadors -- Canada -- Biography.; Canada -- Foreign relations -- Soviet Union.; Ford, R. A. D., -- 1915-1998.; Soviet Union -- Foreign relations -- Canada.; Soviet Union -- History -- 1953-1985.</t>
  </si>
  <si>
    <t>http://public.eblib.com/choice/PublicFullRecord.aspx?p=3332134</t>
  </si>
  <si>
    <t>Making of the Northern Ontario School of Medicine : A Case Study in the History of Medical Education</t>
  </si>
  <si>
    <t>Tesson, Geoffrey; Hudson, Geoffrey ; Strasser, Roger</t>
  </si>
  <si>
    <t>R749.N67</t>
  </si>
  <si>
    <t>Medical education -- Ontario, Northern -- Case studies.; Northern Ontario School of Medicine -- History.</t>
  </si>
  <si>
    <t>http://public.eblib.com/choice/PublicFullRecord.aspx?p=3332135</t>
  </si>
  <si>
    <t>Growing with Canada : The Émigré Tradition in Canadian Music</t>
  </si>
  <si>
    <t>Helmer, Paul</t>
  </si>
  <si>
    <t>ML205.5 -- .H45 2009eb</t>
  </si>
  <si>
    <t>Immigrants -- Canada -- History -- 20th century.; Music -- Canada -- 20th century -- History and criticism.; Musicians -- Canada -- Biography.</t>
  </si>
  <si>
    <t>http://public.eblib.com/choice/PublicFullRecord.aspx?p=3332136</t>
  </si>
  <si>
    <t>Letters from Rupert's Land, 1826-1840 : James Hargrave of the Hudson's Bay Company</t>
  </si>
  <si>
    <t>Hargrave, James; Ross, Helen</t>
  </si>
  <si>
    <t>F1060.8.H37</t>
  </si>
  <si>
    <t>Frontier and pioneer life -- Canada, Western.; Fur trade -- Canada, Western -- History -- 19th century.; Fur traders -- Canada, Western -- Correspondence.; Hargrave, James, -- 1798-1865 -- Correspondence.; Hudson''s Bay Company -- History.; York Factory (Man.) -- History.</t>
  </si>
  <si>
    <t>http://public.eblib.com/choice/PublicFullRecord.aspx?p=3332137</t>
  </si>
  <si>
    <t>Imagining Holiness : Classic Hasidic Tales in Modern Times</t>
  </si>
  <si>
    <t>McGill-Queen's Studies in the History of Religion (Series 2)</t>
  </si>
  <si>
    <t>Lewis, Justin Jaron</t>
  </si>
  <si>
    <t>BM532 -- .L495 2009eb</t>
  </si>
  <si>
    <t>296.8/332</t>
  </si>
  <si>
    <t>Hasidim -- Legends.; Hasidism.; Jewish legends.</t>
  </si>
  <si>
    <t>http://public.eblib.com/choice/PublicFullRecord.aspx?p=3332138</t>
  </si>
  <si>
    <t>The River Returns : An Environmental History of the Bow</t>
  </si>
  <si>
    <t>Armstrong, Christopher; Nelles, H.V.</t>
  </si>
  <si>
    <t>F1079.B75</t>
  </si>
  <si>
    <t>Bow River (Alta.) -- Environmental conditions.; Bow River (Alta.) -- History.; Bow River Valley (Alta.) -- History.; Human ecology -- Alberta -- Bow River -- History.</t>
  </si>
  <si>
    <t>http://public.eblib.com/choice/PublicFullRecord.aspx?p=3332139</t>
  </si>
  <si>
    <t>Sadly Troubled History : The Meanings of Suicide in the Modern Age</t>
  </si>
  <si>
    <t>HV6545 W363 2009</t>
  </si>
  <si>
    <t>Suicide -- Australia -- Queensland -- History.; Suicide -- New Zealand -- History.; Suicide.</t>
  </si>
  <si>
    <t>http://public.eblib.com/choice/PublicFullRecord.aspx?p=3332140</t>
  </si>
  <si>
    <t>American By Degrees : The Extraordinary Lives of French Ambassador Jules Jusserand</t>
  </si>
  <si>
    <t>DC373.J8</t>
  </si>
  <si>
    <t>Ambassadors -- France -- Biography.; France -- Foreign relations -- 1870-1940.; France -- Foreign relations -- United States.; Historians -- France -- Biography.; Jusserand, J. J. -- (Jean Jules), -- 1855-1932.; United States -- Foreign relations -- France.</t>
  </si>
  <si>
    <t>http://public.eblib.com/choice/PublicFullRecord.aspx?p=3332141</t>
  </si>
  <si>
    <t>In the Aftermath of Catastrophe : Founding Judaism 70-640</t>
  </si>
  <si>
    <t>BM177</t>
  </si>
  <si>
    <t>Judaism -- History -- Talmudic period, 10-425.; Judaism -- Origin.; Rabbinical literature -- History and criticism.</t>
  </si>
  <si>
    <t>http://public.eblib.com/choice/PublicFullRecord.aspx?p=3332142</t>
  </si>
  <si>
    <t>Romantic Ecologies and Colonial Cultures in the British Atlantic World, 1770-1850</t>
  </si>
  <si>
    <t>PR146</t>
  </si>
  <si>
    <t>English literature -- 18th century -- History and criticism.; English literature -- 19th century -- History and criticism.; English literature -- Minority authors -- History and criticism.; Environmentalism -- Great Britain -- History.; Human ecology in literature.; Imperialism in literature.; Nature in literature.</t>
  </si>
  <si>
    <t>http://public.eblib.com/choice/PublicFullRecord.aspx?p=3332143</t>
  </si>
  <si>
    <t>Make/Believing the World(s) : Toward a Christian Ontological Pluralism</t>
  </si>
  <si>
    <t>McLeod-Harrison, Mark S.</t>
  </si>
  <si>
    <t>BR127</t>
  </si>
  <si>
    <t>Christianity and other religions.; Mysticism.; Religious pluralism -- Christianity.</t>
  </si>
  <si>
    <t>http://public.eblib.com/choice/PublicFullRecord.aspx?p=3332144</t>
  </si>
  <si>
    <t>Theology and the Victorian Novel</t>
  </si>
  <si>
    <t>Perkin, J. Russell</t>
  </si>
  <si>
    <t>PR861-878</t>
  </si>
  <si>
    <t>Christianity and literature -- England -- History -- 19th century.; Christianity in literature.; English fiction -- 19th century -- History and criticism.; Theology in literature.</t>
  </si>
  <si>
    <t>http://public.eblib.com/choice/PublicFullRecord.aspx?p=3332145</t>
  </si>
  <si>
    <t>When the French Tried to be British : Party, Opposition, and the Quest for Civil Disagreement, 1814-1848</t>
  </si>
  <si>
    <t>Gunn, J.A.W.</t>
  </si>
  <si>
    <t>JA84.F8</t>
  </si>
  <si>
    <t>France -- Politics and government -- 1814-1830.; France -- Politics and government -- 1830-1848.; Political science -- France.</t>
  </si>
  <si>
    <t>http://public.eblib.com/choice/PublicFullRecord.aspx?p=3332146</t>
  </si>
  <si>
    <t>Under Conrad's Eyes : The Novel as Criticism</t>
  </si>
  <si>
    <t>DiSanto, Michael John</t>
  </si>
  <si>
    <t>Conrad, Joseph, -- 1857-1924 -- Criticism and interpretation.; Criticism.</t>
  </si>
  <si>
    <t>http://public.eblib.com/choice/PublicFullRecord.aspx?p=3332147</t>
  </si>
  <si>
    <t>War with a Silver Lining : Canadian Protestant Churches and the South African War, 1899-1902</t>
  </si>
  <si>
    <t>DT1918.R44</t>
  </si>
  <si>
    <t>Canada -- Church history -- 20th century.; Imperialism -- History -- 20th century.; Protestant churches -- Canada -- History -- 20th century.; Protestants -- Canada -- Attitudes -- History.; South African War, 1899-1902 -- Canada.; South African War, 1899-1902 -- Religious aspects -- Protestant churches.</t>
  </si>
  <si>
    <t>http://public.eblib.com/choice/PublicFullRecord.aspx?p=3332148</t>
  </si>
  <si>
    <t>Ambitions Tamed : Urban Expansion in Pre-revolutionary Lyon</t>
  </si>
  <si>
    <t>Reynard, Pierre Claude</t>
  </si>
  <si>
    <t>HT169 F815 R459 2009</t>
  </si>
  <si>
    <t>Architects -- France -- Lyon -- Biography.; Cities and towns -- France -- Lyon -- Growth -- History -- 18th century.; Entrepreneurship -- France -- Lyon -- History -- 18th century.; Lyon (France) -- History -- 18th century.; Lyon (France) -- Politics and government -- 18th century.; Morand, Jean Antoine, -- 1727-1794.; Urbanization -- France -- Lyon -- History -- 18th century.</t>
  </si>
  <si>
    <t>http://public.eblib.com/choice/PublicFullRecord.aspx?p=3332149</t>
  </si>
  <si>
    <t>Between Languages and Cultures : Colonial and Postcolonial Readings of Gabrielle Roy</t>
  </si>
  <si>
    <t>Chapman, Rosemary</t>
  </si>
  <si>
    <t>PS8535 R8883 Z5 C466 2009</t>
  </si>
  <si>
    <t>Biculturalism in literature.; Bilingualism and literature.; Canada -- In literature.; Culture conflict in literature.; Roy, Gabrielle, -- 1909-1983 -- Criticism and interpretation.</t>
  </si>
  <si>
    <t>http://public.eblib.com/choice/PublicFullRecord.aspx?p=3332150</t>
  </si>
  <si>
    <t>Elizabeth Bishop's Poetics of Description</t>
  </si>
  <si>
    <t>Pickard, Zachariah</t>
  </si>
  <si>
    <t>PS3503.I785</t>
  </si>
  <si>
    <t>Bishop, Elizabeth, -- 1911-1979 -- Criticism and interpretation.; Criticism.</t>
  </si>
  <si>
    <t>http://public.eblib.com/choice/PublicFullRecord.aspx?p=3332151</t>
  </si>
  <si>
    <t>Essence of Indecision : Diefenbaker's Nuclear Policy, 1957-1963</t>
  </si>
  <si>
    <t>McMahon, Patricia I.</t>
  </si>
  <si>
    <t>Canada -- Foreign relations -- United States.; Canada -- Politics and government -- 1945-1980.; Diefenbaker, John G., -- 1895-1979.; Nuclear weapons -- Government policy -- Canada -- History.; United States -- Foreign relations -- Canada.</t>
  </si>
  <si>
    <t>http://public.eblib.com/choice/PublicFullRecord.aspx?p=3332152</t>
  </si>
  <si>
    <t>Imagining Justice : The Politics of Postcolonial Forgiveness and Reconciliation</t>
  </si>
  <si>
    <t>McGonegal, Julie</t>
  </si>
  <si>
    <t>PR9080</t>
  </si>
  <si>
    <t>Coetzee, J. M., -- 1940- -- Disgrace.; Commonwealth literature (English) -- History and criticism.; Forgiveness in literature.; Kogawa, Joy. -- Itsuka.; Kogawa, Joy. -- Obasan.; Malouf, David, -- 1934- -- Remembering Babylon.; Ondaatje, Michael, -- 1943- -- Anil''s ghost.</t>
  </si>
  <si>
    <t>http://public.eblib.com/choice/PublicFullRecord.aspx?p=3332153</t>
  </si>
  <si>
    <t>Lessons on the Noun Phrase in English : From Representation to Reference</t>
  </si>
  <si>
    <t>PE1201</t>
  </si>
  <si>
    <t>English language -- Noun phrase.; Grammar, Comparative and general -- Noun phrase.</t>
  </si>
  <si>
    <t>http://public.eblib.com/choice/PublicFullRecord.aspx?p=3332154</t>
  </si>
  <si>
    <t>Shapes of Silence : Writing by Women of Colour and the Politics of Testimony</t>
  </si>
  <si>
    <t>Tagore, Proma</t>
  </si>
  <si>
    <t>PN471</t>
  </si>
  <si>
    <t>Prose literature -- 20th century -- History and criticism.; Prose literature -- Minority authors -- History and criticism.; Prose literature -- Women authors -- History and criticism.; Reportage literature -- Minority authors -- History and criticism.; Reportage literature -- Women authors -- History and criticism.; Women and literature.; Women in literature.</t>
  </si>
  <si>
    <t>http://public.eblib.com/choice/PublicFullRecord.aspx?p=3332155</t>
  </si>
  <si>
    <t>Strategy and Command : The Anglo-French Coalition on the Western Front, 1914</t>
  </si>
  <si>
    <t>Prete, Roy A.</t>
  </si>
  <si>
    <t>D544</t>
  </si>
  <si>
    <t>France -- Military policy -- 20th century.; France -- Military relations -- Great Britain.; Great Britain -- Military policy -- 20th century.; Great Britain -- Military relations -- France.; World War, 1914-1918 -- Campaigns -- Western Front.; World War, 1914-1918 -- France.; World War, 1914-1918 -- Great Britain.</t>
  </si>
  <si>
    <t>http://public.eblib.com/choice/PublicFullRecord.aspx?p=3332156</t>
  </si>
  <si>
    <t>Total Science : Statistics in Liberal and Fascist Italy</t>
  </si>
  <si>
    <t>Prévost, Jean-Guy</t>
  </si>
  <si>
    <t>HA37.I82</t>
  </si>
  <si>
    <t>Fascism -- Italy -- History -- 20th century.; Gini, Corrado, -- 1884-1965.; Science and state -- Italy -- History -- 20th century.; Statisticians -- Italy -- History -- 20th century.; Statistics -- Italy -- History -- 20th century.</t>
  </si>
  <si>
    <t>http://public.eblib.com/choice/PublicFullRecord.aspx?p=3332157</t>
  </si>
  <si>
    <t>Dictionary of the English/Creole of Trinidad &amp; Tobago : On Historical Principles</t>
  </si>
  <si>
    <t>Winer, Lise</t>
  </si>
  <si>
    <t>PM7874.T7</t>
  </si>
  <si>
    <t>Creole dialects -- Dictionaries.; Creole dialects, English -- Trinidad and Tobago -- Dictionaries.</t>
  </si>
  <si>
    <t>http://public.eblib.com/choice/PublicFullRecord.aspx?p=3332158</t>
  </si>
  <si>
    <t>Local Governments and Their Intergovernmental Networks in Federalizing Spain</t>
  </si>
  <si>
    <t>Agranoff, Robert</t>
  </si>
  <si>
    <t>JS6311 A277 2010</t>
  </si>
  <si>
    <t>Central-local government relations -- Spain -- History.; Decentralization in government -- Spain -- History.; Local government -- Spain -- History.</t>
  </si>
  <si>
    <t>http://public.eblib.com/choice/PublicFullRecord.aspx?p=3332159</t>
  </si>
  <si>
    <t>Sanctifying Misandry : Goddess Ideology and the Fall of Man</t>
  </si>
  <si>
    <t>Young, Katherine K.</t>
  </si>
  <si>
    <t>BL473.5</t>
  </si>
  <si>
    <t>Goddess religion.; Misandry.; Sex role -- Religious aspects.; Sin, Original.</t>
  </si>
  <si>
    <t>http://public.eblib.com/choice/PublicFullRecord.aspx?p=3332160</t>
  </si>
  <si>
    <t>Marian and the Major : Engel's "Elizabeth and the Golden City"</t>
  </si>
  <si>
    <t>Engel, Marian</t>
  </si>
  <si>
    <t>PR9199.3.E65</t>
  </si>
  <si>
    <t>Fiction.; Rains, William Kingdom, -- 1789-1874 -- Fiction.</t>
  </si>
  <si>
    <t>http://public.eblib.com/choice/PublicFullRecord.aspx?p=3332161</t>
  </si>
  <si>
    <t>Mediating Moms : Mothers in Popular Culture</t>
  </si>
  <si>
    <t>Podnieks, Elizabeth</t>
  </si>
  <si>
    <t>SOC028000</t>
  </si>
  <si>
    <t>306.874/3</t>
  </si>
  <si>
    <t>Motherhood -- Social aspects.; Motherhood in popular culture.</t>
  </si>
  <si>
    <t>http://public.eblib.com/choice/PublicFullRecord.aspx?p=3332162</t>
  </si>
  <si>
    <t>Early Journals and Letters of Fanny Burney, Volume V : 1782-1783</t>
  </si>
  <si>
    <t>Troide, Lars E.; Cooke, Stewart J.</t>
  </si>
  <si>
    <t>PR3316.A4 -- Z464 2012eb</t>
  </si>
  <si>
    <t>Burney, Fanny, -- 1752-1840 -- Correspondence.; Burney, Fanny, -- 1752-1840 -- Diaries.; Great Britain -- Court and courtiers -- Early works to 1800.; London (England) -- Social life and customs -- Early works to 1800.; Novelists, English -- 18th century -- Correspondence.; Novelists, English -- 18th century -- Diaries.</t>
  </si>
  <si>
    <t>http://public.eblib.com/choice/PublicFullRecord.aspx?p=3332163</t>
  </si>
  <si>
    <t>Leave No Doubt : A Credo for Chasing Your Dreams</t>
  </si>
  <si>
    <t>Babcock, Mike; Larsen, Rick</t>
  </si>
  <si>
    <t>BF637.S4 -- B29 2012eb</t>
  </si>
  <si>
    <t>Determination (Personality trait); Hockey teams -- Canada.; Olympic Winter Games(21st : -- 2010 : -- Vancouver, B.C.); Self-actualization (Psychology); Success.</t>
  </si>
  <si>
    <t>http://public.eblib.com/choice/PublicFullRecord.aspx?p=3332164</t>
  </si>
  <si>
    <t>Disaster Risk and Vulnerability : Mitigation through Mobilizing Communities and Partnerships</t>
  </si>
  <si>
    <t>Haque, C. Emdad; Etkin, David</t>
  </si>
  <si>
    <t>HV551.2 -- .D57 2012eb</t>
  </si>
  <si>
    <t>363.34/6</t>
  </si>
  <si>
    <t>Emergency management.; Hazard mitigation.; Natural disasters -- Risk assessment.</t>
  </si>
  <si>
    <t>http://public.eblib.com/choice/PublicFullRecord.aspx?p=3332165</t>
  </si>
  <si>
    <t>Governing the Poor : Exercises of Poverty Reduction, Practices of Global Aid</t>
  </si>
  <si>
    <t>Ilcan, Suzan; Lacey, Anita</t>
  </si>
  <si>
    <t>HC60 -- .I37 2011eb</t>
  </si>
  <si>
    <t>362.5/526</t>
  </si>
  <si>
    <t>International agencies -- Developing countries.; Neoliberalism.; Non-governmental organizations -- Developing countries.; Poor -- Developing countries.; Poverty -- Developing countries.; Poverty -- Government policy.</t>
  </si>
  <si>
    <t>http://public.eblib.com/choice/PublicFullRecord.aspx?p=3332166</t>
  </si>
  <si>
    <t>One Recipe Recipe Book : or, The Artist's Friend</t>
  </si>
  <si>
    <t>Dunning, Christopher</t>
  </si>
  <si>
    <t>TX714 -- .D86 1995eb</t>
  </si>
  <si>
    <t>Low budget cooking.; Vegetarian cooking.</t>
  </si>
  <si>
    <t>http://public.eblib.com/choice/PublicFullRecord.aspx?p=3332167</t>
  </si>
  <si>
    <t>Jean-Luc Nancy and the Future of Philosophy</t>
  </si>
  <si>
    <t>Hutchens, B.C.</t>
  </si>
  <si>
    <t>B2430.N364 -- H88 2005eb</t>
  </si>
  <si>
    <t>Nancy, Jean-Luc.; Philosophy.</t>
  </si>
  <si>
    <t>http://public.eblib.com/choice/PublicFullRecord.aspx?p=3332168</t>
  </si>
  <si>
    <t>Icelandic Voice in Canadian Letters : The Contribution of Icelandic-Canadian Writers to Canadian Literature</t>
  </si>
  <si>
    <t>Nordic Voices</t>
  </si>
  <si>
    <t>Neijmann, Daisy</t>
  </si>
  <si>
    <t>PR9188.2.I24 -- N45 1997eb</t>
  </si>
  <si>
    <t>Authors, Canadian.; Authors, Icelandic -- Canada.; Canadian literature.</t>
  </si>
  <si>
    <t>http://public.eblib.com/choice/PublicFullRecord.aspx?p=3332169</t>
  </si>
  <si>
    <t>Power : Where Is It?</t>
  </si>
  <si>
    <t>JL75 -- .S28 2010eb</t>
  </si>
  <si>
    <t>Canada -- Politics and government -- 21st century.; Power (Social sciences) -- Canada.</t>
  </si>
  <si>
    <t>http://public.eblib.com/choice/PublicFullRecord.aspx?p=3332170</t>
  </si>
  <si>
    <t>French Socialists before Marx : Workers, Women and the Social Question in France</t>
  </si>
  <si>
    <t>Pilbeam, Pamela</t>
  </si>
  <si>
    <t>HX262 -- .P55 2000eb</t>
  </si>
  <si>
    <t>Socialists -- France -- History.; Women -- France -- History.; Working class -- France -- History.</t>
  </si>
  <si>
    <t>http://public.eblib.com/choice/PublicFullRecord.aspx?p=3332171</t>
  </si>
  <si>
    <t>Return of the Sphinx</t>
  </si>
  <si>
    <t>PR9199.3.M334 -- R48 2009eb</t>
  </si>
  <si>
    <t>Fathers and sons -- Fiction.; Political science -- Fiction.</t>
  </si>
  <si>
    <t>http://public.eblib.com/choice/PublicFullRecord.aspx?p=3332172</t>
  </si>
  <si>
    <t>Is Our House in Order? : Canada'a Implementation of International Law</t>
  </si>
  <si>
    <t>Carmody, Chios</t>
  </si>
  <si>
    <t>KE4252 -- .I83 2010eb</t>
  </si>
  <si>
    <t>International and municipal law -- Canada.; International law -- Canada.</t>
  </si>
  <si>
    <t>http://public.eblib.com/choice/PublicFullRecord.aspx?p=3332173</t>
  </si>
  <si>
    <t>Urdu for Children, Book II, 3 Book Set, Part One : Part 1 set of books</t>
  </si>
  <si>
    <t>Urdu for Children</t>
  </si>
  <si>
    <t>Alvi, Sajida</t>
  </si>
  <si>
    <t>PK1975 -- .U73 2004eb</t>
  </si>
  <si>
    <t>Children''s literature, Urdu.; Urdu language -- Study and teaching (Primary); Urdu language -- Textbooks for foreign speakers -- English.</t>
  </si>
  <si>
    <t>http://public.eblib.com/choice/PublicFullRecord.aspx?p=3332174</t>
  </si>
  <si>
    <t>Donald Davidson</t>
  </si>
  <si>
    <t>Philosophy Now</t>
  </si>
  <si>
    <t>Joseph, Marc A.</t>
  </si>
  <si>
    <t>B945.D384 -- J67 2004eb</t>
  </si>
  <si>
    <t>Davidson, Donald, -- 1917-2003.; Meaning (Philosophy)</t>
  </si>
  <si>
    <t>http://public.eblib.com/choice/PublicFullRecord.aspx?p=3332175</t>
  </si>
  <si>
    <t>Neoliberalism and Everyday Life</t>
  </si>
  <si>
    <t>Braedley, Susan; Luxton, Meg</t>
  </si>
  <si>
    <t>JC574 -- .P46 2007eb</t>
  </si>
  <si>
    <t>Feminist theory -- Congresses.; Neoliberalism -- Social aspects -- Congresses.; Political sociology -- Congresses.</t>
  </si>
  <si>
    <t>http://public.eblib.com/choice/PublicFullRecord.aspx?p=3332176</t>
  </si>
  <si>
    <t>Crises and Compassion : From Russia to the Golden Gate</t>
  </si>
  <si>
    <t>Letiche, John M.</t>
  </si>
  <si>
    <t>HB119.L47 -- A3 2011eb</t>
  </si>
  <si>
    <t>College teachers -- California -- Berkeley -- Biography.; Economics teachers -- California -- Berkeley -- Biography.; Economists -- United States -- Biography.; Letiche, John M., -- 1918-</t>
  </si>
  <si>
    <t>http://public.eblib.com/choice/PublicFullRecord.aspx?p=3332177</t>
  </si>
  <si>
    <t>Universals</t>
  </si>
  <si>
    <t>Central Problems of Philosophy</t>
  </si>
  <si>
    <t>Moreland, J.P.</t>
  </si>
  <si>
    <t>B105.U5 -- M67 2001eb</t>
  </si>
  <si>
    <t>111/.2</t>
  </si>
  <si>
    <t>Universals (Philosophy)</t>
  </si>
  <si>
    <t>http://public.eblib.com/choice/PublicFullRecord.aspx?p=3332178</t>
  </si>
  <si>
    <t>Political Corruption in Canada : Cases, Causes and Cures</t>
  </si>
  <si>
    <t>Gibbons, Kenneth</t>
  </si>
  <si>
    <t>JL86.C67 -- P64eb</t>
  </si>
  <si>
    <t>320.9/71/06</t>
  </si>
  <si>
    <t>Political corruption -- Canada -- Case studies.; Political corruption -- Canada.</t>
  </si>
  <si>
    <t>http://public.eblib.com/choice/PublicFullRecord.aspx?p=3332179</t>
  </si>
  <si>
    <t>Achieving Inner Balance in Anxious Times</t>
  </si>
  <si>
    <t>Killinger, Barbara</t>
  </si>
  <si>
    <t>BF637.P3 -- K55 2011eb</t>
  </si>
  <si>
    <t>vi, 158</t>
  </si>
  <si>
    <t>Behavior modification.; Peace of mind.</t>
  </si>
  <si>
    <t>http://public.eblib.com/choice/PublicFullRecord.aspx?p=3332180</t>
  </si>
  <si>
    <t>Saul Kripke</t>
  </si>
  <si>
    <t>Fitch, G.W.</t>
  </si>
  <si>
    <t>B945.K794 -- F58 2004eb</t>
  </si>
  <si>
    <t>Kripke, Saul A., -- 1940-; Philosophy, American -- 20th century.</t>
  </si>
  <si>
    <t>http://public.eblib.com/choice/PublicFullRecord.aspx?p=3332181</t>
  </si>
  <si>
    <t>Bernard Williams</t>
  </si>
  <si>
    <t>Jenkins, Mark</t>
  </si>
  <si>
    <t>B1674.W496 -- J46 2006eb</t>
  </si>
  <si>
    <t>Williams, Bernard Arthur Owen.</t>
  </si>
  <si>
    <t>http://public.eblib.com/choice/PublicFullRecord.aspx?p=3332182</t>
  </si>
  <si>
    <t>Challenging Genetic Determinism : New Perspectives on the Gene in Its Multiple Environments</t>
  </si>
  <si>
    <t>Maheu, Louis</t>
  </si>
  <si>
    <t>QH438.5 -- .R69 2011eb</t>
  </si>
  <si>
    <t>576.5/3</t>
  </si>
  <si>
    <t>Behavior genetics -- Congresses.; Genotype-environment interaction -- Congresses.; Human genetics -- Moral and ethical aspects -- Congresses.; Human genetics -- Research -- Congresses.; Personality -- Genetic aspects -- Congresses.; Phenotype -- Congresses.</t>
  </si>
  <si>
    <t>http://public.eblib.com/choice/PublicFullRecord.aspx?p=3332183</t>
  </si>
  <si>
    <t>Georges and Pauline Vanier : Portrait of a Couple</t>
  </si>
  <si>
    <t>Coady, Mary Frances</t>
  </si>
  <si>
    <t>F1034.3.V3 -- C63 2011eb</t>
  </si>
  <si>
    <t>971.064/20922</t>
  </si>
  <si>
    <t>Ambassadors -- Canada -- Biography.; Ambassadors'' spouses -- Canada -- Biography.; Governors general -- Canada -- Biography.; Governors general''s spouses -- Canada -- Biography.; Soldiers -- Canada -- Biography.; Vanier, Georges P. -- (Georges Philias), -- 1888-1967.; Vanier, Pauline, -- 1898-1991.</t>
  </si>
  <si>
    <t>http://public.eblib.com/choice/PublicFullRecord.aspx?p=3332184</t>
  </si>
  <si>
    <t>Lovely Gutting, Volume 24</t>
  </si>
  <si>
    <t>Durnford, Robin</t>
  </si>
  <si>
    <t>PR9199.4.D876 -- L68 2012eb</t>
  </si>
  <si>
    <t>http://public.eblib.com/choice/PublicFullRecord.aspx?p=3332185</t>
  </si>
  <si>
    <t>Columbia Journals : Bicentennial Edition</t>
  </si>
  <si>
    <t>Thompson, David</t>
  </si>
  <si>
    <t>F1060.7 -- .T46 2007beb</t>
  </si>
  <si>
    <t>971.1204/1</t>
  </si>
  <si>
    <t>http://public.eblib.com/choice/PublicFullRecord.aspx?p=3332186</t>
  </si>
  <si>
    <t>Occupied St John's : A Social History of a City at War, 1939-1945</t>
  </si>
  <si>
    <t>High, Steven</t>
  </si>
  <si>
    <t>F1124.5.S14 -- O25 2010eb</t>
  </si>
  <si>
    <t>971.8/103</t>
  </si>
  <si>
    <t>Civil-military relations -- Newfoundland and Labrador -- St. John''s -- History -- 20th century.; St. John''s (N.L.) -- History -- 20th century.; St. John''s (N.L.) -- History, Military -- 20th century.; St. John''s (N.L.) -- Strategic aspects -- History -- 20th century.; World War, 1939-1945 -- Newfoundland and Labrador -- St. John''s.</t>
  </si>
  <si>
    <t>http://public.eblib.com/choice/PublicFullRecord.aspx?p=3332187</t>
  </si>
  <si>
    <t>Shades of Green : Environmental Attitudes in Canada and Around the World</t>
  </si>
  <si>
    <t>International Social Survey Programme</t>
  </si>
  <si>
    <t>Frizzell, Alan</t>
  </si>
  <si>
    <t>HC79.P55 -- S53 1997eb</t>
  </si>
  <si>
    <t>Environmental policy -- Canada -- Public opinion.; Environmental policy -- Public opinion.; Pollution -- Canada -- Public opinion.; Pollution -- Public opinion.; Public opinion -- Canada.</t>
  </si>
  <si>
    <t>http://public.eblib.com/choice/PublicFullRecord.aspx?p=3332188</t>
  </si>
  <si>
    <t>Rose Henderson : A Woman for the People</t>
  </si>
  <si>
    <t>HQ1455.H45 -- C36 2010eb</t>
  </si>
  <si>
    <t>Co-operative Commonwealth Federation -- History.; Feminism -- Canada -- History -- 20th century.; Feminists -- Canada -- Biography.; Henderson, Rose, -- 1871-1937.; Pacifists -- Canada -- Biography.; Social movements -- Canada -- History -- 20th century.; Social reformers -- Canada -- Biography.</t>
  </si>
  <si>
    <t>http://public.eblib.com/choice/PublicFullRecord.aspx?p=3332189</t>
  </si>
  <si>
    <t>Mason Wade, Acadia and Quebec No. 167 : The Perception of an Outsider</t>
  </si>
  <si>
    <t>F1052.95 -- .W33 1991eb</t>
  </si>
  <si>
    <t>Maritime Provinces -- History.; Québec (Province) -- History.; Wade, Mason, -- 1913-1986.</t>
  </si>
  <si>
    <t>http://public.eblib.com/choice/PublicFullRecord.aspx?p=3332190</t>
  </si>
  <si>
    <t>Dreams of a Totalitarian Utopia : Literary Modernism and Politics</t>
  </si>
  <si>
    <t>PS310.P6 -- S87 2011eb</t>
  </si>
  <si>
    <t>Eliot, T. S. -- (Thomas Stearns), -- 1888-1965 -- Political and social views.; Lewis, Wyndham, -- 1882-1957 -- Political and social views.; Politics and literature -- England -- History -- 20th century.; Politics and literature -- United States -- History -- 20th century.; Pound, Ezra, -- 1885-1972 -- Political and social views.</t>
  </si>
  <si>
    <t>http://public.eblib.com/choice/PublicFullRecord.aspx?p=3332191</t>
  </si>
  <si>
    <t>Urdu for Children, Book II, 3 Book Set, Part Two : Part 2 set of books</t>
  </si>
  <si>
    <t>http://public.eblib.com/choice/PublicFullRecord.aspx?p=3332192</t>
  </si>
  <si>
    <t>Canada's Big Biblical Bargain : How McGill University Bought the Dead Sea Scrolls</t>
  </si>
  <si>
    <t>Kalman, Jason; du Toit, Jaqueline S.</t>
  </si>
  <si>
    <t>BM488.5 -- .K35 2010eb</t>
  </si>
  <si>
    <t>296.1/55</t>
  </si>
  <si>
    <t>Acquisition of manuscripts -- Québec (Province) -- Montréal -- History -- 20th century.; Dead Sea scrolls. -- 4Q.; Israel. -- Rashut ha-ʿatiḳot.; McGill University -- History -- 20th century.; McGill University. -- Archives.; McGill University. -- Faculty of Religious Studies -- Archives.</t>
  </si>
  <si>
    <t>http://public.eblib.com/choice/PublicFullRecord.aspx?p=3332193</t>
  </si>
  <si>
    <t>Otter Skins, Boston Ships, and China Goods : The Maritime Fur Trade of the Northwest Coast, 1785-1841</t>
  </si>
  <si>
    <t>Gibson, James R.</t>
  </si>
  <si>
    <t>HD9778.5.S4153 -- N74 1992eb</t>
  </si>
  <si>
    <t>Pacific Area -- Commerce -- History.; Sea otter skin industry -- China -- History.; Sea otter skin industry -- Northwest Coast of North America -- History.; Voyages to the Pacific coast.</t>
  </si>
  <si>
    <t>http://public.eblib.com/choice/PublicFullRecord.aspx?p=3332194</t>
  </si>
  <si>
    <t>Storm Still</t>
  </si>
  <si>
    <t>Harbinger Poetry Series</t>
  </si>
  <si>
    <t>O'Meara, David</t>
  </si>
  <si>
    <t>PR9199.3.O47 -- S86 1999eb</t>
  </si>
  <si>
    <t>http://public.eblib.com/choice/PublicFullRecord.aspx?p=3332195</t>
  </si>
  <si>
    <t>Ancient and Medieval</t>
  </si>
  <si>
    <t>Central Works of Philosophy</t>
  </si>
  <si>
    <t>Shand, John</t>
  </si>
  <si>
    <t>B72 -- .A53 2005eb</t>
  </si>
  <si>
    <t>Philosophy -- History.; Philosophy -- Introductions.</t>
  </si>
  <si>
    <t>http://public.eblib.com/choice/PublicFullRecord.aspx?p=3332196</t>
  </si>
  <si>
    <t>Elections in Dangerous Places : Democracy and the Paradoxes of Peacebuilding</t>
  </si>
  <si>
    <t>JC328.6 -- .E43 2011eb</t>
  </si>
  <si>
    <t>303.6/2</t>
  </si>
  <si>
    <t>Conflict management.; Democracy.; Elections.; Political violence.</t>
  </si>
  <si>
    <t>http://public.eblib.com/choice/PublicFullRecord.aspx?p=3332197</t>
  </si>
  <si>
    <t>Nelson Goodman</t>
  </si>
  <si>
    <t>Cohnitz, Daniel; Rossberg, Marcus</t>
  </si>
  <si>
    <t>B945.G624 -- C64 2006eb</t>
  </si>
  <si>
    <t>Goodman, Nelson.; Philosophy, American -- 20th century.</t>
  </si>
  <si>
    <t>http://public.eblib.com/choice/PublicFullRecord.aspx?p=3332198</t>
  </si>
  <si>
    <t>Between the Queen and the Cabby : Olympe de Gouges's Rights of Woman</t>
  </si>
  <si>
    <t>Cole, John</t>
  </si>
  <si>
    <t>HQ1615.G68 -- C65 2011eb</t>
  </si>
  <si>
    <t>Feminists -- France -- Biography.; France -- History -- Revolution, 1789-1799 -- Women.; France. -- Déclaration des droits de l''homme et du citoyen.; Gouges, Olympe de, -- 1748?-1793.; Gouges, Olympe de, -- 1748?-1793. -- Droits de la femme.; Women''s rights -- France -- History -- 18th century.</t>
  </si>
  <si>
    <t>http://public.eblib.com/choice/PublicFullRecord.aspx?p=3332199</t>
  </si>
  <si>
    <t>Florida's Snowbirds : Spectacle, Mobility, and Community since 1945</t>
  </si>
  <si>
    <t>Desrosiers-Lauzon, Godefroy</t>
  </si>
  <si>
    <t>F320.C2 -- D47 2011eb</t>
  </si>
  <si>
    <t>Canadians -- Retirement -- Florida.; Florida -- Social life and customs -- 20th century.; Retirement, Places of -- Florida.; Tourism -- Florida.</t>
  </si>
  <si>
    <t>http://public.eblib.com/choice/PublicFullRecord.aspx?p=3332200</t>
  </si>
  <si>
    <t>Rebellion of 1837 in Upper Canada</t>
  </si>
  <si>
    <t>Read, Colin; Stagg, Ronald J.</t>
  </si>
  <si>
    <t>F1032 -- .R42 1988eb</t>
  </si>
  <si>
    <t>971.03/8</t>
  </si>
  <si>
    <t>Canada -- History -- Rebellion, 1837-1838 -- Sources.</t>
  </si>
  <si>
    <t>http://public.eblib.com/choice/PublicFullRecord.aspx?p=3332201</t>
  </si>
  <si>
    <t>Social Inequality in Canada : Measures the Consistency and Logic of Perceived Social Conditions and Priorities in Canada</t>
  </si>
  <si>
    <t>Frizzell, Alan; Pammett, Prof. Jon H.</t>
  </si>
  <si>
    <t>HN110.Z9 -- S63 1996eb</t>
  </si>
  <si>
    <t>Canada -- Social conditions.; Equality -- Canada.</t>
  </si>
  <si>
    <t>http://public.eblib.com/choice/PublicFullRecord.aspx?p=3332202</t>
  </si>
  <si>
    <t>Ethnographic Feminisms Vol. 7 : Essays in Anthropology</t>
  </si>
  <si>
    <t>Cole, Sally</t>
  </si>
  <si>
    <t>GN33.8 -- .E84 1995eb</t>
  </si>
  <si>
    <t>Feminist anthropology.</t>
  </si>
  <si>
    <t>http://public.eblib.com/choice/PublicFullRecord.aspx?p=3332203</t>
  </si>
  <si>
    <t>Political Philosophy</t>
  </si>
  <si>
    <t>Knowles, Dudley</t>
  </si>
  <si>
    <t>JA71 -- .K56 2001eb</t>
  </si>
  <si>
    <t>Political science -- Philosophy.</t>
  </si>
  <si>
    <t>http://public.eblib.com/choice/PublicFullRecord.aspx?p=3332204</t>
  </si>
  <si>
    <t>Sailor's Hope : The Life and Times of William Cooper, Agrarian Radical in an Age of Revolutions</t>
  </si>
  <si>
    <t>Bittermann, Rusty</t>
  </si>
  <si>
    <t>F1048 -- .B588 2010eb</t>
  </si>
  <si>
    <t>971.7/02092</t>
  </si>
  <si>
    <t>Cooper, William, -- 1786-1867.; Land reform -- Prince Edward Island -- History -- 19th century.; Legislators -- Prince Edward Island -- Biography.; Prince Edward Island -- Biography.; Reformers -- Prince Edward Island -- Biography.</t>
  </si>
  <si>
    <t>http://public.eblib.com/choice/PublicFullRecord.aspx?p=3332205</t>
  </si>
  <si>
    <t>Limiting the Proliferation of Weapons : The Role of Supply-Side Strategies</t>
  </si>
  <si>
    <t>Rioux, Jean-François</t>
  </si>
  <si>
    <t>JZ5625 -- .L56 1992eb</t>
  </si>
  <si>
    <t>Arms control.; Arms transfers.; Weapons systems.</t>
  </si>
  <si>
    <t>http://public.eblib.com/choice/PublicFullRecord.aspx?p=3332206</t>
  </si>
  <si>
    <t>Urdu for Children, Book II, Let's Read Urdu, Part One : Let's Read Urdu, Part I</t>
  </si>
  <si>
    <t>http://public.eblib.com/choice/PublicFullRecord.aspx?p=3332207</t>
  </si>
  <si>
    <t>Places in the News : A Study of News Flows</t>
  </si>
  <si>
    <t>Kariel, Herbert; Rosenvall, L.A.</t>
  </si>
  <si>
    <t>PN4908 -- .K37 1995eb</t>
  </si>
  <si>
    <t>Canadian newspapers.; Journalism -- Canada.</t>
  </si>
  <si>
    <t>http://public.eblib.com/choice/PublicFullRecord.aspx?p=3332208</t>
  </si>
  <si>
    <t>Sleep is a Country</t>
  </si>
  <si>
    <t>Le Dressay, Anne</t>
  </si>
  <si>
    <t>PR9199.3.L384 -- S54 1997eb</t>
  </si>
  <si>
    <t>Identity (Psychology) -- Poetry.; Interpersonal relations -- Poetry.; Sleep -- Poetry.</t>
  </si>
  <si>
    <t>http://public.eblib.com/choice/PublicFullRecord.aspx?p=3332209</t>
  </si>
  <si>
    <t>Possible Worlds</t>
  </si>
  <si>
    <t>Girle, Rod; Girle, Roderic A</t>
  </si>
  <si>
    <t>BC199.P7 -- G57 2003eb</t>
  </si>
  <si>
    <t>Modality (Logic); Necessity (Philosophy); Possibility.</t>
  </si>
  <si>
    <t>http://public.eblib.com/choice/PublicFullRecord.aspx?p=3332210</t>
  </si>
  <si>
    <t>Austrian Immigration to Canada : Selected Essays</t>
  </si>
  <si>
    <t>Szabo, Franz</t>
  </si>
  <si>
    <t>F1035.A94 -- A97 1995eb</t>
  </si>
  <si>
    <t>Austria -- Emigration and immigration -- Congresses.; Austrians -- Canada -- Congresses.; Austrians -- Migrations -- Congresses.; Canada -- Emigration and immigration -- Congresses.</t>
  </si>
  <si>
    <t>http://public.eblib.com/choice/PublicFullRecord.aspx?p=3332211</t>
  </si>
  <si>
    <t>Existentialist Thinkers and Ethics</t>
  </si>
  <si>
    <t>Daigle, Christine</t>
  </si>
  <si>
    <t>BJ1340 -- .E96 2006eb</t>
  </si>
  <si>
    <t>171/.2</t>
  </si>
  <si>
    <t>Existential ethics.; Existentialism in literature.; Existentialism.</t>
  </si>
  <si>
    <t>http://public.eblib.com/choice/PublicFullRecord.aspx?p=3332212</t>
  </si>
  <si>
    <t>Different Gods : Integrating Non-Christian Minorities into a Primarily Christian Society</t>
  </si>
  <si>
    <t>BL2530.C2 -- B74 2012eb</t>
  </si>
  <si>
    <t>Emigration and immigration -- Religious aspects.; Religious minorities -- Canada -- Social conditions.; Religious minorities -- United States -- Social conditions.; Religious pluralism -- Social aspects -- Canada.; Religious pluralism -- Social aspects -- United States.</t>
  </si>
  <si>
    <t>http://public.eblib.com/choice/PublicFullRecord.aspx?p=3332213</t>
  </si>
  <si>
    <t>Aleut Identities : Tradition and Modernity in an Indigenous Fishery</t>
  </si>
  <si>
    <t>Reedy-Maschner, Katherine L.</t>
  </si>
  <si>
    <t>E99.A34 -- R44 2010eb</t>
  </si>
  <si>
    <t>Aleuts -- Fishing -- Alaska -- Aleutian Islands.; Aleuts -- Social conditions.; Aleuts -- Social life and customs.; Fisheries -- Alaska -- Aleutian Islands.</t>
  </si>
  <si>
    <t>http://public.eblib.com/choice/PublicFullRecord.aspx?p=3332214</t>
  </si>
  <si>
    <t>Church, State, and the Control of Schooling in Ireland 1900-1944</t>
  </si>
  <si>
    <t>Titley, B.</t>
  </si>
  <si>
    <t>LC506.I73 -- T58 1983eb</t>
  </si>
  <si>
    <t>377/.09415</t>
  </si>
  <si>
    <t>Catholic Church -- Education -- Ireland -- History -- 20th century.; Church and education -- Ireland -- History -- 20th century.; Education -- Ireland -- History -- 20th century.</t>
  </si>
  <si>
    <t>http://public.eblib.com/choice/PublicFullRecord.aspx?p=3332215</t>
  </si>
  <si>
    <t>Urdu for Children, Book II, Stories and Poems, Part Two : Urdu for Children, Part II</t>
  </si>
  <si>
    <t>PK1973 -- .S76 2004eb</t>
  </si>
  <si>
    <t>Urdu language -- Textbooks for foreign speakers -- English.</t>
  </si>
  <si>
    <t>http://public.eblib.com/choice/PublicFullRecord.aspx?p=3332216</t>
  </si>
  <si>
    <t>Refereeing Identity : The Cultural Work of Canadian Hockey Novels</t>
  </si>
  <si>
    <t>Buma, Michael</t>
  </si>
  <si>
    <t>PR9185.5.H63 -- B86 2012eb</t>
  </si>
  <si>
    <t>Hockey -- Social aspects -- Canada.; Hockey in literature.; Hockey stories, Canadian -- History and criticism.; National characteristics, Canadian, in literature.</t>
  </si>
  <si>
    <t>http://public.eblib.com/choice/PublicFullRecord.aspx?p=3332217</t>
  </si>
  <si>
    <t>Transnationalism : Canada-United States History into the Twenty-first Century</t>
  </si>
  <si>
    <t>Behiels, Michael; Stuart, Reginald C.</t>
  </si>
  <si>
    <t>F1029.5.U6 -- O74 2004eb</t>
  </si>
  <si>
    <t>Canada -- Boundaries -- United States -- Congresses.; Canada -- Relations -- United States -- Congresses.; Indians of North America -- Congresses.; National characteristics -- Congresses.; National security -- Congresses.; Transnationalism -- Congresses.; United States -- Boundaries -- Canada -- Congresses.</t>
  </si>
  <si>
    <t>http://public.eblib.com/choice/PublicFullRecord.aspx?p=3332218</t>
  </si>
  <si>
    <t>Constitutional Dynamics in Federal Systems : Sub-national Perspectives</t>
  </si>
  <si>
    <t>Burgess, Michael; Tarr, G. Alan</t>
  </si>
  <si>
    <t>JC355 -- .C66 2012eb</t>
  </si>
  <si>
    <t>Constitutional law.; Federal government.</t>
  </si>
  <si>
    <t>http://public.eblib.com/choice/PublicFullRecord.aspx?p=3332219</t>
  </si>
  <si>
    <t>Early Journals and Letters of Fanny Burney, Volume 1</t>
  </si>
  <si>
    <t>Troide, Lars E.</t>
  </si>
  <si>
    <t>PR3316.A4 -- Z46 1988eb</t>
  </si>
  <si>
    <t>Burney, Fanny, -- 1752-1840 -- Correspondence.; Burney, Fanny, -- 1752-1840 -- Diaries.; Novelists, English -- 18th century -- Correspondence.; Novelists, English -- 18th century -- Diaries.</t>
  </si>
  <si>
    <t>http://public.eblib.com/choice/PublicFullRecord.aspx?p=3332220</t>
  </si>
  <si>
    <t>Popper’s Legacy : Rethinking Politics, Economics, and Science</t>
  </si>
  <si>
    <t>Sassower, Raphael</t>
  </si>
  <si>
    <t>B1649.P64 -- S37 2006eb</t>
  </si>
  <si>
    <t>Philosophy.; Popper, Karl R. -- (Karl Raimund), -- 1902-1994.</t>
  </si>
  <si>
    <t>http://public.eblib.com/choice/PublicFullRecord.aspx?p=3332221</t>
  </si>
  <si>
    <t>Archives and the Event of God : The Impact of Michel Foucault on Philosophical Theology</t>
  </si>
  <si>
    <t>Galston, David</t>
  </si>
  <si>
    <t>BL51 -- .G35 2010eb</t>
  </si>
  <si>
    <t>Foucault, Michel, -- 1926-1984 -- Influence.; Foucault, Michel, -- 1926-1984.; Philosophical theology.; Religion -- Philosophy.</t>
  </si>
  <si>
    <t>http://public.eblib.com/choice/PublicFullRecord.aspx?p=3332222</t>
  </si>
  <si>
    <t>Meaning</t>
  </si>
  <si>
    <t>Cooper, David E.</t>
  </si>
  <si>
    <t>B840 -- .C66 2003eb</t>
  </si>
  <si>
    <t>Meaning (Philosophy)</t>
  </si>
  <si>
    <t>http://public.eblib.com/choice/PublicFullRecord.aspx?p=3332223</t>
  </si>
  <si>
    <t>Canada Before Confederation : A Study on Historical Geography</t>
  </si>
  <si>
    <t>F1027.5 -- .H37 2005eb</t>
  </si>
  <si>
    <t>Canada -- Historical geography.</t>
  </si>
  <si>
    <t>http://public.eblib.com/choice/PublicFullRecord.aspx?p=3332224</t>
  </si>
  <si>
    <t>Virgil, the Blind Guide : Marking the Way Through Dante's Poem</t>
  </si>
  <si>
    <t>Howard, Lloyd H.</t>
  </si>
  <si>
    <t>PQ4410.V5 -- H69 2010eb</t>
  </si>
  <si>
    <t>Dante Alighieri, -- 1265-1321 -- Characters -- Virgil.; Dante Alighieri, -- 1265-1321 -- Technique.; Dante Alighieri, -- 1265-1321. -- Divina commedia.; Repetition in literature.; Virgil -- In literature.</t>
  </si>
  <si>
    <t>http://public.eblib.com/choice/PublicFullRecord.aspx?p=3332225</t>
  </si>
  <si>
    <t>God's Plenty : Religious Diversity in Kingston</t>
  </si>
  <si>
    <t>BL2530.C3 -- J35 2011eb</t>
  </si>
  <si>
    <t>200.9713/7209051</t>
  </si>
  <si>
    <t>Kingston (Ont.) -- Religion -- 21st century.; Religious pluralism -- Ontario -- Kingston -- History -- 21st century.</t>
  </si>
  <si>
    <t>http://public.eblib.com/choice/PublicFullRecord.aspx?p=3332226</t>
  </si>
  <si>
    <t>Cultural Diversity and Canadian Education : Issues and Innovations</t>
  </si>
  <si>
    <t>Mallea, John; Young, J. C.</t>
  </si>
  <si>
    <t>LA412 -- .C85 1990eb</t>
  </si>
  <si>
    <t>370.19/34/0971</t>
  </si>
  <si>
    <t>Education -- Canada.</t>
  </si>
  <si>
    <t>http://public.eblib.com/choice/PublicFullRecord.aspx?p=3332227</t>
  </si>
  <si>
    <t>Imposing Their Will : An Organizational History of Jewish Toronto, 1933-1948</t>
  </si>
  <si>
    <t>Lipinsky, Jack</t>
  </si>
  <si>
    <t>HV3193.C2 -- L57 2011eb</t>
  </si>
  <si>
    <t>361.7089/9240713541</t>
  </si>
  <si>
    <t>Jews -- Ontario -- Toronto -- Charities -- History -- 20th century.; Jews -- Ontario -- Toronto -- History -- 20th century.; Jews -- Ontario -- Toronto -- Identity.; Jews -- Ontario -- Toronto -- Social conditions -- 20th century.; Jews -- Ontario -- Toronto -- Societies, etc. -- History -- 20th century.</t>
  </si>
  <si>
    <t>http://public.eblib.com/choice/PublicFullRecord.aspx?p=3332228</t>
  </si>
  <si>
    <t>National Album : Collective Biography and the Formation of the Canadian Middle Class</t>
  </si>
  <si>
    <t>Lanning, Robert</t>
  </si>
  <si>
    <t>CT34.C2 -- L36 1996eb</t>
  </si>
  <si>
    <t>Biographers -- Canada.; Canada -- Biography -- Dictionaries -- History.; Canada -- Biography -- Dictionaries -- Social aspects.; Canada -- Biography -- History and criticism.; Middle class -- Canada -- History -- 19th century.</t>
  </si>
  <si>
    <t>http://public.eblib.com/choice/PublicFullRecord.aspx?p=3332229</t>
  </si>
  <si>
    <t>Rethinking the Political : The Sacred, Aesthetic Politics, and the Collège de Sociologie</t>
  </si>
  <si>
    <t>Falasca-Zamponi, Simonetta</t>
  </si>
  <si>
    <t>HM477.F8 -- F35 2011eb</t>
  </si>
  <si>
    <t>Collège de Sociologie -- History.; Sociology -- France -- History -- 20th century.</t>
  </si>
  <si>
    <t>http://public.eblib.com/choice/PublicFullRecord.aspx?p=3332230</t>
  </si>
  <si>
    <t>Canada's Origins : Liberal, Tory, or Republican?</t>
  </si>
  <si>
    <t>F1034.2 -- .C36 1997eb</t>
  </si>
  <si>
    <t>Canada -- Politics and government -- 1945-1980.; Conservatism -- Canada.; Liberalism -- Canada.; Republicanism -- Canada.</t>
  </si>
  <si>
    <t>http://public.eblib.com/choice/PublicFullRecord.aspx?p=3332231</t>
  </si>
  <si>
    <t>The Re-invention of the European Radical Right : Populism, Regionalism, and the Italian Lega Nord</t>
  </si>
  <si>
    <t>Zaslove, Andrej</t>
  </si>
  <si>
    <t>JN5657.L44 -- Z37 2011eb</t>
  </si>
  <si>
    <t>324.245/03</t>
  </si>
  <si>
    <t>Conservatism -- Italy -- History.; Italy -- Politics and government -- 1994-; Lega per l''indipendenza della Padania -- History.; Populism -- Italy -- History.; Regionalism -- Italy, Northern.</t>
  </si>
  <si>
    <t>http://public.eblib.com/choice/PublicFullRecord.aspx?p=3332232</t>
  </si>
  <si>
    <t>Urdu for Children, Book II, Let's Read Urdu, Part Two : Let's Read Urdu, Part II</t>
  </si>
  <si>
    <t>PK1973 -- .L48 2004eb</t>
  </si>
  <si>
    <t>http://public.eblib.com/choice/PublicFullRecord.aspx?p=3332233</t>
  </si>
  <si>
    <t>The Enterprising Admiral : The Personal Fortune of Admiral Sir Peter Warren</t>
  </si>
  <si>
    <t>Gwyn, J.</t>
  </si>
  <si>
    <t>DA87.1.W37 -- G89 1974eb</t>
  </si>
  <si>
    <t>338/.04/0924</t>
  </si>
  <si>
    <t>Warren, Peter, -- Sir, -- 1703-1752.</t>
  </si>
  <si>
    <t>http://public.eblib.com/choice/PublicFullRecord.aspx?p=3332234</t>
  </si>
  <si>
    <t>Leadership Under Fire : The Challenging Role of the Canadian University President</t>
  </si>
  <si>
    <t>Paul, Ross H.</t>
  </si>
  <si>
    <t>LB2341.8.C3 -- P38 2011eb</t>
  </si>
  <si>
    <t>378.1/110971</t>
  </si>
  <si>
    <t>College presidents -- Canada.; Educational leadership -- Canada.; Universities and colleges -- Canada -- Administration.</t>
  </si>
  <si>
    <t>http://public.eblib.com/choice/PublicFullRecord.aspx?p=3332235</t>
  </si>
  <si>
    <t>One Must Not Go Altogether with the Tide : The Letters of Ezra Pound and Stanley Nott</t>
  </si>
  <si>
    <t>Hickman, Miranda B.; Feenstra, Robin E.</t>
  </si>
  <si>
    <t>PS3531.O82 -- Z48 2011eb</t>
  </si>
  <si>
    <t>Nott, C. S. -- Correspondence.; Poets, American -- 20th century -- Correspondence.; Pound, Ezra, -- 1885-1972 -- Political and social views.; Pound, Ezra, -- 1885-1972. -- Correspondence.; Publishers and publishing -- Great Britain -- Correspondence.</t>
  </si>
  <si>
    <t>http://public.eblib.com/choice/PublicFullRecord.aspx?p=3332236</t>
  </si>
  <si>
    <t>Church of Notre Dame in Montreal : An Architectural History</t>
  </si>
  <si>
    <t>Toker, Franklin</t>
  </si>
  <si>
    <t>NA5247.M66 -- T65 1991eb</t>
  </si>
  <si>
    <t>Gothic revival (Architecture) -- Québec (Province) -- Montréal.; Montréal (Québec) -- Buildings, structures, etc.; Notre-Dame de Montréal (Church); O''Donnell, James, -- 1774-1830 -- Criticism and interpretation.</t>
  </si>
  <si>
    <t>http://public.eblib.com/choice/PublicFullRecord.aspx?p=3332237</t>
  </si>
  <si>
    <t>Peopling the North American City : Montreal, 1840-1900</t>
  </si>
  <si>
    <t>Olson, Sherry; Thornton, Patricia</t>
  </si>
  <si>
    <t>F1054.5.M857 -- O47 2011eb; HT352.C22 -- M667 2011eb</t>
  </si>
  <si>
    <t>307.7609714/2809034</t>
  </si>
  <si>
    <t>Assimilation (Sociology) -- Québec (Province) -- Montréal -- History -- 19th century.; City and town life -- Québec (Province) -- Montréal -- History -- 19th century.; Immigrant families -- Québec (Province) -- Montréal -- History -- 19th century.; Montréal (Québec) -- Ethnic relations -- History -- 19th century.; Montréal (Québec) -- Social life and customs -- 19th century.</t>
  </si>
  <si>
    <t>http://public.eblib.com/choice/PublicFullRecord.aspx?p=3332238</t>
  </si>
  <si>
    <t>Urdu for Children, Book II : Teacher's Manual</t>
  </si>
  <si>
    <t>PK1973 -- .T43 2004eb</t>
  </si>
  <si>
    <t>Urdu language -- Study and teaching -- Handbooks, manuals, etc.</t>
  </si>
  <si>
    <t>http://public.eblib.com/choice/PublicFullRecord.aspx?p=3332239</t>
  </si>
  <si>
    <t>Transdisciplinarity : reCreating Integrated Knowledge</t>
  </si>
  <si>
    <t>Somerville, Margaret A.; Rapport, David J.</t>
  </si>
  <si>
    <t>BD255 -- .T73 2000eb</t>
  </si>
  <si>
    <t>Interdisciplinary approach to knowledge.</t>
  </si>
  <si>
    <t>http://public.eblib.com/choice/PublicFullRecord.aspx?p=3332240</t>
  </si>
  <si>
    <t>Canadian Economic History : Classic and Contemporary Approaches</t>
  </si>
  <si>
    <t>Watkins, M.H.; Grant, H.M.K.</t>
  </si>
  <si>
    <t>HC113 -- .C36 1999eb</t>
  </si>
  <si>
    <t>Canada -- Economic conditions.</t>
  </si>
  <si>
    <t>http://public.eblib.com/choice/PublicFullRecord.aspx?p=3332241</t>
  </si>
  <si>
    <t>Education as Dialogue : Its Prerequisites and its Enemies</t>
  </si>
  <si>
    <t>Kazepides, Tasos</t>
  </si>
  <si>
    <t>LB14.7 -- .K39 2010eb</t>
  </si>
  <si>
    <t>Dialogue.; Education -- Philosophy.</t>
  </si>
  <si>
    <t>http://public.eblib.com/choice/PublicFullRecord.aspx?p=3332242</t>
  </si>
  <si>
    <t>Designing Government : From Instruments to Governance</t>
  </si>
  <si>
    <t>Eliadis, Pearl; Hill, Margaret M; Howlett, Michael</t>
  </si>
  <si>
    <t>JL86.P64 -- D47 2005eb</t>
  </si>
  <si>
    <t>Policy sciences.; Political planning -- Canada.; Public administration.</t>
  </si>
  <si>
    <t>http://public.eblib.com/choice/PublicFullRecord.aspx?p=3332243</t>
  </si>
  <si>
    <t>Public Passion : Rethinking the Grounds for Political Justice</t>
  </si>
  <si>
    <t>Kingston, Rebecca</t>
  </si>
  <si>
    <t>JA74.5 -- .K56 2011eb</t>
  </si>
  <si>
    <t>Emotions -- Political aspects.; Emotions (Philosophy); Political psychology.; Political science -- Philosophy.</t>
  </si>
  <si>
    <t>http://public.eblib.com/choice/PublicFullRecord.aspx?p=3332244</t>
  </si>
  <si>
    <t>Ars Americana, Ars Politica : Partisan Expression in Contemporary American Literature and Culture</t>
  </si>
  <si>
    <t>PS228.P6 -- S95 2010eb</t>
  </si>
  <si>
    <t>American literature -- 20th century -- History and criticism.; Authors, American -- 20th century -- Political and social views.; Politics and literature -- United States -- History -- 20th century.; Politics in literature.</t>
  </si>
  <si>
    <t>http://public.eblib.com/choice/PublicFullRecord.aspx?p=3332245</t>
  </si>
  <si>
    <t>Canada and the OAS : From Dilettante to Full Partner</t>
  </si>
  <si>
    <t>McKenna, Peter</t>
  </si>
  <si>
    <t>F1029 -- .M35 1995eb</t>
  </si>
  <si>
    <t>Canada -- Foreign relations.; International cooperation.; Organization of American States.</t>
  </si>
  <si>
    <t>http://public.eblib.com/choice/PublicFullRecord.aspx?p=3332246</t>
  </si>
  <si>
    <t>Aboriginal Peoples and Government Responsibility : Exploring Federal and Provincial Roles</t>
  </si>
  <si>
    <t>Hawkes, David; Hawkes, David C.</t>
  </si>
  <si>
    <t>E92 -- .A26 1995eb</t>
  </si>
  <si>
    <t>Federal government -- Canada.; Indians of North America -- Canada -- Government relations.; Indians of North America -- Legal status, laws, etc. -- Canada.; Inuit -- Canada -- Government relations.; Inuit -- Legal status, laws, etc. -- Canada.; Métis -- Government relations.; Métis -- Legal status, laws, etc.</t>
  </si>
  <si>
    <t>http://public.eblib.com/choice/PublicFullRecord.aspx?p=3332247</t>
  </si>
  <si>
    <t>MacKenzie-Papineau Battalion : The Canadian Contingent in the Spanish Civil War</t>
  </si>
  <si>
    <t>Howard, Victor; Reynolds, J.M.</t>
  </si>
  <si>
    <t>DP269.47.C36 -- H69 1986eb</t>
  </si>
  <si>
    <t>Spain -- History -- Civil War, 1936-1939 -- Participation, Canadian.; Spain. -- Ejército Popular de la República. -- Brigada Internacional, XV.</t>
  </si>
  <si>
    <t>http://public.eblib.com/choice/PublicFullRecord.aspx?p=3332248</t>
  </si>
  <si>
    <t>Canadian City : Essays in Urban and Social History</t>
  </si>
  <si>
    <t>Stelter, Gilbert; Artibise, Alan F. J.</t>
  </si>
  <si>
    <t>HT127 -- .C36 1991eb</t>
  </si>
  <si>
    <t>Cities and towns -- Canada -- History.</t>
  </si>
  <si>
    <t>http://public.eblib.com/choice/PublicFullRecord.aspx?p=3332249</t>
  </si>
  <si>
    <t>Great Heart : The History of a Labrador Adventure</t>
  </si>
  <si>
    <t>Davidson, James West; Rugge, John</t>
  </si>
  <si>
    <t>F1136 -- .D27 2006eb</t>
  </si>
  <si>
    <t>917.18/20420922; 971.8201</t>
  </si>
  <si>
    <t>Adventure and adventurers -- Newfoundland and Labrador -- Labrador -- History -- 20th century.; Elson, George -- Travel -- Newfoundland and Labrador -- Labrador.; Hubbard, Leonidas, -- 1872-1903 -- Travel -- Newfoundland and Labrador -- Labrador.; Hubbard, Mina -- Travel -- Newfoundland and Labrador -- Labrador.; Labrador (N.L.) -- Discovery and exploration.; Wallace, Dillon, -- 1863-1939 -- Travel -- Newfoundland and Labrador -- Labrador.</t>
  </si>
  <si>
    <t>http://public.eblib.com/choice/PublicFullRecord.aspx?p=3332250</t>
  </si>
  <si>
    <t>Modality</t>
  </si>
  <si>
    <t>Melia, Joseph</t>
  </si>
  <si>
    <t>BC199.M6 -- M45 2003eb</t>
  </si>
  <si>
    <t>Modality (Logic); Modality (Theory of knowledge)</t>
  </si>
  <si>
    <t>http://public.eblib.com/choice/PublicFullRecord.aspx?p=3332251</t>
  </si>
  <si>
    <t>In the Eye of the China Storm : A Life Between East and West</t>
  </si>
  <si>
    <t>Lin, Paul T.K.; Lin, Eileen Chen</t>
  </si>
  <si>
    <t>DS779.29.L56 -- L56 2011eb</t>
  </si>
  <si>
    <t>951.05/6092</t>
  </si>
  <si>
    <t>China -- History -- Cultural Revolution, 1966-1976.; Lin, Paul T. K., -- 1920-2004.; Scholars -- China -- Biography.</t>
  </si>
  <si>
    <t>http://public.eblib.com/choice/PublicFullRecord.aspx?p=3332252</t>
  </si>
  <si>
    <t>Restoring the Spirit : The Beginnings of Occupational Therapy in Canada, 1890-1930</t>
  </si>
  <si>
    <t>Friedland, Judith; Brenchley, Christie ; Teachman, Gail</t>
  </si>
  <si>
    <t>RM699.3.C3 -- F75 2011eb</t>
  </si>
  <si>
    <t>615.8/5150971</t>
  </si>
  <si>
    <t>Occupational therapy -- Canada -- History.</t>
  </si>
  <si>
    <t>http://public.eblib.com/choice/PublicFullRecord.aspx?p=3332253</t>
  </si>
  <si>
    <t>Alice Street : A Memoir</t>
  </si>
  <si>
    <t>Valeriote, Richard</t>
  </si>
  <si>
    <t>R464.V35 -- V35 2010eb</t>
  </si>
  <si>
    <t>610.69/5092</t>
  </si>
  <si>
    <t>Physicians -- Canada -- Biography.; Valeriote, Richard, -- 1929-</t>
  </si>
  <si>
    <t>http://public.eblib.com/choice/PublicFullRecord.aspx?p=3332254</t>
  </si>
  <si>
    <t>What the Bones Say : Tasmanian Reflections on Aborigines, Science and Domination</t>
  </si>
  <si>
    <t>Cove, John</t>
  </si>
  <si>
    <t>DU189 -- .C68 1995eb</t>
  </si>
  <si>
    <t>Anthropological ethics.; Anthropology -- Political aspects.; Indigenous peoples -- Research -- Australia -- Tasmania.; Social sciences -- Research -- Moral and ethical aspects.; Social sciences -- Research -- Political aspects.</t>
  </si>
  <si>
    <t>http://public.eblib.com/choice/PublicFullRecord.aspx?p=3332255</t>
  </si>
  <si>
    <t>How to be a Green Liberal : Nature, Value and Liberal Philosophy</t>
  </si>
  <si>
    <t>Hailwood, Simon</t>
  </si>
  <si>
    <t>JA75.8 -- .H35 2004eb</t>
  </si>
  <si>
    <t>Human ecology -- Political aspects.; Liberalism.</t>
  </si>
  <si>
    <t>http://public.eblib.com/choice/PublicFullRecord.aspx?p=3332256</t>
  </si>
  <si>
    <t>Free Will</t>
  </si>
  <si>
    <t>McFee, Graham</t>
  </si>
  <si>
    <t>BJ1461 -- .M387 2000eb</t>
  </si>
  <si>
    <t>123/.5</t>
  </si>
  <si>
    <t>Free will and determinism.</t>
  </si>
  <si>
    <t>http://public.eblib.com/choice/PublicFullRecord.aspx?p=3332257</t>
  </si>
  <si>
    <t>Outside the Box : The Life and Legacy of Writer Mona Gould, the Grandmother I Thought I Knew</t>
  </si>
  <si>
    <t>Meindl, Maria</t>
  </si>
  <si>
    <t>PR9199.3.G65335 -- Z76 2011eb</t>
  </si>
  <si>
    <t>C811/.52</t>
  </si>
  <si>
    <t>Authors, Canadian -- 20th century -- Biography.; Gould, Mona, -- 1908-1999.; Women authors, Canadian -- Biography.; Women broadcasters -- Canada -- Biography.</t>
  </si>
  <si>
    <t>http://public.eblib.com/choice/PublicFullRecord.aspx?p=3332258</t>
  </si>
  <si>
    <t>Urdu for Children, Book 1 : Teacher's Manual</t>
  </si>
  <si>
    <t>PK1973 -- .T43 1997eb</t>
  </si>
  <si>
    <t>Urdu language -- Study and teaching (Primary) -- Handbooks, manuals, etc.</t>
  </si>
  <si>
    <t>http://public.eblib.com/choice/PublicFullRecord.aspx?p=3332259</t>
  </si>
  <si>
    <t>Challenge for Change : Activist Documentary at the National Film Board of Canada</t>
  </si>
  <si>
    <t>Waugh, Thomas; Baker, Michael Brendan; Winton, Ezra</t>
  </si>
  <si>
    <t>Fine Arts; Journalism</t>
  </si>
  <si>
    <t>PN1995.9.D6 -- C43 2010eb</t>
  </si>
  <si>
    <t>Canada -- Social conditions -- 1945-; Challenge for Change (Program); Documentary films -- Canada -- History and criticism.; National Film Board of Canada.</t>
  </si>
  <si>
    <t>http://public.eblib.com/choice/PublicFullRecord.aspx?p=3332260</t>
  </si>
  <si>
    <t>Social and Political Bonds : A Mosaic of Contrast and Convergence</t>
  </si>
  <si>
    <t>Barnard, F.M.</t>
  </si>
  <si>
    <t>JA76 -- .B35 2010eb</t>
  </si>
  <si>
    <t>Civics.; Democracy.; Mediation.; Political participation.; Political sociology.; Public relations and politics.</t>
  </si>
  <si>
    <t>http://public.eblib.com/choice/PublicFullRecord.aspx?p=3332261</t>
  </si>
  <si>
    <t>Philosophy of Nature : A Guide to the New Essentialism</t>
  </si>
  <si>
    <t>Ellis, Brian; Ellis, B D</t>
  </si>
  <si>
    <t>B105.E65 -- E44 2002eb</t>
  </si>
  <si>
    <t>Essentialism (Philosophy); Necessity (Philosophy); Philosophy of nature.; Science -- Philosophy.</t>
  </si>
  <si>
    <t>http://public.eblib.com/choice/PublicFullRecord.aspx?p=3332262</t>
  </si>
  <si>
    <t>Magazine Writing From the Boonies</t>
  </si>
  <si>
    <t>Literature; Publishing</t>
  </si>
  <si>
    <t>Z286.P4 -- Z84 1999eb</t>
  </si>
  <si>
    <t>Authorship.</t>
  </si>
  <si>
    <t>http://public.eblib.com/choice/PublicFullRecord.aspx?p=3332263</t>
  </si>
  <si>
    <t>Last Child to Come Inside</t>
  </si>
  <si>
    <t>Desbarats, M.</t>
  </si>
  <si>
    <t>PR9199.3.D47 -- L37 1998eb</t>
  </si>
  <si>
    <t>Children -- Poetry.; Interpersonal relations -- Poetry.</t>
  </si>
  <si>
    <t>http://public.eblib.com/choice/PublicFullRecord.aspx?p=3332264</t>
  </si>
  <si>
    <t>Shouting, Embracing, and Dancing with Ecstasy : The Growth of Methodism in Newfoundland, 1774-1874</t>
  </si>
  <si>
    <t>Hollett, Calvin</t>
  </si>
  <si>
    <t>BX8252.N4 -- H66 2010eb</t>
  </si>
  <si>
    <t>287/.0971809034</t>
  </si>
  <si>
    <t>Methodist Church -- Newfoundland and Labrador -- History -- 18th century.; Methodist Church -- Newfoundland and Labrador -- History -- 19th century.</t>
  </si>
  <si>
    <t>http://public.eblib.com/choice/PublicFullRecord.aspx?p=3332265</t>
  </si>
  <si>
    <t>Tragedy and After : Euripides, Shakespeare, and Goethe</t>
  </si>
  <si>
    <t>Faas, E.</t>
  </si>
  <si>
    <t>PN1892 -- .F27 1986eb</t>
  </si>
  <si>
    <t>801/.952</t>
  </si>
  <si>
    <t>Euripides -- Criticism and interpretation.; Goethe, Johann Wolfgang von, -- 1749-1832 -- Criticism and interpretation.; Shakespeare, William, -- 1564-1616 -- Tragedies.; Tragedy -- History and criticism.</t>
  </si>
  <si>
    <t>http://public.eblib.com/choice/PublicFullRecord.aspx?p=3332266</t>
  </si>
  <si>
    <t>Shaping the Urban Landscape : Aspects of the Canadian City-Building Process</t>
  </si>
  <si>
    <t>HT169.C3 -- S52 1982eb</t>
  </si>
  <si>
    <t>307.7/6/0971</t>
  </si>
  <si>
    <t>City planning -- Canada -- History.; Urbanization -- Canada -- History.</t>
  </si>
  <si>
    <t>http://public.eblib.com/choice/PublicFullRecord.aspx?p=3332267</t>
  </si>
  <si>
    <t>Early Journals and Letters of Fanny Burney, Volume 2</t>
  </si>
  <si>
    <t>PR3316.A4 -- Z46 1990eb</t>
  </si>
  <si>
    <t>http://public.eblib.com/choice/PublicFullRecord.aspx?p=3332268</t>
  </si>
  <si>
    <t>Industrial Organization in Canada : Empirical Evidence and Policy Challenges</t>
  </si>
  <si>
    <t>Chen, Zhiqi; Duhamel, Marc</t>
  </si>
  <si>
    <t>HD3616.C23 -- I524 2010eb</t>
  </si>
  <si>
    <t>Business enterprises -- Canada -- Finance.; Business enterprises -- Canada.; Business enterprises -- Technological innovations -- Canada.; Industrial organization -- Canada.; Industrial policy -- Canada.; Industries -- Environmental aspects -- Canada.</t>
  </si>
  <si>
    <t>http://public.eblib.com/choice/PublicFullRecord.aspx?p=3332269</t>
  </si>
  <si>
    <t>Canadian Economy in the Great Depression</t>
  </si>
  <si>
    <t>Safarian, A.E.</t>
  </si>
  <si>
    <t>HC115 -- .S24 2009eb</t>
  </si>
  <si>
    <t>330.971/062</t>
  </si>
  <si>
    <t>Canada -- Economic conditions -- 1918-1945.; Depressions -- 1929 -- Canada.</t>
  </si>
  <si>
    <t>http://public.eblib.com/choice/PublicFullRecord.aspx?p=3332270</t>
  </si>
  <si>
    <t>Collections and Objections : Aboriginal Material Culture in Southern Ontario</t>
  </si>
  <si>
    <t>Hamilton, Michelle</t>
  </si>
  <si>
    <t>E99.I69 -- H36 2010eb</t>
  </si>
  <si>
    <t>Iroquoian Indians -- Antiquities -- Collection and preservation -- Ontario.; Iroquoian Indians -- Material culture -- Ontario -- Study and teaching.; Ojibwa Indians -- Antiquities -- Collection and preservation -- Ontario.; Ojibwa Indians -- Material culture -- Ontario -- Study and teaching.</t>
  </si>
  <si>
    <t>http://public.eblib.com/choice/PublicFullRecord.aspx?p=3332271</t>
  </si>
  <si>
    <t>Waterglass</t>
  </si>
  <si>
    <t>PR9199.3.D5518 -- W3 1999eb</t>
  </si>
  <si>
    <t>Art -- Poetry.; Canadian poetry.; Nature -- Poetry.; Women -- Poetry.</t>
  </si>
  <si>
    <t>http://public.eblib.com/choice/PublicFullRecord.aspx?p=3332272</t>
  </si>
  <si>
    <t>Inventing the PC : The MCM/70 Story</t>
  </si>
  <si>
    <t>Stachniak, Zbigniew</t>
  </si>
  <si>
    <t>QA76.8.M43 -- S73 2011eb</t>
  </si>
  <si>
    <t>Computer engineering -- Canada -- History.; MCM/70 (Computer); Microcomputers -- Canada -- Design and construction -- History.</t>
  </si>
  <si>
    <t>http://public.eblib.com/choice/PublicFullRecord.aspx?p=3332273</t>
  </si>
  <si>
    <t>Thomas D'Arcy McGee : The Extreme Moderate, 1857-1868</t>
  </si>
  <si>
    <t>F1032 -- .W55 2011eb</t>
  </si>
  <si>
    <t>Canada -- History -- Confederation, 1867.; Canada -- Politics and government -- 1841-1867.; McGee, Thomas D''Arcy, -- 1825-1868.; Politicians -- Canada -- Biography.</t>
  </si>
  <si>
    <t>http://public.eblib.com/choice/PublicFullRecord.aspx?p=3332274</t>
  </si>
  <si>
    <t>Not Quite Supreme : The Courts and Coordinate Constitutional Interpretation</t>
  </si>
  <si>
    <t>Baker, Dennis</t>
  </si>
  <si>
    <t>KE4775 -- .B35 2010eb</t>
  </si>
  <si>
    <t>Canada. -- Supreme Court.; Constitutional law -- Canada.; Judicial supremacy -- Canada.; Separation of powers -- Canada.</t>
  </si>
  <si>
    <t>http://public.eblib.com/choice/PublicFullRecord.aspx?p=3332275</t>
  </si>
  <si>
    <t>Treading Fast Rivers</t>
  </si>
  <si>
    <t>Schönmaier, Eleonore</t>
  </si>
  <si>
    <t>PR9199.3.S2675 -- T74 1999eb</t>
  </si>
  <si>
    <t>Geography -- Poetry.; Nature -- Poetry.; Thought and thinking -- Poetry.</t>
  </si>
  <si>
    <t>http://public.eblib.com/choice/PublicFullRecord.aspx?p=3332276</t>
  </si>
  <si>
    <t>Infection of the Innocents : Wet Nurses, Infants, and Syphilis in France, 1780-1900</t>
  </si>
  <si>
    <t>Sherwood, Joan</t>
  </si>
  <si>
    <t>RC201.6.F8 -- S54 2010eb</t>
  </si>
  <si>
    <t>Hospice de Vaugirard (Paris, France) -- History.; Medical personnel -- Malpractice -- France -- History.; Syphilis -- Patients -- Legal status, laws, etc. -- France -- History.; Syphilis, Congenital, hereditary, and infantile -- Treatment -- Social aspects -- France -- History.; Wet nurses -- Legal status, laws, etc. -- France -- History.</t>
  </si>
  <si>
    <t>http://public.eblib.com/choice/PublicFullRecord.aspx?p=3332277</t>
  </si>
  <si>
    <t>Marguerite Bourgeoys et Montreal, 1640-1665</t>
  </si>
  <si>
    <t>Simpson, Patricia; Poissant, Simone</t>
  </si>
  <si>
    <t>BX4700.B76 -- S5614 1999eb</t>
  </si>
  <si>
    <t>Bourgeoys, Marguerite, -- Saint, -- 1620-1700.; Canada -- History -- To 1763 (New France); Christian saints -- Canada -- Biography.; Montréal (Québec) -- History -- 17th century.; Nuns -- Québec (Province) -- Biography.</t>
  </si>
  <si>
    <t>http://public.eblib.com/choice/PublicFullRecord.aspx?p=3332278</t>
  </si>
  <si>
    <t>A New Synthesis of Public Administration : Serving in the 21st Century</t>
  </si>
  <si>
    <t>Queen's Policy Studies</t>
  </si>
  <si>
    <t>Queen's Policy Studies Series</t>
  </si>
  <si>
    <t>Bourgon, Jocelyne</t>
  </si>
  <si>
    <t>JF1351 -- .B64 2011eb</t>
  </si>
  <si>
    <t>Public administration -- Case studies.; Public administration -- History -- 21st century.; Public administration -- Philosophy.</t>
  </si>
  <si>
    <t>http://public.eblib.com/choice/PublicFullRecord.aspx?p=3332279</t>
  </si>
  <si>
    <t>Truth</t>
  </si>
  <si>
    <t>Engel, Pascal</t>
  </si>
  <si>
    <t>BC171 -- .E54 2002eb</t>
  </si>
  <si>
    <t>Truth.</t>
  </si>
  <si>
    <t>http://public.eblib.com/choice/PublicFullRecord.aspx?p=3332280</t>
  </si>
  <si>
    <t>We All Begin in a Little Magazine : ARC and the Promise of Canada's Poets, 1978-1998</t>
  </si>
  <si>
    <t>Arc</t>
  </si>
  <si>
    <t>PR9195.7 -- .W4 1998eb</t>
  </si>
  <si>
    <t>811/.54080971</t>
  </si>
  <si>
    <t>Canadian poetry -- 20th century.</t>
  </si>
  <si>
    <t>http://public.eblib.com/choice/PublicFullRecord.aspx?p=3332281</t>
  </si>
  <si>
    <t>Action</t>
  </si>
  <si>
    <t>Stout, Rowland</t>
  </si>
  <si>
    <t>B105.A35 -- S76 2005eb</t>
  </si>
  <si>
    <t>Act (Philosophy)</t>
  </si>
  <si>
    <t>http://public.eblib.com/choice/PublicFullRecord.aspx?p=3332282</t>
  </si>
  <si>
    <t>A Russian Jew of Bloomsbury : The Life and Times of Samuel Koteliansky</t>
  </si>
  <si>
    <t>BIO007000</t>
  </si>
  <si>
    <t>Diment, Galya</t>
  </si>
  <si>
    <t>PR478.B46 -- D56 2011eb</t>
  </si>
  <si>
    <t>Bloomsbury group -- Biography.; Koteliansky, S. S. -- (Samuel Solomonovitch), -- 1880-1955.; Translators -- Great Britain -- Biography.</t>
  </si>
  <si>
    <t>http://public.eblib.com/choice/PublicFullRecord.aspx?p=3332283</t>
  </si>
  <si>
    <t>The Language of the Inuit : Syntax, Semantics, and Society in the Arctic</t>
  </si>
  <si>
    <t>Dorais, Louis-Jacques</t>
  </si>
  <si>
    <t>PM55 -- .D67 2010eb</t>
  </si>
  <si>
    <t>Inuit language.; Inuktitut dialect -- Social aspects.; Inuktitut dialect.</t>
  </si>
  <si>
    <t>http://public.eblib.com/choice/PublicFullRecord.aspx?p=3332284</t>
  </si>
  <si>
    <t>Idealism Transformed : The Making of a Progressive Educator</t>
  </si>
  <si>
    <t>Wood, Anne</t>
  </si>
  <si>
    <t>LA2325.P87 -- W66 1985eb</t>
  </si>
  <si>
    <t>370/.92/4</t>
  </si>
  <si>
    <t>Education -- Canada -- History.; Education -- Canada -- Philosophy -- History.; Educators -- Canada -- Biography.; Putman, J. Harold -- (John Harold), -- 1866-1940.</t>
  </si>
  <si>
    <t>http://public.eblib.com/choice/PublicFullRecord.aspx?p=3332285</t>
  </si>
  <si>
    <t>Highway of the Atom</t>
  </si>
  <si>
    <t>van Wyck, Peter</t>
  </si>
  <si>
    <t>QE390.2.U7 -- V35 2010eb</t>
  </si>
  <si>
    <t>Atomic bomb -- History.; Chipewyan Indians -- Northwest Territories -- Great Bear Lake -- Social conditions.; Nuclear industry -- Canada -- History.; Uranium mines and mining -- Northwest Territories -- Port Radium -- History.</t>
  </si>
  <si>
    <t>http://public.eblib.com/choice/PublicFullRecord.aspx?p=3332286</t>
  </si>
  <si>
    <t>One of the Boys : Homosexuality in the Military during World War II</t>
  </si>
  <si>
    <t>D810.G39 -- J33 2010eb</t>
  </si>
  <si>
    <t>Canada. -- Canadian Armed Forces -- History -- World War, 1939-1945.; Gay men -- Canada -- History -- 20th century.; Gay military personnel -- Canada -- History -- 20th century.; Gay military personnel -- Government policy -- Canada.; World War, 1939-1945 -- Participation, Gay.</t>
  </si>
  <si>
    <t>http://public.eblib.com/choice/PublicFullRecord.aspx?p=3332287</t>
  </si>
  <si>
    <t>Rolph Scarlett : Painter, Designer, and Jeweller</t>
  </si>
  <si>
    <t>N6537.S336 -- N38 2004eb</t>
  </si>
  <si>
    <t>Art, Abstract -- Canada.; Art, Abstract -- United States.; Scarlett, Rolph, -- 1889-1984.</t>
  </si>
  <si>
    <t>http://public.eblib.com/choice/PublicFullRecord.aspx?p=3332288</t>
  </si>
  <si>
    <t>Philosophy of Kierkegaard</t>
  </si>
  <si>
    <t>Continental European Philosophy</t>
  </si>
  <si>
    <t>Pattison, George</t>
  </si>
  <si>
    <t>B4377 -- .P38 2005eb</t>
  </si>
  <si>
    <t>Kierkegaard, Søren, -- 1813-1855.; Philosophy.</t>
  </si>
  <si>
    <t>http://public.eblib.com/choice/PublicFullRecord.aspx?p=3332289</t>
  </si>
  <si>
    <t>Philosophy of Music : An Introduction</t>
  </si>
  <si>
    <t>Sharpe, R.A.</t>
  </si>
  <si>
    <t>ML3800 -- .S53 2004eb</t>
  </si>
  <si>
    <t>Music -- Philosophy and aesthetics.</t>
  </si>
  <si>
    <t>http://public.eblib.com/choice/PublicFullRecord.aspx?p=3332290</t>
  </si>
  <si>
    <t>Direct Intervention : Canada-France Relations, 1967-1974</t>
  </si>
  <si>
    <t>Black, Eldon</t>
  </si>
  <si>
    <t>F1029.5.F8 -- B53 1997eb</t>
  </si>
  <si>
    <t>Canada -- Foreign relations -- 1945-; Canada -- Foreign relations -- France.; France -- Foreign relations -- Canada.</t>
  </si>
  <si>
    <t>http://public.eblib.com/choice/PublicFullRecord.aspx?p=3332291</t>
  </si>
  <si>
    <t>Vanguard of the New Age : The Toronto Theosophical Society, 1891-1945</t>
  </si>
  <si>
    <t>McCann, Gillian</t>
  </si>
  <si>
    <t>BP510.T67 -- M33 2012eb</t>
  </si>
  <si>
    <t>Occultism -- Canada -- History.; Theosophy -- Canada -- History.; Toronto Theosophical Society -- History.</t>
  </si>
  <si>
    <t>http://public.eblib.com/choice/PublicFullRecord.aspx?p=3332292</t>
  </si>
  <si>
    <t>Global Regimes and Nation-States : Environmental Issues in Australian Politics</t>
  </si>
  <si>
    <t>Boardman, Robert</t>
  </si>
  <si>
    <t>HC610.E5 -- B63 1990eb</t>
  </si>
  <si>
    <t>Environmental policy -- Australia.; Environmental protection -- Australia.</t>
  </si>
  <si>
    <t>http://public.eblib.com/choice/PublicFullRecord.aspx?p=3332293</t>
  </si>
  <si>
    <t>Circulation and the City : Essays on Urban Culture</t>
  </si>
  <si>
    <t>Culture of Cities</t>
  </si>
  <si>
    <t>Boutros, Alexandra; Straw, Will</t>
  </si>
  <si>
    <t>HT153 -- .C47 2010eb</t>
  </si>
  <si>
    <t>Sociology, Urban -- Québec (Province) -- Montréal.; Sociology, Urban.</t>
  </si>
  <si>
    <t>http://public.eblib.com/choice/PublicFullRecord.aspx?p=3332294</t>
  </si>
  <si>
    <t>Staying Connected : How MacDougall Family Traditions Built a Business over 160 Years</t>
  </si>
  <si>
    <t>Ferrabee, James; Harrison, Michael St B.</t>
  </si>
  <si>
    <t>HG5154.3 -- .F37 2009eb</t>
  </si>
  <si>
    <t>332.6/20971</t>
  </si>
  <si>
    <t>Investment advisors -- Canada -- Biography.; Investment advisors -- Québec (Province) -- Montréal -- Biography.; MacDougall, MacDougall &amp; MacTier (Firm) -- History.</t>
  </si>
  <si>
    <t>http://public.eblib.com/choice/PublicFullRecord.aspx?p=3332295</t>
  </si>
  <si>
    <t>Dugard of Rouen : French Trade to Canada and the West Indies, 1729-1770</t>
  </si>
  <si>
    <t>Miquelon, Dale</t>
  </si>
  <si>
    <t>HF489.D84 -- M57 1978eb</t>
  </si>
  <si>
    <t>380.1/06/544</t>
  </si>
  <si>
    <t>Canada -- Commerce -- France -- History.; Dugard, Robert, -- 1704-1770.; France -- Commerce -- Canada -- History.; France -- Commerce -- West Indies -- History.; Société du Canada.; West Indies -- Commerce -- France -- History.</t>
  </si>
  <si>
    <t>http://public.eblib.com/choice/PublicFullRecord.aspx?p=3332296</t>
  </si>
  <si>
    <t>David Lewis</t>
  </si>
  <si>
    <t>Nolan, Daniel</t>
  </si>
  <si>
    <t>B945.L4554 -- N65 2005eb</t>
  </si>
  <si>
    <t>Lewis, David K. -- (David Kellogg), -- 1941-2001.; Philosophy.</t>
  </si>
  <si>
    <t>http://public.eblib.com/choice/PublicFullRecord.aspx?p=3332297</t>
  </si>
  <si>
    <t>Gender and Narrativity</t>
  </si>
  <si>
    <t>Rutland, Barry</t>
  </si>
  <si>
    <t>PN56.S52 -- G45 1997eb</t>
  </si>
  <si>
    <t>Gender identity in literature.; Narration (Rhetoric)</t>
  </si>
  <si>
    <t>http://public.eblib.com/choice/PublicFullRecord.aspx?p=3332298</t>
  </si>
  <si>
    <t>Transatlantic Passages : Literary and Cultural Relations between Quebec and Francophone Europe</t>
  </si>
  <si>
    <t>Gilbert, Paula; Santoro, Miléna</t>
  </si>
  <si>
    <t>F1052 -- .T687 2010eb</t>
  </si>
  <si>
    <t>303.48/271404</t>
  </si>
  <si>
    <t>Europe, French-speaking -- Relations -- Québec (Province); Québec (Province) -- Civilization -- European influences.; Québec (Province) -- Intellectual life.; Québec (Province) -- Relations -- Europe, French-speaking.</t>
  </si>
  <si>
    <t>http://public.eblib.com/choice/PublicFullRecord.aspx?p=3332299</t>
  </si>
  <si>
    <t>Into Deep Waters : Evangelical Spirituality and Maritime Calvinistic Baptist Ministers, 1790-1855</t>
  </si>
  <si>
    <t>Goodwin, Daniel C.</t>
  </si>
  <si>
    <t>BX6493 -- .G65 2010eb</t>
  </si>
  <si>
    <t>286/.10922715</t>
  </si>
  <si>
    <t>Baptists -- Maritime Provinces -- Clergy -- Biography.; Baptists -- Maritime Provinces -- History -- 19th century.; Evangelicalism -- Maritime Provinces -- History -- 19th century.</t>
  </si>
  <si>
    <t>http://public.eblib.com/choice/PublicFullRecord.aspx?p=3332300</t>
  </si>
  <si>
    <t>Homeland for the Cree : Regional Development in James Bay, 1971-1981</t>
  </si>
  <si>
    <t>Salisbury, R.</t>
  </si>
  <si>
    <t>E99.C88 -- S35 1986eb</t>
  </si>
  <si>
    <t>Cree Indians -- Economic conditions.; Cree Indians -- Government relations.; Cree Indians -- Land tenure.; James Bay Hydroelectric Project.; Regional planning -- James Bay Region.</t>
  </si>
  <si>
    <t>http://public.eblib.com/choice/PublicFullRecord.aspx?p=3332301</t>
  </si>
  <si>
    <t>Building Better Health Care Leadership for Canada : Implementing Evidence</t>
  </si>
  <si>
    <t>Sullivan, Terrence; Denis, Jean-Louis</t>
  </si>
  <si>
    <t>RA184 -- .B85 2011eb</t>
  </si>
  <si>
    <t>EXTRA Program.; Health services administration -- Canada -- Case studies.; Health services administration -- Canada.; Medical care -- Canada -- Decision making.; Medical care -- Canada.</t>
  </si>
  <si>
    <t>http://public.eblib.com/choice/PublicFullRecord.aspx?p=3332302</t>
  </si>
  <si>
    <t>B21 -- .C46 2005eb</t>
  </si>
  <si>
    <t>Philosophy.</t>
  </si>
  <si>
    <t>http://public.eblib.com/choice/PublicFullRecord.aspx?p=3332303</t>
  </si>
  <si>
    <t>Arctic Discoveries : Images from Voyages of Four Decades in the North</t>
  </si>
  <si>
    <t>Bockstoce, John</t>
  </si>
  <si>
    <t>G608 -- .B63 2000eb</t>
  </si>
  <si>
    <t>Arctic regions -- Description and travel.; Arctic regions -- Pictorial works.; Bockstoce, John R. -- Travel -- Arctic regions.</t>
  </si>
  <si>
    <t>http://public.eblib.com/choice/PublicFullRecord.aspx?p=3332304</t>
  </si>
  <si>
    <t>In Search of Political Stability : A Comparative Study of New Brunswick and Northern Ireland</t>
  </si>
  <si>
    <t>Aunger, E.</t>
  </si>
  <si>
    <t>JC330.2 -- .A93 1981eb</t>
  </si>
  <si>
    <t>306/.2</t>
  </si>
  <si>
    <t>New Brunswick -- Politics and government.; Northern Ireland -- Politics and government.; Political stability -- New Brunswick -- History.; Political stability -- Northern Ireland -- History.</t>
  </si>
  <si>
    <t>http://public.eblib.com/choice/PublicFullRecord.aspx?p=3332305</t>
  </si>
  <si>
    <t>Integrity : Doing the Right Thing for the Right Reason</t>
  </si>
  <si>
    <t>BJ1533.I58 -- K55 2010eb</t>
  </si>
  <si>
    <t>Integrity.; Jungian psychology.; Obsessive-compulsive disorder.</t>
  </si>
  <si>
    <t>http://public.eblib.com/choice/PublicFullRecord.aspx?p=3332306</t>
  </si>
  <si>
    <t>Inclusive Equality : The Relational Dimensions of Systemic Discrimination in Canada</t>
  </si>
  <si>
    <t>Sheppard, Colleen</t>
  </si>
  <si>
    <t>KE4410 -- .S54 2010eb</t>
  </si>
  <si>
    <t>342.7108/5</t>
  </si>
  <si>
    <t>Civil rights -- Canada.; Discrimination -- Law and legislation -- Canada.; Discrimination -- Social aspects -- Canada.; Equality -- Social aspects -- Canada.; Equality before the law -- Canada.; Sociological jurisprudence -- Canada.</t>
  </si>
  <si>
    <t>http://public.eblib.com/choice/PublicFullRecord.aspx?p=3332307</t>
  </si>
  <si>
    <t>Applied Research and Evaluation in Community Mental Health Services : An Update of Key Research Domains</t>
  </si>
  <si>
    <t>Vingilis, Evelyn; State, Stephen A.</t>
  </si>
  <si>
    <t>RA790 -- .A67 2011eb</t>
  </si>
  <si>
    <t>362.2/0425</t>
  </si>
  <si>
    <t>Community mental health services.</t>
  </si>
  <si>
    <t>http://public.eblib.com/choice/PublicFullRecord.aspx?p=3332308</t>
  </si>
  <si>
    <t>Philosophy of Habermas</t>
  </si>
  <si>
    <t>Edgar, Andrew</t>
  </si>
  <si>
    <t>B3258.H324 -- E34 2005eb</t>
  </si>
  <si>
    <t>Habermas, Jürgen.; Philosophy, European.</t>
  </si>
  <si>
    <t>http://public.eblib.com/choice/PublicFullRecord.aspx?p=3332309</t>
  </si>
  <si>
    <t>Capital Formation in Canada, 1896-1930</t>
  </si>
  <si>
    <t>Buckley, Kenneth</t>
  </si>
  <si>
    <t>HG5152 -- .B8 1974eb</t>
  </si>
  <si>
    <t>332/.0415/0971</t>
  </si>
  <si>
    <t>Saving and investment -- Canada.</t>
  </si>
  <si>
    <t>http://public.eblib.com/choice/PublicFullRecord.aspx?p=3332310</t>
  </si>
  <si>
    <t>Organized Labour and Pressure Politics : The Canadian Labour Congress, 1956-1968</t>
  </si>
  <si>
    <t>Kwavnick, D.</t>
  </si>
  <si>
    <t>HD8102.C275 -- K85eb</t>
  </si>
  <si>
    <t>Canadian Labour Congress.; Labor unions -- Political activity -- Canada.</t>
  </si>
  <si>
    <t>http://public.eblib.com/choice/PublicFullRecord.aspx?p=3332311</t>
  </si>
  <si>
    <t>Canada in the Soviet Mirror : Ideology and Perception in Soviet Foreign Affairs, 1917-1991</t>
  </si>
  <si>
    <t>Black, J.L.</t>
  </si>
  <si>
    <t>DK266.45 -- .B53 1998eb</t>
  </si>
  <si>
    <t>Canada -- Foreign public opinion, Soviet -- History -- 20th century.; Canada -- Foreign relations -- Soviet Union.; Public opinion -- Soviet Union -- History -- 20th century.; Soviet Union -- Foreign relations -- Canada.</t>
  </si>
  <si>
    <t>http://public.eblib.com/choice/PublicFullRecord.aspx?p=3332312</t>
  </si>
  <si>
    <t>The Love Queen of Malabar : Memoir of a Friendship with Kamala Das</t>
  </si>
  <si>
    <t>Weisbord, Merrily</t>
  </si>
  <si>
    <t>PR9499.3.D35 -- Z95 2010eb</t>
  </si>
  <si>
    <t>828/.91409</t>
  </si>
  <si>
    <t>Authors, Malayalam -- 20th century -- Biography.; Kamalā Su̲rayya, -- 1934-2009 -- Friends and associates.; Kamalā Su̲rayya, -- 1934-2009.; Women authors, Indic -- 20th century -- Biography.</t>
  </si>
  <si>
    <t>http://public.eblib.com/choice/PublicFullRecord.aspx?p=3332313</t>
  </si>
  <si>
    <t>Supreme Fictions : Studies in the Work of William Blake, Thomas Carlyle, W. B. Yeats and D. H. Lawrence</t>
  </si>
  <si>
    <t>John, B.</t>
  </si>
  <si>
    <t>PR149.V55 -- J64 1974eb</t>
  </si>
  <si>
    <t>820/.9/38</t>
  </si>
  <si>
    <t>Blake, William, -- 1757-1827 -- Criticism and interpretation.; Carlyle, Thomas, -- 1795-1881 -- Criticism and interpretation.; English literature -- History and criticism.; Lawrence, D. H. -- (David Herbert), -- 1885-1930 -- Criticism and interpretation.; Vitalism in literature.; Yeats, W. B. -- (William Butler), -- 1865-1939 -- Criticism and interpretation.</t>
  </si>
  <si>
    <t>http://public.eblib.com/choice/PublicFullRecord.aspx?p=3332314</t>
  </si>
  <si>
    <t>Habitations et Milieu de Vie : L'évolution du logement au Canada, 1945 à 1986</t>
  </si>
  <si>
    <t>Miron, John</t>
  </si>
  <si>
    <t>HD7305.A3 -- H33 1994eb</t>
  </si>
  <si>
    <t>Housing -- Canada -- History -- 20th century.</t>
  </si>
  <si>
    <t>http://public.eblib.com/choice/PublicFullRecord.aspx?p=3332315</t>
  </si>
  <si>
    <t>Pegi by Herself : The Life of Pegi Nicol MacLeod, Canadian Artist</t>
  </si>
  <si>
    <t>Brandon, Laura</t>
  </si>
  <si>
    <t>ND249.M27 -- B72 2005eb</t>
  </si>
  <si>
    <t>Nicol, Pegi, -- 1904-1949.; Painters -- Canada -- Biography.</t>
  </si>
  <si>
    <t>http://public.eblib.com/choice/PublicFullRecord.aspx?p=3332316</t>
  </si>
  <si>
    <t>Climate Change in the 21st Century</t>
  </si>
  <si>
    <t>Cohen, Stewart J.; Waddell, Melissa W.</t>
  </si>
  <si>
    <t>Science; Science: Physics; Environmental Studies</t>
  </si>
  <si>
    <t>QC903 -- .C64 2009eb</t>
  </si>
  <si>
    <t>Climatic changes.; Global warming.</t>
  </si>
  <si>
    <t>http://public.eblib.com/choice/PublicFullRecord.aspx?p=3332317</t>
  </si>
  <si>
    <t>Congo Solo : Misadventures Two Degrees North</t>
  </si>
  <si>
    <t>Hahn, Emily; Cuthbertson; Van Woudenberg, Anneke</t>
  </si>
  <si>
    <t>PS3515.A2422 -- Z46 2011eb</t>
  </si>
  <si>
    <t>Authors, American -- 20th century -- Biography.; Congo (Democratic Republic) -- Description and travel.; Congo (Democratic Republic) -- Social life and customs.; Hahn, Emily, -- 1905-1997 -- Travel -- Congo (Democratic Republic); Women travelers -- United States -- Biography.</t>
  </si>
  <si>
    <t>http://public.eblib.com/choice/PublicFullRecord.aspx?p=3332318</t>
  </si>
  <si>
    <t>Environmental Philosophy</t>
  </si>
  <si>
    <t>Belshaw, Christopher</t>
  </si>
  <si>
    <t>GE40 -- .B45 2001eb</t>
  </si>
  <si>
    <t>Environmental sciences -- Philosophy.; Human ecology -- Philosophy.</t>
  </si>
  <si>
    <t>http://public.eblib.com/choice/PublicFullRecord.aspx?p=3332319</t>
  </si>
  <si>
    <t>On to Civvy Street : Canada's Rehabilitation Program for Veterans of the Second World War</t>
  </si>
  <si>
    <t>UB359.C2 -- N43 2011eb</t>
  </si>
  <si>
    <t>Veterans -- Government policy -- Canada.; Veterans -- Legal status, laws, etc. -- Canada.; World War, 1939-1945 -- Veterans -- Canada.</t>
  </si>
  <si>
    <t>http://public.eblib.com/choice/PublicFullRecord.aspx?p=3332320</t>
  </si>
  <si>
    <t>http://public.eblib.com/choice/PublicFullRecord.aspx?p=3332321</t>
  </si>
  <si>
    <t>Friendly Remainders : Essays in Music Criticism after Adorno</t>
  </si>
  <si>
    <t>Dineen, Murray</t>
  </si>
  <si>
    <t>ML423.A33 -- D56 2011eb</t>
  </si>
  <si>
    <t>Adorno, Theodor W., -- 1903-1969 -- Criticism and interpretation.; Music -- History and criticism.</t>
  </si>
  <si>
    <t>http://public.eblib.com/choice/PublicFullRecord.aspx?p=3332322</t>
  </si>
  <si>
    <t>Partita for Glenn Gould : An Inquiry into the Nature of Genius</t>
  </si>
  <si>
    <t>Leroux, Georges</t>
  </si>
  <si>
    <t>ML417.G68 -- L47 2010eb</t>
  </si>
  <si>
    <t>Gould, Glenn.; Music -- Social aspects.</t>
  </si>
  <si>
    <t>http://public.eblib.com/choice/PublicFullRecord.aspx?p=3332323</t>
  </si>
  <si>
    <t>Chinese Education in Transition : Prelude to the Cultural Revolution</t>
  </si>
  <si>
    <t>Kwong, J.</t>
  </si>
  <si>
    <t>LA1131 -- .K85 1979eb</t>
  </si>
  <si>
    <t>370/.951</t>
  </si>
  <si>
    <t>China -- Economic conditions -- 1949-1976.; Education -- China -- History -- 20th century.</t>
  </si>
  <si>
    <t>http://public.eblib.com/choice/PublicFullRecord.aspx?p=3332324</t>
  </si>
  <si>
    <t>Done with Slavery : The Black Fact in Montreal, 1760-1840</t>
  </si>
  <si>
    <t>F1054.5.M89 -- N3 2010eb</t>
  </si>
  <si>
    <t>971.4/2800496</t>
  </si>
  <si>
    <t>Blacks -- Québec (Province) -- Montréal -- History.; Blacks -- Québec (Province) -- Montréal -- Social conditions.; Canada -- History -- 1763-1791.; Canada -- History -- 1791-1841.; Montréal (Québec) -- History.; Montréal (Québec) -- Race relations -- History.; Slavery -- Québec (Province) -- Montréal -- History.</t>
  </si>
  <si>
    <t>http://public.eblib.com/choice/PublicFullRecord.aspx?p=3332325</t>
  </si>
  <si>
    <t>First Crack</t>
  </si>
  <si>
    <t>Poile, Craig</t>
  </si>
  <si>
    <t>PR9199.3.P55775 -- F57 1998eb</t>
  </si>
  <si>
    <t>Interpersonal relations -- Poetry.; Mythology -- Poetry.; Religion -- Poetry.</t>
  </si>
  <si>
    <t>http://public.eblib.com/choice/PublicFullRecord.aspx?p=3332326</t>
  </si>
  <si>
    <t>Blindfold</t>
  </si>
  <si>
    <t>Asfour, John</t>
  </si>
  <si>
    <t>PR9199.3.A75 -- B58 2011eb</t>
  </si>
  <si>
    <t>Blindness -- Poetry.</t>
  </si>
  <si>
    <t>http://public.eblib.com/choice/PublicFullRecord.aspx?p=3332327</t>
  </si>
  <si>
    <t>Autumn Harvest : Selected Poems</t>
  </si>
  <si>
    <t>Fontanus Monograph Series</t>
  </si>
  <si>
    <t>Frost, Stanley  B.</t>
  </si>
  <si>
    <t>PR9199.3.F76 -- A98 2002eb</t>
  </si>
  <si>
    <t>Historical poetry.; Nature -- Poetry.; Religion -- Poetry.</t>
  </si>
  <si>
    <t>http://public.eblib.com/choice/PublicFullRecord.aspx?p=3332328</t>
  </si>
  <si>
    <t>Central Works of Philosophy : The Twentieth Century: Quine and After</t>
  </si>
  <si>
    <t>B21 -- .T84 2006eb</t>
  </si>
  <si>
    <t>Philosophy -- Introductions.</t>
  </si>
  <si>
    <t>http://public.eblib.com/choice/PublicFullRecord.aspx?p=3332329</t>
  </si>
  <si>
    <t>Religion in Life at Louisbourg, 1713-1758</t>
  </si>
  <si>
    <t>BX1424.L68 -- J64 1996eb</t>
  </si>
  <si>
    <t>Catholic Church -- Nova Scotia -- Louisbourg -- History.; Louisbourg (N.S.) -- Church history.; Louisbourg (N.S.) -- Religious life and customs.; Monasticism and religious orders -- Nova Scotia -- Louisbourg -- History.</t>
  </si>
  <si>
    <t>http://public.eblib.com/choice/PublicFullRecord.aspx?p=3332330</t>
  </si>
  <si>
    <t>Giving My Body to Science</t>
  </si>
  <si>
    <t>Rose, Rachel</t>
  </si>
  <si>
    <t>PR9199.3.R5883 -- G58 2004eb</t>
  </si>
  <si>
    <t>Canada -- Poetry.; Human body -- Poetry.; Science -- Poetry.</t>
  </si>
  <si>
    <t>http://public.eblib.com/choice/PublicFullRecord.aspx?p=3332331</t>
  </si>
  <si>
    <t>Telling it to the Judge : Taking Native History to Court</t>
  </si>
  <si>
    <t>Ray, Arthur J.</t>
  </si>
  <si>
    <t>KE7709 -- .R39 2011eb</t>
  </si>
  <si>
    <t>Evidence, Expert -- Canada -- Biography.; Evidence, Expert -- Canada.; Historians -- Canada -- Biography.; Indians of North America -- Legal status, laws, etc. -- Canada.; Ray, Arthur J.</t>
  </si>
  <si>
    <t>http://public.eblib.com/choice/PublicFullRecord.aspx?p=3332332</t>
  </si>
  <si>
    <t>Silk Stocking Mats : Hooked Mats of the Grenfell Mission</t>
  </si>
  <si>
    <t>Laverty, Paula</t>
  </si>
  <si>
    <t>TT850 -- .L34 2005eb</t>
  </si>
  <si>
    <t>746.7/4</t>
  </si>
  <si>
    <t>Grenfell Labrador Medical Mission.; Pictorial rugs -- Newfoundland and Labrador -- History.; Rugs, Hooked -- Newfoundland and Labrador -- History.</t>
  </si>
  <si>
    <t>http://public.eblib.com/choice/PublicFullRecord.aspx?p=3332333</t>
  </si>
  <si>
    <t>Urdu for Children, Book II, Let's Write Urdu, Part One : Let's Write Urdu, Part I</t>
  </si>
  <si>
    <t>http://public.eblib.com/choice/PublicFullRecord.aspx?p=3332334</t>
  </si>
  <si>
    <t>Relativism</t>
  </si>
  <si>
    <t>O'Grady, Paul</t>
  </si>
  <si>
    <t>BD221 -- .O37 2002eb</t>
  </si>
  <si>
    <t>Relativity.</t>
  </si>
  <si>
    <t>http://public.eblib.com/choice/PublicFullRecord.aspx?p=3332335</t>
  </si>
  <si>
    <t>The Defence of the Undefended Border : Planning for War in North America, 1867-1939</t>
  </si>
  <si>
    <t>Preston</t>
  </si>
  <si>
    <t>E183.8.C2 -- P73 1977eb</t>
  </si>
  <si>
    <t>327.71/073</t>
  </si>
  <si>
    <t>Canada -- Boundaries -- United States.; Canada -- Foreign relations -- United States.; United States -- Boundaries -- Canada.; United States -- Foreign relations -- Canada.</t>
  </si>
  <si>
    <t>http://public.eblib.com/choice/PublicFullRecord.aspx?p=3332336</t>
  </si>
  <si>
    <t>Bare Poles : Building Design for High Latitudes</t>
  </si>
  <si>
    <t>Strub, Harold</t>
  </si>
  <si>
    <t>NA2542.A72 -- S77 1996eb</t>
  </si>
  <si>
    <t>Architecture -- Arctic regions.; Architecture and climate.</t>
  </si>
  <si>
    <t>http://public.eblib.com/choice/PublicFullRecord.aspx?p=3332337</t>
  </si>
  <si>
    <t>Critical Reflection : A Textbook for Critical Thinking</t>
  </si>
  <si>
    <t>Murray, Malcolm; Kujundzic, Nebojsa</t>
  </si>
  <si>
    <t>B809.2 -- .M87 2005eb</t>
  </si>
  <si>
    <t>153.42; 160</t>
  </si>
  <si>
    <t>Critical thinking -- Textbooks.; Reasoning -- Textbooks.</t>
  </si>
  <si>
    <t>http://public.eblib.com/choice/PublicFullRecord.aspx?p=3332338</t>
  </si>
  <si>
    <t>All the God-sized Fruit</t>
  </si>
  <si>
    <t>Lemay, Shawna</t>
  </si>
  <si>
    <t>PR9199.3.L435 -- A79 2000eb</t>
  </si>
  <si>
    <t>Painting -- Poetry.</t>
  </si>
  <si>
    <t>http://public.eblib.com/choice/PublicFullRecord.aspx?p=3332339</t>
  </si>
  <si>
    <t>Contemporary Majority Nationalism</t>
  </si>
  <si>
    <t>Gagnon, Alain-G.; Lecours, André; Nootens</t>
  </si>
  <si>
    <t>HM753 -- .C666 2011eb</t>
  </si>
  <si>
    <t>Ethnicity.; Nationalism.</t>
  </si>
  <si>
    <t>http://public.eblib.com/choice/PublicFullRecord.aspx?p=3332340</t>
  </si>
  <si>
    <t>Logic</t>
  </si>
  <si>
    <t>Restall, Greg</t>
  </si>
  <si>
    <t>BC108 -- .R47 2006eb</t>
  </si>
  <si>
    <t>Logic -- Textbooks.</t>
  </si>
  <si>
    <t>http://public.eblib.com/choice/PublicFullRecord.aspx?p=3332341</t>
  </si>
  <si>
    <t>Capital Cities/Les capitales : International Perspectives/Perspectives internationales</t>
  </si>
  <si>
    <t>Taylor, John; Lengelle, Jean G.</t>
  </si>
  <si>
    <t>Geography/Travel; Social Science</t>
  </si>
  <si>
    <t>G140 -- .C37 1993eb</t>
  </si>
  <si>
    <t>Capitals (Cities)</t>
  </si>
  <si>
    <t>http://public.eblib.com/choice/PublicFullRecord.aspx?p=3332342</t>
  </si>
  <si>
    <t>Barbaric Civilization : A Critical Sociology of Genocide</t>
  </si>
  <si>
    <t>Powell, Christopher</t>
  </si>
  <si>
    <t>HV6322.7 -- .P68 2011eb</t>
  </si>
  <si>
    <t>304.6/63</t>
  </si>
  <si>
    <t>Civilization, Western.; Critical theory.; Genocide.</t>
  </si>
  <si>
    <t>http://public.eblib.com/choice/PublicFullRecord.aspx?p=3332343</t>
  </si>
  <si>
    <t>Railway Game : A Study in Socio-Technological Obsolescence</t>
  </si>
  <si>
    <t>HE2808 -- .L85 1976eb</t>
  </si>
  <si>
    <t>385/.0971</t>
  </si>
  <si>
    <t>Railroads -- Canada.; Railroads and state -- Canada.</t>
  </si>
  <si>
    <t>http://public.eblib.com/choice/PublicFullRecord.aspx?p=3332344</t>
  </si>
  <si>
    <t>Canada Among Nations, 2011-2012 : Canada and Mexico's Unfinished Agenda</t>
  </si>
  <si>
    <t>Bugailiskis, Alex; Rozental, Andrés</t>
  </si>
  <si>
    <t>F1029.5.M6 -- C36 2012eb</t>
  </si>
  <si>
    <t>Canada -- Foreign relations -- 1945-; Canada -- Foreign relations -- Mexico.; Canada -- Politics and government -- 1980-; Mexico -- Foreign relations -- Canada.</t>
  </si>
  <si>
    <t>http://public.eblib.com/choice/PublicFullRecord.aspx?p=3332345</t>
  </si>
  <si>
    <t>The Fundamental Things Apply : A Memoir</t>
  </si>
  <si>
    <t>F1034.3.M166 -- A3 2011eb</t>
  </si>
  <si>
    <t>971.064/092</t>
  </si>
  <si>
    <t>Ambassadors -- Canada -- Biography.; Businessmen -- Canada -- Biography.; Diplomats -- Canada -- Biography.; MacLaren, Roy.; Politicians -- Canada -- Biography.</t>
  </si>
  <si>
    <t>http://public.eblib.com/choice/PublicFullRecord.aspx?p=3332346</t>
  </si>
  <si>
    <t>Island Enclaves : Offshoring Strategies, Creative Governance, and Subnational Island Jurisdictions</t>
  </si>
  <si>
    <t>Baldacchino, Godfrey</t>
  </si>
  <si>
    <t>HC59.7 -- .B296 2010eb</t>
  </si>
  <si>
    <t>338.900914/2</t>
  </si>
  <si>
    <t>Economic development.; Islands -- Economic conditions.; Islands -- Politics and government.; Jurisdiction, Territorial.</t>
  </si>
  <si>
    <t>http://public.eblib.com/choice/PublicFullRecord.aspx?p=3332347</t>
  </si>
  <si>
    <t>Policy : From Ideas to Implementation</t>
  </si>
  <si>
    <t>Toner, Glen; Pal, Leslie A.; Prince, Michael</t>
  </si>
  <si>
    <t>JL86.P64 -- P63 2010eb</t>
  </si>
  <si>
    <t>Doern, G. Bruce.; Energy policy -- Canada.; Political planning -- Canada.; Science and state -- Canada.; Technological innovations -- Government policy -- Canada.</t>
  </si>
  <si>
    <t>http://public.eblib.com/choice/PublicFullRecord.aspx?p=3332348</t>
  </si>
  <si>
    <t>Peter Strawson</t>
  </si>
  <si>
    <t>Brown, Clifford</t>
  </si>
  <si>
    <t>B1667.S384 -- B76 2006eb</t>
  </si>
  <si>
    <t>Strawson, P. F.</t>
  </si>
  <si>
    <t>http://public.eblib.com/choice/PublicFullRecord.aspx?p=3332349</t>
  </si>
  <si>
    <t>Rights and Reason : An Introduction to the Philosophy of Rights</t>
  </si>
  <si>
    <t>JC571 -- .G67 2003eb</t>
  </si>
  <si>
    <t>Human rights -- Philosophy.</t>
  </si>
  <si>
    <t>http://public.eblib.com/choice/PublicFullRecord.aspx?p=3332350</t>
  </si>
  <si>
    <t>Treaty No. 9 : Making the Agreement to Share the Land in Far Northern Ontario in 1905</t>
  </si>
  <si>
    <t>Long, John S.</t>
  </si>
  <si>
    <t>KE7715 -- .L66 2010eb</t>
  </si>
  <si>
    <t>346.7104/3208997</t>
  </si>
  <si>
    <t>Canada. -- Treaties, etc. -- (1905 July 12); Cree Indians -- Ontario -- Government relations.; Cree Indians -- Ontario -- Treaties -- History.; Ojibwa Indians -- Ontario -- Government relations.; Ojibwa Indians -- Ontario -- Treaties -- History.</t>
  </si>
  <si>
    <t>http://public.eblib.com/choice/PublicFullRecord.aspx?p=3332351</t>
  </si>
  <si>
    <t>Reading the 21st Century : Books of the Decade, 2000-2009</t>
  </si>
  <si>
    <t>Persky, Stan</t>
  </si>
  <si>
    <t>General Works/Reference; Literature</t>
  </si>
  <si>
    <t>PN94.2 -- .P47 2011eb</t>
  </si>
  <si>
    <t>Best books.; Books -- Reviews.; Literature -- 21st century -- History and criticism.</t>
  </si>
  <si>
    <t>http://public.eblib.com/choice/PublicFullRecord.aspx?p=3332352</t>
  </si>
  <si>
    <t>Chess Pieces</t>
  </si>
  <si>
    <t>PR9199.3.S569 -- C48 1999eb</t>
  </si>
  <si>
    <t>Chess -- Poetry.</t>
  </si>
  <si>
    <t>http://public.eblib.com/choice/PublicFullRecord.aspx?p=3332353</t>
  </si>
  <si>
    <t>Lament for a Nation : The Defeat of Canadian Nationalism</t>
  </si>
  <si>
    <t>Grant, George</t>
  </si>
  <si>
    <t>F1034.2 -- .G742 2005eb</t>
  </si>
  <si>
    <t>Canada -- Politics and government -- 1945-1980.; Canada -- Relations -- United States.; Conservatism -- Canada.; Liberalism -- Canada.; Nationalism -- Canada.; United States -- Relations -- Canada.</t>
  </si>
  <si>
    <t>http://public.eblib.com/choice/PublicFullRecord.aspx?p=3332354</t>
  </si>
  <si>
    <t>A Bridge of Ships : Canadian Shipbuilding during the Second World War</t>
  </si>
  <si>
    <t>Engineering: Mechanical; Economics; Engineering; Business/Management; Military Science</t>
  </si>
  <si>
    <t>VM299.7.C3 -- P75 2011eb</t>
  </si>
  <si>
    <t>338.4/7623820097109044</t>
  </si>
  <si>
    <t>Shipbuilding -- Canada -- History -- 20th century.; Shipbuilding industry -- Canada -- History -- 20th century.; World War, 1939-1945 -- Canada.</t>
  </si>
  <si>
    <t>http://public.eblib.com/choice/PublicFullRecord.aspx?p=3332355</t>
  </si>
  <si>
    <t>Spirited Commitment : The Samuel and Saidye Bronfman Family Foundation</t>
  </si>
  <si>
    <t>MacLeod, Roderick; Abrahamson, Eric John</t>
  </si>
  <si>
    <t>HV110.M65 -- M34 2010eb</t>
  </si>
  <si>
    <t>361.7/6320971</t>
  </si>
  <si>
    <t>Family foundations -- Canada -- History.; Samuel and Saidye Bronfman Family Foundation -- History.</t>
  </si>
  <si>
    <t>http://public.eblib.com/choice/PublicFullRecord.aspx?p=3332356</t>
  </si>
  <si>
    <t>Writing about Political Science</t>
  </si>
  <si>
    <t>Martel, Andre</t>
  </si>
  <si>
    <t>Literature; Political Science</t>
  </si>
  <si>
    <t>JA86 -- .M37 1997eb</t>
  </si>
  <si>
    <t>Political science -- Authorship.; Report writing.</t>
  </si>
  <si>
    <t>http://public.eblib.com/choice/PublicFullRecord.aspx?p=3332357</t>
  </si>
  <si>
    <t>Reinhold Niebuhr : A Political Account</t>
  </si>
  <si>
    <t>Merkley, P.</t>
  </si>
  <si>
    <t>BX4827.N5 -- M47 1975eb</t>
  </si>
  <si>
    <t>320.5/0924</t>
  </si>
  <si>
    <t>Christianity and politics.; Niebuhr, Reinhold, -- 1892-1971.</t>
  </si>
  <si>
    <t>http://public.eblib.com/choice/PublicFullRecord.aspx?p=3332358</t>
  </si>
  <si>
    <t>Canadian Idealism and the Philosophy of Freedom : C.B. Macpherson, George Grant, and Charles Taylor</t>
  </si>
  <si>
    <t>Meynell, Robert</t>
  </si>
  <si>
    <t>B988.I3 -- M49 2011eb</t>
  </si>
  <si>
    <t>Grant, George Parkin, -- 1918-1988.; Idealism, Canadian.; Macpherson, C. B. -- (Crawford Brough), -- 1911-1987.; Philosophy -- Canada -- History.; Taylor, Charles, -- 1931-</t>
  </si>
  <si>
    <t>http://public.eblib.com/choice/PublicFullRecord.aspx?p=3332359</t>
  </si>
  <si>
    <t>If the Irish Ran the World : Montserrat, 1630-1730</t>
  </si>
  <si>
    <t>F2082 -- .A34 1997eb</t>
  </si>
  <si>
    <t>972.97/50049162</t>
  </si>
  <si>
    <t>Irish -- Montserrat -- History.; Montserrat -- Ethnic relations.; Montserrat -- History.</t>
  </si>
  <si>
    <t>http://public.eblib.com/choice/PublicFullRecord.aspx?p=3332360</t>
  </si>
  <si>
    <t>Scepticism</t>
  </si>
  <si>
    <t>Gascoigne, Neil</t>
  </si>
  <si>
    <t>B837 -- .G37 2002eb</t>
  </si>
  <si>
    <t>Skepticism.</t>
  </si>
  <si>
    <t>http://public.eblib.com/choice/PublicFullRecord.aspx?p=3332361</t>
  </si>
  <si>
    <t>Paradox</t>
  </si>
  <si>
    <t>Olin, Doris</t>
  </si>
  <si>
    <t>BC199.P2 -- O45 2003eb</t>
  </si>
  <si>
    <t>Logic.; Paradox.</t>
  </si>
  <si>
    <t>http://public.eblib.com/choice/PublicFullRecord.aspx?p=3332362</t>
  </si>
  <si>
    <t>Philosophy of Gadamer</t>
  </si>
  <si>
    <t>Grondin, Jean; Plant, Kathryn</t>
  </si>
  <si>
    <t>B3248.G34 -- G7713 2003eb</t>
  </si>
  <si>
    <t>Gadamer, Hans-Georg, -- 1900-2002.</t>
  </si>
  <si>
    <t>http://public.eblib.com/choice/PublicFullRecord.aspx?p=3332363</t>
  </si>
  <si>
    <t>Causation and Explanation</t>
  </si>
  <si>
    <t>BD541 -- .P85 2002eb</t>
  </si>
  <si>
    <t>Causation.; Explanation.</t>
  </si>
  <si>
    <t>http://public.eblib.com/choice/PublicFullRecord.aspx?p=3332364</t>
  </si>
  <si>
    <t>The Cultural Work of Photography in Canada</t>
  </si>
  <si>
    <t>Payne, Carol; Kunard, Andrea</t>
  </si>
  <si>
    <t>TR183 -- .C85 2011eb</t>
  </si>
  <si>
    <t>Group identity -- Canada.; National characteristics, Canadian.; Photography -- Canada -- History.; Photography -- Social aspects -- Canada.</t>
  </si>
  <si>
    <t>http://public.eblib.com/choice/PublicFullRecord.aspx?p=3332365</t>
  </si>
  <si>
    <t>Philosophy of Merleau-Ponty</t>
  </si>
  <si>
    <t>Matthews, Eric</t>
  </si>
  <si>
    <t>B2430.M3764 -- M38 2002eb</t>
  </si>
  <si>
    <t>Merleau-Ponty, Maurice, -- 1908-1961.</t>
  </si>
  <si>
    <t>http://public.eblib.com/choice/PublicFullRecord.aspx?p=3332366</t>
  </si>
  <si>
    <t>Motivational Dimensions in Social Movements and Contentious Collective Action</t>
  </si>
  <si>
    <t>Pinard, Maurice</t>
  </si>
  <si>
    <t>HM881 -- .P555 2011eb</t>
  </si>
  <si>
    <t>303.48/4</t>
  </si>
  <si>
    <t>Motivation (Psychology) -- Social aspects.; Social action -- Psychological aspects.; Social movements -- Psychological aspects.</t>
  </si>
  <si>
    <t>http://public.eblib.com/choice/PublicFullRecord.aspx?p=3332367</t>
  </si>
  <si>
    <t>Nova Scotia's Massachusetts : A Study of Massachusetts - Nova Scotia Relations, 1630 to 1784</t>
  </si>
  <si>
    <t>F1038 -- .R39 1973eb</t>
  </si>
  <si>
    <t>971.6/01</t>
  </si>
  <si>
    <t>Massachusetts -- Foreign economic relations -- Nova Scotia.; Massachusetts -- Military relations -- Nova Scotia.; Nova Scotia -- Foreign economic relations -- Massachusetts.; Nova Scotia -- Military relations -- Massachusetts.</t>
  </si>
  <si>
    <t>http://public.eblib.com/choice/PublicFullRecord.aspx?p=3332368</t>
  </si>
  <si>
    <t>A Gentleman of Pleasure : One Life of John Glassco, Poet, Memoirist, Translator, and Pornographer</t>
  </si>
  <si>
    <t>Busby, Brian</t>
  </si>
  <si>
    <t>PR9199.3.G574 -- B87 2011eb</t>
  </si>
  <si>
    <t>Authors, Canadian -- 20th century -- Biography.; Glassco, John.; Pornography in literature.</t>
  </si>
  <si>
    <t>http://public.eblib.com/choice/PublicFullRecord.aspx?p=3332369</t>
  </si>
  <si>
    <t>Global Journalism Ethics</t>
  </si>
  <si>
    <t>PN4756 -- .W367 2010eb</t>
  </si>
  <si>
    <t>174/.90704</t>
  </si>
  <si>
    <t>Ethics.; Journalistic ethics.</t>
  </si>
  <si>
    <t>http://public.eblib.com/choice/PublicFullRecord.aspx?p=3332370</t>
  </si>
  <si>
    <t>Particles</t>
  </si>
  <si>
    <t>Penny, Michael</t>
  </si>
  <si>
    <t>PR9199.4.P465 -- P37 2011eb</t>
  </si>
  <si>
    <t>American poetry.; Philosophy -- Poetry.</t>
  </si>
  <si>
    <t>http://public.eblib.com/choice/PublicFullRecord.aspx?p=3332371</t>
  </si>
  <si>
    <t>Philosophy of Foucault</t>
  </si>
  <si>
    <t>May, Todd</t>
  </si>
  <si>
    <t>B2430.F724 -- M393 2006eb</t>
  </si>
  <si>
    <t>Foucault, Michel, -- 1926-1984.</t>
  </si>
  <si>
    <t>http://public.eblib.com/choice/PublicFullRecord.aspx?p=3332372</t>
  </si>
  <si>
    <t>Devolution and Constitutional Development in the Canadian North</t>
  </si>
  <si>
    <t>Dacks, Gurston</t>
  </si>
  <si>
    <t>JL462 -- .D48 1990eb</t>
  </si>
  <si>
    <t>354.719/2073</t>
  </si>
  <si>
    <t>Decentralization in government -- Northwest Territories.; Decentralization in government -- Yukon.; Northwest Territories -- Politics and government.; Yukon -- Politics and government.</t>
  </si>
  <si>
    <t>http://public.eblib.com/choice/PublicFullRecord.aspx?p=3332374</t>
  </si>
  <si>
    <t>Urdu for Children, Book 1 : Part 1</t>
  </si>
  <si>
    <t>PK1973 -- .U73 1997eb</t>
  </si>
  <si>
    <t>http://public.eblib.com/choice/PublicFullRecord.aspx?p=3332375</t>
  </si>
  <si>
    <t>Recounting Migration : Political Narratives of Congolese Young People in Uganda</t>
  </si>
  <si>
    <t>Clark-Kazak, Christina R.</t>
  </si>
  <si>
    <t>DT433.245.C66 -- C53 2011eb</t>
  </si>
  <si>
    <t>305.235089/9675106761</t>
  </si>
  <si>
    <t>Congolese (Democratic Republic) -- Political activity -- Uganda.; Congolese (Democratic Republic) -- Uganda -- Social conditions.; Refugees -- Political activity -- Uganda.; Refugees -- Uganda -- Social conditions.; Youth -- Political activity -- Uganda.; Youth -- Uganda -- Social conditions.</t>
  </si>
  <si>
    <t>http://public.eblib.com/choice/PublicFullRecord.aspx?p=3332376</t>
  </si>
  <si>
    <t>Wilfrid Sellars</t>
  </si>
  <si>
    <t>deVries, Willem</t>
  </si>
  <si>
    <t>B945.S444 -- D48 2005eb</t>
  </si>
  <si>
    <t>Sellars, Wilfrid.</t>
  </si>
  <si>
    <t>http://public.eblib.com/choice/PublicFullRecord.aspx?p=3332377</t>
  </si>
  <si>
    <t>Industrial Transformation and Challenge in Australia and Canada</t>
  </si>
  <si>
    <t>Hayter, Roger</t>
  </si>
  <si>
    <t>HC605 -- .I455 1990eb</t>
  </si>
  <si>
    <t>Australia -- Commerce.; Australia -- Economic conditions -- 1945-; Canada -- Economic conditions -- 1945-; Industrial policy -- Australia.; Industrial policy -- Canada.; Natural resources -- Australia.; Natural resources -- Canada.</t>
  </si>
  <si>
    <t>http://public.eblib.com/choice/PublicFullRecord.aspx?p=3332378</t>
  </si>
  <si>
    <t>Hilary Putnam</t>
  </si>
  <si>
    <t>de Gaynesford, Maximilian</t>
  </si>
  <si>
    <t>B945.P874 -- G39 2006eb</t>
  </si>
  <si>
    <t>Putnam, Hilary.</t>
  </si>
  <si>
    <t>http://public.eblib.com/choice/PublicFullRecord.aspx?p=3332379</t>
  </si>
  <si>
    <t>Life on the Line : Commander Pierre-Etienne Fortin and his Times</t>
  </si>
  <si>
    <t>Stewart, Brian</t>
  </si>
  <si>
    <t>F1053.25 -- .S74 1997eb</t>
  </si>
  <si>
    <t>Fortin, Pierre, -- 1823-1888.; Politicians -- Quebec (Province) -- Biography.; Québec (Province) -- Politics and government.</t>
  </si>
  <si>
    <t>http://public.eblib.com/choice/PublicFullRecord.aspx?p=3332380</t>
  </si>
  <si>
    <t>Dominion Lands Policy</t>
  </si>
  <si>
    <t>Martin, Chester</t>
  </si>
  <si>
    <t>HD315 -- .M3 1973eb</t>
  </si>
  <si>
    <t>333.1/6/097192</t>
  </si>
  <si>
    <t>Land grants -- Canada -- History.; Public lands -- Northwest, Canadian -- History.</t>
  </si>
  <si>
    <t>http://public.eblib.com/choice/PublicFullRecord.aspx?p=3332381</t>
  </si>
  <si>
    <t>Failure's Opposite : Listening to A.M. Klein</t>
  </si>
  <si>
    <t>Ravvin, Norman; Simon, Sherry</t>
  </si>
  <si>
    <t>PR9199.3.K48 -- Z65 2011eb</t>
  </si>
  <si>
    <t>Klein, A. M. -- (Abraham Moses), -- 1909-1972 -- Criticism and interpretation.; Klein, A. M. -- (Abraham Moses), -- 1909-1972 -- Influence.; Klein, A. M. -- (Abraham Moses), -- 1909-1972 -- Translations.</t>
  </si>
  <si>
    <t>http://public.eblib.com/choice/PublicFullRecord.aspx?p=3332382</t>
  </si>
  <si>
    <t>Early Journals and Letters of Fanny Burney, Volume 3 : The Streatham Years: Part 1, 1778-1779</t>
  </si>
  <si>
    <t>Troide, Lars E.; Cooke, Steward J.</t>
  </si>
  <si>
    <t>PR3316.A4 -- Z46 1994eb</t>
  </si>
  <si>
    <t>http://public.eblib.com/choice/PublicFullRecord.aspx?p=3332383</t>
  </si>
  <si>
    <t>Jewish Roots, Canadian Soil : Yiddish Cultural Life in Montreal, 1905-1945</t>
  </si>
  <si>
    <t>Margolis, Rebecca</t>
  </si>
  <si>
    <t>F1054.5.J5 -- M37 2011eb</t>
  </si>
  <si>
    <t>971.4/28004924</t>
  </si>
  <si>
    <t>Jews -- Québec (Province) -- Montréal -- History -- 20th century.; Jews -- Québec (Province) -- Montréal -- Identity.; Jews -- Québec (Province) -- Montréal -- Intellectual life -- 20th century.; Yiddish language -- Québec (Province) -- Montréal -- History -- 20th century.</t>
  </si>
  <si>
    <t>http://public.eblib.com/choice/PublicFullRecord.aspx?p=3332384</t>
  </si>
  <si>
    <t>The Little Yellow House</t>
  </si>
  <si>
    <t>MacLeod, Heather Simeney</t>
  </si>
  <si>
    <t>PR9199.4.M33 -- L58 2012eb</t>
  </si>
  <si>
    <t>Canadian poetry.; Memory -- Poetry.</t>
  </si>
  <si>
    <t>http://public.eblib.com/choice/PublicFullRecord.aspx?p=3332385</t>
  </si>
  <si>
    <t>Falling for Power : Performing Ethnography with Polish Roma Women</t>
  </si>
  <si>
    <t>Kazubowski-Houston, Magdalena</t>
  </si>
  <si>
    <t>PN2041.A57 -- K39 2010eb</t>
  </si>
  <si>
    <t>792.01/3</t>
  </si>
  <si>
    <t>Ethnology -- Methodology.; Participant observation.; Social sciences -- Research -- Methodology.; Theater -- Anthropological aspects -- Poland.; Theater -- Political aspects -- Poland.; Theater and society -- Poland.; Women, Romani -- Poland -- Social conditions.</t>
  </si>
  <si>
    <t>http://public.eblib.com/choice/PublicFullRecord.aspx?p=3332386</t>
  </si>
  <si>
    <t>Petworth Emigration : Assisting Emigration to Upper Canada: The Petworth Project, 1832-1837 : English Immigrant Voices: Labourers' Letters from Upper Canada in the 1830s</t>
  </si>
  <si>
    <t>F1059.7.B7 -- E54 2000eb</t>
  </si>
  <si>
    <t>British -- Ontario -- Correspondence.; British -- Ontario -- History -- 19th century.; Immigrants -- Ontario -- Correspondence.; Immigrants -- Ontario -- Registers.; Ontario -- Emigration and immigration -- History -- 19th century.; Petworth Emigration Committee.; Working class -- Ontario -- History -- 19th century.</t>
  </si>
  <si>
    <t>http://public.eblib.com/choice/PublicFullRecord.aspx?p=3332387</t>
  </si>
  <si>
    <t>How Ottawa Spends, 1997-1998 : Seeing Red : A Liberal Report Card</t>
  </si>
  <si>
    <t>How Ottawa Spends</t>
  </si>
  <si>
    <t>Swimmer, Gene</t>
  </si>
  <si>
    <t>HJ7663 -- .H69 1997eb</t>
  </si>
  <si>
    <t>Canada -- Appropriations and expenditures.</t>
  </si>
  <si>
    <t>http://public.eblib.com/choice/PublicFullRecord.aspx?p=3332388</t>
  </si>
  <si>
    <t>Human Rights in Canadian Foreign Policy</t>
  </si>
  <si>
    <t>Matthews, R.</t>
  </si>
  <si>
    <t>F1034.2 -- .H85 1988eb</t>
  </si>
  <si>
    <t>Canada -- Foreign relations -- 1945-; Human rights.</t>
  </si>
  <si>
    <t>http://public.eblib.com/choice/PublicFullRecord.aspx?p=3332389</t>
  </si>
  <si>
    <t>Nature and Nurture in French Social Sciences, 1859–1914 and Beyond</t>
  </si>
  <si>
    <t>H53.F7 -- S73 2011eb</t>
  </si>
  <si>
    <t>300.94409/034</t>
  </si>
  <si>
    <t>Nature and nurture -- France -- History -- 19th century.; Nature and nurture -- France -- History -- 20th century.; Social sciences -- France -- History -- 19th century.; Social sciences -- France -- History -- 20th century.</t>
  </si>
  <si>
    <t>http://public.eblib.com/choice/PublicFullRecord.aspx?p=3332390</t>
  </si>
  <si>
    <t>Intelligent Citizen's Guide to the Postal Problem : A Case Study of Industrial Society in Crisis, 1965-1980</t>
  </si>
  <si>
    <t>Read, Lawrence</t>
  </si>
  <si>
    <t>HE6655 -- .R43 1988eb</t>
  </si>
  <si>
    <t>383/.4971</t>
  </si>
  <si>
    <t>Postal service -- Canada.</t>
  </si>
  <si>
    <t>http://public.eblib.com/choice/PublicFullRecord.aspx?p=3332391</t>
  </si>
  <si>
    <t>John McDowell</t>
  </si>
  <si>
    <t>Thornton, Tim</t>
  </si>
  <si>
    <t>B945.M4544 -- T46 2004eb</t>
  </si>
  <si>
    <t>McDowell, John Henry.</t>
  </si>
  <si>
    <t>http://public.eblib.com/choice/PublicFullRecord.aspx?p=3332392</t>
  </si>
  <si>
    <t>Military Spending in Developing Countries : How Much Is Too Much?</t>
  </si>
  <si>
    <t>MacDonald, Brian</t>
  </si>
  <si>
    <t>UA17 -- .M33 1997eb</t>
  </si>
  <si>
    <t>Developing countries -- Armed Forces -- Appropriations and expenditures.; Developing countries -- Military policy.</t>
  </si>
  <si>
    <t>http://public.eblib.com/choice/PublicFullRecord.aspx?p=3332393</t>
  </si>
  <si>
    <t>Urdu for Children, Book II, Let's Write Urdu, Part Two : Let's Write Urdu, Part II</t>
  </si>
  <si>
    <t>Urdu language -- Study and teaching (Primary); Urdu language -- Textbooks for foreign speakers -- English.</t>
  </si>
  <si>
    <t>http://public.eblib.com/choice/PublicFullRecord.aspx?p=3332394</t>
  </si>
  <si>
    <t>Externalism : Putting Mind and World Back Together Again</t>
  </si>
  <si>
    <t>Rowlands, Mark</t>
  </si>
  <si>
    <t>BD418.3 -- .R69 2003eb</t>
  </si>
  <si>
    <t>Externalism (Philosophy of mind)</t>
  </si>
  <si>
    <t>http://public.eblib.com/choice/PublicFullRecord.aspx?p=3332395</t>
  </si>
  <si>
    <t>Phoenix : The Life of Norman Bethune</t>
  </si>
  <si>
    <t>Stewart, Roderick; Stewart, Sharon</t>
  </si>
  <si>
    <t>R464.B4 -- S754 2011eb</t>
  </si>
  <si>
    <t>Bethune, Norman.; Surgeons -- Canada -- Biography.; Surgeons -- China -- Biography.</t>
  </si>
  <si>
    <t>http://public.eblib.com/choice/PublicFullRecord.aspx?p=3332396</t>
  </si>
  <si>
    <t>Urdu for Children, Book 1 : Part 2</t>
  </si>
  <si>
    <t>http://public.eblib.com/choice/PublicFullRecord.aspx?p=3332397</t>
  </si>
  <si>
    <t>Rediscovering Reverence : The Meaning of Faith in a Secular World</t>
  </si>
  <si>
    <t>Heintzman, Ralph</t>
  </si>
  <si>
    <t>BL51 -- .H452 2011eb</t>
  </si>
  <si>
    <t>Faith and reason.; Religion -- Philosophy.; Spiritual life.</t>
  </si>
  <si>
    <t>http://public.eblib.com/choice/PublicFullRecord.aspx?p=3332398</t>
  </si>
  <si>
    <t>Agnes : The Biography of Lady Macdonald</t>
  </si>
  <si>
    <t>Reynolds, Louise</t>
  </si>
  <si>
    <t>F1033.M1258 -- R49 1990eb</t>
  </si>
  <si>
    <t>Macdonald of Earnscliffe, Agnes Macdonald, -- Baroness, -- 1836-1920.; Macdonald, John Alexander, -- Sir, -- 1815-1891.; Prime ministers'' spouses -- Canada -- Biography.</t>
  </si>
  <si>
    <t>http://public.eblib.com/choice/PublicFullRecord.aspx?p=3332399</t>
  </si>
  <si>
    <t>How Ottawa Spends, 2011–2012 : Trimming Fat or Slicing Pork?</t>
  </si>
  <si>
    <t>Stoney, Christopher; Doern, G. Bruce</t>
  </si>
  <si>
    <t>HJ7663 -- .H69 2011eb</t>
  </si>
  <si>
    <t>Canada -- Appropriations and expenditures.; Deficit financing -- Canada.</t>
  </si>
  <si>
    <t>http://public.eblib.com/choice/PublicFullRecord.aspx?p=3332400</t>
  </si>
  <si>
    <t>Gilles Deleuze : Key Concepts</t>
  </si>
  <si>
    <t>Stivale, Charles J.; Stivale, Professor Charles J</t>
  </si>
  <si>
    <t>B2430.D454 -- G55 2005eb</t>
  </si>
  <si>
    <t>Deleuze, Gilles, -- 1925-1995.</t>
  </si>
  <si>
    <t>http://public.eblib.com/choice/PublicFullRecord.aspx?p=3332401</t>
  </si>
  <si>
    <t>Chora : Intervals in the Philosophy of Architecture</t>
  </si>
  <si>
    <t>NA2500 -- .C46 2011eb</t>
  </si>
  <si>
    <t>Architecture -- Philosophy.</t>
  </si>
  <si>
    <t>http://public.eblib.com/choice/PublicFullRecord.aspx?p=3332402</t>
  </si>
  <si>
    <t>Technology and Nationalism</t>
  </si>
  <si>
    <t>Adria, Marco</t>
  </si>
  <si>
    <t>Engineering: General; Engineering; Social Science</t>
  </si>
  <si>
    <t>T14.5 -- .A37 2009eb</t>
  </si>
  <si>
    <t>303.48/30971</t>
  </si>
  <si>
    <t>Internet -- Social aspects -- Canada.; Nationalism -- Canada.; Nationalism and technology -- Canada.; Regionalism -- Canada.; Technology -- Social aspects -- Canada.</t>
  </si>
  <si>
    <t>http://public.eblib.com/choice/PublicFullRecord.aspx?p=3332403</t>
  </si>
  <si>
    <t>To Preserve &amp; Defend : Essays on Kingston in the Nineteenth Century</t>
  </si>
  <si>
    <t>Tulchinsky, G.</t>
  </si>
  <si>
    <t>F1059.5.K5 -- T62eb</t>
  </si>
  <si>
    <t>971.3/72/02</t>
  </si>
  <si>
    <t>Kingston (Ont.) -- History.</t>
  </si>
  <si>
    <t>http://public.eblib.com/choice/PublicFullRecord.aspx?p=3332404</t>
  </si>
  <si>
    <t>Baking as Biography : A Life Story in Recipes</t>
  </si>
  <si>
    <t>Tye, Diane</t>
  </si>
  <si>
    <t>TX649.T94 -- A3 2010eb</t>
  </si>
  <si>
    <t>Cooks -- Canada -- Biography.; Food -- Folklore.; Food -- Social aspects.; Spouses of clergy -- Canada -- Biography.; Spouses of clergy -- Canada -- Social life and customs.; Tye, Laurene, -- 1931-1989.</t>
  </si>
  <si>
    <t>http://public.eblib.com/choice/PublicFullRecord.aspx?p=3332405</t>
  </si>
  <si>
    <t>Sceptical Guide to Meaning and Rules : Defending Kripke’s Wittgenstein</t>
  </si>
  <si>
    <t>Kusch, Martin</t>
  </si>
  <si>
    <t>B3376.W564 -- K88 2006eb</t>
  </si>
  <si>
    <t>Kripke, Saul A., -- 1940- -- Wittgenstein on rules and private language.; Language and languages -- Philosophy.; Meaning (Philosophy); Wittgenstein, Ludwig, -- 1889-1951.</t>
  </si>
  <si>
    <t>http://public.eblib.com/choice/PublicFullRecord.aspx?p=3332406</t>
  </si>
  <si>
    <t>Native People, Native Lands : Canadian Indians, Inuit and Metis</t>
  </si>
  <si>
    <t>Cox, Bruce</t>
  </si>
  <si>
    <t>E78.C2 -- N38 2002eb</t>
  </si>
  <si>
    <t>Indians of North America -- Canada.</t>
  </si>
  <si>
    <t>http://public.eblib.com/choice/PublicFullRecord.aspx?p=3332407</t>
  </si>
  <si>
    <t>Perception</t>
  </si>
  <si>
    <t>Maund, Barry</t>
  </si>
  <si>
    <t>B828.45 -- .M38 2003eb</t>
  </si>
  <si>
    <t>Perception (Philosophy)</t>
  </si>
  <si>
    <t>http://public.eblib.com/choice/PublicFullRecord.aspx?p=3332408</t>
  </si>
  <si>
    <t>Cast from Bells</t>
  </si>
  <si>
    <t>Hancock, Suzanne</t>
  </si>
  <si>
    <t>PR9199.3.H365 -- C37 2010eb</t>
  </si>
  <si>
    <t>Bells -- Poetry.; Canadian poetry.; Vandalism -- Poetry.</t>
  </si>
  <si>
    <t>http://public.eblib.com/choice/PublicFullRecord.aspx?p=3332409</t>
  </si>
  <si>
    <t>Rule-Following and Meaning</t>
  </si>
  <si>
    <t>Miller, Alexander; Wright, Crispin</t>
  </si>
  <si>
    <t>B840 -- .R85 2002eb</t>
  </si>
  <si>
    <t>Language and languages -- Philosophy.; Meaning (Philosophy); Wittgenstein, Ludwig, -- 1889-1951.</t>
  </si>
  <si>
    <t>http://public.eblib.com/choice/PublicFullRecord.aspx?p=3332410</t>
  </si>
  <si>
    <t>Urdu for Children, Book II, Stories and Poems, Part One : Urdu for Children, Part I</t>
  </si>
  <si>
    <t>http://public.eblib.com/choice/PublicFullRecord.aspx?p=3332411</t>
  </si>
  <si>
    <t>Sites of Governance : Multilevel Governance and Policy Making in Canada's Big Cities</t>
  </si>
  <si>
    <t>Fields of Governance: Policy Making in Canadian Municipalities</t>
  </si>
  <si>
    <t>Horak, Martin; Young, Robert</t>
  </si>
  <si>
    <t>HT127 -- .S58 2012eb</t>
  </si>
  <si>
    <t>Central-local government relations -- Canada -- Case studies.; Federal-city relations -- Canada -- Case studies.; Municipal government -- Canada -- Case studies.; Public-private sector cooperation -- Canada -- Case studies.; Urban policy -- Canada -- Case studies.</t>
  </si>
  <si>
    <t>http://public.eblib.com/choice/PublicFullRecord.aspx?p=3332412</t>
  </si>
  <si>
    <t>Reordering of Culture : Latin America, the Caribbean and Canada in the Hood</t>
  </si>
  <si>
    <t>Ruprecht, Alvina</t>
  </si>
  <si>
    <t>E40 -- .R46 1995eb</t>
  </si>
  <si>
    <t>Canada -- Civilization -- Foreign influences.; Caribbean Area -- Civilization.; Latin America -- Civilization.</t>
  </si>
  <si>
    <t>http://public.eblib.com/choice/PublicFullRecord.aspx?p=3332413</t>
  </si>
  <si>
    <t>Urdu for Children, Book 1 : Workbook</t>
  </si>
  <si>
    <t>PK1973 -- .W67 1997eb</t>
  </si>
  <si>
    <t>http://public.eblib.com/choice/PublicFullRecord.aspx?p=3332414</t>
  </si>
  <si>
    <t>Knowledge</t>
  </si>
  <si>
    <t>Welbourne, Michael</t>
  </si>
  <si>
    <t>BD161 -- .W376 2001eb</t>
  </si>
  <si>
    <t>Knowledge, Theory of.</t>
  </si>
  <si>
    <t>http://public.eblib.com/choice/PublicFullRecord.aspx?p=3332415</t>
  </si>
  <si>
    <t>Voices in Time</t>
  </si>
  <si>
    <t>PR9199.3.M334 -- V6 2011eb</t>
  </si>
  <si>
    <t>Environmental disasters -- Fiction.; Historical fiction.; Nuclear accidents -- Fiction.</t>
  </si>
  <si>
    <t>http://public.eblib.com/choice/PublicFullRecord.aspx?p=3332416</t>
  </si>
  <si>
    <t>Fleeting Empire : Early Stuart Britain and the Merchant Adventurers to Canada</t>
  </si>
  <si>
    <t>Nicholls, Andrew</t>
  </si>
  <si>
    <t>E101 -- .N35 2010eb</t>
  </si>
  <si>
    <t>971.01/14</t>
  </si>
  <si>
    <t>Canada -- Discovery and exploration -- British.; Great Britain -- Politics and government -- 1603-1649.</t>
  </si>
  <si>
    <t>http://public.eblib.com/choice/PublicFullRecord.aspx?p=3332417</t>
  </si>
  <si>
    <t>Mobilizing the Will to Intervene : Leadership to Prevent Mass Atrocities</t>
  </si>
  <si>
    <t>Chalk, Frank; Matthews, Kyle; Barqueiro, Carla</t>
  </si>
  <si>
    <t>JZ6369 -- .M63 2010eb</t>
  </si>
  <si>
    <t>Genocide -- Kosovo (Republic) -- Case studies.; Genocide -- Political aspects.; Genocide -- Rwanda -- Case studies.; Genocide intervention -- Political aspects -- Canada.; Genocide intervention -- Political aspects -- United States.</t>
  </si>
  <si>
    <t>http://public.eblib.com/choice/PublicFullRecord.aspx?p=3332418</t>
  </si>
  <si>
    <t>Cross of Gold : Money and the Canadian Business Cycle, 1867-1913</t>
  </si>
  <si>
    <t>Rich, Georg</t>
  </si>
  <si>
    <t>HG654 -- .R53 1988eb</t>
  </si>
  <si>
    <t>332.4/971</t>
  </si>
  <si>
    <t>Business cycles -- Canada -- History.; Monetary policy -- Canada -- History.; Money -- Canada -- History.</t>
  </si>
  <si>
    <t>http://public.eblib.com/choice/PublicFullRecord.aspx?p=3332419</t>
  </si>
  <si>
    <t>Immigrant Settlement Policy in Canadian Municipalities</t>
  </si>
  <si>
    <t>Tolley, Erin; Young, Robert</t>
  </si>
  <si>
    <t>JV7233 -- .I56 2011eb</t>
  </si>
  <si>
    <t>Canada -- Emigration and immigration -- Government policy.; Immigrants -- Government policy -- Canada.; Immigrants -- Services for -- Canada.; Municipal government -- Canada.; Urban policy -- Canada.</t>
  </si>
  <si>
    <t>http://public.eblib.com/choice/PublicFullRecord.aspx?p=3332420</t>
  </si>
  <si>
    <t>Story of Shaw's St.</t>
  </si>
  <si>
    <t>Tyson, Brian</t>
  </si>
  <si>
    <t>PR5363.S33 -- T93 1982eb</t>
  </si>
  <si>
    <t>822/.912</t>
  </si>
  <si>
    <t>Joan, -- of Arc, Saint, -- 1412-1431 -- In literature.; Shaw, Bernard, -- 1856-1950. -- Saint Joan.</t>
  </si>
  <si>
    <t>http://public.eblib.com/choice/PublicFullRecord.aspx?p=3332421</t>
  </si>
  <si>
    <t>Sean O'Casey : Writer at Work - A Biography</t>
  </si>
  <si>
    <t>Murray, Christopher</t>
  </si>
  <si>
    <t>PR6029.C33 -- Z77 2004eb</t>
  </si>
  <si>
    <t>Dramatists, Irish -- 20th century -- Biography.; Ireland -- In literature.; O''Casey, Sean, -- 1880-1964.</t>
  </si>
  <si>
    <t>http://public.eblib.com/choice/PublicFullRecord.aspx?p=3332422</t>
  </si>
  <si>
    <t>Precarious Employment : Understanding Labour Market Insecurity in Canada</t>
  </si>
  <si>
    <t>Vosko, 0</t>
  </si>
  <si>
    <t>HD8106.5 -- .P74 2006eb</t>
  </si>
  <si>
    <t>331.12/5/0971</t>
  </si>
  <si>
    <t>Industrial hygiene -- Canada.; Labor laws and legislation -- Canada.; Labor market -- Canada.; Labor unions -- Canada.; Temporary employment -- Canada.</t>
  </si>
  <si>
    <t>http://public.eblib.com/choice/PublicFullRecord.aspx?p=3332423</t>
  </si>
  <si>
    <t>Democracy and the Intersection of Religion and Traditions : The Reading of John Dewey's Understanding of Democracy and Education</t>
  </si>
  <si>
    <t>Bruno-Jofré, Rosa; Johnston, James Scott; Jover, Gonzalo</t>
  </si>
  <si>
    <t>LB875.D5 -- D456 2010eb</t>
  </si>
  <si>
    <t>370.11/5</t>
  </si>
  <si>
    <t>Church and education.; Democracy and education -- China.; Democracy and education -- Latin America.; Democracy and education -- Spain.; Dewey, John, -- 1859-1952 -- Criticism and interpretation.; Dewey, John, -- 1859-1952 -- Influence.</t>
  </si>
  <si>
    <t>http://public.eblib.com/choice/PublicFullRecord.aspx?p=3332424</t>
  </si>
  <si>
    <t>Philosophy of Schopenhauer</t>
  </si>
  <si>
    <t>Jacquette, Dale</t>
  </si>
  <si>
    <t>B3148 -- .J33 2005eb</t>
  </si>
  <si>
    <t>Schopenhauer, Arthur, -- 1788-1860.</t>
  </si>
  <si>
    <t>http://public.eblib.com/choice/PublicFullRecord.aspx?p=3332425</t>
  </si>
  <si>
    <t>Origins : On the Genesis of Psychic Reality</t>
  </si>
  <si>
    <t>Mills, Jon</t>
  </si>
  <si>
    <t>BF315 -- .M55 2010eb</t>
  </si>
  <si>
    <t>Mind and reality.; Psychoanalysis -- Philosophy.; Subconsciousness.</t>
  </si>
  <si>
    <t>http://public.eblib.com/choice/PublicFullRecord.aspx?p=3332426</t>
  </si>
  <si>
    <t>Canada &amp; Its Americas : Transnational Navigations</t>
  </si>
  <si>
    <t>Siemerling, Winfried; Casteel, Sarah Phillips</t>
  </si>
  <si>
    <t>PR9189.6 -- .C32 2010eb</t>
  </si>
  <si>
    <t>America -- In literature.; Canada -- In literature.; Canadian literature -- 20th century -- History and criticism.; Culture in literature.; Ethnicity in literature.; Postcolonialism in literature.</t>
  </si>
  <si>
    <t>http://public.eblib.com/choice/PublicFullRecord.aspx?p=3332427</t>
  </si>
  <si>
    <t>Federalism and the Charter : Leading Constitutional Decisions</t>
  </si>
  <si>
    <t>Russell, Peter</t>
  </si>
  <si>
    <t>KE4219 -- .R87 1989eb</t>
  </si>
  <si>
    <t>342.71; 347.102</t>
  </si>
  <si>
    <t>Constitutional law -- Canada -- Cases.</t>
  </si>
  <si>
    <t>http://public.eblib.com/choice/PublicFullRecord.aspx?p=3332428</t>
  </si>
  <si>
    <t>Welfare State and Canadian Federalism</t>
  </si>
  <si>
    <t>Banting, Keith</t>
  </si>
  <si>
    <t>HC120.I5 -- B37 1987eb</t>
  </si>
  <si>
    <t>354.710082/56</t>
  </si>
  <si>
    <t>Federal government -- Canada.; Income maintenance programs -- Canada.; Social security -- Canada.</t>
  </si>
  <si>
    <t>http://public.eblib.com/choice/PublicFullRecord.aspx?p=3332429</t>
  </si>
  <si>
    <t>Governments, Parties, and Public Sector Employees : Canada, United States, Britain, and France</t>
  </si>
  <si>
    <t>Blais, Andre; Blake, Donald E.; Dion, Stephane</t>
  </si>
  <si>
    <t>Economics; Political Science</t>
  </si>
  <si>
    <t>JF1601 -- .B53 1997eb</t>
  </si>
  <si>
    <t>331.11/9042</t>
  </si>
  <si>
    <t>Civil service.; Comparative government.; Political parties.; Public officers.; Right and left (Political science)</t>
  </si>
  <si>
    <t>http://public.eblib.com/choice/PublicFullRecord.aspx?p=3332430</t>
  </si>
  <si>
    <t>Working Without Committments : The Health Effects of Precarious Employment</t>
  </si>
  <si>
    <t>Lewchuk, Wayne; Clarke, Marlea; de Wolff</t>
  </si>
  <si>
    <t>Health; Business/Management</t>
  </si>
  <si>
    <t>HD5858.C2 -- L49 2011eb</t>
  </si>
  <si>
    <t>613.6/2</t>
  </si>
  <si>
    <t>Job stress -- Canada.; Precarious employment -- Health aspects -- Canada.; Precarious employment -- Social aspects -- Canada.</t>
  </si>
  <si>
    <t>http://public.eblib.com/choice/PublicFullRecord.aspx?p=3332431</t>
  </si>
  <si>
    <t>Protestants in a Catholic State : Ireland's Privileged Minority</t>
  </si>
  <si>
    <t>HN400.3.A8 -- B69 1983eb</t>
  </si>
  <si>
    <t>305.6/30417</t>
  </si>
  <si>
    <t>Christianity -- Ireland.; Ireland -- Social conditions.; Protestants -- Ireland -- History -- 20th century.</t>
  </si>
  <si>
    <t>http://public.eblib.com/choice/PublicFullRecord.aspx?p=3332432</t>
  </si>
  <si>
    <t>In the Province of History : The Making of the Public Past in Twentieth-Century Nova Scotia</t>
  </si>
  <si>
    <t>McKay, Ian; Bates, Robin</t>
  </si>
  <si>
    <t>History; Tourism/Hospitality</t>
  </si>
  <si>
    <t>G155.N8 -- M35 2010eb</t>
  </si>
  <si>
    <t>Collective memory -- Nova Scotia.; Culture and tourism -- Nova Scotia.; Heritage tourism -- Nova Scotia -- History -- 20th century.; Nova Scotia -- Historiography.; Tourism -- Government policy -- Nova Scotia.; Tourism -- Nova Scotia -- History -- 20th century.; Tourism -- Social aspects -- Nova Scotia.</t>
  </si>
  <si>
    <t>http://public.eblib.com/choice/PublicFullRecord.aspx?p=3332433</t>
  </si>
  <si>
    <t>There's Always Something to Do : The Peter Cundill Investment Approach</t>
  </si>
  <si>
    <t>Risso-Gill, Christopher</t>
  </si>
  <si>
    <t>HG4521 -- .R58 2011eb</t>
  </si>
  <si>
    <t>Cundill, Peter, -- 1938-; Securities.; Value investing.</t>
  </si>
  <si>
    <t>http://public.eblib.com/choice/PublicFullRecord.aspx?p=3332434</t>
  </si>
  <si>
    <t>A Knight in Politics : A Biography of Sir Frederick Borden</t>
  </si>
  <si>
    <t>F1034.B617 -- M55 2010eb</t>
  </si>
  <si>
    <t>971.05/6092</t>
  </si>
  <si>
    <t>Borden, F. W. -- (Frederick William), -- 1847-1917.; Canada -- Politics and government -- 1867-1914.; Politicians -- Canada -- Biography.</t>
  </si>
  <si>
    <t>http://public.eblib.com/choice/PublicFullRecord.aspx?p=3332435</t>
  </si>
  <si>
    <t>Winnipeg : A Social History of Urban Growth, 1874-1914</t>
  </si>
  <si>
    <t>HN110.W5 -- A74 1975eb</t>
  </si>
  <si>
    <t>309.1/7127/4</t>
  </si>
  <si>
    <t>Urbanization -- Manitoba -- Winnipeg Region.; Winnipeg Region (Man.) -- Social conditions.</t>
  </si>
  <si>
    <t>http://public.eblib.com/choice/PublicFullRecord.aspx?p=3332436</t>
  </si>
  <si>
    <t>Ireland, a Bicycle, and a Tin Whistle</t>
  </si>
  <si>
    <t>DA978.2 -- .W555 1995eb</t>
  </si>
  <si>
    <t>914.1504/824</t>
  </si>
  <si>
    <t>Cycling -- Ireland.; Ireland -- Description and travel.; Wilson, David A., -- 1950- -- Travel -- Ireland.</t>
  </si>
  <si>
    <t>http://public.eblib.com/choice/PublicFullRecord.aspx?p=3332437</t>
  </si>
  <si>
    <t>Crass Struggle : Glitz, Greed, and Gluttony in a Wanna-Have World</t>
  </si>
  <si>
    <t>Business/Management; Philosophy</t>
  </si>
  <si>
    <t>HB835 -- .N39 2011eb</t>
  </si>
  <si>
    <t>Consumption (Economics) -- Moral and ethical aspects.; Consumption (Economics) -- Social aspects.; Rich people -- Conduct of life.; Wealth -- Moral and ethical aspects.; Wealth -- Social aspects.</t>
  </si>
  <si>
    <t>http://public.eblib.com/choice/PublicFullRecord.aspx?p=3332438</t>
  </si>
  <si>
    <t>Singing from the Darktime : A Childhood Memoir in Poetry and Prose</t>
  </si>
  <si>
    <t>Weilbach, S.</t>
  </si>
  <si>
    <t>PR9199.4.W438 -- S56 2011eb</t>
  </si>
  <si>
    <t>Jewish refugees -- England -- Poetry.; Jews -- Germany -- Biography -- Poetry.; St. Louis (Ship) -- Poetry.; Weilbach, S. -- Childhood and youth -- Poetry.; World War, 1939-1945 -- Jews -- Poetry.</t>
  </si>
  <si>
    <t>http://public.eblib.com/choice/PublicFullRecord.aspx?p=3332439</t>
  </si>
  <si>
    <t>Democracy Burning? : Urban Fire Departments and the Limits of Civil Society in Late Imperial Russia, 1850-1914</t>
  </si>
  <si>
    <t>Raab, Nigel</t>
  </si>
  <si>
    <t>Engineering; Social Science; Engineering: Construction</t>
  </si>
  <si>
    <t>TH9565 -- .R33 2011eb</t>
  </si>
  <si>
    <t>363.37/8094709034</t>
  </si>
  <si>
    <t>Fire departments -- Russia -- History.; Russia -- History -- 1801-1917.; Russia -- Politics and government -- 1801-1917.; Russia -- Social conditions -- 1801-1917.</t>
  </si>
  <si>
    <t>http://public.eblib.com/choice/PublicFullRecord.aspx?p=3332440</t>
  </si>
  <si>
    <t>Mind and Body</t>
  </si>
  <si>
    <t>Kirk, Robert</t>
  </si>
  <si>
    <t>BF161 -- .K57 2003eb</t>
  </si>
  <si>
    <t>Materialism.; Mind and body -- Philosophy.</t>
  </si>
  <si>
    <t>http://public.eblib.com/choice/PublicFullRecord.aspx?p=3332441</t>
  </si>
  <si>
    <t>Ontology</t>
  </si>
  <si>
    <t>BD311 -- .J33 2002eb</t>
  </si>
  <si>
    <t>Ontology.</t>
  </si>
  <si>
    <t>http://public.eblib.com/choice/PublicFullRecord.aspx?p=3332442</t>
  </si>
  <si>
    <t>Comparative Administration Change and Reform : Lessons Learned</t>
  </si>
  <si>
    <t>Pierre, Jon; Ingraham, Patricia W.</t>
  </si>
  <si>
    <t>JF51 -- .C613 2010eb</t>
  </si>
  <si>
    <t>352.3/67</t>
  </si>
  <si>
    <t>Administrative agencies -- Reorganization.; Civil service reform.; Comparative government.; Public administration.</t>
  </si>
  <si>
    <t>http://public.eblib.com/choice/PublicFullRecord.aspx?p=3332443</t>
  </si>
  <si>
    <t>The Empire Within : Postcolonial Thought and Political Activism in Sixties Montreal</t>
  </si>
  <si>
    <t>Mills, Sean</t>
  </si>
  <si>
    <t>F1054.5.M8 -- M56 2010eb</t>
  </si>
  <si>
    <t>971.4/2804</t>
  </si>
  <si>
    <t>Decolonization.; Montréal (Québec) -- Intellectual life -- 20th century.; Nineteen sixties.; Political activists -- Québec (Province) -- Montréal -- History -- 20th century.; Radicalism -- Québec (Province) -- Montréal -- History -- 20th century.; Social movements -- Québec (Province) -- Montréal -- History -- 20th century.</t>
  </si>
  <si>
    <t>http://public.eblib.com/choice/PublicFullRecord.aspx?p=3332444</t>
  </si>
  <si>
    <t>Ethnography and Development : The Work of Richard F. Salisbury</t>
  </si>
  <si>
    <t>Silverman, Marilyn</t>
  </si>
  <si>
    <t>GN397.5 -- .S35 2004eb</t>
  </si>
  <si>
    <t>Applied anthropology.; Economic development.; Rural development.; Technical assistance -- Anthropological aspects.</t>
  </si>
  <si>
    <t>http://public.eblib.com/choice/PublicFullRecord.aspx?p=3332445</t>
  </si>
  <si>
    <t>Asparagus Feast</t>
  </si>
  <si>
    <t>Zitner, S.P.</t>
  </si>
  <si>
    <t>PR9199.3.Z58 -- A9 1999eb</t>
  </si>
  <si>
    <t>http://public.eblib.com/choice/PublicFullRecord.aspx?p=3332446</t>
  </si>
  <si>
    <t>Canadian Foreign Policy, 1977-1992 : Selected Speeches and Documents</t>
  </si>
  <si>
    <t>Blanchette, A.E.</t>
  </si>
  <si>
    <t>F1034.2 -- .C36 1994eb</t>
  </si>
  <si>
    <t>Canada -- Foreign relations -- 1945-</t>
  </si>
  <si>
    <t>http://public.eblib.com/choice/PublicFullRecord.aspx?p=3332447</t>
  </si>
  <si>
    <t>The Ordinary People of Essex : Environment, Culture, and Economy on the Frontier of Upper Canada</t>
  </si>
  <si>
    <t>F1059.E7 -- C53 2010eb</t>
  </si>
  <si>
    <t>971.3/3102</t>
  </si>
  <si>
    <t>Agriculture -- Ontario -- Essex (County) -- History -- 19th century.; Essex (Ont. : County) -- Economic conditions -- 19th century.; Essex (Ont. : County) -- Historical geography.; Essex (Ont. : County) -- Social conditions -- 19th century.; Frontier and pioneer life -- Ontario -- Essex (County); Land settlement patterns -- Ontario -- Essex (County) -- History -- 19th century.</t>
  </si>
  <si>
    <t>http://public.eblib.com/choice/PublicFullRecord.aspx?p=3332448</t>
  </si>
  <si>
    <t>Driving Continentally : National Policies and the North American Auto Industry</t>
  </si>
  <si>
    <t>Molot, Maureen</t>
  </si>
  <si>
    <t>HD9710.N7 -- D75 1993eb</t>
  </si>
  <si>
    <t>Automobile industry and trade -- Government policy -- Canada.; Automobile industry and trade -- Government policy -- United States.; Automobile industry and trade -- Japan.; Automobile industry and trade -- North America.; Free trade -- North America.</t>
  </si>
  <si>
    <t>http://public.eblib.com/choice/PublicFullRecord.aspx?p=3332449</t>
  </si>
  <si>
    <t>Landing</t>
  </si>
  <si>
    <t>PR9199.3.S5356 -- L36 1997eb</t>
  </si>
  <si>
    <t>Ontario -- Poetry.</t>
  </si>
  <si>
    <t>http://public.eblib.com/choice/PublicFullRecord.aspx?p=3332450</t>
  </si>
  <si>
    <t>Philosophy of Nietzsche</t>
  </si>
  <si>
    <t>Welshon, Rex</t>
  </si>
  <si>
    <t>B3317 -- .W444 2004eb</t>
  </si>
  <si>
    <t>Nietzsche, Friedrich Wilhelm, -- 1844-1900.; Philosophy, German -- 19th century.</t>
  </si>
  <si>
    <t>http://public.eblib.com/choice/PublicFullRecord.aspx?p=3332451</t>
  </si>
  <si>
    <t>A Priori</t>
  </si>
  <si>
    <t>Mares, Edwin</t>
  </si>
  <si>
    <t>BD181.3 -- .M374 2011eb</t>
  </si>
  <si>
    <t>A priori.; Knowledge, Theory of.</t>
  </si>
  <si>
    <t>http://public.eblib.com/choice/PublicFullRecord.aspx?p=3332452</t>
  </si>
  <si>
    <t>Omar Khadr, Oh Canada</t>
  </si>
  <si>
    <t>Williamson, Janice</t>
  </si>
  <si>
    <t>HV9468.5.K53 -- O43 2012eb</t>
  </si>
  <si>
    <t>Canadians -- Legal status, laws, etc. -- United States.; Khadr, Omar, -- 1986-; Political prisoners -- Cuba -- Guantánamo Bay Naval Base -- Biography.; Political prisoners -- Legal status, laws, etc. -- United States.</t>
  </si>
  <si>
    <t>http://public.eblib.com/choice/PublicFullRecord.aspx?p=3332453</t>
  </si>
  <si>
    <t>From New Public Management to New Political Governance : Essays in Honour of Peter C. Aucoin</t>
  </si>
  <si>
    <t>Bakvis, Herman; Jarvis, Mark D.</t>
  </si>
  <si>
    <t>JL75 -- .F76 2012eb</t>
  </si>
  <si>
    <t>Aucoin, Peter.; Civil service reform -- Canada.; Civil service reform.; Public administration -- Canada.; Public administration.</t>
  </si>
  <si>
    <t>http://public.eblib.com/choice/PublicFullRecord.aspx?p=3332454</t>
  </si>
  <si>
    <t>Why Canada Cares : Human Rights and Foreign Policy in Theory and Practice</t>
  </si>
  <si>
    <t>Lui, Andrew</t>
  </si>
  <si>
    <t>JC599.C2 -- L85 2012eb</t>
  </si>
  <si>
    <t>Canada -- Foreign relations -- 1945-; Human rights -- History.; Human rights -- Political aspects -- Canada.</t>
  </si>
  <si>
    <t>http://public.eblib.com/choice/PublicFullRecord.aspx?p=3332455</t>
  </si>
  <si>
    <t>Beyond the Indian Act : Restoring Aboriginal Property Rights</t>
  </si>
  <si>
    <t>Flanagan, Tom; Alcantara, Christopher; Le Dressay, André</t>
  </si>
  <si>
    <t>KE7739.L3 -- F53 2010eb</t>
  </si>
  <si>
    <t>Indian title -- Canada.; Indians of North America -- Land tenure -- Canada.; Indians of North America -- Legal status, laws, etc. -- Canada.</t>
  </si>
  <si>
    <t>http://public.eblib.com/choice/PublicFullRecord.aspx?p=3332456</t>
  </si>
  <si>
    <t>Terra Nostra, 1550-1950 : The Stories Behind Canada's Maps</t>
  </si>
  <si>
    <t>Murray, Jeffrey S.; Wilson, Ian E.</t>
  </si>
  <si>
    <t>GA471 -- .M87 2006eb</t>
  </si>
  <si>
    <t>Canada -- Historical geography -- Maps.; Cartography -- Canada -- History.</t>
  </si>
  <si>
    <t>http://public.eblib.com/choice/PublicFullRecord.aspx?p=3332457</t>
  </si>
  <si>
    <t>Allied Arts : Architecture and Craft in Postwar Canada</t>
  </si>
  <si>
    <t>ARC005080</t>
  </si>
  <si>
    <t>Architecture -- Canada -- History -- 20th century.; Decorative arts -- Canada -- History -- 20th century.; Handicraft -- Canada -- History -- 20th century.</t>
  </si>
  <si>
    <t>http://public.eblib.com/choice/PublicFullRecord.aspx?p=3332458</t>
  </si>
  <si>
    <t>Idea of Popular Schooling in Upper Canada : Print Culture, Public Discourse, and the Demand for Education</t>
  </si>
  <si>
    <t>Di Mascio, Anthony</t>
  </si>
  <si>
    <t>LA418.O6 -- D56 2012eb</t>
  </si>
  <si>
    <t>Education -- Ontario -- History -- 19th century.; Education -- Political aspects -- Ontario -- History -- 19th century.; Education -- Social aspects -- Ontario -- History -- 19th century.; Ontario -- Intellectual life -- 19th century.; Public schools -- Ontario -- History -- 19th century.</t>
  </si>
  <si>
    <t>http://public.eblib.com/choice/PublicFullRecord.aspx?p=3332459</t>
  </si>
  <si>
    <t>In Search of R.B. Bennett</t>
  </si>
  <si>
    <t>F1033.B47 -- W33 2012eb</t>
  </si>
  <si>
    <t>Bennett, R. B. -- (Richard Bedford), -- 1870-1947.; Politicians -- Alberta -- Biography.; Prime ministers -- Canada -- Biography.</t>
  </si>
  <si>
    <t>http://public.eblib.com/choice/PublicFullRecord.aspx?p=3332460</t>
  </si>
  <si>
    <t>Secessionism : Identity, Interest, and Strategy</t>
  </si>
  <si>
    <t>Sorens, Jason</t>
  </si>
  <si>
    <t>JC311 -- .S67 2012eb</t>
  </si>
  <si>
    <t>Autonomy and independence movements.; Nationalism.; Secession.; Separatist movements.</t>
  </si>
  <si>
    <t>http://public.eblib.com/choice/PublicFullRecord.aspx?p=3332461</t>
  </si>
  <si>
    <t>Marion : The Story of an Artist's Model</t>
  </si>
  <si>
    <t>Eaton, Winnifred; Skinazi, Karen E.H.</t>
  </si>
  <si>
    <t>PS8453.A33 -- M37 2012eb</t>
  </si>
  <si>
    <t>Artists'' models.; Models (Persons)</t>
  </si>
  <si>
    <t>http://public.eblib.com/choice/PublicFullRecord.aspx?p=3332462</t>
  </si>
  <si>
    <t>Chess Game for Democracy : Hungary between East and West, 1944-1947</t>
  </si>
  <si>
    <t>Palasik, Mária</t>
  </si>
  <si>
    <t>DB956 -- .P34 2011eb</t>
  </si>
  <si>
    <t>Hungary -- History -- 1945-1989.; Hungary -- History.; Hungary -- Politics and government -- 1945-1989.</t>
  </si>
  <si>
    <t>http://public.eblib.com/choice/PublicFullRecord.aspx?p=3332463</t>
  </si>
  <si>
    <t>Nazi Germany, Canadian Responses : Confronting Antisemitism in the Shadow of War</t>
  </si>
  <si>
    <t>Klein, L. Ruth</t>
  </si>
  <si>
    <t>DS146.C2 -- N39 2012eb</t>
  </si>
  <si>
    <t>Antisemitism -- Canada -- History -- 20th century.; Holocaust, Jewish (1939-1945) -- Foreign public opinion, Canadian.; Holocaust, Jewish (1939-1945) -- Press coverage -- Canada.; Jewish refugees -- Government policy -- Canada.; Jews -- Canada -- History -- 20th century.</t>
  </si>
  <si>
    <t>http://public.eblib.com/choice/PublicFullRecord.aspx?p=3332464</t>
  </si>
  <si>
    <t>Interregional Migration and Public Policy in Canada : An Empirical Study</t>
  </si>
  <si>
    <t>Day, Kathleen M.</t>
  </si>
  <si>
    <t>HB1989 -- .D39 2012eb</t>
  </si>
  <si>
    <t>Canada - Politique aeconomique - 1991-</t>
  </si>
  <si>
    <t>http://public.eblib.com/choice/PublicFullRecord.aspx?p=3332465</t>
  </si>
  <si>
    <t>Newfoundland Modern : Architecture in the Smallwood Years, 1949-1972</t>
  </si>
  <si>
    <t>Mellin, Robert; Ruud, Charles A.; Soroka, Marina E.</t>
  </si>
  <si>
    <t>NA746.N48 -- M45 2011eb</t>
  </si>
  <si>
    <t>Architectes - Terre-Neuve-et-Labrador</t>
  </si>
  <si>
    <t>http://public.eblib.com/choice/PublicFullRecord.aspx?p=3332466</t>
  </si>
  <si>
    <t>Surveyors of Empire : Samuel Holland, J.F.W. Des Barres, and the Making of The Atlantic Neptune</t>
  </si>
  <si>
    <t>Hornsby, Stephen J.</t>
  </si>
  <si>
    <t>G1108.5 -- .H676 2011eb</t>
  </si>
  <si>
    <t>Atlantic Coast (North America) -- Maps.; Atlantic Neptune.; Cartographers -- Great Britain.; Des Barres, Joseph F. W. -- (Joseph Frederick Wallet), -- 1722-1824.; Holland, Samuel, -- 1728-1801.; Nautical charts -- Atlantic Coast (North America)</t>
  </si>
  <si>
    <t>http://public.eblib.com/choice/PublicFullRecord.aspx?p=3332467</t>
  </si>
  <si>
    <t>Wings of the Doves : Love and Desire in Dante and Medieval Culture</t>
  </si>
  <si>
    <t>Lombardi, Elena</t>
  </si>
  <si>
    <t>PQ4445 5th -- .L64 2012eb</t>
  </si>
  <si>
    <t>Civilization, Medieval.; Dante Alighieri, -- 1265-1321. -- Inferno. -- Canto 5.; Desire in literature.; Love in literature.; Lust in literature.</t>
  </si>
  <si>
    <t>http://public.eblib.com/choice/PublicFullRecord.aspx?p=3332468</t>
  </si>
  <si>
    <t>In My Heart's Best Wishes for You : A biography of Archbishop John Walsh</t>
  </si>
  <si>
    <t>Comiskey, John P.</t>
  </si>
  <si>
    <t>BX4705.W294 -- C64 2012eb</t>
  </si>
  <si>
    <t>AEglise catholique - Ontario - Toronto - aEvaeques</t>
  </si>
  <si>
    <t>http://public.eblib.com/choice/PublicFullRecord.aspx?p=3332469</t>
  </si>
  <si>
    <t>Getting Used to the Quiet : Immigrant Adolescents' Journey to Belonging in New Brunswick, Canada</t>
  </si>
  <si>
    <t>Wilson-Forsberg, Stacey; Gagnon, François-Marc</t>
  </si>
  <si>
    <t>HV4013.C2 -- W54 2012eb</t>
  </si>
  <si>
    <t>Immigrants - Cultural assimilation - New Brunswick</t>
  </si>
  <si>
    <t>http://public.eblib.com/choice/PublicFullRecord.aspx?p=3332470</t>
  </si>
  <si>
    <t>Sorrow's Rigging : The Novels of Cormac McCarthy, Don DeLillo, and Robert Stone</t>
  </si>
  <si>
    <t>Adelman, Gary; Taylor, Robert</t>
  </si>
  <si>
    <t>PS374.M42 -- A34 2012eb</t>
  </si>
  <si>
    <t>American fiction -- 20th century -- History and criticism.; DeLillo, Don -- Criticism and interpretation.; Despair in literature.; McCarthy, Cormac, -- 1933- -- Criticism and interpretation.; Meaning (Philosophy) in literature.; Stone, Robert, -- 1937- -- Criticism and interpretation.</t>
  </si>
  <si>
    <t>http://public.eblib.com/choice/PublicFullRecord.aspx?p=3332471</t>
  </si>
  <si>
    <t>This Great National Object : Building the Nineteenth-Century Welland Canals</t>
  </si>
  <si>
    <t>Styran, Roberta M.; Taylor, Robert; Ostberg, C.L.</t>
  </si>
  <si>
    <t>HIS006000</t>
  </si>
  <si>
    <t>Welland Canal (Ont.) -- History.</t>
  </si>
  <si>
    <t>http://public.eblib.com/choice/PublicFullRecord.aspx?p=3332472</t>
  </si>
  <si>
    <t>Rethinking Professionalism : Women and Art in Canada, 1850-1970</t>
  </si>
  <si>
    <t>O'Reilly, Patricia; Huneault, Kristina; Anderson, Janice</t>
  </si>
  <si>
    <t>N8354 -- .R48 2012eb</t>
  </si>
  <si>
    <t>Art, Canadian -- 19th century.; Art, Canadian -- 20th century.; Feminism and art -- Canada -- History.; Women artists -- Canada -- History.</t>
  </si>
  <si>
    <t>http://public.eblib.com/choice/PublicFullRecord.aspx?p=3332473</t>
  </si>
  <si>
    <t>From Babel to Pentecost : The Poetry of Pierre Emmanuel</t>
  </si>
  <si>
    <t>O'Neil, Mary Anne</t>
  </si>
  <si>
    <t>PQ2609.M58 -- Z674 2012eb</t>
  </si>
  <si>
    <t>Christian poetry, French -- History and criticism.; Emmanuel, Pierre -- Criticism and interpretation.</t>
  </si>
  <si>
    <t>http://public.eblib.com/choice/PublicFullRecord.aspx?p=3332474</t>
  </si>
  <si>
    <t>My Life for the Book : The Memoirs of a Russian Publisher</t>
  </si>
  <si>
    <t>Sytin, Ivan D.; Ruud, Charles A.; Soroka, Marina E.</t>
  </si>
  <si>
    <t>Publishing</t>
  </si>
  <si>
    <t>Z368.S9 -- A313 2012eb</t>
  </si>
  <si>
    <t>Publishers and publishing -- Russia (Federation) -- Biography.; Publishers and publishing -- Russia (Federation) -- History.; Sytin, Ivan Dmitrievich, -- 1851-1934.</t>
  </si>
  <si>
    <t>http://public.eblib.com/choice/PublicFullRecord.aspx?p=3332475</t>
  </si>
  <si>
    <t>Museum Pieces : Toward the Indigenization of Canadian Museums</t>
  </si>
  <si>
    <t>Phillips, Ruth B.; Anderson, Janice</t>
  </si>
  <si>
    <t>Museums; History</t>
  </si>
  <si>
    <t>E76.85 -- .P455 2011eb</t>
  </si>
  <si>
    <t>Native peoples - Museums - Canada</t>
  </si>
  <si>
    <t>http://public.eblib.com/choice/PublicFullRecord.aspx?p=3332476</t>
  </si>
  <si>
    <t>Reaching Outward and Upward : The University of Victoria, 1963-2013</t>
  </si>
  <si>
    <t>MacPherson, Ian</t>
  </si>
  <si>
    <t>LB2331.65.C2 -- M33 2012eb</t>
  </si>
  <si>
    <t>University of Victoria (B.C.) - History</t>
  </si>
  <si>
    <t>http://public.eblib.com/choice/PublicFullRecord.aspx?p=3332477</t>
  </si>
  <si>
    <t>Fields of Governance : Policy Making in Canadian Municipalities, Urban Aboriginal Policy Making in Canadian Municipalities</t>
  </si>
  <si>
    <t>E78.C2 -- U735 2011eb</t>
  </si>
  <si>
    <t>Sociology, Urban -- Canada.; Urban policy -- Canada.</t>
  </si>
  <si>
    <t>http://public.eblib.com/choice/PublicFullRecord.aspx?p=3332478</t>
  </si>
  <si>
    <t>Big Picture : The Antigonish Movement of Eastern Nova Scotia</t>
  </si>
  <si>
    <t>Dodaro, Santo; Pluta, Leonard</t>
  </si>
  <si>
    <t>HM881 -- .D63 2012eb</t>
  </si>
  <si>
    <t>Nova Scotia - Social conditions - 20th century</t>
  </si>
  <si>
    <t>http://public.eblib.com/choice/PublicFullRecord.aspx?p=3332479</t>
  </si>
  <si>
    <t>Organized Patriotism and the Crucible of War : Popular Imperialism in Britain, 1914-1932</t>
  </si>
  <si>
    <t>Hendley, Matthew C.</t>
  </si>
  <si>
    <t>HS2375 -- .H45 2012eb</t>
  </si>
  <si>
    <t>Great Britain -- History -- George V, 1910-1936.; Great Britain -- Politics and government -- 1910-1936.; Patriotic societies -- Great Britain -- History -- 20th century.; Women -- Great Britain -- Societies and clubs -- History -- 20th century.</t>
  </si>
  <si>
    <t>http://public.eblib.com/choice/PublicFullRecord.aspx?p=3332480</t>
  </si>
  <si>
    <t>Codex Canadensis and the Writings of Louis Nicolas : The Natural History of the New World, Histoire Naturelle des Indes Occidentales</t>
  </si>
  <si>
    <t>Nicolas, Louis; Gagnon, François-Marc</t>
  </si>
  <si>
    <t>Science: General; History</t>
  </si>
  <si>
    <t>E78.C2 -- N53 2011eb</t>
  </si>
  <si>
    <t>Natural history illustration - Canada</t>
  </si>
  <si>
    <t>http://public.eblib.com/choice/PublicFullRecord.aspx?p=3332481</t>
  </si>
  <si>
    <t>How Schools Worked : Public Education in English Canada, 1900-1940</t>
  </si>
  <si>
    <t>Gidney, R.D.; Millar, W.P.J.</t>
  </si>
  <si>
    <t>LA411.8 -- G535 2012eb</t>
  </si>
  <si>
    <t>AEducation - Politique gouvernementale - Canada - Histoire - 20e siaecle</t>
  </si>
  <si>
    <t>http://public.eblib.com/choice/PublicFullRecord.aspx?p=3332482</t>
  </si>
  <si>
    <t>Law, Ideology, and Collegiality : Judicial Behaviour in the Supreme Court of Canada</t>
  </si>
  <si>
    <t>Songer, Donald R.; Ostberg, C.L.; Wetstein, Matthew</t>
  </si>
  <si>
    <t>KE 8244 -- .L39 2012eb</t>
  </si>
  <si>
    <t>Canada. -- Supreme Court.; Judges -- Canada -- Attitudes.; Judicial process -- Canada.; Political questions and judicial power -- Canada.</t>
  </si>
  <si>
    <t>http://public.eblib.com/choice/PublicFullRecord.aspx?p=3332483</t>
  </si>
  <si>
    <t>Chien d'or/The Golden Dog : A Legend of Quebec</t>
  </si>
  <si>
    <t>Kirby, William</t>
  </si>
  <si>
    <t>FIC000000</t>
  </si>
  <si>
    <t>Canadian fiction.; Legends -- Québec (Province)</t>
  </si>
  <si>
    <t>http://public.eblib.com/choice/PublicFullRecord.aspx?p=3332484</t>
  </si>
  <si>
    <t>McGill-Queen's Studies in the History of Religion : Commerce of Taste: Church Architecture in Canada, 1867-1914</t>
  </si>
  <si>
    <t>Mellin, Robert</t>
  </si>
  <si>
    <t>NA5244 -- .M34 2012eb</t>
  </si>
  <si>
    <t>Canada -- Economic conditions -- 19th century.; Canada -- Social conditions -- 19th century.; Gothic revival (Architecture) -- Canada.; Pattern books -- Great Britain.; Religious architecture -- Canada.</t>
  </si>
  <si>
    <t>http://public.eblib.com/choice/PublicFullRecord.aspx?p=3332485</t>
  </si>
  <si>
    <t>Ancient Mythology of Modern Science : A Mythologist Looks (Seriously) at Popular Science Writing</t>
  </si>
  <si>
    <t>Schrempp, Gregory</t>
  </si>
  <si>
    <t>BL240.3 -- .S34585 2012eb</t>
  </si>
  <si>
    <t>Mythology.; Religion and science.; Science news -- Philosophy.; Science news -- Social aspects.</t>
  </si>
  <si>
    <t>http://public.eblib.com/choice/PublicFullRecord.aspx?p=3332486</t>
  </si>
  <si>
    <t>Beyond the Global City : Understanding and Planning for the Diversity of Ontario</t>
  </si>
  <si>
    <t>Nelson, Gordon</t>
  </si>
  <si>
    <t>HT395.C32 -- O522 2012eb</t>
  </si>
  <si>
    <t>Ontario -- Geography.; Regional planning -- Ontario.</t>
  </si>
  <si>
    <t>http://public.eblib.com/choice/PublicFullRecord.aspx?p=3332487</t>
  </si>
  <si>
    <t>Intergovernmental Policy Capacity in Canada : Inside the Worlds of Finance, Environment, Trade, and Health</t>
  </si>
  <si>
    <t>Inwood, Gregory J.</t>
  </si>
  <si>
    <t>JL27 -- .I68 2011eb</t>
  </si>
  <si>
    <t>http://public.eblib.com/choice/PublicFullRecord.aspx?p=3332488</t>
  </si>
  <si>
    <t>Sex, Lies, and Cigarettes : Canadian Women, Smoking, and Visual Culture, 1880-2000</t>
  </si>
  <si>
    <t>HV5746 -- .C64 2012eb</t>
  </si>
  <si>
    <t>Mass media and culture -- Canada -- History.; Women -- Canada -- Social conditions -- 19th century.; Women -- Canada -- Social conditions -- 20th century.; Women -- Tobacco use -- Canada -- History.</t>
  </si>
  <si>
    <t>http://public.eblib.com/choice/PublicFullRecord.aspx?p=3332489</t>
  </si>
  <si>
    <t>Ulster's Men : Protestant Unionist Masculinities and Militarization in the North of Ireland, 1912-1923</t>
  </si>
  <si>
    <t>McGaughey, Jane G.V.; Skinazi, Karen E.H.</t>
  </si>
  <si>
    <t>DA960 -- .M35 2012eb</t>
  </si>
  <si>
    <t>Masculinity -- Northern Ireland -- History -- 20th century.; Men -- Northern Ireland -- Identity -- History -- 20th century.; Northern Ireland -- Politics and government.; Paramilitary forces -- Northern Ireland -- History -- 20th century.; Protestant men -- Northern Ireland -- Social conditions -- 20th century.; Unionism (Irish politics); World War, 1914-1918 -- Northern Ireland.</t>
  </si>
  <si>
    <t>http://public.eblib.com/choice/PublicFullRecord.aspx?p=3332490</t>
  </si>
  <si>
    <t>In Praise of Nonsense : Aesthetics, Uncertainty, and Postmodern Identity</t>
  </si>
  <si>
    <t>Hiebert, Ted</t>
  </si>
  <si>
    <t>BH301.P69 -- H53 2012eb</t>
  </si>
  <si>
    <t>Aesthetics.; Creation (Literary, artistic, etc.); Imagination.; Postmodernism.; Uncertainty.</t>
  </si>
  <si>
    <t>http://public.eblib.com/choice/PublicFullRecord.aspx?p=3332491</t>
  </si>
  <si>
    <t>David Alexander : The Shape of Place</t>
  </si>
  <si>
    <t>Wylie, Liz</t>
  </si>
  <si>
    <t>ND249.A425 -- D38 2012eb</t>
  </si>
  <si>
    <t>Alexander, David, -- 1947- -- Criticism and interpretation.; Landscape painting, Canadian.; Painting, Canadian -- 20th century.</t>
  </si>
  <si>
    <t>http://public.eblib.com/choice/PublicFullRecord.aspx?p=3332492</t>
  </si>
  <si>
    <t>DisPossession : Haunting in Canadian Fiction</t>
  </si>
  <si>
    <t>PR9185.5.S87 -- G65 2012eb</t>
  </si>
  <si>
    <t>Ghosts in literature.; Spirit possession in literature.; Supernatural in literature.</t>
  </si>
  <si>
    <t>http://public.eblib.com/choice/PublicFullRecord.aspx?p=3332493</t>
  </si>
  <si>
    <t>Four Historical Definitions of Architecture</t>
  </si>
  <si>
    <t>Parcell, Stephen; Winer, Stanley</t>
  </si>
  <si>
    <t>NA2500 -- .P37 2012eb</t>
  </si>
  <si>
    <t>Architecture -- Europe -- History.; Art -- Europe -- History.</t>
  </si>
  <si>
    <t>http://public.eblib.com/choice/PublicFullRecord.aspx?p=3332494</t>
  </si>
  <si>
    <t>Struggling for Effectiveness : CIDA and Canadian Foreign Aid</t>
  </si>
  <si>
    <t>Brown, Stephen</t>
  </si>
  <si>
    <t>HC60 -- .S77 2012eb</t>
  </si>
  <si>
    <t>Canada -- Economic policy.; Canadian International Development Agency.; Economic assistance, Canadian -- History -- 21st century.</t>
  </si>
  <si>
    <t>http://public.eblib.com/choice/PublicFullRecord.aspx?p=3332495</t>
  </si>
  <si>
    <t>Pierre-Esprit Radisson, Volume 1 : The Collected Writings : The Voyages</t>
  </si>
  <si>
    <t>Warkentin, Germaine</t>
  </si>
  <si>
    <t>F1060.7 -- .R12 2012eb</t>
  </si>
  <si>
    <t>Hudson''s Bay Company.; Indians of North America -- Canada.; Iroquois Indians.; New France -- Discovery and exploration.; Northwest, Canadian -- History.</t>
  </si>
  <si>
    <t>http://public.eblib.com/choice/PublicFullRecord.aspx?p=3332496</t>
  </si>
  <si>
    <t>Améliorer le leadership dans les services de santé au Canada : La preuve en oeuvre</t>
  </si>
  <si>
    <t>RA184 -- .A44 2012eb</t>
  </si>
  <si>
    <t>EXTRA Program.; Health services administration -- Canada.; Medical care -- Canada -- Decision making.</t>
  </si>
  <si>
    <t>http://public.eblib.com/choice/PublicFullRecord.aspx?p=3332497</t>
  </si>
  <si>
    <t>Materialist Ethics and Life-Value</t>
  </si>
  <si>
    <t>BJ1031 -- .N66 2012eb</t>
  </si>
  <si>
    <t>Ethics.; Materialism.</t>
  </si>
  <si>
    <t>http://public.eblib.com/choice/PublicFullRecord.aspx?p=3332498</t>
  </si>
  <si>
    <t>Democracy's Angels : The Work of Women Teachers</t>
  </si>
  <si>
    <t>Llewellyn, Kristina R.</t>
  </si>
  <si>
    <t>LC191.8 C2 -- L64 2012eb</t>
  </si>
  <si>
    <t>Democracy and education -- Canada -- History -- 20th century.; Education -- Social aspects -- Canada -- History -- 20th century.; Gender identity in education -- Canada -- History -- 20th century.; Women teachers -- Canada -- History -- 20th century.</t>
  </si>
  <si>
    <t>http://public.eblib.com/choice/PublicFullRecord.aspx?p=3332499</t>
  </si>
  <si>
    <t>Legislated Inequality : Temporary Labour Migration in Canada</t>
  </si>
  <si>
    <t>Lenard, Patti Tamara; Straehle, Christine</t>
  </si>
  <si>
    <t>HD5728 -- .L44 2012eb</t>
  </si>
  <si>
    <t>Foreign workers -- Government policy -- Canada.; Migrant labor -- Canada.; Unskilled labor -- Canada.</t>
  </si>
  <si>
    <t>http://public.eblib.com/choice/PublicFullRecord.aspx?p=3332500</t>
  </si>
  <si>
    <t>Empty Revelations : An Essay on Talk about, and Attitudes toward, Fiction</t>
  </si>
  <si>
    <t>Alward, Peter</t>
  </si>
  <si>
    <t>P302.7 -- A43 2012eb</t>
  </si>
  <si>
    <t>808.301/41</t>
  </si>
  <si>
    <t>Discourse analysis, Literary.; Discourse analysis, Narrative.; Fiction -- History and criticism.; Fiction -- Technique.</t>
  </si>
  <si>
    <t>http://public.eblib.com/choice/PublicFullRecord.aspx?p=3332501</t>
  </si>
  <si>
    <t>Fluorspar Mines of Newfoundland : Their History and the Epidemic of Radiation Lung Cancer</t>
  </si>
  <si>
    <t>Martin, John R.</t>
  </si>
  <si>
    <t>HD7269 -- .M61 2012eb</t>
  </si>
  <si>
    <t>Fluorspar industry -- Employees -- Diseases -- Newfoundland and Labrador -- St. Lawrence.; Fluorspar industry -- Employees -- Health and hygiene -- Newfoundland and Labrador -- St. Lawrence.; Fluorspar industry -- Health aspects -- Newfoundland and Labrador -- St. Lawrence.; Fluorspar industry -- Newfoundland and Labrador -- St. Lawrence -- History.; Miners -- Health and hygiene -- Newfoundland and Labrador -- St. Lawrence.; Radon -- Carcinogenicity -- Newfoundland and Labrador -- St. Lawrence.; Radon -- Toxicology -- Newfoundland and Labrador -- St. Lawrence.</t>
  </si>
  <si>
    <t>http://public.eblib.com/choice/PublicFullRecord.aspx?p=3332502</t>
  </si>
  <si>
    <t>Bearing Witness : Perspectives on War and Peace from the Arts and Humanities</t>
  </si>
  <si>
    <t>LIT004080</t>
  </si>
  <si>
    <t>Grace, Sherrill; Imbert, Patrick; Johnstone, Tiffany</t>
  </si>
  <si>
    <t>NX650.W3 -- B42 2012eb</t>
  </si>
  <si>
    <t>Peace in art</t>
  </si>
  <si>
    <t>http://public.eblib.com/choice/PublicFullRecord.aspx?p=3332503</t>
  </si>
  <si>
    <t>City Limits : Interdisciplinary Essays on the Historical European City</t>
  </si>
  <si>
    <t>Clark, Glenn; Owens, Judith; Smith, Greg T.</t>
  </si>
  <si>
    <t>HT131 -- .C59 2010eb</t>
  </si>
  <si>
    <t>940.09173/2</t>
  </si>
  <si>
    <t>Cities and towns -- Europe -- History.; City and town life -- Europe -- History.; Europe -- History, Local.; Europe -- Social conditions.; Europe -- Social life and customs.</t>
  </si>
  <si>
    <t>http://public.eblib.com/choice/PublicFullRecord.aspx?p=3332504</t>
  </si>
  <si>
    <t>Expeditions of Honour : The Journal of John Salusbury in Halifax, Nova Scotia, 1749-53</t>
  </si>
  <si>
    <t>Salusbury, John; Rompkey, Ronald</t>
  </si>
  <si>
    <t>F1038 -- .S2 2011eb</t>
  </si>
  <si>
    <t>British -- Nova Scotia -- Halifax -- Biography.; Halifax (N.S.) -- Biography.; Halifax (N.S.) -- Description and travel.; Halifax (N.S.) -- History.; Nova Scotia -- Description and travel.; Nova Scotia -- History -- 1713-1763.; Salusbury, John, -- 1707-1762.</t>
  </si>
  <si>
    <t>http://public.eblib.com/choice/PublicFullRecord.aspx?p=3332505</t>
  </si>
  <si>
    <t>Dilemmas, Challenges, and Ethics of Humanitarian Action : Reflections on Médecins Sans Frontières' Perception Project</t>
  </si>
  <si>
    <t>Abu-Sada, Caroline</t>
  </si>
  <si>
    <t>RA390.A2 -- D54 2012eb</t>
  </si>
  <si>
    <t>Disaster medicine -- Moral and ethical aspects.; Disaster medicine -- Political aspects.; Humanitarian assistance -- Moral and ethical aspects.; Humanitarian assistance -- Political aspects.; Médecins sans frontières (Association); Médecins sans frontières (Association) -- Public opinion.</t>
  </si>
  <si>
    <t>http://public.eblib.com/choice/PublicFullRecord.aspx?p=3332506</t>
  </si>
  <si>
    <t>Hit the Road, Jack : Essays on the Culture of the American Road</t>
  </si>
  <si>
    <t>Slethaug, Gordon E.; Ford, Stacilee</t>
  </si>
  <si>
    <t>G155.U6 -- H57 2012eb</t>
  </si>
  <si>
    <t>AEcrits de voyageurs amaericains - Histoire et critique</t>
  </si>
  <si>
    <t>http://public.eblib.com/choice/PublicFullRecord.aspx?p=3332507</t>
  </si>
  <si>
    <t>Beyond Obedience and Abandonment : Toward a Theory of Dissent in Catholic Education</t>
  </si>
  <si>
    <t>McDonough, Graham P.</t>
  </si>
  <si>
    <t>LC504 -- .M33 2012eb</t>
  </si>
  <si>
    <t>Academic freedom -- Canada.; Catholic Church -- Education -- Canada.; Catholic schools -- Ontario -- History.; Catholics -- Canada -- Intellectual life.; Intellectual freedom -- Religious aspects -- Christianity.</t>
  </si>
  <si>
    <t>http://public.eblib.com/choice/PublicFullRecord.aspx?p=3332508</t>
  </si>
  <si>
    <t>Stage Turns : Canadian Disability Theatre</t>
  </si>
  <si>
    <t>Johnston, Kirsty</t>
  </si>
  <si>
    <t>PN1590.H36 -- J64 2012eb</t>
  </si>
  <si>
    <t>Actors with disabilities -- Canada.; People with disabilities and the arts -- Canada.; Theater -- Canada -- History.; Theaters -- Canada -- History.</t>
  </si>
  <si>
    <t>http://public.eblib.com/choice/PublicFullRecord.aspx?p=3332509</t>
  </si>
  <si>
    <t>Russian Émigrés in the Intellectual and Literary Life of Interwar France : A Bibliographical Essay</t>
  </si>
  <si>
    <t>Livak, Leonid</t>
  </si>
  <si>
    <t>Literature; General Works/Reference</t>
  </si>
  <si>
    <t>PG3520.F7 -- L58 2010eb</t>
  </si>
  <si>
    <t>011.89/9171044</t>
  </si>
  <si>
    <t>Exiles'' writings, Russian -- France -- Bibliography.; French imprints -- Bibliography.; French literature -- 20th century -- Bibliography.; Immigrants'' writings, Russian -- France -- Bibliography.; Russian literature -- 20th century -- Translations into French -- Bibliography.; Russians -- France -- Intellectual life -- 20th century -- Sources -- Bibliography.</t>
  </si>
  <si>
    <t>http://public.eblib.com/choice/PublicFullRecord.aspx?p=3332510</t>
  </si>
  <si>
    <t>Stories of the Middle Space : Reading the Ethics in Postmodern Realisms</t>
  </si>
  <si>
    <t>Bowen, Deborah C.</t>
  </si>
  <si>
    <t>PR9192.5 -- .B69 2010eb</t>
  </si>
  <si>
    <t>Canadian fiction -- 20th century -- History and criticism.; Christian ethics in literature.; English fiction -- 20th century -- History and criticism.; Ethics in literature.; Postmodernism (Literature); Postmodernism (Literature) -- Canada.; Realism in literature.</t>
  </si>
  <si>
    <t>http://public.eblib.com/choice/PublicFullRecord.aspx?p=3332511</t>
  </si>
  <si>
    <t>These Mysterious People : Shaping History and Archaeology in a Northwest Coast Community</t>
  </si>
  <si>
    <t>Roy, Susan</t>
  </si>
  <si>
    <t>E99.S21 -- R69 2010eb</t>
  </si>
  <si>
    <t>British Columbia -- Antiquities.; Coast Salish Indians -- British Columbia -- Government relations.; Coast Salish Indians -- Land tenure -- British Columbia.; Coast Salish Indians -- Material culture -- British Columbia.; Kitchen-middens -- British Columbia -- Vancouver Metropolitan Area.; Marpole Site (B.C.); Musqueam First Nation.</t>
  </si>
  <si>
    <t>http://public.eblib.com/choice/PublicFullRecord.aspx?p=3332512</t>
  </si>
  <si>
    <t>Mugabe and the Politics of Security in Zimbabwe</t>
  </si>
  <si>
    <t>Alao, Abiodun</t>
  </si>
  <si>
    <t>DT2996 -- .A52 2012eb</t>
  </si>
  <si>
    <t>Mugabe, Robert Gabriel, -- 1924-; National security -- Zimbabwe -- History.; Zimbabwe -- Foreign relations -- 1980-; Zimbabwe -- Politics and government -- 1980-</t>
  </si>
  <si>
    <t>http://public.eblib.com/choice/PublicFullRecord.aspx?p=3332513</t>
  </si>
  <si>
    <t>Canadian Language Policies in Comparative Perspective</t>
  </si>
  <si>
    <t>Morris, Michael A.</t>
  </si>
  <si>
    <t>P119.32 C3 -- C355 2010eb</t>
  </si>
  <si>
    <t>306.44/971</t>
  </si>
  <si>
    <t>Language policy -- Canada.; Language policy.</t>
  </si>
  <si>
    <t>http://public.eblib.com/choice/PublicFullRecord.aspx?p=3332514</t>
  </si>
  <si>
    <t>Recesses of the Mind : On Aesthetics Gubergur Bergsson's Work</t>
  </si>
  <si>
    <t>Bjarnadóttir, Birna</t>
  </si>
  <si>
    <t>839/.6914</t>
  </si>
  <si>
    <t>Aesthetics in literature.; Aesthetics, Modern -- 20th century.; Guðbergur Bergsson, -- 1932- -- Aesthetics.; Guðbergur Bergsson, -- 1932- -- Criticism and interpretation.; Icelandic literature -- History and criticism.</t>
  </si>
  <si>
    <t>http://public.eblib.com/choice/PublicFullRecord.aspx?p=3332515</t>
  </si>
  <si>
    <t>Saints Alive : Word, Image, and Enactment in the Lives of the Saints</t>
  </si>
  <si>
    <t>PN49 -- .W552 2010eb</t>
  </si>
  <si>
    <t>809/.8921282</t>
  </si>
  <si>
    <t>Anne -- (Mother of the Virgin Mary), Saint -- In motion pictures.; Christian saints in art.; Christian saints in literature.; Kolbe, Maximilian, -- Saint, -- 1894-1941 -- In literature.; Saints in motion pictures.; Saints in opera.; Thomas, -- à Becket, Saint, -- 1118?-1170 -- In literature.</t>
  </si>
  <si>
    <t>http://public.eblib.com/choice/PublicFullRecord.aspx?p=3332516</t>
  </si>
  <si>
    <t>Picturing the Land : Narrating Territories in Canadian Landscape Art, 1500-1950</t>
  </si>
  <si>
    <t>N8214.5.C2 -- M35 2011eb</t>
  </si>
  <si>
    <t>704.9/4367109</t>
  </si>
  <si>
    <t>Art and society -- Canada -- History.; Canada -- In art.; Landscapes in art.</t>
  </si>
  <si>
    <t>http://public.eblib.com/choice/PublicFullRecord.aspx?p=3332517</t>
  </si>
  <si>
    <t>So Vast and Various : Interpreting Canada's Regions in the Nineteenth and Twentieth Centuries</t>
  </si>
  <si>
    <t>Warkentin, John</t>
  </si>
  <si>
    <t>F1027.5 -- .S68 2010eb</t>
  </si>
  <si>
    <t>Canada -- Historical geography.; Canada -- History -- 19th century.; Canada -- History -- 20th century.</t>
  </si>
  <si>
    <t>http://public.eblib.com/choice/PublicFullRecord.aspx?p=3332518</t>
  </si>
  <si>
    <t>Surveillance, Privacy, and the Globalization of Personal Information : International Comparisons</t>
  </si>
  <si>
    <t>Zureik, Elia; Stalker, Lynda Harling; Smith, Emily</t>
  </si>
  <si>
    <t>JC596 -- .S84 2010eb</t>
  </si>
  <si>
    <t>Electronic surveillance -- Cross-cultural studies.; Globalization -- Cross-cultural studies.; Personal information management -- Cross-cultural studies.; Privacy, Right of -- Cross-cultural studies.</t>
  </si>
  <si>
    <t>http://public.eblib.com/choice/PublicFullRecord.aspx?p=3332519</t>
  </si>
  <si>
    <t>How Ottawa Spends, 2012-2013 : The Harper Majority, Budget Cuts, and the New Opposition</t>
  </si>
  <si>
    <t>Doern, G. Bruce; Stoney, Christopher</t>
  </si>
  <si>
    <t>HJ7663 -- .H7 2012eb</t>
  </si>
  <si>
    <t>http://public.eblib.com/choice/PublicFullRecord.aspx?p=3332520</t>
  </si>
  <si>
    <t>Caregiving on the Periphery : Historical Perspectives on Nursing and Midwifery in Canada</t>
  </si>
  <si>
    <t>Rutherdale, Myra</t>
  </si>
  <si>
    <t>Medicine; Nursing</t>
  </si>
  <si>
    <t>RT6.A1 -- C37 2010eb</t>
  </si>
  <si>
    <t>Midwifery -- Canada -- History.; Nursing -- Canada -- History.</t>
  </si>
  <si>
    <t>http://public.eblib.com/choice/PublicFullRecord.aspx?p=3332521</t>
  </si>
  <si>
    <t>Diversity and Unity  in Federal Countries</t>
  </si>
  <si>
    <t>Moreno, Luis; Colino, César</t>
  </si>
  <si>
    <t>JC355 -- .D59 2010eb</t>
  </si>
  <si>
    <t>Comparative government.; Federal government.; Multiculturalism.</t>
  </si>
  <si>
    <t>http://public.eblib.com/choice/PublicFullRecord.aspx?p=3332522</t>
  </si>
  <si>
    <t>How Ottawa Spends, 2010-2011 : Recession, Realignment, and the New Deficit Era</t>
  </si>
  <si>
    <t>HJ7663 -- .H7 2010eb</t>
  </si>
  <si>
    <t>http://public.eblib.com/choice/PublicFullRecord.aspx?p=3332523</t>
  </si>
  <si>
    <t>The Punjabis in British Columbia : Location, Labour, First Nations, and Multiculturalism</t>
  </si>
  <si>
    <t>Nayar, Kamala Elizabeth</t>
  </si>
  <si>
    <t>305.891/4210711</t>
  </si>
  <si>
    <t>British Columbia -- Ethnic relations -- Case studies.; Immigrants -- British Columbia -- Skeena River Region -- History -- 20th century -- Case studies.; Multiculturalism -- British Columbia -- Case studies.; Panjabis (South Asian people) -- British Columbia -- Migrations -- Case studies.; Panjabis (South Asian people) -- British Columbia -- Skeena River Region -- Economic conditions -- 20th century -- Case studies.; Panjabis (South Asian people) -- British Columbia -- Skeena River Region -- Social conditions -- 20th century -- Case studies.; Rural-urban migration -- British Columbia -- Case studies.</t>
  </si>
  <si>
    <t>http://public.eblib.com/choice/PublicFullRecord.aspx?p=3332525</t>
  </si>
  <si>
    <t>Immigrant Integration in Federal Countries</t>
  </si>
  <si>
    <t>Joppke, Christian; Seidle, F. Leslie</t>
  </si>
  <si>
    <t>Assimilation (Sociology) - Government policy</t>
  </si>
  <si>
    <t>http://public.eblib.com/choice/PublicFullRecord.aspx?p=3332526</t>
  </si>
  <si>
    <t>A Cold War Tourist and His Camera</t>
  </si>
  <si>
    <t>Langford, Martha; Langford, John</t>
  </si>
  <si>
    <t>D842.2 -- .L364 2011eb</t>
  </si>
  <si>
    <t>914.04/55</t>
  </si>
  <si>
    <t>Cold War -- Pictorial works.; Cold War -- Study and teaching (Higher) -- Canada.; Langford, James Warren, -- 1919-1997 -- Travel -- Africa.; Langford, James Warren, -- 1919-1997 -- Travel -- Europe.; Military bases -- Europe -- History -- 20th century.; Photography, Military.; Vernacular photography.</t>
  </si>
  <si>
    <t>http://public.eblib.com/choice/PublicFullRecord.aspx?p=3332527</t>
  </si>
  <si>
    <t>Earth into Property : Colonization, Decolonization, and Capitalism</t>
  </si>
  <si>
    <t>Hall, Anthony</t>
  </si>
  <si>
    <t>E93 -- .H229 2003 vol. 2eb</t>
  </si>
  <si>
    <t>Capitalism -- United States.; Decolonization.; Indians of North America -- Government relations -- History.; United States -- Territorial expansion -- History.</t>
  </si>
  <si>
    <t>http://public.eblib.com/choice/PublicFullRecord.aspx?p=3332528</t>
  </si>
  <si>
    <t>Covenanters in Canada : Reformed Presbyterianism from 1820 to 2012</t>
  </si>
  <si>
    <t>Hay, Eldon</t>
  </si>
  <si>
    <t>BX9001 -- .H39 2012eb</t>
  </si>
  <si>
    <t>Canada - Histoire religieuse</t>
  </si>
  <si>
    <t>http://public.eblib.com/choice/PublicFullRecord.aspx?p=3332529</t>
  </si>
  <si>
    <t>Managing the Canadian Mosaic in Wartime : Shaping Citizenship Policy, 1939-1945</t>
  </si>
  <si>
    <t>Caccia, Ivana</t>
  </si>
  <si>
    <t>F1035.A1 -- C23 2010eb</t>
  </si>
  <si>
    <t>323.0971/09044</t>
  </si>
  <si>
    <t>Canada. -- Nationalities Branch -- History.; Citizenship -- Canada -- History -- 20th century.; Committee on Cooperation in Canadian Citizenship (Canada) -- History.; Ethnic groups -- Canada -- History -- 20th century.; National characteristics, Canadian.; Nationalism -- Canada -- History -- 20th century.; World War, 1939-1945 -- Social aspects -- Canada.</t>
  </si>
  <si>
    <t>http://public.eblib.com/choice/PublicFullRecord.aspx?p=3332530</t>
  </si>
  <si>
    <t>The Strange Demise of British Canada : The Liberals and Canadian Nationalism, 1964-68</t>
  </si>
  <si>
    <t>Champion, C.P.</t>
  </si>
  <si>
    <t>F1034.2 -- .C43 2010eb</t>
  </si>
  <si>
    <t>Canada -- History -- 1945-; Liberals -- Canada.; Nationalism -- Canada.</t>
  </si>
  <si>
    <t>http://public.eblib.com/choice/PublicFullRecord.aspx?p=3332531</t>
  </si>
  <si>
    <t>A Stability-Seeking Power : U.S. Foreign Policy and Secessionist Conflicts</t>
  </si>
  <si>
    <t>Paquin, Jonathan</t>
  </si>
  <si>
    <t>E183.7 -- .P37 2010eb</t>
  </si>
  <si>
    <t>Autonomy and independence movements.; United States -- Foreign relations -- 1989-</t>
  </si>
  <si>
    <t>http://public.eblib.com/choice/PublicFullRecord.aspx?p=3332532</t>
  </si>
  <si>
    <t>Don't Tell, Second Edition : The Sexual Abuse of Boys</t>
  </si>
  <si>
    <t>Dorais, Michel; Meyer, Isabel Denholm</t>
  </si>
  <si>
    <t>HV6570 -- .D6713 2009eb</t>
  </si>
  <si>
    <t>362.76/083/41</t>
  </si>
  <si>
    <t>Child sexual abuse -- Prevention.; Child sexual abuse -- Psychological aspects.; Male sexual abuse victims.; Masculinity.; Sexually abused boys.; Sexually abused children -- Psychology.</t>
  </si>
  <si>
    <t>http://public.eblib.com/choice/PublicFullRecord.aspx?p=3332533</t>
  </si>
  <si>
    <t>Inside the NDP War Room : Competing for Credibility in a Federal Election</t>
  </si>
  <si>
    <t>McLean, James S.</t>
  </si>
  <si>
    <t>JL197.N49 -- M35 2012eb</t>
  </si>
  <si>
    <t>Campaign management -- Canada -- Case studies.; Canada. -- Parliament -- Elections, 2006 -- Case studies.; Communication in politics -- Canada -- Case studies.; New Democratic Party -- Case studies.; Political campaigns -- Canada -- Case studies.; Public relations and politics -- Canada -- Case studies.; Truthfulness and falsehood -- Political aspects -- Canada -- Case studies.</t>
  </si>
  <si>
    <t>http://public.eblib.com/choice/PublicFullRecord.aspx?p=3332534</t>
  </si>
  <si>
    <t>In Whose Interests : An Essay on Multinational Corporations</t>
  </si>
  <si>
    <t>Marchak, M. Patricia</t>
  </si>
  <si>
    <t>HD2809 -- .M35 2011eb</t>
  </si>
  <si>
    <t>338.8/8871</t>
  </si>
  <si>
    <t>Corporations, Foreign -- Canada.; Corporations, Foreign -- Social aspects -- Canada.</t>
  </si>
  <si>
    <t>http://public.eblib.com/choice/PublicFullRecord.aspx?p=3332535</t>
  </si>
  <si>
    <t>The Changing Canadian Population</t>
  </si>
  <si>
    <t>Edmonston, Barry; Fong, Eric</t>
  </si>
  <si>
    <t>HB3529 -- .C48 2010eb</t>
  </si>
  <si>
    <t>Canada -- Population -- Statistics.; Canada -- Population.; Population geography -- Canada.</t>
  </si>
  <si>
    <t>http://public.eblib.com/choice/PublicFullRecord.aspx?p=3332536</t>
  </si>
  <si>
    <t>Ideological Perspectives on Canada</t>
  </si>
  <si>
    <t>HN103 -- .M37 2011eb</t>
  </si>
  <si>
    <t>Canada -- Economic conditions -- 1945-; Canada -- Politics and government.; Canada -- Social conditions -- 1945-; Ideology.</t>
  </si>
  <si>
    <t>http://public.eblib.com/choice/PublicFullRecord.aspx?p=3332537</t>
  </si>
  <si>
    <t>Two-Edged Sword : The Navy as an Instrument of Canadian Foreign Policy</t>
  </si>
  <si>
    <t>F1029 -- .T73 2012eb</t>
  </si>
  <si>
    <t>Canada -- Foreign relations -- 20th century.; Canada -- History, Naval.; Canada -- Military relations.; Canada. -- Royal Canadian Navy -- History.</t>
  </si>
  <si>
    <t>http://public.eblib.com/choice/PublicFullRecord.aspx?p=3332538</t>
  </si>
  <si>
    <t>Global Shift : Asia, Africa, and Latin America, 1945-2007</t>
  </si>
  <si>
    <t>Mason, Mike</t>
  </si>
  <si>
    <t>D883 -- .M37 2013eb</t>
  </si>
  <si>
    <t>Developing countries -- Economic conditions.; Developing countries -- History.; Economic development -- Developing countries.</t>
  </si>
  <si>
    <t>http://public.eblib.com/choice/PublicFullRecord.aspx?p=3332539</t>
  </si>
  <si>
    <t>Stikeman Elliott, Volume 2 : New Millennium, New Paradigms</t>
  </si>
  <si>
    <t>Pound, Richard W.; Raymond, Pierre; Paymond, Pierre A.</t>
  </si>
  <si>
    <t>KE395 -- .P68 2012eb</t>
  </si>
  <si>
    <t>Law firms -- Canada -- History.; Stikeman, Elliott (Firm) -- History.</t>
  </si>
  <si>
    <t>http://public.eblib.com/choice/PublicFullRecord.aspx?p=3332540</t>
  </si>
  <si>
    <t>Merger Delusion : How Swallowing Its Suburbs Made an Even Bigger Mess of Montreal</t>
  </si>
  <si>
    <t>Trent, Peter F.</t>
  </si>
  <si>
    <t>JS1761.3.A6 -- A568 2012eb</t>
  </si>
  <si>
    <t>Annexation (Municipal government) -- Québec (Province) -- Montréal.; Montréal (Québec) -- Politics and government.</t>
  </si>
  <si>
    <t>http://public.eblib.com/choice/PublicFullRecord.aspx?p=3332541</t>
  </si>
  <si>
    <t>Operation Freak : Narrative, Identity, and the Spectrum of Bodily Abilities</t>
  </si>
  <si>
    <t>Flaugh, Christian</t>
  </si>
  <si>
    <t>PQ637.B63 -- F53 2012eb</t>
  </si>
  <si>
    <t>Abnormalities, Human, in literature.; Ben Jelloun, Tahar, -- 1944- -- Enfant de sable.; Ben Jelloun, Tahar, -- 1944- -- Nuit sacrée.; Condé, Maryse. -- Moi, Tituba, sorcière.; Godbout, Jacques, -- 1933- -- Têtes à Papineau.; Identity (Philosophical concept) in literature.</t>
  </si>
  <si>
    <t>http://public.eblib.com/choice/PublicFullRecord.aspx?p=3332542</t>
  </si>
  <si>
    <t>Aboriginal Music in Contemporary Canada : Echoes and Exchanges</t>
  </si>
  <si>
    <t>Hoefnagels, Anna; Diamond, Beverley</t>
  </si>
  <si>
    <t>ML3563.6 -- .A154 2012eb</t>
  </si>
  <si>
    <t>Indians of North America -- Canada -- Interviews.; Indians of North America -- Canada -- Music -- History and criticism.; Indians of North America -- Music -- Social aspects -- Canada.</t>
  </si>
  <si>
    <t>http://public.eblib.com/choice/PublicFullRecord.aspx?p=3332543</t>
  </si>
  <si>
    <t>Samuel de Champlain before 1604 : Des Sauvages and other Documents Related to the Period</t>
  </si>
  <si>
    <t>co-published with the Champlain Society</t>
  </si>
  <si>
    <t>Heidenreich, Conrad; Ritch, K. Janet</t>
  </si>
  <si>
    <t>F1030.1 -- .S26 2010eb</t>
  </si>
  <si>
    <t>971.01/13</t>
  </si>
  <si>
    <t>America -- Discovery and exploration -- French.; Canada -- History -- To 1763 (New France); Champlain, Samuel de, -- 1574-1635.; Indians of North America -- Canada.</t>
  </si>
  <si>
    <t>http://public.eblib.com/choice/PublicFullRecord.aspx?p=3332544</t>
  </si>
  <si>
    <t>Behind Valkyrie : German Resistance to Hitler, Related Documents</t>
  </si>
  <si>
    <t>DD256.3 -- .B45 2011eb</t>
  </si>
  <si>
    <t>Anti-Nazi movement -- Germany -- History -- Sources.; Germany -- Politics and government -- 1933-1945 -- Sources.; Government, Resistance to -- Germany -- History -- 20th century -- Sources.</t>
  </si>
  <si>
    <t>http://public.eblib.com/choice/PublicFullRecord.aspx?p=3332545</t>
  </si>
  <si>
    <t>The Sweet Sixteen : The Journey That Inspired the Canadian Women's Press Club</t>
  </si>
  <si>
    <t>Kay, Linda</t>
  </si>
  <si>
    <t>PN4912 -- .K39 2012eb</t>
  </si>
  <si>
    <t>070/.0820971</t>
  </si>
  <si>
    <t>Canadian Women''s Press Club -- History.; Women and journalism -- Canada -- History -- 20th century.; Women in journalism -- Canada -- History -- 20th century.; Women journalists -- Canada -- Biography.</t>
  </si>
  <si>
    <t>http://public.eblib.com/choice/PublicFullRecord.aspx?p=3332547</t>
  </si>
  <si>
    <t>Picturesque and the Sublime : A Poetic of the Canadian Landscape</t>
  </si>
  <si>
    <t>PR9190.L35 -- G58 1998eb</t>
  </si>
  <si>
    <t>811.009/971</t>
  </si>
  <si>
    <t>Canadian poetry -- History and criticism.; Landscapes in literature.; Nature in literature.; Picturesque, The, in literature.; Sublime, The, in literature.</t>
  </si>
  <si>
    <t>http://public.eblib.com/choice/PublicFullRecord.aspx?p=3332548</t>
  </si>
  <si>
    <t>Mirror of the Worlde</t>
  </si>
  <si>
    <t>Cary, Elizabeth Tanfield; Peterson, Lesley</t>
  </si>
  <si>
    <t>G1016 -- .B57 2012eb</t>
  </si>
  <si>
    <t>Atlases -- Early works to 1800.; Cary, Elizabeth.; Ortelius, Abraham, -- 1527-1598.; World maps -- Early works to 1800.</t>
  </si>
  <si>
    <t>http://public.eblib.com/choice/PublicFullRecord.aspx?p=3332549</t>
  </si>
  <si>
    <t>Blitzkrieg and Jitterbugs : College Life in Wartime, 1939-1942</t>
  </si>
  <si>
    <t>Waterston, Elizabeth Hillman</t>
  </si>
  <si>
    <t>BIO022000</t>
  </si>
  <si>
    <t>Canada -- History -- 1914-1945.; College students -- QuÃ©bec (Province) -- MontrÃ©al -- History -- 20th century.; McGill University -- Students -- Biography.; Waterston, Elizabeth, -- 1922-; Women college students -- QuÃ©bec (Province) -- MontrÃ©al -- Biography.; World War, 1939-1945 -- Canada.</t>
  </si>
  <si>
    <t>http://public.eblib.com/choice/PublicFullRecord.aspx?p=3332550</t>
  </si>
  <si>
    <t>Wild Geese : Buddhism in Canada</t>
  </si>
  <si>
    <t>Harding, John S.; Hori, Victor Sōgen; Soucy, Alexander</t>
  </si>
  <si>
    <t>BQ742 -- .W55 2010eb</t>
  </si>
  <si>
    <t>294.3/0971</t>
  </si>
  <si>
    <t>Buddhism -- Canada -- History.</t>
  </si>
  <si>
    <t>http://public.eblib.com/choice/PublicFullRecord.aspx?p=3332552</t>
  </si>
  <si>
    <t>Everyone Says No : Public Service Broadcasting and the Failure of Translation</t>
  </si>
  <si>
    <t>Conway, Kyle</t>
  </si>
  <si>
    <t>HE8689.9.C3 -- C65 2011eb</t>
  </si>
  <si>
    <t>Canadian Broadcasting Corporation.; Constitutional amendments -- Press coverage -- Canada.; Multilingual communication -- Canada -- History -- 20th century.; Public broadcasting -- Translating -- Canada.</t>
  </si>
  <si>
    <t>http://public.eblib.com/choice/PublicFullRecord.aspx?p=3332553</t>
  </si>
  <si>
    <t>Faces of Displacement : The Writings of Volodymyr Vynnychenko</t>
  </si>
  <si>
    <t>Soroka, Mykola</t>
  </si>
  <si>
    <t>PG3948.V88 -- Z87 2012eb</t>
  </si>
  <si>
    <t>Emigration and immigration in literature.; Exile (Punishment) in literature.; Identity (Philosophical concept) in literature.; Travel in literature.; Vynnychenko, Volodymyr Kyrylovych, -- 1880-1951 -- Criticism and interpretation.; Vynnychenko, Volodymyr Kyrylovych, -- 1880-1951 -- Exile.; Vynnychenko, Volodymyr Kyrylovych, -- 1880-1951 -- Travel.</t>
  </si>
  <si>
    <t>http://public.eblib.com/choice/PublicFullRecord.aspx?p=3332554</t>
  </si>
  <si>
    <t>Ireland, Sweden, and the Great European Migration, 1815-1914</t>
  </si>
  <si>
    <t>JV7590 -- .A44 2011eb</t>
  </si>
  <si>
    <t>Europe -- Emigration and immigration -- History -- 19th century.; Immigrants -- Europe -- History.; Ireland -- Emigration and immigration -- History -- 19th century.; Sweden -- Emigration and immigration -- History -- 19th century.</t>
  </si>
  <si>
    <t>http://public.eblib.com/choice/PublicFullRecord.aspx?p=3332555</t>
  </si>
  <si>
    <t>How Agriculture Made Canada : Farming in the Nineteenth Century</t>
  </si>
  <si>
    <t>Russell, Peter A.</t>
  </si>
  <si>
    <t>S451.5.A1 -- R86 2012eb</t>
  </si>
  <si>
    <t>Agriculture -- Canada -- History -- 19th century.; Agriculture -- Economic aspects -- Canada -- History -- 19th century.</t>
  </si>
  <si>
    <t>http://public.eblib.com/choice/PublicFullRecord.aspx?p=3332556</t>
  </si>
  <si>
    <t>Quebec Hydropolitics : The Peribonka Concessions of the Second World War</t>
  </si>
  <si>
    <t>Massell, David</t>
  </si>
  <si>
    <t>Agriculture; Environmental Studies; Economics; Business/Management</t>
  </si>
  <si>
    <t>HD1696.Q44 -- P476 2011eb</t>
  </si>
  <si>
    <t>Concessions -- Québec (Province) -- Péribonka River Region -- History.; Industrialization -- Québec (Province) -- Péribonka River Region -- History.; Montagnais Indians -- Québec (Province) -- Peribonka River Region.; Péribonka River Region (Québec) -- History.; Quebec (Province) -- Politics and government -- 1936-1960.; Water resources development -- Political aspects -- Québec (Province) -- Peribonka River Region -- History.; World War, 1939-1945 -- Québec (Province) -- Péribonka River Region.</t>
  </si>
  <si>
    <t>http://public.eblib.com/choice/PublicFullRecord.aspx?p=3332557</t>
  </si>
  <si>
    <t>Hijacking History : American Culture and the War on Terror</t>
  </si>
  <si>
    <t>Tanguay, Liane</t>
  </si>
  <si>
    <t>HV6432 -- .T35 2013eb</t>
  </si>
  <si>
    <t>Bush, George W. -- (George Walker), -- 1946-; United States -- Politics and government -- 2001-2009.; War on Terrorism, 2001-2009 -- Social aspects.; War on Terrorism, 2001-2009, in mass media.</t>
  </si>
  <si>
    <t>http://public.eblib.com/choice/PublicFullRecord.aspx?p=3332558</t>
  </si>
  <si>
    <t>Laurentian University : A History</t>
  </si>
  <si>
    <t>Bray, Matt</t>
  </si>
  <si>
    <t>LE3.L267 -- L38 2010eb</t>
  </si>
  <si>
    <t>Laurentian University of Sudbury -- History.; Universities and colleges -- Ontario -- Sudbury -- History.</t>
  </si>
  <si>
    <t>http://public.eblib.com/choice/PublicFullRecord.aspx?p=3332559</t>
  </si>
  <si>
    <t>Illustrated History of Canada</t>
  </si>
  <si>
    <t>Brown, Craig</t>
  </si>
  <si>
    <t>F1026 -- .I43 2012eb</t>
  </si>
  <si>
    <t>Canada -- History -- Pictorial works.; National characteristics, Canadian -- Pictorial works.</t>
  </si>
  <si>
    <t>http://public.eblib.com/choice/PublicFullRecord.aspx?p=3332560</t>
  </si>
  <si>
    <t>Canada, the Provinces, and the Global Nuclear Revival : Advocacy Coalitions in Action</t>
  </si>
  <si>
    <t>Bratt, Duane</t>
  </si>
  <si>
    <t>HD9698.A2 -- B73 2012eb</t>
  </si>
  <si>
    <t>Nuclear energy -- Government policy -- Canada.; Nuclear industry -- Canada.; Nuclear industry -- Government policy -- Canada.; Nuclear industry -- Political activity -- Canada.</t>
  </si>
  <si>
    <t>http://public.eblib.com/choice/PublicFullRecord.aspx?p=3332561</t>
  </si>
  <si>
    <t>The Guardianship of Best Interests : Institutional Care for the Children of the Poor in Halifax, 1850-1960</t>
  </si>
  <si>
    <t>Lafferty, Renée</t>
  </si>
  <si>
    <t>HV866 -- .C36 2013eb</t>
  </si>
  <si>
    <t>Institutional care -- Nova Scotia -- Halifax -- History -- 20th century -- Case studies.; Poor children -- Institutional care -- Nova Scotia -- Halifax -- History -- 19th century -- Case studies.; Poor children -- Institutional care -- Nova Scotia -- Halifax -- History -- 20th century -- Case studies.; Urban poor -- Institutional care -- Nova Scotia -- Halifax -- History -- 19th century -- Case studies.; Urban poor -- Institutional care -- Nova Scotia -- Halifax -- History -- 20th century -- Case studies.</t>
  </si>
  <si>
    <t>http://public.eblib.com/choice/PublicFullRecord.aspx?p=3332562</t>
  </si>
  <si>
    <t>Creating Complicated Lives : Women and Science at English-Canadian Universities, 1880-1980</t>
  </si>
  <si>
    <t>Ainley, Marianne; Rayner-Canham, Marelene; Rayner-Canham, Geoff</t>
  </si>
  <si>
    <t>Science: General; Social Science</t>
  </si>
  <si>
    <t>HQ1397 -- .A36 2012eb</t>
  </si>
  <si>
    <t>Sex discrimination in science -- Canada -- History.; Women in higher education -- Canada -- History.; Women in science -- Canada -- History.; Women scientists -- Canada -- History.</t>
  </si>
  <si>
    <t>http://public.eblib.com/choice/PublicFullRecord.aspx?p=3332563</t>
  </si>
  <si>
    <t>Image-building in Canadian Municipalities</t>
  </si>
  <si>
    <t>Harvey, Jean; Young, Robert</t>
  </si>
  <si>
    <t>HT325 -- .I43 2012eb</t>
  </si>
  <si>
    <t>City promotion -- Canada.; Municipal government -- Public relations -- Canada.; Place marketing -- Canada.</t>
  </si>
  <si>
    <t>http://public.eblib.com/choice/PublicFullRecord.aspx?p=3332564</t>
  </si>
  <si>
    <t>An Illustrated History of Canada's Native People : I Have Lived Here Since the World Began</t>
  </si>
  <si>
    <t>E78.C2 -- R354 2011eb</t>
  </si>
  <si>
    <t>Indians of North America -- Canada -- History.</t>
  </si>
  <si>
    <t>http://public.eblib.com/choice/PublicFullRecord.aspx?p=3332566</t>
  </si>
  <si>
    <t>The Science of Culture and the Phenomenology of Styles</t>
  </si>
  <si>
    <t>Barilli, Renato; Federici, Corrado</t>
  </si>
  <si>
    <t>N72.S6 -- B37 2012eb</t>
  </si>
  <si>
    <t>Art and history.; Art and society.</t>
  </si>
  <si>
    <t>http://public.eblib.com/choice/PublicFullRecord.aspx?p=3332567</t>
  </si>
  <si>
    <t>Living Factories : Biotechnology and the Unique Nature of Capitalism</t>
  </si>
  <si>
    <t>Fish, Kenneth</t>
  </si>
  <si>
    <t>HD9999.B442 -- F57 2013eb</t>
  </si>
  <si>
    <t>Biotechnology industries.; Capitalism -- Social aspects.; Environmental sociology.; Genetic engineering -- Economic aspects.</t>
  </si>
  <si>
    <t>http://public.eblib.com/choice/PublicFullRecord.aspx?p=3332568</t>
  </si>
  <si>
    <t>Whatever Happened to the Music Teacher? : How Government Decides and Why</t>
  </si>
  <si>
    <t>JL86.D42 -- S28 2013eb</t>
  </si>
  <si>
    <t>Canada -- Politics and government -- Decision making -- Textbooks.; Political planning -- Canada -- Decision making -- Textbooks.; Public administration -- Canada -- Decision making -- Textbooks.</t>
  </si>
  <si>
    <t>http://public.eblib.com/choice/PublicFullRecord.aspx?p=3332569</t>
  </si>
  <si>
    <t>Time in Time : Short Poems, Long Poems, and the Rhetoric of North American Avant-Gardism, 1963-2008</t>
  </si>
  <si>
    <t>Smith, J. Mark</t>
  </si>
  <si>
    <t>PS325 -- .T56 2013eb</t>
  </si>
  <si>
    <t>Experimental poetry, American -- 20th century -- History and criticism.; Experimental poetry, American -- 21st century -- History and criticism.; Experimental poetry, Canadian -- 20th century -- History and criticism.; Experimental poetry, Canadian -- 21st century -- History and criticism.</t>
  </si>
  <si>
    <t>http://public.eblib.com/choice/PublicFullRecord.aspx?p=3332570</t>
  </si>
  <si>
    <t>Fragile Majorities and Education : Belgium, Catalonia, Northern Ireland, and Quebec</t>
  </si>
  <si>
    <t>McAndrew, Marie</t>
  </si>
  <si>
    <t>LC3715 -- .M33 2013eb</t>
  </si>
  <si>
    <t>Comparative education.; Cultural pluralism.; Ethnic groups -- Education.; History -- Study and teaching -- Social aspects.; Linguistic minorities -- Education.; Minorities -- Education.</t>
  </si>
  <si>
    <t>http://public.eblib.com/choice/PublicFullRecord.aspx?p=3332571</t>
  </si>
  <si>
    <t>Canadian Medicare : We Need It and We Can Keep It</t>
  </si>
  <si>
    <t>Duckett, Stephen; Peetoom, Adrian</t>
  </si>
  <si>
    <t>RA412.5.C2 -- D83 2013eb</t>
  </si>
  <si>
    <t>Health care reform -- Canada.; National health insurance -- Canada.</t>
  </si>
  <si>
    <t>http://public.eblib.com/choice/PublicFullRecord.aspx?p=3332572</t>
  </si>
  <si>
    <t>To the Spring, by Night</t>
  </si>
  <si>
    <t>Dagtekin, Seyhmus</t>
  </si>
  <si>
    <t>PQ2704.A38 -- A6213 2013eb</t>
  </si>
  <si>
    <t>Folklore -- Fiction.; Jinn -- Fiction.; Storytelling -- Fiction.; Villages -- Fiction.</t>
  </si>
  <si>
    <t>http://public.eblib.com/choice/PublicFullRecord.aspx?p=3332573</t>
  </si>
  <si>
    <t>The Writing Life : Journals, 1975-2005</t>
  </si>
  <si>
    <t>Fetherling, George; Busby, Brian</t>
  </si>
  <si>
    <t>PR9199.3.F475 -- Z46 2013eb</t>
  </si>
  <si>
    <t>Authors, Canadian -- 20th century -- Diaries.; Authors, Canadian -- 21st century -- Diaries.; Canada -- Intellectual life -- 20th century.; Canada -- Intellectual life -- 21st century.; Fetherling, George, -- 1949-</t>
  </si>
  <si>
    <t>http://public.eblib.com/choice/PublicFullRecord.aspx?p=3332574</t>
  </si>
  <si>
    <t>Liberal Nationalisms : Empire, State, and Civil Society in Scotland and Quebec</t>
  </si>
  <si>
    <t>Kennedy, James</t>
  </si>
  <si>
    <t>DA821 -- .K46 2013eb</t>
  </si>
  <si>
    <t>Nationalism -- Quebec.; Nationalism -- Scotland.</t>
  </si>
  <si>
    <t>http://public.eblib.com/choice/PublicFullRecord.aspx?p=3332575</t>
  </si>
  <si>
    <t>Wavelengths of Your Song</t>
  </si>
  <si>
    <t>Hugh MacLennan Poetry</t>
  </si>
  <si>
    <t>PR9199.3.S2675 -- W39 2013eb</t>
  </si>
  <si>
    <t>Deep ecology -- Poetry.; NatureNature -- Poetry.</t>
  </si>
  <si>
    <t>http://public.eblib.com/choice/PublicFullRecord.aspx?p=3332576</t>
  </si>
  <si>
    <t>Shut Off : The Canadian Digital Television Transition</t>
  </si>
  <si>
    <t>Taylor, Gregory</t>
  </si>
  <si>
    <t>Engineering; Business/Management; Engineering: Electrical</t>
  </si>
  <si>
    <t>HE8700.9.C2 -- T39 2013eb</t>
  </si>
  <si>
    <t>Digital Communications -- Government policy -- Canada.; Digital television -- Government policy -- Canada.; Television broadcasting policy -- Canada.</t>
  </si>
  <si>
    <t>http://public.eblib.com/choice/PublicFullRecord.aspx?p=3332577</t>
  </si>
  <si>
    <t>Autonomy in Subnational Income Taxes : Evolving Powers, Existing Practices in Seven Countries</t>
  </si>
  <si>
    <t>Ruiz Almendral, Violeta; Vaillancourt, François</t>
  </si>
  <si>
    <t>HJ197 -- .A98 2013eb</t>
  </si>
  <si>
    <t>Intergovernmental fiscal relations.; Intergovernmental tax relations.; Taxation.</t>
  </si>
  <si>
    <t>http://public.eblib.com/choice/PublicFullRecord.aspx?p=3332578</t>
  </si>
  <si>
    <t>Ideas, Concepts, and Reality</t>
  </si>
  <si>
    <t>Burbidge, John W.</t>
  </si>
  <si>
    <t>B105.I28 -- B87 2013eb</t>
  </si>
  <si>
    <t>121/.4</t>
  </si>
  <si>
    <t>Concepts.; Idea (Philosophy); Mind and reality.; Thought and thinking.</t>
  </si>
  <si>
    <t>http://public.eblib.com/choice/PublicFullRecord.aspx?p=3332579</t>
  </si>
  <si>
    <t>Passage to Promise Land : Voices of Chinese Immigrant Women to Canada</t>
  </si>
  <si>
    <t>Poy, Vivienne</t>
  </si>
  <si>
    <t>JV7284 -- .P69 2013eb</t>
  </si>
  <si>
    <t>305.48/4120971</t>
  </si>
  <si>
    <t>Chinese -- Canada -- Interviews.; Women immigrants -- Canada -- Interviews.; Women immigrants -- Canada -- Social conditions -- 20th century.</t>
  </si>
  <si>
    <t>http://public.eblib.com/choice/PublicFullRecord.aspx?p=3332580</t>
  </si>
  <si>
    <t>The Enigma of Perception</t>
  </si>
  <si>
    <t>Maclachlan, D.L.C.</t>
  </si>
  <si>
    <t>B828.45 -- .M33 2013eb</t>
  </si>
  <si>
    <t>121/.34</t>
  </si>
  <si>
    <t>Perception (Philosophy); Philosophy, Modern.</t>
  </si>
  <si>
    <t>http://public.eblib.com/choice/PublicFullRecord.aspx?p=3332581</t>
  </si>
  <si>
    <t>The New Rationalism : Albert Schweitzer's Philosophy of Reverence for Life</t>
  </si>
  <si>
    <t>Goodin, David K.</t>
  </si>
  <si>
    <t>B2430.S374 -- G66 2013eb</t>
  </si>
  <si>
    <t>Ethics, Modern -- 20th century.; Schweitzer, Albert, -- 875-1965 -- Philosophy.</t>
  </si>
  <si>
    <t>http://public.eblib.com/choice/PublicFullRecord.aspx?p=3332582</t>
  </si>
  <si>
    <t>Contesting the Moral High Ground : Popular Moralists in Mid-Twentieth-Century Britain</t>
  </si>
  <si>
    <t>Phillips, Paul T.</t>
  </si>
  <si>
    <t>BJ602 -- .P45 2013eb</t>
  </si>
  <si>
    <t>170.92/2</t>
  </si>
  <si>
    <t>Ethicists -- Great Britain -- Intellectual life -- 20th century.; Ethics -- Great Britain -- History -- 20th century.</t>
  </si>
  <si>
    <t>http://public.eblib.com/choice/PublicFullRecord.aspx?p=3332583</t>
  </si>
  <si>
    <t>Bilingual Being : My Life as a Hyphen</t>
  </si>
  <si>
    <t>Saint-Onge, Kathleen</t>
  </si>
  <si>
    <t>HV6570.4.C3 -- S25 2013eb</t>
  </si>
  <si>
    <t>362.76/4092</t>
  </si>
  <si>
    <t>Adult child sexual abuse victims -- Quebec (Province) -- Quebec -- Biography.; Bilingualism -- Quebec (Province) -- Quebec.; Quebec (Quebec) -- Social conditions -- 20th century.; Saint-Onge, Kathleen, -- 1957- -- Childhood and youth.</t>
  </si>
  <si>
    <t>http://public.eblib.com/choice/PublicFullRecord.aspx?p=3332584</t>
  </si>
  <si>
    <t>Kingsley Amis : Antimodels and the Audience</t>
  </si>
  <si>
    <t>James, Andrew</t>
  </si>
  <si>
    <t>PR6001.M6 -- J36 2013eb</t>
  </si>
  <si>
    <t>Amis, Kingsley -- Criticism and interpretation.; Artists in literature.</t>
  </si>
  <si>
    <t>http://public.eblib.com/choice/PublicFullRecord.aspx?p=3332585</t>
  </si>
  <si>
    <t>In Defence of the Faith : Joaquim Marques de Araújo, a Comissário in the Age of Inquisitional Decline</t>
  </si>
  <si>
    <t>Wadsworth, James E.</t>
  </si>
  <si>
    <t>BX1733.B6 -- W33 2013eb</t>
  </si>
  <si>
    <t>272/.2092a</t>
  </si>
  <si>
    <t>Araujo, Joaquim Marques de, -- 1742-1820.; Catholic Church -- History.; Inquisition -- Brazil -- History.</t>
  </si>
  <si>
    <t>http://public.eblib.com/choice/PublicFullRecord.aspx?p=3332586</t>
  </si>
  <si>
    <t>Perceptions of a Monarchy without a King : Reactions to Oliver Cromwell's Power</t>
  </si>
  <si>
    <t>Woodford, Benjamin</t>
  </si>
  <si>
    <t>DA426 -- .W66 2013eb</t>
  </si>
  <si>
    <t>941.06/4092</t>
  </si>
  <si>
    <t>Cromwell, Oliver, -- 1599-1658.; Great Britain -- History -- Commonwealth and Protectorate, 1649-1660.; Monarchy -- Great Britain -- History -- 17th century.</t>
  </si>
  <si>
    <t>http://public.eblib.com/choice/PublicFullRecord.aspx?p=3332587</t>
  </si>
  <si>
    <t>Making EI Work : Research from the Mowat Centre Employment Insurance Task Force</t>
  </si>
  <si>
    <t>Banting, Keith G.; Medow, Jon; Queen's University (Kingston, Ont.), School of Policy Studies Staff</t>
  </si>
  <si>
    <t>HD7096.C3 -- M34 2012eb</t>
  </si>
  <si>
    <t>368.4/400971</t>
  </si>
  <si>
    <t>Labor market -- Canada.; Unemployed -- Government policy -- Canada.; Unemployment insurance -- Canada.</t>
  </si>
  <si>
    <t>http://public.eblib.com/choice/PublicFullRecord.aspx?p=3332588</t>
  </si>
  <si>
    <t>Policy Governance in Multi-level Systems : Economic Development and Policy Implementation in Canada</t>
  </si>
  <si>
    <t>Conteh, Charles</t>
  </si>
  <si>
    <t>HC113 -- .C6559 2013eb</t>
  </si>
  <si>
    <t>Canada -- Economic policy -- 21st century.; Economic development -- Government policy -- Canada.</t>
  </si>
  <si>
    <t>http://public.eblib.com/choice/PublicFullRecord.aspx?p=3332589</t>
  </si>
  <si>
    <t>The Video Art of Sylvia Safdie</t>
  </si>
  <si>
    <t>Lewis, Eric; Safdie, Sylvia</t>
  </si>
  <si>
    <t>N6549.S23 -- L49 2013eb</t>
  </si>
  <si>
    <t>Safdie, Sylvia, -- 1942- -- Criticism and interpretation.; Video art -- Quebec (Province) -- Montreal.</t>
  </si>
  <si>
    <t>http://public.eblib.com/choice/PublicFullRecord.aspx?p=3332590</t>
  </si>
  <si>
    <t>Serious Leisure and Individuality</t>
  </si>
  <si>
    <t>Cohen-Gewerc, Elie; Stebbins, Robert A.</t>
  </si>
  <si>
    <t>BF697.5.S65 -- C64 2013eb</t>
  </si>
  <si>
    <t>302.5/4</t>
  </si>
  <si>
    <t>Individuality -- Social aspects.; Psychology -- Social aspects.</t>
  </si>
  <si>
    <t>http://public.eblib.com/choice/PublicFullRecord.aspx?p=3332591</t>
  </si>
  <si>
    <t>Out of the Basement : Youth Cultural Production in Practice and in Policy</t>
  </si>
  <si>
    <t>Campbell, Miranda</t>
  </si>
  <si>
    <t>HD9999.C9473 -- C36 2013eb</t>
  </si>
  <si>
    <t>Cultural industries -- Canada -- Case studies.; Cultural policy -- Canada -- Case studies.; Popular culture -- Canada -- Case studies.; Youth -- Canada -- Case studies.</t>
  </si>
  <si>
    <t>http://public.eblib.com/choice/PublicFullRecord.aspx?p=3332592</t>
  </si>
  <si>
    <t>The Social History of Ideas in Quebec, 1760-1896</t>
  </si>
  <si>
    <t>Lamonde, Yvan; Scott, Howard</t>
  </si>
  <si>
    <t>JL15 -- .L3613 2013eb</t>
  </si>
  <si>
    <t>Political culture -- Quebec (Province) -- History.; Political science -- Quebec (Province) -- Philosophy -- History.; Quebec (Province) -- Social conditions.</t>
  </si>
  <si>
    <t>http://public.eblib.com/choice/PublicFullRecord.aspx?p=3332593</t>
  </si>
  <si>
    <t>Anne around the World : L.M. Montgomery and Her Classic</t>
  </si>
  <si>
    <t>Ledwell, Jane; Mitchell, Jean</t>
  </si>
  <si>
    <t>PR9199.3.M6 -- Z5 2013eb</t>
  </si>
  <si>
    <t>Authors, Canadian -- Biography.; Montgomery, L. M. -- (Lucy Maud), -- 1874-1942 -- Criticism and interpretation.; Montgomery, L. M. -- (Lucy Maud), -- 1874-1942. -- Anne of Green Gables.</t>
  </si>
  <si>
    <t>http://public.eblib.com/choice/PublicFullRecord.aspx?p=3332594</t>
  </si>
  <si>
    <t>Canadian Public Budgeting in the Age of Crises : Shifting Budgetary Domains and Temporal Budgeting</t>
  </si>
  <si>
    <t>Doern, G. Bruce; Maslove, Allan M.; Prince, Michael J.</t>
  </si>
  <si>
    <t>HJ793 -- .D64 2013eb</t>
  </si>
  <si>
    <t>Canada -- Appropriations and expenditures -- History.; Finance, Public -- Canada -- History.</t>
  </si>
  <si>
    <t>http://public.eblib.com/choice/PublicFullRecord.aspx?p=3332595</t>
  </si>
  <si>
    <t>The Structures of Law and Literature : Duty, Justice, and Evil in the Cultural Imagination</t>
  </si>
  <si>
    <t>Miller, Jeffrey</t>
  </si>
  <si>
    <t>PN56.L33 -- M55 2013eb</t>
  </si>
  <si>
    <t>809/.933554</t>
  </si>
  <si>
    <t>Law and literature.; Law in literature.; Legal literature -- History.</t>
  </si>
  <si>
    <t>http://public.eblib.com/choice/PublicFullRecord.aspx?p=3332596</t>
  </si>
  <si>
    <t>The Catholicisms of Coutances : Varieties of Religion in Early Modern France, 1350-1789</t>
  </si>
  <si>
    <t>Hayden, J. Michael</t>
  </si>
  <si>
    <t>BX4629.C68 -- H39 2013eb</t>
  </si>
  <si>
    <t>944/.21</t>
  </si>
  <si>
    <t>aCatholic Church. -- Diocese of Coutances (France); Coutances (France) -- Church history.; Coutances (France) -- Religion.; History -- France.</t>
  </si>
  <si>
    <t>http://public.eblib.com/choice/PublicFullRecord.aspx?p=3332597</t>
  </si>
  <si>
    <t>A Country So Interesting : The Hudson's Bay Company and Two Centuries of Mapping, 1670-1870</t>
  </si>
  <si>
    <t>Ruggles, Richard I.</t>
  </si>
  <si>
    <t>GA473.7 -- .R84 1991eb</t>
  </si>
  <si>
    <t>Canada -- Historical geography -- Maps -- Catalogs.; Canada -- Historical geography -- Maps.; Cartography -- Canada.; Hudson''s Bay Company -- Map collections.; Hudson''s Bay Company -- Maps.</t>
  </si>
  <si>
    <t>http://public.eblib.com/choice/PublicFullRecord.aspx?p=3332598</t>
  </si>
  <si>
    <t>The Architecture of Andrew Thomas Taylor : Montreal's Square Mile and Beyond</t>
  </si>
  <si>
    <t>Wagg, Susan</t>
  </si>
  <si>
    <t>NA749.T3 -- W34 2013eb</t>
  </si>
  <si>
    <t>Architecture -- Canada -- History -- 19th century.; Architecture -- Quebec (Province) -- Montreal -- History -- 19th century.; Taylor, Andrew T. -- (Andrew Thomas), -- 1830-1937.</t>
  </si>
  <si>
    <t>http://public.eblib.com/choice/PublicFullRecord.aspx?p=3332599</t>
  </si>
  <si>
    <t>Hungochani, Second Edition : The History of a Dissident Sexuality in Southern Africa</t>
  </si>
  <si>
    <t>HQ76.3.A356 -- E66 2004eb</t>
  </si>
  <si>
    <t>Homosexuality -- Africa, Southern.; Male homosexuality -- Africa, Southern -- History.</t>
  </si>
  <si>
    <t>http://public.eblib.com/choice/PublicFullRecord.aspx?p=3332600</t>
  </si>
  <si>
    <t>Small Matters : Canadian Children in Sickness and Health, 1900-1940</t>
  </si>
  <si>
    <t>Gleason, Mona</t>
  </si>
  <si>
    <t>RJ103.C2 -- G54 2013eb</t>
  </si>
  <si>
    <t>613/.04320971</t>
  </si>
  <si>
    <t>Child health services -- Canada -- History -- 20th century.; Children -- Health and hygiene -- Canada -- History -- 20th century.; Pediatrics -- Canada -- History -- 20th century.; Physician and patient.</t>
  </si>
  <si>
    <t>http://public.eblib.com/choice/PublicFullRecord.aspx?p=3332601</t>
  </si>
  <si>
    <t>Hegel's Phenomenology : The Dialectical Justification of Philosophy's First Principles</t>
  </si>
  <si>
    <t>Collins, Ardis B.</t>
  </si>
  <si>
    <t>B2929 -- .C65 2013eb</t>
  </si>
  <si>
    <t>Consciousness.; Hegel, Georg Wilhelm Friedrich, -- 1770-1831. -- Phänomenologie des Geistes.; Spirit.; Truth.</t>
  </si>
  <si>
    <t>http://public.eblib.com/choice/PublicFullRecord.aspx?p=3332602</t>
  </si>
  <si>
    <t>The Perils of Pedagogy : The Works of John Greyson</t>
  </si>
  <si>
    <t>Longfellow, Brenda; MacKenzie, Scott; Waugh, Thomas</t>
  </si>
  <si>
    <t>PN1995.9.H55 -- P47 2013eb</t>
  </si>
  <si>
    <t>791.43/653</t>
  </si>
  <si>
    <t>Greyson, John -- Criticism and interpretation.; Homosexuality in motion pictures.</t>
  </si>
  <si>
    <t>http://public.eblib.com/choice/PublicFullRecord.aspx?p=3332603</t>
  </si>
  <si>
    <t>Irish and Scottish Encounters with Indigenous Peoples : Canada, the United States, New Zealand, and Australia</t>
  </si>
  <si>
    <t>Morton, Graeme; Wilson, David A.</t>
  </si>
  <si>
    <t>JV305 -- .I75 2013eb</t>
  </si>
  <si>
    <t>325/.3</t>
  </si>
  <si>
    <t>Ethnic relations.; Indigenous peoples -- Colonization.</t>
  </si>
  <si>
    <t>http://public.eblib.com/choice/PublicFullRecord.aspx?p=3332604</t>
  </si>
  <si>
    <t>Both Hands : A Life of Lorne Pierce of Ryerson Press</t>
  </si>
  <si>
    <t>BIO002000</t>
  </si>
  <si>
    <t>Campbell, Sandra</t>
  </si>
  <si>
    <t>Z481 -- .C36 2013eb</t>
  </si>
  <si>
    <t>Editors -- Canada -- Biography.; Pierce, Lorne, -- 1890-1961.; Publishers and publishing -- Canada -- Biography.; Ryerson Press -- Employees -- Biography.</t>
  </si>
  <si>
    <t>http://public.eblib.com/choice/PublicFullRecord.aspx?p=3332605</t>
  </si>
  <si>
    <t>Reproductive Acts : Sexual Politics in North American Fiction and Film</t>
  </si>
  <si>
    <t>Latimer, Heather</t>
  </si>
  <si>
    <t>HQ766.5.U5 -- L38 2013eb</t>
  </si>
  <si>
    <t>Birth control.; Motion pictures -- Social aspects.</t>
  </si>
  <si>
    <t>http://public.eblib.com/choice/PublicFullRecord.aspx?p=3332606</t>
  </si>
  <si>
    <t>Multicultural Variations : Social Incorporation in Europe and North America</t>
  </si>
  <si>
    <t>Roberts, Lance W.; Ferguson, Barry; Bös, Mathias</t>
  </si>
  <si>
    <t>HM1271 -- .M86 2013eb</t>
  </si>
  <si>
    <t>Cultural pluralism.; Europe -- Emigration and immigration.</t>
  </si>
  <si>
    <t>http://public.eblib.com/choice/PublicFullRecord.aspx?p=3332607</t>
  </si>
  <si>
    <t>Garden Plots : Canadian Women Writers and Their Literary Gardens</t>
  </si>
  <si>
    <t>Boyd, Shelley</t>
  </si>
  <si>
    <t>PS8101.G37 -- B69 2013eb</t>
  </si>
  <si>
    <t>Canadian literature -- Women authors -- History and criticism.; Gardens in literature.</t>
  </si>
  <si>
    <t>http://public.eblib.com/choice/PublicFullRecord.aspx?p=3332608</t>
  </si>
  <si>
    <t>Montreal in Evolution : Historical Analysis of the Development of Montreal's Architecture and Urban Environment</t>
  </si>
  <si>
    <t>Marsan, Jean-Claude</t>
  </si>
  <si>
    <t>NA747.M66 -- M3713 1990eb</t>
  </si>
  <si>
    <t>Architecture -- Québec (Province) -- Montréal -- History.; City planning -- Québec (Province) -- Montréal -- History.; Urban renewal -- Québec (Province) -- Montréal -- History.</t>
  </si>
  <si>
    <t>http://public.eblib.com/choice/PublicFullRecord.aspx?p=3332609</t>
  </si>
  <si>
    <t>The Grand Regulator : The Miseducation of Nova Scotia's Teachers, 1838-1997</t>
  </si>
  <si>
    <t>Perry, George D.</t>
  </si>
  <si>
    <t>LB2169.C2 -- P47 2013eb</t>
  </si>
  <si>
    <t>370.71/1716</t>
  </si>
  <si>
    <t>Teachers -- Training of -- Government policy -- Nova Scotia.; Teachers -- Training of -- Nova Scotia -- History.; Teachers -- Training of -- Social aspects -- Nova Scotia.</t>
  </si>
  <si>
    <t>http://public.eblib.com/choice/PublicFullRecord.aspx?p=3332610</t>
  </si>
  <si>
    <t>Beyond the Border : Tensions across the Forty-Ninth Parallel in the Great Plains and Prairies</t>
  </si>
  <si>
    <t>Conway, Kyle; Pasch, Timothy</t>
  </si>
  <si>
    <t>F1060 -- .B49 2013eb</t>
  </si>
  <si>
    <t>Borderlands -- Political aspects -- Great Plains -- Congresses.; Borderlands -- Political aspects -- Prairie Provinces -- Congresses.; Borderlands -- Social aspects -- Great Plains -- Congresses.; Borderlands -- Social aspects -- Prairie Provinces -- Congresses.; Group identity -- Great Plains -- Congresses.; Group identity -- Prairie Provinces -- Congresses.; Prairie Provinces -- Social conditions -- Congresses.</t>
  </si>
  <si>
    <t>http://public.eblib.com/choice/PublicFullRecord.aspx?p=3332611</t>
  </si>
  <si>
    <t>Archibald Lampman : Memory, Nature, Progress</t>
  </si>
  <si>
    <t>Ball, Eric</t>
  </si>
  <si>
    <t>PR9199.2.L3 -- Z55 2013eb</t>
  </si>
  <si>
    <t>Lampman, Archibald, -- 1861-1899 -- Criticism and interpretation.</t>
  </si>
  <si>
    <t>http://public.eblib.com/choice/PublicFullRecord.aspx?p=3332612</t>
  </si>
  <si>
    <t>Dramaturgy of Sound in the Avant-garde and Postdramatic Theatre</t>
  </si>
  <si>
    <t>Ovadija, Mladen</t>
  </si>
  <si>
    <t>PN2091.S6 -- O93 2013eb</t>
  </si>
  <si>
    <t>Avant-garde (Aesthetics); Experimental theater -- History and criticism.; Theaters -- Sound effects.</t>
  </si>
  <si>
    <t>http://public.eblib.com/choice/PublicFullRecord.aspx?p=3332613</t>
  </si>
  <si>
    <t>Lord Mansfield : Justice in the Age of Reason</t>
  </si>
  <si>
    <t>Poser, Norman S.</t>
  </si>
  <si>
    <t>KD621.M3 -- P67 2013eb</t>
  </si>
  <si>
    <t>347.42/02734092</t>
  </si>
  <si>
    <t>Law -- Great Britain -- History -- 18th century.; Mansfield, William Murray, -- Earl of, -- 1705-1793.</t>
  </si>
  <si>
    <t>http://public.eblib.com/choice/PublicFullRecord.aspx?p=3332614</t>
  </si>
  <si>
    <t>But for Now</t>
  </si>
  <si>
    <t>The Hugh MacLennan Poetry Series</t>
  </si>
  <si>
    <t>Johnston, Gordon</t>
  </si>
  <si>
    <t>PR9199.4.O46 -- B88 2013eb</t>
  </si>
  <si>
    <t>http://public.eblib.com/choice/PublicFullRecord.aspx?p=3332615</t>
  </si>
  <si>
    <t>After Evangelicalism : The Sixties and the United Church of Canada</t>
  </si>
  <si>
    <t>Flatt, Kevin N.</t>
  </si>
  <si>
    <t>BX9881 -- .F53 2013eb</t>
  </si>
  <si>
    <t>Evangelicalism -- United Church of Canada -- History.; United Church of Canada -- History.</t>
  </si>
  <si>
    <t>http://public.eblib.com/choice/PublicFullRecord.aspx?p=3332616</t>
  </si>
  <si>
    <t>Reclaiming Indigenous Planning</t>
  </si>
  <si>
    <t>Walker, Ryan; Jojola, Ted; Natcher, David</t>
  </si>
  <si>
    <t>HN110.Z9 -- C6 2013eb</t>
  </si>
  <si>
    <t>307.1/208997071</t>
  </si>
  <si>
    <t>Indians of North America -- Land tenure -- Canada -- Planning.; Indigenous peoples -- Land tenure -- Planning.</t>
  </si>
  <si>
    <t>http://public.eblib.com/choice/PublicFullRecord.aspx?p=3332617</t>
  </si>
  <si>
    <t>Research and Reform : W.P. Thompson at the University of Saskatchewan</t>
  </si>
  <si>
    <t>Rempel, Richard A.</t>
  </si>
  <si>
    <t>LE3.S17 -- R46 2013eb</t>
  </si>
  <si>
    <t>aUniversity of Satskatchewan -- History.; College presidents -- Canada -- Biography.; Thompson, Walter Palmer, -- 1889-1970.</t>
  </si>
  <si>
    <t>http://public.eblib.com/choice/PublicFullRecord.aspx?p=3332618</t>
  </si>
  <si>
    <t>Nunavut : A Health System Profile</t>
  </si>
  <si>
    <t>Marchildon, Gregory P.; Torgerson, Renée</t>
  </si>
  <si>
    <t>RA450.N85 -- M37 2013eb</t>
  </si>
  <si>
    <t>Medical care -- Nunavut.; Public health -- Nunavut.</t>
  </si>
  <si>
    <t>http://public.eblib.com/choice/PublicFullRecord.aspx?p=3332619</t>
  </si>
  <si>
    <t>Shadow Woman : The Extraordinary Career of Pauline Benton</t>
  </si>
  <si>
    <t>Hayter-Menzies, Grant</t>
  </si>
  <si>
    <t>PN1982.B46 -- H39 2013eb</t>
  </si>
  <si>
    <t>791.5/3092</t>
  </si>
  <si>
    <t>Benton, Pauline.; Performance art -- United States -- History -- 20th century.; Puppet theater -- United States -- History -- 20th century.; Shadow puppets -- United States -- History -- 20th century.; Shadow shows -- United States -- History -- 20th century.; Women performance artists -- United States -- Biography.; Women puppeteers -- United States -- Biography.</t>
  </si>
  <si>
    <t>http://public.eblib.com/choice/PublicFullRecord.aspx?p=3332620</t>
  </si>
  <si>
    <t>Harold Innis and the North : Appraisals and Contestations</t>
  </si>
  <si>
    <t>Buxton, William J.</t>
  </si>
  <si>
    <t>HB121.I56 -- H37 2013eb</t>
  </si>
  <si>
    <t>Canada, Northern -- Economic conditions -- 20th century.; Canada, Northern -- Historiography.; Economists -- Canada -- Biography.; Historians -- Canada -- Biography.; Innis, Harold Adams, -- 1894-1952.; Mass media specialists -- Canada -- Biography.</t>
  </si>
  <si>
    <t>http://public.eblib.com/choice/PublicFullRecord.aspx?p=3332621</t>
  </si>
  <si>
    <t>The Official Picture : The National Film Board of Canada's Still Photography Division and the Image of Canada, 1941-1971</t>
  </si>
  <si>
    <t>Payne, Carol</t>
  </si>
  <si>
    <t>TR26 -- .P39 2013eb</t>
  </si>
  <si>
    <t>National Film Board of Canada. -- Still Photography Division.; Photography -- Canada.</t>
  </si>
  <si>
    <t>http://public.eblib.com/choice/PublicFullRecord.aspx?p=3332622</t>
  </si>
  <si>
    <t>The Edge of the Precipice : Why Read Literature in the Digital Age?</t>
  </si>
  <si>
    <t>Socken, Paul</t>
  </si>
  <si>
    <t>PN56.I64 -- E34 2013eb</t>
  </si>
  <si>
    <t>809/.911</t>
  </si>
  <si>
    <t>Books and reading -- Social aspects.; Books and reading -- Technological innovations.; Literature and technology.; Literature and the Internet.</t>
  </si>
  <si>
    <t>http://public.eblib.com/choice/PublicFullRecord.aspx?p=3332623</t>
  </si>
  <si>
    <t>Multilevel Governance and Emergency Management in Canadian Municipalities</t>
  </si>
  <si>
    <t>Henstra, Daniel</t>
  </si>
  <si>
    <t>HV551.2 -- .M85 2013eb</t>
  </si>
  <si>
    <t>363.3/480971</t>
  </si>
  <si>
    <t>Emergency management -- Canada.</t>
  </si>
  <si>
    <t>http://public.eblib.com/choice/PublicFullRecord.aspx?p=3332624</t>
  </si>
  <si>
    <t>The Politics of the Pantry : Stories, Food, and Social Change</t>
  </si>
  <si>
    <t>Mikulak, Michael</t>
  </si>
  <si>
    <t>GT2850 -- .M55 2013eb</t>
  </si>
  <si>
    <t>394.1/2</t>
  </si>
  <si>
    <t>Food -- Political aspects.; Food -- Social aspects.; Food writing.</t>
  </si>
  <si>
    <t>http://public.eblib.com/choice/PublicFullRecord.aspx?p=3332625</t>
  </si>
  <si>
    <t>Regulating Screens : Issues in Broadcasting and Internet Governance for Children</t>
  </si>
  <si>
    <t>Caron, André H.; Cohen, Ronald I.</t>
  </si>
  <si>
    <t>HQ784.M3 -- C37 2013eb</t>
  </si>
  <si>
    <t>791.45083/0971</t>
  </si>
  <si>
    <t>Digital media -- Social aspects.; Electronic games -- Social aspects.; Internet and children.; Internet and teenagers.; Internet governance.; Mass media and children.; Video games and children.</t>
  </si>
  <si>
    <t>http://public.eblib.com/choice/PublicFullRecord.aspx?p=3332626</t>
  </si>
  <si>
    <t>Growing Up Canadian : Muslims, Hindus, Buddhists</t>
  </si>
  <si>
    <t>Beyer, Peter; Ramji, Rubina</t>
  </si>
  <si>
    <t>BL2530.C2 -- G76 2013eb</t>
  </si>
  <si>
    <t>Canada -- Religion.</t>
  </si>
  <si>
    <t>http://public.eblib.com/choice/PublicFullRecord.aspx?p=3332627</t>
  </si>
  <si>
    <t>Canadian Policing in the 21st Century : A Frontline Officer on Challenges and Changes</t>
  </si>
  <si>
    <t>Chrismas, Robert</t>
  </si>
  <si>
    <t>HV8157 -- .C47 2013eb</t>
  </si>
  <si>
    <t>Law enforcement -- Canada.; Police -- Canada.</t>
  </si>
  <si>
    <t>http://public.eblib.com/choice/PublicFullRecord.aspx?p=3332628</t>
  </si>
  <si>
    <t>Federal Property Policy in Canadian Municipalities</t>
  </si>
  <si>
    <t>Ircha, Michael C.; Young, Robert A.</t>
  </si>
  <si>
    <t>JS1716.A9 -- F43 2013eb</t>
  </si>
  <si>
    <t>Federal-city relations -- Canada.; Government property -- Canada -- Management.; Municipal government -- Canada.</t>
  </si>
  <si>
    <t>http://public.eblib.com/choice/PublicFullRecord.aspx?p=3332629</t>
  </si>
  <si>
    <t>Governing : Essays in Honour of Donald J. Savoie</t>
  </si>
  <si>
    <t>Bickerton, James; Peters, B. Guy; Savoie, Donald J</t>
  </si>
  <si>
    <t>JF1351 -- .G68 2013eb</t>
  </si>
  <si>
    <t>Public administration.; Regional planning.</t>
  </si>
  <si>
    <t>http://public.eblib.com/choice/PublicFullRecord.aspx?p=3332630</t>
  </si>
  <si>
    <t>From Literature to Biterature : Lem, Turing, Darwin, and Explorations in Computer Literature, Philosophy of Mind, and Cultural Evolution</t>
  </si>
  <si>
    <t>Computer Science/IT; Social Science</t>
  </si>
  <si>
    <t>QA76.9.C66 -- S95 2013eb</t>
  </si>
  <si>
    <t>303.48/34</t>
  </si>
  <si>
    <t>Artificial intelligence.; Computers and civilization.; Language and languages -- Philosophy.; Literature -- Philosophy.; Philosophy of mind.; Social evolution.</t>
  </si>
  <si>
    <t>http://public.eblib.com/choice/PublicFullRecord.aspx?p=3332631</t>
  </si>
  <si>
    <t>Mobilities, Knowledge, and Social Justice</t>
  </si>
  <si>
    <t>Ilcan, Suzan</t>
  </si>
  <si>
    <t>HT609 -- .M635 2013eb</t>
  </si>
  <si>
    <t>Access to knowledge movement.; Social justice.; Social mobility.</t>
  </si>
  <si>
    <t>http://public.eblib.com/choice/PublicFullRecord.aspx?p=3332632</t>
  </si>
  <si>
    <t>Between Raid and Rebellion : The Irish in Buffalo and Toronto, 1867-1916</t>
  </si>
  <si>
    <t>Jenkins, William</t>
  </si>
  <si>
    <t>F1059.5.T689 -- .J465 2013eb</t>
  </si>
  <si>
    <t>Immigrants -- New York (State) -- Buffalo -- History.; Immigrants -- Ontario -- Toronto -- History.; Irish -- New York (State) -- Buffalo -- Public opinion -- History.; Irish -- Ontario -- Toronto -- History.; Irish Americans -- New York (State) -- Buffalo -- History.</t>
  </si>
  <si>
    <t>http://public.eblib.com/choice/PublicFullRecord.aspx?p=3332633</t>
  </si>
  <si>
    <t>Prayers, Petitions, and Protests : The Catholic Church and the Ontario Schools Crisis in the Windsor Border Region, 1910-1928</t>
  </si>
  <si>
    <t>Cecillon, Jack D.</t>
  </si>
  <si>
    <t>BX890 -- .C435 2013eb</t>
  </si>
  <si>
    <t>Catholic Church -- Ontario -- History.; Church schools -- Ontario.; Education, Bilingual -- Law and legislation -- Ontario -- History -- 20th century.; Education, Bilingual -- Ontario -- History -- 20th century.</t>
  </si>
  <si>
    <t>http://public.eblib.com/choice/PublicFullRecord.aspx?p=3332634</t>
  </si>
  <si>
    <t>Sexual Diversity in Africa : Politics, Theory, and Citizenship</t>
  </si>
  <si>
    <t>Nyeck, S. N.; Epprecht, Marc</t>
  </si>
  <si>
    <t>HQ73 -- .S498 2013eb</t>
  </si>
  <si>
    <t>Gender identity -- Africa.; Queer theory -- Africa.; Sex -- Africa.; Sexual minorities -- Africa.</t>
  </si>
  <si>
    <t>http://public.eblib.com/choice/PublicFullRecord.aspx?p=3332635</t>
  </si>
  <si>
    <t>The Return of Ancestral Gods : Modern Ukrainian Paganism as an Alternative Vision for a Nation</t>
  </si>
  <si>
    <t>Lesiv, Mariya</t>
  </si>
  <si>
    <t>BL432 -- .L475 2013eb</t>
  </si>
  <si>
    <t>Neopaganism -- Ukraine.; Paganism -- Ukraine.; Ukraine -- Religion.</t>
  </si>
  <si>
    <t>http://public.eblib.com/choice/PublicFullRecord.aspx?p=3332636</t>
  </si>
  <si>
    <t>Thinking with Water</t>
  </si>
  <si>
    <t>Chen, Cecilia; MacLeod, Janine; Neimanis, Astrida</t>
  </si>
  <si>
    <t>GB671 -- .T456 2013eb</t>
  </si>
  <si>
    <t>Water -- Environmental aspects.; Water -- Social aspects.; Water.</t>
  </si>
  <si>
    <t>http://public.eblib.com/choice/PublicFullRecord.aspx?p=3332637</t>
  </si>
  <si>
    <t>Unpacking the Kists : The Scots in New Zealand</t>
  </si>
  <si>
    <t>Patterson, Brad; Brooking, Tom; McAloon, Jim</t>
  </si>
  <si>
    <t>DU424.5.S3 -- .P388 2013eb</t>
  </si>
  <si>
    <t>New Zealand -- Emigration and immigration -- History.; Scotland -- Emigration and immigration -- History.; Scots -- New Zealand -- History.</t>
  </si>
  <si>
    <t>http://public.eblib.com/choice/PublicFullRecord.aspx?p=3332638</t>
  </si>
  <si>
    <t>American Protestant Theology : A Historical Sketch</t>
  </si>
  <si>
    <t>Giussani, Luigi; Bacich, Damian</t>
  </si>
  <si>
    <t>BT30.U6 -- .G587 2013eb</t>
  </si>
  <si>
    <t>Protestant churches -- United States -- Doctrines -- History.; Theology, Doctrinal -- United States -- History.</t>
  </si>
  <si>
    <t>http://public.eblib.com/choice/PublicFullRecord.aspx?p=3332639</t>
  </si>
  <si>
    <t>Shades of Laura : Vladimir Nabokov's Last Novel, The Original of Laura</t>
  </si>
  <si>
    <t>Leving, Yuri</t>
  </si>
  <si>
    <t>PG3476.N3 -- .S533 2013eb</t>
  </si>
  <si>
    <t>Nabokov, Vladimir Vladimirovich, -- 1899-1977 -- Criticism and interpretation.; Nabokov, Vladimir Vladimirovich, -- 1899-1977. -- Original of Laura.</t>
  </si>
  <si>
    <t>http://public.eblib.com/choice/PublicFullRecord.aspx?p=3332640</t>
  </si>
  <si>
    <t>Shared Responsibility : The United Nations in the Age of Globalization</t>
  </si>
  <si>
    <t>Staur, Carsten</t>
  </si>
  <si>
    <t>JZ4984.5 -- .C377 2013eb</t>
  </si>
  <si>
    <t>Human rights.; Peace-building.; Sustainable development.; United States -- History -- 21st century.</t>
  </si>
  <si>
    <t>http://public.eblib.com/choice/PublicFullRecord.aspx?p=3332641</t>
  </si>
  <si>
    <t>The Once and Future Great Lakes Country : An Ecological History</t>
  </si>
  <si>
    <t>McGill-Queen's Rural, Wildland, and Resource Studies Series</t>
  </si>
  <si>
    <t>Riley, John L.; Riley, J L</t>
  </si>
  <si>
    <t>GF512.G74 -- R56 2013eb</t>
  </si>
  <si>
    <t>304.2/09713</t>
  </si>
  <si>
    <t>Great Lakes Region (North America) -- Environmental conditions -- History.; Human ecology -- Great Lakes Region (North America) -- History.</t>
  </si>
  <si>
    <t>http://public.eblib.com/choice/PublicFullRecord.aspx?p=3332642</t>
  </si>
  <si>
    <t>Beyond the Line : Military and Veteran Health Research</t>
  </si>
  <si>
    <t>Aiken, Alice B.; Bélanger, Stéphanie A. H.</t>
  </si>
  <si>
    <t>UB369.5.C2 -- B49 2013eb</t>
  </si>
  <si>
    <t>362.86/80971</t>
  </si>
  <si>
    <t>Soldiers -- Medical care -- Canada.; Veterans -- Medical care -- Canada.</t>
  </si>
  <si>
    <t>http://public.eblib.com/choice/PublicFullRecord.aspx?p=3332643</t>
  </si>
  <si>
    <t>In Translation : Honouring Sheila Fischman</t>
  </si>
  <si>
    <t>Simon, Sherry; Fischman, PH D Sheila</t>
  </si>
  <si>
    <t>P306.92.F57 -- I6 2013eb</t>
  </si>
  <si>
    <t>418/.02092</t>
  </si>
  <si>
    <t>Canadian literature -- Translations -- History and criticism.; Fischman, Sheila -- Criticism and interpretation.; Fischman, Sheila -- Influence.; Fischman, Sheila -- Relations with authors.; Translating and interpreting -- Canada.</t>
  </si>
  <si>
    <t>http://public.eblib.com/choice/PublicFullRecord.aspx?p=3332644</t>
  </si>
  <si>
    <t>Setting All the Captives Free : Capture, Adjustment, and Recollection in Allegheny Country</t>
  </si>
  <si>
    <t>McGill-Queen's Native and Northern</t>
  </si>
  <si>
    <t>Steele, Ian K.</t>
  </si>
  <si>
    <t>E199 -- .E74 2013eb</t>
  </si>
  <si>
    <t>973.2/6</t>
  </si>
  <si>
    <t>Indians of North America -- Wars -- 1750-1815 -- Prisoners and prisons.; United States -- History -- French and Indian War, 1754-1763 -- Prisoners and prisons.</t>
  </si>
  <si>
    <t>http://public.eblib.com/choice/PublicFullRecord.aspx?p=3332645</t>
  </si>
  <si>
    <t>Ink and Light : The Influence of Claude Lorrain's Etchings on England</t>
  </si>
  <si>
    <t>Brink, Andrew; Lorrain, Claude ; Brink Collection,</t>
  </si>
  <si>
    <t>NE2049.5.L67 -- B75 2013eb</t>
  </si>
  <si>
    <t>Brink Collection.; Etching -- England.; Etching, French -- 17th century.; Lorrain, Claude, -- 1600-1682 -- Influence.</t>
  </si>
  <si>
    <t>http://public.eblib.com/choice/PublicFullRecord.aspx?p=3332646</t>
  </si>
  <si>
    <t>Emergence and Empire : Innis, Complexity, and the Trajectory of History</t>
  </si>
  <si>
    <t>Bonnett, John</t>
  </si>
  <si>
    <t>HB121.I6 -- B66 2013eb</t>
  </si>
  <si>
    <t>History -- Philosophy.; Innis, Harold Adams, -- 1894-1952 -- Criticism and interpretation.</t>
  </si>
  <si>
    <t>http://public.eblib.com/choice/PublicFullRecord.aspx?p=3332647</t>
  </si>
  <si>
    <t>Before Ontario : The Archaeology of a Province</t>
  </si>
  <si>
    <t>Munson, Marit K.; Jamieson, Susan M.</t>
  </si>
  <si>
    <t>F1057.9 -- .B44 2013eb</t>
  </si>
  <si>
    <t>971.3/01</t>
  </si>
  <si>
    <t>Ontario -- Antiquities.; Ontario -- History.</t>
  </si>
  <si>
    <t>http://public.eblib.com/choice/PublicFullRecord.aspx?p=3332648</t>
  </si>
  <si>
    <t>The Precipice</t>
  </si>
  <si>
    <t>PR9199.3.M334 -- P74 2013eb</t>
  </si>
  <si>
    <t>http://public.eblib.com/choice/PublicFullRecord.aspx?p=3332649</t>
  </si>
  <si>
    <t>Troubling Natural Categories : Engaging the Medical Anthropology of Margaret Lock</t>
  </si>
  <si>
    <t>Adelson, Naomi; Butt, Leslie; Kielmann, Karina</t>
  </si>
  <si>
    <t>GN296 -- .T76 2013eb</t>
  </si>
  <si>
    <t>306.4/61</t>
  </si>
  <si>
    <t>Lock, Margaret M.; Medical anthropology.</t>
  </si>
  <si>
    <t>http://public.eblib.com/choice/PublicFullRecord.aspx?p=3332650</t>
  </si>
  <si>
    <t>What Makes Clusters Competitive? : Cases from the Global Wine Industry</t>
  </si>
  <si>
    <t>Hira, Anil</t>
  </si>
  <si>
    <t>HD9370.5 -- .W43 2013eb</t>
  </si>
  <si>
    <t>Competition -- Case studies.; Industrial clusters -- Case studies.; Wine industry -- Case studies.</t>
  </si>
  <si>
    <t>http://public.eblib.com/choice/PublicFullRecord.aspx?p=3332651</t>
  </si>
  <si>
    <t>Equal Parenting Presumption : Social Justice in the Legal Determination of Parenting after Divorce</t>
  </si>
  <si>
    <t>Kruk, Edward</t>
  </si>
  <si>
    <t>K695 -- .K78 2013eb</t>
  </si>
  <si>
    <t>346.01/73</t>
  </si>
  <si>
    <t>Children of divorced parents -- Legal status, laws, etc.; Custody of children.; Divorce -- Law and legislation.; Parent and child (Law); Parenting.; Social justice.</t>
  </si>
  <si>
    <t>http://public.eblib.com/choice/PublicFullRecord.aspx?p=3332652</t>
  </si>
  <si>
    <t>36 Steps on the Road to Medicare : How Saskatchewan Led the Way</t>
  </si>
  <si>
    <t>Houston, C. Stuart; Massie, Merle</t>
  </si>
  <si>
    <t>RA412.5.C3 -- H72 2013eb</t>
  </si>
  <si>
    <t>368.4/20097124</t>
  </si>
  <si>
    <t>Medical policy -- Saskatchewan -- History -- 20th century.; National health insurance -- Saskatchewan -- History -- 20th century.</t>
  </si>
  <si>
    <t>http://public.eblib.com/choice/PublicFullRecord.aspx?p=3332653</t>
  </si>
  <si>
    <t>Quotations for the Fast Lane</t>
  </si>
  <si>
    <t>PN6084.C556 -- Q68 2013eb</t>
  </si>
  <si>
    <t>Conduct of life -- Quotations, maxims, etc.; Quotations, English.</t>
  </si>
  <si>
    <t>http://public.eblib.com/choice/PublicFullRecord.aspx?p=3332654</t>
  </si>
  <si>
    <t>Nietzsche's Justice : Naturalism in Search of an Ethics</t>
  </si>
  <si>
    <t>Sedgwick, Peter R.</t>
  </si>
  <si>
    <t>B3318.J87 -- S43 2013eb</t>
  </si>
  <si>
    <t>172/.2</t>
  </si>
  <si>
    <t>Ethics.; Justice.; Naturalism.; Nietzsche, Friedrich Wilhelm, -- 1844-1900 -- Criticism and interpretation.</t>
  </si>
  <si>
    <t>http://public.eblib.com/choice/PublicFullRecord.aspx?p=3332655</t>
  </si>
  <si>
    <t>Revitalizing Rural Economies : A Guide for Practitioners</t>
  </si>
  <si>
    <t>Chan, Yolande E.; Dixon, Jeff A.; Dukelow, Christine R.</t>
  </si>
  <si>
    <t>HN110.Z9 -- C63 2013eb</t>
  </si>
  <si>
    <t>307.1/4120971</t>
  </si>
  <si>
    <t>Canada -- Economic conditions -- Case studies.; Canada -- Rural conditions -- Case studies.; Cities and towns -- Canada -- Growth -- Case studies.; Rural development -- Canada -- Case studies.</t>
  </si>
  <si>
    <t>http://public.eblib.com/choice/PublicFullRecord.aspx?p=3332656</t>
  </si>
  <si>
    <t>Growing to One World : The Life of J. King Gordon</t>
  </si>
  <si>
    <t>Janzen, Eileen R.</t>
  </si>
  <si>
    <t>JC599.C3 -- J35 2013eb</t>
  </si>
  <si>
    <t>Gordon, J. King.; Human rights workers -- Canada -- Biography.; Political activists -- Canada -- Biography.; Scholars -- Canada -- Biography.; Socialists -- Canada -- Biography.; Theologians -- Canada -- Biography.</t>
  </si>
  <si>
    <t>http://public.eblib.com/choice/PublicFullRecord.aspx?p=3332657</t>
  </si>
  <si>
    <t>Making Sense out of Meaning : An Essay in Lexical Semantics</t>
  </si>
  <si>
    <t>P325.5.P65 -- .H578 2013eb</t>
  </si>
  <si>
    <t>Cognitive grammar.; Discourse analysis.; Metaphor.; Polysemy.; Psycholinguistics.; Semantics.</t>
  </si>
  <si>
    <t>http://public.eblib.com/choice/PublicFullRecord.aspx?p=3332658</t>
  </si>
  <si>
    <t>Border Crossings : US Culture and Education in Saskatchewan, 1905-1937</t>
  </si>
  <si>
    <t>Alcorn, Kerry</t>
  </si>
  <si>
    <t>LA418.S3 -- .A436 2013eb</t>
  </si>
  <si>
    <t>Comparative education.; Education -- Saskatchewan -- American influences -- History -- 20th century.; Education -- Saskatchewan -- Philosophy -- History -- 20th century.; Education and state -- Saskatchewan -- History -- 20th century.; Great Plains -- History.</t>
  </si>
  <si>
    <t>http://public.eblib.com/choice/PublicFullRecord.aspx?p=3332659</t>
  </si>
  <si>
    <t>How Ottawa Spends, 2013-2014 : The Harper Government: Mid-Term Blues and Long-Term Plans</t>
  </si>
  <si>
    <t>HJ793 -- .H69 2013eb</t>
  </si>
  <si>
    <t>http://public.eblib.com/choice/PublicFullRecord.aspx?p=3332660</t>
  </si>
  <si>
    <t>Up and to the Right : The Story of John W. Dobson and His Formula Growth Fund</t>
  </si>
  <si>
    <t>Toomey, Craig; Johnston, His Excellency the Right Honourable David</t>
  </si>
  <si>
    <t>HG173.3 -- .T666 2014eb</t>
  </si>
  <si>
    <t>Capitalists and financiers -- Canada -- Biography.; Dobson, John.; Philanthropists -- Canada -- Biography.</t>
  </si>
  <si>
    <t>http://public.eblib.com/choice/PublicFullRecord.aspx?p=3332661</t>
  </si>
  <si>
    <t>Harrison McCain : Single-Minded Purpose</t>
  </si>
  <si>
    <t>HD9217.C22 -- S28 2013eb</t>
  </si>
  <si>
    <t>McCain Foods Limited.; McCain, H. Harrison, -- 1927-</t>
  </si>
  <si>
    <t>http://public.eblib.com/choice/PublicFullRecord.aspx?p=3332662</t>
  </si>
  <si>
    <t>Health Care Federalism in Canada : Critical Junctures and Critical Perspectives</t>
  </si>
  <si>
    <t>Fierlbeck, Katherine; Lahey, William</t>
  </si>
  <si>
    <t>Social Science; Health; Religion</t>
  </si>
  <si>
    <t>RA395.C2 -- H43 2013eb</t>
  </si>
  <si>
    <t>Health care reform -- Canada.; Medical care -- Canada.</t>
  </si>
  <si>
    <t>http://public.eblib.com/choice/PublicFullRecord.aspx?p=3332663</t>
  </si>
  <si>
    <t>Women Founders of the Social Sciences</t>
  </si>
  <si>
    <t>Women's Experience</t>
  </si>
  <si>
    <t>H57 -- .M33 2013eb</t>
  </si>
  <si>
    <t>300/.92/2</t>
  </si>
  <si>
    <t>Social sciences -- History.; Social sciences -- Methodology -- History.; Women social scientist -- History.</t>
  </si>
  <si>
    <t>http://public.eblib.com/choice/PublicFullRecord.aspx?p=3332664</t>
  </si>
  <si>
    <t>A Church with the Soul of a Nation : Making and Remaking the United Church of Canada</t>
  </si>
  <si>
    <t>BX743.3 -- .A47 2014eb</t>
  </si>
  <si>
    <t>287.9/20904</t>
  </si>
  <si>
    <t>Canada -- Church history -- 20th century.; United Church of Canada -- History -- 20th century.</t>
  </si>
  <si>
    <t>http://public.eblib.com/choice/PublicFullRecord.aspx?p=3332665</t>
  </si>
  <si>
    <t>Truth Matters : Knowledge, Politics, Ethics, Religion</t>
  </si>
  <si>
    <t>Zuidervaart, Lambert; Carr, Allyson; Klaassen, Matthew J.; Shuker, Ronnie</t>
  </si>
  <si>
    <t>BD171 -- .T82 2013eb</t>
  </si>
  <si>
    <t>http://public.eblib.com/choice/PublicFullRecord.aspx?p=3332667</t>
  </si>
  <si>
    <t>The Vitality of Contradiction : Hegel, Politics, and the Dialectic of Liberal-Capitalism</t>
  </si>
  <si>
    <t>Gilbert, Bruce</t>
  </si>
  <si>
    <t>JC233 -- .H46 2013eb</t>
  </si>
  <si>
    <t>Dialectic.; Hegel, Georg Wilhelm Friedrich, -- 1770-1831 -- Political and social views.; Political science -- Philosophy.; Social movements.; State, The.</t>
  </si>
  <si>
    <t>http://public.eblib.com/choice/PublicFullRecord.aspx?p=3332668</t>
  </si>
  <si>
    <t>Transatlantic Methodists : British Wesleyanism and the Formation of an Evangelical Culture in Nineteenth-Century Ontario and Quebec</t>
  </si>
  <si>
    <t>Webb, Todd</t>
  </si>
  <si>
    <t>BX8231 -- .W433 2013eb</t>
  </si>
  <si>
    <t>287.0971309/034</t>
  </si>
  <si>
    <t>Methodist Church -- Ontario -- History -- 19th century.; Methodist Church -- Québec (Province) -- History -- 19th century.; Methodists -- Ontario -- History -- 19th century.</t>
  </si>
  <si>
    <t>http://public.eblib.com/choice/PublicFullRecord.aspx?p=3332669</t>
  </si>
  <si>
    <t>The Chicago School Diaspora : Epistemology and Substance</t>
  </si>
  <si>
    <t>Low, Jacqueline; Bowden, Gary</t>
  </si>
  <si>
    <t>HM22.U5 -- .C55 2014eb</t>
  </si>
  <si>
    <t>Chicago school of sociology -- History.; Sociology -- Illinois -- Chicago -- History.; Sociology -- United States -- History.; University of Chicago. -- Department of Sociology -- Influence -- History.</t>
  </si>
  <si>
    <t>http://public.eblib.com/choice/PublicFullRecord.aspx?p=3332670</t>
  </si>
  <si>
    <t>O.D. Skelton : The Work of the World, 1923-1941</t>
  </si>
  <si>
    <t>Science: Physics; Science; History</t>
  </si>
  <si>
    <t>F1034.3.S54 -- O37 2013eb</t>
  </si>
  <si>
    <t>Canada -- Foreign relations -- 1914-1945.; Canada -- Officials and employees -- Biography.; International relations -- History -- 20th century.; Political consultants -- Canada -- Biography.; Skeleton, Oscar D. -- (Oscar Douglas), -- 1878-1941 -- Diaries.; Statesmen -- Canada -- Biography.</t>
  </si>
  <si>
    <t>http://public.eblib.com/choice/PublicFullRecord.aspx?p=3332671</t>
  </si>
  <si>
    <t>The Birth of New Criticism : Conflict and Conciliation in the Early Work of William Empson, I.A. Richards, Robert Graves, and Laura Riding</t>
  </si>
  <si>
    <t>Childs, Donald J.</t>
  </si>
  <si>
    <t>PN98.N4 -- C45 2013eb</t>
  </si>
  <si>
    <t>Empson, William, -- 1906-1984 -- Criticism and interpretation.; Graves, Robert, -- 1895-1985 -- Criticism and interpretation.; New Criticism -- History.; Richards, I. A. -- (Ivor Armstrong), -- 1893-1979 -- Criticism and interpretation.; Riding, Laura, -- 1901-1991 -- Criticism and interpretation.</t>
  </si>
  <si>
    <t>http://public.eblib.com/choice/PublicFullRecord.aspx?p=3332672</t>
  </si>
  <si>
    <t>Winning Power : Canadian Campaigning in the Twenty-First Century</t>
  </si>
  <si>
    <t>JL193 -- .F53 2014eb</t>
  </si>
  <si>
    <t>Campaign funds -- Canada.; Political campaigns -- Alberta -- Case studies.; Political campaigns -- Canada.; Political campaigns -- Technological innovations -- Canada.</t>
  </si>
  <si>
    <t>http://public.eblib.com/choice/PublicFullRecord.aspx?p=3332673</t>
  </si>
  <si>
    <t>In the Interval of the Wave : Prince Edward Island Women's Nineteenth- and Early Twentieth-Century Life Writing</t>
  </si>
  <si>
    <t>McDonald-Rissanen, Mary</t>
  </si>
  <si>
    <t>PR9198.2.P8 -- M33 2014eb</t>
  </si>
  <si>
    <t>818/.403099287</t>
  </si>
  <si>
    <t>Canadian diaries -- Women authors -- History and criticism.; Women -- Prince Edward Island -- Biography.; Women -- Prince Edward Island -- History -- 19th century.; Women -- Prince Edward Island -- History -- 20th century.; Women -- Prince Edward Island -- Identity.; Women -- Prince Edward Island -- Social life and customs -- 20th century.; Women authors, Canadian -- Prince Edward Island -- Biography -- History and criticism.</t>
  </si>
  <si>
    <t>http://public.eblib.com/choice/PublicFullRecord.aspx?p=3332674</t>
  </si>
  <si>
    <t>Sorrows of a Century : Interpreting Suicide in New Zealand, 1900-2000</t>
  </si>
  <si>
    <t>HV6548.N45 -- W43 2014eb</t>
  </si>
  <si>
    <t>Suicide -- Economic aspects -- New Zealand -- History -- 20th century.; Suicide -- New Zealand -- History -- 20th century.; Suicide -- Social aspects -- New Zealand -- History -- 20th century.</t>
  </si>
  <si>
    <t>http://public.eblib.com/choice/PublicFullRecord.aspx?p=3332675</t>
  </si>
  <si>
    <t>David Lodge and the Tradition of the Modern Novel</t>
  </si>
  <si>
    <t>PR6062.O36 -- .P475 2014eb</t>
  </si>
  <si>
    <t>Lodge, David, -- 1935- -- Criticism and interpretation.</t>
  </si>
  <si>
    <t>http://public.eblib.com/choice/PublicFullRecord.aspx?p=3332676</t>
  </si>
  <si>
    <t>Fighting over God : A Legal and Political History of Religious Freedom in Canada</t>
  </si>
  <si>
    <t>McGill-Queen’s Studies in the History of Religion (Series 2)</t>
  </si>
  <si>
    <t>Buckingham, Janet Epp</t>
  </si>
  <si>
    <t>KE4430 -- .B835 2014eb</t>
  </si>
  <si>
    <t>323.44/20971</t>
  </si>
  <si>
    <t>Freedom of religion -- Canada -- History.; Religious minorities -- Legal status, laws, etc. -- Canada.; Secularism -- Canada -- History.</t>
  </si>
  <si>
    <t>http://public.eblib.com/choice/PublicFullRecord.aspx?p=3332677</t>
  </si>
  <si>
    <t>In Duty Bound : Men, Women, and the State in Upper Canada, 1783-1841</t>
  </si>
  <si>
    <t>Johnson, J. K.</t>
  </si>
  <si>
    <t>HQ1459.O57 -- .J646 2014eb</t>
  </si>
  <si>
    <t>305.5/620971309033</t>
  </si>
  <si>
    <t>Men -- Government policy -- Ontario -- History.; Men -- Ontario -- Social conditions.; Women -- Government policy -- Ontario.; Women -- Ontario -- Social conditions.; Working class -- Government policy -- Ontario -- History.; Working class -- Ontario -- Social conditions.</t>
  </si>
  <si>
    <t>http://public.eblib.com/choice/PublicFullRecord.aspx?p=3332678</t>
  </si>
  <si>
    <t>Genuine Multiculturalism : The Tragedy and Comedy of Diversity</t>
  </si>
  <si>
    <t>F1035.A1 -- F67 2014eb</t>
  </si>
  <si>
    <t>Multiculturalism -- Canada.</t>
  </si>
  <si>
    <t>http://public.eblib.com/choice/PublicFullRecord.aspx?p=3332679</t>
  </si>
  <si>
    <t>Becoming Inummarik : Men's Lives in an Inuit Community</t>
  </si>
  <si>
    <t>Collings, Peter</t>
  </si>
  <si>
    <t>E99.E7 -- C65 2014eb</t>
  </si>
  <si>
    <t>305.38/8971207193</t>
  </si>
  <si>
    <t>Inuit -- Northwest Territories -- Ulukhaktok -- Social conditions.; Inuit -- Northwest Territories -- Ulukhaktok -- Social life and customs.; Masculinity -- Social aspects -- Northwest Territories -- Ulukhaktok.; Men -- Northwest Territories -- Ulukhaktok -- Social conditions.; Men -- Northwest Territories -- Ulukhaktok -- Social life and customs.</t>
  </si>
  <si>
    <t>http://public.eblib.com/choice/PublicFullRecord.aspx?p=3332680</t>
  </si>
  <si>
    <t>The Secrets of a Vatican Cardinal : Celso Costantini's Wartime Diaries, 1938-1947</t>
  </si>
  <si>
    <t>Costantini, Celso; Pighin, Bruno Fabio; Mussio, Laurence</t>
  </si>
  <si>
    <t>BX4705.C7788 -- D53 2014eb</t>
  </si>
  <si>
    <t>Cardinals -- Italy -- Diaries.; Catholic Church -- Italy -- History -- 20th century -- Sources.; Constantini, Celso, -- 1876-1958 -- Diaries.; Italy -- History -- 1922-1945 -- Sources.; World War, 1939-1945 -- Personal narratives, Italian.; World War, 1939-1945 -- Religious aspects -- Catholic Church -- Sources.</t>
  </si>
  <si>
    <t>http://public.eblib.com/choice/PublicFullRecord.aspx?p=3332681</t>
  </si>
  <si>
    <t>Some Dance</t>
  </si>
  <si>
    <t>PS3556.R5694 -- S74 2014eb</t>
  </si>
  <si>
    <t>Bodybuilders -- Fiction.; San Francisco (Calif.) -- Fiction.</t>
  </si>
  <si>
    <t>http://public.eblib.com/choice/PublicFullRecord.aspx?p=3332682</t>
  </si>
  <si>
    <t>Creating This Place : Women, Family, and Class in St John's, 1900-1950</t>
  </si>
  <si>
    <t>Cullum, Linda; Porter, Marilyn</t>
  </si>
  <si>
    <t>F1124.5.S14 -- .C743 2014eb</t>
  </si>
  <si>
    <t>305.409718/1</t>
  </si>
  <si>
    <t>Newfoundland and Labrador -- Social conditions -- 1900-1949.; St. John''s (N.L.) -- History -- 20th century.; Urban women -- Newfoundland and Labrador -- St. John''s -- History -- 20th century.</t>
  </si>
  <si>
    <t>http://public.eblib.com/choice/PublicFullRecord.aspx?p=3332683</t>
  </si>
  <si>
    <t>Truth and Relevance : Catholic Theology in French Quebec since the Quiet Revolution</t>
  </si>
  <si>
    <t>HN39.C2 -- .B386 2014eb</t>
  </si>
  <si>
    <t>282/.7140904</t>
  </si>
  <si>
    <t>Catholic Church -- Doctrines -- History.; Catholic Church -- Québec (Province) -- History.; Church and social problems -- Québec (Province) -- Catholic Church.; Church and state -- Québec (Province) -- Catholic Church.; Religion and civil society -- Québec (Province)</t>
  </si>
  <si>
    <t>http://public.eblib.com/choice/PublicFullRecord.aspx?p=3332684</t>
  </si>
  <si>
    <t>Outside, Inside</t>
  </si>
  <si>
    <t>PS617 -- .P466 2014eb</t>
  </si>
  <si>
    <t>American poetry -- 21st century.</t>
  </si>
  <si>
    <t>http://public.eblib.com/choice/PublicFullRecord.aspx?p=3332685</t>
  </si>
  <si>
    <t>The Dawn of Canada's Century : Hidden Histories</t>
  </si>
  <si>
    <t>Darroch, Gordon</t>
  </si>
  <si>
    <t>HA741 1911b -- .D396 2014eb</t>
  </si>
  <si>
    <t>Canada -- Census, 1911.; Canada -- Economic conditions -- 1867-1918 -- Statistics.; Canada -- History -- 1867-1914.; Canada -- Social conditions -- 1867-1918 -- Statistics.</t>
  </si>
  <si>
    <t>http://public.eblib.com/choice/PublicFullRecord.aspx?p=3332686</t>
  </si>
  <si>
    <t>Something of a Peasant Paradise? : Comparing Rural Societies in Acadie and the Loudunais, 1604-1755</t>
  </si>
  <si>
    <t>Kennedy, Gregory M. W.</t>
  </si>
  <si>
    <t>Business/Management; Agriculture; History</t>
  </si>
  <si>
    <t>HD1521 -- .K466 2014eb</t>
  </si>
  <si>
    <t>971.5/017</t>
  </si>
  <si>
    <t>Acadia -- History.; Acadians -- History.; Loudun (France) -- History.; Peasants -- Acadia -- History.; Peasants -- France -- Loudun -- History.</t>
  </si>
  <si>
    <t>http://public.eblib.com/choice/PublicFullRecord.aspx?p=3332687</t>
  </si>
  <si>
    <t>Adam Buenosayres : A Novel</t>
  </si>
  <si>
    <t>Marechal, Leopoldo; Cheadle, Norman; Ethier, Sheila</t>
  </si>
  <si>
    <t>PQ7776 -- .M374 2014eb</t>
  </si>
  <si>
    <t>863/.64</t>
  </si>
  <si>
    <t>Argentine fiction -- 20th century.</t>
  </si>
  <si>
    <t>http://public.eblib.com/choice/PublicFullRecord.aspx?p=3332688</t>
  </si>
  <si>
    <t>Cartographies of Place : Navigating the Urban</t>
  </si>
  <si>
    <t>Darroch, Michael; Marchessault, Janine</t>
  </si>
  <si>
    <t>HT107 -- .C378 2014eb</t>
  </si>
  <si>
    <t>Cities and towns -- Effect of technological innovations on.; Cities and towns in mass media.; Mass media -- Social aspects.; Technology -- Social aspects.</t>
  </si>
  <si>
    <t>http://public.eblib.com/choice/PublicFullRecord.aspx?p=3332689</t>
  </si>
  <si>
    <t>Newfoundland Rhapsody : Frederick R. Emerson and the Musical Culture of the Island</t>
  </si>
  <si>
    <t>Colton, Glenn David</t>
  </si>
  <si>
    <t>ML385 -- .C658 2014eb</t>
  </si>
  <si>
    <t>Lawyers -- Newfoundland and Labrador -- Biography.; Musicians -- Newfoundland and Labrador -- Biography.; Newfoundland and Labrador -- Biography.</t>
  </si>
  <si>
    <t>http://public.eblib.com/choice/PublicFullRecord.aspx?p=3332690</t>
  </si>
  <si>
    <t>Frontier Boosters : Port Townsend and the Culture of Development in the American West</t>
  </si>
  <si>
    <t>Naylor, Elaine</t>
  </si>
  <si>
    <t>HT325 -- .N395 2014eb</t>
  </si>
  <si>
    <t>979.7/9803</t>
  </si>
  <si>
    <t>City promotion -- Washington (State) -- Port Townsend -- History -- 19th century.; City promotion -- Washington (State) -- Puget Sound Region -- History -- 19th century.; Economic development -- Washington (State) -- Port Townsend -- History -- 19th century.; Economic development -- Washington (State) -- Puget Sound Region -- History -- 19th century.; Urbanization -- Washington (State) -- Port Townsend -- History -- 19th century.</t>
  </si>
  <si>
    <t>http://public.eblib.com/choice/PublicFullRecord.aspx?p=3332691</t>
  </si>
  <si>
    <t>Rules and Unruliness : Canadian Regulatory Democracy, Governance, Capitalism, and Welfarism</t>
  </si>
  <si>
    <t>Doern, G. Bruce; Prince, Michael J.; Schultz, Richard J.</t>
  </si>
  <si>
    <t>JL75 -- .D647 2014eb</t>
  </si>
  <si>
    <t>342.71/066</t>
  </si>
  <si>
    <t>Administrative agencies -- Canada.; Administrative procedure -- Canada.; Canada -- Economic policy.; Canada -- Politics and government -- 1945-; Industrial policy -- Canada.; Social legislation -- Canada.</t>
  </si>
  <si>
    <t>http://public.eblib.com/choice/PublicFullRecord.aspx?p=3332692</t>
  </si>
  <si>
    <t>Magda and André Trocmé : Resistance Figures</t>
  </si>
  <si>
    <t>Boismorand, Pierre; Bess, Michael D.</t>
  </si>
  <si>
    <t>D804.66.T76 -- .M343 2014eb</t>
  </si>
  <si>
    <t>940.53/180922</t>
  </si>
  <si>
    <t>Jews -- France -- Le Chambon-sur-Lignon -- History.; Righteous Gentiles in the Holocaust -- France -- Le Chambon-sur-Lignon -- Biography.; Trocmé, André, -- 1901-1971.; Trocmé, Magda, -- 1901-1996.; World War, 1939-1945 -- Jews -- Rescue -- France -- Le Chambon-sur-Lignon.</t>
  </si>
  <si>
    <t>http://public.eblib.com/choice/PublicFullRecord.aspx?p=3332693</t>
  </si>
  <si>
    <t>The Strange and Dangerous Voyage of Captaine Thomas James</t>
  </si>
  <si>
    <t>Franklin, Colleen M.; Franklin, Colleen M</t>
  </si>
  <si>
    <t>G650 1631 -- .S77 2014eb</t>
  </si>
  <si>
    <t>James, Thomas, -- 1593?-1635? -- Travel -- Northwest Passage.; Northwest Passage -- Discovery and exploration -- British -- Early works to 1800.</t>
  </si>
  <si>
    <t>http://public.eblib.com/choice/PublicFullRecord.aspx?p=3332694</t>
  </si>
  <si>
    <t>Discovering Confederation : A Canadian's Story</t>
  </si>
  <si>
    <t>JA84.C2 -- .A394 2014eb</t>
  </si>
  <si>
    <t>Ajzenstat, Janet, -- 1936-; Canada -- History -- Confederation, 1867.; Canada -- Politics and government.; Intellectuals -- Canada -- Biography.; Political science -- Canada -- History.; Political scientists -- Canada -- Biography.</t>
  </si>
  <si>
    <t>http://public.eblib.com/choice/PublicFullRecord.aspx?p=3332695</t>
  </si>
  <si>
    <t>Death Talk, Second Edition : The Case Against Euthanasia and Physician-Assisted Suicide</t>
  </si>
  <si>
    <t>Philosophy; Medicine</t>
  </si>
  <si>
    <t>R726 -- .S664 2014eb</t>
  </si>
  <si>
    <t>Assisted suicide.; Euthanasia.</t>
  </si>
  <si>
    <t>http://public.eblib.com/choice/PublicFullRecord.aspx?p=3332696</t>
  </si>
  <si>
    <t>William Blake in the Desolate Market</t>
  </si>
  <si>
    <t>Bentley, G. E., Jr</t>
  </si>
  <si>
    <t>ND497.B6 -- .B468 2014eb</t>
  </si>
  <si>
    <t>821/.7</t>
  </si>
  <si>
    <t>Blake, William, -- 1757-1827 -- Finance, Personal.; Blake, William, -- 1757-1827.; Engravers -- Great Britain -- Biography.; Poets, English -- 18th century -- Biography.</t>
  </si>
  <si>
    <t>http://public.eblib.com/choice/PublicFullRecord.aspx?p=3332697</t>
  </si>
  <si>
    <t>Space, Time and Einstein : An Introduction</t>
  </si>
  <si>
    <t>Kennedy, J. B.; Kennedy, 0 ; Kennedy, Jay</t>
  </si>
  <si>
    <t>BD621 -- .K466 2003eb</t>
  </si>
  <si>
    <t>Space and time.</t>
  </si>
  <si>
    <t>http://public.eblib.com/choice/PublicFullRecord.aspx?p=3332698</t>
  </si>
  <si>
    <t>Bethune in Spain</t>
  </si>
  <si>
    <t>Stewart, Roderick; Majada, Jesús</t>
  </si>
  <si>
    <t>RD27.35.B47 -- .S749 2014eb</t>
  </si>
  <si>
    <t>Bethune, Norman.; Communism -- Canada -- Biography.; Communism -- Spain -- Biography.; Physicians -- Canada -- Biography.; Physicians -- Spain -- Biography.</t>
  </si>
  <si>
    <t>http://public.eblib.com/choice/PublicFullRecord.aspx?p=3332699</t>
  </si>
  <si>
    <t>Expect Miracles : Recollections of a Lucky Life</t>
  </si>
  <si>
    <t>Culver, David M.; Freeman, Alan</t>
  </si>
  <si>
    <t>HD38.2 -- .C858 2014eb</t>
  </si>
  <si>
    <t>338.7/669722092</t>
  </si>
  <si>
    <t>Businesspeople -- Québec (Province) -- Montréal -- Biography.; Chief executive officers -- Québec (Province) -- Montréal -- Biography.</t>
  </si>
  <si>
    <t>http://public.eblib.com/choice/PublicFullRecord.aspx?p=3332700</t>
  </si>
  <si>
    <t>The Black Doctors of Colonial Lima : Science, Race, and Writing in Colonial and Early Republican Peru</t>
  </si>
  <si>
    <t>McGill-Queen’s/Associated Medical Services Studies in the History of Medicine, H</t>
  </si>
  <si>
    <t>Martín, José R. Jouve</t>
  </si>
  <si>
    <t>RA418 -- .J688 2014eb</t>
  </si>
  <si>
    <t>Medical writing -- Social aspects -- Peru -- Lima -- History.; Race -- Social aspects -- Peru -- Lima -- History.; Science -- Social aspects -- Peru -- Lima -- History.; Social medicine -- Peru -- Lima -- History.</t>
  </si>
  <si>
    <t>http://public.eblib.com/choice/PublicFullRecord.aspx?p=3332701</t>
  </si>
  <si>
    <t>First among Unequals : The Premier, Politics, and Policy in Newfoundland and Labrador</t>
  </si>
  <si>
    <t>Marland, Alex; Kerby, Matthew; Crosbie, Hon John C.</t>
  </si>
  <si>
    <t>JF2051 -- .F577 2014eb</t>
  </si>
  <si>
    <t>971.8/05</t>
  </si>
  <si>
    <t>Politics, Practical -- Newfoundland and Labrador -- Case studies.; Power (Social sciences) -- Newfoundland and Labrador -- Case studies.</t>
  </si>
  <si>
    <t>http://public.eblib.com/choice/PublicFullRecord.aspx?p=3332702</t>
  </si>
  <si>
    <t>Working Bodies : Chronic Illness in the Canadian Workplace</t>
  </si>
  <si>
    <t>Owen, Michelle; Stone, Sharon-Dale; Crooks, Valorie A.</t>
  </si>
  <si>
    <t>Health; Social Science; Economics</t>
  </si>
  <si>
    <t>RA973.5 -- .W675 2014eb</t>
  </si>
  <si>
    <t>331.5/970971</t>
  </si>
  <si>
    <t>Chronically ill -- Canada -- Economic conditions.; Chronically ill -- Canada -- Social conditions.; Chronically ill -- Employment -- Canada.</t>
  </si>
  <si>
    <t>http://public.eblib.com/choice/PublicFullRecord.aspx?p=3332703</t>
  </si>
  <si>
    <t>Ursula Franklin Speaks : Thoughts and Afterthoughts</t>
  </si>
  <si>
    <t>Franklin, Ursula Martius; Freeman, Sarah Jane</t>
  </si>
  <si>
    <t>Engineering: General; Social Science; Engineering</t>
  </si>
  <si>
    <t>T14.5 -- .F736 2014eb</t>
  </si>
  <si>
    <t>Civics, Canadian.; Feminism.; Social justice.; Technology -- Political aspects.; Technology -- Social aspects.</t>
  </si>
  <si>
    <t>http://public.eblib.com/choice/PublicFullRecord.aspx?p=3332704</t>
  </si>
  <si>
    <t>Speaking Out on Human Rights : Debating Canada's Human Rights System</t>
  </si>
  <si>
    <t>Eliadis, Pearl</t>
  </si>
  <si>
    <t>JC599.C2 -- .E453 2014eb</t>
  </si>
  <si>
    <t>Canadian Human Rights Commission.; Human rights -- Canada.</t>
  </si>
  <si>
    <t>http://public.eblib.com/choice/PublicFullRecord.aspx?p=3332705</t>
  </si>
  <si>
    <t>In Praise of Mixed Religion : The Syncretism Solution in a Multifaith World</t>
  </si>
  <si>
    <t>Harrison, William H.</t>
  </si>
  <si>
    <t>BL2120.J38 -- .H377 2014eb</t>
  </si>
  <si>
    <t>201/.5</t>
  </si>
  <si>
    <t>Religions -- Relations.; Syncretism (Religion)</t>
  </si>
  <si>
    <t>http://public.eblib.com/choice/PublicFullRecord.aspx?p=3332706</t>
  </si>
  <si>
    <t>Building Nations from Diversity : Canadian and American Experience Compared</t>
  </si>
  <si>
    <t>McGill-Queen’s Studies in Ethnic History</t>
  </si>
  <si>
    <t>E184.A1 -- .S748 2014eb</t>
  </si>
  <si>
    <t>Canada -- Emigration and immigration -- History.; Canada -- Ethnic relations -- History.; Cultural pluralism -- United States -- History.; Immigrants -- Government policy -- Canada -- History.; Immigrants -- Government policy -- United States -- History.; Multiculturalism -- Canada -- History.; United States -- Emigration and immigration -- History.</t>
  </si>
  <si>
    <t>http://public.eblib.com/choice/PublicFullRecord.aspx?p=3332707</t>
  </si>
  <si>
    <t>Democracy in Decline : Steps in the Wrong Direction</t>
  </si>
  <si>
    <t>Allan, James</t>
  </si>
  <si>
    <t>JC423 -- .A453 2014eb</t>
  </si>
  <si>
    <t>Democracy.</t>
  </si>
  <si>
    <t>http://public.eblib.com/choice/PublicFullRecord.aspx?p=3332708</t>
  </si>
  <si>
    <t>To Make a Difference : A Prescription for a Good Life</t>
  </si>
  <si>
    <t>Goodman, Morris; Yanofsky, Joel</t>
  </si>
  <si>
    <t>F1054.5.M89J5 -- .G663 2014eb</t>
  </si>
  <si>
    <t>338.7/61615092</t>
  </si>
  <si>
    <t>Businesspeople -- Québec (Province) -- Montréal -- Biography.; Jews -- Québec (Province) -- Montréal -- Biography.; Pharmacists -- Québec (Province) -- Montréal -- Biography.; Philanthropists -- Québec (Province) -- Montréal -- Biography.</t>
  </si>
  <si>
    <t>http://public.eblib.com/choice/PublicFullRecord.aspx?p=3332709</t>
  </si>
  <si>
    <t>From India to Israel : Identity, Immigration, and the Struggle for Religious Equality</t>
  </si>
  <si>
    <t>Hodes, Joseph</t>
  </si>
  <si>
    <t>DS135.I6 -- .H634 2014eb</t>
  </si>
  <si>
    <t>954.004/924</t>
  </si>
  <si>
    <t>Bene-Israel -- History.; Freedom of religion -- India -- History.; Freedom of religion -- Israel -- History.; India -- Emigration and immigration -- History.; Israel -- Emigration and immigration -- History.; Jews -- Identity -- History.; Jews -- India -- History.</t>
  </si>
  <si>
    <t>http://public.eblib.com/choice/PublicFullRecord.aspx?p=3332710</t>
  </si>
  <si>
    <t>Cause for Thought : An Essay in Metaphysics</t>
  </si>
  <si>
    <t>BD541 -- .B873 2014eb</t>
  </si>
  <si>
    <t>Causation.; Metaphysics.</t>
  </si>
  <si>
    <t>http://public.eblib.com/choice/PublicFullRecord.aspx?p=3332711</t>
  </si>
  <si>
    <t>Counterfeit Crime : Criminal Profits, Terror Dollars, and Nonsense</t>
  </si>
  <si>
    <t>Naylor, R. T.</t>
  </si>
  <si>
    <t>HV6768 -- .N39 2014eb</t>
  </si>
  <si>
    <t>364.16/8</t>
  </si>
  <si>
    <t>Commercial crimes -- Government policy.; Commercial crimes.; Terrorism -- Government policy.</t>
  </si>
  <si>
    <t>http://public.eblib.com/choice/PublicFullRecord.aspx?p=3332712</t>
  </si>
  <si>
    <t>Western Ontario and the American Frontier</t>
  </si>
  <si>
    <t>Landon, Fred</t>
  </si>
  <si>
    <t>F1058 -- .L3 1967eb</t>
  </si>
  <si>
    <t>301.29/713/073</t>
  </si>
  <si>
    <t>Canada -- Relations -- United States.; Frontier and pioneer life -- Ontario.; Ontario -- History.; United States -- Relations -- Canada.</t>
  </si>
  <si>
    <t>http://public.eblib.com/choice/PublicFullRecord.aspx?p=3332713</t>
  </si>
  <si>
    <t>Pipelines and Permafrost : Science in a Cold Climate</t>
  </si>
  <si>
    <t>Williams, Peter J.; Williams, Director of the Geotechnical Science Laboratories Peter J ; Williams, P J</t>
  </si>
  <si>
    <t>TN880.5 -- .W55 1986eb</t>
  </si>
  <si>
    <t>665.7/44/09113</t>
  </si>
  <si>
    <t>Natural gas pipelines -- Arctic regions.; Permafrost -- Arctic regions.; Petroleum pipelines -- Arctic regions.</t>
  </si>
  <si>
    <t>http://public.eblib.com/choice/PublicFullRecord.aspx?p=3332714</t>
  </si>
  <si>
    <t>The Multicultural States of East Africa</t>
  </si>
  <si>
    <t>Richards, Audrey I.</t>
  </si>
  <si>
    <t>DT432 -- .R5 1969eb</t>
  </si>
  <si>
    <t>301.29/676</t>
  </si>
  <si>
    <t>Africa, East -- Politics and government.; Tribes -- Africa, East.</t>
  </si>
  <si>
    <t>http://public.eblib.com/choice/PublicFullRecord.aspx?p=3332715</t>
  </si>
  <si>
    <t>The Farmers in Politics</t>
  </si>
  <si>
    <t>Irvine, William; Irvine, W</t>
  </si>
  <si>
    <t>JL196 -- .I75 1920eb</t>
  </si>
  <si>
    <t>329.9/71</t>
  </si>
  <si>
    <t>Canada -- Politics and government -- 20th century.; Farmers -- Political activity -- Canada -- History.</t>
  </si>
  <si>
    <t>http://public.eblib.com/choice/PublicFullRecord.aspx?p=3332716</t>
  </si>
  <si>
    <t>The Western Interior of Canada : A Record of Geographical Discovery, 1612-1917</t>
  </si>
  <si>
    <t>F1013 -- .W3 1964eb</t>
  </si>
  <si>
    <t>Canada -- Description and travel.</t>
  </si>
  <si>
    <t>http://public.eblib.com/choice/PublicFullRecord.aspx?p=3332717</t>
  </si>
  <si>
    <t>Usable Urban Past Planning and Politics</t>
  </si>
  <si>
    <t>Artibise, Alan F.J.; Stelter, Gilbert A</t>
  </si>
  <si>
    <t>HT127 -- .U8 1979eb</t>
  </si>
  <si>
    <t>Cities and towns -- Canada.; City planning -- Canada.; Municipal government -- Canada.</t>
  </si>
  <si>
    <t>http://public.eblib.com/choice/PublicFullRecord.aspx?p=3332718</t>
  </si>
  <si>
    <t>A History of Transportation in Canada, Volume 2</t>
  </si>
  <si>
    <t>Glazebrook, G.P. de T.; Glazebroook, G P De T ; Glazebrook,</t>
  </si>
  <si>
    <t>HE215 -- .G539 1938eb</t>
  </si>
  <si>
    <t>Railroads -- Canada -- History.; Railroads and state -- Canada.; Transportation -- Canada -- History.</t>
  </si>
  <si>
    <t>http://public.eblib.com/choice/PublicFullRecord.aspx?p=3332719</t>
  </si>
  <si>
    <t>Notion of Tolerance and Human Rights : Essays in Honour of Raymond Klibansky</t>
  </si>
  <si>
    <t>Groffier, Ethel</t>
  </si>
  <si>
    <t>HM1271 -- .N685 1991eb</t>
  </si>
  <si>
    <t>Human rights.; Toleration.</t>
  </si>
  <si>
    <t>http://public.eblib.com/choice/PublicFullRecord.aspx?p=3332720</t>
  </si>
  <si>
    <t>Changing Maps : Governing in a World of Rapid Change</t>
  </si>
  <si>
    <t>Rosell, Steven; etc.,</t>
  </si>
  <si>
    <t>H97 -- .C436 1995eb</t>
  </si>
  <si>
    <t>Information society.; Policy sciences -- Methodology.; Public administration.</t>
  </si>
  <si>
    <t>http://public.eblib.com/choice/PublicFullRecord.aspx?p=3332721</t>
  </si>
  <si>
    <t>A History of Transportation in Canada, Volume 1</t>
  </si>
  <si>
    <t>Glazebrook, G.P. de T.</t>
  </si>
  <si>
    <t>http://public.eblib.com/choice/PublicFullRecord.aspx?p=3332722</t>
  </si>
  <si>
    <t>How Ottawa Spends, 1990-1991 : Tracking the Second Agenda</t>
  </si>
  <si>
    <t>Graham, Katherine A.H.</t>
  </si>
  <si>
    <t>HJ7663 -- .H696 1990eb</t>
  </si>
  <si>
    <t>Canada -- Appropriations and expenditures.; Finance, Public -- Canada.</t>
  </si>
  <si>
    <t>http://public.eblib.com/choice/PublicFullRecord.aspx?p=3332723</t>
  </si>
  <si>
    <t>Tax, Borrow and Spend : Financing Federal Spending in Canada, 1867-1990</t>
  </si>
  <si>
    <t>Gillespie, Irwin</t>
  </si>
  <si>
    <t>HJ792 -- .G55 1995eb</t>
  </si>
  <si>
    <t>Finance, Public -- Canada -- History.; Fiscal policy -- Canada -- History.; Government spending policy -- Canada -- History.</t>
  </si>
  <si>
    <t>http://public.eblib.com/choice/PublicFullRecord.aspx?p=3332724</t>
  </si>
  <si>
    <t>The Old Province of Quebec, Volume 2</t>
  </si>
  <si>
    <t>Burt; Burt,</t>
  </si>
  <si>
    <t>F1032 -- .B94 1968eb</t>
  </si>
  <si>
    <t>971.4/02</t>
  </si>
  <si>
    <t>Canada -- History -- 1763-1791.; Québec (Province) -- History.</t>
  </si>
  <si>
    <t>http://public.eblib.com/choice/PublicFullRecord.aspx?p=3332725</t>
  </si>
  <si>
    <t>The Race Question In Canada</t>
  </si>
  <si>
    <t>Seigfried, Andre; Underhill, Frank H</t>
  </si>
  <si>
    <t>F1027 -- .S55613 1978eb</t>
  </si>
  <si>
    <t>Canada -- English-French relations.</t>
  </si>
  <si>
    <t>http://public.eblib.com/choice/PublicFullRecord.aspx?p=3332726</t>
  </si>
  <si>
    <t>The Orwell Conundrum : A Cry of Despair or Faith in the "Spirit of Man?"</t>
  </si>
  <si>
    <t>PR6029.R8 -- .G688 1992eb</t>
  </si>
  <si>
    <t>English literature -- 20th century -- History and criticism.; Orwell, George, -- 1903-1950 -- Criticism and interpretation.; Orwell, George, -- 1903-1950. -- Nineteen eighty-four.</t>
  </si>
  <si>
    <t>http://public.eblib.com/choice/PublicFullRecord.aspx?p=3332727</t>
  </si>
  <si>
    <t>Indians of the North Pacific Coast</t>
  </si>
  <si>
    <t>McFeat, Tom</t>
  </si>
  <si>
    <t>E78.N78 -- .M3 1978eb</t>
  </si>
  <si>
    <t>970.4/98/2</t>
  </si>
  <si>
    <t>Indians of North America -- Northwest Coast of North America.</t>
  </si>
  <si>
    <t>http://public.eblib.com/choice/PublicFullRecord.aspx?p=3332728</t>
  </si>
  <si>
    <t>Colonial Reformers and Canada, 1830-1849</t>
  </si>
  <si>
    <t>Burroughs, Peter</t>
  </si>
  <si>
    <t>F1032 -- .C656 1969eb</t>
  </si>
  <si>
    <t>325.3/42/0971</t>
  </si>
  <si>
    <t>Canada -- Politics and government -- 19th century.; Great Britain -- Colonies -- Administration -- History -- 19th century.</t>
  </si>
  <si>
    <t>http://public.eblib.com/choice/PublicFullRecord.aspx?p=3332729</t>
  </si>
  <si>
    <t>Enterprises of Robert Hamilton : A Study of Wealth and Influence in Early Upper Canada, 1776-1812</t>
  </si>
  <si>
    <t>Wilson, Bruce G.</t>
  </si>
  <si>
    <t>F1059.N5 -- .W557 1983eb</t>
  </si>
  <si>
    <t>971.3/02</t>
  </si>
  <si>
    <t>Businesspeople -- Ontario -- Niagara Peninsula -- Biography.; Hamilton, Robert, -- 1750-1809.; Niagara Peninsula (Ont.) -- Biography.; Niagara Peninsula (Ont.) -- Commerce.; Niagara Peninsula (Ont.) -- Economic conditions.; Niagara Peninsula (Ont.) -- History.; Ontario -- Economic conditions.</t>
  </si>
  <si>
    <t>http://public.eblib.com/choice/PublicFullRecord.aspx?p=3332730</t>
  </si>
  <si>
    <t>Making Music</t>
  </si>
  <si>
    <t>Partington, John T.</t>
  </si>
  <si>
    <t>ML3830 -- .P378 1995eb</t>
  </si>
  <si>
    <t>Music -- Performance -- Psychological aspects.; Musicians -- Psychology.</t>
  </si>
  <si>
    <t>http://public.eblib.com/choice/PublicFullRecord.aspx?p=3332731</t>
  </si>
  <si>
    <t>Gentleman In The Outports : Gobineau and Newfoundland</t>
  </si>
  <si>
    <t>Wilkshire, Michael</t>
  </si>
  <si>
    <t>F1122 -- .G635 1993eb</t>
  </si>
  <si>
    <t>Newfoundland and Labrador -- Description and travel.; Newfoundland and Labrador -- History -- 19th century.; Nova Scotia -- Description and travel.; Nova Scotia -- History -- 19th century.</t>
  </si>
  <si>
    <t>http://public.eblib.com/choice/PublicFullRecord.aspx?p=3332732</t>
  </si>
  <si>
    <t>William Lyon Mackenzie</t>
  </si>
  <si>
    <t>Lesueur, William; McKillop</t>
  </si>
  <si>
    <t>F1032.M14 -- .L47 1979eb</t>
  </si>
  <si>
    <t>971.03/8/0924</t>
  </si>
  <si>
    <t>Canada -- Politics and government -- 1763-1867.; Canada -- Politics and government -- 1837-1838.; Mackenzie, William Lyon, -- 1795-1861.; Politicians -- Canada -- Biography.</t>
  </si>
  <si>
    <t>http://public.eblib.com/choice/PublicFullRecord.aspx?p=3332733</t>
  </si>
  <si>
    <t>How Ottawa Spends, 1989-1990 : The Buck Stops Where?</t>
  </si>
  <si>
    <t>HJ7663 -- .H696 1989eb</t>
  </si>
  <si>
    <t>http://public.eblib.com/choice/PublicFullRecord.aspx?p=3332734</t>
  </si>
  <si>
    <t>Biography and Autobiography : Essays on Irish and Canadian History and Literature</t>
  </si>
  <si>
    <t>Noonan, J.</t>
  </si>
  <si>
    <t>CT21 -- .B564 1993eb</t>
  </si>
  <si>
    <t>Authors, Irish -- Biography -- History and criticism -- Congresses.; Biography as a literary form -- Congresses.; Ireland -- Biography -- History and criticism -- Congresses.; Irish -- Canada -- History -- Congresses.</t>
  </si>
  <si>
    <t>http://public.eblib.com/choice/PublicFullRecord.aspx?p=3332735</t>
  </si>
  <si>
    <t>Ethnic Demography : Canadian Immigrant, Racial and Cultural Variations</t>
  </si>
  <si>
    <t>Halli, Shiva</t>
  </si>
  <si>
    <t>F1035.A1 -- .E855 1990eb</t>
  </si>
  <si>
    <t>Canada -- Population.; Ethnicity -- Canada.; Minorities -- Canada.</t>
  </si>
  <si>
    <t>http://public.eblib.com/choice/PublicFullRecord.aspx?p=3332736</t>
  </si>
  <si>
    <t>Chief Justice William Johnstone Ritchie : Responsible Government and Judicial Review</t>
  </si>
  <si>
    <t>Bale, G.</t>
  </si>
  <si>
    <t>KE8248.R58 -- .B35 1991eb</t>
  </si>
  <si>
    <t>347.71/03534</t>
  </si>
  <si>
    <t>Canada. -- Supreme Court -- Biography.; Judges -- Canada -- Biography.; Ritchie, William Johnstone, -- Sir, -- 1813-1892.</t>
  </si>
  <si>
    <t>http://public.eblib.com/choice/PublicFullRecord.aspx?p=3332737</t>
  </si>
  <si>
    <t>Word of the Law : Approaches to Legal Discourse</t>
  </si>
  <si>
    <t>Klinck, D.R.</t>
  </si>
  <si>
    <t>K213 -- .K556 1992eb</t>
  </si>
  <si>
    <t>Law -- Language.</t>
  </si>
  <si>
    <t>http://public.eblib.com/choice/PublicFullRecord.aspx?p=3332738</t>
  </si>
  <si>
    <t>Community in Crisis : French-Canadian Nationalism in Perspective</t>
  </si>
  <si>
    <t>Jones, R.</t>
  </si>
  <si>
    <t>F1027 -- .J6 1972eb</t>
  </si>
  <si>
    <t>320.9/714/04</t>
  </si>
  <si>
    <t>Nationalism -- Québec (Province); Québec (Province) -- History -- History -- Autonomy and independence movements.</t>
  </si>
  <si>
    <t>http://public.eblib.com/choice/PublicFullRecord.aspx?p=3332739</t>
  </si>
  <si>
    <t>Political Unrest in Upper Canada, 1815-1836</t>
  </si>
  <si>
    <t>Dunham, Aileen</t>
  </si>
  <si>
    <t>F1058 -- .D92 1927eb</t>
  </si>
  <si>
    <t>Ontario -- Politics and government.</t>
  </si>
  <si>
    <t>http://public.eblib.com/choice/PublicFullRecord.aspx?p=3332740</t>
  </si>
  <si>
    <t>Life and Time of Sir Alexander Tilloch Galt</t>
  </si>
  <si>
    <t>Skelton, O.D.</t>
  </si>
  <si>
    <t>F1032 -- .S545 1966eb</t>
  </si>
  <si>
    <t>Canada -- Politics and government -- 1841-1867.; Canada -- Politics and government -- 1867-1914.; Fathers of Confederation (Canada) -- Biography.; Galt, A. T. -- (Alexander Tilloch), -- Sir, -- 1817-1893.</t>
  </si>
  <si>
    <t>http://public.eblib.com/choice/PublicFullRecord.aspx?p=3332741</t>
  </si>
  <si>
    <t>Upper Ottawa Valley to 1855</t>
  </si>
  <si>
    <t>Reid, Richard; Reid, Richard M</t>
  </si>
  <si>
    <t>F1059.O91 -- .U67 1989eb</t>
  </si>
  <si>
    <t>971.3/802</t>
  </si>
  <si>
    <t>Ottawa River Valley (Québec and Ont.) -- History -- Sources.</t>
  </si>
  <si>
    <t>http://public.eblib.com/choice/PublicFullRecord.aspx?p=3332742</t>
  </si>
  <si>
    <t>Canadian Foreign Policy, 1955-1965 : Selected Speeches and Documents</t>
  </si>
  <si>
    <t>Blanchette; Blanchette,</t>
  </si>
  <si>
    <t>F1034.2 -- .C325 1977eb</t>
  </si>
  <si>
    <t>Canada -- Foreign relations -- 1945- -- Sources.</t>
  </si>
  <si>
    <t>http://public.eblib.com/choice/PublicFullRecord.aspx?p=3332743</t>
  </si>
  <si>
    <t>Demon Rum or Easy Money : Government Control of Liquor in British Columbia from Prohibition to Privatization</t>
  </si>
  <si>
    <t>Campbell, Robert A.</t>
  </si>
  <si>
    <t>HV5087.C2 -- .C36 1991eb</t>
  </si>
  <si>
    <t>British Columbia -- Politics and government.; Drinking of alcoholic beverages -- Government policy -- British Columbia -- History.; Liquor laws -- British Columbia -- History.</t>
  </si>
  <si>
    <t>http://public.eblib.com/choice/PublicFullRecord.aspx?p=3332744</t>
  </si>
  <si>
    <t>Canadian Conference on Computational Geometry</t>
  </si>
  <si>
    <t>Fiala, Frank; et al.,</t>
  </si>
  <si>
    <t>QA448.D38 -- .C363 1996eb</t>
  </si>
  <si>
    <t>Geometry -- Data processing -- Congresses.</t>
  </si>
  <si>
    <t>http://public.eblib.com/choice/PublicFullRecord.aspx?p=3332745</t>
  </si>
  <si>
    <t>Robert Laird Borden : His Memoirs, Volume 2</t>
  </si>
  <si>
    <t>Macquarrie, H.</t>
  </si>
  <si>
    <t>F1033.B76 -- .R634 1969eb</t>
  </si>
  <si>
    <t>971.06/10924</t>
  </si>
  <si>
    <t>Borden, Robert Laird, -- Sir, -- 1854-1937.; Canada -- Politics and government -- 1867-; World War, 1914-1918 -- Canada.</t>
  </si>
  <si>
    <t>http://public.eblib.com/choice/PublicFullRecord.aspx?p=3332746</t>
  </si>
  <si>
    <t>Ethics in Public Service</t>
  </si>
  <si>
    <t>Chapman, Richard A.; Chapman, Professor Richard A</t>
  </si>
  <si>
    <t>JF1525.E8 -- E84 1993eb</t>
  </si>
  <si>
    <t>Civil service ethics.; Public administration -- Moral and ethical aspects.</t>
  </si>
  <si>
    <t>http://public.eblib.com/choice/PublicFullRecord.aspx?p=3332747</t>
  </si>
  <si>
    <t>Challenge of Class Analysis</t>
  </si>
  <si>
    <t>HN110.Z9 -- S63 1988eb</t>
  </si>
  <si>
    <t>305.5/0971</t>
  </si>
  <si>
    <t>Social classes -- Canada.</t>
  </si>
  <si>
    <t>http://public.eblib.com/choice/PublicFullRecord.aspx?p=3332749</t>
  </si>
  <si>
    <t>How Ottawa Spends, 1992-1993 : The Politics of Competitiveness</t>
  </si>
  <si>
    <t>Abele, Frances</t>
  </si>
  <si>
    <t>HJ7663 -- .P65 1992eb</t>
  </si>
  <si>
    <t>Canada -- Appropriations and expenditures.; Government spending policy -- Canada.</t>
  </si>
  <si>
    <t>http://public.eblib.com/choice/PublicFullRecord.aspx?p=3332750</t>
  </si>
  <si>
    <t>Natural Allies? : Canadian and Mexican Perspectives on International Security</t>
  </si>
  <si>
    <t>Klepak</t>
  </si>
  <si>
    <t>UA600 -- .N38 1996eb</t>
  </si>
  <si>
    <t>Canada -- Relations -- Mexico.; Mexico -- Relations -- Canada.; National security -- Canada.; Security, International.</t>
  </si>
  <si>
    <t>http://public.eblib.com/choice/PublicFullRecord.aspx?p=3332751</t>
  </si>
  <si>
    <t>Crisis, Challenge and Change : Party and Class in Canada Revisited</t>
  </si>
  <si>
    <t>Brodie, Janine</t>
  </si>
  <si>
    <t>JL195 -- .B76 1991eb</t>
  </si>
  <si>
    <t>Canada -- Politics and government -- 1867-; Canada. -- Parliament -- Elections -- History.; Political parties -- Canada -- History.; Social classes -- Canada -- History.</t>
  </si>
  <si>
    <t>http://public.eblib.com/choice/PublicFullRecord.aspx?p=3332752</t>
  </si>
  <si>
    <t>Brave New Canada : Meeting the Challenge of a Changing World</t>
  </si>
  <si>
    <t>Burney, Derek H.; Hampson, Fen Osler</t>
  </si>
  <si>
    <t>HF1479 -- .B876 2014eb</t>
  </si>
  <si>
    <t>Canada -- Economic policy -- 21st century -- Forecasting.; Canada -- Foreign economic relations -- Forecasting.; Canada -- Foreign relations -- 21st century -- Forecasting.; Canada -- Social policy -- Forecasting.</t>
  </si>
  <si>
    <t>http://public.eblib.com/choice/PublicFullRecord.aspx?p=3332753</t>
  </si>
  <si>
    <t>A World of Paper : Louis XIV, Colbert de Torcy, and the Rise of the Information State</t>
  </si>
  <si>
    <t>Rule, John C.; Trotter, Ben S.</t>
  </si>
  <si>
    <t>DC125 -- .R854 2014eb</t>
  </si>
  <si>
    <t>Bureaucracy -- France -- History -- 17th century.; Bureaucracy -- France -- History -- 18th century.; France -- History -- Louis XIV, 1643-1715.</t>
  </si>
  <si>
    <t>http://public.eblib.com/choice/PublicFullRecord.aspx?p=3332754</t>
  </si>
  <si>
    <t>How Ottawa Spends, 1991-1992 : The Politics of Fragmentation</t>
  </si>
  <si>
    <t>HJ7663 -- .P65 1991eb</t>
  </si>
  <si>
    <t>http://public.eblib.com/choice/PublicFullRecord.aspx?p=3332755</t>
  </si>
  <si>
    <t>Foremost Nation : Canadian Foreign Policy and a Changing World</t>
  </si>
  <si>
    <t>F1034.2 -- .F67 1977eb</t>
  </si>
  <si>
    <t>Canada -- Foreign economic relations.; Canada -- Foreign relations -- 1945-</t>
  </si>
  <si>
    <t>http://public.eblib.com/choice/PublicFullRecord.aspx?p=3332756</t>
  </si>
  <si>
    <t>Coming to Canada</t>
  </si>
  <si>
    <t>Shields, Carol; Ziviani, Nivio; Baeza-Yates</t>
  </si>
  <si>
    <t>PR9199.3 -- .S514 1995eb</t>
  </si>
  <si>
    <t>http://public.eblib.com/choice/PublicFullRecord.aspx?p=3332757</t>
  </si>
  <si>
    <t>14 Days : Making the Conservative Movement in Canada</t>
  </si>
  <si>
    <t>Carson, Bruce</t>
  </si>
  <si>
    <t>JC573.2.C2 -- .C377 2014eb</t>
  </si>
  <si>
    <t>Canada -- Politics and government -- 1993-2006.; Canada -- Politics and government -- 2006-; Conservatism -- Canada.; Conservative Party of Canada.</t>
  </si>
  <si>
    <t>http://public.eblib.com/choice/PublicFullRecord.aspx?p=3332758</t>
  </si>
  <si>
    <t>Documents of Canadian Broadcasting</t>
  </si>
  <si>
    <t>Bird, R.</t>
  </si>
  <si>
    <t>HE8689.9.C3 -- .D63 1988eb</t>
  </si>
  <si>
    <t>384.54/0971</t>
  </si>
  <si>
    <t>Broadcasting -- Canada -- History -- Sources.; Broadcasting -- Law and legislation -- Canada -- Sources.</t>
  </si>
  <si>
    <t>http://public.eblib.com/choice/PublicFullRecord.aspx?p=3332759</t>
  </si>
  <si>
    <t>The Splendid Vision : Centennial History of the National Council of Women of Canada, 1893-1993</t>
  </si>
  <si>
    <t>Griffiths, Naomi E.S.</t>
  </si>
  <si>
    <t>JL65 -- .G754 1997eb</t>
  </si>
  <si>
    <t>National Council of Women of Canada -- History.; Women -- Canada -- Societies and clubs -- History.</t>
  </si>
  <si>
    <t>http://public.eblib.com/choice/PublicFullRecord.aspx?p=3332760</t>
  </si>
  <si>
    <t>Cuthbert Grant of Grantown</t>
  </si>
  <si>
    <t>MacLeod, Margaret; Morton; Morton,</t>
  </si>
  <si>
    <t>F1063.G7 -- .M3 1974eb</t>
  </si>
  <si>
    <t>971.27/4/010924</t>
  </si>
  <si>
    <t>Grant, Cuthbert, -- 1793-1854.</t>
  </si>
  <si>
    <t>http://public.eblib.com/choice/PublicFullRecord.aspx?p=3332761</t>
  </si>
  <si>
    <t>Ascription and Achievement : Studies in Mobility and Status Attainment in Canada</t>
  </si>
  <si>
    <t>Boyd, M.; Jones, F.E.</t>
  </si>
  <si>
    <t>HN110.Z9 -- .A837 1985eb</t>
  </si>
  <si>
    <t>305.5/13/0971</t>
  </si>
  <si>
    <t>Social mobility -- Canada.; Social status -- Canada.</t>
  </si>
  <si>
    <t>http://public.eblib.com/choice/PublicFullRecord.aspx?p=3332762</t>
  </si>
  <si>
    <t>Riel's Defence : Perspectives on His Speeches</t>
  </si>
  <si>
    <t>Hansen, Hans V.</t>
  </si>
  <si>
    <t>F1060.9 -- .R545 2014eb</t>
  </si>
  <si>
    <t>815/.4</t>
  </si>
  <si>
    <t>Forensic orations -- Canada, Western -- History -- 19th century.; Riel, Louis, -- 1844-1885 -- Criticism and interpretation.; Riel, Louis, -- 1844-1885 -- Trials, litigation, etc.; Speeches, addresses, etc., Canadian (English) -- Canada, Western -- History and criticism.</t>
  </si>
  <si>
    <t>http://public.eblib.com/choice/PublicFullRecord.aspx?p=3332763</t>
  </si>
  <si>
    <t>Ancient Pathways, Ancestral Knowledge : Ethnobotany and Ecological Wisdom of Indigenous Peoples of Northwestern North America</t>
  </si>
  <si>
    <t>Turner, Nancy</t>
  </si>
  <si>
    <t>Science: Botany; History; Science</t>
  </si>
  <si>
    <t>E98.B7 -- .T876 2014eb</t>
  </si>
  <si>
    <t>581.6/3097</t>
  </si>
  <si>
    <t>Indians of North America -- Ethnobotany -- Canada, Northern.; Indians of North America -- Ethnobotany -- Canada, Western.; Traditional ecological knowledge -- Canada, Northern.; Traditional ecological knowledge -- Canada, Western.</t>
  </si>
  <si>
    <t>http://public.eblib.com/choice/PublicFullRecord.aspx?p=3332764</t>
  </si>
  <si>
    <t>Natural Resources : The Economics of Conservation</t>
  </si>
  <si>
    <t>Scott, A.</t>
  </si>
  <si>
    <t>S936 -- .S368 1973eb</t>
  </si>
  <si>
    <t>Conservation of natural resources.</t>
  </si>
  <si>
    <t>http://public.eblib.com/choice/PublicFullRecord.aspx?p=3332765</t>
  </si>
  <si>
    <t>Capital Punishment in Canada</t>
  </si>
  <si>
    <t>Chandler, David; Chandler, D</t>
  </si>
  <si>
    <t>HV8699.C2 -- .C436 1976eb</t>
  </si>
  <si>
    <t>364.6/6/0971</t>
  </si>
  <si>
    <t>Capital punishment -- Canada -- Public opinion.; Capital punishment -- Canada.; Public opinion -- Canada.</t>
  </si>
  <si>
    <t>http://public.eblib.com/choice/PublicFullRecord.aspx?p=3332766</t>
  </si>
  <si>
    <t>Connected Struggles : Catholics, Nationalists, and Transnational Relations between Mexico and Quebec, 1917-1945</t>
  </si>
  <si>
    <t>Demers, Maurice</t>
  </si>
  <si>
    <t>BX1422.Q4 -- .D464 2014eb</t>
  </si>
  <si>
    <t>201/.727</t>
  </si>
  <si>
    <t>Catholics -- Mexico -- History -- 20th century.; Catholics -- Québec (Province) -- History -- 20th century.; Religion and international relations -- Mexico -- History -- 20th century.; Religion and international relations -- Québec (Province) -- History -- 20th century.</t>
  </si>
  <si>
    <t>http://public.eblib.com/choice/PublicFullRecord.aspx?p=3332767</t>
  </si>
  <si>
    <t>Griffith Taylor : Antarctic Scientist and Pioneer Geographer</t>
  </si>
  <si>
    <t>Sanderson, Marie</t>
  </si>
  <si>
    <t>G69.T38 -- .S26 1988eb</t>
  </si>
  <si>
    <t>910/.92/4</t>
  </si>
  <si>
    <t>Antarctica -- Discovery and exploration -- British.; Geographers -- Australia -- Biography.; Scott, Robert Falcon, -- 1868-1912.; Taylor, Thomas Griffith, -- 1880-1963.; University of Toronto -- Biography.</t>
  </si>
  <si>
    <t>http://public.eblib.com/choice/PublicFullRecord.aspx?p=3332768</t>
  </si>
  <si>
    <t>Fertile Ground : Exploring Reproduction in Canada</t>
  </si>
  <si>
    <t>Paterson, Stephanie; Scala, Francesca; Sokolon, Marlene K.</t>
  </si>
  <si>
    <t>HQ766 -- .F478 2014eb</t>
  </si>
  <si>
    <t>363.9/60971</t>
  </si>
  <si>
    <t>Fertility, Human -- Political aspects -- Canada.; Fertility, Human -- Social aspects -- Canada.; Human reproduction -- Political aspects -- Canada.; Human reproduction -- Social aspects -- Canada.; Women -- Health and hygiene -- Canada.</t>
  </si>
  <si>
    <t>http://public.eblib.com/choice/PublicFullRecord.aspx?p=3332769</t>
  </si>
  <si>
    <t>Liberating Temporariness? : Migration, Work, and Citizenship in an Age of Insecurity</t>
  </si>
  <si>
    <t>Vosko, Leah F.; Preston, Valerie; Latham, Robert</t>
  </si>
  <si>
    <t>HF5549.5.A43 -- .L534 2014eb</t>
  </si>
  <si>
    <t>331.6/20971</t>
  </si>
  <si>
    <t>Foreign workers -- Social conditions.; Foreign workers, Canadian -- Social conditions.; Foreign workers, Canadian.; Foreign workers.</t>
  </si>
  <si>
    <t>http://public.eblib.com/choice/PublicFullRecord.aspx?p=3332770</t>
  </si>
  <si>
    <t>Beyond the Atlantic Roar : A Study of the Nova Scotia Scots</t>
  </si>
  <si>
    <t>Campbell, D.; Maclean, R.A. ; Maclean, R.A. ; MacLean, ; MacLean, Brian K ; Campbell, Dave</t>
  </si>
  <si>
    <t>F1040.S4 -- .C367 1974eb</t>
  </si>
  <si>
    <t>971.6/004/9163</t>
  </si>
  <si>
    <t>Nova Scotia -- History.; Scots -- Nova Scotia.</t>
  </si>
  <si>
    <t>http://public.eblib.com/choice/PublicFullRecord.aspx?p=3332771</t>
  </si>
  <si>
    <t>Republicanism and Responsible Government : The Shaping of Democracy in Australia and Canada</t>
  </si>
  <si>
    <t>Jones, Benjamin T.</t>
  </si>
  <si>
    <t>F1031.5 -- .J664 2014eb</t>
  </si>
  <si>
    <t>971.03/9</t>
  </si>
  <si>
    <t>Australia -- Politics and government -- 19th century.; Canada -- Politics and government -- 19th century.; Republicanism -- Australia -- History -- 19th century.; Republicanism -- Canada -- History -- 19th century.</t>
  </si>
  <si>
    <t>http://public.eblib.com/choice/PublicFullRecord.aspx?p=3332772</t>
  </si>
  <si>
    <t>Sojourns in the New World : Reflections on Technology</t>
  </si>
  <si>
    <t>Darby, T.</t>
  </si>
  <si>
    <t>T14 -- .S656 1986eb</t>
  </si>
  <si>
    <t>Philosophy, Modern.; Technology -- Philosophy.</t>
  </si>
  <si>
    <t>http://public.eblib.com/choice/PublicFullRecord.aspx?p=3332773</t>
  </si>
  <si>
    <t>Parliamentary Privilege in Canada</t>
  </si>
  <si>
    <t>Maingot, Joseph P.</t>
  </si>
  <si>
    <t>KE4578 -- .M35 1997eb</t>
  </si>
  <si>
    <t>342.71/055</t>
  </si>
  <si>
    <t>Canada. -- Parliament -- Privileges and immunities.; Legislative bodies -- Canada -- Privileges and immunities.</t>
  </si>
  <si>
    <t>http://public.eblib.com/choice/PublicFullRecord.aspx?p=3332774</t>
  </si>
  <si>
    <t>Canadian Corporate Elite</t>
  </si>
  <si>
    <t>HN110.E19754 -- . C53 eb</t>
  </si>
  <si>
    <t>301.44/92/0971</t>
  </si>
  <si>
    <t>Capitalists and financiers -- Canada.; Corporations -- Canada.; Elite (Social sciences) -- Canada.; Social mobility -- Canada.</t>
  </si>
  <si>
    <t>http://public.eblib.com/choice/PublicFullRecord.aspx?p=3332775</t>
  </si>
  <si>
    <t>Structure, Information and Communication Complexity, IIS 1</t>
  </si>
  <si>
    <t>International Informatics</t>
  </si>
  <si>
    <t>Flocchini, Paola; Jnes, Ben ; Wilkinson, Oliver Marlow ; Mans, Bernard</t>
  </si>
  <si>
    <t>QA76.9.D5 -- .S77 1995eb</t>
  </si>
  <si>
    <t>Computer networks -- Congresses.; Electronic data processing -- Distributed processing -- Congresses.</t>
  </si>
  <si>
    <t>http://public.eblib.com/choice/PublicFullRecord.aspx?p=3332776</t>
  </si>
  <si>
    <t>Recollections of the on to Ottawa Trek</t>
  </si>
  <si>
    <t>Liversedge, Ronald</t>
  </si>
  <si>
    <t>HD5728 -- .L552 1973eb</t>
  </si>
  <si>
    <t>331.1/3792/4</t>
  </si>
  <si>
    <t>Depressions -- 1929 -- Canada.; Labor camps -- Canada.; Unemployed -- Canada.</t>
  </si>
  <si>
    <t>http://public.eblib.com/choice/PublicFullRecord.aspx?p=3332777</t>
  </si>
  <si>
    <t>Bank of Upper Canada</t>
  </si>
  <si>
    <t>Baskerville, P.</t>
  </si>
  <si>
    <t>HG2708.U6 -- . B36 1987eb</t>
  </si>
  <si>
    <t>332.1/2/09713</t>
  </si>
  <si>
    <t>Bank of Upper Canada -- History -- Sources.; Bank of Upper Canada -- Ontario -- History.; Banks and banking -- Ontario -- History -- Sources.; Banks and banking -- Ontario -- History.</t>
  </si>
  <si>
    <t>http://public.eblib.com/choice/PublicFullRecord.aspx?p=3332778</t>
  </si>
  <si>
    <t>Fourth South American Workshop on String Processing (WSP 1997)</t>
  </si>
  <si>
    <t>Baeza-Yates, Ricardo</t>
  </si>
  <si>
    <t>QA76.9.T48 -- .F68 1997eb</t>
  </si>
  <si>
    <t>Text processing (Computer science) -- Congresses.</t>
  </si>
  <si>
    <t>http://public.eblib.com/choice/PublicFullRecord.aspx?p=3332779</t>
  </si>
  <si>
    <t>Approaches to Canadian Economic History</t>
  </si>
  <si>
    <t>Easterbrook; Watkins; Easterbrook, W T ; Watkins, M H</t>
  </si>
  <si>
    <t>HC113 -- .E18 1978eb</t>
  </si>
  <si>
    <t>http://public.eblib.com/choice/PublicFullRecord.aspx?p=3332780</t>
  </si>
  <si>
    <t>Self-Stabilizing Systems</t>
  </si>
  <si>
    <t>Ghosh, Sukumar; Herman, Ted</t>
  </si>
  <si>
    <t>QA76.9.D5 -- .S45 1997eb</t>
  </si>
  <si>
    <t>Electronic data processing -- Distributed processing -- Congresses.</t>
  </si>
  <si>
    <t>http://public.eblib.com/choice/PublicFullRecord.aspx?p=3332781</t>
  </si>
  <si>
    <t>Canada's Balance of International Indebtedness, 1900-1913</t>
  </si>
  <si>
    <t>Viner, Jacob</t>
  </si>
  <si>
    <t>HF1014 -- .V5 1975eb</t>
  </si>
  <si>
    <t>Balance of trade.; Finance -- Canada.</t>
  </si>
  <si>
    <t>http://public.eblib.com/choice/PublicFullRecord.aspx?p=3332782</t>
  </si>
  <si>
    <t>The Distemper of our Times</t>
  </si>
  <si>
    <t>Newman, Peter C.; Newman, P C</t>
  </si>
  <si>
    <t>F1034.2 -- .N43 1978eb</t>
  </si>
  <si>
    <t>320.9/71</t>
  </si>
  <si>
    <t>Canada -- Politics and government -- 1945-</t>
  </si>
  <si>
    <t>http://public.eblib.com/choice/PublicFullRecord.aspx?p=3332783</t>
  </si>
  <si>
    <t>Agricultural Economy of Manitoba Hutterite Colonies</t>
  </si>
  <si>
    <t>Ryan, John</t>
  </si>
  <si>
    <t>Religion; Economics; Business/Management</t>
  </si>
  <si>
    <t>BX8129.H8 -- .R9 1977eb</t>
  </si>
  <si>
    <t>338.1/097127</t>
  </si>
  <si>
    <t>Agricultural colonies -- Manitoba.; Hutterian Brethren -- Manitoba.</t>
  </si>
  <si>
    <t>http://public.eblib.com/choice/PublicFullRecord.aspx?p=3332784</t>
  </si>
  <si>
    <t>ISO 9001 Registration for Small and Medium-Sized Software Enterprises</t>
  </si>
  <si>
    <t>Bailetti, Antonio J.; FitzGibbon, Chris</t>
  </si>
  <si>
    <t>QA76.758 -- .B35 1995eb</t>
  </si>
  <si>
    <t>Computer software -- Quality control.; Computer software -- Standards.; Software engineering -- Management.</t>
  </si>
  <si>
    <t>http://public.eblib.com/choice/PublicFullRecord.aspx?p=3332785</t>
  </si>
  <si>
    <t>Aboriginal Peoples and the Law</t>
  </si>
  <si>
    <t>Morse, Bradford</t>
  </si>
  <si>
    <t>KE7709 -- .A26 1989eb</t>
  </si>
  <si>
    <t>Indians of North America -- Legal status, laws, etc. -- Canada -- History.</t>
  </si>
  <si>
    <t>http://public.eblib.com/choice/PublicFullRecord.aspx?p=3332786</t>
  </si>
  <si>
    <t>Ombudsman Plan : Essays on the Worldwide Spread of an Idea</t>
  </si>
  <si>
    <t>Rowat, D.C.</t>
  </si>
  <si>
    <t>JF1525.O45 -- .R68 1973eb</t>
  </si>
  <si>
    <t>350/.91</t>
  </si>
  <si>
    <t>Ombudspersons.</t>
  </si>
  <si>
    <t>http://public.eblib.com/choice/PublicFullRecord.aspx?p=3332787</t>
  </si>
  <si>
    <t>Leading Constitutional Decisions</t>
  </si>
  <si>
    <t>Russell, Peter H.</t>
  </si>
  <si>
    <t>KE4216.35.C66 -- .L43 1987eb</t>
  </si>
  <si>
    <t>http://public.eblib.com/choice/PublicFullRecord.aspx?p=3332788</t>
  </si>
  <si>
    <t>Socialization and Values in Canadian Society : Socialization, Social Stratification and Ethnicity</t>
  </si>
  <si>
    <t>Zureik, Elia</t>
  </si>
  <si>
    <t>HQ799.C2  -- .S6 1978eb</t>
  </si>
  <si>
    <t>301.15/7/0971</t>
  </si>
  <si>
    <t>Minorities -- Canada.; Social values.; Socialization.; Youth -- Canada.</t>
  </si>
  <si>
    <t>http://public.eblib.com/choice/PublicFullRecord.aspx?p=3332789</t>
  </si>
  <si>
    <t>Public Budgeting in Canada : Politics, Economics and Management</t>
  </si>
  <si>
    <t>HJ2054 -- .P83 1991eb</t>
  </si>
  <si>
    <t>Budget -- Canada.; Finance, Public -- Canada.</t>
  </si>
  <si>
    <t>http://public.eblib.com/choice/PublicFullRecord.aspx?p=3332790</t>
  </si>
  <si>
    <t>The Crisis of Quebec, 1914-1918</t>
  </si>
  <si>
    <t>Armstrong, Elizabeth</t>
  </si>
  <si>
    <t>F1027 -- .A74 1974eb</t>
  </si>
  <si>
    <t>Canada -- Nationality.; French-Canadians.; World War, 1914-1918 -- Canada.; World War, 1914-1918 -- Québec (Province)</t>
  </si>
  <si>
    <t>http://public.eblib.com/choice/PublicFullRecord.aspx?p=3332791</t>
  </si>
  <si>
    <t>Canadian-American Industry</t>
  </si>
  <si>
    <t>Marshall, Herbert; Southard, Frank; Taylor, Kenneth W.</t>
  </si>
  <si>
    <t>HD2809 -- .M37 1976eb</t>
  </si>
  <si>
    <t>338.7/097</t>
  </si>
  <si>
    <t>Corporations, American -- Canada.; Corporations, Canadian -- United States.</t>
  </si>
  <si>
    <t>http://public.eblib.com/choice/PublicFullRecord.aspx?p=3332792</t>
  </si>
  <si>
    <t>Socialization and Values in Canadian Society : Political Stabilization</t>
  </si>
  <si>
    <t>HQ799.C2  -- .S6 1975eb</t>
  </si>
  <si>
    <t>http://public.eblib.com/choice/PublicFullRecord.aspx?p=3332793</t>
  </si>
  <si>
    <t>Russian View of Honolulu, 1809-1826</t>
  </si>
  <si>
    <t>Barratt, Glynn</t>
  </si>
  <si>
    <t>HJ7663 -- .B37 1988eb</t>
  </si>
  <si>
    <t>Honolulu (Hawaii) -- History -- Sources.; Honolulu (Hawaii) -- Social life and customs.</t>
  </si>
  <si>
    <t>http://public.eblib.com/choice/PublicFullRecord.aspx?p=3332794</t>
  </si>
  <si>
    <t>How Ottawa Spends, 1988-1989 : The Conservatives Heading into the Stretch</t>
  </si>
  <si>
    <t>HJ7663 -- .G73 1988eb</t>
  </si>
  <si>
    <t>http://public.eblib.com/choice/PublicFullRecord.aspx?p=3332795</t>
  </si>
  <si>
    <t>Canada-Australia : Towards a Second Century of Partnership</t>
  </si>
  <si>
    <t>Burridge, Kate; Foster, Lois; Turcotte, Gerry</t>
  </si>
  <si>
    <t>F1029.5.A97 -- .C36 1997eb</t>
  </si>
  <si>
    <t>327.71094/09/04</t>
  </si>
  <si>
    <t>Australia -- Relations -- Canada -- Congresses.; Canada -- Civilization -- Congresses.; Canada -- Relations -- Australia -- Congresses.</t>
  </si>
  <si>
    <t>http://public.eblib.com/choice/PublicFullRecord.aspx?p=3332796</t>
  </si>
  <si>
    <t>Canadian-American Summit Diplomacy, 1923-1973 : Selected Speeches and Documents</t>
  </si>
  <si>
    <t>Swanson, Roger F.; Swanson, Roger Frank</t>
  </si>
  <si>
    <t>E183.8.C2   -- .C348 1975eb</t>
  </si>
  <si>
    <t>327.73/071</t>
  </si>
  <si>
    <t>Canada -- Foreign relations -- United States -- Sources.; United States -- Foreign relations -- 20th century -- Sources.; United States -- Foreign relations -- Canada -- Sources.</t>
  </si>
  <si>
    <t>http://public.eblib.com/choice/PublicFullRecord.aspx?p=3332797</t>
  </si>
  <si>
    <t>Canadian Foreign Policy, 1966-1976 : Selected Speeches and Documents</t>
  </si>
  <si>
    <t>F1034.2 -- .C326 1980eb</t>
  </si>
  <si>
    <t>http://public.eblib.com/choice/PublicFullRecord.aspx?p=3332798</t>
  </si>
  <si>
    <t>Psychiatry Disrupted : Theorizing Resistance and Crafting the (R)evolution</t>
  </si>
  <si>
    <t>Burstow, Bonnie; LeFrançois, Brenda A.; Diamond, Shaindl</t>
  </si>
  <si>
    <t>RC437.5 -- .P793 2014eb</t>
  </si>
  <si>
    <t>Antipsychiatry.; Psychiatry -- Moral and ethical aspects.; Psychiatry -- Political aspects.; Psychiatry -- Social aspects.</t>
  </si>
  <si>
    <t>http://public.eblib.com/choice/PublicFullRecord.aspx?p=3332799</t>
  </si>
  <si>
    <t>Unforced Flourishing : Understanding Jaan Kaplinski</t>
  </si>
  <si>
    <t>B104 -- .S258 2014eb</t>
  </si>
  <si>
    <t>Kaplinski, Jaan, -- 1941-; Kaplinski, Jaan, -- 1941- -- Criticism and interpretation.; Philosophers -- Europe -- Biography.; Poets, Estonian -- 20th century -- Biography.</t>
  </si>
  <si>
    <t>http://public.eblib.com/choice/PublicFullRecord.aspx?p=3332801</t>
  </si>
  <si>
    <t>Flowers on the Rock : Global and Local Buddhisms in Canada</t>
  </si>
  <si>
    <t>BQ742 -- .F569 2014eb</t>
  </si>
  <si>
    <t>Buddhism -- Canada.</t>
  </si>
  <si>
    <t>http://public.eblib.com/choice/PublicFullRecord.aspx?p=3332802</t>
  </si>
  <si>
    <t>Conflicted Commitments : Race, Privilege, and Power in Solidarity Activism</t>
  </si>
  <si>
    <t>Mahrouse, Gada</t>
  </si>
  <si>
    <t>HM126 -- .M347 2014eb</t>
  </si>
  <si>
    <t>302/.14</t>
  </si>
  <si>
    <t>Humanitarianism -- Political aspects.; Power (Social sciences); Race -- Social aspects.; Race relations.; Social justice -- Political aspects.; Solidarity.</t>
  </si>
  <si>
    <t>http://public.eblib.com/choice/PublicFullRecord.aspx?p=3332803</t>
  </si>
  <si>
    <t>Translation Effects : The Shaping of Modern Canadian Culture</t>
  </si>
  <si>
    <t>Mezei, Kathy; Simon, Sherry; Flotow, Luise von</t>
  </si>
  <si>
    <t>PN241.5.C2 -- .T736 2014eb</t>
  </si>
  <si>
    <t>418/.02097109045</t>
  </si>
  <si>
    <t>Canada -- Civilization -- 1945- -- Case studies.; Translating and interpreting -- Canada -- Canada -- History -- 20th century -- Case studies.; Translating and interpreting -- Canada -- History -- 20th century -- Case studies.; Translating and interpreting -- Canada -- History -- 21st century -- Case studies.; Translating and interpreting -- Social aspects -- Canada -- History -- 21st century -- Case studies.</t>
  </si>
  <si>
    <t>http://public.eblib.com/choice/PublicFullRecord.aspx?p=3332804</t>
  </si>
  <si>
    <t>Lord Lyons : A Diplomat in an Age of Nationalism and War</t>
  </si>
  <si>
    <t>DA46.L9 -- .J465 2014eb</t>
  </si>
  <si>
    <t>Diplomatic and consular service, British -- History -- 19th century.; Diplomats -- Great Britain -- Biography.; Franco-Prussian War, 1870-1871 -- Diplomatic history.; Great Britain -- Foreign relations -- 1837-1901.; Lyons, Richard Bickerton Pemell Lyons, -- Earl, -- 1817-1887.; United States -- Foreign relations -- 1861-1865.</t>
  </si>
  <si>
    <t>http://public.eblib.com/choice/PublicFullRecord.aspx?p=3332805</t>
  </si>
  <si>
    <t>Becoming Holy in Early Canada</t>
  </si>
  <si>
    <t>Pearson, Timothy G.</t>
  </si>
  <si>
    <t>BX4659.C2 -- .P437 2014eb</t>
  </si>
  <si>
    <t>Catholic Church -- Canada -- History.; Christian saints -- Canada -- History.; Christian saints -- Cult -- Canada -- History.; Holiness -- Catholic Church -- History of doctrines.</t>
  </si>
  <si>
    <t>http://public.eblib.com/choice/PublicFullRecord.aspx?p=3332806</t>
  </si>
  <si>
    <t>The Winter Count</t>
  </si>
  <si>
    <t>Leman, Dilys</t>
  </si>
  <si>
    <t>PR6057.U8 -- .L463 2014eb</t>
  </si>
  <si>
    <t>Indigenous peoples -- Canada -- Government relations -- Poetry.; Riel, Louis, -- 1844-1885 -- Poetry.</t>
  </si>
  <si>
    <t>http://public.eblib.com/choice/PublicFullRecord.aspx?p=3332807</t>
  </si>
  <si>
    <t>You're Not Dead Until You're Forgotten : A Memoir</t>
  </si>
  <si>
    <t>Dunning, John; Bill Brownstein</t>
  </si>
  <si>
    <t>PN1998.2 -- .D866 2014eb</t>
  </si>
  <si>
    <t>Dunning, John, -- 1927-2011.; Motion picture producers and directors -- Canada -- Biography.; Screenwriters -- Canada -- Biography.</t>
  </si>
  <si>
    <t>http://public.eblib.com/choice/PublicFullRecord.aspx?p=3332808</t>
  </si>
  <si>
    <t>Thumper : The Memoirs of the Honourable Donald S. Macdonald</t>
  </si>
  <si>
    <t>Macdonald, Donald S.; McQueen, Rod</t>
  </si>
  <si>
    <t>Political Science; Journalism</t>
  </si>
  <si>
    <t>JL27 -- .M333 2014eb</t>
  </si>
  <si>
    <t>Cabinet officers -- Canada -- Biography.; Canada -- Politics and government -- 1963-1984.; Macdonald, Donald S.</t>
  </si>
  <si>
    <t>http://public.eblib.com/choice/PublicFullRecord.aspx?p=3332809</t>
  </si>
  <si>
    <t>Padres in No Man's Land, Second Edition : Canadian Chaplains and the Great War</t>
  </si>
  <si>
    <t>D639.C38 -- .C747 2014eb</t>
  </si>
  <si>
    <t>Military chaplains -- Canada -- Biography.; World War, 1914-1918 -- Chaplains -- Canada -- Biography.</t>
  </si>
  <si>
    <t>http://public.eblib.com/choice/PublicFullRecord.aspx?p=3332810</t>
  </si>
  <si>
    <t>Disunified Aesthetics : Situated Textuality, Performativity, Collaboration</t>
  </si>
  <si>
    <t>Hunter, Lynette</t>
  </si>
  <si>
    <t>PR9189.6 -- .H868 2014eb</t>
  </si>
  <si>
    <t>Canadian literature -- 20th century -- History and criticism -- Theory, etc.; Canadian literature -- 21st century -- History and criticism -- Theory, etc.</t>
  </si>
  <si>
    <t>http://public.eblib.com/choice/PublicFullRecord.aspx?p=3332811</t>
  </si>
  <si>
    <t>Multiculturalism and Religious Identity : Canada and India</t>
  </si>
  <si>
    <t>Sikka, Sonia; Beaman, Lori G.</t>
  </si>
  <si>
    <t>F1035.A1 -- .M858 2014eb</t>
  </si>
  <si>
    <t>Cultural pluralism -- Canada.; Religious pluralism -- Canada.</t>
  </si>
  <si>
    <t>http://public.eblib.com/choice/PublicFullRecord.aspx?p=3332812</t>
  </si>
  <si>
    <t>Our Ice Is Vanishing / Sikuvut Nunguliqtuq : A History of Inuit, Newcomers, and Climate Change</t>
  </si>
  <si>
    <t>Wright, Shelley</t>
  </si>
  <si>
    <t>E99.E7 -- .W754 2014eb</t>
  </si>
  <si>
    <t>Climatic changes -- Social aspects -- Canada, Northern.; Inuit -- Canada -- History.; Sea ice.</t>
  </si>
  <si>
    <t>http://public.eblib.com/choice/PublicFullRecord.aspx?p=3332813</t>
  </si>
  <si>
    <t>Inside the Historical Film</t>
  </si>
  <si>
    <t>Ramirez, Bruno</t>
  </si>
  <si>
    <t>PN1995.9.H5 -- .R365 2014eb</t>
  </si>
  <si>
    <t>Historical films -- History and criticism.; Motion picture producers and directors -- Interviews.; Motion pictures and history.</t>
  </si>
  <si>
    <t>http://public.eblib.com/choice/PublicFullRecord.aspx?p=3332814</t>
  </si>
  <si>
    <t>Cultural Ecology : Readings on the Canadian Indians and Eskimos</t>
  </si>
  <si>
    <t>E78.C2 -- C64 1973eb</t>
  </si>
  <si>
    <t>Human geography -- Canada.</t>
  </si>
  <si>
    <t>http://public.eblib.com/choice/PublicFullRecord.aspx?p=3332815</t>
  </si>
  <si>
    <t>The Permanent Nature of Everything : A Memoir</t>
  </si>
  <si>
    <t>Cowan, Judith</t>
  </si>
  <si>
    <t>PR9189.6 -- .C693 2014eb</t>
  </si>
  <si>
    <t>Authors, Canadian -- 20th century -- Biography.; Cowan, Judith, -- 1954-; Cowan, Judith, -- 1954- -- Childhood and youth.</t>
  </si>
  <si>
    <t>http://public.eblib.com/choice/PublicFullRecord.aspx?p=3332816</t>
  </si>
  <si>
    <t>The Idea of Liberty in Canada during the Age of Atlantic Revolutions, 1776-1838</t>
  </si>
  <si>
    <t>F1032 -- .D834 2014eb</t>
  </si>
  <si>
    <t>Canada -- History -- 18th century.; Canada -- History -- 19th century.; Canada -- Social conditions -- 18th century.</t>
  </si>
  <si>
    <t>http://public.eblib.com/choice/PublicFullRecord.aspx?p=3332817</t>
  </si>
  <si>
    <t>Charlie's First War : South Africa, 1899-1900</t>
  </si>
  <si>
    <t>Tweddell, C. H.; Miller, Carman</t>
  </si>
  <si>
    <t>DT930 -- .T843 2014eb</t>
  </si>
  <si>
    <t>968.048/092</t>
  </si>
  <si>
    <t>South African War, 1899-1902.</t>
  </si>
  <si>
    <t>http://public.eblib.com/choice/PublicFullRecord.aspx?p=3332818</t>
  </si>
  <si>
    <t>Pierre-Esprit Radisson: The Collected Writings</t>
  </si>
  <si>
    <t>F1060 -- .P678 2014eb</t>
  </si>
  <si>
    <t>Hudson''s Bay Company.</t>
  </si>
  <si>
    <t>http://public.eblib.com/choice/PublicFullRecord.aspx?p=3332819</t>
  </si>
  <si>
    <t>Negotiations in a Vacant Lot : Studying the Visual in Canada</t>
  </si>
  <si>
    <t>Jessup, Lynda; Morton, Erin; Robertson, Kirsty</t>
  </si>
  <si>
    <t>F1021.2 -- .N446 2014eb</t>
  </si>
  <si>
    <t>701/.030971</t>
  </si>
  <si>
    <t>Canada -- Cultural policy.</t>
  </si>
  <si>
    <t>http://public.eblib.com/choice/PublicFullRecord.aspx?p=3332820</t>
  </si>
  <si>
    <t>And We Go On : A Memoir of the Great War</t>
  </si>
  <si>
    <t>Bird, Will R.; Williams, David</t>
  </si>
  <si>
    <t>D640 -- .B573 2014eb</t>
  </si>
  <si>
    <t>940.4/8171</t>
  </si>
  <si>
    <t>World War, 1914-1918 -- Personal narratives, Canadia.</t>
  </si>
  <si>
    <t>http://public.eblib.com/choice/PublicFullRecord.aspx?p=3332821</t>
  </si>
  <si>
    <t>Journalism and Political Exclusion : Social Conditions of News Production and Reception</t>
  </si>
  <si>
    <t>Clarke, Debra M.</t>
  </si>
  <si>
    <t>PN4749 -- .C537 2014eb</t>
  </si>
  <si>
    <t>Journalism -- Social aspects.; Mass media -- Social aspects.; News audiences.; Reporters and reporting.</t>
  </si>
  <si>
    <t>http://public.eblib.com/choice/PublicFullRecord.aspx?p=3332822</t>
  </si>
  <si>
    <t>Patrician Families and the Making of Quebec : The Taschereaus and McCords</t>
  </si>
  <si>
    <t>Young, Brian</t>
  </si>
  <si>
    <t>HC117.Q4 -- .Y686 2014eb</t>
  </si>
  <si>
    <t>305.5/209714</t>
  </si>
  <si>
    <t>Québec (Province) -- Economic conditions.; Queébec (Province) -- History.</t>
  </si>
  <si>
    <t>http://public.eblib.com/choice/PublicFullRecord.aspx?p=3332823</t>
  </si>
  <si>
    <t>Sheymes : A Family Album after the Holocaust</t>
  </si>
  <si>
    <t>Wajnberg, Elizabeth</t>
  </si>
  <si>
    <t>D804.3 -- .W356 2014eb</t>
  </si>
  <si>
    <t>971.4/270049240092</t>
  </si>
  <si>
    <t>Children of Holocaust survivors -- Québec (Province) -- Montréal -- Biography.; Daughters -- Québec (Province) -- Montréal -- Biography.; Holocaust survivors -- Québec (Province) -- Montréal -- Biography.; Immigrants -- Québec (Province) -- Montréal -- Biography.; Jews, Polish -- Québec (Province) -- Montréal -- Biography.</t>
  </si>
  <si>
    <t>http://public.eblib.com/choice/PublicFullRecord.aspx?p=3332824</t>
  </si>
  <si>
    <t>The British System of Government and Its Historical Development</t>
  </si>
  <si>
    <t>Taucar, Christopher Edward</t>
  </si>
  <si>
    <t>JN321 -- .T383 2014eb</t>
  </si>
  <si>
    <t>Great Britain -- Politics and government.</t>
  </si>
  <si>
    <t>http://public.eblib.com/choice/PublicFullRecord.aspx?p=3332825</t>
  </si>
  <si>
    <t>Children into Swans : Fairy Tales and the Pagan Imagination</t>
  </si>
  <si>
    <t>Beveridge, Jan</t>
  </si>
  <si>
    <t>GR135 -- .B484 2014eb</t>
  </si>
  <si>
    <t>Fairy tales -- Europe -- Classification.; Fairy tales -- Europe -- History and criticism.</t>
  </si>
  <si>
    <t>http://public.eblib.com/choice/PublicFullRecord.aspx?p=3332826</t>
  </si>
  <si>
    <t>Onward, Dear Boys : A Family Memoir of the Great War</t>
  </si>
  <si>
    <t>Bieler, Philippe</t>
  </si>
  <si>
    <t>CS71.B9318 -- .B545 2014eb</t>
  </si>
  <si>
    <t>Brothers -- Québec (Province) -- Montréal -- Biography.; Buhl family.; Soldiers -- Québec (Province) -- Montréal -- Biography.; World War, 1914-1918 -- Personal narratives, Canadian.; World War, 1914-1918 -- Québec (Province) -- Montréal.</t>
  </si>
  <si>
    <t>http://public.eblib.com/choice/PublicFullRecord.aspx?p=3332827</t>
  </si>
  <si>
    <t>Remaining Loyal : Social Democracy in Quebec and Saskatchewan</t>
  </si>
  <si>
    <t>McGrane, David</t>
  </si>
  <si>
    <t>HX110.Q4 -- .M347 2014eb</t>
  </si>
  <si>
    <t>Socialism -- Québec (Province); Socialism -- Saskatchewan.</t>
  </si>
  <si>
    <t>http://public.eblib.com/choice/PublicFullRecord.aspx?p=3332828</t>
  </si>
  <si>
    <t>Canada in Cities</t>
  </si>
  <si>
    <t>Graham, Katherine A. H.; Caroline  Andrew</t>
  </si>
  <si>
    <t>JS1712.F4 -- .C363 2014eb</t>
  </si>
  <si>
    <t>Cities and towns -- Canada -- Case studies.; Federal-city relations -- Canada -- Case studies.; Municipal government -- Canada -- Case studies.; Urban policy -- Canada -- Case studies.</t>
  </si>
  <si>
    <t>http://public.eblib.com/choice/PublicFullRecord.aspx?p=3332829</t>
  </si>
  <si>
    <t>Trojan-Horse Aid : Seeds of Resistance and Resilience in the Bolivian Highlands and Beyond</t>
  </si>
  <si>
    <t>Walsh, Susan</t>
  </si>
  <si>
    <t>HD1867 -- .W357 2014eb</t>
  </si>
  <si>
    <t>338.1/81098414</t>
  </si>
  <si>
    <t>Agricultural assistance -- Bolivia -- Potosí (Department); Agriculture -- Bolivia -- Potosí (Department); Peasants -- Bolivia -- Potosí (Department); Quechua Indians -- Agriculture -- Bolivia -- Potosí (Department)</t>
  </si>
  <si>
    <t>http://public.eblib.com/choice/PublicFullRecord.aspx?p=3332830</t>
  </si>
  <si>
    <t>Cinephemera : Archives, Ephemeral Cinema, and New Screen Histories in Canada</t>
  </si>
  <si>
    <t>Druick, Zoë; Gerda  Cammaer</t>
  </si>
  <si>
    <t>PN1993.5.C2 -- .C564 2014eb</t>
  </si>
  <si>
    <t>Motion pictures -- Canada -- Archival resources.; Motion pictures -- Canada -- History.</t>
  </si>
  <si>
    <t>http://public.eblib.com/choice/PublicFullRecord.aspx?p=3332831</t>
  </si>
  <si>
    <t>When Green Growth Is Not Enough : Climate Change, Ecological Modernization, and Sufficiency</t>
  </si>
  <si>
    <t>Hayden, Anders</t>
  </si>
  <si>
    <t>HC120.E5 -- .H393 2014eb</t>
  </si>
  <si>
    <t>Economic development -- Environmental aspects -- Canada.; Economic development -- Environmental aspects -- Great Britain.; Economic development -- Political aspects -- Canada.; Economic development -- Political aspects -- Great Britain.</t>
  </si>
  <si>
    <t>http://public.eblib.com/choice/PublicFullRecord.aspx?p=3332832</t>
  </si>
  <si>
    <t>Anthology of Australian Aboriginal Literature</t>
  </si>
  <si>
    <t>Heiss, Anita; Minter, Peter</t>
  </si>
  <si>
    <t>PR9614.5.A94 -- .A584 2014eb</t>
  </si>
  <si>
    <t>820.8/089915</t>
  </si>
  <si>
    <t>Aboriginal Australians -- Literary collections.; Australian literature -- Aboriginal Australian authors.</t>
  </si>
  <si>
    <t>http://public.eblib.com/choice/PublicFullRecord.aspx?p=3332833</t>
  </si>
  <si>
    <t>From White to Yellow : The Japanese in European Racial Thought, 1300-1735</t>
  </si>
  <si>
    <t>Kowner, Rotem</t>
  </si>
  <si>
    <t>D34.J3 -- .K696 2014eb</t>
  </si>
  <si>
    <t>Japan -- Foreign public opinion, European -- History.; Public opinion -- Europe -- History.; Race -- Social aspects -- Europe -- History.</t>
  </si>
  <si>
    <t>http://public.eblib.com/choice/PublicFullRecord.aspx?p=3332834</t>
  </si>
  <si>
    <t>Routines and Orgies : The Life of Peter Cundill, Financial Genius, Philosopher, Philanthropist, and Philanderer</t>
  </si>
  <si>
    <t>HG173.3 -- .R577 2014eb</t>
  </si>
  <si>
    <t>Capitalists and financiers -- Canada -- Biography.; Cundill, Peter, -- 1938-; Philanthropists -- Canada -- Biography.</t>
  </si>
  <si>
    <t>http://public.eblib.com/choice/PublicFullRecord.aspx?p=3332835</t>
  </si>
  <si>
    <t>Asleep at the Switch : The Political Economy of Federal Research and Development Policy since 1960</t>
  </si>
  <si>
    <t>Smardon, Bruce</t>
  </si>
  <si>
    <t>T175 -- .S637 2014eb</t>
  </si>
  <si>
    <t>607.2/7109045</t>
  </si>
  <si>
    <t>Research, Industrial -- Government policy -- Canada -- History -- 20th century.; Technological innovations -- Government policy -- Canada -- History -- 20th century.</t>
  </si>
  <si>
    <t>http://public.eblib.com/choice/PublicFullRecord.aspx?p=3332836</t>
  </si>
  <si>
    <t>How Ottawa Spends, 2014-2015 : The Harper Government - Good to Go?</t>
  </si>
  <si>
    <t>Doern, G. Bruce; Christopher  Stoney</t>
  </si>
  <si>
    <t>HJ7663 -- .H69 2014eb</t>
  </si>
  <si>
    <t>Canada -- Appropriations and expenditures.; Canada -- Politics and government.</t>
  </si>
  <si>
    <t>http://public.eblib.com/choice/PublicFullRecord.aspx?p=3332837</t>
  </si>
  <si>
    <t>Mainstream Growth Economists and Capital Theorists : A Survey</t>
  </si>
  <si>
    <t>Muzhani, Marin</t>
  </si>
  <si>
    <t>HB87 -- .M894 2014eb</t>
  </si>
  <si>
    <t>330.09/04</t>
  </si>
  <si>
    <t>Economics -- History -- 20th century.</t>
  </si>
  <si>
    <t>http://public.eblib.com/choice/PublicFullRecord.aspx?p=3332838</t>
  </si>
  <si>
    <t>Interlinguicity, Internationality, and Shakespeare</t>
  </si>
  <si>
    <t>Saenger, Michael</t>
  </si>
  <si>
    <t>PR2976 -- .I584 2014eb</t>
  </si>
  <si>
    <t>822.3/3</t>
  </si>
  <si>
    <t>Shakespeare, William, -- 1564-1616 -- Criticism and interpretation.</t>
  </si>
  <si>
    <t>http://public.eblib.com/choice/PublicFullRecord.aspx?p=3332839</t>
  </si>
  <si>
    <t>The Development of Postsecondary Education Systems in Canada : A Comparison between British Columbia, Ontario, and Québec, 1980-2010</t>
  </si>
  <si>
    <t>Fisher, Donald; Rubenson, Kjell; Shanahan, Theresa; Trottier, Claude</t>
  </si>
  <si>
    <t>LB2362.C2 -- .D484 2014eb</t>
  </si>
  <si>
    <t>Education, Higher -- Curricula -- British Columbia.; Education, Higher -- Curricula -- Ontario.; Education, Higher -- Curricula -- Québec (Province); Postsecondary education -- Curricula -- British Columbia.; Postsecondary education -- Curricula -- Ontario.; Postsecondary education -- Curricula -- Québec (Province)</t>
  </si>
  <si>
    <t>http://public.eblib.com/choice/PublicFullRecord.aspx?p=3332840</t>
  </si>
  <si>
    <t>The Crisis of Modernity</t>
  </si>
  <si>
    <t>Noce, Augusto Del; Carlo Lancellotti</t>
  </si>
  <si>
    <t>CB425 -- .D456 2014eb</t>
  </si>
  <si>
    <t>Civilization, Modern.; Secularization.</t>
  </si>
  <si>
    <t>http://public.eblib.com/choice/PublicFullRecord.aspx?p=3332841</t>
  </si>
  <si>
    <t>Visibly Canadian : Imaging Collective Identities in the Canadas, 1820-1910</t>
  </si>
  <si>
    <t>Stanworth, Karen</t>
  </si>
  <si>
    <t>F1052 -- .S736 2014eb</t>
  </si>
  <si>
    <t>701/.030971309034</t>
  </si>
  <si>
    <t>Art and society -- Ontario -- History -- 19th century.; Art and society -- Québec (Province) -- History -- 19th century.; Popular culture -- Ontario -- History -- 19th century.; Popular culture -- Québec (Province) -- History -- 19th century.</t>
  </si>
  <si>
    <t>http://public.eblib.com/choice/PublicFullRecord.aspx?p=3332842</t>
  </si>
  <si>
    <t>Maps and Memes : Redrawing Culture, Place, and Identity in Indigenous Communities</t>
  </si>
  <si>
    <t>Eades, Gwilym Lucas</t>
  </si>
  <si>
    <t>E78.C2 -- .E234 2015eb</t>
  </si>
  <si>
    <t>Indian cartography -- Canada -- Social aspects.; Indians of North America -- Canada -- History.; Indigenous peoples -- Canada -- Ethnic identity.</t>
  </si>
  <si>
    <t>http://public.eblib.com/choice/PublicFullRecord.aspx?p=3332843</t>
  </si>
  <si>
    <t>Blockades or Breakthroughs? : Aboriginal Peoples Confront the Canadian State</t>
  </si>
  <si>
    <t>Belanger, Yale D.; Lackenbauer, P. Whitney</t>
  </si>
  <si>
    <t>E92 -- .B563 2014eb</t>
  </si>
  <si>
    <t>323.1197/071</t>
  </si>
  <si>
    <t>Indians of North America -- Canada -- Government relations.; Indigenous peoples -- Legal status, laws, etc. -- Canada.</t>
  </si>
  <si>
    <t>http://public.eblib.com/choice/PublicFullRecord.aspx?p=3332844</t>
  </si>
  <si>
    <t>To Build a Shadowy Isle of Bliss : William Morris's Radicalism and the Embodiment of Dreams</t>
  </si>
  <si>
    <t>Weinroth, Michelle; Browne, Paul Leduc</t>
  </si>
  <si>
    <t>PR5087.P6 -- .T63 2015eb</t>
  </si>
  <si>
    <t>303.48/4094109034</t>
  </si>
  <si>
    <t>Morris, William, -- 1834-1896 -- Aesthetics.; Morris, William, -- 1834-1896 -- Political and social views.; Radicalism -- Great Britain -- History -- 19th century.; Social change -- Great Britain -- History -- 20th century.</t>
  </si>
  <si>
    <t>http://public.eblib.com/choice/PublicFullRecord.aspx?p=3332845</t>
  </si>
  <si>
    <t>Leading Research Universities in a Competitive World</t>
  </si>
  <si>
    <t>Lacroix, Robert; Maheu, Louis; Klassen, Paul</t>
  </si>
  <si>
    <t>LB2331.62 -- .L337 2015eb</t>
  </si>
  <si>
    <t>Education and globalization.; Universities and colleges -- Finance.; Universities and colleges -- Ratings and rankings.; Universities and colleges -- Research.</t>
  </si>
  <si>
    <t>http://public.eblib.com/choice/PublicFullRecord.aspx?p=3332846</t>
  </si>
  <si>
    <t>Bodily Subjects : Essays on Gender and Health, 1800-2000</t>
  </si>
  <si>
    <t>McGill-Queen's/Associated Medical Services Studies in the History of Medicine, H</t>
  </si>
  <si>
    <t>Light, Tracy Penny; Brookes, Barbara; Mitchinson, Wendy</t>
  </si>
  <si>
    <t>RA564.85 -- .B63 2014eb</t>
  </si>
  <si>
    <t>613/.0424</t>
  </si>
  <si>
    <t>Femininity -- Health aspects -- History.; Health -- Sex differences -- History.; Masculinity -- Health aspects -- History.; Men -- Health and hygiene -- History.; Women -- Health and hygiene -- History.</t>
  </si>
  <si>
    <t>http://public.eblib.com/choice/PublicFullRecord.aspx?p=3332847</t>
  </si>
  <si>
    <t>Unified Fields : Science and Literary Form</t>
  </si>
  <si>
    <t>Rogers, Janine</t>
  </si>
  <si>
    <t>PN55 -- .R64 2014eb</t>
  </si>
  <si>
    <t>809/.9336</t>
  </si>
  <si>
    <t>American literature -- 20th century -- History and criticism.; Canadian literature -- 20th century -- History and criticism.; English literature -- 20th century -- History and criticism.; Literary form.; Science in literature.</t>
  </si>
  <si>
    <t>http://public.eblib.com/choice/PublicFullRecord.aspx?p=3332848</t>
  </si>
  <si>
    <t>Canadian Counselling and Counselling Psychology in the 21st Century</t>
  </si>
  <si>
    <t>Sinacore, Ada L.; Ginsberg, Freda</t>
  </si>
  <si>
    <t>BF637.C6 -- .C363 2015eb</t>
  </si>
  <si>
    <t>Counseling psychology.; Counseling.</t>
  </si>
  <si>
    <t>http://public.eblib.com/choice/PublicFullRecord.aspx?p=3332849</t>
  </si>
  <si>
    <t>Des sociétés distinctes : Gouverner les banlieues bourgeoises de Montréal, 1880-1939</t>
  </si>
  <si>
    <t>Bérubé, Harold</t>
  </si>
  <si>
    <t>JS1708 -- .B78 2014eb</t>
  </si>
  <si>
    <t>Municipal government -- Canada.</t>
  </si>
  <si>
    <t>http://public.eblib.com/choice/PublicFullRecord.aspx?p=3332850</t>
  </si>
  <si>
    <t>Tablature</t>
  </si>
  <si>
    <t>Whiteman, Bruce</t>
  </si>
  <si>
    <t>PS586.3 -- .W458 2015eb</t>
  </si>
  <si>
    <t>Children''s poetry, American.; Love poetry, American.</t>
  </si>
  <si>
    <t>http://public.eblib.com/choice/PublicFullRecord.aspx?p=3332851</t>
  </si>
  <si>
    <t>Trio</t>
  </si>
  <si>
    <t>Tolmie, Sarah</t>
  </si>
  <si>
    <t>PR9190.9.L68 -- .T656 2015eb</t>
  </si>
  <si>
    <t>Love poetry, Canadian -- History and criticism.</t>
  </si>
  <si>
    <t>http://public.eblib.com/choice/PublicFullRecord.aspx?p=3332852</t>
  </si>
  <si>
    <t>Seeking Our Eden : The Dreams and Migrations of Sarah Jameson Craig</t>
  </si>
  <si>
    <t>Findon, Joanne</t>
  </si>
  <si>
    <t>HQ1455.A3 -- .F563 2015eb</t>
  </si>
  <si>
    <t>Authors, Canadian (English) -- 19th century -- Biography.; Craig, Sarah Jameson, -- 1840-1919.; Feminists -- Canada -- Biography.</t>
  </si>
  <si>
    <t>http://public.eblib.com/choice/PublicFullRecord.aspx?p=3332853</t>
  </si>
  <si>
    <t>Unravelling the Franklin Mystery : Inuit Testimony</t>
  </si>
  <si>
    <t>G660 -- .W66 2015eb</t>
  </si>
  <si>
    <t>Arctic regions -- Discovery and exploration -- British.; Franklin, John, -- 1786-1847.; Northwest Passage -- Discovery and exploration -- British.</t>
  </si>
  <si>
    <t>http://public.eblib.com/choice/PublicFullRecord.aspx?p=3332854</t>
  </si>
  <si>
    <t>The Canny Scot : Archbishop James Morrison of Antigonish</t>
  </si>
  <si>
    <t>Ludlow, Peter</t>
  </si>
  <si>
    <t>BV2810 -- .L83 2015eb</t>
  </si>
  <si>
    <t>Bishops -- Nova Scotia Region -- Antigonish -- Biography.; Catholic Church -- Canada.; Catholic Church -- Nova Scotia -- Antigonish Region -- Bishops -- Biography.; Morrison, James, -- 1861-1950.</t>
  </si>
  <si>
    <t>http://public.eblib.com/choice/PublicFullRecord.aspx?p=3332855</t>
  </si>
  <si>
    <t>Turkey and the Armenian Ghost : On the Trail of the Genocide</t>
  </si>
  <si>
    <t>Marchand, Laure; Perrier, Guillaume; Blythe, Debbie</t>
  </si>
  <si>
    <t>DS195 -- .M37 2015eb</t>
  </si>
  <si>
    <t>Armenian massacres, 1915-1923 -- Historiography.; Armenian massacres, 1915-1923.; Armenians -- Turkey -- History.</t>
  </si>
  <si>
    <t>http://public.eblib.com/choice/PublicFullRecord.aspx?p=3332856</t>
  </si>
  <si>
    <t>Masters and Students : Jesuit Mission Ethnography in Seventeenth-Century New France</t>
  </si>
  <si>
    <t>True, Micah</t>
  </si>
  <si>
    <t>F1030.8 -- .G67 2015eb</t>
  </si>
  <si>
    <t>Indians of North America -- Canada -- History -- 17th century.; Indians of North America -- Missions -- Canada -- History -- 17th century.; Jesuits -- Missions -- Canada -- History -- 17th century.</t>
  </si>
  <si>
    <t>http://public.eblib.com/choice/PublicFullRecord.aspx?p=3332857</t>
  </si>
  <si>
    <t>Sexual Enjoyment in British Romanticism : Gender and Psychoanalysis, 1753-1835</t>
  </si>
  <si>
    <t>Sigler, David</t>
  </si>
  <si>
    <t>PR447 -- .S54 2015eb</t>
  </si>
  <si>
    <t>820.9/3538</t>
  </si>
  <si>
    <t>English literature -- 18th century -- History and criticism.; English literature -- 19th century -- History and criticism.; Sex -- Great Britain -- History -- 18th century.</t>
  </si>
  <si>
    <t>http://public.eblib.com/choice/PublicFullRecord.aspx?p=3332858</t>
  </si>
  <si>
    <t>Consumers in the Bush : Shopping in Rural Upper Canada</t>
  </si>
  <si>
    <t>McCalla, Douglas</t>
  </si>
  <si>
    <t>HC79.C6 -- .M333 2015eb</t>
  </si>
  <si>
    <t>381/.10971309034</t>
  </si>
  <si>
    <t>Consumers -- Ontario -- History -- 19th century.; Consumption (Economics) -- Ontario -- History -- 19th century.; General stores -- Ontario -- History -- 19th century.; Shopping -- Ontario -- History -- 19th century.</t>
  </si>
  <si>
    <t>http://public.eblib.com/choice/PublicFullRecord.aspx?p=3332859</t>
  </si>
  <si>
    <t>Dismantling Canada : Stephen Harper's New Conservative Agenda</t>
  </si>
  <si>
    <t>Jeffrey, Brooke</t>
  </si>
  <si>
    <t>F1034.3.H37 -- .J444 2015eb</t>
  </si>
  <si>
    <t>971.07/3</t>
  </si>
  <si>
    <t>Canada -- Politics and government -- 2006-; Conservatism -- Canada.; Conservative Party of Canada.; Harper, Stephen, -- 1959-</t>
  </si>
  <si>
    <t>http://public.eblib.com/choice/PublicFullRecord.aspx?p=3332860</t>
  </si>
  <si>
    <t>Frank Underhill and the Politics of Ideas</t>
  </si>
  <si>
    <t>Dewar, Kenneth C.; Rae, Bob</t>
  </si>
  <si>
    <t>F1034 -- .D493 2015eb</t>
  </si>
  <si>
    <t>971.0072/02</t>
  </si>
  <si>
    <t>Canada -- Politics and government -- 20th century.; Underhill, Frank H. -- (Frank Hawkins), -- 1889-1971 -- Political activity.; Underhill, Frank H. -- (Frank Hawkins), -- 1889-1971 -- Political and social views.; Underhill, Frank H. -- (Frank Hawkins), -- 1889-1971.</t>
  </si>
  <si>
    <t>http://public.eblib.com/choice/PublicFullRecord.aspx?p=3332861</t>
  </si>
  <si>
    <t>Fatal Glamour : The Life of Rupert Brooke</t>
  </si>
  <si>
    <t>Delany, Paul</t>
  </si>
  <si>
    <t>PR6003.R4 -- .D453 2015eb</t>
  </si>
  <si>
    <t>Brooke, Rupert, -- 1887-1915.; Poets, English -- 20th century -- Biography.</t>
  </si>
  <si>
    <t>http://public.eblib.com/choice/PublicFullRecord.aspx?p=3332862</t>
  </si>
  <si>
    <t>Leadership under Fire : The Challenging Role of the Canadian University President</t>
  </si>
  <si>
    <t>LB2341.8.C3 -- .P385 2015eb</t>
  </si>
  <si>
    <t>http://public.eblib.com/choice/PublicFullRecord.aspx?p=3332863</t>
  </si>
  <si>
    <t>Hurrah Revolutionaries : The Polish Canadian Communist Movement, 1918-1948</t>
  </si>
  <si>
    <t>Polec, Patryk</t>
  </si>
  <si>
    <t>F1035.P6 -- .P654 2015eb</t>
  </si>
  <si>
    <t>971.004918/5</t>
  </si>
  <si>
    <t>Communism -- Canada -- History -- 20th century.; Polish people -- Canada -- History.</t>
  </si>
  <si>
    <t>http://public.eblib.com/choice/PublicFullRecord.aspx?p=3332864</t>
  </si>
  <si>
    <t>Building the Nation : N.F.S. Grundtvig and Danish National Identity</t>
  </si>
  <si>
    <t>Hall, John A.; Ove  Korsgaard; Pedersen, Ove K.</t>
  </si>
  <si>
    <t>LC5257.J3 -- .B855 2015eb</t>
  </si>
  <si>
    <t>948.9/04092</t>
  </si>
  <si>
    <t>Denmark -- History.; Denmark -- Politics and government.; Grundtvig, N. F. S. -- (Nicolai Frederik Severin), -- 1783-1872 -- Influence.</t>
  </si>
  <si>
    <t>http://public.eblib.com/choice/PublicFullRecord.aspx?p=3332865</t>
  </si>
  <si>
    <t>McMaster University, Volume 3: 1957-1987</t>
  </si>
  <si>
    <t>Greenlee, James G.</t>
  </si>
  <si>
    <t>LH1.J7 -- .G744 2015eb</t>
  </si>
  <si>
    <t>Education, Higher.; McMaster University.; Thode, Henry George, -- 1910-1997.; Universities and colleges -- History.</t>
  </si>
  <si>
    <t>http://public.eblib.com/choice/PublicFullRecord.aspx?p=3332866</t>
  </si>
  <si>
    <t>Missing Link : The Evolution of Metaphor and the Metaphor of Evolution</t>
  </si>
  <si>
    <t>P301.5.M48 -- .D663 2015eb</t>
  </si>
  <si>
    <t>808/.032</t>
  </si>
  <si>
    <t>Cognitive science.; Evolution (Biology) -- Social aspects.; Literature and science.; Metaphor.; Psycholinguistics.</t>
  </si>
  <si>
    <t>http://public.eblib.com/choice/PublicFullRecord.aspx?p=3332867</t>
  </si>
  <si>
    <t>The Politics of Conflict : Transubstantiatory Violence in Iraq</t>
  </si>
  <si>
    <t>Ingber, Monica</t>
  </si>
  <si>
    <t>DS79.65 -- .D663 2015eb</t>
  </si>
  <si>
    <t>Iraq -- Politics and government.; Political violence -- Iraq.; Social conflict -- Iraq.</t>
  </si>
  <si>
    <t>http://public.eblib.com/choice/PublicFullRecord.aspx?p=3332868</t>
  </si>
  <si>
    <t>Cultiver la différence : Prescription pour une vie réussie</t>
  </si>
  <si>
    <t>Goodman, Morris; Yanofsky, Joel; Buttiens, Michel; Lalande, Marie-Françoise</t>
  </si>
  <si>
    <t>HC117.Q4 -- .G663 2015eb</t>
  </si>
  <si>
    <t>Businesspeople -- Québec (Province) -- Montréal -- Biography.; Goodman, Morris, -- 1931-; Jews -- Québec (Province) -- Montréal -- Biography.; Pharmacists -- Québec (Province) -- Montréal -- Biography.; Philanthropists -- Québec (Province) -- Montréal -- Biography.</t>
  </si>
  <si>
    <t>http://public.eblib.com/choice/PublicFullRecord.aspx?p=3332869</t>
  </si>
  <si>
    <t>Alkibiades' Love : Essays in Philosophy</t>
  </si>
  <si>
    <t>Zwicky, Jan</t>
  </si>
  <si>
    <t>HE401.W45 -- .Z853 2015eb</t>
  </si>
  <si>
    <t>386/.470971338</t>
  </si>
  <si>
    <t>http://public.eblib.com/choice/PublicFullRecord.aspx?p=3332870</t>
  </si>
  <si>
    <t>The Grandmothers' Movement : Solidarity and Survival in the Time of AIDS</t>
  </si>
  <si>
    <t>Chazan, May</t>
  </si>
  <si>
    <t>HQ759 -- .C439 2015eb</t>
  </si>
  <si>
    <t>306.874/5</t>
  </si>
  <si>
    <t>AIDS (Disease) -- South Africa.; Grandmothers -- Canada.; Grandmothers -- South Africa.; Solidarity -- Canada.; Solidarity -- South Africa.</t>
  </si>
  <si>
    <t>http://public.eblib.com/choice/PublicFullRecord.aspx?p=3332871</t>
  </si>
  <si>
    <t>Imprinting Britain : Newspapers, Sociability, and the Shaping of British North America</t>
  </si>
  <si>
    <t>Eamon, Michael</t>
  </si>
  <si>
    <t>PN4731 -- .E266 2015eb</t>
  </si>
  <si>
    <t>071/.1447109033</t>
  </si>
  <si>
    <t>Canadian newspapers (English) -- Nova Scotia -- Halifax -- History -- 18th century.; Canadian newspapers (English) -- Québec (Province) -- Québec -- History -- 18th century.; Colonial cities -- Nova Scotia -- Halifax -- History -- 18th century.; Journalism -- Social aspects -- Nova Scotia -- Halifax -- History -- 18th century.; Journalism -- Social aspects -- Québec (Province) -- Québec -- History -- 18th century.</t>
  </si>
  <si>
    <t>http://public.eblib.com/choice/PublicFullRecord.aspx?p=3332872</t>
  </si>
  <si>
    <t>Nourrir la machine humaine : Nutrition et alimentation au Québec, 1860-1945</t>
  </si>
  <si>
    <t>Durand, Caroline</t>
  </si>
  <si>
    <t>GT2850 -- .D873 2014eb</t>
  </si>
  <si>
    <t>Food -- Social aspects -- Québec (Province); Food habits -- Québec (Province) -- History.</t>
  </si>
  <si>
    <t>http://public.eblib.com/choice/PublicFullRecord.aspx?p=3332873</t>
  </si>
  <si>
    <t>A Complex Fate : William L. Shirer and the American Century</t>
  </si>
  <si>
    <t>Cuthbertson, Ken; Safer, Morley</t>
  </si>
  <si>
    <t>PS3537.H913 -- .C884 2015eb</t>
  </si>
  <si>
    <t>Journalists -- United States -- Biography.; Novelists, American -- 20th century -- Biography.; Shirer, William L. -- (William Lawrence), -- 1904-1993.; War correspondents -- United States -- Biography.</t>
  </si>
  <si>
    <t>http://public.eblib.com/choice/PublicFullRecord.aspx?p=3332874</t>
  </si>
  <si>
    <t>Expelling the Plague : The Health Office and the Implementation of Quarantine in Dubrovnik, 1377-1533</t>
  </si>
  <si>
    <t>Tomic, Zlata Blazina; Blazina, Vesna; Blazina Tomic, Zlata</t>
  </si>
  <si>
    <t>RC172 -- .T665 2015eb</t>
  </si>
  <si>
    <t>362.1969/2320094972</t>
  </si>
  <si>
    <t>Plague -- Croatia -- Dubrovnik -- History.; Public health -- Croatia -- Dubrovnik -- History.; Quarantine -- Croatia -- Dubrovnik -- History.</t>
  </si>
  <si>
    <t>http://public.eblib.com/choice/PublicFullRecord.aspx?p=3332875</t>
  </si>
  <si>
    <t>The Black Atlantic Reconsidered : Black Canadian Writing, Cultural History, and the Presence of the Past</t>
  </si>
  <si>
    <t>Siemerling, Winfried</t>
  </si>
  <si>
    <t>PR9194.4 -- .S546 2015eb</t>
  </si>
  <si>
    <t>810.9/896071</t>
  </si>
  <si>
    <t>Canadian literature -- Black Canadian authors -- History and criticism.; Canadian literature -- History and criticism.</t>
  </si>
  <si>
    <t>http://public.eblib.com/choice/PublicFullRecord.aspx?p=3332876</t>
  </si>
  <si>
    <t>Canada in Sudan, Sudan in Canada : Immigration, Conflict, and Reconstruction</t>
  </si>
  <si>
    <t>Madibbo, Amal</t>
  </si>
  <si>
    <t>DT159.6.D27 -- .C363 2015eb</t>
  </si>
  <si>
    <t>962.404/3</t>
  </si>
  <si>
    <t>Canada -- Emigration and immigration -- Social aspects.; Emigration and immigration -- Social aspects.; Peace-building, Canadian -- Sudan -- Darfur.; Sudan -- Emigration and immigration -- Social aspects.; Sudan -- History -- Darfur Conflict, 2003- -- Causes.</t>
  </si>
  <si>
    <t>http://public.eblib.com/choice/PublicFullRecord.aspx?p=3332877</t>
  </si>
  <si>
    <t>A Culture of Faith : Evangelical Congregations in Canada</t>
  </si>
  <si>
    <t>Reimer, Sam; Wilkinson, Michael</t>
  </si>
  <si>
    <t>BR1642.C2 -- .R456 2015eb</t>
  </si>
  <si>
    <t>277.108/3</t>
  </si>
  <si>
    <t>Evangelicalism -- Canada.; Religious gatherings -- Canada.; Religious gatherings -- Christianity.</t>
  </si>
  <si>
    <t>http://public.eblib.com/choice/PublicFullRecord.aspx?p=3332878</t>
  </si>
  <si>
    <t>Central Works of Philosophy, Volume 4 : The Twentieth Century: Moore to Popper</t>
  </si>
  <si>
    <t>B29 -- .C468 2006eb</t>
  </si>
  <si>
    <t>Philosophy -- Introductions.; Shand, John, -- 1956-</t>
  </si>
  <si>
    <t>http://public.eblib.com/choice/PublicFullRecord.aspx?p=3332879</t>
  </si>
  <si>
    <t>Empire and Ireland : The Transatlantic Career of the Canadian Imperialist Hamar Greenwood, 1870–1948</t>
  </si>
  <si>
    <t>DA566.9.G74 -- M33 2015eb</t>
  </si>
  <si>
    <t>Cabinet officers -- Great Britain -- Biography.; Great Britain -- Politics and government -- 1901-1936.; Greenwood, Hamar Greenwood, -- Viscount, -- 1870-1948.; Ireland -- Politics and government -- 1910-1921.</t>
  </si>
  <si>
    <t>http://public.eblib.com/choice/PublicFullRecord.aspx?p=3332880</t>
  </si>
  <si>
    <t>Projets inachevés, Volume 1 : La lancée, 1911-1936</t>
  </si>
  <si>
    <t>Editions MultiMondes</t>
  </si>
  <si>
    <t>Dansereau, Pierre</t>
  </si>
  <si>
    <t>QH31.D18 -- A3 2005eb</t>
  </si>
  <si>
    <t>Dansereau, Pierre, -- 1911-2011.; Ecologists -- Québec (Province) -- Biography.</t>
  </si>
  <si>
    <t>http://public.eblib.com/choice/PublicFullRecord.aspx?p=3374876</t>
  </si>
  <si>
    <t>Le musée à la rencontre de ses visiteurs/The museum meet there visitors</t>
  </si>
  <si>
    <t>Landry, Anik</t>
  </si>
  <si>
    <t>Museums</t>
  </si>
  <si>
    <t>AM7 -- .M78 2003eb</t>
  </si>
  <si>
    <t>069/.1</t>
  </si>
  <si>
    <t>Museum attendance -- Congresses.; Museum exhibits -- Congresses.; Museum visitors -- Congresses.; Museums -- Educational aspects -- Congresses.; Museums -- Technological innovations -- Congresses.; Museums and schools -- Congresses.</t>
  </si>
  <si>
    <t>http://public.eblib.com/choice/PublicFullRecord.aspx?p=3374877</t>
  </si>
  <si>
    <t>Une visite au Jardin Roger-Van den Hende : un parcours de l’évolution des végétaux</t>
  </si>
  <si>
    <t>Tardif, Joanne</t>
  </si>
  <si>
    <t>QK73.C22 -- J37 2003eb</t>
  </si>
  <si>
    <t>Botanical gardens -- Québec (Province) -- Québec.; Plants -- Evolution.</t>
  </si>
  <si>
    <t>http://public.eblib.com/choice/PublicFullRecord.aspx?p=3374878</t>
  </si>
  <si>
    <t>La démocratie, je l’apprends!</t>
  </si>
  <si>
    <t>Laplante, Laurent</t>
  </si>
  <si>
    <t>JC423 -- .L37 2000eb</t>
  </si>
  <si>
    <t>Democracy -- Juvenile literature.</t>
  </si>
  <si>
    <t>http://public.eblib.com/choice/PublicFullRecord.aspx?p=3374879</t>
  </si>
  <si>
    <t>La technologie : une culture, des pratiques et des acteurs</t>
  </si>
  <si>
    <t>Crescent, René</t>
  </si>
  <si>
    <t>T14.5 -- .C74 2004eb</t>
  </si>
  <si>
    <t>Research, Industrial.; Technology -- Social aspects.; Technology and civilization.</t>
  </si>
  <si>
    <t>http://public.eblib.com/choice/PublicFullRecord.aspx?p=3374880</t>
  </si>
  <si>
    <t>Le défi des quotidiens gratuits</t>
  </si>
  <si>
    <t>Hirtzmann, Ludovic</t>
  </si>
  <si>
    <t>PN4784.F74 -- H57 2004eb</t>
  </si>
  <si>
    <t>Free circulation newspapers and periodicals.</t>
  </si>
  <si>
    <t>http://public.eblib.com/choice/PublicFullRecord.aspx?p=3374881</t>
  </si>
  <si>
    <t>Immigration, colonisation et propagande : du rêve américain au rêve colonial</t>
  </si>
  <si>
    <t>Courville, Serge</t>
  </si>
  <si>
    <t>JV6021 -- .C68 2002eb</t>
  </si>
  <si>
    <t>Colonization -- History.; Emigration and immigration -- History.; Great Britain -- Emigration and immigration -- History.; Propaganda -- History.; Québec (Province) -- Emigration and immigration -- History.; United States -- Emigration and immigration -- History.</t>
  </si>
  <si>
    <t>http://public.eblib.com/choice/PublicFullRecord.aspx?p=3374882</t>
  </si>
  <si>
    <t>Children and Youth</t>
  </si>
  <si>
    <t>National Forum on Health</t>
  </si>
  <si>
    <t>RA449 -- .D484 1998eb</t>
  </si>
  <si>
    <t>Adulthood -- Health and hygiene -- Canada.; Children -- Health and hygiene -- Canada.; Medicine, Preventive -- Canada.; Public health -- Canada.</t>
  </si>
  <si>
    <t>http://public.eblib.com/choice/PublicFullRecord.aspx?p=3374883</t>
  </si>
  <si>
    <t>Guillaume et la météorite</t>
  </si>
  <si>
    <t>Thibaudeau, Carole</t>
  </si>
  <si>
    <t>PQ3919.3.T45 -- G85 2003eb</t>
  </si>
  <si>
    <t>Meteorites -- Juvenile fiction.</t>
  </si>
  <si>
    <t>http://public.eblib.com/choice/PublicFullRecord.aspx?p=3374884</t>
  </si>
  <si>
    <t>La santé au dessert</t>
  </si>
  <si>
    <t>Girol, Didier</t>
  </si>
  <si>
    <t>TX773 -- .G57 2000eb</t>
  </si>
  <si>
    <t>Desserts -- Health aspects.</t>
  </si>
  <si>
    <t>http://public.eblib.com/choice/PublicFullRecord.aspx?p=3374885</t>
  </si>
  <si>
    <t>La démocratie, je la reconnais!</t>
  </si>
  <si>
    <t>JC423 -- .L37 1998eb</t>
  </si>
  <si>
    <t>http://public.eblib.com/choice/PublicFullRecord.aspx?p=3374886</t>
  </si>
  <si>
    <t>Par-delà l’école-machine</t>
  </si>
  <si>
    <t>Chevrier, Marc</t>
  </si>
  <si>
    <t>LB2822.84.C2 -- P37 2010eb</t>
  </si>
  <si>
    <t>Curriculum change -- Québec (Province); Education -- Québec (Province); Educational change -- Québec (Province)</t>
  </si>
  <si>
    <t>http://public.eblib.com/choice/PublicFullRecord.aspx?p=3374887</t>
  </si>
  <si>
    <t>Les lésions attribuables au travail répétitif (LATR)</t>
  </si>
  <si>
    <t>Kuorinka, Ilkka</t>
  </si>
  <si>
    <t>RC925.5 -- .L47 1995eb</t>
  </si>
  <si>
    <t>Musculoskeletal system -- Diseases -- Etiology.; Musculoskeletal system -- Diseases -- Prevention.; Occupational diseases -- Prevention.</t>
  </si>
  <si>
    <t>http://public.eblib.com/choice/PublicFullRecord.aspx?p=3374888</t>
  </si>
  <si>
    <t>Newfoundland Gothic</t>
  </si>
  <si>
    <t>Coffman, Peter</t>
  </si>
  <si>
    <t>BX5640.F5 -- .C644 2008eb</t>
  </si>
  <si>
    <t>Church of England -- Newfoundland and Labrador -- History -- 19th century.; Feild, Edward, -- 1801-1876.; Gothic revival (Architecture) -- Newfoundland and Labrador.; Religious architecture -- Newfoundland and Labrador -- History -- 19th century.</t>
  </si>
  <si>
    <t>http://public.eblib.com/choice/PublicFullRecord.aspx?p=3374889</t>
  </si>
  <si>
    <t>Paysages construits : mémoire, identité, idéologies</t>
  </si>
  <si>
    <t>Broudehoux, Anne-Marie</t>
  </si>
  <si>
    <t>CC135 -- .P39 2006eb</t>
  </si>
  <si>
    <t>363.6/9</t>
  </si>
  <si>
    <t>Collective memory -- Congresses.; Cultural property -- Social aspects -- Congresses.; Group identity -- Congresses.; Historic sites -- Congresses.; Ideology -- Social aspects -- Congresses.</t>
  </si>
  <si>
    <t>http://public.eblib.com/choice/PublicFullRecord.aspx?p=3374890</t>
  </si>
  <si>
    <t>Vilain petit canard</t>
  </si>
  <si>
    <t>Smith, Rick</t>
  </si>
  <si>
    <t>RA1226 -- .S65 2010eb</t>
  </si>
  <si>
    <t>Environmental toxicology -- Popular works.; Industries -- Environmental aspects.; Pollution -- Environmental aspects.; Pollution -- Government policy.; Pollution -- Sanitation.</t>
  </si>
  <si>
    <t>http://public.eblib.com/choice/PublicFullRecord.aspx?p=3374891</t>
  </si>
  <si>
    <t>Sculpter des grandes baleines : guide de sculpture sur bois</t>
  </si>
  <si>
    <t>Cloutier, Réal</t>
  </si>
  <si>
    <t>TT199.7 -- .C56 2007eb</t>
  </si>
  <si>
    <t>Animal sculpture.; Whales in art.; Wood-carving -- Models.; Wood-carving -- Technique.</t>
  </si>
  <si>
    <t>http://public.eblib.com/choice/PublicFullRecord.aspx?p=3374892</t>
  </si>
  <si>
    <t>Physiologie des reins et des liquides corporels, 2e édition</t>
  </si>
  <si>
    <t>Gougoux, André</t>
  </si>
  <si>
    <t>QP249 -- .G68 2009eb</t>
  </si>
  <si>
    <t>Biological control systems.; Homeostasis.; Kidneys -- Physiology.</t>
  </si>
  <si>
    <t>http://public.eblib.com/choice/PublicFullRecord.aspx?p=3374893</t>
  </si>
  <si>
    <t>Volcans et crème glacée à l'italienne, s'il vous plaît! : les chroniques volcaniques de Vicki Volka</t>
  </si>
  <si>
    <t>Gaonac'h, Hélène</t>
  </si>
  <si>
    <t>PQ3919.2.G36 -- V65 2005eb</t>
  </si>
  <si>
    <t>Volcanoes -- Fiction.</t>
  </si>
  <si>
    <t>http://public.eblib.com/choice/PublicFullRecord.aspx?p=3374894</t>
  </si>
  <si>
    <t>L’histoire et moi</t>
  </si>
  <si>
    <t>Ségal, André</t>
  </si>
  <si>
    <t>D16.8 -- .S424 2012eb</t>
  </si>
  <si>
    <t>History -- Philosophy.; History -- Social aspects.; Ségal, André.</t>
  </si>
  <si>
    <t>http://public.eblib.com/choice/PublicFullRecord.aspx?p=3374895</t>
  </si>
  <si>
    <t>Planète Coeur</t>
  </si>
  <si>
    <t>Reeves, François</t>
  </si>
  <si>
    <t>RA450.5 -- .R44 2011eb</t>
  </si>
  <si>
    <t>Cardiovascular system -- Diseases -- Environmental aspects.; Heart -- Diseases -- Environmental aspects.; Public health -- Environmental aspects.</t>
  </si>
  <si>
    <t>http://public.eblib.com/choice/PublicFullRecord.aspx?p=3374896</t>
  </si>
  <si>
    <t>Guide de la vie marine des rivages du Québec et des Maritimes</t>
  </si>
  <si>
    <t>Simard, Geneviève</t>
  </si>
  <si>
    <t>QH106.2.Q3 -- S56 2012eb</t>
  </si>
  <si>
    <t>Seashore animals -- Identification.; Seashore biology -- Maritime Provinces.; Seashore biology -- Québec (Province); Seashore plants -- Identification.</t>
  </si>
  <si>
    <t>http://public.eblib.com/choice/PublicFullRecord.aspx?p=3374897</t>
  </si>
  <si>
    <t>Les meilleurs blogues de science en français – Sélection 2013</t>
  </si>
  <si>
    <t>Lapointe, Pascal</t>
  </si>
  <si>
    <t>Q225 -- .M45 2013eb</t>
  </si>
  <si>
    <t>Science -- Blogs.</t>
  </si>
  <si>
    <t>http://public.eblib.com/choice/PublicFullRecord.aspx?p=3374898</t>
  </si>
  <si>
    <t>Les pratiques de lecture des adolescents québécois</t>
  </si>
  <si>
    <t>Lebrun, Monique</t>
  </si>
  <si>
    <t>Z1037.2 -- .P73 2004eb</t>
  </si>
  <si>
    <t>028.5/5/09714</t>
  </si>
  <si>
    <t>Readership surveys -- Québec (Province); Teenagers -- Books and reading -- Québec (Province); Youth, French-Canadian -- Books and reading.</t>
  </si>
  <si>
    <t>http://public.eblib.com/choice/PublicFullRecord.aspx?p=3374899</t>
  </si>
  <si>
    <t>Cuisiner sans maman avec les P’tits cuistots</t>
  </si>
  <si>
    <t>Girol, Dider</t>
  </si>
  <si>
    <t>TX652.5 -- .G57 2003eb</t>
  </si>
  <si>
    <t>Cooking -- Juvenile literature.</t>
  </si>
  <si>
    <t>http://public.eblib.com/choice/PublicFullRecord.aspx?p=3374900</t>
  </si>
  <si>
    <t>Au-delà des apparences : la dimension scientifique de la vie quotidienne</t>
  </si>
  <si>
    <t>Pepin, Raynald</t>
  </si>
  <si>
    <t>Q162 -- .P47 2001eb</t>
  </si>
  <si>
    <t>Science -- Popular works.; Technology -- Popular works.</t>
  </si>
  <si>
    <t>http://public.eblib.com/choice/PublicFullRecord.aspx?p=3374901</t>
  </si>
  <si>
    <t>100 ans de médecine francophone : histoire de l’Association des médecins de langue française du Canada</t>
  </si>
  <si>
    <t>Grenier, Guy</t>
  </si>
  <si>
    <t>R27.F7 -- G74 2002eb</t>
  </si>
  <si>
    <t>Association des médecins de langue française du Canada -- History.; Medicine -- Canada -- History.; Medicine -- Practice -- Canada -- History.; Social medicine -- Canada -- History.</t>
  </si>
  <si>
    <t>http://public.eblib.com/choice/PublicFullRecord.aspx?p=3374902</t>
  </si>
  <si>
    <t>Vive la pige ! : guide pour les journalistes indépendants</t>
  </si>
  <si>
    <t>PN4784.F76 -- H57 2004eb</t>
  </si>
  <si>
    <t>Freelance journalism.; Journalism -- Québec (Province) -- Directories.</t>
  </si>
  <si>
    <t>http://public.eblib.com/choice/PublicFullRecord.aspx?p=3374903</t>
  </si>
  <si>
    <t>Du Big Bang au Village planétaire</t>
  </si>
  <si>
    <t>Robert, Jacques</t>
  </si>
  <si>
    <t>QB981 -- .R58 2004eb</t>
  </si>
  <si>
    <t>523.1/2</t>
  </si>
  <si>
    <t>Big bang theory.; Cosmogony.; Cosmology.; Evolution (Biology); Human beings -- Origin.; Internationalism.</t>
  </si>
  <si>
    <t>http://public.eblib.com/choice/PublicFullRecord.aspx?p=3374904</t>
  </si>
  <si>
    <t>Les adultes et les personnes âgées</t>
  </si>
  <si>
    <t>Forum national sur la santé</t>
  </si>
  <si>
    <t>RA449 -- .D48 1998eb</t>
  </si>
  <si>
    <t>Adulthood -- Health and hygiene -- Canada.; Medicine, Preventive -- Canada.; Older people -- Health and hygiene -- Canada.; Public health -- Canada.</t>
  </si>
  <si>
    <t>http://public.eblib.com/choice/PublicFullRecord.aspx?p=3374905</t>
  </si>
  <si>
    <t>Quel avenir pour la recherche?</t>
  </si>
  <si>
    <t>Lafrance, Gaétan</t>
  </si>
  <si>
    <t>Q180.C2 -- L33 2009eb</t>
  </si>
  <si>
    <t>507/.20714</t>
  </si>
  <si>
    <t>College teaching -- Québec (Province); Engineering -- Research -- Québec (Province); Research -- Canada.; Research -- Québec (Province); Universities and colleges -- Research -- Québec (Province)</t>
  </si>
  <si>
    <t>http://public.eblib.com/choice/PublicFullRecord.aspx?p=3374906</t>
  </si>
  <si>
    <t>La Caisse populaire de Lévis 1900-2000 : là où tout a commencé</t>
  </si>
  <si>
    <t>Bélanger, Guy</t>
  </si>
  <si>
    <t>HG2039.C2 -- B45 2000eb</t>
  </si>
  <si>
    <t>Caisse populaire de Lévis -- History.; Cooperative societies -- Québec (Province) -- Lévis -- History.; Credit unions -- Québec (Province) -- Lévis -- History.; Desjardins, Alphonse, -- 1854-1920.</t>
  </si>
  <si>
    <t>http://public.eblib.com/choice/PublicFullRecord.aspx?p=3374907</t>
  </si>
  <si>
    <t>Québec de roc et de pierres : la capitale en architecture</t>
  </si>
  <si>
    <t>Noppen, Luc</t>
  </si>
  <si>
    <t>NA747.Q4 -- N65 1998eb</t>
  </si>
  <si>
    <t>Architecture -- Québec (Province) -- Québec -- History.; Québec (Québec) -- Buildings, structures, etc.</t>
  </si>
  <si>
    <t>http://public.eblib.com/choice/PublicFullRecord.aspx?p=3374908</t>
  </si>
  <si>
    <t>L’intervention en ergonomie</t>
  </si>
  <si>
    <t>St-Vincent, Marie</t>
  </si>
  <si>
    <t>Engineering: Civil; Engineering</t>
  </si>
  <si>
    <t>TA166 -- .S78 2011eb</t>
  </si>
  <si>
    <t>Human engineering -- Practice.; Occupational diseases -- Prevention.</t>
  </si>
  <si>
    <t>http://public.eblib.com/choice/PublicFullRecord.aspx?p=3374909</t>
  </si>
  <si>
    <t>Par marée descendante : Échos d'un vieillissement</t>
  </si>
  <si>
    <t>RC451.4.A4 -- L37 2009eb</t>
  </si>
  <si>
    <t>Aging -- Québec (Province); Older people -- Mental health -- Québec (Province)</t>
  </si>
  <si>
    <t>http://public.eblib.com/choice/PublicFullRecord.aspx?p=3374910</t>
  </si>
  <si>
    <t>Objectif Mars</t>
  </si>
  <si>
    <t>Urbain, Jean-Pierre</t>
  </si>
  <si>
    <t>Science; Science: Astronomy</t>
  </si>
  <si>
    <t>QB641 -- .U73 2008eb</t>
  </si>
  <si>
    <t>Mars (Planet) -- Exploration -- Juvenile literature.; Outer space -- Exploration -- Juvenile literature.</t>
  </si>
  <si>
    <t>http://public.eblib.com/choice/PublicFullRecord.aspx?p=3374911</t>
  </si>
  <si>
    <t>Patrimoine et patrimonialisation : du Québec et d’ailleurs</t>
  </si>
  <si>
    <t>Drouin, Martin</t>
  </si>
  <si>
    <t>F1052.8 -- .P38 2006eb</t>
  </si>
  <si>
    <t>Cultural property -- Congresses.; Cultural property -- Protection -- Congresses.; Cultural property -- Protection -- Québec (Province) -- Congresses.; Québec (Province) -- Cultural policy -- Congresses.</t>
  </si>
  <si>
    <t>http://public.eblib.com/choice/PublicFullRecord.aspx?p=3374912</t>
  </si>
  <si>
    <t>Patience dans l’obscur</t>
  </si>
  <si>
    <t>Very, Jacques</t>
  </si>
  <si>
    <t>RG524 -- .V47 2007eb</t>
  </si>
  <si>
    <t>Pregnancy.; Pregnant women -- Pictorial works.</t>
  </si>
  <si>
    <t>http://public.eblib.com/choice/PublicFullRecord.aspx?p=3374913</t>
  </si>
  <si>
    <t>Regards multiples sur l’enseignement des sciences</t>
  </si>
  <si>
    <t>Potvin, Patrice</t>
  </si>
  <si>
    <t>Q181 -- .R44 2007eb</t>
  </si>
  <si>
    <t>Science -- Study and teaching.</t>
  </si>
  <si>
    <t>http://public.eblib.com/choice/PublicFullRecord.aspx?p=3374914</t>
  </si>
  <si>
    <t>Être superficiel, c'est aussi être profond</t>
  </si>
  <si>
    <t>Maltais, Marcel</t>
  </si>
  <si>
    <t>BD435 -- .M35 2006eb</t>
  </si>
  <si>
    <t>Creative ability.; Life.; Social values.; Values.</t>
  </si>
  <si>
    <t>http://public.eblib.com/choice/PublicFullRecord.aspx?p=3374915</t>
  </si>
  <si>
    <t>Guide de l’eau au jardin</t>
  </si>
  <si>
    <t>Michaud, Lili</t>
  </si>
  <si>
    <t>SB475.8 -- .M53 2011eb</t>
  </si>
  <si>
    <t>Landscape gardening -- Water-supply.; Water demand management.; Water efficiency.</t>
  </si>
  <si>
    <t>http://public.eblib.com/choice/PublicFullRecord.aspx?p=3374916</t>
  </si>
  <si>
    <t>Sur la route de l’électricité, Volume 1 : Le magnétisme des aimants et l'électricité statique</t>
  </si>
  <si>
    <t>Langlois, Pierre</t>
  </si>
  <si>
    <t>QC533 -- .L36 2005eb</t>
  </si>
  <si>
    <t>Electrostatics -- Experiments.; Magnetism -- Experiments.</t>
  </si>
  <si>
    <t>http://public.eblib.com/choice/PublicFullRecord.aspx?p=3374917</t>
  </si>
  <si>
    <t>Le défi des ressources minières</t>
  </si>
  <si>
    <t>Mousseau, Normand</t>
  </si>
  <si>
    <t>Engineering; Engineering: Mining</t>
  </si>
  <si>
    <t>TN27.Q3 -- M68 2012eb</t>
  </si>
  <si>
    <t>Mineral industries -- Québec (Province); Mines and mineral resources -- Environmental aspects -- Québec (Province); Mines and mineral resources -- Québec (Province); Natural resources -- Management -- Québec (Province)</t>
  </si>
  <si>
    <t>http://public.eblib.com/choice/PublicFullRecord.aspx?p=3374918</t>
  </si>
  <si>
    <t>Il y a de la vie sur les exoplanètes</t>
  </si>
  <si>
    <t>QB54 -- .U73 2012eb</t>
  </si>
  <si>
    <t>Extrasolar planets -- Juvenile literature.; Life on other planets -- Juvenile literature.</t>
  </si>
  <si>
    <t>http://public.eblib.com/choice/PublicFullRecord.aspx?p=3374919</t>
  </si>
  <si>
    <t>L'évaluation des impacts environnementaux</t>
  </si>
  <si>
    <t>Leduc, Gaétan A.</t>
  </si>
  <si>
    <t>Engineering; Engineering: Environmental</t>
  </si>
  <si>
    <t>TD194.6 -- .L43 2000eb</t>
  </si>
  <si>
    <t>Environmental impact analysis -- Methodology.; Environmental impact analysis.; Environmental risk assessment.</t>
  </si>
  <si>
    <t>http://public.eblib.com/choice/PublicFullRecord.aspx?p=3374920</t>
  </si>
  <si>
    <t>La démocratie, j’aime ça!</t>
  </si>
  <si>
    <t>JC423 -- .L37 1997eb</t>
  </si>
  <si>
    <t>http://public.eblib.com/choice/PublicFullRecord.aspx?p=3374921</t>
  </si>
  <si>
    <t>Explorer l’histoire des sciences et des techniques : activités, exercices et problèmes</t>
  </si>
  <si>
    <t>Thouin, Marcel</t>
  </si>
  <si>
    <t>Q126.9 -- .T46 2004eb</t>
  </si>
  <si>
    <t>Science -- History.; Science -- Study and teaching.; Technology -- History.; Technology -- Study and teaching.</t>
  </si>
  <si>
    <t>http://public.eblib.com/choice/PublicFullRecord.aspx?p=3374922</t>
  </si>
  <si>
    <t>La santé au Québec : les services de santé, les services sociaux, les sites Web</t>
  </si>
  <si>
    <t>RA450.Q3 -- H57 2002eb</t>
  </si>
  <si>
    <t>Medical social work -- Québec (Province); Public health -- Québec (Province)</t>
  </si>
  <si>
    <t>http://public.eblib.com/choice/PublicFullRecord.aspx?p=3374923</t>
  </si>
  <si>
    <t>Pour des pratiques pédagogiques revitalisées</t>
  </si>
  <si>
    <t>Brossard, Luce</t>
  </si>
  <si>
    <t>LB1027 -- .P68 1999eb</t>
  </si>
  <si>
    <t>Learning, Psychology of.; Teacher-student relationships.; Teaching -- Methodology.; Teaching.</t>
  </si>
  <si>
    <t>http://public.eblib.com/choice/PublicFullRecord.aspx?p=3374924</t>
  </si>
  <si>
    <t>Je vous salue… : le point zéro de la prostitution</t>
  </si>
  <si>
    <t>Dufour, Rose</t>
  </si>
  <si>
    <t>HQ149.Q4 -- D84 2005eb</t>
  </si>
  <si>
    <t>Prostitutes -- Québec (Province); Prostitution -- Québec (Province)</t>
  </si>
  <si>
    <t>http://public.eblib.com/choice/PublicFullRecord.aspx?p=3374925</t>
  </si>
  <si>
    <t>Adults and Seniors</t>
  </si>
  <si>
    <t>Medical policy -- Canada.; Public health -- Canada.</t>
  </si>
  <si>
    <t>http://public.eblib.com/choice/PublicFullRecord.aspx?p=3374926</t>
  </si>
  <si>
    <t>Passion : nature</t>
  </si>
  <si>
    <t>Francoeur, Louis-Gilles</t>
  </si>
  <si>
    <t>GF75 -- .F73 2007eb</t>
  </si>
  <si>
    <t>Conservation of natural resources.; Environmental protection -- Québec (Province); Nature -- Effect of human beings on -- Québec (Province); Nature -- Effect of human beings on.</t>
  </si>
  <si>
    <t>http://public.eblib.com/choice/PublicFullRecord.aspx?p=3374927</t>
  </si>
  <si>
    <t>Patrimoine et sacralisation</t>
  </si>
  <si>
    <t>Berthold, Étienne</t>
  </si>
  <si>
    <t>CC135 -- .P385 2009eb</t>
  </si>
  <si>
    <t>Architecture -- Conservation and restoration -- Congresses.; Cultural property -- Congresses.; Historic preservation -- Congresses.; Religious architecture -- Conservation and restoration -- Congresses.</t>
  </si>
  <si>
    <t>http://public.eblib.com/choice/PublicFullRecord.aspx?p=3374928</t>
  </si>
  <si>
    <t>La formation continue des personnels de l’éducation : Mali, Tunisie, Haïti, Guyana</t>
  </si>
  <si>
    <t>Amyot, Michel</t>
  </si>
  <si>
    <t>LB1731 -- .F67 2006eb</t>
  </si>
  <si>
    <t>Teachers -- In-service training -- Guyana -- Case studies.; Teachers -- In-service training -- Haiti -- Case studies.; Teachers -- In-service training -- Mali -- Case studies.; Teachers -- In-service training -- Tunisia -- Case studies.</t>
  </si>
  <si>
    <t>http://public.eblib.com/choice/PublicFullRecord.aspx?p=3374929</t>
  </si>
  <si>
    <t>Cerveau.net</t>
  </si>
  <si>
    <t>Gagnon, Jacques</t>
  </si>
  <si>
    <t>QP376 -- .G34 2010eb</t>
  </si>
  <si>
    <t>Brain -- Popular works.; Neurobiology -- Popular works.; Neuropsychology -- Popular works.</t>
  </si>
  <si>
    <t>http://public.eblib.com/choice/PublicFullRecord.aspx?p=3374930</t>
  </si>
  <si>
    <t>Manuel de foresterie</t>
  </si>
  <si>
    <t>Collectif</t>
  </si>
  <si>
    <t>SD373 -- .M36 2009eb</t>
  </si>
  <si>
    <t>Forest products.; Forests and forestry -- Québec (Province); Forests and forestry.</t>
  </si>
  <si>
    <t>http://public.eblib.com/choice/PublicFullRecord.aspx?p=3374931</t>
  </si>
  <si>
    <t>Dieu et ses fils uniques</t>
  </si>
  <si>
    <t>BL55 -- .L37 2007eb</t>
  </si>
  <si>
    <t>Religion and civilization.; Religious education.; Religious pluralism.</t>
  </si>
  <si>
    <t>http://public.eblib.com/choice/PublicFullRecord.aspx?p=3374932</t>
  </si>
  <si>
    <t>Vivre après le pétrole : mission impossible?</t>
  </si>
  <si>
    <t>HD9502.A2 -- L336 2007eb</t>
  </si>
  <si>
    <t>Energy conservation.; Energy policy -- Environmental aspects.; Energy policy.; Fossil fuels.; Renewable energy sources.</t>
  </si>
  <si>
    <t>http://public.eblib.com/choice/PublicFullRecord.aspx?p=3374933</t>
  </si>
  <si>
    <t>L'astronomie facile et amusante pour les 8-12 ans – Nouvelle édition</t>
  </si>
  <si>
    <t>Urbain, Jean-Piere</t>
  </si>
  <si>
    <t>QB46 -- .U73 2009eb</t>
  </si>
  <si>
    <t>Astronomy -- Experiments -- Juvenile literature.; Astronomy -- Juvenile literature.</t>
  </si>
  <si>
    <t>http://public.eblib.com/choice/PublicFullRecord.aspx?p=3374934</t>
  </si>
  <si>
    <t>Les piles électriques et l’électricité dynamique</t>
  </si>
  <si>
    <t>QC601 -- .L36 2006eb</t>
  </si>
  <si>
    <t>Electric batteries -- History.; Electrodynamics -- History.</t>
  </si>
  <si>
    <t>http://public.eblib.com/choice/PublicFullRecord.aspx?p=3374935</t>
  </si>
  <si>
    <t>Manuel d’enseignement des sciences et de la technologie</t>
  </si>
  <si>
    <t>Q181 -- .P68 2011eb</t>
  </si>
  <si>
    <t>Motivation in education.; Science -- Study and teaching (Secondary); Technology -- Study and teaching (Secondary)</t>
  </si>
  <si>
    <t>http://public.eblib.com/choice/PublicFullRecord.aspx?p=3374936</t>
  </si>
  <si>
    <t>Le Vieux-Montréal, un «quartier de l’histoire ?</t>
  </si>
  <si>
    <t>Burgess, Joanne</t>
  </si>
  <si>
    <t>F1054.5.M86 -- O438 2010eb</t>
  </si>
  <si>
    <t>971.4/28</t>
  </si>
  <si>
    <t>Cultural property -- Protection -- Québec (Province) -- Montréal -- Congresses.; Old Montréal (Montréal, Québec) -- Congresses.; Urban renewal -- Québec (Province) -- Montréal -- Congresses.</t>
  </si>
  <si>
    <t>http://public.eblib.com/choice/PublicFullRecord.aspx?p=3374937</t>
  </si>
  <si>
    <t>L’énergie au quotidien</t>
  </si>
  <si>
    <t>Lacroix, Marcel</t>
  </si>
  <si>
    <t>HD9502.A2 -- L33 2011eb</t>
  </si>
  <si>
    <t>Energy industries.; Energy policy.; Power resources.</t>
  </si>
  <si>
    <t>http://public.eblib.com/choice/PublicFullRecord.aspx?p=3374938</t>
  </si>
  <si>
    <t>Les porteurs de lumières : l’histoire de la distribution de l’électricité au Québec</t>
  </si>
  <si>
    <t>Fleury, Jean-Louis</t>
  </si>
  <si>
    <t>HD9685.C23 -- Q434 1994eb</t>
  </si>
  <si>
    <t>Electric utilities -- Québec (Province) -- History.</t>
  </si>
  <si>
    <t>http://public.eblib.com/choice/PublicFullRecord.aspx?p=3374939</t>
  </si>
  <si>
    <t>Utopie.net : la réalité Internet après le rêve</t>
  </si>
  <si>
    <t>HM851 -- .L36 2002eb</t>
  </si>
  <si>
    <t>303.48/33</t>
  </si>
  <si>
    <t>Internet -- History.; Internet -- Social aspects.; Internet marketing.; Mass media -- Social aspects.</t>
  </si>
  <si>
    <t>http://public.eblib.com/choice/PublicFullRecord.aspx?p=3374940</t>
  </si>
  <si>
    <t>Comment chercher : les secrets de la recherche d’information à l’heure d’Internet</t>
  </si>
  <si>
    <t>Marcil, Claude</t>
  </si>
  <si>
    <t>Z711 -- .M37 2001eb</t>
  </si>
  <si>
    <t>Internet research.; Reference services (Libraries)</t>
  </si>
  <si>
    <t>http://public.eblib.com/choice/PublicFullRecord.aspx?p=3374941</t>
  </si>
  <si>
    <t>Le russionnaire : petite encyclopédie de toutes les Russies</t>
  </si>
  <si>
    <t>Dorion, Henri</t>
  </si>
  <si>
    <t>PG2645.F5 -- D67 2001eb</t>
  </si>
  <si>
    <t>French language -- Dictionaries -- Russian.; Russian language -- Dictionaries -- French.</t>
  </si>
  <si>
    <t>http://public.eblib.com/choice/PublicFullRecord.aspx?p=3374942</t>
  </si>
  <si>
    <t>Jeux de vélos</t>
  </si>
  <si>
    <t>LB1585 -- .D56 1998eb</t>
  </si>
  <si>
    <t>Science -- Experiments.; Science -- Study and teaching (Elementary); Technology -- Study and teaching (Elementary)</t>
  </si>
  <si>
    <t>http://public.eblib.com/choice/PublicFullRecord.aspx?p=3374943</t>
  </si>
  <si>
    <t>Premiers contacts avec le Québec</t>
  </si>
  <si>
    <t>F1052 -- .H57 2004eb</t>
  </si>
  <si>
    <t>Québec (Province) -- Guidebooks.</t>
  </si>
  <si>
    <t>http://public.eblib.com/choice/PublicFullRecord.aspx?p=3374944</t>
  </si>
  <si>
    <t>Botanique et horticulture dans les jardins du Québec : guide 2002</t>
  </si>
  <si>
    <t>Giguère, Rock</t>
  </si>
  <si>
    <t>QK203.Q3 -- G54 2002eb</t>
  </si>
  <si>
    <t>Botany.; Horticulture.</t>
  </si>
  <si>
    <t>http://public.eblib.com/choice/PublicFullRecord.aspx?p=3374945</t>
  </si>
  <si>
    <t>Des pistes prometteuses : propos de leaders pédagogiques</t>
  </si>
  <si>
    <t>LB1025.3 -- .B76 1999eb</t>
  </si>
  <si>
    <t>Teaching.</t>
  </si>
  <si>
    <t>http://public.eblib.com/choice/PublicFullRecord.aspx?p=3374946</t>
  </si>
  <si>
    <t>Une agriculture qui goûte autrement</t>
  </si>
  <si>
    <t>Raymond, Hélène</t>
  </si>
  <si>
    <t>HD9014.A5 -- R39 2011eb</t>
  </si>
  <si>
    <t>Farm produce -- Europe -- History.; Farm produce -- North America -- History.; Food industry and trade -- Europe -- History.; Food industry and trade -- North America -- History.; Local foods -- Europe -- History.; Local foods -- North America -- History.</t>
  </si>
  <si>
    <t>http://public.eblib.com/choice/PublicFullRecord.aspx?p=3374947</t>
  </si>
  <si>
    <t>Settings and Issues</t>
  </si>
  <si>
    <t>http://public.eblib.com/choice/PublicFullRecord.aspx?p=3374948</t>
  </si>
  <si>
    <t>Découvre les secrets des oiseaux</t>
  </si>
  <si>
    <t>Léveillé, Jean</t>
  </si>
  <si>
    <t>QL698.3 -- .L48 2009eb</t>
  </si>
  <si>
    <t>Birds -- Behavior.</t>
  </si>
  <si>
    <t>http://public.eblib.com/choice/PublicFullRecord.aspx?p=3374949</t>
  </si>
  <si>
    <t>L'hippopotame du Saint-Laurent : dernières nouvelles de l’évolution</t>
  </si>
  <si>
    <t>Rogel, Jean-Pierre</t>
  </si>
  <si>
    <t>QH366.2 -- .R64 2007eb</t>
  </si>
  <si>
    <t>Biodiversity.; Evolution.</t>
  </si>
  <si>
    <t>http://public.eblib.com/choice/PublicFullRecord.aspx?p=3374950</t>
  </si>
  <si>
    <t>On efface tout et on recommence! : PVR, blogues et Word of mouth : le consommateur est maintenant en contrôle</t>
  </si>
  <si>
    <t>Delagrave, Pierre</t>
  </si>
  <si>
    <t>HC79.I55 -- D455 2006eb</t>
  </si>
  <si>
    <t>Communication -- Technological innovations -- Economic aspects.; Communication -- Technological innovations -- Social aspects.; Internet marketing.</t>
  </si>
  <si>
    <t>http://public.eblib.com/choice/PublicFullRecord.aspx?p=3374951</t>
  </si>
  <si>
    <t>Plantes des villages et des parcs du Nunavik/Plants of the villages and the parks of Nunavik</t>
  </si>
  <si>
    <t>Blondeau, Marcel</t>
  </si>
  <si>
    <t>QK203.Q3 -- B56 2010eb</t>
  </si>
  <si>
    <t>Botany -- Québec (Province) -- Nunavik.; Plants -- Québec (Province) -- Nunavik.</t>
  </si>
  <si>
    <t>http://public.eblib.com/choice/PublicFullRecord.aspx?p=3374952</t>
  </si>
  <si>
    <t>Enseigner les sciences et les technologies au préscolaire et au primaire, nouvelle édition</t>
  </si>
  <si>
    <t>Thouin</t>
  </si>
  <si>
    <t>Q181 -- .T48 2009eb</t>
  </si>
  <si>
    <t>Science -- Study and teaching (Preschool); Science -- Study and teaching (Primary); Technology -- Study and teaching (Preschool); Technology -- Study and teaching (Primary)</t>
  </si>
  <si>
    <t>http://public.eblib.com/choice/PublicFullRecord.aspx?p=3374953</t>
  </si>
  <si>
    <t>Territoires : Le Québec : habitat, ressources et imaginaire</t>
  </si>
  <si>
    <t>De Koninck, Marie-Charlotte</t>
  </si>
  <si>
    <t>GN491.7 -- .T466 2007eb</t>
  </si>
  <si>
    <t>304.2/309714</t>
  </si>
  <si>
    <t>Human territoriality -- Québec (Province); Land use -- Québec (Province); Regional planning -- Québec (Province)</t>
  </si>
  <si>
    <t>http://public.eblib.com/choice/PublicFullRecord.aspx?p=3374954</t>
  </si>
  <si>
    <t>Par monts et vallées</t>
  </si>
  <si>
    <t>Dufour, Marie</t>
  </si>
  <si>
    <t>F1054.J3 -- P37 2012eb</t>
  </si>
  <si>
    <t>Jacques-Cartier River (Québec) -- History.</t>
  </si>
  <si>
    <t>http://public.eblib.com/choice/PublicFullRecord.aspx?p=3374955</t>
  </si>
  <si>
    <t>Le futur prêt-à-porter</t>
  </si>
  <si>
    <t>Sauvé, Mathieu-Robert</t>
  </si>
  <si>
    <t>T174 -- .S28 2011eb</t>
  </si>
  <si>
    <t>Human beings -- Effect of technological innovations on.; Technological forecasting.</t>
  </si>
  <si>
    <t>http://public.eblib.com/choice/PublicFullRecord.aspx?p=3374956</t>
  </si>
  <si>
    <t>L'évaluation, recherche appliquée aux multiples usages</t>
  </si>
  <si>
    <t>Dufresne-Tassé, Colette</t>
  </si>
  <si>
    <t>AM7 -- .E93 2002eb</t>
  </si>
  <si>
    <t>Museum techniques.; Museums.</t>
  </si>
  <si>
    <t>http://public.eblib.com/choice/PublicFullRecord.aspx?p=3374957</t>
  </si>
  <si>
    <t>Non-violence et citoyenneté - Un vivre-ensemble qui s'apprend</t>
  </si>
  <si>
    <t>LC1091 -- .M37 2000eb</t>
  </si>
  <si>
    <t>Civics -- Study and teaching.; Democracy -- Study and teaching.; Nonviolence -- Study and teaching.</t>
  </si>
  <si>
    <t>http://public.eblib.com/choice/PublicFullRecord.aspx?p=3374958</t>
  </si>
  <si>
    <t>L'investisseur branché : guide des sites Internet francophones d’information financière</t>
  </si>
  <si>
    <t>HG151.8 -- .H57 2001eb</t>
  </si>
  <si>
    <t>Financial services industry -- Computer network resources.; Internet.; Investments -- Computer network resources.</t>
  </si>
  <si>
    <t>http://public.eblib.com/choice/PublicFullRecord.aspx?p=3374959</t>
  </si>
  <si>
    <t>Grossesse à l’adolescence : guide d’intervention pour un choix éclairé</t>
  </si>
  <si>
    <t>Cardinal Remete, France</t>
  </si>
  <si>
    <t>HQ759.4 -- .C37 1999eb</t>
  </si>
  <si>
    <t>Teenage mothers -- Québec (Province); Teenage pregnancy -- Québec (Province)</t>
  </si>
  <si>
    <t>http://public.eblib.com/choice/PublicFullRecord.aspx?p=3374960</t>
  </si>
  <si>
    <t>Les tendinites de l’épaule</t>
  </si>
  <si>
    <t>Rossignol, Louis</t>
  </si>
  <si>
    <t>RC935.T4 -- P38 1998eb</t>
  </si>
  <si>
    <t>Shoulder.; Tendinitis.</t>
  </si>
  <si>
    <t>http://public.eblib.com/choice/PublicFullRecord.aspx?p=3374961</t>
  </si>
  <si>
    <t>De mère en fille : comment faire ressortir la lignée maternelle de votre arbre généalogique</t>
  </si>
  <si>
    <t>Dionne, Pierre-Yves</t>
  </si>
  <si>
    <t>CS83 -- .D56 2004eb</t>
  </si>
  <si>
    <t>929/.1/0720714</t>
  </si>
  <si>
    <t>Matrilineal kinship -- Québec (Province); Québec (Province) -- Genealogy.; Women -- Genealogy -- Handbooks, manuals, etc.</t>
  </si>
  <si>
    <t>http://public.eblib.com/choice/PublicFullRecord.aspx?p=3374962</t>
  </si>
  <si>
    <t>Je me souviens… des premiers contacts</t>
  </si>
  <si>
    <t>Leblanc, Josée</t>
  </si>
  <si>
    <t>E78.Q3 -- L43 2010eb</t>
  </si>
  <si>
    <t>Indians of North America -- Québec (Province)</t>
  </si>
  <si>
    <t>http://public.eblib.com/choice/PublicFullRecord.aspx?p=3374963</t>
  </si>
  <si>
    <t>La démocratie entre utopie et squatters</t>
  </si>
  <si>
    <t>JC423 -- .L3442 2008eb</t>
  </si>
  <si>
    <t>Democracy -- Québec (Province)</t>
  </si>
  <si>
    <t>http://public.eblib.com/choice/PublicFullRecord.aspx?p=3374964</t>
  </si>
  <si>
    <t>Renewable Energy : Myths and Obstacles</t>
  </si>
  <si>
    <t>Lefebvre, Jean-François</t>
  </si>
  <si>
    <t>TJ808 -- .L444 2013eb</t>
  </si>
  <si>
    <t>Renewable energy sources.</t>
  </si>
  <si>
    <t>http://public.eblib.com/choice/PublicFullRecord.aspx?p=3374965</t>
  </si>
  <si>
    <t>Le secteur de la santé au Canada et ailleurs</t>
  </si>
  <si>
    <t>RA449 -- .A43 1998eb</t>
  </si>
  <si>
    <t>Medicine, Preventive -- Canada.; Public health -- Canada.</t>
  </si>
  <si>
    <t>http://public.eblib.com/choice/PublicFullRecord.aspx?p=3374966</t>
  </si>
  <si>
    <t>Comprendre et prévenir la déficience intellectuelle</t>
  </si>
  <si>
    <t>Pannetierm Evelyne</t>
  </si>
  <si>
    <t>RC570.2 -- .P36 2010eb</t>
  </si>
  <si>
    <t>Mental retardation -- Etiology.; Mental retardation -- Prevention.; Mental retardation.</t>
  </si>
  <si>
    <t>http://public.eblib.com/choice/PublicFullRecord.aspx?p=3374967</t>
  </si>
  <si>
    <t>Science, on blogue !</t>
  </si>
  <si>
    <t>TK5105.8884 -- .L37 2007eb</t>
  </si>
  <si>
    <t>Blogs.; Extranets (Computer networks); Science -- Blogs.</t>
  </si>
  <si>
    <t>http://public.eblib.com/choice/PublicFullRecord.aspx?p=3374968</t>
  </si>
  <si>
    <t>Patrimoine et guerre : reconstruire la place des Martyrs à Beyrouth</t>
  </si>
  <si>
    <t>Éthier, Guillaume</t>
  </si>
  <si>
    <t>NA9072.B46 -- S244 2008eb</t>
  </si>
  <si>
    <t>Architecture -- Competitions -- Lebanon -- Beirut.; Architecture -- Lebanon -- Beirut -- History -- 21st century.; Beirut (Lebanon) -- Buildings, structures, etc.; Cultural property -- Protection -- Lebanon -- Beirut.; Plazas -- Lebanon -- Beirut -- Designs and plans.; Sāḥat al-Shuhadāʾ (Beirut, Lebanon)</t>
  </si>
  <si>
    <t>http://public.eblib.com/choice/PublicFullRecord.aspx?p=3374969</t>
  </si>
  <si>
    <t>Éveiller les enfants aux sciences et aux technologies</t>
  </si>
  <si>
    <t>LB1585 -- .T56 2010eb</t>
  </si>
  <si>
    <t>Science -- Experiments.; Science -- Problems, exercises, etc.; Science -- Study and teaching (Elementary); Science -- Study and teaching (Preschool); Technology -- Problems, exercises, etc.; Technology -- Study and teaching (Elementary); Technology -- Study and teaching (Preschool)</t>
  </si>
  <si>
    <t>http://public.eblib.com/choice/PublicFullRecord.aspx?p=3374970</t>
  </si>
  <si>
    <t>Erase everything and start over : PVRs, blogs, and Word of mouth : the consumer is now in control</t>
  </si>
  <si>
    <t>HC79.I55 -- .D453 1998eb</t>
  </si>
  <si>
    <t>http://public.eblib.com/choice/PublicFullRecord.aspx?p=3374971</t>
  </si>
  <si>
    <t>Baleines et phoques : biologie et écologie</t>
  </si>
  <si>
    <t>Fontaine, Pierre-Henry</t>
  </si>
  <si>
    <t>QL737.C4 -- F66 2005eb</t>
  </si>
  <si>
    <t>Cetacea -- Ecology -- North Atlantic Region.; Cetacea -- Identification.; Cetacea.; Pinnipedia.; Seals (Animals); Whales.</t>
  </si>
  <si>
    <t>http://public.eblib.com/choice/PublicFullRecord.aspx?p=3374972</t>
  </si>
  <si>
    <t>Le musée : entre la recherche et l’enseignement/The Museum : Between Research and Education</t>
  </si>
  <si>
    <t>Émond, Anne-Marie</t>
  </si>
  <si>
    <t>AM7 -- .M794 2012eb</t>
  </si>
  <si>
    <t>Museum attendance.; Museum techniques -- Research.; Museums -- Educational aspects.; Museums -- Social aspects.</t>
  </si>
  <si>
    <t>http://public.eblib.com/choice/PublicFullRecord.aspx?p=3374973</t>
  </si>
  <si>
    <t>Résoudre des problèmes scientifiques et technologiques au préscolaire et au primaire</t>
  </si>
  <si>
    <t>Q182 -- .T46 2006eb</t>
  </si>
  <si>
    <t>Science -- Experiments.; Science -- Problems, exercises, etc.; Science -- Study and teaching (Primary); Technology -- Problems, exercises, etc.; Technology -- Study and teaching (Primary)</t>
  </si>
  <si>
    <t>http://public.eblib.com/choice/PublicFullRecord.aspx?p=3374974</t>
  </si>
  <si>
    <t>Relever des défis scientifiques et technologiques</t>
  </si>
  <si>
    <t>Q164 -- .T46 2012eb</t>
  </si>
  <si>
    <t>Science -- Juvenile literature.; Technology -- Experiments -- Juvenile literature.</t>
  </si>
  <si>
    <t>http://public.eblib.com/choice/PublicFullRecord.aspx?p=3374975</t>
  </si>
  <si>
    <t>Soleil, sable et science</t>
  </si>
  <si>
    <t>Q162 -- .P47 2005eb</t>
  </si>
  <si>
    <t>Science -- Experiments -- Popular works.; Science -- Popular works.</t>
  </si>
  <si>
    <t>http://public.eblib.com/choice/PublicFullRecord.aspx?p=3374976</t>
  </si>
  <si>
    <t>Gérer les différences culturelles : pour communiquer plus efficacement avec les diverses cultures du monde</t>
  </si>
  <si>
    <t>Aoun, Joseph</t>
  </si>
  <si>
    <t>HM1211 -- .A58 2004eb</t>
  </si>
  <si>
    <t>Cultural relations.; Intercultural communication.; Multiculturalism.</t>
  </si>
  <si>
    <t>http://public.eblib.com/choice/PublicFullRecord.aspx?p=3374977</t>
  </si>
  <si>
    <t>Le cadre et les enjeux</t>
  </si>
  <si>
    <t>http://public.eblib.com/choice/PublicFullRecord.aspx?p=3374978</t>
  </si>
  <si>
    <t>Le sexe de la science</t>
  </si>
  <si>
    <t>Agence Science-Presse</t>
  </si>
  <si>
    <t>HQ25 -- .S49 2003eb</t>
  </si>
  <si>
    <t>Sex -- Miscellanea.; Sexual behavior in animals -- Miscellanea.; Sexual intercourse -- Miscellanea.</t>
  </si>
  <si>
    <t>http://public.eblib.com/choice/PublicFullRecord.aspx?p=3374979</t>
  </si>
  <si>
    <t>Le voyageur branché : comment planifier votre voyage en ligne</t>
  </si>
  <si>
    <t>Bélanger, Gilles</t>
  </si>
  <si>
    <t>Library Science; Geography/Travel</t>
  </si>
  <si>
    <t>G149.7 -- .B46 2003eb</t>
  </si>
  <si>
    <t>025.06/91</t>
  </si>
  <si>
    <t>Internet.; Travel -- Computer network resources.; World Wide Web.</t>
  </si>
  <si>
    <t>http://public.eblib.com/choice/PublicFullRecord.aspx?p=3374980</t>
  </si>
  <si>
    <t>Abitibi-Témiscamingue : de l’emprise des glaces à un foisonnement d’eau et de vie : 10 000 ans d’histoire</t>
  </si>
  <si>
    <t>Miron, Fernand</t>
  </si>
  <si>
    <t>QH106.2.Q3 -- V45 2000eb</t>
  </si>
  <si>
    <t>Ecology -- Québec (Province) -- Abitibi-Témiscamingue.; Natural history -- Québec (Province) -- Abitibi-Témiscamingue.; Nature conservation -- Québec (Province) -- Abitibi-Témiscamingue.</t>
  </si>
  <si>
    <t>http://public.eblib.com/choice/PublicFullRecord.aspx?p=3374981</t>
  </si>
  <si>
    <t>Comment trouver : la recherche d’information planétaire</t>
  </si>
  <si>
    <t>Chirurgien, Estelle</t>
  </si>
  <si>
    <t>QB500 -- .C45 2001eb</t>
  </si>
  <si>
    <t>Astronomy -- Research.; Internet research.; Outer space -- Exploration.</t>
  </si>
  <si>
    <t>http://public.eblib.com/choice/PublicFullRecord.aspx?p=3374982</t>
  </si>
  <si>
    <t>Chez les oiseaux</t>
  </si>
  <si>
    <t>Morency, Pierre</t>
  </si>
  <si>
    <t>PQ3919.2.M577 -- C44 2004eb</t>
  </si>
  <si>
    <t>Birds -- Fiction.</t>
  </si>
  <si>
    <t>http://public.eblib.com/choice/PublicFullRecord.aspx?p=3374983</t>
  </si>
  <si>
    <t>La fille préférée d’Alphonse Desjardins ou L’histoire de la Caisse populaire Desjardins de Lauzon, 1902-1995</t>
  </si>
  <si>
    <t>Darhouani, Lahcen</t>
  </si>
  <si>
    <t>HG2039.C2 -- D37 1999eb</t>
  </si>
  <si>
    <t>Banks and banking, Cooperative -- Québec (Province) -- Lévis.; Credit unions -- Québec (Province) -- Lévis.</t>
  </si>
  <si>
    <t>http://public.eblib.com/choice/PublicFullRecord.aspx?p=3374984</t>
  </si>
  <si>
    <t>The réserve muséale de la Capitale nationale : a modern and secure conservation facility</t>
  </si>
  <si>
    <t>Gendreau, Andrée</t>
  </si>
  <si>
    <t>AM145 -- .R747 2004eb</t>
  </si>
  <si>
    <t>Collectibles -- Conservation and restoration.; Museum conservation methods -- Québec (Province) -- Québec.; Museum storage facilities -- Québec (Province) -- Québec.; Museums -- Collection management -- Québec (Province) -- Québec.</t>
  </si>
  <si>
    <t>http://public.eblib.com/choice/PublicFullRecord.aspx?p=3374985</t>
  </si>
  <si>
    <t>Le syndrome du canal carpien</t>
  </si>
  <si>
    <t>Rossignol, Michel</t>
  </si>
  <si>
    <t>RC422.C26 -- P38 1997eb</t>
  </si>
  <si>
    <t>Carpal tunnel syndrome.; Musculoskeletal system -- Diseases -- Diagnosis.</t>
  </si>
  <si>
    <t>http://public.eblib.com/choice/PublicFullRecord.aspx?p=3374986</t>
  </si>
  <si>
    <t>Rouler sans pétrole</t>
  </si>
  <si>
    <t>TD195.T7 -- L36 2008eb</t>
  </si>
  <si>
    <t>Bioengineering.; Electric vehicles.; Hydrogen cars.; Transportation, Automotive -- Environmental aspects.</t>
  </si>
  <si>
    <t>http://public.eblib.com/choice/PublicFullRecord.aspx?p=3374987</t>
  </si>
  <si>
    <t>Vos déchets et vous : un guide pour comprendre et agir</t>
  </si>
  <si>
    <t>Hutchinson, Marlène</t>
  </si>
  <si>
    <t>TD794.5 -- .H88 2007eb</t>
  </si>
  <si>
    <t>Recycling (Waste, etc.)</t>
  </si>
  <si>
    <t>http://public.eblib.com/choice/PublicFullRecord.aspx?p=3374988</t>
  </si>
  <si>
    <t>La révolution des gaz de schiste</t>
  </si>
  <si>
    <t>HD9581.A2 -- M68 2010eb</t>
  </si>
  <si>
    <t>338.2/7285</t>
  </si>
  <si>
    <t>Gas industry.; Natural gas -- Prospecting -- Québec (Province)</t>
  </si>
  <si>
    <t>http://public.eblib.com/choice/PublicFullRecord.aspx?p=3374989</t>
  </si>
  <si>
    <t>De Quervain’s tenosynovitis</t>
  </si>
  <si>
    <t>RD97.6 -- .G853 1998eb</t>
  </si>
  <si>
    <t>Overuse injuries -- Diagnosis.; Tendons -- Diseases -- Diagnosis.; Tenosynovitis -- Diagnosis.</t>
  </si>
  <si>
    <t>http://public.eblib.com/choice/PublicFullRecord.aspx?p=3374990</t>
  </si>
  <si>
    <t>Avez-vous peur du nucléaire? Vous devriez peut-être…</t>
  </si>
  <si>
    <t>Lemieux, Julie</t>
  </si>
  <si>
    <t>Engineering; Engineering: Electrical; Economics; Environmental Studies</t>
  </si>
  <si>
    <t>TK9145 -- .L456 2009eb</t>
  </si>
  <si>
    <t>333.792/4</t>
  </si>
  <si>
    <t>Nuclear energy.; Nuclear power plants -- Accidents.; Nuclear power plants -- Risk assessment.; Radioactivity.</t>
  </si>
  <si>
    <t>http://public.eblib.com/choice/PublicFullRecord.aspx?p=3374991</t>
  </si>
  <si>
    <t>Mycorrhizas : The new green revolution</t>
  </si>
  <si>
    <t>Fortin, J. André</t>
  </si>
  <si>
    <t>Science; Science: Biology/Natural History; Science: Botany</t>
  </si>
  <si>
    <t>QK604.2.M92 -- .F678 2009eb</t>
  </si>
  <si>
    <t>579.5/17852</t>
  </si>
  <si>
    <t>Mycorrhizal fungi.; Mycorrhizas in agriculture.; Mycorrhizas.; Symbiosis.</t>
  </si>
  <si>
    <t>http://public.eblib.com/choice/PublicFullRecord.aspx?p=3374992</t>
  </si>
  <si>
    <t>L'âme de la Terre : parcours d’un géographe</t>
  </si>
  <si>
    <t>Hamelin, Louis-Edmon</t>
  </si>
  <si>
    <t>G69.H36 -- A3 2006eb</t>
  </si>
  <si>
    <t>Geographers -- Québec (Province) -- Biography.; Hamelin, Louis Edmond.</t>
  </si>
  <si>
    <t>http://public.eblib.com/choice/PublicFullRecord.aspx?p=3374993</t>
  </si>
  <si>
    <t>Guide de vulgarisation : Au-delà de la découverte scientifique</t>
  </si>
  <si>
    <t>Q225 -- .L37 2008eb</t>
  </si>
  <si>
    <t>Science -- Social aspects.; Science news -- Problems, exercises, etc.; Science news.</t>
  </si>
  <si>
    <t>http://public.eblib.com/choice/PublicFullRecord.aspx?p=3374994</t>
  </si>
  <si>
    <t>Histoire et idées du patrimoine, entre régionalisation et mondialisation</t>
  </si>
  <si>
    <t>Hébert, Karine</t>
  </si>
  <si>
    <t>HM621 -- .H575 2010eb</t>
  </si>
  <si>
    <t>Collective memory -- Congresses.; Cultural property -- Congresses.; Cultural property -- Québec (Province) -- Congresses.; Culture and globalization -- Congresses.; Group identity -- Congresses.; Historic preservation -- Congresses.</t>
  </si>
  <si>
    <t>http://public.eblib.com/choice/PublicFullRecord.aspx?p=3374995</t>
  </si>
  <si>
    <t>150 ans de relations France-Québec</t>
  </si>
  <si>
    <t>Commission franco-québécoise sur les lieux de mémoire communs</t>
  </si>
  <si>
    <t>DC59.8.Q3 -- C66 2010eb</t>
  </si>
  <si>
    <t>France -- Relations -- Québec (Province); Québec (Province) -- Relations -- France.</t>
  </si>
  <si>
    <t>http://public.eblib.com/choice/PublicFullRecord.aspx?p=3374996</t>
  </si>
  <si>
    <t>L'encéphalomyélite myalgique ou syndrome de fatigue chronique - Du mythe à la réalité</t>
  </si>
  <si>
    <t>Filion, Yves</t>
  </si>
  <si>
    <t>RB150.F37 -- F55 2005eb</t>
  </si>
  <si>
    <t>Chronic fatigue syndrome -- Popular works.; Chronic fatigue syndrome -- Treatment -- Popular works.; Myalgic encephalomyelitis -- Popular works.</t>
  </si>
  <si>
    <t>http://public.eblib.com/choice/PublicFullRecord.aspx?p=3374997</t>
  </si>
  <si>
    <t>La sélection patrimoniale</t>
  </si>
  <si>
    <t>CC135 -- .S44 2011eb</t>
  </si>
  <si>
    <t>Cultural property -- Congresses.; Cultural property -- Valuation -- Congresses.; Historic buildings -- Congresses.; Historic preservation -- Congresses.; Museum techniques -- Congresses.</t>
  </si>
  <si>
    <t>http://public.eblib.com/choice/PublicFullRecord.aspx?p=3374998</t>
  </si>
  <si>
    <t>Naître rien : des orphelins de Duplessis, de la crèche à l’asile</t>
  </si>
  <si>
    <t>HV1009.Q4 -- D83 2002eb</t>
  </si>
  <si>
    <t>Children -- Institutional care -- Québec (Province) -- Case studies.; Orphans -- Institutional care -- Québec (Province) -- Case studies.; Orphans -- Québec (Province) -- Case studies.</t>
  </si>
  <si>
    <t>http://public.eblib.com/choice/PublicFullRecord.aspx?p=3374999</t>
  </si>
  <si>
    <t>Fonder foyer en Nouvelle-France : les Normand du Perche</t>
  </si>
  <si>
    <t>Normand, Germaine</t>
  </si>
  <si>
    <t>CS90 -- .N66 1999eb</t>
  </si>
  <si>
    <t>929/.2/0971</t>
  </si>
  <si>
    <t>Canada -- Genealogy.; Norman family.; Québec (Province) -- Genealogy.</t>
  </si>
  <si>
    <t>http://public.eblib.com/choice/PublicFullRecord.aspx?p=3375000</t>
  </si>
  <si>
    <t>La vitesse du miel et autres mystères de la science au quotidien</t>
  </si>
  <si>
    <t>Ingram, Jay</t>
  </si>
  <si>
    <t>Q173 -- .I54 2005eb</t>
  </si>
  <si>
    <t>Science -- Miscellanea.</t>
  </si>
  <si>
    <t>http://public.eblib.com/choice/PublicFullRecord.aspx?p=3375001</t>
  </si>
  <si>
    <t>Botanique et horticulture dans les jardins du Québec, volume 2</t>
  </si>
  <si>
    <t>QK73.C2 -- B68 2003eb</t>
  </si>
  <si>
    <t>Botanical gardens -- Québec (Province); Horticulture -- Québec (Province)</t>
  </si>
  <si>
    <t>http://public.eblib.com/choice/PublicFullRecord.aspx?p=3375002</t>
  </si>
  <si>
    <t>La science insolite</t>
  </si>
  <si>
    <t>Q167 -- .S33 2003eb</t>
  </si>
  <si>
    <t>502/.07</t>
  </si>
  <si>
    <t>Canadian wit and humor -- Québec (Province); Science -- Humor.</t>
  </si>
  <si>
    <t>http://public.eblib.com/choice/PublicFullRecord.aspx?p=3375003</t>
  </si>
  <si>
    <t>Des idées fraîches à l’école</t>
  </si>
  <si>
    <t>Grant, Tim</t>
  </si>
  <si>
    <t>GE77 -- .D47 2001eb</t>
  </si>
  <si>
    <t>Environmental education -- Activity programs.</t>
  </si>
  <si>
    <t>http://public.eblib.com/choice/PublicFullRecord.aspx?p=3375004</t>
  </si>
  <si>
    <t>L'errance urbaine</t>
  </si>
  <si>
    <t>Laberge, Danielle</t>
  </si>
  <si>
    <t>HV4493 -- .E77 2000eb</t>
  </si>
  <si>
    <t>Homeless persons.; Tramps.; Urban poor.</t>
  </si>
  <si>
    <t>http://public.eblib.com/choice/PublicFullRecord.aspx?p=3375005</t>
  </si>
  <si>
    <t>Après l’homme… le cyborg ?</t>
  </si>
  <si>
    <t>Dufresne, Jacques</t>
  </si>
  <si>
    <t>Engineering; Engineering: Mechanical</t>
  </si>
  <si>
    <t>TJ211 -- .D84 1999eb</t>
  </si>
  <si>
    <t>Cyborgs.</t>
  </si>
  <si>
    <t>http://public.eblib.com/choice/PublicFullRecord.aspx?p=3375006</t>
  </si>
  <si>
    <t>La ténosynovite de De Quervain</t>
  </si>
  <si>
    <t>RC925.5 -- .T46 1997eb</t>
  </si>
  <si>
    <t>Tenosynovitis.</t>
  </si>
  <si>
    <t>http://public.eblib.com/choice/PublicFullRecord.aspx?p=3375007</t>
  </si>
  <si>
    <t>Habiter en milieu naturel</t>
  </si>
  <si>
    <t>Phaneuf, Claude</t>
  </si>
  <si>
    <t>HT421 -- .P42 2009eb</t>
  </si>
  <si>
    <t>Country life -- Environmental aspects -- Québec (Province); Forest protection -- Québec (Province); Lake conservation -- Québec (Province); Nature conservation -- Québec (Province); Riparian areas -- Protection -- Québec (Province)</t>
  </si>
  <si>
    <t>http://public.eblib.com/choice/PublicFullRecord.aspx?p=3375008</t>
  </si>
  <si>
    <t>Quand le corps fait à sa tête : le syndrome de Gilles de la Tourette</t>
  </si>
  <si>
    <t>Leclerc, Julie</t>
  </si>
  <si>
    <t>RC375 -- .L43 2008eb</t>
  </si>
  <si>
    <t>Tourette syndrome.</t>
  </si>
  <si>
    <t>http://public.eblib.com/choice/PublicFullRecord.aspx?p=3375009</t>
  </si>
  <si>
    <t>Tester et enrichir sa culture scientifique et technologique</t>
  </si>
  <si>
    <t>Q162 -- .T46 2008eb</t>
  </si>
  <si>
    <t>http://public.eblib.com/choice/PublicFullRecord.aspx?p=3375010</t>
  </si>
  <si>
    <t>Tout sur le compost : le connaître, le faire, l’acheter et l’utiliser</t>
  </si>
  <si>
    <t>S661 -- .M53 2007eb</t>
  </si>
  <si>
    <t>Compost.</t>
  </si>
  <si>
    <t>http://public.eblib.com/choice/PublicFullRecord.aspx?p=3375011</t>
  </si>
  <si>
    <t>La Bourse contre la vie</t>
  </si>
  <si>
    <t>ATTAC-Québec</t>
  </si>
  <si>
    <t>HG4551 -- .A88 2010eb</t>
  </si>
  <si>
    <t>Stock exchanges.</t>
  </si>
  <si>
    <t>http://public.eblib.com/choice/PublicFullRecord.aspx?p=3375012</t>
  </si>
  <si>
    <t>Apprendre et enseigner la technologie : Regards multiples</t>
  </si>
  <si>
    <t>T65 -- .A66 2009eb</t>
  </si>
  <si>
    <t>Interdisciplinary approach in education.; Science -- Study and teaching.; Technology -- Study and teaching.</t>
  </si>
  <si>
    <t>http://public.eblib.com/choice/PublicFullRecord.aspx?p=3375013</t>
  </si>
  <si>
    <t>Osez parler en public</t>
  </si>
  <si>
    <t>Thibault, Richard</t>
  </si>
  <si>
    <t>PN4129.3 -- .T45 2006eb</t>
  </si>
  <si>
    <t>Public speaking.</t>
  </si>
  <si>
    <t>http://public.eblib.com/choice/PublicFullRecord.aspx?p=3375014</t>
  </si>
  <si>
    <t>Le quotient intellectuel : ses déterminants et son avenir</t>
  </si>
  <si>
    <t>Larivée, Serge</t>
  </si>
  <si>
    <t>BF431 -- .Q68 2008eb</t>
  </si>
  <si>
    <t>Intellect.; Intelligence levels.; Intelligence tests.</t>
  </si>
  <si>
    <t>http://public.eblib.com/choice/PublicFullRecord.aspx?p=3375015</t>
  </si>
  <si>
    <t>Les mycorhizes : la nouvelle révolution verte</t>
  </si>
  <si>
    <t>QK604.2.M92 -- F67 2008eb</t>
  </si>
  <si>
    <t>Mycorrhizas.</t>
  </si>
  <si>
    <t>http://public.eblib.com/choice/PublicFullRecord.aspx?p=3375016</t>
  </si>
  <si>
    <t>Prévenir l’infarctus ou y survivre : les voies du coeur</t>
  </si>
  <si>
    <t>RC685.I6 -- R44 2007eb</t>
  </si>
  <si>
    <t>Myocardial infarction -- Prevention.; Myocardial infarction.</t>
  </si>
  <si>
    <t>http://public.eblib.com/choice/PublicFullRecord.aspx?p=3375017</t>
  </si>
  <si>
    <t>Le Parlement de Québec : histoire, anecdotes et légendes</t>
  </si>
  <si>
    <t>Deschênes, Gaston</t>
  </si>
  <si>
    <t>JL253 -- .D454 2005eb</t>
  </si>
  <si>
    <t>Hôtel du Parlement (Québec, Québec) -- History.; Legislative power -- Québec (Province) -- History.; Québec (Province) -- History.; Québec (Province). -- Assemblée nationale -- History.; Representative government and representation -- Québec (Province) -- History.</t>
  </si>
  <si>
    <t>http://public.eblib.com/choice/PublicFullRecord.aspx?p=3375018</t>
  </si>
  <si>
    <t>Vice caché</t>
  </si>
  <si>
    <t>HB820 -- .H88 2012eb</t>
  </si>
  <si>
    <t>Consumption (Economics)</t>
  </si>
  <si>
    <t>http://public.eblib.com/choice/PublicFullRecord.aspx?p=3375019</t>
  </si>
  <si>
    <t>L’indice de progrès véritable du Québec</t>
  </si>
  <si>
    <t>Mead, Harvey L.</t>
  </si>
  <si>
    <t>HC117.Q3 -- M43 2011eb</t>
  </si>
  <si>
    <t>Economic indicators -- Québec (Province); Progress -- Social aspects -- Québec (Province); Quality of life -- Québec (Province); Social indicators -- Québec (Province); Sustainable development -- Québec (Province)</t>
  </si>
  <si>
    <t>http://public.eblib.com/choice/PublicFullRecord.aspx?p=3375020</t>
  </si>
  <si>
    <t>Chroniques des années-lumière</t>
  </si>
  <si>
    <t>Drissen, Laurent</t>
  </si>
  <si>
    <t>QB44.3 -- .D75 2011eb</t>
  </si>
  <si>
    <t>Astronomy.; Astrophysics.</t>
  </si>
  <si>
    <t>http://public.eblib.com/choice/PublicFullRecord.aspx?p=3375021</t>
  </si>
  <si>
    <t>Variations et pérennité des oeuvres contemporaines ?</t>
  </si>
  <si>
    <t>Couture, Francine</t>
  </si>
  <si>
    <t>N4395 -- .V37 2013eb</t>
  </si>
  <si>
    <t>Art -- Conservation and restoration.; Art -- Exhibition techniques.; Artists and museums.</t>
  </si>
  <si>
    <t>http://public.eblib.com/choice/PublicFullRecord.aspx?p=3375022</t>
  </si>
  <si>
    <t>La révolution de la muséologie des sciences</t>
  </si>
  <si>
    <t>Schiele, Bernard</t>
  </si>
  <si>
    <t>AM7 -- .R48 1998eb</t>
  </si>
  <si>
    <t>http://public.eblib.com/choice/PublicFullRecord.aspx?p=3375023</t>
  </si>
  <si>
    <t>L'univers plaNETaire des jeunes : guide des sites Web francophones</t>
  </si>
  <si>
    <t>ZA4225 -- .C45 2002eb</t>
  </si>
  <si>
    <t>Computer games.; Education -- Computer programs.; Internet in education.; Web sites for children.</t>
  </si>
  <si>
    <t>http://public.eblib.com/choice/PublicFullRecord.aspx?p=3375024</t>
  </si>
  <si>
    <t>Dictionnaire généalogique des familles Arsenault (Arceneaux, Arseneau, Arseneault)</t>
  </si>
  <si>
    <t>Savard, Denis J.</t>
  </si>
  <si>
    <t>CS90 -- .A78 2000eb</t>
  </si>
  <si>
    <t>929/.2/089114</t>
  </si>
  <si>
    <t>Arsenault family -- Dictionaries -- French.; Cajuns -- Genealogy -- Dictionaries -- French.; Canada -- Genealogy -- Dictionaries -- French.; French-Canadians -- Genealogy -- Dictionaries -- French.</t>
  </si>
  <si>
    <t>http://public.eblib.com/choice/PublicFullRecord.aspx?p=3375025</t>
  </si>
  <si>
    <t>Health Care Systems in Canada and Elsewhere</t>
  </si>
  <si>
    <t>Social Science; Economics; Health; Business/Management</t>
  </si>
  <si>
    <t>RA410.55.C2 -- .H43 1998eb</t>
  </si>
  <si>
    <t>Medical care, Cost of -- Canada.; Medical policy -- Canada.; Public health administration -- Economic aspects -- Canada.; Public health administration -- Economic aspects -- Case studies.</t>
  </si>
  <si>
    <t>http://public.eblib.com/choice/PublicFullRecord.aspx?p=3375026</t>
  </si>
  <si>
    <t>Naissances : recueil de récits</t>
  </si>
  <si>
    <t>Rondeau, Sophie</t>
  </si>
  <si>
    <t>RG651 -- .N35 2005eb</t>
  </si>
  <si>
    <t>Childbirth -- Psychological aspects.; Childbirth.; Pregnancy.</t>
  </si>
  <si>
    <t>http://public.eblib.com/choice/PublicFullRecord.aspx?p=3375027</t>
  </si>
  <si>
    <t>Le Carnaval de Québec : la grande fête de l’hiver</t>
  </si>
  <si>
    <t>Provencher, Jean</t>
  </si>
  <si>
    <t>GT4213.A3 -- Q436 2003eb</t>
  </si>
  <si>
    <t>394.2509714/471</t>
  </si>
  <si>
    <t>Carnival -- Québec (Province); Québec (Province) -- Social life and customs.; Winter festivals -- Québec (Province)</t>
  </si>
  <si>
    <t>http://public.eblib.com/choice/PublicFullRecord.aspx?p=3375028</t>
  </si>
  <si>
    <t>Se loger au Québec : location, achat et sites Web</t>
  </si>
  <si>
    <t>HD7305.Q3 -- H57 2002eb</t>
  </si>
  <si>
    <t>House buying -- Québec (Province); Rental housing -- Québec (Province)</t>
  </si>
  <si>
    <t>http://public.eblib.com/choice/PublicFullRecord.aspx?p=3375029</t>
  </si>
  <si>
    <t>Humaniser la vieillesse</t>
  </si>
  <si>
    <t>Dubé, Denise</t>
  </si>
  <si>
    <t>BF724.8 -- .D83 2006eb</t>
  </si>
  <si>
    <t>Aging -- Psychological aspects.; Older people -- Mental health.; Older people -- Psychology.</t>
  </si>
  <si>
    <t>http://public.eblib.com/choice/PublicFullRecord.aspx?p=3375030</t>
  </si>
  <si>
    <t>L'éolien au coeur de l'incontournable révolution énergétique</t>
  </si>
  <si>
    <t>Saulnier, Bernard</t>
  </si>
  <si>
    <t>QC851 -- .S22 2009eb</t>
  </si>
  <si>
    <t>Electric power systems -- Management.; Power resources -- Environmental aspects.; Wind power -- Economic aspects.; Wind power -- Québec (Province); Wind power.</t>
  </si>
  <si>
    <t>http://public.eblib.com/choice/PublicFullRecord.aspx?p=3375031</t>
  </si>
  <si>
    <t>Vers une gouvernance de l’eau au Québec</t>
  </si>
  <si>
    <t>Choquette, Catherine</t>
  </si>
  <si>
    <t>Business/Management; Agriculture; Environmental Studies; Economics</t>
  </si>
  <si>
    <t>HD1696.C3 -- Q48 2008eb</t>
  </si>
  <si>
    <t>Integrated water development -- Québec (Province); Water -- Government policy -- Québec (Province); Water -- Law and legislation -- Québec (Province); Water resources development -- Planning -- Québec (Province)</t>
  </si>
  <si>
    <t>http://public.eblib.com/choice/PublicFullRecord.aspx?p=3375032</t>
  </si>
  <si>
    <t>Les temps de l’espace public urbain : construction, transformation et utilisation</t>
  </si>
  <si>
    <t>Jébrak, Yona</t>
  </si>
  <si>
    <t>HT153 -- .T47 2008eb</t>
  </si>
  <si>
    <t>City planning -- Congresses.; Public spaces -- Congresses.; Urban landscape architecture -- Congresses.</t>
  </si>
  <si>
    <t>http://public.eblib.com/choice/PublicFullRecord.aspx?p=3375033</t>
  </si>
  <si>
    <t>Beautés et richesses des fonds marins du Saint-Laurent</t>
  </si>
  <si>
    <t>QH106.2.Q3 -- F66 2006eb</t>
  </si>
  <si>
    <t>Aquatic animals -- Québec (Province) -- Saint Lawrence River Estuary.; Aquatic animals -- Saint Lawrence, Gulf of.; Aquatic plants -- Québec (Province) -- Saint Lawrence River Estuary.; Aquatic plants -- Saint Lawrence, Gulf of.</t>
  </si>
  <si>
    <t>http://public.eblib.com/choice/PublicFullRecord.aspx?p=3375034</t>
  </si>
  <si>
    <t>Qui a peur de l'an 2000?</t>
  </si>
  <si>
    <t>Villeneuve, Claude</t>
  </si>
  <si>
    <t>HC79.E5 -- V55 1998eb</t>
  </si>
  <si>
    <t>Environmental education.; Sustainable development.</t>
  </si>
  <si>
    <t>http://public.eblib.com/choice/PublicFullRecord.aspx?p=3375035</t>
  </si>
  <si>
    <t>Patrimoines : fabrique, usages et réemplois</t>
  </si>
  <si>
    <t>Lemaître, Capucine</t>
  </si>
  <si>
    <t>History; Environmental Studies</t>
  </si>
  <si>
    <t>CC135 -- .P386 2008eb</t>
  </si>
  <si>
    <t>Cultural property -- Protection -- Congresses.; Historic buildings -- Conservation and restoration -- Congresses.; Historic preservation -- Congresses.; Historic sites -- Conservation and restoration -- Congresses.; Urban renewal -- Congresses.</t>
  </si>
  <si>
    <t>http://public.eblib.com/choice/PublicFullRecord.aspx?p=3375036</t>
  </si>
  <si>
    <t>Guide raisonné de rédaction</t>
  </si>
  <si>
    <t>Samson-Legault, Daniel</t>
  </si>
  <si>
    <t>P301 -- .S26 2012eb</t>
  </si>
  <si>
    <t>Authorship.; Feature writing.; Journalism -- Authorship.; Rhetoric.; Written communication.</t>
  </si>
  <si>
    <t>http://public.eblib.com/choice/PublicFullRecord.aspx?p=3375037</t>
  </si>
  <si>
    <t>Entre monts et merveilles</t>
  </si>
  <si>
    <t>O’Connor, Kieron</t>
  </si>
  <si>
    <t>RC569.5.H63 -- O36 2012eb</t>
  </si>
  <si>
    <t>Compulsive hoarding.</t>
  </si>
  <si>
    <t>http://public.eblib.com/choice/PublicFullRecord.aspx?p=3375038</t>
  </si>
  <si>
    <t>Glossaire de botanique</t>
  </si>
  <si>
    <t>Ayotte, Gilles</t>
  </si>
  <si>
    <t>QK9 -- .A96 1994eb</t>
  </si>
  <si>
    <t>Botany -- Dictionaries -- French.</t>
  </si>
  <si>
    <t>http://public.eblib.com/choice/PublicFullRecord.aspx?p=3375039</t>
  </si>
  <si>
    <t>La réserve muséale de la Capitale nationale : pour une conservation moderne et sécuritaire</t>
  </si>
  <si>
    <t>AM145 -- .R47 2004eb</t>
  </si>
  <si>
    <t>Musée de la civilisation (Québec); Museum conservation methods -- Québec (Province) -- Québec.; Museum storage facilities -- Québec (Province) -- Québec.</t>
  </si>
  <si>
    <t>http://public.eblib.com/choice/PublicFullRecord.aspx?p=3375040</t>
  </si>
  <si>
    <t>Carpal tunnel syndrome</t>
  </si>
  <si>
    <t>RC422.C26 -- .G853 1998eb</t>
  </si>
  <si>
    <t>Carpal tunnel syndrome -- Diagnosis.; Industrial accidents.; Musculoskeletal system -- Wounds and injuries -- Diagnosis.; Overuse injuries -- Diagnosis.</t>
  </si>
  <si>
    <t>http://public.eblib.com/choice/PublicFullRecord.aspx?p=3375041</t>
  </si>
  <si>
    <t>Le virus du Nil occidental : le connaître, réagir et se protéger</t>
  </si>
  <si>
    <t>Bourassa, Jean-Pierre</t>
  </si>
  <si>
    <t>RA644.W47 -- B68 2004eb</t>
  </si>
  <si>
    <t>614.5/885</t>
  </si>
  <si>
    <t>Insects as carriers of disease -- Popular works.; West Nile fever -- Popular works.; West Nile virus -- North America -- Popular works.; West Nile virus -- Popular works.</t>
  </si>
  <si>
    <t>http://public.eblib.com/choice/PublicFullRecord.aspx?p=3375042</t>
  </si>
  <si>
    <t>Patrimoines et identités</t>
  </si>
  <si>
    <t>AM2 -- .P38 2002eb</t>
  </si>
  <si>
    <t>Collective memory -- Congresses.; Cultural property -- Congresses.; Museums -- Social aspects -- Congresses.</t>
  </si>
  <si>
    <t>http://public.eblib.com/choice/PublicFullRecord.aspx?p=3375043</t>
  </si>
  <si>
    <t>La boulimie énergétique, suicide de l’humanité?</t>
  </si>
  <si>
    <t>HD9502.A2 -- L334 2002eb</t>
  </si>
  <si>
    <t>Energy consumption.; Energy policy.; Power resources.</t>
  </si>
  <si>
    <t>http://public.eblib.com/choice/PublicFullRecord.aspx?p=3375044</t>
  </si>
  <si>
    <t>La fibromyalgie</t>
  </si>
  <si>
    <t>Guité Marcel</t>
  </si>
  <si>
    <t>RC927.3 -- .G85 2000eb</t>
  </si>
  <si>
    <t>Fibromyalgia -- Treatment.</t>
  </si>
  <si>
    <t>http://public.eblib.com/choice/PublicFullRecord.aspx?p=3375045</t>
  </si>
  <si>
    <t>Dictionnaire biographique et historique de la micro-informatique</t>
  </si>
  <si>
    <t>Loranger, André</t>
  </si>
  <si>
    <t>QA76.17 -- .L67 2000eb</t>
  </si>
  <si>
    <t>Computer scientists -- Biography -- Dictionaries -- French.; Microcomputers -- History -- Dictionaries -- French.</t>
  </si>
  <si>
    <t>http://public.eblib.com/choice/PublicFullRecord.aspx?p=3375046</t>
  </si>
  <si>
    <t>Conservation de l’art contemporain et de l’architecture moderne : L’authenticité en question</t>
  </si>
  <si>
    <t>N6485 -- .C655 2010eb</t>
  </si>
  <si>
    <t>Architecture, Modern -- 20th century -- Conservation and restoration -- Congresses.; Art, Modern -- 20th century -- Conservation and restoration -- Congresses.</t>
  </si>
  <si>
    <t>http://public.eblib.com/choice/PublicFullRecord.aspx?p=3375047</t>
  </si>
  <si>
    <t>Shoulder tendinitis</t>
  </si>
  <si>
    <t>RC935.T4 -- .G853 1998eb</t>
  </si>
  <si>
    <t>Shoulder -- Wounds and injuries -- Diagnosis.; Tendinitis -- Diagnosis.; Tendons -- Diseases -- Diagnosis.</t>
  </si>
  <si>
    <t>http://public.eblib.com/choice/PublicFullRecord.aspx?p=3375048</t>
  </si>
  <si>
    <t>Données probantes et information</t>
  </si>
  <si>
    <t>RA449 -- .P75 1998eb</t>
  </si>
  <si>
    <t>Public health -- Canada.</t>
  </si>
  <si>
    <t>http://public.eblib.com/choice/PublicFullRecord.aspx?p=3375049</t>
  </si>
  <si>
    <t>La formation en muséologie et en éducation muséale à travers le monde</t>
  </si>
  <si>
    <t>Allard, Michel</t>
  </si>
  <si>
    <t>AM7 -- .F67 2001eb</t>
  </si>
  <si>
    <t>Museum techniques -- Study and teaching.</t>
  </si>
  <si>
    <t>http://public.eblib.com/choice/PublicFullRecord.aspx?p=3375050</t>
  </si>
  <si>
    <t>La démocratie, je l’invente!</t>
  </si>
  <si>
    <t>http://public.eblib.com/choice/PublicFullRecord.aspx?p=3375051</t>
  </si>
  <si>
    <t>Énergies renouvelables : mythes et obstacles</t>
  </si>
  <si>
    <t>TJ807.9.C2 -- L35 2010eb</t>
  </si>
  <si>
    <t>Renewable energy sources -- Québec (Province)</t>
  </si>
  <si>
    <t>http://public.eblib.com/choice/PublicFullRecord.aspx?p=3375052</t>
  </si>
  <si>
    <t>Mystère sans magie : science, doute et vérité : notre seul espoir pour l’avenir</t>
  </si>
  <si>
    <t>Barrette, Cyrille</t>
  </si>
  <si>
    <t>Q175 -- .B37 2006eb</t>
  </si>
  <si>
    <t>Science -- Philosophy.</t>
  </si>
  <si>
    <t>http://public.eblib.com/choice/PublicFullRecord.aspx?p=3375053</t>
  </si>
  <si>
    <t>Goût du monde ou saveurs locales?</t>
  </si>
  <si>
    <t>HD9000.5 -- .R39 2009eb</t>
  </si>
  <si>
    <t>Food supply.; Local foods.</t>
  </si>
  <si>
    <t>http://public.eblib.com/choice/PublicFullRecord.aspx?p=3375054</t>
  </si>
  <si>
    <t>L'évaluation technologique : pour mieux investir dans les nouvelles technologies</t>
  </si>
  <si>
    <t>HD62.37 -- .C74 2007eb</t>
  </si>
  <si>
    <t>High technology industries -- Finance.; Investment analysis.</t>
  </si>
  <si>
    <t>http://public.eblib.com/choice/PublicFullRecord.aspx?p=3375055</t>
  </si>
  <si>
    <t>Le patrimoine scolaire : sa sauvegarde et sa valorisation</t>
  </si>
  <si>
    <t>Meunier, Anik</t>
  </si>
  <si>
    <t>LA21 -- .P38 2006eb</t>
  </si>
  <si>
    <t>Cultural property -- Congresses.; Schools -- History -- Congresses.</t>
  </si>
  <si>
    <t>http://public.eblib.com/choice/PublicFullRecord.aspx?p=3375056</t>
  </si>
  <si>
    <t>La recherche en éducation muséale : actions et perspectives/Research in museum education : actions and perspectives</t>
  </si>
  <si>
    <t>AM7 -- .R43 2008eb</t>
  </si>
  <si>
    <t>Exhibitions -- Québec (Province) -- Montréal -- Congresses.; Museums -- Educational aspects -- Québec (Province) -- Congresses.; Museums and schools -- Québec (Province) -- Congresses.</t>
  </si>
  <si>
    <t>http://public.eblib.com/choice/PublicFullRecord.aspx?p=3375057</t>
  </si>
  <si>
    <t>Stephen Harper, le néo-Durham</t>
  </si>
  <si>
    <t>F1034.3.H37 -- L36 2012eb</t>
  </si>
  <si>
    <t>Canada -- Politics and government -- 2006-; Harper, Stephen, -- 1959-; Québec (Province) -- History -- Autonomy and independence movements.; Sovereignty.</t>
  </si>
  <si>
    <t>http://public.eblib.com/choice/PublicFullRecord.aspx?p=3375058</t>
  </si>
  <si>
    <t>Le monde fascinant des insectes</t>
  </si>
  <si>
    <t>QL467 -- .B68 2011eb</t>
  </si>
  <si>
    <t>Insects -- Popular works.</t>
  </si>
  <si>
    <t>http://public.eblib.com/choice/PublicFullRecord.aspx?p=3375059</t>
  </si>
  <si>
    <t>La science pour tous</t>
  </si>
  <si>
    <t>Q175.52.Q3 -- S35 2004eb</t>
  </si>
  <si>
    <t>Science -- Social aspects -- Québec (Province)</t>
  </si>
  <si>
    <t>http://public.eblib.com/choice/PublicFullRecord.aspx?p=3375060</t>
  </si>
  <si>
    <t>Le jardinage éconologique : quand économie rime avec écologie</t>
  </si>
  <si>
    <t>SB454.3.E53 -- M53 2004eb</t>
  </si>
  <si>
    <t>Gardening -- Economic aspects.; Gardening -- Environmental aspects.</t>
  </si>
  <si>
    <t>http://public.eblib.com/choice/PublicFullRecord.aspx?p=3375061</t>
  </si>
  <si>
    <t>Le regard infini : parcs, places et jardins publics de Québec</t>
  </si>
  <si>
    <t>Morency, Morency</t>
  </si>
  <si>
    <t>F1054.5.Q3 -- M67 1999eb</t>
  </si>
  <si>
    <t>917.1404/4</t>
  </si>
  <si>
    <t>Gardens -- Québec (Province) -- Québec.; Parks -- Québec (Province) -- Québec.; Public spaces -- Québec (Province) -- Québec.; Québec (Québec) -- Description and travel.; Québec (Québec) -- Pictorial works.</t>
  </si>
  <si>
    <t>http://public.eblib.com/choice/PublicFullRecord.aspx?p=3375062</t>
  </si>
  <si>
    <t>Les enfants et les adolescents</t>
  </si>
  <si>
    <t>RJ103.C2 -- D48 1998eb</t>
  </si>
  <si>
    <t>Children -- Health and hygiene -- Canada.; Teenagers -- Health and hygiene -- Canada.</t>
  </si>
  <si>
    <t>http://public.eblib.com/choice/PublicFullRecord.aspx?p=3375063</t>
  </si>
  <si>
    <t>Courants contemporains de recherche en éducation muséale</t>
  </si>
  <si>
    <t>Lemerise, Tamara</t>
  </si>
  <si>
    <t>AM21.Q3 -- C65 2000eb</t>
  </si>
  <si>
    <t>069/.15/09714</t>
  </si>
  <si>
    <t>Arts and teenagers -- Québec (Province) -- Congresses.; Industrial museums -- Educational aspects -- Québec (Province) -- Congresses.; Museum attendance -- Québec (Province) -- Congresses.; Museums -- Educational aspects -- Québec (Province) -- Congresses.; Museums and schools -- Québec (Province) -- Congresses.</t>
  </si>
  <si>
    <t>http://public.eblib.com/choice/PublicFullRecord.aspx?p=3375064</t>
  </si>
  <si>
    <t>Québec, 1900-2000 : le siècle d’une capitale</t>
  </si>
  <si>
    <t>Lebel, Jean-Marie</t>
  </si>
  <si>
    <t>F1054.5.Q3 -- L424 2000eb</t>
  </si>
  <si>
    <t>971.4/471</t>
  </si>
  <si>
    <t>Québec (Province) -- Capital and capitol.; Québec (Québec) -- History -- 20th century.</t>
  </si>
  <si>
    <t>http://public.eblib.com/choice/PublicFullRecord.aspx?p=3375065</t>
  </si>
  <si>
    <t>Le miroir du monde : évolution par sélection naturelle et mystère de la nature humaine</t>
  </si>
  <si>
    <t>GN281 -- .B37 2000eb</t>
  </si>
  <si>
    <t>Human evolution.</t>
  </si>
  <si>
    <t>http://public.eblib.com/choice/PublicFullRecord.aspx?p=3375066</t>
  </si>
  <si>
    <t>Le patrimoine de ma famille : comment le reconnaître et bien le conserver</t>
  </si>
  <si>
    <t>Trépanier, Paul</t>
  </si>
  <si>
    <t>GN406 -- .T74 1998eb</t>
  </si>
  <si>
    <t>Heirlooms.</t>
  </si>
  <si>
    <t>http://public.eblib.com/choice/PublicFullRecord.aspx?p=3375067</t>
  </si>
  <si>
    <t>Evidence and information</t>
  </si>
  <si>
    <t>RA449 -- .M355 1998eb</t>
  </si>
  <si>
    <t>http://public.eblib.com/choice/PublicFullRecord.aspx?p=3375068</t>
  </si>
  <si>
    <t>Histoire, musées et éducation à la citoyenneté</t>
  </si>
  <si>
    <t>D16.4.C3 -- H58 2010eb</t>
  </si>
  <si>
    <t>History -- Study and teaching -- Québec (Province)</t>
  </si>
  <si>
    <t>http://public.eblib.com/choice/PublicFullRecord.aspx?p=3375069</t>
  </si>
  <si>
    <t>Au bout du pétrole : tout ce que vous devez savoir sur la crise énergétique</t>
  </si>
  <si>
    <t>HD9502.A2 -- M68 2008eb</t>
  </si>
  <si>
    <t>Energy policy -- Canada.; Petroleum reserves.; Power resources.; Renewable energy sources.</t>
  </si>
  <si>
    <t>http://public.eblib.com/choice/PublicFullRecord.aspx?p=3375070</t>
  </si>
  <si>
    <t>La grande illusion</t>
  </si>
  <si>
    <t>Baril, Daniel</t>
  </si>
  <si>
    <t>BL263 -- .B37 2006eb</t>
  </si>
  <si>
    <t>Evolution (Biology) -- Religious aspects.; Natural selection.</t>
  </si>
  <si>
    <t>http://public.eblib.com/choice/PublicFullRecord.aspx?p=3375071</t>
  </si>
  <si>
    <t>Le monde de Tivi Etok : la vie et l’art d’un aîné inuit de Kangiqsualujjuaq, Nunavik</t>
  </si>
  <si>
    <t>Weetaluktuk, Jobie</t>
  </si>
  <si>
    <t>NE543.W44 -- A4 2008eb</t>
  </si>
  <si>
    <t>Etok, Tivi, -- 1929-; Prints, Canadian -- Québec (Province) -- 20th century.</t>
  </si>
  <si>
    <t>http://public.eblib.com/choice/PublicFullRecord.aspx?p=3375072</t>
  </si>
  <si>
    <t>Guide de rédaction stratégique</t>
  </si>
  <si>
    <t>Genest, Camille</t>
  </si>
  <si>
    <t>JF1525.R46 -- G46 2007eb</t>
  </si>
  <si>
    <t>Government report writing.</t>
  </si>
  <si>
    <t>http://public.eblib.com/choice/PublicFullRecord.aspx?p=3375073</t>
  </si>
  <si>
    <t>L'avenir du Québec passe par l'indépendance énergétique</t>
  </si>
  <si>
    <t>HD9502.C33 -- Q42725 2009eb</t>
  </si>
  <si>
    <t>Energy policy -- Québec (Province); Power resources -- Economic aspects -- Québec (Province); Renewable energy sources -- Québec (Province)</t>
  </si>
  <si>
    <t>http://public.eblib.com/choice/PublicFullRecord.aspx?p=3375074</t>
  </si>
  <si>
    <t>Le laboureur d’ondes : Guy Mauffette</t>
  </si>
  <si>
    <t>Dupont, Luc</t>
  </si>
  <si>
    <t>PN1991.4.M365 -- D87 2005eb</t>
  </si>
  <si>
    <t>Mauffette, Guy, -- 1915-; Radio broadcasters -- Canada -- Biography.</t>
  </si>
  <si>
    <t>http://public.eblib.com/choice/PublicFullRecord.aspx?p=3375075</t>
  </si>
  <si>
    <t>Vivre les changements climatiques : réagir pour l’avenir</t>
  </si>
  <si>
    <t>QC903 -- .V55 2007eb</t>
  </si>
  <si>
    <t>Climatic changes.</t>
  </si>
  <si>
    <t>http://public.eblib.com/choice/PublicFullRecord.aspx?p=3375076</t>
  </si>
  <si>
    <t>L'éducation muséale vue du Canada, des États-Unis et d’Europe : recherche sur les programmes et les expositions</t>
  </si>
  <si>
    <t>AM7 -- .E335 2006eb</t>
  </si>
  <si>
    <t>069/.15</t>
  </si>
  <si>
    <t>Museum techniques -- Congresses.; Museum visitors -- Congresses.; Museums -- Educational aspects -- Congresses.; Museums -- Educational aspects -- History -- Congresses.</t>
  </si>
  <si>
    <t>http://public.eblib.com/choice/PublicFullRecord.aspx?p=3375077</t>
  </si>
  <si>
    <t>L’architecture des arbres des régions tempérées</t>
  </si>
  <si>
    <t>Millet, Jeanne</t>
  </si>
  <si>
    <t>SB435 -- .M55 2012eb</t>
  </si>
  <si>
    <t>Arboriculture.; Landscape architecture.</t>
  </si>
  <si>
    <t>http://public.eblib.com/choice/PublicFullRecord.aspx?p=3375078</t>
  </si>
  <si>
    <t>Il était une fois… Québec Science</t>
  </si>
  <si>
    <t>Lemieux, Raymond</t>
  </si>
  <si>
    <t>Q223 -- .L44 2012eb</t>
  </si>
  <si>
    <t>Communication in science -- Québec (Province) -- History.; Science news -- Québec (Province) -- History.</t>
  </si>
  <si>
    <t>http://public.eblib.com/choice/PublicFullRecord.aspx?p=3375079</t>
  </si>
  <si>
    <t>101 questions pratiques sur l’eau</t>
  </si>
  <si>
    <t>Sérodes, Jean</t>
  </si>
  <si>
    <t>GB671 -- .S47 2011eb</t>
  </si>
  <si>
    <t>Water -- Popular works.</t>
  </si>
  <si>
    <t>http://public.eblib.com/choice/PublicFullRecord.aspx?p=3375080</t>
  </si>
  <si>
    <t>Les textes marquants des relations franco-québécoises (1961-2011)</t>
  </si>
  <si>
    <t>Dorval, André</t>
  </si>
  <si>
    <t>F1053.25.Q8 -- T49 2011eb</t>
  </si>
  <si>
    <t>France -- Relations -- Québec (Province); International cooperation -- France.; International cooperation -- Québec (Province); Québec (Province) -- History -- 1960-; Québec (Province) -- Relations -- France.</t>
  </si>
  <si>
    <t>http://public.eblib.com/choice/PublicFullRecord.aspx?p=3375081</t>
  </si>
  <si>
    <t>Le Mouvement Desjardins, 1997-2003 : un patrimoine coopératif défiguré et dénaturé</t>
  </si>
  <si>
    <t>Croteau, René</t>
  </si>
  <si>
    <t>HG2039.C2 -- C76 2004eb</t>
  </si>
  <si>
    <t>334/.2/0971459</t>
  </si>
  <si>
    <t>Banks and banking, Cooperative -- Québec (Province) -- History -- 20th century.; Mouvement des caisses populaires Desjardins -- History.</t>
  </si>
  <si>
    <t>http://public.eblib.com/choice/PublicFullRecord.aspx?p=3375082</t>
  </si>
  <si>
    <t>La science, de votre sous-sol jusqu’aux étoiles</t>
  </si>
  <si>
    <t>Cliche, Jean-François</t>
  </si>
  <si>
    <t>Q173 -- .C55 2010eb</t>
  </si>
  <si>
    <t>http://public.eblib.com/choice/PublicFullRecord.aspx?p=3375083</t>
  </si>
  <si>
    <t>Éditions MultiMondes, 25 ans de savoir en action</t>
  </si>
  <si>
    <t>MultiMondes</t>
  </si>
  <si>
    <t>TX335 -- .E358 2013eb</t>
  </si>
  <si>
    <t>Reference list.; School libraries -- Reference services.</t>
  </si>
  <si>
    <t>http://public.eblib.com/choice/PublicFullRecord.aspx?p=3375084</t>
  </si>
  <si>
    <t>Le ciel peut-il nous tomber sur la tête ?</t>
  </si>
  <si>
    <t>QB46 -- .U733 2013eb</t>
  </si>
  <si>
    <t>http://public.eblib.com/choice/PublicFullRecord.aspx?p=3375085</t>
  </si>
  <si>
    <t>Est-il trop tard ? : Le point sur les changements climatiques</t>
  </si>
  <si>
    <t>Geography/Travel; Agriculture</t>
  </si>
  <si>
    <t>G3701.C8 1901 -- .V555 2013eb</t>
  </si>
  <si>
    <t>Climatic changes.; Climatology.</t>
  </si>
  <si>
    <t>http://public.eblib.com/choice/PublicFullRecord.aspx?p=3375086</t>
  </si>
  <si>
    <t>Comment éradiquer le cancer</t>
  </si>
  <si>
    <t>M’Bemba-Meka, Prosper</t>
  </si>
  <si>
    <t>RC268 -- .M346 2013eb</t>
  </si>
  <si>
    <t>Cancer -- Prevention.; Cancer -- Treatment.</t>
  </si>
  <si>
    <t>http://public.eblib.com/choice/PublicFullRecord.aspx?p=3375087</t>
  </si>
  <si>
    <t>Dr Stanley Vollant : mon chemin innu</t>
  </si>
  <si>
    <t>RD21 -- .S288 2013eb</t>
  </si>
  <si>
    <t>Surgeons -- Québec (Province) -- Biography.</t>
  </si>
  <si>
    <t>http://public.eblib.com/choice/PublicFullRecord.aspx?p=3375088</t>
  </si>
  <si>
    <t>Les carnets d’un astrophysicien : À l’écoute des étoiles</t>
  </si>
  <si>
    <t>Roy, Jean-René</t>
  </si>
  <si>
    <t>QB461.3 -- .R69 2013eb</t>
  </si>
  <si>
    <t>Astrophysics -- Popular works.</t>
  </si>
  <si>
    <t>http://public.eblib.com/choice/PublicFullRecord.aspx?p=3375089</t>
  </si>
  <si>
    <t>Exploration Drogues : Premier contact</t>
  </si>
  <si>
    <t>Roy, Alain</t>
  </si>
  <si>
    <t>HV5801 -- .R69 2013eb</t>
  </si>
  <si>
    <t>Drug abuse -- Juvenile literature.; Drugs -- Juvenile literature.</t>
  </si>
  <si>
    <t>http://public.eblib.com/choice/PublicFullRecord.aspx?p=3375090</t>
  </si>
  <si>
    <t>In the Global Classroom 2</t>
  </si>
  <si>
    <t>Pippin Publishing Corporation</t>
  </si>
  <si>
    <t>Pike, Graham; Selby, David</t>
  </si>
  <si>
    <t>LB1029.G55 -- P55 2000eb</t>
  </si>
  <si>
    <t>Activity programs in education.; Global method of teaching.</t>
  </si>
  <si>
    <t>http://public.eblib.com/choice/PublicFullRecord.aspx?p=3385978</t>
  </si>
  <si>
    <t>In the Global Classroom 1</t>
  </si>
  <si>
    <t>LB1029.G55 -- P54 2000eb</t>
  </si>
  <si>
    <t>http://public.eblib.com/choice/PublicFullRecord.aspx?p=3385982</t>
  </si>
  <si>
    <t>Am I teaching well? : Self-Evaluation Strategies for Effective Teachers</t>
  </si>
  <si>
    <t>Nikolic, Vesna; Cabaj, Hanna</t>
  </si>
  <si>
    <t>LB2838 -- .N55 2000eb</t>
  </si>
  <si>
    <t>371.14/4</t>
  </si>
  <si>
    <t>Enseignants -- Auto-évaluation.; Teachers -- Self-rating of.</t>
  </si>
  <si>
    <t>http://public.eblib.com/choice/PublicFullRecord.aspx?p=3385983</t>
  </si>
  <si>
    <t>Look at Me When I Talk to You : EAL Learners in Non-EAL Classrooms</t>
  </si>
  <si>
    <t>Pippin</t>
  </si>
  <si>
    <t>Pippin Teacher's Library</t>
  </si>
  <si>
    <t>Helmer, Sylvia; Eddy, Catherine</t>
  </si>
  <si>
    <t>PE1128.A2 -- H45 2012eb</t>
  </si>
  <si>
    <t>428.0071/5</t>
  </si>
  <si>
    <t>Communication in education.; English language -- Study and teaching -- Foreign speakers.; Minorities -- Education.</t>
  </si>
  <si>
    <t>http://public.eblib.com/choice/PublicFullRecord.aspx?p=3386000</t>
  </si>
  <si>
    <t>New Language, New Literacy : Teaching Literacy to English Language Learners</t>
  </si>
  <si>
    <t>Pippin Publishing</t>
  </si>
  <si>
    <t>Bell, Jill Sinclair</t>
  </si>
  <si>
    <t>PE1128.A2 -- B45 2013eb</t>
  </si>
  <si>
    <t>English language -- Study and teaching -- Foreign speakers.</t>
  </si>
  <si>
    <t>http://public.eblib.com/choice/PublicFullRecord.aspx?p=3386001</t>
  </si>
  <si>
    <t>So Many Ways to Live in Difficult Conditions</t>
  </si>
  <si>
    <t>Les ��ditions Qu��bec Am��rique</t>
  </si>
  <si>
    <t>Les Éditions Québec Amérique</t>
  </si>
  <si>
    <t>QA International</t>
  </si>
  <si>
    <t>QP82 -- .S66 1999eb</t>
  </si>
  <si>
    <t>Adaptation (Biology); Animals -- Adaptation.</t>
  </si>
  <si>
    <t>http://public.eblib.com/choice/PublicFullRecord.aspx?p=3398638</t>
  </si>
  <si>
    <t>My Scrapbook of Discoveries and Inventions</t>
  </si>
  <si>
    <t>Professor Genius</t>
  </si>
  <si>
    <t>Q180.55.D57 -- G46 2006eb</t>
  </si>
  <si>
    <t>Inventions -- Juvenile literature.; Scientific discoveries -- Juvenile literature.</t>
  </si>
  <si>
    <t>http://public.eblib.com/choice/PublicFullRecord.aspx?p=3398639</t>
  </si>
  <si>
    <t>So Many Ways to Communicate</t>
  </si>
  <si>
    <t>QL776 -- .S66 1999eb</t>
  </si>
  <si>
    <t>Animal behavior.; Animal communication.</t>
  </si>
  <si>
    <t>http://public.eblib.com/choice/PublicFullRecord.aspx?p=3398640</t>
  </si>
  <si>
    <t>Family Guide to Health</t>
  </si>
  <si>
    <t>RA776 -- .F3613 2010eb</t>
  </si>
  <si>
    <t>Diseases -- Encyclopedias. ; Health -- Encyclopedias.; Human body -- Encyclopedias.; Medicine -- Popular works.; Preventive medicine -- Encyclopedias.</t>
  </si>
  <si>
    <t>http://public.eblib.com/choice/PublicFullRecord.aspx?p=3398641</t>
  </si>
  <si>
    <t>Tant de façons de vivre en société</t>
  </si>
  <si>
    <t>GN407.6 -- .T36 1998eb</t>
  </si>
  <si>
    <t>Domestic animals -- Effect of human beings on.; Human-animal relationships.</t>
  </si>
  <si>
    <t>http://public.eblib.com/choice/PublicFullRecord.aspx?p=3398642</t>
  </si>
  <si>
    <t>La Lune</t>
  </si>
  <si>
    <t>Mes carnets aux questions</t>
  </si>
  <si>
    <t>QB582 -- .G46 2005eb</t>
  </si>
  <si>
    <t>Moon -- Juvenile literature.; Moon -- Pictorial works.</t>
  </si>
  <si>
    <t>http://public.eblib.com/choice/PublicFullRecord.aspx?p=3398643</t>
  </si>
  <si>
    <t>Le Nouveau Dictionnaire Visuel Junior Français/Anglais</t>
  </si>
  <si>
    <t>Corbeil, Jean-Claude; Archambault, Ariane</t>
  </si>
  <si>
    <t>PC2629 -- .C6714 2007eb</t>
  </si>
  <si>
    <t>French (Language) -- Dictionaries, Juvenile.; Picture dictionaries -- Juvenile literature.</t>
  </si>
  <si>
    <t>http://public.eblib.com/choice/PublicFullRecord.aspx?p=3398644</t>
  </si>
  <si>
    <t>Trésors Ingénieux</t>
  </si>
  <si>
    <t>L'Encyclopédie aventure</t>
  </si>
  <si>
    <t>T15 -- .Y68 2004eb</t>
  </si>
  <si>
    <t>Inventions -- History -- Juvenile literature.; Technological innovations -- Juvenile literature.</t>
  </si>
  <si>
    <t>http://public.eblib.com/choice/PublicFullRecord.aspx?p=3398645</t>
  </si>
  <si>
    <t>Mon album de la Musique</t>
  </si>
  <si>
    <t>Professeur Génius</t>
  </si>
  <si>
    <t>ML3928 -- .G46 2006eb</t>
  </si>
  <si>
    <t>Music -- History and criticism -- Juvenile literature.</t>
  </si>
  <si>
    <t>http://public.eblib.com/choice/PublicFullRecord.aspx?p=3398646</t>
  </si>
  <si>
    <t>L'Environnement : Comprendre le fragile équilibre de la vie sur Terre</t>
  </si>
  <si>
    <t>QH541 -- .E58 2006eb</t>
  </si>
  <si>
    <t>Ecology.; Environmental disasters.</t>
  </si>
  <si>
    <t>http://public.eblib.com/choice/PublicFullRecord.aspx?p=3398647</t>
  </si>
  <si>
    <t>Understanding Weather and the Environment</t>
  </si>
  <si>
    <t>Visual Guides</t>
  </si>
  <si>
    <t>QP82.2.C5 -- U5313 2007eb</t>
  </si>
  <si>
    <t>Biodiversity -- Climatic factors.; Climatic changes -- Environmental aspects.</t>
  </si>
  <si>
    <t>http://public.eblib.com/choice/PublicFullRecord.aspx?p=3398648</t>
  </si>
  <si>
    <t>Encyclopédie familiale de la Santé</t>
  </si>
  <si>
    <t>RA776 -- .E53 2010eb</t>
  </si>
  <si>
    <t>Diseases -- Encyclopedias.; Health -- Encyclopedias.; Human body -- Encyclopedias.; Medicine -- Popular works.; Preventive medicine -- Encyclopedias.</t>
  </si>
  <si>
    <t>http://public.eblib.com/choice/PublicFullRecord.aspx?p=3398649</t>
  </si>
  <si>
    <t>My Scrapbook of Music</t>
  </si>
  <si>
    <t>http://public.eblib.com/choice/PublicFullRecord.aspx?p=3398650</t>
  </si>
  <si>
    <t>Le Petit Visuel Multilingue</t>
  </si>
  <si>
    <t>AG250 -- .C67 2008eb</t>
  </si>
  <si>
    <t>Picture dictionaries, Polyglot.</t>
  </si>
  <si>
    <t>http://public.eblib.com/choice/PublicFullRecord.aspx?p=3398651</t>
  </si>
  <si>
    <t>Atlas de la météo</t>
  </si>
  <si>
    <t>QC863.5 -- .A85 2003eb</t>
  </si>
  <si>
    <t>Meteorology -- Encyclopedias, Juvenile.</t>
  </si>
  <si>
    <t>http://public.eblib.com/choice/PublicFullRecord.aspx?p=3398652</t>
  </si>
  <si>
    <t>Mon Premier Visuel - Uniligue</t>
  </si>
  <si>
    <t>PC2629 -- .C67 2005eb</t>
  </si>
  <si>
    <t>French language -- Dictionaries, Juvenile.; Picture dictionaries, French -- Juvenile literature.</t>
  </si>
  <si>
    <t>http://public.eblib.com/choice/PublicFullRecord.aspx?p=3398653</t>
  </si>
  <si>
    <t>Mon album de la connaissance du Professeur Génius</t>
  </si>
  <si>
    <t>Q163 -- .G46 2012eb</t>
  </si>
  <si>
    <t>Music -- Juvenile literature.; Science -- Juvenile literature.</t>
  </si>
  <si>
    <t>http://public.eblib.com/choice/PublicFullRecord.aspx?p=3398654</t>
  </si>
  <si>
    <t>Art and Architecture</t>
  </si>
  <si>
    <t>Visual Dictionary</t>
  </si>
  <si>
    <t>NX80 -- .C67 2009eb</t>
  </si>
  <si>
    <t>Architecture -- Dictionaries.; Art -- Dictionaries.; Picture dictionaries, English.</t>
  </si>
  <si>
    <t>http://public.eblib.com/choice/PublicFullRecord.aspx?p=3398655</t>
  </si>
  <si>
    <t>Understanding Plants and The Vegetable Kingdom</t>
  </si>
  <si>
    <t>QK46.5.D58 -- P5313 2007eb</t>
  </si>
  <si>
    <t>Biodiversity -- Encyclopedias.; Plant diversity -- Encyclopedias.</t>
  </si>
  <si>
    <t>http://public.eblib.com/choice/PublicFullRecord.aspx?p=3398656</t>
  </si>
  <si>
    <t>La Mini-encyclopédie des aliments</t>
  </si>
  <si>
    <t>Health</t>
  </si>
  <si>
    <t>TX349 -- .M56 2008eb</t>
  </si>
  <si>
    <t>Food -- Encyclopedias.; Kitchen -- Encyclopedias.; Nutrition -- Encyclopedias.</t>
  </si>
  <si>
    <t>http://public.eblib.com/choice/PublicFullRecord.aspx?p=3398657</t>
  </si>
  <si>
    <t>Living Treasures</t>
  </si>
  <si>
    <t>Young Explorers’ Guide</t>
  </si>
  <si>
    <t>QL49 -- .L5813 2010eb</t>
  </si>
  <si>
    <t>Animals -- Encyclopedias, Juvenile.; Plants -- Encyclopedias, Juvenile.</t>
  </si>
  <si>
    <t>http://public.eblib.com/choice/PublicFullRecord.aspx?p=3398658</t>
  </si>
  <si>
    <t>Arts et Architectures</t>
  </si>
  <si>
    <t>Dictionnaire Visuel</t>
  </si>
  <si>
    <t>Architecture -- Dictionaries -- French.; Arts -- Dictionaries -- French.; French (Language) -- Dictionaries, Juvenile.; Picture dictionaries, French.</t>
  </si>
  <si>
    <t>http://public.eblib.com/choice/PublicFullRecord.aspx?p=3398659</t>
  </si>
  <si>
    <t>Le Visuel du Corps Humain</t>
  </si>
  <si>
    <t>QP11 -- .V57 2009eb</t>
  </si>
  <si>
    <t>Human anatomy -- Encyclopedias.; Human body -- Encyclopedias.; Human physiology -- Encyclopedias.; Picture dictionaries, French.</t>
  </si>
  <si>
    <t>http://public.eblib.com/choice/PublicFullRecord.aspx?p=3398660</t>
  </si>
  <si>
    <t>Le Micro Visuel français-espagnol</t>
  </si>
  <si>
    <t>PC2640 -- .C77 2010eb</t>
  </si>
  <si>
    <t>French language -- Dictionaries -- Spanish.; Picture dictionaries, French.; Picture dictionaries, Spanish.; Spanish language -- Dictionaries -- French.</t>
  </si>
  <si>
    <t>http://public.eblib.com/choice/PublicFullRecord.aspx?p=3398661</t>
  </si>
  <si>
    <t>My Scrapbook of Sciences</t>
  </si>
  <si>
    <t>Q163 -- .P76 2007eb</t>
  </si>
  <si>
    <t>Science -- Juvenile literature.</t>
  </si>
  <si>
    <t>http://public.eblib.com/choice/PublicFullRecord.aspx?p=3398662</t>
  </si>
  <si>
    <t>Les Plantes</t>
  </si>
  <si>
    <t>Guide de la connaissance</t>
  </si>
  <si>
    <t>QK45.2 -- .P53 2007eb</t>
  </si>
  <si>
    <t>Botany.; Plant diversity.; Plant ecology.; Plants.</t>
  </si>
  <si>
    <t>http://public.eblib.com/choice/PublicFullRecord.aspx?p=3398663</t>
  </si>
  <si>
    <t>Atlas des océans</t>
  </si>
  <si>
    <t>GC21.5 -- .A85 2004eb</t>
  </si>
  <si>
    <t>Ocean -- Juvenile literature.; Oceanography -- Juvenile literature.</t>
  </si>
  <si>
    <t>http://public.eblib.com/choice/PublicFullRecord.aspx?p=3398664</t>
  </si>
  <si>
    <t>Mon Premier Visuel - Bilingue</t>
  </si>
  <si>
    <t>http://public.eblib.com/choice/PublicFullRecord.aspx?p=3398665</t>
  </si>
  <si>
    <t>Human Being</t>
  </si>
  <si>
    <t>Science: Anatomy/Physiology; Science</t>
  </si>
  <si>
    <t>QM25 -- .C67 2009eb</t>
  </si>
  <si>
    <t>Human anatomy -- Atlases.</t>
  </si>
  <si>
    <t>http://public.eblib.com/choice/PublicFullRecord.aspx?p=3398666</t>
  </si>
  <si>
    <t>Food and Kitchen</t>
  </si>
  <si>
    <t>TX350 -- .C67 2009eb</t>
  </si>
  <si>
    <t>Food -- Dictionaries -- French.; Kitchen appliances -- Dictionaries -- English.; Kitchen utensils -- Dictionaries -- English.; Picture dictionaries, English.; Picture dictionaries, French.</t>
  </si>
  <si>
    <t>http://public.eblib.com/choice/PublicFullRecord.aspx?p=3398667</t>
  </si>
  <si>
    <t>So Many Ways to Defend Themselves</t>
  </si>
  <si>
    <t>QL759 -- .S66 1998eb</t>
  </si>
  <si>
    <t>Animal behavior.; Animal defenses.</t>
  </si>
  <si>
    <t>http://public.eblib.com/choice/PublicFullRecord.aspx?p=3398668</t>
  </si>
  <si>
    <t>Le Micro Visuel fançais-anglais</t>
  </si>
  <si>
    <t>General Works/Reference; Language/Linguistics</t>
  </si>
  <si>
    <t>AG250 -- .C67 2010eb</t>
  </si>
  <si>
    <t>443/.1</t>
  </si>
  <si>
    <t>English language -- Dictionaries -- French.; French language -- Dictionaries -- English.; Picture dictionaries, English.; Picture dictionaries, French.</t>
  </si>
  <si>
    <t>http://public.eblib.com/choice/PublicFullRecord.aspx?p=3398669</t>
  </si>
  <si>
    <t>Trésors Vivants</t>
  </si>
  <si>
    <t>QL49 -- .T74 2006eb</t>
  </si>
  <si>
    <t>http://public.eblib.com/choice/PublicFullRecord.aspx?p=3398670</t>
  </si>
  <si>
    <t>Le Guide des aliments</t>
  </si>
  <si>
    <t>TX349 -- .G85 1999eb</t>
  </si>
  <si>
    <t>Cooking -- Encyclopedias.; Food -- Encyclopedias.; Kitchens -- Encyclopedias.</t>
  </si>
  <si>
    <t>http://public.eblib.com/choice/PublicFullRecord.aspx?p=3398671</t>
  </si>
  <si>
    <t>Atlas de l'Univers</t>
  </si>
  <si>
    <t>QB497 -- .A85 2004eb</t>
  </si>
  <si>
    <t>Universe -- Encyclopedias, Juvenile.</t>
  </si>
  <si>
    <t>http://public.eblib.com/choice/PublicFullRecord.aspx?p=3398672</t>
  </si>
  <si>
    <t>Le Visuel Définitions</t>
  </si>
  <si>
    <t>PC2629 -- .C67 2009eb</t>
  </si>
  <si>
    <t>Picture dictionaries, French.</t>
  </si>
  <si>
    <t>http://public.eblib.com/choice/PublicFullRecord.aspx?p=3398673</t>
  </si>
  <si>
    <t>Inventions</t>
  </si>
  <si>
    <t>My Notebook of Questions</t>
  </si>
  <si>
    <t>T15 -- .G4613 2007eb</t>
  </si>
  <si>
    <t>Children''s reference books.; Inventions -- History.; Inventions.</t>
  </si>
  <si>
    <t>http://public.eblib.com/choice/PublicFullRecord.aspx?p=3398674</t>
  </si>
  <si>
    <t>Alimentation et Cuisine</t>
  </si>
  <si>
    <t>641.3/003</t>
  </si>
  <si>
    <t>Food -- Dictionaries -- French.; Kitchen appliances -- Dictionaries -- French.; Kitchen utensils -- Dictionaries -- French.; Picture dictionaries, English.; Picture dictionaries, French.</t>
  </si>
  <si>
    <t>http://public.eblib.com/choice/PublicFullRecord.aspx?p=3398675</t>
  </si>
  <si>
    <t>Plants and Gardening</t>
  </si>
  <si>
    <t>SB450.97 -- .C67 2009eb</t>
  </si>
  <si>
    <t>Gardening.; Picture dictionaries.; Planting (Plant culture)</t>
  </si>
  <si>
    <t>http://public.eblib.com/choice/PublicFullRecord.aspx?p=3398676</t>
  </si>
  <si>
    <t>Transportation</t>
  </si>
  <si>
    <t>HE141 -- .C67 2009eb</t>
  </si>
  <si>
    <t>Picture dictionaries, English.; Transportation -- Dictionaries.</t>
  </si>
  <si>
    <t>http://public.eblib.com/choice/PublicFullRecord.aspx?p=3398677</t>
  </si>
  <si>
    <t>So Many Ways to Build a Shelter</t>
  </si>
  <si>
    <t>QL756 -- .S6613 1998eb</t>
  </si>
  <si>
    <t>Animals -- Habitations.</t>
  </si>
  <si>
    <t>http://public.eblib.com/choice/PublicFullRecord.aspx?p=3398678</t>
  </si>
  <si>
    <t>Visual Dictionary of the Human Body : English/Spanish</t>
  </si>
  <si>
    <t>QM27 -- .V57 2009eb</t>
  </si>
  <si>
    <t>611/.003</t>
  </si>
  <si>
    <t>Human anatomy -- Atlases.; Human anatomy -- Dictionaries.</t>
  </si>
  <si>
    <t>http://public.eblib.com/choice/PublicFullRecord.aspx?p=3398679</t>
  </si>
  <si>
    <t>Le Mini Visuel français-anglais</t>
  </si>
  <si>
    <t>AG250 -- .C67 2005eb</t>
  </si>
  <si>
    <t>http://public.eblib.com/choice/PublicFullRecord.aspx?p=3398680</t>
  </si>
  <si>
    <t>Encyclopédie Junior des Sports</t>
  </si>
  <si>
    <t>GV567 -- .E53 2002eb</t>
  </si>
  <si>
    <t>Sports -- Encyclopedias, Juvenile.</t>
  </si>
  <si>
    <t>http://public.eblib.com/choice/PublicFullRecord.aspx?p=3398681</t>
  </si>
  <si>
    <t>Atlas de la Terre</t>
  </si>
  <si>
    <t>QB631 -- .A85 2005eb</t>
  </si>
  <si>
    <t>Earth (Planet) -- Encyclopedias, Juvenile.</t>
  </si>
  <si>
    <t>http://public.eblib.com/choice/PublicFullRecord.aspx?p=3398682</t>
  </si>
  <si>
    <t>Le Nouveau Dictionnaire Visuel Multilingue</t>
  </si>
  <si>
    <t>AG250 -- .C67 2003eb</t>
  </si>
  <si>
    <t>http://public.eblib.com/choice/PublicFullRecord.aspx?p=3398683</t>
  </si>
  <si>
    <t>Mon album des Découvertes et Inventions</t>
  </si>
  <si>
    <t>http://public.eblib.com/choice/PublicFullRecord.aspx?p=3398684</t>
  </si>
  <si>
    <t>Environment : Understanding the Delicate Balance of Life on Earth</t>
  </si>
  <si>
    <t>QH541 -- .E5813 2008eb</t>
  </si>
  <si>
    <t>http://public.eblib.com/choice/PublicFullRecord.aspx?p=3398685</t>
  </si>
  <si>
    <t>Clothing and Personal Adornment</t>
  </si>
  <si>
    <t>TT494 -- .C67 2009eb</t>
  </si>
  <si>
    <t>Beauty, Personal -- Dictionaries.; Clothing and dress -- Dictionaries.</t>
  </si>
  <si>
    <t>http://public.eblib.com/choice/PublicFullRecord.aspx?p=3398686</t>
  </si>
  <si>
    <t>Science and Energy</t>
  </si>
  <si>
    <t>TJ163.9 -- .C67 2009eb</t>
  </si>
  <si>
    <t>Power (Mechanics)</t>
  </si>
  <si>
    <t>http://public.eblib.com/choice/PublicFullRecord.aspx?p=3398687</t>
  </si>
  <si>
    <t>Dinosaurs</t>
  </si>
  <si>
    <t>QE861.5 -- .P76 2006eb</t>
  </si>
  <si>
    <t>Dinosaurs -- Juvenile literature.</t>
  </si>
  <si>
    <t>http://public.eblib.com/choice/PublicFullRecord.aspx?p=3398688</t>
  </si>
  <si>
    <t>My Scrapbook of the Human Body</t>
  </si>
  <si>
    <t>QP37 -- .P76 2006eb</t>
  </si>
  <si>
    <t>Human anatomy -- Juvenile literature.; Human body -- Juvenile literature.</t>
  </si>
  <si>
    <t>http://public.eblib.com/choice/PublicFullRecord.aspx?p=3398689</t>
  </si>
  <si>
    <t>Encyclopédie Visuelle des Sports</t>
  </si>
  <si>
    <t>GV567 -- .E53 2000eb</t>
  </si>
  <si>
    <t>Picture dictionaries, French.; Sports -- Encyclopedias.</t>
  </si>
  <si>
    <t>http://public.eblib.com/choice/PublicFullRecord.aspx?p=3398690</t>
  </si>
  <si>
    <t>Tant de façons de se nourrir</t>
  </si>
  <si>
    <t>QL756.5 -- .T36 1999eb</t>
  </si>
  <si>
    <t>Animal behavior -- Juvenile literature.; Animals -- Food -- Juvenile literature.</t>
  </si>
  <si>
    <t>http://public.eblib.com/choice/PublicFullRecord.aspx?p=3398691</t>
  </si>
  <si>
    <t>La Cuisine au fil des mots</t>
  </si>
  <si>
    <t>TX349 -- .A239 2011eb</t>
  </si>
  <si>
    <t>Cooking -- Dictionaries -- French.</t>
  </si>
  <si>
    <t>http://public.eblib.com/choice/PublicFullRecord.aspx?p=3398692</t>
  </si>
  <si>
    <t>Mon atlas du Canada</t>
  </si>
  <si>
    <t>G1115 -- .M66 2006eb</t>
  </si>
  <si>
    <t>Atlases, Canadian -- Juvenile literature.; Canada -- Maps.; Canadian provinces -- Juvenile literature.; Children''s atlases.</t>
  </si>
  <si>
    <t>http://public.eblib.com/choice/PublicFullRecord.aspx?p=3398693</t>
  </si>
  <si>
    <t>Animal Kingdom</t>
  </si>
  <si>
    <t>QL49 -- .C67 2009eb</t>
  </si>
  <si>
    <t>Animals -- Dictionaries, Juvenile.</t>
  </si>
  <si>
    <t>http://public.eblib.com/choice/PublicFullRecord.aspx?p=3398694</t>
  </si>
  <si>
    <t>L'Univers</t>
  </si>
  <si>
    <t>QB14 -- .U55 2001eb</t>
  </si>
  <si>
    <t>Astronomy -- Encyclopedias.; Solar system -- Encyclopedias.</t>
  </si>
  <si>
    <t>http://public.eblib.com/choice/PublicFullRecord.aspx?p=3398695</t>
  </si>
  <si>
    <t>Visual Encyclopedia of Our World</t>
  </si>
  <si>
    <t>QB631 -- .V57 2007eb</t>
  </si>
  <si>
    <t>Earth (Planet)</t>
  </si>
  <si>
    <t>http://public.eblib.com/choice/PublicFullRecord.aspx?p=3398696</t>
  </si>
  <si>
    <t>Understanding The Earth</t>
  </si>
  <si>
    <t>QE26.3 -- .U53 2007eb</t>
  </si>
  <si>
    <t>Earth sciences.</t>
  </si>
  <si>
    <t>http://public.eblib.com/choice/PublicFullRecord.aspx?p=3398697</t>
  </si>
  <si>
    <t>Moon</t>
  </si>
  <si>
    <t>QB582 -- .P76 2005eb</t>
  </si>
  <si>
    <t>Moon -- Juvenile literature.</t>
  </si>
  <si>
    <t>http://public.eblib.com/choice/PublicFullRecord.aspx?p=3398698</t>
  </si>
  <si>
    <t>Le Nouveau Dictionnaire Visuel français-anglais</t>
  </si>
  <si>
    <t>AG250 -- .C67 2009eb</t>
  </si>
  <si>
    <t>http://public.eblib.com/choice/PublicFullRecord.aspx?p=3398699</t>
  </si>
  <si>
    <t>My Scrapbook of the Story of Life</t>
  </si>
  <si>
    <t>QH367.1 -- .G46 2006eb</t>
  </si>
  <si>
    <t>Evolution (Biology) -- Juvenile literature.</t>
  </si>
  <si>
    <t>http://public.eblib.com/choice/PublicFullRecord.aspx?p=3398700</t>
  </si>
  <si>
    <t>Tant de façons d'aménager un abri</t>
  </si>
  <si>
    <t>QL756 -- .T36 1998eb</t>
  </si>
  <si>
    <t>http://public.eblib.com/choice/PublicFullRecord.aspx?p=3398701</t>
  </si>
  <si>
    <t>Règne Animal</t>
  </si>
  <si>
    <t>QL9 -- .C67 2009eb</t>
  </si>
  <si>
    <t>590/.03</t>
  </si>
  <si>
    <t>Animals -- Dictionaries -- French.; Picture dictionaries, English.; Picture dictionaries, French.</t>
  </si>
  <si>
    <t>http://public.eblib.com/choice/PublicFullRecord.aspx?p=3398702</t>
  </si>
  <si>
    <t>Tant de façons de se reproduire</t>
  </si>
  <si>
    <t>QP251.5 -- .T36 1998eb</t>
  </si>
  <si>
    <t>Animal behavior -- Juvenile literature.; Reproduction -- Juvenile literature.</t>
  </si>
  <si>
    <t>http://public.eblib.com/choice/PublicFullRecord.aspx?p=3398703</t>
  </si>
  <si>
    <t>Le Corps</t>
  </si>
  <si>
    <t>QP37 -- .P76 2007eb</t>
  </si>
  <si>
    <t>Human anatomy -- Juvenile literature.; Human body -- Juvenile literature.; Human physiology -- Juvenile literature.</t>
  </si>
  <si>
    <t>http://public.eblib.com/choice/PublicFullRecord.aspx?p=3398704</t>
  </si>
  <si>
    <t>Sports : The Complete Visual Reference</t>
  </si>
  <si>
    <t>GV704 -- .S66 2005eb</t>
  </si>
  <si>
    <t>Sports.</t>
  </si>
  <si>
    <t>http://public.eblib.com/choice/PublicFullRecord.aspx?p=3398705</t>
  </si>
  <si>
    <t>So Many Ways to Reproduce</t>
  </si>
  <si>
    <t>QP251.5 -- .S66 1998eb</t>
  </si>
  <si>
    <t>http://public.eblib.com/choice/PublicFullRecord.aspx?p=3398706</t>
  </si>
  <si>
    <t>Les Inventions</t>
  </si>
  <si>
    <t>T48 -- .P76 2007eb</t>
  </si>
  <si>
    <t>Inventions -- History -- Juvenile literature.; Inventions -- Juvenile literature.</t>
  </si>
  <si>
    <t>http://public.eblib.com/choice/PublicFullRecord.aspx?p=3398707</t>
  </si>
  <si>
    <t>Le Mini Visuel français-espagnol</t>
  </si>
  <si>
    <t>PC4645.F3 -- C58 2007eb</t>
  </si>
  <si>
    <t>http://public.eblib.com/choice/PublicFullRecord.aspx?p=3398708</t>
  </si>
  <si>
    <t>Body</t>
  </si>
  <si>
    <t>http://public.eblib.com/choice/PublicFullRecord.aspx?p=3398709</t>
  </si>
  <si>
    <t>Le Corps humain</t>
  </si>
  <si>
    <t>QP34.5 -- .C67 2008eb</t>
  </si>
  <si>
    <t>Human anatomy -- Encyclopedias.; Human body -- Encyclopedias.; Human physiology -- Encyclopedias.</t>
  </si>
  <si>
    <t>http://public.eblib.com/choice/PublicFullRecord.aspx?p=3398710</t>
  </si>
  <si>
    <t>Tant de façons de vivre dans des conditions difficiles</t>
  </si>
  <si>
    <t>QH546 -- .T36 1999eb</t>
  </si>
  <si>
    <t>Acclimatization -- Juvenile literature.; Animal behavior -- Juvenile literature.; Animals -- Adaptation -- Juvenile literature.</t>
  </si>
  <si>
    <t>http://public.eblib.com/choice/PublicFullRecord.aspx?p=3398711</t>
  </si>
  <si>
    <t>Mon album des Sciences</t>
  </si>
  <si>
    <t>Q163 -- .M66 2007eb</t>
  </si>
  <si>
    <t>http://public.eblib.com/choice/PublicFullRecord.aspx?p=3398712</t>
  </si>
  <si>
    <t>Être Humain</t>
  </si>
  <si>
    <t>Science: Anatomy/Physiology; Science; Science: Biology/Natural History</t>
  </si>
  <si>
    <t>QP11 -- .C67 2009eb</t>
  </si>
  <si>
    <t>612/.003</t>
  </si>
  <si>
    <t>Human anatomy -- Dictionaries -- French.; Human biology -- Dictionaries -- French.; Picture dictionaries, English.; Picture dictionaries, French.</t>
  </si>
  <si>
    <t>http://public.eblib.com/choice/PublicFullRecord.aspx?p=3398713</t>
  </si>
  <si>
    <t>Tant de façons de communiquer</t>
  </si>
  <si>
    <t>QL776 -- .T36 1999eb</t>
  </si>
  <si>
    <t>Animal behavior -- Juvenile literature.; Animal communication -- Juvenile literature.</t>
  </si>
  <si>
    <t>http://public.eblib.com/choice/PublicFullRecord.aspx?p=3398714</t>
  </si>
  <si>
    <t>Les Dinosaures</t>
  </si>
  <si>
    <t>http://public.eblib.com/choice/PublicFullRecord.aspx?p=3398715</t>
  </si>
  <si>
    <t>Communications and Office Automation</t>
  </si>
  <si>
    <t>HF5548 -- .C67 2009eb</t>
  </si>
  <si>
    <t>Communication in organizations.; Office practice -- Automation.</t>
  </si>
  <si>
    <t>http://public.eblib.com/choice/PublicFullRecord.aspx?p=3398716</t>
  </si>
  <si>
    <t>House and Do-It-Yourself</t>
  </si>
  <si>
    <t>TH4817 -- .C67 2009eb</t>
  </si>
  <si>
    <t>Dwellings -- Maintenance and repair.</t>
  </si>
  <si>
    <t>http://public.eblib.com/choice/PublicFullRecord.aspx?p=3398717</t>
  </si>
  <si>
    <t>So Many Ways to Live in Society</t>
  </si>
  <si>
    <t>QL775 -- .S66 1999eb</t>
  </si>
  <si>
    <t>Animal behavior -- Juvenile literature.; Social behavior in animals -- Juvenile literature.</t>
  </si>
  <si>
    <t>http://public.eblib.com/choice/PublicFullRecord.aspx?p=3398718</t>
  </si>
  <si>
    <t>Buried Treasures</t>
  </si>
  <si>
    <t>G133 -- .Y68 2008eb</t>
  </si>
  <si>
    <t>Geography -- Juvenile literature.</t>
  </si>
  <si>
    <t>http://public.eblib.com/choice/PublicFullRecord.aspx?p=3398719</t>
  </si>
  <si>
    <t>Le Mini Visuel français-italien</t>
  </si>
  <si>
    <t>PC1645.F3 -- C67 2009eb</t>
  </si>
  <si>
    <t>French language -- Dictionaries -- Italian.; Italian Language -- Dictionaries -- French.; Picture dictionaries, French.; Picture dictionaries, Italian.</t>
  </si>
  <si>
    <t>Italian</t>
  </si>
  <si>
    <t>http://public.eblib.com/choice/PublicFullRecord.aspx?p=3398720</t>
  </si>
  <si>
    <t>Planète Vivante</t>
  </si>
  <si>
    <t>QH541.14 -- .P53 2010eb</t>
  </si>
  <si>
    <t>Animals -- Juvenile literature.; Biodiversity -- Juvenile literature.; Biotic communities -- Juvenile literature.; Nature -- Effect of human beings on -- Juvenile literature.</t>
  </si>
  <si>
    <t>http://public.eblib.com/choice/PublicFullRecord.aspx?p=3398721</t>
  </si>
  <si>
    <t>La Météo</t>
  </si>
  <si>
    <t>QC854 -- .M48 2001eb</t>
  </si>
  <si>
    <t>Climatology -- Encyclopedias.; Earth (Planet) -- Encyclopedias.; Ecology -- Encyclopedias.; Meteorology -- Encyclopedias.</t>
  </si>
  <si>
    <t>http://public.eblib.com/choice/PublicFullRecord.aspx?p=3398722</t>
  </si>
  <si>
    <t>Tant de façons de se déplacer</t>
  </si>
  <si>
    <t>QP301 -- .T36 1999eb</t>
  </si>
  <si>
    <t>Animal behavior -- Juvenile literature.; Animal locomotion -- Juvenile literature.</t>
  </si>
  <si>
    <t>http://public.eblib.com/choice/PublicFullRecord.aspx?p=3398723</t>
  </si>
  <si>
    <t>Tant de façons de se défendre</t>
  </si>
  <si>
    <t>QL759 -- .T36 1998eb</t>
  </si>
  <si>
    <t>Animal behavior -- Juvenile literature.; Animal defenses -- Juvenile literature.</t>
  </si>
  <si>
    <t>http://public.eblib.com/choice/PublicFullRecord.aspx?p=3398724</t>
  </si>
  <si>
    <t>Mon album de l'Univers</t>
  </si>
  <si>
    <t>QB500.22 -- .P76 2004eb</t>
  </si>
  <si>
    <t>Astronomy -- Juvenile literature.; Cosmology -- Juvenile literature.</t>
  </si>
  <si>
    <t>http://public.eblib.com/choice/PublicFullRecord.aspx?p=3398725</t>
  </si>
  <si>
    <t>La Terre</t>
  </si>
  <si>
    <t>QE5 -- .T47 2007eb</t>
  </si>
  <si>
    <t>Earth (Planet) -- Encyclopedias.; Earth sciences -- Encyclopedias.</t>
  </si>
  <si>
    <t>http://public.eblib.com/choice/PublicFullRecord.aspx?p=3398726</t>
  </si>
  <si>
    <t>L'Atlas de notre monde</t>
  </si>
  <si>
    <t>G1021 -- .E229 2008eb</t>
  </si>
  <si>
    <t>Atlases.; Human geography -- Maps.; Physical geography -- Maps.; Physical geography -- Maps.</t>
  </si>
  <si>
    <t>http://public.eblib.com/choice/PublicFullRecord.aspx?p=3398727</t>
  </si>
  <si>
    <t>Visual World Atlas</t>
  </si>
  <si>
    <t>G1021 -- .V57 2008eb</t>
  </si>
  <si>
    <t>Atlases.; Physical geography -- Maps.</t>
  </si>
  <si>
    <t>http://public.eblib.com/choice/PublicFullRecord.aspx?p=3398728</t>
  </si>
  <si>
    <t>Sports and Games</t>
  </si>
  <si>
    <t>GV567 -- .C67 2009eb</t>
  </si>
  <si>
    <t>Picture dictionaries, English.; Sports -- Dictionaries.</t>
  </si>
  <si>
    <t>http://public.eblib.com/choice/PublicFullRecord.aspx?p=3398729</t>
  </si>
  <si>
    <t>Understanding The Universe</t>
  </si>
  <si>
    <t>QB14 -- .U5313 2007eb</t>
  </si>
  <si>
    <t>Astronomy -- Encyclopedias.; Astronomy -- Observations -- Encyclopedias.; Cosmography -- Encyclopedias.; Outer space -- Exploration -- Encyclopedias.; Planets -- Encyclopedias.; Stars -- Encyclopedias.</t>
  </si>
  <si>
    <t>http://public.eblib.com/choice/PublicFullRecord.aspx?p=3398730</t>
  </si>
  <si>
    <t>So Many Ways to Eat</t>
  </si>
  <si>
    <t>QL756.5 -- .S66 1998eb</t>
  </si>
  <si>
    <t>Animal behavior.; Animals -- Food.</t>
  </si>
  <si>
    <t>http://public.eblib.com/choice/PublicFullRecord.aspx?p=3398731</t>
  </si>
  <si>
    <t>My Scrapbook of the Universe</t>
  </si>
  <si>
    <t>QB500.22 -- .G46 2006eb</t>
  </si>
  <si>
    <t>Astronomy -- Juvenile literature.; Children''s reference books.; Universe -- Juvenile literature.</t>
  </si>
  <si>
    <t>http://public.eblib.com/choice/PublicFullRecord.aspx?p=3398732</t>
  </si>
  <si>
    <t>Ingenious Treasures</t>
  </si>
  <si>
    <t>http://public.eblib.com/choice/PublicFullRecord.aspx?p=3398733</t>
  </si>
  <si>
    <t>L'Encyclopédie Visuelle des aliments</t>
  </si>
  <si>
    <t>TX349 -- .E53 1996eb</t>
  </si>
  <si>
    <t>Food -- Encyclopedias.; Food -- Pictorial works.; Kitchen -- Encyclopedias.; Kitchen -- Pictorial works.</t>
  </si>
  <si>
    <t>http://public.eblib.com/choice/PublicFullRecord.aspx?p=3398734</t>
  </si>
  <si>
    <t>Le Nouveau Dictionnaire Visuel Junior</t>
  </si>
  <si>
    <t>PC2629 -- .C67 2008eb</t>
  </si>
  <si>
    <t>http://public.eblib.com/choice/PublicFullRecord.aspx?p=3398735</t>
  </si>
  <si>
    <t>Mon album du corps humain</t>
  </si>
  <si>
    <t>http://public.eblib.com/choice/PublicFullRecord.aspx?p=3398736</t>
  </si>
  <si>
    <t>Encyclopédie Visuelle de Notre Monde</t>
  </si>
  <si>
    <t>QB631.4 -- .E53 2007eb</t>
  </si>
  <si>
    <t>Astronomy -- Encyclopedias, Juvenile -- Pictorial works.; Earth (Planet) -- Encyclopedias, Juvenile -- Pictorial works.; Ocean -- Encyclopedias, Juvenile -- Pictorial works.; Universe -- Encyclopedias, Juvenile -- Pictorial works.</t>
  </si>
  <si>
    <t>http://public.eblib.com/choice/PublicFullRecord.aspx?p=3398737</t>
  </si>
  <si>
    <t>Visual Food Encyclopedia</t>
  </si>
  <si>
    <t>TX349 -- .V57 1996eb</t>
  </si>
  <si>
    <t>Cooking -- Encyclopedias -- Pictorial works.; Food -- Encyclopedias -- Pictorial works.</t>
  </si>
  <si>
    <t>http://public.eblib.com/choice/PublicFullRecord.aspx?p=3398738</t>
  </si>
  <si>
    <t>Understanding The Human Body</t>
  </si>
  <si>
    <t>QP34.5 -- .H86 2007eb</t>
  </si>
  <si>
    <t>Human anatomy.; Human physiology.</t>
  </si>
  <si>
    <t>http://public.eblib.com/choice/PublicFullRecord.aspx?p=3398739</t>
  </si>
  <si>
    <t>Universe and Earth</t>
  </si>
  <si>
    <t>QB497 -- .C67 2009eb</t>
  </si>
  <si>
    <t>Earth (Planet) -- Dictionaries -- Pictorial works.; Universe -- Dictionaries -- Pictorial works.</t>
  </si>
  <si>
    <t>http://public.eblib.com/choice/PublicFullRecord.aspx?p=3398740</t>
  </si>
  <si>
    <t>So Many Ways to Move About</t>
  </si>
  <si>
    <t>QP301 -- .S66 1998eb</t>
  </si>
  <si>
    <t>Animal locomotion.; Animal mechanics.</t>
  </si>
  <si>
    <t>http://public.eblib.com/choice/PublicFullRecord.aspx?p=3398741</t>
  </si>
  <si>
    <t>Bread Not Bombs : A Political Agenda for Social Justice</t>
  </si>
  <si>
    <t>University of Alberta Press</t>
  </si>
  <si>
    <t>Roche, Douglas</t>
  </si>
  <si>
    <t>HM671 -- .R63 1999eb</t>
  </si>
  <si>
    <t>Electronic books. -- local; Peace.; Social justice.</t>
  </si>
  <si>
    <t>http://public.eblib.com/choice/PublicFullRecord.aspx?p=3411575</t>
  </si>
  <si>
    <t>Challenging Territory : The Writing of Margaret Laurence</t>
  </si>
  <si>
    <t>Riegel, Christian</t>
  </si>
  <si>
    <t>PR9199.3.L33 -- Z62 1997eb</t>
  </si>
  <si>
    <t>Canadian literature.; Electronic books. -- local; Laurence, Margaret -- Criticism and interpretation.</t>
  </si>
  <si>
    <t>http://public.eblib.com/choice/PublicFullRecord.aspx?p=3411576</t>
  </si>
  <si>
    <t>China Beckons : An Insight to the Culture and National Language</t>
  </si>
  <si>
    <t>Phillips, Clifford H.</t>
  </si>
  <si>
    <t>PL1129.E5 -- P55 1993eb</t>
  </si>
  <si>
    <t>China -- Social life and customs.; Chinese language -- Business Chinese.; Chinese language -- Textbooks for foreign speakers -- English.; Electronic books. -- local</t>
  </si>
  <si>
    <t>http://public.eblib.com/choice/PublicFullRecord.aspx?p=3411577</t>
  </si>
  <si>
    <t>Alice Munro : Paradox and Parallel</t>
  </si>
  <si>
    <t>Martin, W. R.</t>
  </si>
  <si>
    <t>PR9199.3.M8 -- Z73 1987eb</t>
  </si>
  <si>
    <t>Canadian literature.; Munro, Alice, -- 1931- -- Criticism and interpretation.</t>
  </si>
  <si>
    <t>http://public.eblib.com/choice/PublicFullRecord.aspx?p=3411578</t>
  </si>
  <si>
    <t>Anglo-American Relations in the 1920's : The Struggle for Supremacy</t>
  </si>
  <si>
    <t>McKercher, B.</t>
  </si>
  <si>
    <t>E183.8.G7 -- A64 1990eb</t>
  </si>
  <si>
    <t>Electronic books. -- local; Great Britain -- Foreign relations -- United States.; International relations.; United States -- Foreign relations -- Great Britain.</t>
  </si>
  <si>
    <t>http://public.eblib.com/choice/PublicFullRecord.aspx?p=3411579</t>
  </si>
  <si>
    <t>Aquatic Invertebrates of Alberta</t>
  </si>
  <si>
    <t>Clifford, Hugh F.</t>
  </si>
  <si>
    <t>QL221.A38 -- C58 1991eb</t>
  </si>
  <si>
    <t>Aquatic invertebrates -- Alberta -- Classification.; Aquatic invertebrates -- Alberta -- Identification.; Aquatic invertebrates -- Alberta.; Electronic books. -- local</t>
  </si>
  <si>
    <t>http://public.eblib.com/choice/PublicFullRecord.aspx?p=3411580</t>
  </si>
  <si>
    <t>Boiotia and the Boiotian League, 432-371 B.C</t>
  </si>
  <si>
    <t>Buck, Robert J.</t>
  </si>
  <si>
    <t>DF261.B5 -- B815 1993eb</t>
  </si>
  <si>
    <t>Boeotian League.; Electronic books. -- local; VoiÃÂtia (Greece) -- History.</t>
  </si>
  <si>
    <t>http://public.eblib.com/choice/PublicFullRecord.aspx?p=3411581</t>
  </si>
  <si>
    <t>Alberta's Petroleum Industry and the Conservation Board</t>
  </si>
  <si>
    <t>David Breen</t>
  </si>
  <si>
    <t>HD9574.C23 -- A56 1993eb</t>
  </si>
  <si>
    <t>Alberta. -- Energy Resources Conservation Board.; Electronic books. -- local; Gas industry -- Government policy -- Alberta.; Natural gas -- Conservation -- Government policy -- Alberta.; Petroleum conservation -- Government policy -- Alberta.; Petroleum industry and trade -- Government policy -- Alberta.</t>
  </si>
  <si>
    <t>http://public.eblib.com/choice/PublicFullRecord.aspx?p=3411582</t>
  </si>
  <si>
    <t>Contested Classrooms : Education, Globalization, and Democracy in Alberta</t>
  </si>
  <si>
    <t>Harrison, Trevor; Kachur, Jerrold</t>
  </si>
  <si>
    <t>LC91.2.A3 -- C66 1999eb</t>
  </si>
  <si>
    <t>Education -- Political aspects -- Alberta.; Education and state -- Alberta.; Electronic books. -- local</t>
  </si>
  <si>
    <t>http://public.eblib.com/choice/PublicFullRecord.aspx?p=3411583</t>
  </si>
  <si>
    <t>Costumes and Scripts in the Elizabethan Theatres</t>
  </si>
  <si>
    <t>MacIntyre, Jean</t>
  </si>
  <si>
    <t>PN2067 -- .M32 1992eb</t>
  </si>
  <si>
    <t>Costume -- England -- History -- 16th century.; Electronic books. -- local; English drama -- Early modern and Elizabethan, 1500-1600 -- History and criticism.; Theater -- History -- 16th century.</t>
  </si>
  <si>
    <t>http://public.eblib.com/choice/PublicFullRecord.aspx?p=3411584</t>
  </si>
  <si>
    <t>Culture and Adult Education : Study of Alberta and Quebec</t>
  </si>
  <si>
    <t>Roberts, Hayden</t>
  </si>
  <si>
    <t>LC5254.2.A3 -- R634 1982eb</t>
  </si>
  <si>
    <t>Adult education -- Alberta.; Adult education -- QuÃÂ©bec (Province); Electronic books. -- local</t>
  </si>
  <si>
    <t>http://public.eblib.com/choice/PublicFullRecord.aspx?p=3411585</t>
  </si>
  <si>
    <t>Founders : Innovators in Education, 1830-1980</t>
  </si>
  <si>
    <t>Stabler, Ernest</t>
  </si>
  <si>
    <t>LA2303 -- .S83 1987eb</t>
  </si>
  <si>
    <t>Coady, Moses, -- 1882-1959.; Grundtvig, N. F. S. -- (Nicolai Frederik Severin), -- 1783-1872.; Hahn, Kurt, -- 1886-; Lyon, Mary, -- 1797-1849.; Mann, Horace, -- 1796-1859.; Perry, Walter, -- Sir, -- 1921-; Venables, Peter Percy Frederick Ronald, -- Sir, -- 1904-</t>
  </si>
  <si>
    <t>http://public.eblib.com/choice/PublicFullRecord.aspx?p=3411586</t>
  </si>
  <si>
    <t>From the Great River to the Ends of the Earth</t>
  </si>
  <si>
    <t>The Missionary Oblates of Mary Immaculate</t>
  </si>
  <si>
    <t>McCarthy, Martha</t>
  </si>
  <si>
    <t>BV2300.O2 -- M32 1995eb</t>
  </si>
  <si>
    <t>Electronic books. -- local; Indians of North America -- Missions -- Northwest, Canadian.; Oblates of Mary Immaculate -- Missions -- Northwest, Canadian -- History.; Tinne Indians -- Missions -- Northwest, Canadian -- History.</t>
  </si>
  <si>
    <t>http://public.eblib.com/choice/PublicFullRecord.aspx?p=3411587</t>
  </si>
  <si>
    <t>Damselflies of Alberta : Flying Neon Toothpicks in the Grass</t>
  </si>
  <si>
    <t>Alberta Insects Series</t>
  </si>
  <si>
    <t>Acorn, John</t>
  </si>
  <si>
    <t>QL520.2.A3 -- A36 2004eb</t>
  </si>
  <si>
    <t>Damselflies -- Alberta.; Electronic books. -- local; Insects -- Geographical distribution.</t>
  </si>
  <si>
    <t>http://public.eblib.com/choice/PublicFullRecord.aspx?p=3411588</t>
  </si>
  <si>
    <t>Developments in Dual System Estimation of Population Size and Growth</t>
  </si>
  <si>
    <t>Krotki, Karol</t>
  </si>
  <si>
    <t>HB886 -- .D48 1978eb</t>
  </si>
  <si>
    <t>Dual record systems.; Electronic books. -- local; Population forecasting.</t>
  </si>
  <si>
    <t>http://public.eblib.com/choice/PublicFullRecord.aspx?p=3411589</t>
  </si>
  <si>
    <t>Environment and Economy : Essays on the Human Geography of Alberta</t>
  </si>
  <si>
    <t>Barr, B. M.</t>
  </si>
  <si>
    <t>GF512.A4 -- E67 1984eb</t>
  </si>
  <si>
    <t>Alberta -- Economic conditions.; Electronic books. -- local; Human geography -- Alberta.</t>
  </si>
  <si>
    <t>http://public.eblib.com/choice/PublicFullRecord.aspx?p=3411590</t>
  </si>
  <si>
    <t>Frontiers of Medicine : A  History of Medical Education and Research at the University of Alberta</t>
  </si>
  <si>
    <t>Corbet, Elise</t>
  </si>
  <si>
    <t>R749.U48 -- C67 1990eb</t>
  </si>
  <si>
    <t>Electronic books. -- local; Medical colleges -- Alberta -- History.; University of Alberta. -- Faculty of Medicine -- History.</t>
  </si>
  <si>
    <t>http://public.eblib.com/choice/PublicFullRecord.aspx?p=3411591</t>
  </si>
  <si>
    <t>Generalissimos of the Western Roman Empire</t>
  </si>
  <si>
    <t>O'Flynn, John Michael</t>
  </si>
  <si>
    <t>DG319 -- .O38 1983eb</t>
  </si>
  <si>
    <t>Electronic books. -- local; Generals -- Political activity -- Rome.; Rome -- History -- Germanic Invasions, 3rd-6th centuries.; Rome -- Politics and government -- 284-476.</t>
  </si>
  <si>
    <t>http://public.eblib.com/choice/PublicFullRecord.aspx?p=3411592</t>
  </si>
  <si>
    <t>Gunner Jingo's Jubilee {Western Canada Reprint Series, 0820-9561 ; 5}</t>
  </si>
  <si>
    <t>Strange, T. Bland</t>
  </si>
  <si>
    <t>U55.S85 -- S87 1988eb</t>
  </si>
  <si>
    <t>Canada. -- Canadian Army -- Biography.; Electronic books. -- local; Great Britain. -- Army -- Biography.; Military history.; Strange, Thomas Bland, -- 1831-1925.</t>
  </si>
  <si>
    <t>http://public.eblib.com/choice/PublicFullRecord.aspx?p=3411593</t>
  </si>
  <si>
    <t>Japanese Economic Policies and Growth : Implications for Businesses in Canada and North America</t>
  </si>
  <si>
    <t>Nakamura, Masao</t>
  </si>
  <si>
    <t>HC462.9 -- .N353 1994eb</t>
  </si>
  <si>
    <t>Canada -- Commerce -- Japan.; Economics -- Japan -- 1945-; Electronic books. -- local; Japan -- Commerce -- Canada.; Japan -- Economic conditions -- 1945-; Japan -- Economic policy -- 1945-</t>
  </si>
  <si>
    <t>http://public.eblib.com/choice/PublicFullRecord.aspx?p=3411594</t>
  </si>
  <si>
    <t>Government and Politics in Alberta</t>
  </si>
  <si>
    <t>Tupper, Allan; Tupper a,</t>
  </si>
  <si>
    <t>JL336 -- .G68 1992eb</t>
  </si>
  <si>
    <t>Alberta -- Politics and government -- 1971-; Electronic books. -- local; Public administration -- Alberta.</t>
  </si>
  <si>
    <t>http://public.eblib.com/choice/PublicFullRecord.aspx?p=3411595</t>
  </si>
  <si>
    <t>Jean-Paul Sartre : Bibliography of International Criticism</t>
  </si>
  <si>
    <t>Wilcocks, Robert</t>
  </si>
  <si>
    <t>Z8784.44 -- .W54 1975eb</t>
  </si>
  <si>
    <t>Electronic books. -- local; Philosophy, French -- Bibliography.; Sartre, Jean-Paul, -- 1905-1980 -- Bibliography.</t>
  </si>
  <si>
    <t>http://public.eblib.com/choice/PublicFullRecord.aspx?p=3411596</t>
  </si>
  <si>
    <t>Menander to Marivaux : The History of a Comic Structure</t>
  </si>
  <si>
    <t>Greene, E. J.H.</t>
  </si>
  <si>
    <t>PQ566 -- .G7 1977eb</t>
  </si>
  <si>
    <t>Characters and characteristics in literature.; Comedy -- History and criticism.; Electronic books. -- local; French drama (Comedy) -- History and criticism.; Theater -- France -- History.</t>
  </si>
  <si>
    <t>http://public.eblib.com/choice/PublicFullRecord.aspx?p=3411597</t>
  </si>
  <si>
    <t>Les Oblats de Marie Immacule dans l'Ouest et le Nord du Canada, 1845-1967</t>
  </si>
  <si>
    <t>Levasseur, Donat</t>
  </si>
  <si>
    <t>BV2815.N6 -- L49 1995eb</t>
  </si>
  <si>
    <t>Electronic books. -- local; Oblates of Mary Immaculate -- Missions -- Canada, Northern -- History.; Oblates of Mary Immaculate -- Missions -- Canada, Western -- History.; Theology, Practical -- Canada.</t>
  </si>
  <si>
    <t>http://public.eblib.com/choice/PublicFullRecord.aspx?p=3411598</t>
  </si>
  <si>
    <t>Muslim Families in North America</t>
  </si>
  <si>
    <t>Abu-Laban, Sharon; Waugh, ; etc.,</t>
  </si>
  <si>
    <t>E49.2.M88 -- M87 1991eb</t>
  </si>
  <si>
    <t>Electronic books. -- local; Families -- North America.; Muslims -- North America -- Social conditions.</t>
  </si>
  <si>
    <t>http://public.eblib.com/choice/PublicFullRecord.aspx?p=3411599</t>
  </si>
  <si>
    <t>Northern Ecology and Resource Management : Memorial Essays Honouring Do Gill</t>
  </si>
  <si>
    <t>Olson, Rod</t>
  </si>
  <si>
    <t>QH106.2.N55 -- N67 1984eb</t>
  </si>
  <si>
    <t>Ecology -- Arctic regions.; Ecology -- Canada, Northern.; Electronic books. -- local; Gill, Don, -- 1934-1979.; Natural resources -- Arctic regions -- Management.; Natural resources -- Canada, Northern -- Management.</t>
  </si>
  <si>
    <t>http://public.eblib.com/choice/PublicFullRecord.aspx?p=3411600</t>
  </si>
  <si>
    <t>Lifelines : Culture, Spirituality, and Family Violence</t>
  </si>
  <si>
    <t>Boehm, Reinhild; Golec, Judith ; Krahn, Ruth ; Smyth, Dianne</t>
  </si>
  <si>
    <t>HV6626.23.C2 -- L544 1999eb</t>
  </si>
  <si>
    <t>Abused wives -- Canada -- Case studies.; Abused wives -- Counseling of -- Canada.; Electronic books. -- local; Victims of family violence -- Counseling of -- Canada.; Victims of family violence -- Services for -- Canada.; Women -- Canada -- Social conditions.</t>
  </si>
  <si>
    <t>http://public.eblib.com/choice/PublicFullRecord.aspx?p=3411601</t>
  </si>
  <si>
    <t>Oil Sands Scientist : The Letters of Karl A. Clark, 1920-1949</t>
  </si>
  <si>
    <t>Sheppard, Mary Clark</t>
  </si>
  <si>
    <t>Engineering: Mining; Engineering</t>
  </si>
  <si>
    <t>TN869.2.C55 -- A4 1989eb</t>
  </si>
  <si>
    <t>Athabasca Tar Sands (Alta.) -- History.; Clark, Karl A. -- (Karl Adolph), -- 1888-1966.; Electronic books. -- local; Oil sands industry -- Alberta -- History.</t>
  </si>
  <si>
    <t>http://public.eblib.com/choice/PublicFullRecord.aspx?p=3411602</t>
  </si>
  <si>
    <t>Creating Word : Papers from an International Conference on the Learning and Teaching of English in the 1980s</t>
  </si>
  <si>
    <t>Demers, Patricia</t>
  </si>
  <si>
    <t>PE65 -- .C65 1986eb</t>
  </si>
  <si>
    <t>Electronic books. -- local; English philology -- Study and teaching -- Congresses.; Philology -- Study and teaching -- Congresses.</t>
  </si>
  <si>
    <t>http://public.eblib.com/choice/PublicFullRecord.aspx?p=3411603</t>
  </si>
  <si>
    <t>Ostia : Aspects of Roman City Life</t>
  </si>
  <si>
    <t>Hermansen, Gustav</t>
  </si>
  <si>
    <t>DG70.O8 -- H47 1981eb</t>
  </si>
  <si>
    <t>Electronic books. -- local; History, Ancient.; Ostia (Extinct city) -- Economic conditions.; Ostia (Extinct city) -- Social conditions.; Ostia (Extinct city) -- Social life and customs.</t>
  </si>
  <si>
    <t>http://public.eblib.com/choice/PublicFullRecord.aspx?p=3411604</t>
  </si>
  <si>
    <t>Outdoor Pursuits Programming : Legal Liability and Risk Management</t>
  </si>
  <si>
    <t>Hanna, Glenda</t>
  </si>
  <si>
    <t>KE3792 -- .H36 1991eb</t>
  </si>
  <si>
    <t>Electronic books. -- local; Outdoor recreation -- Law and legislation -- Canada.; Recreation -- Law and legislation -- Canada.</t>
  </si>
  <si>
    <t>http://public.eblib.com/choice/PublicFullRecord.aspx?p=3411605</t>
  </si>
  <si>
    <t>The Fishes of Alberta</t>
  </si>
  <si>
    <t>Nelson, Joseph S.</t>
  </si>
  <si>
    <t>QL626.5.A4 -- N44 1992eb</t>
  </si>
  <si>
    <t>Electronic books. -- local; Fishes -- Alberta -- Identification.; Fishes -- Alberta.; Freshwater fishes -- Alberta -- Identification.; Freshwater fishes -- Alberta.</t>
  </si>
  <si>
    <t>http://public.eblib.com/choice/PublicFullRecord.aspx?p=3411606</t>
  </si>
  <si>
    <t>The Future Japan</t>
  </si>
  <si>
    <t>Soho, Tokutomi</t>
  </si>
  <si>
    <t>DS882 -- .T65 1989eb</t>
  </si>
  <si>
    <t>Electronic books. -- local; Japan -- Civilization.; Japan -- History -- 19th century.; Japan -- Politics and government -- 1868-1912.</t>
  </si>
  <si>
    <t>http://public.eblib.com/choice/PublicFullRecord.aspx?p=3411607</t>
  </si>
  <si>
    <t>The Historical Development of Diptera</t>
  </si>
  <si>
    <t>Boris Rohdendorf</t>
  </si>
  <si>
    <t>QL531 -- .R6313 1974eb</t>
  </si>
  <si>
    <t>Diptera -- Evolution.; Diptera, Fossil.; Electronic books. -- local; Insects -- Evolution.</t>
  </si>
  <si>
    <t>http://public.eblib.com/choice/PublicFullRecord.aspx?p=3411608</t>
  </si>
  <si>
    <t>Human Sciences : Their Contribution to Society and Future Research Needs</t>
  </si>
  <si>
    <t>Baha Abu-Laban</t>
  </si>
  <si>
    <t>H62.5.C2 -- H84 1988eb</t>
  </si>
  <si>
    <t>Education -- Research -- Canada -- Congresses.; Electronic books. -- local; Humanities -- Research -- Canada -- Congresses.; Social sciences -- Research -- Canada -- Congresses.</t>
  </si>
  <si>
    <t>http://public.eblib.com/choice/PublicFullRecord.aspx?p=3411609</t>
  </si>
  <si>
    <t>The Household Book of Queen Isabella of England, 1311-1312</t>
  </si>
  <si>
    <t>DeCoste, F. C.</t>
  </si>
  <si>
    <t>DA230 -- .H68 1971eb</t>
  </si>
  <si>
    <t>Electronic books. -- local; Great Britain -- History -- 14th century.; Great Britain -- History -- Edward II, 1307-1327 -- Sources.; Isabella, -- Queen, consort of Edward II, King of England, -- 1292-1358.</t>
  </si>
  <si>
    <t>http://public.eblib.com/choice/PublicFullRecord.aspx?p=3411610</t>
  </si>
  <si>
    <t>Ladies, the Gwich'in, and the Rat : Travels on the Athabasca, Mackenzie, Rat, Porcupine, and Yukon Rivers in 1926</t>
  </si>
  <si>
    <t>Clara Vyvyan</t>
  </si>
  <si>
    <t>F1060.9 -- .V898 1998eb</t>
  </si>
  <si>
    <t>Alaska -- Description and travel.; Arctic regions -- Description and travel.; Canada, Northern -- Description and travel.; Frontier and pioneer life -- Canada, Northern.; Smith, Gwendolen Dorrien, -- 1883-1969 -- Travel -- Canada, Northern.; Vyvyan, Clara Coltman Rogers, -- Lady -- Travel -- Canada, Northern.; Women travelers -- Canada, Northern.</t>
  </si>
  <si>
    <t>http://public.eblib.com/choice/PublicFullRecord.aspx?p=3411611</t>
  </si>
  <si>
    <t>Making of a Socialist : Recollections of T.C. Douglas</t>
  </si>
  <si>
    <t>Thomas, Lewis H.</t>
  </si>
  <si>
    <t>F1072 -- .D6795 1984eb</t>
  </si>
  <si>
    <t>Douglas, T. C. -- (Thomas Clement), -- 1904-1986.; Prime ministers -- Saskatchewan -- Biography.; Saskatchewan -- Biography.; Saskatchewan -- Politics and government.; Statesmen -- Canada -- Biography.</t>
  </si>
  <si>
    <t>http://public.eblib.com/choice/PublicFullRecord.aspx?p=3411612</t>
  </si>
  <si>
    <t>The Muslim Community in North America</t>
  </si>
  <si>
    <t>Waugh, Earl</t>
  </si>
  <si>
    <t>BP67.A1 -- M87 1983eb</t>
  </si>
  <si>
    <t>Electronic books. -- local; Muslims -- Canada.; Muslims -- North America.</t>
  </si>
  <si>
    <t>http://public.eblib.com/choice/PublicFullRecord.aspx?p=3411613</t>
  </si>
  <si>
    <t>The Neuropsychology of Stuttering</t>
  </si>
  <si>
    <t>Boberg, Einer</t>
  </si>
  <si>
    <t>RC424 -- .N48 1993eb</t>
  </si>
  <si>
    <t>Electronic books. -- local; Neuropsychology -- Congresses.; Stuttering -- Congresses.</t>
  </si>
  <si>
    <t>http://public.eblib.com/choice/PublicFullRecord.aspx?p=3411614</t>
  </si>
  <si>
    <t>Supplement to A Lithuanian Bibliography</t>
  </si>
  <si>
    <t>Adam Kantautas</t>
  </si>
  <si>
    <t>Z2537 -- .K35 1979eb</t>
  </si>
  <si>
    <t>Electronic books. -- local; Lithuania -- Bibliography -- Union lists.; Union catalogs -- Canada.; Union catalogs -- United States.</t>
  </si>
  <si>
    <t>http://public.eblib.com/choice/PublicFullRecord.aspx?p=3411615</t>
  </si>
  <si>
    <t>Swords and Ploughshares : War and Agriculture in Western Canada</t>
  </si>
  <si>
    <t>Macleod, R.C.</t>
  </si>
  <si>
    <t>F1060.9 -- .S967 1993eb</t>
  </si>
  <si>
    <t>Agriculture -- Canada, Western -- History.; Canada, Western -- History.; Electronic books. -- local; MÃÂ©tis -- Canada, Western -- History.</t>
  </si>
  <si>
    <t>http://public.eblib.com/choice/PublicFullRecord.aspx?p=3411616</t>
  </si>
  <si>
    <t>Phenomenology of Consciousness and Sociology of the Life-World</t>
  </si>
  <si>
    <t>Wagner, Helmut R.</t>
  </si>
  <si>
    <t>B829.5 -- .W33 1983eb</t>
  </si>
  <si>
    <t>Electronic books. -- local; Phenomenology.; Social psychology.</t>
  </si>
  <si>
    <t>http://public.eblib.com/choice/PublicFullRecord.aspx?p=3411617</t>
  </si>
  <si>
    <t>Polio '53 : A Memorial for Russell Frederick Taylor</t>
  </si>
  <si>
    <t>Taylor, Russell F.</t>
  </si>
  <si>
    <t>RC181.C22 -- A47 1990eb</t>
  </si>
  <si>
    <t>Electronic books. -- local; Poliomyelitis -- Alberta -- History.; Taylor, R. F. -- (Russell F.)</t>
  </si>
  <si>
    <t>http://public.eblib.com/choice/PublicFullRecord.aspx?p=3411618</t>
  </si>
  <si>
    <t>Portage Lake : Memories of an Ojibwe Childhood</t>
  </si>
  <si>
    <t>Kegg, Maude</t>
  </si>
  <si>
    <t>E99.C6 -- K45 1991eb</t>
  </si>
  <si>
    <t>Indians of North America -- Minnesota -- Portage Lake -- Biography.; Kegg, Maude, -- 1904-1996 -- Childhood and youth.; Kegg, Maude, -- 1904-1996.; Ojibwa Indians -- Biography.; Ojibwa Indians -- Social life and customs.</t>
  </si>
  <si>
    <t>http://public.eblib.com/choice/PublicFullRecord.aspx?p=3411619</t>
  </si>
  <si>
    <t>Pottery in Alberta : The Long Tradition</t>
  </si>
  <si>
    <t>Antonelli, Marylu</t>
  </si>
  <si>
    <t>NK4030.A3 -- A57 1978eb</t>
  </si>
  <si>
    <t>Decorative arts -- Alberta -- History.; Electronic books. -- local; Pottery -- Alberta -- History.</t>
  </si>
  <si>
    <t>http://public.eblib.com/choice/PublicFullRecord.aspx?p=3411620</t>
  </si>
  <si>
    <t>Reforming Fiscal Federalism for Global Competition : A Canada-Australia Comparison</t>
  </si>
  <si>
    <t>Western Studies in Economic Policy</t>
  </si>
  <si>
    <t>Boothe, Paul</t>
  </si>
  <si>
    <t>HJ795.A1 -- R4 1996eb</t>
  </si>
  <si>
    <t>Electronic books. -- local; Fiscal policy -- Australia -- Congresses.; Fiscal policy -- Canada -- Congresses.; Intergovernmental fiscal relations -- Australia -- Congresses.</t>
  </si>
  <si>
    <t>http://public.eblib.com/choice/PublicFullRecord.aspx?p=3411621</t>
  </si>
  <si>
    <t>Printmaking in Alberta, 1945-1985</t>
  </si>
  <si>
    <t>Bente Roed Cochran</t>
  </si>
  <si>
    <t>NE542.A3 -- C63 1989eb</t>
  </si>
  <si>
    <t>Electronic books. -- local; Printmakers -- Alberta -- Biography.; Prints, Canadian -- Alberta -- 20th century.</t>
  </si>
  <si>
    <t>http://public.eblib.com/choice/PublicFullRecord.aspx?p=3411622</t>
  </si>
  <si>
    <t>Sunfield Painter : The Reminiscences of John Davenall Turner</t>
  </si>
  <si>
    <t>Turner, John</t>
  </si>
  <si>
    <t>ND249.T87 -- A2 1982eb</t>
  </si>
  <si>
    <t>Electronic books. -- local; Painters -- Alberta -- Personal narratives.; Turner, John Davenall, -- 1900-1980.</t>
  </si>
  <si>
    <t>http://public.eblib.com/choice/PublicFullRecord.aspx?p=3411623</t>
  </si>
  <si>
    <t>The Contemporary Study of the Arab World</t>
  </si>
  <si>
    <t>Sullivan, Earl L.</t>
  </si>
  <si>
    <t>DS37.6.A2 -- C66 1991eb</t>
  </si>
  <si>
    <t>Arab countries -- History.; Arab countries -- Study and teaching (Higher); Electronic books. -- local</t>
  </si>
  <si>
    <t>http://public.eblib.com/choice/PublicFullRecord.aspx?p=3411624</t>
  </si>
  <si>
    <t>Privatization and Provincial Social Services in Canada</t>
  </si>
  <si>
    <t>HV108 -- .P75 1988eb</t>
  </si>
  <si>
    <t>Electronic books. -- local; Privatization -- Canada.; Public welfare -- Canada.; Social service -- Canada.</t>
  </si>
  <si>
    <t>http://public.eblib.com/choice/PublicFullRecord.aspx?p=3411625</t>
  </si>
  <si>
    <t>Rima the Monkey's Child</t>
  </si>
  <si>
    <t>Little, Harry</t>
  </si>
  <si>
    <t>SF459.M6 -- L57 1983eb</t>
  </si>
  <si>
    <t>Electronic books. -- local; Little, Harry Lee, -- 1916-1980.; Spider monkeys -- Mexico -- Biography.; Spider monkeys as pets -- Mexico.</t>
  </si>
  <si>
    <t>http://public.eblib.com/choice/PublicFullRecord.aspx?p=3411626</t>
  </si>
  <si>
    <t>Risk of Death in Canada : What We Know and How We Know It</t>
  </si>
  <si>
    <t>Thomas, Simon P.; Hrudey, Steve</t>
  </si>
  <si>
    <t>HB1359 -- .T46 1997eb</t>
  </si>
  <si>
    <t>Canada -- Statistics, Vital.; Death -- Causes -- Statistics.; Electronic books. -- local; Health risk assessment -- Canada.; Mortality -- Canada -- Statistical methods.; Mortality -- Canada -- Statistics.</t>
  </si>
  <si>
    <t>http://public.eblib.com/choice/PublicFullRecord.aspx?p=3411627</t>
  </si>
  <si>
    <t>Shadow and Substance in British Foreign Policy 1895-1939 : Memorial Essays Honoring D. J. Moss</t>
  </si>
  <si>
    <t>DA566.7 -- .S53 1984eb</t>
  </si>
  <si>
    <t>Electronic books. -- local; Great Britain -- Foreign relations -- 20th century.; Great Britain -- Foreign relations administration.; Lowe, C. J. -- (Cedric James), -- 1930-1975.; Public administration -- Great Britain.</t>
  </si>
  <si>
    <t>http://public.eblib.com/choice/PublicFullRecord.aspx?p=3411628</t>
  </si>
  <si>
    <t>Standing on New Ground : Women in Alberta</t>
  </si>
  <si>
    <t>Catherine Cavanaugh</t>
  </si>
  <si>
    <t>HQ1459.A4 -- S73 1993eb</t>
  </si>
  <si>
    <t>Electronic books. -- local; Women -- Alberta -- History.; Women -- Alberta.</t>
  </si>
  <si>
    <t>http://public.eblib.com/choice/PublicFullRecord.aspx?p=3411629</t>
  </si>
  <si>
    <t>Conservation of the California Tule Elk : A Socioeconomic Study of A Survival Problem</t>
  </si>
  <si>
    <t>Phillips, W.</t>
  </si>
  <si>
    <t>QL737.U55 -- P5 1976eb</t>
  </si>
  <si>
    <t>Electronic books. -- local; Tule elk.; Wildlife conservation.</t>
  </si>
  <si>
    <t>http://public.eblib.com/choice/PublicFullRecord.aspx?p=3411630</t>
  </si>
  <si>
    <t>Paddling with the Current : Pierre Elliot Trudeau, ÃÂtienne Parent, Liberalism, and Nationalism in Canada</t>
  </si>
  <si>
    <t>Claude Couture</t>
  </si>
  <si>
    <t>F1034.3.T7 -- C6813 1998eb</t>
  </si>
  <si>
    <t>Electronic books. -- local; Liberalism -- Canada.; Nationalism -- Canada.; Nationalism -- QuÃÂ©bec (Province); Parent, Etienne.; Trudeau, Pierre Elliott -- Views on liberalism.</t>
  </si>
  <si>
    <t>http://public.eblib.com/choice/PublicFullRecord.aspx?p=3411631</t>
  </si>
  <si>
    <t>Proclaiming the Gospel to the Indians and the Metis</t>
  </si>
  <si>
    <t>Huel, Raymond J.A.</t>
  </si>
  <si>
    <t>BV2300.O2 -- H84 1996eb</t>
  </si>
  <si>
    <t>Electronic books. -- local; Indians of North America -- Missions -- Northwest, Canadian -- History.; Missions -- Northwest, Canadian -- History.; Oblates of Mary Immaculate -- Missions -- Northwest, Canadian -- History.</t>
  </si>
  <si>
    <t>http://public.eblib.com/choice/PublicFullRecord.aspx?p=3411632</t>
  </si>
  <si>
    <t>People, Patients, and Nurses : A Guide for Nurses Toward Improved Interpersonal Relationships</t>
  </si>
  <si>
    <t>Wilting, Jennie</t>
  </si>
  <si>
    <t>RT86.3 -- .W55 1980eb</t>
  </si>
  <si>
    <t>Communication in nursing -- Study and teaching.; Electronic books. -- local; Nurse and patient.</t>
  </si>
  <si>
    <t>http://public.eblib.com/choice/PublicFullRecord.aspx?p=3411633</t>
  </si>
  <si>
    <t>Perpetuum Mobile : A Study of the Novels and Aesthetics of Michel Butor</t>
  </si>
  <si>
    <t>Lydon, Mary</t>
  </si>
  <si>
    <t>PQ2603.U73 -- Z68 1980eb</t>
  </si>
  <si>
    <t>Butor, Michel -- Criticism and interpretation.; Electronic books. -- local; French literature.</t>
  </si>
  <si>
    <t>http://public.eblib.com/choice/PublicFullRecord.aspx?p=3411634</t>
  </si>
  <si>
    <t>Poetry of Friendship : Horace Epistles I</t>
  </si>
  <si>
    <t>Kilpatrick, Ross</t>
  </si>
  <si>
    <t>PA6393.E33 -- K55 1986eb</t>
  </si>
  <si>
    <t>Electronic books. -- local; Friendship -- Poetry.; Horace. -- Epistulae.</t>
  </si>
  <si>
    <t>http://public.eblib.com/choice/PublicFullRecord.aspx?p=3411635</t>
  </si>
  <si>
    <t>The Politics of Canadian Urban Development</t>
  </si>
  <si>
    <t>David G. Bettison</t>
  </si>
  <si>
    <t>HT127 -- .B47 1975eb</t>
  </si>
  <si>
    <t>Cities and towns -- Canada.; Electronic books. -- local; Federal-city relations -- Canada.; Urbanization -- Canada.</t>
  </si>
  <si>
    <t>http://public.eblib.com/choice/PublicFullRecord.aspx?p=3411636</t>
  </si>
  <si>
    <t>The Reminiscences of a Bungle by One of the Bunglers : And Two Other Northwest Rebellion Diaries</t>
  </si>
  <si>
    <t>Western Canada Reprint Series</t>
  </si>
  <si>
    <t>F1060.9 -- .O72 1983eb</t>
  </si>
  <si>
    <t>Cassels, R. S. -- (Richard Scougall); Electronic books. -- local; Ord, Lewis Redman, -- 1856-1942.; Riel Rebellion, 1885 -- Personal narratives.; Rusden, Harold Penryn.</t>
  </si>
  <si>
    <t>http://public.eblib.com/choice/PublicFullRecord.aspx?p=3411637</t>
  </si>
  <si>
    <t>Spirit of the Huckleberry : Sensuousness in Henry Thoreau</t>
  </si>
  <si>
    <t>Friesen, Victor Carl</t>
  </si>
  <si>
    <t>PS3053 -- .F7 1984eb</t>
  </si>
  <si>
    <t>Electronic books. -- local; Senses and sensation in literature.; Thoreau, Henry David, -- 1817-1862 -- Criticism and interpretation.</t>
  </si>
  <si>
    <t>http://public.eblib.com/choice/PublicFullRecord.aspx?p=3411638</t>
  </si>
  <si>
    <t>Windmill Turning : Nursery Rhymes, Maxims, and Other Expressions of Western Canadian Mennonites</t>
  </si>
  <si>
    <t>GR113.7.M45 -- W56 1988eb</t>
  </si>
  <si>
    <t>Electronic books. -- local; Mennonites -- Prairie Provinces -- Folklore.; Mennonites -- Prairie Provinces -- History.</t>
  </si>
  <si>
    <t>http://public.eblib.com/choice/PublicFullRecord.aspx?p=3411639</t>
  </si>
  <si>
    <t>Theatre and Politics in Modern Quebec</t>
  </si>
  <si>
    <t>Nardocchio, Elaine F.</t>
  </si>
  <si>
    <t>PN2305.Q4 -- N37 1986eb</t>
  </si>
  <si>
    <t>Electronic books. -- local; French-Canadian drama -- History and criticism.; Theater -- Political aspects -- QuÃÂ©bec (Province); Theater -- QuÃÂ©bec (Province) -- History -- 20th century.; Theater and society -- QuÃÂ©bec (Province)</t>
  </si>
  <si>
    <t>http://public.eblib.com/choice/PublicFullRecord.aspx?p=3411640</t>
  </si>
  <si>
    <t>Time Sequence Analysis in Geophysics</t>
  </si>
  <si>
    <t>Kanasewich, E. R.</t>
  </si>
  <si>
    <t>QC806 -- .K36 1981eb</t>
  </si>
  <si>
    <t>Electronic books. -- local; Geophysics -- Mathematics.; Spectral theory (Mathematics); Time-series analysis.</t>
  </si>
  <si>
    <t>http://public.eblib.com/choice/PublicFullRecord.aspx?p=3411641</t>
  </si>
  <si>
    <t>Tree Mycoplasmas and Mycoplasma Diseases</t>
  </si>
  <si>
    <t>C. Hiruki</t>
  </si>
  <si>
    <t>SB737 -- .T47 1988eb</t>
  </si>
  <si>
    <t>Electronic books. -- local; Mycoplasma diseases in plants.; Mycoplasmatales.; Trees -- Diseases and pests.</t>
  </si>
  <si>
    <t>http://public.eblib.com/choice/PublicFullRecord.aspx?p=3411642</t>
  </si>
  <si>
    <t>Truelove Lowland, Devon Island, Canada : A High Arctic Ecosystem</t>
  </si>
  <si>
    <t>Bliss. L.</t>
  </si>
  <si>
    <t>QH106.2.N6 -- T78 1977eb</t>
  </si>
  <si>
    <t>Devon Island (Nunavut); Electronic books. -- local; Tundra ecology -- Nunavut -- Devon Island.</t>
  </si>
  <si>
    <t>http://public.eblib.com/choice/PublicFullRecord.aspx?p=3411643</t>
  </si>
  <si>
    <t>Unnamed Country : The Struggle for a Canadian Prairie Fiction</t>
  </si>
  <si>
    <t>Harrison, Dick</t>
  </si>
  <si>
    <t>PR9192.6.P7 -- H37 1977eb</t>
  </si>
  <si>
    <t>Canadian fiction -- History and criticism.; Electronic books. -- local; Prairie Provinces -- In literature.; Prairies in literature.</t>
  </si>
  <si>
    <t>http://public.eblib.com/choice/PublicFullRecord.aspx?p=3411644</t>
  </si>
  <si>
    <t>Wake Up Canada : Reflections on Vital National Issues</t>
  </si>
  <si>
    <t>C. W. Peterson</t>
  </si>
  <si>
    <t>F1034 -- .P48 1989eb</t>
  </si>
  <si>
    <t>Canada -- Economic conditions.; Canada -- Politics and government -- 1867-; Economics -- Canada.; Electronic books. -- local</t>
  </si>
  <si>
    <t>http://public.eblib.com/choice/PublicFullRecord.aspx?p=3411645</t>
  </si>
  <si>
    <t>Western Canada in the International Economy</t>
  </si>
  <si>
    <t>Chambers Edward J.</t>
  </si>
  <si>
    <t>HF3326.5 -- .C47 1992eb</t>
  </si>
  <si>
    <t>Canada, Western -- Commerce.; Canada, Western -- Economic conditions.; Economics -- Canada, Western.; Electronic books. -- local</t>
  </si>
  <si>
    <t>http://public.eblib.com/choice/PublicFullRecord.aspx?p=3411646</t>
  </si>
  <si>
    <t>Writing Quebec : Selected Essays by Hubert Aquin</t>
  </si>
  <si>
    <t>PQ3903 -- .A64 1988eb</t>
  </si>
  <si>
    <t>Electronic books. -- local; French-Canadian literature -- QuÃÂ©bec (Province) -- History and criticism.; QuÃÂ©bec (Province) -- Civilization.</t>
  </si>
  <si>
    <t>http://public.eblib.com/choice/PublicFullRecord.aspx?p=3411647</t>
  </si>
  <si>
    <t>Power of Greed : Collective Action in International Development</t>
  </si>
  <si>
    <t>Rosberg, Michael</t>
  </si>
  <si>
    <t>HC60 -- .R675 2005eb</t>
  </si>
  <si>
    <t>338.91/09172/4</t>
  </si>
  <si>
    <t>Aide ÃÂ©conomique -- Pays en voie de dÃÂ©veloppement.; Economic assistance -- Developing countries.; Economic development projects -- Social aspects -- Developing countries.; IntÃÂ©rÃÂªt personnel -- Pays en voie de dÃÂ©veloppement.; Projets de dÃÂ©veloppement ÃÂ©conomique -- Aspect social -- Pays en voie de dÃÂ©veloppement.; Self-interest -- Developing countries.</t>
  </si>
  <si>
    <t>http://public.eblib.com/choice/PublicFullRecord.aspx?p=3411648</t>
  </si>
  <si>
    <t>Prairie Water : Wildlife at Beaverhills Lake, Alberta</t>
  </si>
  <si>
    <t>Dekker, Dick; Jones, Edgar T.</t>
  </si>
  <si>
    <t>Science; Science: Biology/Natural History; Science: Zoology</t>
  </si>
  <si>
    <t>QL685.5.A4 -- D45 1998eb</t>
  </si>
  <si>
    <t>Birds -- Alberta -- Beaverhill Lake.; Ecology -- Alberta -- Beaverhill Lake.; Electronic books. -- local; Natural history -- Alberta -- Beaverhill Lake.</t>
  </si>
  <si>
    <t>http://public.eblib.com/choice/PublicFullRecord.aspx?p=3411649</t>
  </si>
  <si>
    <t>A Painter's Year in the Forests of Bhutan</t>
  </si>
  <si>
    <t>Hellum, A. K.</t>
  </si>
  <si>
    <t>QK98.183.H46 -- A3 2001eb</t>
  </si>
  <si>
    <t>Bhutan -- Description and travel.; Botanical illustration -- Bhutan.; Electronic books. -- local; Hellum, A. K. -- Travel -- Bhutan.</t>
  </si>
  <si>
    <t>http://public.eblib.com/choice/PublicFullRecord.aspx?p=3411650</t>
  </si>
  <si>
    <t>Rhubarb : More Than Just Pies</t>
  </si>
  <si>
    <t>Bountiful Gardens</t>
  </si>
  <si>
    <t>Vitt, Sandi; Vitt, Dale H.; Hickman, Michael; Hole, Lois</t>
  </si>
  <si>
    <t>TX803.R58 -- V57 2000eb</t>
  </si>
  <si>
    <t>Cooking (Rhubarb); Cooking (Vegetables); Electronic books. -- local</t>
  </si>
  <si>
    <t>http://public.eblib.com/choice/PublicFullRecord.aspx?p=3411651</t>
  </si>
  <si>
    <t>PhotoGraphic Encounters : The Edges and Edginess of Reading Prose Pictures and Visual Fictions</t>
  </si>
  <si>
    <t>Garrett-Petts, William F.; Lawrence, Donald</t>
  </si>
  <si>
    <t>PN53 -- .G377 2000eb</t>
  </si>
  <si>
    <t>Art and literature.; Canadian literature -- History and criticism -- Theory, etc.; Electronic books. -- local; Photography -- Canada.; Visual literacy.; Visual literature -- History and criticism.</t>
  </si>
  <si>
    <t>http://public.eblib.com/choice/PublicFullRecord.aspx?p=3411652</t>
  </si>
  <si>
    <t>Health Care Reform and the Law in Canada : Meeting the Challenge</t>
  </si>
  <si>
    <t>KE3404 -- .H43 2002eb</t>
  </si>
  <si>
    <t>Electronic books. -- local; Health care reform -- Canada.; Medical laws and legislation -- Canada.</t>
  </si>
  <si>
    <t>http://public.eblib.com/choice/PublicFullRecord.aspx?p=3411653</t>
  </si>
  <si>
    <t>Adapted Physical Activity</t>
  </si>
  <si>
    <t>Steadward, Robert D.; Wheeler, Garry; Watkins, E. Jane</t>
  </si>
  <si>
    <t>Health; Sport &amp; Recreation</t>
  </si>
  <si>
    <t>GV445 -- .A32 2003eb</t>
  </si>
  <si>
    <t>Electronic books. -- local; People with disabilities -- Education.; Physical education for people with disabilities -- Textbooks.</t>
  </si>
  <si>
    <t>http://public.eblib.com/choice/PublicFullRecord.aspx?p=3411654</t>
  </si>
  <si>
    <t>Zucchini : You Can Never Have Enough</t>
  </si>
  <si>
    <t>Butler, John; Hole, Lois</t>
  </si>
  <si>
    <t>TX803.Z82 -- B88 2001eb</t>
  </si>
  <si>
    <t>Cooking (Squash); Cooking (Zucchini); Electronic books. -- local</t>
  </si>
  <si>
    <t>http://public.eblib.com/choice/PublicFullRecord.aspx?p=3411655</t>
  </si>
  <si>
    <t>Spoken Cree : Level II : West Coast of James Bay</t>
  </si>
  <si>
    <t>Ellis, C. Douglas</t>
  </si>
  <si>
    <t>PM989.Z9 -- J354 2004eb</t>
  </si>
  <si>
    <t>497/.32383421</t>
  </si>
  <si>
    <t>Cree language -- Conversation and phrase books -- English.; Cree language -- Dialects -- James Bay Region.; Cree language -- Grammar.; Cree language -- Spoken Cree.; Cri (Langue) -- Cri parlÃÂ©.; Cri (Langue) -- Dialectes -- James, RÃÂ©gion de la baie.; Cri (Langue) -- Manuels pour anglophones.</t>
  </si>
  <si>
    <t>http://public.eblib.com/choice/PublicFullRecord.aspx?p=3411656</t>
  </si>
  <si>
    <t>Croatia : Travels in Undiscovered Country</t>
  </si>
  <si>
    <t>Fabijancic, Tony</t>
  </si>
  <si>
    <t>DR1517 -- .F33 2003eb</t>
  </si>
  <si>
    <t>914.97204/3</t>
  </si>
  <si>
    <t>Croatia -- Description and travel.; Croatie -- Descriptions et voyages.; FabijanÃÂiÃÂ, Tony, -- 1966- -- Travel -- Croatia.; Fabijancic, Tony, -- 1966- -- Voyages -- Croatie.</t>
  </si>
  <si>
    <t>http://public.eblib.com/choice/PublicFullRecord.aspx?p=3411657</t>
  </si>
  <si>
    <t>An Ark of Koans</t>
  </si>
  <si>
    <t>cuRRents</t>
  </si>
  <si>
    <t>Blodgett, E. D.; Brault, Jacques</t>
  </si>
  <si>
    <t>PR9199.3.B54 -- A93 2003eb</t>
  </si>
  <si>
    <t>http://public.eblib.com/choice/PublicFullRecord.aspx?p=3411658</t>
  </si>
  <si>
    <t>High River and the Times : An Alberta Community and Its Weekly Newspaper, 1905Ã¢ÂÂ1966</t>
  </si>
  <si>
    <t>Alberta Reflections</t>
  </si>
  <si>
    <t>Voisey, Paul; Clark, Joe</t>
  </si>
  <si>
    <t>PN4919.H543 -- T568 2004eb</t>
  </si>
  <si>
    <t>071/.1234</t>
  </si>
  <si>
    <t>High River (Alta.) -- Histoire.; High River (Alta.) -- History -- 20th century.; High River times (1905); High River times (1905) -- Histoire.</t>
  </si>
  <si>
    <t>http://public.eblib.com/choice/PublicFullRecord.aspx?p=3411659</t>
  </si>
  <si>
    <t>Ms. Holmes of Baker Street : The Truth About Sherlock</t>
  </si>
  <si>
    <t>Bradley, C. Alan; Sarjeant, William A. S.</t>
  </si>
  <si>
    <t>PR4624 -- .B73 2004eb</t>
  </si>
  <si>
    <t>823/.8</t>
  </si>
  <si>
    <t>Detective and mystery stories, English -- History and criticism.; Doyle, Arthur Conan, -- Sir, -- 1859-1930 -- Characters -- Sherlock Holmes.; Doyle, Arthur Conan, -- Sir, -- 1859-1930 -- Personnages -- Sherlock Holmes.; Holmes, Sherlock (Fictitious character); Passing (Identity) in literature.; Private investigators in literature.; Women detectives in literature.</t>
  </si>
  <si>
    <t>http://public.eblib.com/choice/PublicFullRecord.aspx?p=3411660</t>
  </si>
  <si>
    <t>Folk Furniture of CanadaÃ¢ÂÂs Doukhobors, Hutterites, Mennonites and Ukrainians</t>
  </si>
  <si>
    <t>Fleming, John; Rowan, Michael; Chambers, James; Rowan, Michael J.</t>
  </si>
  <si>
    <t>NK2443.2 -- .F54 2004eb</t>
  </si>
  <si>
    <t>Dukhobors -- Material culture -- Canada.; Folk art -- Canada.; Furniture -- Canada.; Hutterian Brethren -- Material culture -- Canada.; Mennonites -- Material culture -- Canada.; Ukrainians -- Material culture -- Canada.</t>
  </si>
  <si>
    <t>http://public.eblib.com/choice/PublicFullRecord.aspx?p=3411661</t>
  </si>
  <si>
    <t>Response to Death : The Literary Work of Mourning</t>
  </si>
  <si>
    <t>PN56.D4 -- R47 2005eb</t>
  </si>
  <si>
    <t>820.9/3548</t>
  </si>
  <si>
    <t>Bereavement in literature.; Death in literature.</t>
  </si>
  <si>
    <t>http://public.eblib.com/choice/PublicFullRecord.aspx?p=3411662</t>
  </si>
  <si>
    <t>Ethics for the Practice of Psychology in Canada</t>
  </si>
  <si>
    <t>Truscott, Derek; Crook, Kenneth H.</t>
  </si>
  <si>
    <t>BF76.4 -- .T78 2004eb</t>
  </si>
  <si>
    <t>Electronic books. -- local; Psychologists -- Professional ethics -- Canada.; Psychology -- Moral and ethical aspects -- Canada.</t>
  </si>
  <si>
    <t>http://public.eblib.com/choice/PublicFullRecord.aspx?p=3411663</t>
  </si>
  <si>
    <t>The Snowbird Poems</t>
  </si>
  <si>
    <t>Kroetsch, Robert</t>
  </si>
  <si>
    <t>PR9199.3.K7 -- S66 2004eb</t>
  </si>
  <si>
    <t>Canadian literature.; Kroetsch, Robert, -- 1927-2011.</t>
  </si>
  <si>
    <t>http://public.eblib.com/choice/PublicFullRecord.aspx?p=3411664</t>
  </si>
  <si>
    <t>North of Everything : English-Canadian Cinema Since 1980</t>
  </si>
  <si>
    <t>Beard, William; White, Jerry</t>
  </si>
  <si>
    <t>PN1993.5.C2 -- N67 2002eb</t>
  </si>
  <si>
    <t>Electronic books. -- local; Motion picture industry -- Canada -- History.; Motion pictures -- Canada -- History.</t>
  </si>
  <si>
    <t>http://public.eblib.com/choice/PublicFullRecord.aspx?p=3411665</t>
  </si>
  <si>
    <t>Edmonton's Urban Villages : The Community League Movement</t>
  </si>
  <si>
    <t>Kuban, Ron</t>
  </si>
  <si>
    <t>HN110.E36 -- K83 2005eb</t>
  </si>
  <si>
    <t>307.3097123/34</t>
  </si>
  <si>
    <t>Citizens'' associations -- Alberta -- Edmonton -- History.; Civic improvement -- Alberta -- Edmonton -- History.; Community life -- Alberta -- Edmonton -- History.; Community organization -- Alberta -- Edmonton -- History.; Edmonton Federation of Community Leagues -- History.; Municipal government -- Alberta -- Edmonton -- Citizen participation -- History.; Voluntarism -- Alberta -- Edmonton -- History.</t>
  </si>
  <si>
    <t>http://public.eblib.com/choice/PublicFullRecord.aspx?p=3411666</t>
  </si>
  <si>
    <t>Red Serge and Polar Bear Pants : The Biography of Harry Stallworthy, RCMP</t>
  </si>
  <si>
    <t>HV7911.S72 -- B37 2004eb</t>
  </si>
  <si>
    <t>971.9/02/092</t>
  </si>
  <si>
    <t>Explorers -- Canada -- Biography.; Gendarmerie royale du Canada -- Biographies.; Royal Canadian Mounted Police -- Biography.; Stallworthy, Harry, -- 1895-1976.; Stallworthy, Harry, -- 1895-1976.; Territoire national -- Canada.; Territory, National -- Canada.</t>
  </si>
  <si>
    <t>http://public.eblib.com/choice/PublicFullRecord.aspx?p=3411667</t>
  </si>
  <si>
    <t>Naming Edmonton : From Ada to Zoie</t>
  </si>
  <si>
    <t>City of Edmonton; "Edmonton Historical Board Historic Sites Committee",</t>
  </si>
  <si>
    <t>F1079.5.E3 -- N36 2004eb</t>
  </si>
  <si>
    <t>971.23/34</t>
  </si>
  <si>
    <t>Edmonton (Alta.) -- Histoire.; Edmonton (Alta.) -- History -- Dictionaries.; Names, Geographical -- Alberta -- Edmonton.; Rues -- Alberta -- Edmonton.; Streets -- Alberta -- Edmonton -- History -- Dictionaries.</t>
  </si>
  <si>
    <t>http://public.eblib.com/choice/PublicFullRecord.aspx?p=3411668</t>
  </si>
  <si>
    <t>Canadian Newspaper Ownership in the Era of Convergence : Rediscovering Social Responsibility</t>
  </si>
  <si>
    <t>Soderlund, Walter C.; Hildebrandt, Kai; Romanow, W. I.; Wagenberg, Ronald H.</t>
  </si>
  <si>
    <t>Journalism; Economics; Business/Management</t>
  </si>
  <si>
    <t>PN4914.O9 -- C36 2005eb</t>
  </si>
  <si>
    <t>338.4/7071</t>
  </si>
  <si>
    <t>Canadian newspapers -- Ownership.; Press -- Canada.; Press monopolies -- Canada.</t>
  </si>
  <si>
    <t>http://public.eblib.com/choice/PublicFullRecord.aspx?p=3411669</t>
  </si>
  <si>
    <t>ReCalling Early Canada : Reading the Political in Literary and Cultural Production</t>
  </si>
  <si>
    <t>Blair, Jennifer; Coleman, Daniel; Higginson, Kate; York, Lorraine M.</t>
  </si>
  <si>
    <t>PR9185.2 -- .R43 2005eb</t>
  </si>
  <si>
    <t>C810.9/358</t>
  </si>
  <si>
    <t>Canadian literature -- 19th century -- History and criticism.; Culture dans la littÃÂ©rature.; Culture in literature.; LittÃÂ©rature canadienne -- 19e siÃÂ¨cle -- Histoire et critique.; LittÃÂ©rature canadienne -- Avant 1867 -- Histoire et critique.; Politics in literature.; Politique dans la littÃÂ©rature.</t>
  </si>
  <si>
    <t>http://public.eblib.com/choice/PublicFullRecord.aspx?p=3411670</t>
  </si>
  <si>
    <t>Unwanted : Great War Letters from the Field</t>
  </si>
  <si>
    <t>Hughes, John McKendrick; Hughes, John Richard</t>
  </si>
  <si>
    <t>D639.S9 -- H85 2005eb</t>
  </si>
  <si>
    <t>Grande-Bretagne. -- Army -- Biographies.; Great Britain. -- Army. -- Commissariat -- History -- 20th century.; Hughes, John McKendrick, -- 1882-1967 -- Correspondance.; Hughes, John McKendrick, -- 1882-1967 -- Correspondence.; Hughes, John McKendrick, -- 1882-1967.; Hughes, John McKendrick, -- 1882-1967.; World War, 1914-1918 -- Equipment and supplies.</t>
  </si>
  <si>
    <t>http://public.eblib.com/choice/PublicFullRecord.aspx?p=3411671</t>
  </si>
  <si>
    <t>Elegy</t>
  </si>
  <si>
    <t>Blodgett, E. D.; Onley, Yukiko</t>
  </si>
  <si>
    <t>PR9199.3.B54 -- E44 2005eb</t>
  </si>
  <si>
    <t>Grief -- Poetry.</t>
  </si>
  <si>
    <t>http://public.eblib.com/choice/PublicFullRecord.aspx?p=3411672</t>
  </si>
  <si>
    <t>Archbishop A.-A. TachÃÂ© of St. Boniface : The "Good Fight" and the Illusive Vision</t>
  </si>
  <si>
    <t>Huel, Raymond J.A.; Armand, Joseph</t>
  </si>
  <si>
    <t>BX4705.T23 -- H84 2003eb</t>
  </si>
  <si>
    <t>282/.092; B</t>
  </si>
  <si>
    <t>Bishops -- Northwest, Canadian -- Biography.; Catholic Church -- Bishops -- Biography.; Northwest, Canadian -- Church history.; Oblates of Mary Immaculate -- Biography.; Oblates of Mary Immaculate -- Missions -- Northwest, Canadian -- History.; TachÃÂ©, Alexandre A. -- (Alexandre Antonin), -- 1823-1894.</t>
  </si>
  <si>
    <t>http://public.eblib.com/choice/PublicFullRecord.aspx?p=3411673</t>
  </si>
  <si>
    <t>Building Sustainable Peace</t>
  </si>
  <si>
    <t>Keating, Tom</t>
  </si>
  <si>
    <t>JZ5538 -- .B85 2004eb</t>
  </si>
  <si>
    <t>Conflict management -- Developing countries.; Developing countries -- Politics and government.; Electronic books. -- local; Peace-building -- Case studies.; Peace-building.</t>
  </si>
  <si>
    <t>http://public.eblib.com/choice/PublicFullRecord.aspx?p=3411674</t>
  </si>
  <si>
    <t>Civilizing the West : The Galts and the Development of Western Canada</t>
  </si>
  <si>
    <t>A. A. den Otter</t>
  </si>
  <si>
    <t>HC117.N5 -- O87 1986eb</t>
  </si>
  <si>
    <t>Businessmen -- Northwest, Canadian -- Biography.; Electronic books. -- local; Galt, A. T. -- (Alexander Tilloch), -- Sir, -- 1817-1893.; Galt, Elliott Torrance, -- 1850-1928.; Northwest, Canadian -- Economic conditions.</t>
  </si>
  <si>
    <t>http://public.eblib.com/choice/PublicFullRecord.aspx?p=3411675</t>
  </si>
  <si>
    <t>Western Canadian Dictionary and Phrasebook : Picturesque Language of the Cowboy and the Broncho-Buster</t>
  </si>
  <si>
    <t>Sandilands, John</t>
  </si>
  <si>
    <t>PE3237 -- .S3 1977eb</t>
  </si>
  <si>
    <t>Canadianisms.; Cowboys -- Language.; Electronic books. -- local; English language -- Provincialisms -- Northwest, Canadian.; English language -- Terms and phrases -- Dictionaries.</t>
  </si>
  <si>
    <t>http://public.eblib.com/choice/PublicFullRecord.aspx?p=3411676</t>
  </si>
  <si>
    <t>Rob Nixon, the Old White Trapper</t>
  </si>
  <si>
    <t>Kingston, W. H.G.</t>
  </si>
  <si>
    <t>PR4845.K54 -- R6 1983eb</t>
  </si>
  <si>
    <t>Electronic books. -- local; English literature.; Indians of North America -- Fiction.</t>
  </si>
  <si>
    <t>http://public.eblib.com/choice/PublicFullRecord.aspx?p=3411677</t>
  </si>
  <si>
    <t>Henry Marshall Tory, A Biography</t>
  </si>
  <si>
    <t>Corbett, E. A.</t>
  </si>
  <si>
    <t>LA2325.T67 -- C67 1992eb</t>
  </si>
  <si>
    <t>Education, Higher -- Canada -- History.; Educators -- Canada -- Biography.; Electronic books. -- local; Tory, H. M. -- (Henry Marshall), -- 1864-1947.</t>
  </si>
  <si>
    <t>http://public.eblib.com/choice/PublicFullRecord.aspx?p=3411678</t>
  </si>
  <si>
    <t>The Law of Nations and the New World</t>
  </si>
  <si>
    <t>Green, L. C.</t>
  </si>
  <si>
    <t>KE7709 -- .G74 1993eb</t>
  </si>
  <si>
    <t>Electronic books. -- local; Indians -- Claims -- History.; Indians -- Land tenure -- History.; Indians -- Legal status, laws, etc. -- History.; Indigenous peoples -- America.; Land tenure -- America -- History.</t>
  </si>
  <si>
    <t>http://public.eblib.com/choice/PublicFullRecord.aspx?p=3411679</t>
  </si>
  <si>
    <t>Politics and Public Debt : The Dominion, the Banks and Alberta's Social Credit</t>
  </si>
  <si>
    <t>Ascah, Robert</t>
  </si>
  <si>
    <t>HJ8513 -- .A82 1999eb</t>
  </si>
  <si>
    <t>Alberta -- Economic conditions.; Canada -- Economic conditions -- 1918-1945.; Canada -- Economic conditions -- 1945-; Canada -- Politics and government -- 1914-1945.; Canada -- Politics and government -- 1945-1980.; Debts, Public -- Canada.; Electronic books. -- local</t>
  </si>
  <si>
    <t>http://public.eblib.com/choice/PublicFullRecord.aspx?p=3411680</t>
  </si>
  <si>
    <t>Urban Affairs in Alberta</t>
  </si>
  <si>
    <t>HT127 -- .B48 1975eb</t>
  </si>
  <si>
    <t>Cities and towns -- Alberta.; Electronic books. -- local; Sociology, Urban -- Alberta.</t>
  </si>
  <si>
    <t>http://public.eblib.com/choice/PublicFullRecord.aspx?p=3411681</t>
  </si>
  <si>
    <t>Frontier Justice</t>
  </si>
  <si>
    <t>Baldwin, Ged</t>
  </si>
  <si>
    <t>KE416.B35 -- A3 1987eb</t>
  </si>
  <si>
    <t>Baldwin, Ged, -- 1907-; Electronic books. -- local; Lawyers -- Peace River Region (B.C. and Alta.) -- Biography.</t>
  </si>
  <si>
    <t>http://public.eblib.com/choice/PublicFullRecord.aspx?p=3411682</t>
  </si>
  <si>
    <t>A Descriptive Catalogue of the Bension Collection of Sephardic Manuscripts</t>
  </si>
  <si>
    <t>Aranov, Saul I.</t>
  </si>
  <si>
    <t>Z6621.U622 -- B45 1979eb</t>
  </si>
  <si>
    <t>Bension, Ariel, -- 1881-1932.; Electronic books. -- local; Sephardim -- Manuscripts -- Catalogs.</t>
  </si>
  <si>
    <t>http://public.eblib.com/choice/PublicFullRecord.aspx?p=3411683</t>
  </si>
  <si>
    <t>Poetry of Criticism : Horace Epistles II and the Ars Poetica</t>
  </si>
  <si>
    <t>PA6393.E8 -- K55 1990eb</t>
  </si>
  <si>
    <t>Electronic books. -- local; Epistolary poetry, Latin -- History and criticism.; Horace. -- Ars poetica.; Horace. -- Epistulae.</t>
  </si>
  <si>
    <t>http://public.eblib.com/choice/PublicFullRecord.aspx?p=3411684</t>
  </si>
  <si>
    <t>Studies in the Romanization of Italy</t>
  </si>
  <si>
    <t>Torelli, Mario</t>
  </si>
  <si>
    <t>DG78 -- .T665 1995eb</t>
  </si>
  <si>
    <t>Electronic books. -- local; Etruria -- Antiquities.; Italy -- Antiquities.; Rome -- History -- Republic, 510-30 B.C.</t>
  </si>
  <si>
    <t>http://public.eblib.com/choice/PublicFullRecord.aspx?p=3411685</t>
  </si>
  <si>
    <t>Precarious Balance : Print Voice II</t>
  </si>
  <si>
    <t>Jule, Walter</t>
  </si>
  <si>
    <t>NE491 -- .P75 1990eb</t>
  </si>
  <si>
    <t>Electronic books. -- local; Printmakers.; Prints -- 20th century.</t>
  </si>
  <si>
    <t>http://public.eblib.com/choice/PublicFullRecord.aspx?p=3411686</t>
  </si>
  <si>
    <t>Developing the West</t>
  </si>
  <si>
    <t>Foster, John</t>
  </si>
  <si>
    <t>F1060.9 -- .D39 1983eb</t>
  </si>
  <si>
    <t>Prairie Provinces -- History.; Thomas, Lewis H. -- (Lewis Herbert), -- 1917-1982.</t>
  </si>
  <si>
    <t>http://public.eblib.com/choice/PublicFullRecord.aspx?p=3411687</t>
  </si>
  <si>
    <t>Peacekeeping in Vietnam : Canada, India, Poland, and the International Commission</t>
  </si>
  <si>
    <t>Thakur, Ramesh</t>
  </si>
  <si>
    <t>DS559.7 -- .T45 1984eb</t>
  </si>
  <si>
    <t>Canada -- Foreign relations -- 1945-; Electronic books. -- local; India -- Foreign relations.; International Commission for Supervision and Control in Vietnam.; Poland -- Foreign relations.; Vietnam War, 1961-1975 -- Peace.</t>
  </si>
  <si>
    <t>http://public.eblib.com/choice/PublicFullRecord.aspx?p=3411688</t>
  </si>
  <si>
    <t>Island Forest Year : lk Island National Park :</t>
  </si>
  <si>
    <t>Deirdre Griffiths</t>
  </si>
  <si>
    <t>QH106.2.A42 -- G74eb</t>
  </si>
  <si>
    <t>Electronic books. -- local; Elk Island National Park (Alta.); Natural history -- Alberta -- Elk Island National Park.</t>
  </si>
  <si>
    <t>http://public.eblib.com/choice/PublicFullRecord.aspx?p=3411689</t>
  </si>
  <si>
    <t>Teaching the World : A Celebration of Textbooks</t>
  </si>
  <si>
    <t>Distad, Merrill</t>
  </si>
  <si>
    <t>LT6 -- .T43 1996eb</t>
  </si>
  <si>
    <t>Electronic books. -- local; Textbooks -- Alberta -- Exhibitions.; University of Alberta -- Research -- Exhibitions.</t>
  </si>
  <si>
    <t>http://public.eblib.com/choice/PublicFullRecord.aspx?p=3411690</t>
  </si>
  <si>
    <t>The German Language in Alberta</t>
  </si>
  <si>
    <t>Prokop, Manfred</t>
  </si>
  <si>
    <t>PF5939 -- .P76 1990eb</t>
  </si>
  <si>
    <t>Electronic books. -- local; German language -- Alberta.; German language -- Study and teaching -- Alberta.</t>
  </si>
  <si>
    <t>http://public.eblib.com/choice/PublicFullRecord.aspx?p=3411691</t>
  </si>
  <si>
    <t>The Servant in German Enlightenment Comedy</t>
  </si>
  <si>
    <t>Alison Scott Prelorentzos</t>
  </si>
  <si>
    <t>PT643 -- .S387 1982eb</t>
  </si>
  <si>
    <t>Electronic books. -- local; German drama -- 18th century -- History and criticism.; German drama (Comedy) -- History and criticism.</t>
  </si>
  <si>
    <t>http://public.eblib.com/choice/PublicFullRecord.aspx?p=3411692</t>
  </si>
  <si>
    <t>Mind Forever Voyaging : Wordsworth at Work Portraying Newton and Science</t>
  </si>
  <si>
    <t>Thomas, W. K.</t>
  </si>
  <si>
    <t>PR5892.S3 -- T4 1988eb</t>
  </si>
  <si>
    <t>Electronic books. -- local; Newton, Isaac, -- Sir, -- 1642-1727 -- In literature.; Science in literature.; Wordsworth, William, -- 1770-1850 -- Criticism and interpretation.; Wordsworth, William, -- 1770-1850 -- Knowledge -- Science.</t>
  </si>
  <si>
    <t>http://public.eblib.com/choice/PublicFullRecord.aspx?p=3411693</t>
  </si>
  <si>
    <t>Buffalo</t>
  </si>
  <si>
    <t>Alberta Nature and Culture Series</t>
  </si>
  <si>
    <t>Foster, John; Foster, J ; etc., ; MacLaren, I</t>
  </si>
  <si>
    <t>Science; Science: Zoology; Social Science</t>
  </si>
  <si>
    <t>QL737.U53 -- B84 1992eb</t>
  </si>
  <si>
    <t>American bison -- Northwest, Canadian.; American bison.; Electronic books. -- local</t>
  </si>
  <si>
    <t>http://public.eblib.com/choice/PublicFullRecord.aspx?p=3411694</t>
  </si>
  <si>
    <t>The Studhorse Man</t>
  </si>
  <si>
    <t>Kroetsch, Robert; Herk, Aritha van</t>
  </si>
  <si>
    <t>PR9199.3.K7 -- S78 2004eb</t>
  </si>
  <si>
    <t>Alberta -- Fiction.; Horse breeders -- Fiction.; Horse farms -- Fiction.; Stallions -- Fiction.</t>
  </si>
  <si>
    <t>http://public.eblib.com/choice/PublicFullRecord.aspx?p=3411695</t>
  </si>
  <si>
    <t>Canadian's Road to Russia : The Letters of Stuart Ramsey Tompkins : Letters from the Great War Decade</t>
  </si>
  <si>
    <t>Pieroth,  Doris</t>
  </si>
  <si>
    <t>D640 -- .T674 1989eb</t>
  </si>
  <si>
    <t>Canada. -- Canadian Army -- Biography.; Electronic books. -- local; Siberia (Russia) -- Description and travel.; Soldiers -- Canada -- Correspondence.; Tompkins, Edna Jane Christie, -- 1891- -- Correspondence.; Tompkins, Stuart Ramsay, -- 1886-1977 -- Correspondence.; World War, 1914-1918 -- Personal narratives, Canadian.</t>
  </si>
  <si>
    <t>http://public.eblib.com/choice/PublicFullRecord.aspx?p=3411696</t>
  </si>
  <si>
    <t>ReThinking DisAbility : New Structures, New Relationships</t>
  </si>
  <si>
    <t>Gadacz, Rene</t>
  </si>
  <si>
    <t>HV3011 -- .G33 1994eb</t>
  </si>
  <si>
    <t>Electronic books. -- local; People with disabilities -- Services for.; People with disabilities -- Social conditions.</t>
  </si>
  <si>
    <t>http://public.eblib.com/choice/PublicFullRecord.aspx?p=3411697</t>
  </si>
  <si>
    <t>Ordinary Heroes : The Journal of a French Pioneer in Alberta by Marcel Duriex</t>
  </si>
  <si>
    <t>Motut, Roger</t>
  </si>
  <si>
    <t>F1079.R4 -- D873 1980eb</t>
  </si>
  <si>
    <t>Durieux, Marcel, -- 1889-1976 -- Diaries.; Electronic books. -- local; French -- Alberta -- Diaries.; Frontier and pioneer life -- Alberta.; Pioneers -- Alberta -- Diaries.; Red Deer River Valley (Alta. and Sask.) -- Biography.</t>
  </si>
  <si>
    <t>http://public.eblib.com/choice/PublicFullRecord.aspx?p=3411698</t>
  </si>
  <si>
    <t>Town Life : Main Street and the Evolution of Small Town Alberta, 1880-1947</t>
  </si>
  <si>
    <t>Wetherell, Donald G.; Kmet, Irene R.A.</t>
  </si>
  <si>
    <t>HT384.C22 -- A53 1995eb</t>
  </si>
  <si>
    <t>Alberta -- History.; Alberta -- Social conditions.; Cities and towns -- Alberta -- History.; Electronic books. -- local; Northwest Territories -- History -- 19th century.</t>
  </si>
  <si>
    <t>http://public.eblib.com/choice/PublicFullRecord.aspx?p=3411699</t>
  </si>
  <si>
    <t>Multilingual Lexicon for Universiade Sports</t>
  </si>
  <si>
    <t>Busch, R.</t>
  </si>
  <si>
    <t>GV567 -- .M85 1983eb</t>
  </si>
  <si>
    <t>Electronic books. -- local; English language -- Dictionaries -- Polyglot.; Sports -- Dictionaries -- Polyglot.</t>
  </si>
  <si>
    <t>http://public.eblib.com/choice/PublicFullRecord.aspx?p=3411700</t>
  </si>
  <si>
    <t>A History of Boeotia</t>
  </si>
  <si>
    <t>DF261.B5 -- B82 1979eb</t>
  </si>
  <si>
    <t>Electronic books. -- local; VoiÃÂtia (Greece) -- History.</t>
  </si>
  <si>
    <t>http://public.eblib.com/choice/PublicFullRecord.aspx?p=3411701</t>
  </si>
  <si>
    <t>New Majority : Adult Learners in the University</t>
  </si>
  <si>
    <t>Campbell, Duncan</t>
  </si>
  <si>
    <t>LC5254.2.A3 -- C36 1984eb</t>
  </si>
  <si>
    <t>Adult education -- Alberta.; Continuing education -- Alberta.; Electronic books. -- local</t>
  </si>
  <si>
    <t>http://public.eblib.com/choice/PublicFullRecord.aspx?p=3411702</t>
  </si>
  <si>
    <t>Artists of Alberta</t>
  </si>
  <si>
    <t>Baker, Suzanne Devonshire</t>
  </si>
  <si>
    <t>N6546.A42 -- B34 1980eb</t>
  </si>
  <si>
    <t>Art, Canadian -- Alberta -- 20th century.; Artists -- Alberta -- Biography.; Electronic books. -- local</t>
  </si>
  <si>
    <t>http://public.eblib.com/choice/PublicFullRecord.aspx?p=3411703</t>
  </si>
  <si>
    <t>Canada and the Arab World</t>
  </si>
  <si>
    <t>Ismael, Tareq</t>
  </si>
  <si>
    <t>DS63.2.C2 -- C35 1985eb</t>
  </si>
  <si>
    <t>Arab countries -- Relations -- Canada.; Canada -- Relations -- Arab countries.; Electronic books. -- local; International relations.</t>
  </si>
  <si>
    <t>http://public.eblib.com/choice/PublicFullRecord.aspx?p=3411704</t>
  </si>
  <si>
    <t>Rudy Wiebe and the Historicity of the Word</t>
  </si>
  <si>
    <t>van Toorn, Penny</t>
  </si>
  <si>
    <t>PR9199.3.W47 -- Z92 1995eb</t>
  </si>
  <si>
    <t>Canadian literature.; Electronic books. -- local; Wiebe, Rudy Henry, -- 1934- -- Criticism and interpretation.</t>
  </si>
  <si>
    <t>http://public.eblib.com/choice/PublicFullRecord.aspx?p=3411705</t>
  </si>
  <si>
    <t>Atlas of Alberta Lakes</t>
  </si>
  <si>
    <t>Mitchell, Patricia</t>
  </si>
  <si>
    <t>G1166.C3 -- A85 1990eb</t>
  </si>
  <si>
    <t>Bodies of water -- Alberta -- Maps.; Electronic books. -- local; Lakes -- Alberta -- Maps.</t>
  </si>
  <si>
    <t>http://public.eblib.com/choice/PublicFullRecord.aspx?p=3411706</t>
  </si>
  <si>
    <t>Alberta Newspapers 1880-1982 : An Historical Directory</t>
  </si>
  <si>
    <t>Strathern, Gloria</t>
  </si>
  <si>
    <t>Z6954.C2 -- S77 1988eb</t>
  </si>
  <si>
    <t>Canadian newspapers -- Alberta -- Bibliography.; Canadian newspapers -- Alberta -- Directories.; Electronic books. -- local</t>
  </si>
  <si>
    <t>http://public.eblib.com/choice/PublicFullRecord.aspx?p=3411707</t>
  </si>
  <si>
    <t>Germany : Phoenix in Trouble?</t>
  </si>
  <si>
    <t>Zimmer, Matthias; Zimme, Matthias</t>
  </si>
  <si>
    <t>DD290.25 -- .G47 1997eb</t>
  </si>
  <si>
    <t>Electronic books. -- local; Germany -- Economic conditions -- 1945-1990.; Germany -- Economic conditions -- 1990-; Germany -- History -- 20th century.; Germany -- Politics and government -- 1945-1990.; Germany -- Politics and government -- 1990-; Germany -- Social policy.</t>
  </si>
  <si>
    <t>http://public.eblib.com/choice/PublicFullRecord.aspx?p=3411708</t>
  </si>
  <si>
    <t>Between Anxiety and Hope : The Writings and Poetry of Czeslaw Milosz :</t>
  </si>
  <si>
    <t>Mozejko, Edward</t>
  </si>
  <si>
    <t>PG7158.M5532 -- B4 1988eb</t>
  </si>
  <si>
    <t>Electronic books. -- local; MiÃÂosz, CzesÃÂaw -- Criticism and interpretation.; Polish literature.</t>
  </si>
  <si>
    <t>http://public.eblib.com/choice/PublicFullRecord.aspx?p=3411709</t>
  </si>
  <si>
    <t>Mathematical Essays on Growth and the Emergence of Form</t>
  </si>
  <si>
    <t>Antonelli, Peter</t>
  </si>
  <si>
    <t>QH323.5 -- .M3638 1985eb</t>
  </si>
  <si>
    <t>Biomathematics.; Developmental biology -- Mathematics.; Ecology -- Mathematics.; Electronic books. -- local; Morphogenesis -- Mathematics.</t>
  </si>
  <si>
    <t>http://public.eblib.com/choice/PublicFullRecord.aspx?p=3411710</t>
  </si>
  <si>
    <t>Dynamics of Hutterite Society : An Analytical Approach</t>
  </si>
  <si>
    <t>Peter, Karl A.</t>
  </si>
  <si>
    <t>BX8129.H8 -- P48 1987eb</t>
  </si>
  <si>
    <t>Bruderhof Communities -- Social conditions.; Hutterian Brethren -- Social conditions.; Hutterian Brethren.</t>
  </si>
  <si>
    <t>http://public.eblib.com/choice/PublicFullRecord.aspx?p=3411711</t>
  </si>
  <si>
    <t>The Mormon Presence in Canada</t>
  </si>
  <si>
    <t>Brigham Young Card</t>
  </si>
  <si>
    <t>F1035.M67 -- M66 1990eb</t>
  </si>
  <si>
    <t>Electronic books. -- local; Mormon Church -- Canada -- History.; Mormons -- Canada -- History.</t>
  </si>
  <si>
    <t>http://public.eblib.com/choice/PublicFullRecord.aspx?p=3411712</t>
  </si>
  <si>
    <t>A History of the University of Alberta</t>
  </si>
  <si>
    <t>Johns, Walter H.</t>
  </si>
  <si>
    <t>LE3.A62 -- J63 1981eb</t>
  </si>
  <si>
    <t>Electronic books. -- local; Universities and colleges -- Alberta.; University of Alberta -- History -- 20th century.</t>
  </si>
  <si>
    <t>http://public.eblib.com/choice/PublicFullRecord.aspx?p=3411713</t>
  </si>
  <si>
    <t>A Lithuanian Bibliography</t>
  </si>
  <si>
    <t>Z2537 -- .K33 1975eb</t>
  </si>
  <si>
    <t>http://public.eblib.com/choice/PublicFullRecord.aspx?p=3411714</t>
  </si>
  <si>
    <t>Canadian Television Policy and the Board of Broadcast Governors, 1958-1968</t>
  </si>
  <si>
    <t>Stewart, Andrew</t>
  </si>
  <si>
    <t>HE8700.9.C2 -- S74 1994eb</t>
  </si>
  <si>
    <t>Canada. -- Board of Broadcast Governors.; Electronic books. -- local; Television broadcasting policy -- Canada -- History.</t>
  </si>
  <si>
    <t>http://public.eblib.com/choice/PublicFullRecord.aspx?p=3411715</t>
  </si>
  <si>
    <t>Strength in Adversity : A Study of the Alberta Economy</t>
  </si>
  <si>
    <t>Mansell, Robert L.</t>
  </si>
  <si>
    <t>HC117.A6 -- M36 1990eb</t>
  </si>
  <si>
    <t>Alberta -- Economic conditions.; Alberta -- Economic policy.; Economics -- Alberta.; Electronic books. -- local</t>
  </si>
  <si>
    <t>http://public.eblib.com/choice/PublicFullRecord.aspx?p=3411716</t>
  </si>
  <si>
    <t>Bargain for Humanity : Global Security by 2000</t>
  </si>
  <si>
    <t>JC362 -- .R62 1993eb</t>
  </si>
  <si>
    <t>Electronic books. -- local; International organization.; Militarism.; Peaceful change (International relations); Security, International.</t>
  </si>
  <si>
    <t>http://public.eblib.com/choice/PublicFullRecord.aspx?p=3411717</t>
  </si>
  <si>
    <t>Japan at the Millennium : Joining Past and Future</t>
  </si>
  <si>
    <t>UBC Press</t>
  </si>
  <si>
    <t>Edgington, David</t>
  </si>
  <si>
    <t>DS822.5 -- .J387 2003eb</t>
  </si>
  <si>
    <t>Electronic books. -- local; Japan -- Civilization -- 1945-; Japan -- Economic conditions -- 1945-; Japan -- History -- 1945-; Japan -- Politics and government -- 1945-; Japan -- Social conditions -- 1945-</t>
  </si>
  <si>
    <t>http://public.eblib.com/choice/PublicFullRecord.aspx?p=3411955</t>
  </si>
  <si>
    <t>Planning Canadian Regions</t>
  </si>
  <si>
    <t>Hodge, Gerald; Robinson, Ira M.</t>
  </si>
  <si>
    <t>HT395.C3 -- H62 2001eb</t>
  </si>
  <si>
    <t>Electronic books. -- local; Regional planning -- Canada.; Sociology, Urban.</t>
  </si>
  <si>
    <t>http://public.eblib.com/choice/PublicFullRecord.aspx?p=3411956</t>
  </si>
  <si>
    <t>Biodiversity and Democracy : Rethinking Nature and Society</t>
  </si>
  <si>
    <t>Wood, Paul M.</t>
  </si>
  <si>
    <t>QH75 -- .W66 2000eb</t>
  </si>
  <si>
    <t>333.95/16</t>
  </si>
  <si>
    <t>Biodiversity conservation -- Political aspects.; Biodiversity conservation.; Electronic books. -- local</t>
  </si>
  <si>
    <t>http://public.eblib.com/choice/PublicFullRecord.aspx?p=3411957</t>
  </si>
  <si>
    <t>New Perspectives on the Public-Private Divide</t>
  </si>
  <si>
    <t>Legal Dimensions</t>
  </si>
  <si>
    <t>Law Commission of Canada</t>
  </si>
  <si>
    <t>KE4120 -- .N48 2003eb</t>
  </si>
  <si>
    <t>Civil rights -- Canada.; Electronic books. -- local; Public law -- Canada.</t>
  </si>
  <si>
    <t>http://public.eblib.com/choice/PublicFullRecord.aspx?p=3411958</t>
  </si>
  <si>
    <t>Cis Dideen Kat</t>
  </si>
  <si>
    <t>Fiske, Jo-Anne; Patrick, Betty</t>
  </si>
  <si>
    <t>E99.T17 -- F57 2000eb</t>
  </si>
  <si>
    <t>971.1/82004972</t>
  </si>
  <si>
    <t>Carrier Indians -- British Columbia -- Babine Lake Region -- Government relations.; Carrier Indians -- British Columbia -- Babine Lake Region.; Carrier law.; Electronic books. -- local; Potlatch -- British Columbia -- Babine Lake Region.</t>
  </si>
  <si>
    <t>http://public.eblib.com/choice/PublicFullRecord.aspx?p=3411959</t>
  </si>
  <si>
    <t>Game in the Garden : A Human History of Wildlife in Western Canada to 1940</t>
  </si>
  <si>
    <t>Colpitts, George</t>
  </si>
  <si>
    <t>Environmental Studies; Science; Science: Zoology; Economics</t>
  </si>
  <si>
    <t>QL85 -- .C64 2002eb</t>
  </si>
  <si>
    <t>333.95/4/09712</t>
  </si>
  <si>
    <t>Animals -- Social aspects -- Canada, Western.; Animals and civilization -- Canada, Western.; Electronic books. -- local; Frontier and pioneer life -- Canada, Western.; Wildlife conservation -- Canada, Western -- History.; Wildlife utilization -- Canada, Western -- History.</t>
  </si>
  <si>
    <t>http://public.eblib.com/choice/PublicFullRecord.aspx?p=3411960</t>
  </si>
  <si>
    <t>In the Long Run We're All Dead : The Canadian Turn to Fiscal Restraint</t>
  </si>
  <si>
    <t>Lewis, Timothy</t>
  </si>
  <si>
    <t>HJ8513 -- .L49 2003eb</t>
  </si>
  <si>
    <t>339.5/23/0971</t>
  </si>
  <si>
    <t>Budget deficits -- Canada -- History.; Deficit financing -- Canada -- History.; Electronic books. -- local; Fiscal policy -- Canada -- History.</t>
  </si>
  <si>
    <t>http://public.eblib.com/choice/PublicFullRecord.aspx?p=3411961</t>
  </si>
  <si>
    <t>The Cost of Climate Policy</t>
  </si>
  <si>
    <t>Sustainability and the Environment Series</t>
  </si>
  <si>
    <t>Jaccard, Mark; Nyboer, John; Sadownik, Bryn</t>
  </si>
  <si>
    <t>HC120.A4 -- J33 2002eb</t>
  </si>
  <si>
    <t>363.783/746/0971</t>
  </si>
  <si>
    <t>Air -- Pollution -- Economic aspects -- Canada.; Air -- Pollution -- Law and legislation -- Compliance costs -- Canada.; Air quality management -- Government policy -- Canada.; Electronic books. -- local; Greenhouse gas mitigation -- Economic aspects -- Canada.</t>
  </si>
  <si>
    <t>http://public.eblib.com/choice/PublicFullRecord.aspx?p=3411962</t>
  </si>
  <si>
    <t>Driven Apart : Women's Employment Equality and Child Care in Canadian Public Policy</t>
  </si>
  <si>
    <t>Timpson, Annis May</t>
  </si>
  <si>
    <t>HQ1236.5.C2 -- T56 2001eb</t>
  </si>
  <si>
    <t>305.4/0971</t>
  </si>
  <si>
    <t>Affirmative action programs -- Government policy -- Canada.; Child care -- Government policy -- Canada.; Electronic books. -- local; Women -- Canada -- Economic conditions.</t>
  </si>
  <si>
    <t>http://public.eblib.com/choice/PublicFullRecord.aspx?p=3411963</t>
  </si>
  <si>
    <t>Demography in Canada in the Twentieth Century</t>
  </si>
  <si>
    <t>Wargon, Sylvia T.</t>
  </si>
  <si>
    <t>HB853.C2 -- W37 2002eb</t>
  </si>
  <si>
    <t>304.6/0971/0904</t>
  </si>
  <si>
    <t>Demography -- Canada -- History -- 20th century.; Electronic books. -- local; Social sciences.</t>
  </si>
  <si>
    <t>http://public.eblib.com/choice/PublicFullRecord.aspx?p=3411964</t>
  </si>
  <si>
    <t>Street Protests and Fantasy Parks : Globalization, Culture, and the State</t>
  </si>
  <si>
    <t>Cameron, David R.; Stein, Janice Gross</t>
  </si>
  <si>
    <t>JZ1318 -- .S77 2002eb</t>
  </si>
  <si>
    <t>303.48/2</t>
  </si>
  <si>
    <t>Culture.; Electronic books. -- local; Globalization -- Social aspects.; State, The.</t>
  </si>
  <si>
    <t>http://public.eblib.com/choice/PublicFullRecord.aspx?p=3411965</t>
  </si>
  <si>
    <t>No Place to Run : The Canadian Corps and Gas Warfare in the First World War</t>
  </si>
  <si>
    <t>Cook, Tim</t>
  </si>
  <si>
    <t>UG447 -- .C66 1999eb</t>
  </si>
  <si>
    <t>358/.34/09409041</t>
  </si>
  <si>
    <t>Canada. -- Canadian Army -- History -- World War, 1914-1918.; Electronic books. -- local; Gases, Asphyxiating and poisonous -- War use.; World War, 1914-1918 -- Chemical warfare.; World War, 1914-1918 -- Personal narratives, Canadian.</t>
  </si>
  <si>
    <t>http://public.eblib.com/choice/PublicFullRecord.aspx?p=3411966</t>
  </si>
  <si>
    <t>Canada and the Beijing Conference on Women : Governmental Politics and NGO Participation</t>
  </si>
  <si>
    <t>HQ1106 -- .R53 2001eb</t>
  </si>
  <si>
    <t>Canada -- Foreign relations -- 1945-; Electronic books. -- local; Women -- Social conditions -- Congresses.; World Conference on Women.</t>
  </si>
  <si>
    <t>http://public.eblib.com/choice/PublicFullRecord.aspx?p=3411967</t>
  </si>
  <si>
    <t>At the Edge : Sustainable Development in the 21st Century</t>
  </si>
  <si>
    <t>Dale, Ann</t>
  </si>
  <si>
    <t>HC79.E5 -- D319 2001eb</t>
  </si>
  <si>
    <t>Electronic books. -- local; Environmental protection.; Sustainable development.</t>
  </si>
  <si>
    <t>http://public.eblib.com/choice/PublicFullRecord.aspx?p=3411968</t>
  </si>
  <si>
    <t>Stepping Stones to Nowhere : The Aleutian Islands, Alaska, and American Military Strategy, 1867-1945</t>
  </si>
  <si>
    <t>Perras, Galen</t>
  </si>
  <si>
    <t>D769.87.A4 -- P47 2003eb</t>
  </si>
  <si>
    <t>940.54/28</t>
  </si>
  <si>
    <t>Aleutian Islands (Alaska) -- History.; Electronic books. -- local; World War, 1939-1945 -- Campaigns -- Alaska -- Aleutian Islands.</t>
  </si>
  <si>
    <t>http://public.eblib.com/choice/PublicFullRecord.aspx?p=3411969</t>
  </si>
  <si>
    <t>Globalization and Well-Being</t>
  </si>
  <si>
    <t>Brenda and David McLean Canadian Studies</t>
  </si>
  <si>
    <t>Helliwell, John F.</t>
  </si>
  <si>
    <t>HF1359 -- .H43 2002eb</t>
  </si>
  <si>
    <t>Canada -- Social conditions -- 1991-; Electronic books. -- local; Globalization -- Social aspects.; Political planning -- Canada.; Quality of life.</t>
  </si>
  <si>
    <t>http://public.eblib.com/choice/PublicFullRecord.aspx?p=3411970</t>
  </si>
  <si>
    <t>Feminists and Party Politics</t>
  </si>
  <si>
    <t>Young, Lisa</t>
  </si>
  <si>
    <t>HQ1236.5.C2 -- Y68 2000eb</t>
  </si>
  <si>
    <t>324.2/082/0971</t>
  </si>
  <si>
    <t>Electronic books. -- local; Feminism -- Canada.; Feminism -- United States.; Political parties -- Canada.; Political parties -- United States.; Women -- Political activity -- Canada.; Women -- Political activity -- United States.</t>
  </si>
  <si>
    <t>http://public.eblib.com/choice/PublicFullRecord.aspx?p=3411971</t>
  </si>
  <si>
    <t>Restoration of the Great Lakes : Promises, Practices, and Performances</t>
  </si>
  <si>
    <t>Sproule-Jones, Mark</t>
  </si>
  <si>
    <t>Economics; Engineering: Environmental; Environmental Studies; Engineering</t>
  </si>
  <si>
    <t>TD223.3 -- .S67 2002eb</t>
  </si>
  <si>
    <t>333.91/63153/0977</t>
  </si>
  <si>
    <t>Conservation of natural resources -- Government policy -- Great Lakes (North America); Electronic books. -- local; Environmental protection -- Great Lakes (North America); Great Lakes (North America) -- Environmental conditions.; Lake restoration -- Great Lakes (North America); Water -- Pollution -- Great Lakes (North America)</t>
  </si>
  <si>
    <t>http://public.eblib.com/choice/PublicFullRecord.aspx?p=3411972</t>
  </si>
  <si>
    <t>Liberalism, Nationalism, Citizenship : Essays on the Problem of Political Community</t>
  </si>
  <si>
    <t>Beiner, Ronald</t>
  </si>
  <si>
    <t>JF801 -- .B446 2003eb</t>
  </si>
  <si>
    <t>323.6/01</t>
  </si>
  <si>
    <t>Citizenship.; Civil society.; Electronic books. -- local; Liberalism.; Nationalism.</t>
  </si>
  <si>
    <t>http://public.eblib.com/choice/PublicFullRecord.aspx?p=3411973</t>
  </si>
  <si>
    <t>Forestry and the Forest Industry in Japan</t>
  </si>
  <si>
    <t>Iwai, Yoshiya</t>
  </si>
  <si>
    <t>SD225 -- .F66 2002eb</t>
  </si>
  <si>
    <t>Electronic books. -- local; Forest management -- Japan.; Forest products industry -- Japan.; Forests and forestry -- Social aspects -- Japan.</t>
  </si>
  <si>
    <t>http://public.eblib.com/choice/PublicFullRecord.aspx?p=3411974</t>
  </si>
  <si>
    <t>The Politics of Resentment : British Columbia Regionalism and Canadian Unity</t>
  </si>
  <si>
    <t>F1088 -- .R47 2000eb</t>
  </si>
  <si>
    <t>971.1/04</t>
  </si>
  <si>
    <t>British Columbia -- History -- Autonomy and independence movements.; British Columbia -- Politics and government -- 20th century.; Electronic books. -- local; Federal government -- Canada -- Public opinion.; Federal government -- Canada.; Regionalism -- British Columbia.</t>
  </si>
  <si>
    <t>http://public.eblib.com/choice/PublicFullRecord.aspx?p=3411975</t>
  </si>
  <si>
    <t>The Halifax Explosion and the Royal Canadian Navy</t>
  </si>
  <si>
    <t>Studies in Canadian Military History</t>
  </si>
  <si>
    <t>Armstrong, John Griffith; Granatstein, J. L</t>
  </si>
  <si>
    <t>F1039.5.H17 -- A76 2002eb</t>
  </si>
  <si>
    <t>940.4/57</t>
  </si>
  <si>
    <t>Canada. -- Royal Canadian Navy -- History -- 20th century.; Electronic books. -- local; Explosions -- Nova Scotia -- Halifax -- History -- 20th century.; Halifax (N.S.) -- History -- 20th century.</t>
  </si>
  <si>
    <t>http://public.eblib.com/choice/PublicFullRecord.aspx?p=3411976</t>
  </si>
  <si>
    <t>Women and the White Man's God : Gender and Race in the Canadian Mission Field</t>
  </si>
  <si>
    <t>BV2815.N6 -- R87 2002eb</t>
  </si>
  <si>
    <t>Church of England -- Missions -- Canada, Northern -- History.; Electronic books. -- local; Indigenous peoples -- Canada, Northern -- History.; Northwest, Canadian -- Race relations.; Women missionaries -- Canada, Northern -- History.</t>
  </si>
  <si>
    <t>http://public.eblib.com/choice/PublicFullRecord.aspx?p=3411977</t>
  </si>
  <si>
    <t>Gender in the Legal Profession</t>
  </si>
  <si>
    <t>Law and Society</t>
  </si>
  <si>
    <t>Brockman, Joan</t>
  </si>
  <si>
    <t>Economics; Law</t>
  </si>
  <si>
    <t>KE332.W6 -- B76 2001eb</t>
  </si>
  <si>
    <t>Electronic books. -- local; Sex discrimination against women -- Canada.; Sex discrimination in employment -- Canada.; Women lawyers -- Canada.</t>
  </si>
  <si>
    <t>http://public.eblib.com/choice/PublicFullRecord.aspx?p=3411978</t>
  </si>
  <si>
    <t>Invisible and Inaudible in Washington : American Policies towards Canada during the Cold War</t>
  </si>
  <si>
    <t>Mahant, Edelgard; Mount, Graeme S.</t>
  </si>
  <si>
    <t>E183.8.C2 -- M29 1999eb</t>
  </si>
  <si>
    <t>Canada -- Relations -- United States.; Electronic books. -- local; International relations.; United States -- Foreign relations -- 1945-1989.; United States -- Foreign relations -- 1989-; United States -- Relations -- Canada.</t>
  </si>
  <si>
    <t>http://public.eblib.com/choice/PublicFullRecord.aspx?p=3411979</t>
  </si>
  <si>
    <t>The Indian Association of Alberta : A History of Political Action</t>
  </si>
  <si>
    <t>Meijer Drees, Laurie; Meijer, Drees , Laurie</t>
  </si>
  <si>
    <t>E78.A34 -- M43 2002eb</t>
  </si>
  <si>
    <t>971.23/00497</t>
  </si>
  <si>
    <t>Electronic books. -- local; Indian Association of Alberta -- History.; Indians of North America -- Alberta -- Politics and government.; Indians of North America -- Canada -- Government relations.</t>
  </si>
  <si>
    <t>http://public.eblib.com/choice/PublicFullRecord.aspx?p=3411980</t>
  </si>
  <si>
    <t>Avoiding Armageddon</t>
  </si>
  <si>
    <t>Richter, Andrew</t>
  </si>
  <si>
    <t>UA600 -- .R53 2002eb</t>
  </si>
  <si>
    <t>355/.033071</t>
  </si>
  <si>
    <t>Arms control -- Government policy -- Canada.; Canada -- Military policy.; Canada -- Strategic aspects.; Electronic books. -- local; Nuclear weapons -- Government policy -- Canada -- History.</t>
  </si>
  <si>
    <t>http://public.eblib.com/choice/PublicFullRecord.aspx?p=3411981</t>
  </si>
  <si>
    <t>Wired to the World, Chained to the Home : Telework in Daily Life</t>
  </si>
  <si>
    <t>Gurstein, Penny</t>
  </si>
  <si>
    <t>HD2336.3 -- .G87 2001eb</t>
  </si>
  <si>
    <t>Electronic books. -- local; Home labor.; Home-based businesses.; Telecommuting.</t>
  </si>
  <si>
    <t>http://public.eblib.com/choice/PublicFullRecord.aspx?p=3411982</t>
  </si>
  <si>
    <t>Women Filmmakers : Refocusing</t>
  </si>
  <si>
    <t>Levitin, Jacqueline; Raoul, Valerie; Plessis, Judith</t>
  </si>
  <si>
    <t>PN1995.9.W6 -- W66 2003eb</t>
  </si>
  <si>
    <t>791.43/023/082</t>
  </si>
  <si>
    <t>Electronic books. -- local; Feminism and motion pictures.; Women motion picture producers and directors.</t>
  </si>
  <si>
    <t>http://public.eblib.com/choice/PublicFullRecord.aspx?p=3411983</t>
  </si>
  <si>
    <t>This Blessed Wilderness : Archibald McDonald's Letters from the Columbia, 1822-44</t>
  </si>
  <si>
    <t>The Pioneers of British Columbia Series</t>
  </si>
  <si>
    <t>Cole, Jean M.; McDonald Archibald Cole Jean Murray,</t>
  </si>
  <si>
    <t>F1060.8.M125 -- M37 2001eb</t>
  </si>
  <si>
    <t>Electronic books. -- local; Fur trade -- Northwest, Canadian -- History -- 19th century.; Fur traders -- Northwest, Canadian -- Correspondence.; Hudson''s Bay Company -- Biography.; McDonald, Archibald, -- 1790-1853 -- Correspondence.; Northwest, Canadian -- Biography.</t>
  </si>
  <si>
    <t>http://public.eblib.com/choice/PublicFullRecord.aspx?p=3411984</t>
  </si>
  <si>
    <t>Being a Tourist : Finding Meaning in Pleasure Travel</t>
  </si>
  <si>
    <t>Harrison, Julia</t>
  </si>
  <si>
    <t>G156 -- .H37 2003eb</t>
  </si>
  <si>
    <t>Electronic books. -- local; Travel -- Psychological aspects.; Travelers -- Sociological aspects.</t>
  </si>
  <si>
    <t>http://public.eblib.com/choice/PublicFullRecord.aspx?p=3411985</t>
  </si>
  <si>
    <t>Rebuilding Canadian Party Politics</t>
  </si>
  <si>
    <t>Carty, R. Kenneth; Cross, William; Young, Lisa</t>
  </si>
  <si>
    <t>JL195 -- .C34 2000eb</t>
  </si>
  <si>
    <t>Electronic books. -- local; Political parties -- Canada -- History.; Public administration -- Canada.</t>
  </si>
  <si>
    <t>http://public.eblib.com/choice/PublicFullRecord.aspx?p=3411986</t>
  </si>
  <si>
    <t>A Trading Nation : Canadian Trade Policy from Colonialism to Globalization</t>
  </si>
  <si>
    <t>Canada and International Relations Series</t>
  </si>
  <si>
    <t>Hart, Michael</t>
  </si>
  <si>
    <t>HF1479 -- .H378 2002eb</t>
  </si>
  <si>
    <t>382/.0971</t>
  </si>
  <si>
    <t>Canada -- Commercial policy.; Canada -- Foreign economic relations.; Electronic books. -- local; International trade.</t>
  </si>
  <si>
    <t>http://public.eblib.com/choice/PublicFullRecord.aspx?p=3411987</t>
  </si>
  <si>
    <t>Global Goes Local : Popular Culture in Asia</t>
  </si>
  <si>
    <t>Craig, Timothy J.; King, Richard</t>
  </si>
  <si>
    <t>DS12 -- .G562 2002eb</t>
  </si>
  <si>
    <t>Asia -- Social life and customs.; Electronic books. -- local; Popular culture -- Asia.</t>
  </si>
  <si>
    <t>http://public.eblib.com/choice/PublicFullRecord.aspx?p=3411988</t>
  </si>
  <si>
    <t>Democracy : A History of Ideas</t>
  </si>
  <si>
    <t>DeWiel, Boris</t>
  </si>
  <si>
    <t>JC421 -- .D48 2000eb</t>
  </si>
  <si>
    <t>Democracy -- History.; Electronic books. -- local; Political science.</t>
  </si>
  <si>
    <t>http://public.eblib.com/choice/PublicFullRecord.aspx?p=3411989</t>
  </si>
  <si>
    <t>Personal Relationships of Dependence and Interdependence in Law</t>
  </si>
  <si>
    <t>KE498 -- .P47 2002eb</t>
  </si>
  <si>
    <t>Attorney and client -- Canada.; Electronic books. -- local; Interpersonal relations -- Canada.; Persons (Law) -- Canada.</t>
  </si>
  <si>
    <t>http://public.eblib.com/choice/PublicFullRecord.aspx?p=3411990</t>
  </si>
  <si>
    <t>Aboriginal Education : Fulfilling the Promise</t>
  </si>
  <si>
    <t>Castellano, Marlene Brant; Davis, Lynne; Lahache, Louise</t>
  </si>
  <si>
    <t>E96.2 -- .A25 2000eb</t>
  </si>
  <si>
    <t>Canada. -- Royal Commission on Aboriginal Peoples.; Electronic books. -- local; Indians of North America -- Education -- Canada.</t>
  </si>
  <si>
    <t>http://public.eblib.com/choice/PublicFullRecord.aspx?p=3411991</t>
  </si>
  <si>
    <t>The Integrity Gap : Canada's Environmental Policy and Institutions</t>
  </si>
  <si>
    <t>Perl, Anthony; Lee, Eugene</t>
  </si>
  <si>
    <t>GE190.C2 -- I48 2003eb</t>
  </si>
  <si>
    <t>Electronic books. -- local; Environmental policy -- Canada.; Political planning -- Canada.</t>
  </si>
  <si>
    <t>http://public.eblib.com/choice/PublicFullRecord.aspx?p=3411992</t>
  </si>
  <si>
    <t>Gendering Government : Feminist Engagement with the State in Australia and Canada</t>
  </si>
  <si>
    <t>Chappell, Louise</t>
  </si>
  <si>
    <t>HQ1236.5.C2 -- C426 2002eb</t>
  </si>
  <si>
    <t>320.9/0082/0971</t>
  </si>
  <si>
    <t>Australia -- Politics and government -- 1945-; Comparative government.; Electronic books. -- local; Feminism -- Political aspects -- Australia.; Feminism -- Political aspects -- Canada.; Women -- Political activity -- Australia.; Women -- Political activity -- Canada.</t>
  </si>
  <si>
    <t>http://public.eblib.com/choice/PublicFullRecord.aspx?p=3411993</t>
  </si>
  <si>
    <t>A Passion for Wildlife : The History of the Canadian Wildlife Service</t>
  </si>
  <si>
    <t>Burnett, J. Alexander</t>
  </si>
  <si>
    <t>Economics; Environmental Studies; Science; Science: Zoology</t>
  </si>
  <si>
    <t>QL84.24 -- .B87 2003eb</t>
  </si>
  <si>
    <t>333.95/4/0971</t>
  </si>
  <si>
    <t>Canadian Wildlife Service -- History.; Electronic books. -- local; Wildlife conservation -- Canada.</t>
  </si>
  <si>
    <t>http://public.eblib.com/choice/PublicFullRecord.aspx?p=3411994</t>
  </si>
  <si>
    <t>Hollywood North : The Feature Film Industry in British Columbia</t>
  </si>
  <si>
    <t>Gasher, Mike</t>
  </si>
  <si>
    <t>PN1993.5.C32B7 -- G38 2002eb</t>
  </si>
  <si>
    <t>Electronic books. -- local; Motion picture industry -- British Columbia -- History.; Motion pictures -- History.</t>
  </si>
  <si>
    <t>http://public.eblib.com/choice/PublicFullRecord.aspx?p=3411995</t>
  </si>
  <si>
    <t>Quasi-Democracy? : Parties and Leadership Selection in Alberta</t>
  </si>
  <si>
    <t>Stewart, David K.; Archer, Keith</t>
  </si>
  <si>
    <t>JL339.A45 -- S84 2000eb</t>
  </si>
  <si>
    <t>324.27123/015</t>
  </si>
  <si>
    <t>Alberta -- Politics and government -- 1971-; Electronic books. -- local; Political conventions -- Alberta.; Political parties -- Alberta.</t>
  </si>
  <si>
    <t>http://public.eblib.com/choice/PublicFullRecord.aspx?p=3411996</t>
  </si>
  <si>
    <t>Fatal Consumption : Rethinking Sustainable Development</t>
  </si>
  <si>
    <t>Woollard, Robert F.; Ostry, Aleck S.</t>
  </si>
  <si>
    <t>HC117.B8 -- F38 2000eb</t>
  </si>
  <si>
    <t>Electronic books. -- local; Sustainable development -- British Columbia -- Lower Mainland.; Sustainable development -- Case studies.; Sustainable development.</t>
  </si>
  <si>
    <t>http://public.eblib.com/choice/PublicFullRecord.aspx?p=3411997</t>
  </si>
  <si>
    <t>Planning the New Suburbia : Flexibility by Design</t>
  </si>
  <si>
    <t>HT351 -- .F75 2001eb</t>
  </si>
  <si>
    <t>City planning.; Community development, Urban.; Electronic books. -- local; Suburbs -- Case studies.; Suburbs.</t>
  </si>
  <si>
    <t>http://public.eblib.com/choice/PublicFullRecord.aspx?p=3411998</t>
  </si>
  <si>
    <t>Tales of Ghosts : First Nations Art in British Columbia, 1922-61</t>
  </si>
  <si>
    <t>Hawker, Ronald W.</t>
  </si>
  <si>
    <t>E78.B9 -- H3497 2003eb</t>
  </si>
  <si>
    <t>704.03/970711</t>
  </si>
  <si>
    <t>Electronic books. -- local; Indian art -- British Columbia -- History.; Indian art -- North America.; Indian art -- Political aspects -- British Columbia.</t>
  </si>
  <si>
    <t>http://public.eblib.com/choice/PublicFullRecord.aspx?p=3411999</t>
  </si>
  <si>
    <t>Against the Grain : Foresters and Politics in Nova Scotia</t>
  </si>
  <si>
    <t>Sandberg, Anders; Clancy, Peter; Sandberg L Anders Clancy Peter,</t>
  </si>
  <si>
    <t>SD146.N68 -- S36 2000eb</t>
  </si>
  <si>
    <t>333.75/092/2716</t>
  </si>
  <si>
    <t>Electronic books. -- local; Forest policy -- Nova Scotia.; Foresters -- Nova Scotia.; Forests and forestry -- Nova Scotia.</t>
  </si>
  <si>
    <t>http://public.eblib.com/choice/PublicFullRecord.aspx?p=3412000</t>
  </si>
  <si>
    <t>Another Kind of Justice : Canadian Military Law from Confederation to Somalia</t>
  </si>
  <si>
    <t>Madsen, Chris</t>
  </si>
  <si>
    <t>KE6800 -- .M23 1999eb</t>
  </si>
  <si>
    <t>343.71/01</t>
  </si>
  <si>
    <t>Electronic books. -- local; Military law -- Canada -- History.; Military policy.</t>
  </si>
  <si>
    <t>http://public.eblib.com/choice/PublicFullRecord.aspx?p=3412001</t>
  </si>
  <si>
    <t>Training the Excluded for Work : Access and Equity for Women, Immigrants, First Nations, Youth, and People with Low Income</t>
  </si>
  <si>
    <t>Cohen, Marjorie Griffin</t>
  </si>
  <si>
    <t>Business/Management; Education</t>
  </si>
  <si>
    <t>HD6059.6.C2 -- T73 2003eb</t>
  </si>
  <si>
    <t>374/.013/0971</t>
  </si>
  <si>
    <t>Affirmative action programs -- Canada.; Electronic books. -- local; Occupational training -- Government policy -- Canada.; Occupational training for minorities -- Canada.; Occupational training for women -- Canada.; People with social disabilities -- Employment -- Canada.</t>
  </si>
  <si>
    <t>http://public.eblib.com/choice/PublicFullRecord.aspx?p=3412002</t>
  </si>
  <si>
    <t>Taxing Choices</t>
  </si>
  <si>
    <t>Johnson, Rebecca</t>
  </si>
  <si>
    <t>KE509 -- .J63 2002eb</t>
  </si>
  <si>
    <t>346.7101/34</t>
  </si>
  <si>
    <t>Child care -- Government policy -- Canada.; Electronic books. -- local; Feminist jurisprudence -- Canada.; Sex discrimination against women -- Canada.; Women -- Legal status, laws, etc. -- Canada.</t>
  </si>
  <si>
    <t>http://public.eblib.com/choice/PublicFullRecord.aspx?p=3412003</t>
  </si>
  <si>
    <t>Academic Freedom and the Inclusive University</t>
  </si>
  <si>
    <t>Kahn, Sharon E.; Pavlich, Dennis</t>
  </si>
  <si>
    <t>LC72 -- .A447 2000eb</t>
  </si>
  <si>
    <t>Academic freedom.; Electronic books. -- local; Inclusive education.; University autonomy.</t>
  </si>
  <si>
    <t>http://public.eblib.com/choice/PublicFullRecord.aspx?p=3412004</t>
  </si>
  <si>
    <t>Taking Stands : Gender and the Sustainability of Rural Communities</t>
  </si>
  <si>
    <t>Reed, Maureen G.</t>
  </si>
  <si>
    <t>Environmental Studies; Economics; Social Science</t>
  </si>
  <si>
    <t>HQ1240.5.C2 -- R44 2003eb</t>
  </si>
  <si>
    <t>333.75/082/09711</t>
  </si>
  <si>
    <t>Electronic books. -- local; Forestry and community -- British Columbia.; Forests and forestry -- Social aspects -- British Columbia.; Sustainable forestry -- British Columbia.; Women in forestry -- British Columbia.; Women in rural development -- British Columbia.</t>
  </si>
  <si>
    <t>http://public.eblib.com/choice/PublicFullRecord.aspx?p=3412005</t>
  </si>
  <si>
    <t>Modern Women Modernizing Men : The Changing Missions of Three Professional Women in Asia and Africa, 1902-69</t>
  </si>
  <si>
    <t>Brouwer, Ruth Compton</t>
  </si>
  <si>
    <t>BV2610 -- .B76 2002eb</t>
  </si>
  <si>
    <t>266/.0237105</t>
  </si>
  <si>
    <t>Electronic books. -- local; Murray, Florence J., -- 1894-1975.; Oliver, Belle Choné, -- 1875-1947.; Women missionaries -- Canada -- Biography.; Wrong, Margaret.</t>
  </si>
  <si>
    <t>http://public.eblib.com/choice/PublicFullRecord.aspx?p=3412006</t>
  </si>
  <si>
    <t>Sex and Borders : Gender, National Identity and Prostitution Policy in Thailand</t>
  </si>
  <si>
    <t>Jeffrey, Leslie Ann</t>
  </si>
  <si>
    <t>HQ242.55.A5 -- J436 2002eb</t>
  </si>
  <si>
    <t>Electronic books. -- local; Prostitution -- Thailand -- History.; Thailand -- Social conditions.</t>
  </si>
  <si>
    <t>http://public.eblib.com/choice/PublicFullRecord.aspx?p=3412007</t>
  </si>
  <si>
    <t>Hobnobbing with a Countess and Other Okanagan Adventures : The Diaries of Alice Barrett Parke, 1891-1900</t>
  </si>
  <si>
    <t>Jones, Jo Fraser</t>
  </si>
  <si>
    <t>F1089.O5 -- P37 2001eb</t>
  </si>
  <si>
    <t>971/.1503/092</t>
  </si>
  <si>
    <t>Electronic books. -- local; Frontier and pioneer life -- Okanagan River Valley (B.C. and Wash.) -- Biography.; Okanagan River Valley (B.C. and Wash.) -- Biography.; Parke, Alice Barrett, -- 1861-1952 -- Diaries.; Pioneers -- Okanagan River Valley (B.C. and Wash.) -- Diaries.</t>
  </si>
  <si>
    <t>http://public.eblib.com/choice/PublicFullRecord.aspx?p=3412008</t>
  </si>
  <si>
    <t>Anatomy of a Conflict : Identity, Knowledge, and Emotion in Old-Growth Forests</t>
  </si>
  <si>
    <t>Satterfield, Terre</t>
  </si>
  <si>
    <t>Agriculture; Environmental Studies; Economics</t>
  </si>
  <si>
    <t>SD387.O43 -- S28 2002eb</t>
  </si>
  <si>
    <t>333.75/16/09795</t>
  </si>
  <si>
    <t>Electronic books. -- local; Environmentalists -- Oregon -- Attitudes.; Loggers -- Oregon -- Attitudes.; Logging -- Oregon.; Old growth forest conservation -- Oregon.; Old growth forest ecology -- Oregon.; Old growth forests -- Oregon.</t>
  </si>
  <si>
    <t>http://public.eblib.com/choice/PublicFullRecord.aspx?p=3412009</t>
  </si>
  <si>
    <t>Undelivered Letters to Hudson's Bay Company Men on the Northwest Coast of America, 1830-57</t>
  </si>
  <si>
    <t>Buss, Helen M.; Beattie, Judith Hudson</t>
  </si>
  <si>
    <t>F1060.3 -- .U52 2003eb</t>
  </si>
  <si>
    <t>971.1/102/0922</t>
  </si>
  <si>
    <t>Electronic books. -- local; Fur traders -- Northwest Coast of North America -- Biography.; Hudson''s Bay Company -- Employees -- Biography.; Hudson''s Bay Company -- Employees -- Correspondence.</t>
  </si>
  <si>
    <t>http://public.eblib.com/choice/PublicFullRecord.aspx?p=3412010</t>
  </si>
  <si>
    <t>A War of Patrols</t>
  </si>
  <si>
    <t>Johnston, William</t>
  </si>
  <si>
    <t>DS919.2 -- .J64 2003eb</t>
  </si>
  <si>
    <t>951.904/24/0971</t>
  </si>
  <si>
    <t>Canada. -- Canadian Army -- History -- Korean War, 1950-1953.; Electronic books. -- local; Korean War, 1950-1953 -- Participation, Canadian.</t>
  </si>
  <si>
    <t>http://public.eblib.com/choice/PublicFullRecord.aspx?p=3412011</t>
  </si>
  <si>
    <t>Scars of War : The Impact of Warfare on Modern China</t>
  </si>
  <si>
    <t>Contemporary Chinese Studies Series</t>
  </si>
  <si>
    <t>Lary, Diana; MacKinnon, Stephen</t>
  </si>
  <si>
    <t>HN733 -- .S33 2001eb</t>
  </si>
  <si>
    <t>303.48/5</t>
  </si>
  <si>
    <t>Atrocities -- China -- History -- 20th century.; China -- Social conditions -- 1912-1949.; China -- Social conditions -- 1949-; Electronic books. -- local; War and society -- China -- History -- 20th century.</t>
  </si>
  <si>
    <t>http://public.eblib.com/choice/PublicFullRecord.aspx?p=3412012</t>
  </si>
  <si>
    <t>Chinese Democracy after Tiananmen</t>
  </si>
  <si>
    <t>Ding, Yijiang</t>
  </si>
  <si>
    <t>JQ1516 -- .D56 2001eb</t>
  </si>
  <si>
    <t>China -- Politics and government -- 1976-2002.; China -- Social conditions.; Democracy -- China.; Electronic books. -- local; Social change -- China.</t>
  </si>
  <si>
    <t>http://public.eblib.com/choice/PublicFullRecord.aspx?p=3412013</t>
  </si>
  <si>
    <t>Awe for the Tiger, Love for the Lamb : A Chronicle of Sensibility to Animals</t>
  </si>
  <si>
    <t>Preece, Rod</t>
  </si>
  <si>
    <t>HV4708 -- .A93 2002eb</t>
  </si>
  <si>
    <t>Animal welfare -- Moral and ethical aspects.; Animals and civilization.; Electronic books. -- local; Human-animal relationships.</t>
  </si>
  <si>
    <t>http://public.eblib.com/choice/PublicFullRecord.aspx?p=3412014</t>
  </si>
  <si>
    <t>Making Native Space : Colonialism, Resistance, and Reserves in British Columbia</t>
  </si>
  <si>
    <t>Harris, R. Cole</t>
  </si>
  <si>
    <t>E78.B9 -- H34 2002eb</t>
  </si>
  <si>
    <t>Indian reservations -- British Columbia -- History.; Indians of North America -- Canada -- Government relations.</t>
  </si>
  <si>
    <t>http://public.eblib.com/choice/PublicFullRecord.aspx?p=3412015</t>
  </si>
  <si>
    <t>Agenda-Setting Dynamics in Canada</t>
  </si>
  <si>
    <t>Soroka, Stuart N.</t>
  </si>
  <si>
    <t>P96.P83 -- S67 2002eb</t>
  </si>
  <si>
    <t>302.23/0971/09048</t>
  </si>
  <si>
    <t>Electronic books. -- local; Mass media -- Political aspects -- Canada.; Mass media and public opinion -- Canada.; Political planning -- Canada.; Public opinion -- Canada.</t>
  </si>
  <si>
    <t>http://public.eblib.com/choice/PublicFullRecord.aspx?p=3412016</t>
  </si>
  <si>
    <t>The Frontier World of Edgar Dewdney</t>
  </si>
  <si>
    <t>Titley, Brian; Titley, E Brian</t>
  </si>
  <si>
    <t>F1060.9.D43 -- T58 1999eb</t>
  </si>
  <si>
    <t>971.2/02/092</t>
  </si>
  <si>
    <t>Dewdney, E. -- (Edgar), -- 1835-1916.; Electronic books. -- local; Indians of North America -- Canada -- Government relations.; Northwest, Canadian -- Biography.; Northwest, Canadian -- History.; Politicians -- Canada, Western -- Biography.</t>
  </si>
  <si>
    <t>http://public.eblib.com/choice/PublicFullRecord.aspx?p=3412017</t>
  </si>
  <si>
    <t>Ethics and Security in Canadian Foreign Policy</t>
  </si>
  <si>
    <t>Irwin, Rosalind</t>
  </si>
  <si>
    <t>F1034.2 -- .E73 2001eb</t>
  </si>
  <si>
    <t>Canada -- Foreign relations -- 1945- -- Case studies.; Canada -- Foreign relations -- Moral and ethical aspects.; Electronic books. -- local; International relations -- Moral and ethical aspects.; Security, International -- Moral and ethical aspects.</t>
  </si>
  <si>
    <t>http://public.eblib.com/choice/PublicFullRecord.aspx?p=3412018</t>
  </si>
  <si>
    <t>At Home with the Bella Coola Indians : T.F. McIlwraith's Field Letters, 1922-4</t>
  </si>
  <si>
    <t>Barker, John; Cole, Douglas</t>
  </si>
  <si>
    <t>E99.B39 -- M346 2003eb</t>
  </si>
  <si>
    <t>971.1/1004979</t>
  </si>
  <si>
    <t>Anthropologists -- Canada -- Correspondence.; Bella Coola (B.C.) -- Biography.; Bella Coola (B.C.) -- Description and travel.; Bella Coola Indians -- Social life and customs.; Electronic books. -- local; McIlwraith, T. F. -- (Thomas Forsyth), -- 1899-1964 -- Correspondence.; McIlwraith, T. F. -- (Thomas Forsyth), -- 1899-1964 -- Travel -- British Columbia -- Bella Coola.</t>
  </si>
  <si>
    <t>http://public.eblib.com/choice/PublicFullRecord.aspx?p=3412019</t>
  </si>
  <si>
    <t>Growth and Governance of Canadian Universities : An Insider's View</t>
  </si>
  <si>
    <t>Clark, Howard C.</t>
  </si>
  <si>
    <t>LA417 -- .C52 2004eb</t>
  </si>
  <si>
    <t>Clark, Howard C.; Education, Higher -- Canada.; Electronic books. -- local; Universities and colleges -- Canada.</t>
  </si>
  <si>
    <t>http://public.eblib.com/choice/PublicFullRecord.aspx?p=3412020</t>
  </si>
  <si>
    <t>The Co-Workplace : Teleworking in the Neighbourhood</t>
  </si>
  <si>
    <t>Johnson, Laura C.</t>
  </si>
  <si>
    <t>HD2336.3 -- .J638 2003eb</t>
  </si>
  <si>
    <t>Electronic books. -- local; Offices.; Telecommuting.</t>
  </si>
  <si>
    <t>http://public.eblib.com/choice/PublicFullRecord.aspx?p=3412021</t>
  </si>
  <si>
    <t>Preserving What Is Valued : Museums, Conservation, and First Nations</t>
  </si>
  <si>
    <t>Clavir, Miriam</t>
  </si>
  <si>
    <t>E78.B9 -- C53 2002eb</t>
  </si>
  <si>
    <t>306/.089/970074</t>
  </si>
  <si>
    <t>Anthropological museums and collections.; Cultural property -- Conservation and restoration.; Electronic books. -- local; Indians of North America -- British Columbia -- Antiquities -- Collection and preservation.; Museum conservation methods.; Museums -- Social aspects.</t>
  </si>
  <si>
    <t>http://public.eblib.com/choice/PublicFullRecord.aspx?p=3412022</t>
  </si>
  <si>
    <t>Regulating Lives</t>
  </si>
  <si>
    <t>McLaren, John; Chunn, Dorothy E.; Menzies, Robert</t>
  </si>
  <si>
    <t>HN110.B7 -- R45 2002eb</t>
  </si>
  <si>
    <t>British Columbia -- Social conditions -- 19th century.; British Columbia -- Social conditions -- 20th century.; British Columbia -- Social policy.; Electronic books. -- local; Law -- Social aspects -- British Columbia.; Social control -- British Columbia -- History -- 19th century.; Social control -- British Columbia -- History -- 20th century.</t>
  </si>
  <si>
    <t>http://public.eblib.com/choice/PublicFullRecord.aspx?p=3412023</t>
  </si>
  <si>
    <t>Parties Long Estranged : Canada and Australia in the Twentieth Century</t>
  </si>
  <si>
    <t>MacMillan, Margaret; McKenzie, Francine</t>
  </si>
  <si>
    <t>F1029.A97 -- P37 2003eb</t>
  </si>
  <si>
    <t>Australia -- Foreign relations -- 1900-1945.; Australia -- Foreign relations -- 1945-; Australia -- Foreign relations -- Canada.; Canada -- Foreign relations -- 1945-; Canada -- Foreign relations -- Australia.; Canada -- Relations -- Australia.; International relations.</t>
  </si>
  <si>
    <t>http://public.eblib.com/choice/PublicFullRecord.aspx?p=3412024</t>
  </si>
  <si>
    <t>Brute Souls, Happy Beasts, and Evolution : The Historical Status of Animals</t>
  </si>
  <si>
    <t>Philosophy; Science; Science: Zoology</t>
  </si>
  <si>
    <t>QL85 -- .P73 2005eb</t>
  </si>
  <si>
    <t>Animal welfare -- History.; Animal welfare -- Moral and ethical aspects -- History.; Animal welfare -- Philosophy -- History.; Animals and civilization -- History.; Electronic books. -- local; Human-animal relationships.</t>
  </si>
  <si>
    <t>http://public.eblib.com/choice/PublicFullRecord.aspx?p=3412025</t>
  </si>
  <si>
    <t>Redrawing Local Government Boundaries : An International Study of Politics, Procedures, and Decisions</t>
  </si>
  <si>
    <t>Meligrana, John</t>
  </si>
  <si>
    <t>JS78 -- .R46 2004eb</t>
  </si>
  <si>
    <t>Administration locale -- Cas, Études de.; Boundaries -- Case studies.; Comparative government.; Frontières -- Cas, Études de.; Local government -- Case studies.</t>
  </si>
  <si>
    <t>http://public.eblib.com/choice/PublicFullRecord.aspx?p=3412026</t>
  </si>
  <si>
    <t>Our Box Was Full : An Ethnography for the Delgamuukw Plaintiffs</t>
  </si>
  <si>
    <t>Daly, Richard</t>
  </si>
  <si>
    <t>E99.K55 -- D34 2005eb</t>
  </si>
  <si>
    <t>305.897/2</t>
  </si>
  <si>
    <t>Electronic books. -- local; Gitksan Indians -- Economic conditions.; Gitksan Indians -- Land tenure.; Wet''suwet''en Indians -- Economic conditions.; Wet''suwet''en Indians -- Land tenure.</t>
  </si>
  <si>
    <t>http://public.eblib.com/choice/PublicFullRecord.aspx?p=3412027</t>
  </si>
  <si>
    <t>The Red Man's on the Warpath : The Image of the "Indian" and the Second World War</t>
  </si>
  <si>
    <t>Sheffield, R. Scott</t>
  </si>
  <si>
    <t>D810.I5 -- S54 2004eb</t>
  </si>
  <si>
    <t>940.53/089/97071</t>
  </si>
  <si>
    <t>Indians of North America -- Canada -- Public opinion -- History -- 20th century.; Public opinion -- Canada -- History -- 20th century.; Stereotypes (Social psychology); World War, 1939-1945 -- Indians.; World War, 1939-1945 -- Participation, Indian.</t>
  </si>
  <si>
    <t>http://public.eblib.com/choice/PublicFullRecord.aspx?p=3412028</t>
  </si>
  <si>
    <t>Insiders and Outsiders : Alan Cairns and the Reshaping of Canadian Citizenship</t>
  </si>
  <si>
    <t>Resnick, Philip; Kernerman, Gerald</t>
  </si>
  <si>
    <t>JL65 -- I58 2005eb</t>
  </si>
  <si>
    <t>Cairns, Alan -- Criticism and interpretation.; Canada -- Politics and government.; Citizenship -- Canada.; Electronic books. -- local</t>
  </si>
  <si>
    <t>http://public.eblib.com/choice/PublicFullRecord.aspx?p=3412029</t>
  </si>
  <si>
    <t>Gay Male Pornography : An Issue of Sex Discrimination</t>
  </si>
  <si>
    <t>Kendall, Christopher N.</t>
  </si>
  <si>
    <t>HQ472.C2 -- K46 2004eb</t>
  </si>
  <si>
    <t>363.4/7/0866420971</t>
  </si>
  <si>
    <t>Butler, Donald Victor -- Procès, instances, etc.; Butler, Donald Victor -- Trials, litigation, etc.; Homophobia -- Canada.; Little Sister''s Book &amp; Art Emporium -- Procès, instances, etc.; Little Sister''s Book and Art Emporium -- Trials, litigation, etc.; Pornography -- Law and legislation -- Canada.; Pornography -- Social aspects -- Canada.</t>
  </si>
  <si>
    <t>http://public.eblib.com/choice/PublicFullRecord.aspx?p=3412030</t>
  </si>
  <si>
    <t>Between Justice and Certainty : Treaty Making in British Columbia</t>
  </si>
  <si>
    <t>Woolford, Andrew</t>
  </si>
  <si>
    <t>KEB529.4 -- .W66 2005eb</t>
  </si>
  <si>
    <t>342.7108/72/089972</t>
  </si>
  <si>
    <t>Electronic books. -- local; Indians of North America -- British Columbia -- Government relations.; Indians of North America -- British Columbia -- Treaties.; Indians of North America -- Legal status, laws, etc. -- British Columbia.</t>
  </si>
  <si>
    <t>http://public.eblib.com/choice/PublicFullRecord.aspx?p=3412031</t>
  </si>
  <si>
    <t>Heiress vs. the Establishment : Mrs. Campbell's Campaign for Legal Justice</t>
  </si>
  <si>
    <t>Backhouse, Constance; Backhouse, Nancy L</t>
  </si>
  <si>
    <t>KE237.C36 -- B23 2004eb</t>
  </si>
  <si>
    <t>346.71305/2/092</t>
  </si>
  <si>
    <t>Breach of trust -- Ontario.; Campbell, Elizabeth Louisa Bethune -- Procès, instances, etc.; Campbell, Elizabeth Louisa Bethune -- Testament.; Campbell, Elizabeth Louisa Bethune -- Trials, litigation, etc.; Howland, Elizabeth Mary Rattray, -- Lady, -- 1840?-1924 -- Will.; Inheritance and succession -- Ontario.; Successions et héritages -- Ontario.</t>
  </si>
  <si>
    <t>http://public.eblib.com/choice/PublicFullRecord.aspx?p=3412032</t>
  </si>
  <si>
    <t>Compulsory Compassion : A Critique of Restorative Justice</t>
  </si>
  <si>
    <t>Acorn, Annalise</t>
  </si>
  <si>
    <t>HV8688 -- .A26 2004eb</t>
  </si>
  <si>
    <t>345/.001</t>
  </si>
  <si>
    <t>Electronic books. -- local; Law.; Restorative justice.</t>
  </si>
  <si>
    <t>http://public.eblib.com/choice/PublicFullRecord.aspx?p=3412033</t>
  </si>
  <si>
    <t>Feminist Activism in the Supreme Court : Legal Mobilization and the Women's Legal Education and Action Fund</t>
  </si>
  <si>
    <t>Manfredi, Christopher P.</t>
  </si>
  <si>
    <t>HQ1236 .5.C2 -- M353 2004eb</t>
  </si>
  <si>
    <t>Canada. -- Canadian Charter of Rights and Freedoms.; Canada. -- Supreme Court.; Constitutional history -- Canada.; Equality before the law -- Canada.; Feminism -- Canada.; Women -- Legal status, laws, etc. -- Canada.; Women''s Legal Education and Action Fund.</t>
  </si>
  <si>
    <t>http://public.eblib.com/choice/PublicFullRecord.aspx?p=3412034</t>
  </si>
  <si>
    <t>Carefair : Rethinking the Responsibilities and Rights of Citizenship</t>
  </si>
  <si>
    <t>Kershaw, Paul</t>
  </si>
  <si>
    <t>HV108 -- .K47 2005eb</t>
  </si>
  <si>
    <t>306.85/0971; 361.971</t>
  </si>
  <si>
    <t>Caregivers -- Canada.; Child care -- Canada.; Citizenship -- Social aspects.; Feminist ethics.; Sex role -- Canada.; Travail et famille -- Canada.; Work and family -- Canada.</t>
  </si>
  <si>
    <t>http://public.eblib.com/choice/PublicFullRecord.aspx?p=3412035</t>
  </si>
  <si>
    <t>Securing Borders : Detention and Deportation in Canada</t>
  </si>
  <si>
    <t>Pratt, Anna</t>
  </si>
  <si>
    <t>KE4454 -- .P73 2005eb</t>
  </si>
  <si>
    <t>342.7108/2</t>
  </si>
  <si>
    <t>Deportation -- Canada -- History -- 20th century.; Detention of persons -- Canada -- History -- 20th century.; Electronic books. -- local; National security -- Canada.</t>
  </si>
  <si>
    <t>http://public.eblib.com/choice/PublicFullRecord.aspx?p=3412036</t>
  </si>
  <si>
    <t>Defending Rights in Russia : Lawyers, the State, and Legal Reforms in the Post-Soviet Era</t>
  </si>
  <si>
    <t>Jordan, Pamela A.</t>
  </si>
  <si>
    <t>KLB54 -- .J67 2005eb</t>
  </si>
  <si>
    <t>340/.060/47</t>
  </si>
  <si>
    <t>Avocats -- Russie -- Histoire -- 20e siècle.; Bar associations -- Russia (Federation) -- History -- 20th century.; Barreaux (Avocats) -- Russie -- Histoire -- 20e siècle.; Droit -- Réforme -- Russie -- Histoire -- 20e siècle.; Law reform -- Russia (Federation) -- History -- 20th century.; Lawyers -- Russia (Federation) -- History -- 20th century.</t>
  </si>
  <si>
    <t>http://public.eblib.com/choice/PublicFullRecord.aspx?p=3412037</t>
  </si>
  <si>
    <t>Intensive Agriculture and Sustainability : A Farming Systems Analysis</t>
  </si>
  <si>
    <t>Filson, Glen</t>
  </si>
  <si>
    <t>S589 .7 -- .I58 2004eb</t>
  </si>
  <si>
    <t>338.1/62/09713</t>
  </si>
  <si>
    <t>Agricultural intensification -- Ontario.; Agricultural systems -- Research -- Ontario.; Electronic books. -- local; Factory farms -- Environmental aspects -- Ontario.; Factory farms -- Social aspects -- Ontario.; Sustainable agriculture -- Ontario.</t>
  </si>
  <si>
    <t>http://public.eblib.com/choice/PublicFullRecord.aspx?p=3412038</t>
  </si>
  <si>
    <t>Social Policy and the Ethic of Care</t>
  </si>
  <si>
    <t>Hankivsky, Olena</t>
  </si>
  <si>
    <t>HV108 -- .H36 2004eb</t>
  </si>
  <si>
    <t>361.6/12/0971</t>
  </si>
  <si>
    <t>Canada -- Social policy.; Caring -- Moral and ethical aspects.; Electronic books. -- local; Feminist ethics.</t>
  </si>
  <si>
    <t>http://public.eblib.com/choice/PublicFullRecord.aspx?p=3412039</t>
  </si>
  <si>
    <t>Paddling to Where I Stand : Agnes Alfred, Qwiqwasutinuxw Noblewoman</t>
  </si>
  <si>
    <t>Reid, Martine J.; Sewid-Smith, Daisy</t>
  </si>
  <si>
    <t>E99.K9 -- A453 2004eb</t>
  </si>
  <si>
    <t>971.1004/97953/0092; B</t>
  </si>
  <si>
    <t>Alfred, Agnes.; Femmes kwakiutl -- Biographies.; Kwakiutl (Indiens) -- Biographies.; Kwakiutl (Indiens) -- Moeurs et coutumes.; Kwakiutl Indians -- Social life and customs.; Kwakiutl women -- Biography.</t>
  </si>
  <si>
    <t>http://public.eblib.com/choice/PublicFullRecord.aspx?p=3412040</t>
  </si>
  <si>
    <t>Limiting Arbitrary Power : The Vagueness Doctrine in Canadian Constitutional Law</t>
  </si>
  <si>
    <t>Ribeiro, Marc</t>
  </si>
  <si>
    <t>KE4239 -- .R52 2004eb</t>
  </si>
  <si>
    <t>Canada. -- Canadian Charter of Rights and Freedoms.; Constitutional law -- Canada.; Judicial review -- Canada.; Law -- Canada -- Interpretation and construction.; Legal certainty.; Rule of law -- Canada.</t>
  </si>
  <si>
    <t>http://public.eblib.com/choice/PublicFullRecord.aspx?p=3412041</t>
  </si>
  <si>
    <t>Despotic Dominion : Property Rights in British Settler Societies</t>
  </si>
  <si>
    <t>McLaren, John; Buck, Mr. A. R. ; Wright, Ms. Nancy E.</t>
  </si>
  <si>
    <t>K721.5 -- .D47 2005eb</t>
  </si>
  <si>
    <t>Electronic books. -- local; Law -- Great Britain -- Colonies -- History.; Right of property -- Great Britain -- Colonies -- History.</t>
  </si>
  <si>
    <t>http://public.eblib.com/choice/PublicFullRecord.aspx?p=3412042</t>
  </si>
  <si>
    <t>From UI To EI : Waging War on the Welfare State</t>
  </si>
  <si>
    <t>Campeau, Georges</t>
  </si>
  <si>
    <t>KE3459 -- .C2313 2004eb</t>
  </si>
  <si>
    <t>368.4/4/00971</t>
  </si>
  <si>
    <t>Electronic books. -- local; Unemployment insurance -- Canada -- History.; Unemployment insurance.</t>
  </si>
  <si>
    <t>http://public.eblib.com/choice/PublicFullRecord.aspx?p=3412043</t>
  </si>
  <si>
    <t>Bioregionalism and Civil Society : Democratic Challenges to Corporate Globalism</t>
  </si>
  <si>
    <t>Carr, Mike</t>
  </si>
  <si>
    <t>GE43 -- .C37 2004eb</t>
  </si>
  <si>
    <t>Bioregionalism.; Biorégionalisme.; Civil society.; Développement durable.; Société civile.; Sustainable development.</t>
  </si>
  <si>
    <t>http://public.eblib.com/choice/PublicFullRecord.aspx?p=3412044</t>
  </si>
  <si>
    <t>Unwilling Mothers, Unwanted Babies : Infanticide in Canada</t>
  </si>
  <si>
    <t>Kramar, Kirsten Johnson</t>
  </si>
  <si>
    <t>KE8910 -- .K73 2005eb</t>
  </si>
  <si>
    <t>345.71/02523</t>
  </si>
  <si>
    <t>Infanticide -- Canada -- Histoire.; Infanticide -- Canada -- History.; Infanticide -- Canada.; Sociological jurisprudence.; Sociologie juridique.</t>
  </si>
  <si>
    <t>http://public.eblib.com/choice/PublicFullRecord.aspx?p=3412045</t>
  </si>
  <si>
    <t>Intercultural Dispute Resolution in Aboriginal Contexts</t>
  </si>
  <si>
    <t>Bell, Catherine</t>
  </si>
  <si>
    <t>K2390 -- .I58 2004eb</t>
  </si>
  <si>
    <t>347/.09</t>
  </si>
  <si>
    <t>Dispute resolution (Law); Dispute resolution (Law) -- Canada.; Indigenous peoples -- Canada -- Government relations.; Indigenous peoples -- Government relations.; Indigenous peoples -- Legal status, laws, etc.; Indigenous peoples -- Legal status, laws, etc. -- Canada.</t>
  </si>
  <si>
    <t>http://public.eblib.com/choice/PublicFullRecord.aspx?p=3412046</t>
  </si>
  <si>
    <t>First Nations Sacred Sites in Canada's Courts</t>
  </si>
  <si>
    <t>Ross, Michael Lee</t>
  </si>
  <si>
    <t>KE7715 -- .R67 2005eb</t>
  </si>
  <si>
    <t>Indians of North America -- Canada -- Claims.; Indians of North America -- Land tenure -- Canada.; Indians of North America -- Legal status, laws, etc. -- Canada.</t>
  </si>
  <si>
    <t>http://public.eblib.com/choice/PublicFullRecord.aspx?p=3412047</t>
  </si>
  <si>
    <t>International Environmental Law and Asian Values : Legal Norms and Cultural Influences</t>
  </si>
  <si>
    <t>Mushkat, Roda</t>
  </si>
  <si>
    <t>K3585 -- .M87 2004eb</t>
  </si>
  <si>
    <t>Environmental law, International.; Environmental policy -- Asia.; Environmental protection -- Asia.; Environnement -- Droit international.; Environnement -- Politique gouvernementale -- Asie.; Globalization -- Environmental aspects -- Asia.; International trade -- Environmental aspects -- Asia.</t>
  </si>
  <si>
    <t>http://public.eblib.com/choice/PublicFullRecord.aspx?p=3412048</t>
  </si>
  <si>
    <t>Law and Risk</t>
  </si>
  <si>
    <t>K487.R57 -- L39 2005eb</t>
  </si>
  <si>
    <t>Law -- Canada.; Risk assessment -- Canada.; Risk communication -- Canada.; Risk management -- Canada.</t>
  </si>
  <si>
    <t>http://public.eblib.com/choice/PublicFullRecord.aspx?p=3412049</t>
  </si>
  <si>
    <t>Good Government? Good Citizens? : Courts, Politics, and Markets in a Changing Canada</t>
  </si>
  <si>
    <t>Bogart, W. A.</t>
  </si>
  <si>
    <t>JL186.5 -- .B64 2005eb</t>
  </si>
  <si>
    <t>306.2/0971</t>
  </si>
  <si>
    <t>Canada -- Social conditions -- 1971-1991.; Canada -- Social conditions -- 1991-; Citizenship -- Canada.; Electronic books. -- local; Political culture -- Canada -- History.; Political participation -- Canada -- History.</t>
  </si>
  <si>
    <t>http://public.eblib.com/choice/PublicFullRecord.aspx?p=3412050</t>
  </si>
  <si>
    <t>Hometown Horizons : Local Responses to Canada's Great War</t>
  </si>
  <si>
    <t>Rutherdale, Robert</t>
  </si>
  <si>
    <t>D547.C2 -- R88 2004eb</t>
  </si>
  <si>
    <t>940.3/471</t>
  </si>
  <si>
    <t>Guelph (Ont.) -- Social conditions -- 20th century.; Guerre mondiale, 1914-1918 -- Aspect social -- Canada.; Guerre mondiale, 1914-1918 -- Canada.; Lethbridge (Alta.) -- Histoire -- 20e siècle.; Lethbridge (Alta.) -- Social conditions -- 20th century.; Trois-Rivières (Québec) -- Social conditions -- 20th century.; World War, 1914-1918 -- Social aspects -- Canada.</t>
  </si>
  <si>
    <t>http://public.eblib.com/choice/PublicFullRecord.aspx?p=3412051</t>
  </si>
  <si>
    <t>Humanitarianism, Identity, and Nation : Migration Laws in Canada and Australia</t>
  </si>
  <si>
    <t>Dauvergne, Catherine</t>
  </si>
  <si>
    <t>KE4472 -- .D39 2005eb</t>
  </si>
  <si>
    <t>Electronic books. -- local; Emigration and immigration law -- Australia.; Emigration and immigration law -- Canada.; Humanitarianism.; National characteristics, Australian.; National characteristics, Canadian.</t>
  </si>
  <si>
    <t>http://public.eblib.com/choice/PublicFullRecord.aspx?p=3412052</t>
  </si>
  <si>
    <t>Saints, Sinners, and Soldiers : Canada's Second World War</t>
  </si>
  <si>
    <t>Keshen, Jeffrey A.</t>
  </si>
  <si>
    <t>D768.15 -- .K47 2004eb</t>
  </si>
  <si>
    <t>Canada -- Social conditions -- 20th century.; World War, 1939-1945 -- Canada.</t>
  </si>
  <si>
    <t>http://public.eblib.com/choice/PublicFullRecord.aspx?p=3412053</t>
  </si>
  <si>
    <t>Student Affairs : Experiencing Higher Education</t>
  </si>
  <si>
    <t>Andres, Lesley; Finlay, Finola</t>
  </si>
  <si>
    <t>LB2342.9.C3 -- S78 2004eb</t>
  </si>
  <si>
    <t>378.1/98/09711</t>
  </si>
  <si>
    <t>Academic achievement -- British Columbia.; College environment -- British Columbia.; College students -- British Columbia.; Education, Higher -- British Columbia.; Electronic books. -- local</t>
  </si>
  <si>
    <t>http://public.eblib.com/choice/PublicFullRecord.aspx?p=3412054</t>
  </si>
  <si>
    <t>Tsawalk : A Nuu-chah-nulth Worldview</t>
  </si>
  <si>
    <t>Atleo, E. Richard</t>
  </si>
  <si>
    <t>E99.N85 -- A84 2004eb</t>
  </si>
  <si>
    <t>299.7/8955</t>
  </si>
  <si>
    <t>Creation -- Mythology -- British Columbia -- Vancouver Island.; Electronic books. -- local; Indian philosophy -- British Columbia -- Vancouver Island.; Nootka Indians -- Religion.</t>
  </si>
  <si>
    <t>http://public.eblib.com/choice/PublicFullRecord.aspx?p=3412055</t>
  </si>
  <si>
    <t>Tournament of Appeals : Granting Judicial Review in Canada</t>
  </si>
  <si>
    <t>Flemming, Roy B.</t>
  </si>
  <si>
    <t>KE8259 -- .F54 2004eb</t>
  </si>
  <si>
    <t>347.71/035</t>
  </si>
  <si>
    <t>Canada. -- Supreme Court.; Certiorari -- Canada.; Certiorari -- United States.; Judicial review -- Canada.; United States. -- Supreme Court.</t>
  </si>
  <si>
    <t>http://public.eblib.com/choice/PublicFullRecord.aspx?p=3412056</t>
  </si>
  <si>
    <t>Selling British Columbia : Tourism and Consumer Culture, 1890-1970</t>
  </si>
  <si>
    <t>Dawson, Michael</t>
  </si>
  <si>
    <t>Tourism/Hospitality; Business/Management; Economics</t>
  </si>
  <si>
    <t>G155.C3 -- D29 2004eb</t>
  </si>
  <si>
    <t>338.4/791711044</t>
  </si>
  <si>
    <t>Consumption (Economics) -- Canada -- History.; Electronic books. -- local; Tourism -- British Columbia -- History.; Tourism -- British Columbia -- Marketing -- History.</t>
  </si>
  <si>
    <t>http://public.eblib.com/choice/PublicFullRecord.aspx?p=3412057</t>
  </si>
  <si>
    <t>Dominion and the Rising Sun : Canada Encounters Japan, 1929-41</t>
  </si>
  <si>
    <t>Meehan, John D.</t>
  </si>
  <si>
    <t>FC251.J3 -- M43 2004eb</t>
  </si>
  <si>
    <t>327.71052/09/043</t>
  </si>
  <si>
    <t>Canada -- Foreign relations -- Japan.; Electronic books. -- local; International relations.; Japan -- Foreign relations -- 1912-1945.; Japan -- Foreign relations -- Canada.</t>
  </si>
  <si>
    <t>http://public.eblib.com/choice/PublicFullRecord.aspx?p=3412058</t>
  </si>
  <si>
    <t>Biotechnology Unglued : Science, Society, and Social Cohesion</t>
  </si>
  <si>
    <t>Mehta, Michael</t>
  </si>
  <si>
    <t>Engineering: Chemical; Social Science; Engineering</t>
  </si>
  <si>
    <t>TP248.23 -- B57 2005eb</t>
  </si>
  <si>
    <t>Biotechnology -- Social aspects.; Electronic books. -- local; Science -- Social aspects.</t>
  </si>
  <si>
    <t>http://public.eblib.com/choice/PublicFullRecord.aspx?p=3412059</t>
  </si>
  <si>
    <t>Soldiers' General : Bert Hoffmeister at War</t>
  </si>
  <si>
    <t>Delaney, Douglas E.; Granatstein, J. L.</t>
  </si>
  <si>
    <t>U55.H63 -- D45 2005eb</t>
  </si>
  <si>
    <t>940.54/1271/092</t>
  </si>
  <si>
    <t>Canada. -- Canadian Army -- Officers -- Biography.; Canada. -- Canadian Army. -- Canadian Armoured Division, 5th -- History.; Generals -- Canada -- Biography.; Hoffmeister, Bert, -- 1907-1999 -- Military leadership.; World War, 1939-1945 -- Campaigns -- Western Front.; World War, 1939-1945 -- Canada -- Biography.</t>
  </si>
  <si>
    <t>http://public.eblib.com/choice/PublicFullRecord.aspx?p=3412060</t>
  </si>
  <si>
    <t>Pro-Family Politics and Fringe Parties in Canada</t>
  </si>
  <si>
    <t>MacKenzie, Chris</t>
  </si>
  <si>
    <t>JL439 .A53 -- M35 2005eb</t>
  </si>
  <si>
    <t>324.271/094; 324.2711/098</t>
  </si>
  <si>
    <t>Families -- Political aspects -- British Columbia -- History -- 20th century.; Famille -- Aspect politique -- Colombie-Britannique -- Histoire -- 20e siècle.; Family Coalition Party of British Columbia.; Family Coalition Party of British Columbia.; Mouvements sociaux -- Canada.; Political parties -- Canada -- Platforms.; Social movements -- Political aspects -- Canada.</t>
  </si>
  <si>
    <t>http://public.eblib.com/choice/PublicFullRecord.aspx?p=3412061</t>
  </si>
  <si>
    <t>A Dynamic Balance : Social Capital and Sustainable Community Development</t>
  </si>
  <si>
    <t>Dale, Ann; Onyx, Jenny</t>
  </si>
  <si>
    <t>HN49.C6 -- D95 2005eb</t>
  </si>
  <si>
    <t>307.1/2/0971</t>
  </si>
  <si>
    <t>Electronic books. -- local; Rural development -- Australia.; Rural development -- Canada.; Social capital (Sociology) -- Australia.; Social capital (Sociology) -- Canada.; Sustainable development -- Australia.; Sustainable development -- Canada.</t>
  </si>
  <si>
    <t>http://public.eblib.com/choice/PublicFullRecord.aspx?p=3412062</t>
  </si>
  <si>
    <t>Fight or Pay : Soldiers' Families in the Great War</t>
  </si>
  <si>
    <t>D638.C2 -- .M67 2004eb</t>
  </si>
  <si>
    <t>940.4/77971</t>
  </si>
  <si>
    <t>Canadian Patriotic Fund.; World War, 1914-1918 -- Civilian relief -- Canada.</t>
  </si>
  <si>
    <t>http://public.eblib.com/choice/PublicFullRecord.aspx?p=3412063</t>
  </si>
  <si>
    <t>Longitude and Empire : How Captain Cook's Voyages Changed the World</t>
  </si>
  <si>
    <t>Richardson, Brian W.</t>
  </si>
  <si>
    <t>G246.C7 -- R47 2005eb</t>
  </si>
  <si>
    <t>910/.92</t>
  </si>
  <si>
    <t>Cook, James, -- 1728-1779 -- Influence.; Discoveries in geography.; Electronic books. -- local; Voyages around the world -- History -- 18th century.</t>
  </si>
  <si>
    <t>http://public.eblib.com/choice/PublicFullRecord.aspx?p=3412064</t>
  </si>
  <si>
    <t>Multicultural Nationalism : Civilizing Difference, Constituting Community</t>
  </si>
  <si>
    <t>Kernerman, Gerald</t>
  </si>
  <si>
    <t>HN103.5 -- .K47 2005eb</t>
  </si>
  <si>
    <t>Canada -- Cultural policy.; Canada -- Social policy.; Cultural pluralism -- Canada.; Electronic books. -- local; Equality -- Canada.; Multiculturalism -- Canada.; Nationalism -- Canada.</t>
  </si>
  <si>
    <t>http://public.eblib.com/choice/PublicFullRecord.aspx?p=3412065</t>
  </si>
  <si>
    <t>Canada and the End of Empire</t>
  </si>
  <si>
    <t>Buckner, Phillip</t>
  </si>
  <si>
    <t>FC1034.2 --  .C36 2005eb</t>
  </si>
  <si>
    <t>Canada -- History -- 20th century.; Canada -- Relations -- Great Britain.; Electronic books. -- local; Great Britain -- Relations -- Canada.; Nationalism -- Canada -- History.; Postcolonialism -- Canada.</t>
  </si>
  <si>
    <t>http://public.eblib.com/choice/PublicFullRecord.aspx?p=3412066</t>
  </si>
  <si>
    <t>Courts and the Colonies : Litigation of Hutterite Church Disputes</t>
  </si>
  <si>
    <t>Esau, Alvin J.</t>
  </si>
  <si>
    <t>BX8129.H8 -- E83 2004eb</t>
  </si>
  <si>
    <t>289.7/3</t>
  </si>
  <si>
    <t>Church and state -- Manitoba.; Electronic books. -- local; Hutterite Brethren -- Manitoba -- Discipline.; Hutterite Brethren -- Trials, litigation, etc.</t>
  </si>
  <si>
    <t>http://public.eblib.com/choice/PublicFullRecord.aspx?p=3412067</t>
  </si>
  <si>
    <t>Musqueam Reference Grammar</t>
  </si>
  <si>
    <t>First Nations Languages Series</t>
  </si>
  <si>
    <t>Suttles, Wayne</t>
  </si>
  <si>
    <t>PM2264.Z8 -- S87 2004eb</t>
  </si>
  <si>
    <t>Langues salish -- Dialectes -- Grammaire.; Salishan languages -- Dialects.; Salishan languages -- Grammar.</t>
  </si>
  <si>
    <t>http://public.eblib.com/choice/PublicFullRecord.aspx?p=3412068</t>
  </si>
  <si>
    <t>What Is a Crime? : Defining Criminal Conduct in Contemporary Society</t>
  </si>
  <si>
    <t>HV6025 -- .W52 2004eb</t>
  </si>
  <si>
    <t>Crime -- Sociological aspects.; Criminal law -- Canada.; Criminologie -- Canada.; Criminology -- Canada.; Droit pénal -- Canada.; Sociological jurisprudence.; Sociologie juridique.</t>
  </si>
  <si>
    <t>http://public.eblib.com/choice/PublicFullRecord.aspx?p=3412069</t>
  </si>
  <si>
    <t>The 1985 Pacific Salmon Treaty : Sharing Conservation Burdens and Benefits</t>
  </si>
  <si>
    <t>Shepard, Michael P.; Argue, A.W.</t>
  </si>
  <si>
    <t>Agriculture; Law</t>
  </si>
  <si>
    <t>SH349 -- .S52 2005eb</t>
  </si>
  <si>
    <t>Canada. -- Treaties, etc. -- United States, -- (1985 Mar. 18) -- History.; Pacific salmon -- Conservation -- Northwest Coast of North America -- History.; Pacific salmon fisheries -- Law and legislation -- Canada.; Pacific salmon fisheries -- Law and legislation -- United States.; Pacific salmon fisheries -- Northwest Coast of North America.</t>
  </si>
  <si>
    <t>http://public.eblib.com/choice/PublicFullRecord.aspx?p=3412070</t>
  </si>
  <si>
    <t>CCF Colonialism in Northern Saskatchewan : Battling Parish Priests, Bootleggers, and Fur Sharks</t>
  </si>
  <si>
    <t>Quiring, David</t>
  </si>
  <si>
    <t>F1072 -- .Q57 2004eb</t>
  </si>
  <si>
    <t>971.24/103</t>
  </si>
  <si>
    <t>Electronic books. -- local; Saskatchewan, Northern -- Economic conditions.; Socialism -- Saskatchewan, Northern -- History -- 20th century.</t>
  </si>
  <si>
    <t>http://public.eblib.com/choice/PublicFullRecord.aspx?p=3412071</t>
  </si>
  <si>
    <t>Second Growth : Community Economic Development in Rural British Columbia</t>
  </si>
  <si>
    <t>Markey, Sean; Pierce, John T.; Vodden, Kelly</t>
  </si>
  <si>
    <t>HC117.B8 -- S42 2005eb</t>
  </si>
  <si>
    <t>338.9711/09173/4</t>
  </si>
  <si>
    <t>British Columbia -- Economic conditions.; Community development -- British Columbia.; Electronic books. -- local; Rural development -- British Columbia.</t>
  </si>
  <si>
    <t>http://public.eblib.com/choice/PublicFullRecord.aspx?p=3412072</t>
  </si>
  <si>
    <t>Negotiated Memory : Doukhobor Autobiographical Discourse</t>
  </si>
  <si>
    <t>F1035.D76 -- R35 2004eb</t>
  </si>
  <si>
    <t>305.6/899071</t>
  </si>
  <si>
    <t>Autobiographie.; Autobiography.; Doukhobors -- Canada -- Biographies -- Histoire et critique.; Dukhobors -- Canada -- Biography -- History and criticism.</t>
  </si>
  <si>
    <t>http://public.eblib.com/choice/PublicFullRecord.aspx?p=3412073</t>
  </si>
  <si>
    <t>Holding the Line : Borders in a Global World</t>
  </si>
  <si>
    <t>Nicol, Heather N.</t>
  </si>
  <si>
    <t>JC323 -- H64 2005eb</t>
  </si>
  <si>
    <t>320.1/2</t>
  </si>
  <si>
    <t>Boundaries.; Electronic books. -- local; Globalization.; International relations.; Sovereignty.</t>
  </si>
  <si>
    <t>http://public.eblib.com/choice/PublicFullRecord.aspx?p=3412074</t>
  </si>
  <si>
    <t>Obedient Autonomy : Chinese Intellectuals and the Achievement of Orderly Life</t>
  </si>
  <si>
    <t>Contemporary Chinese Studies</t>
  </si>
  <si>
    <t>Evasdottir, Erika E.S.</t>
  </si>
  <si>
    <t>HM1106 -- .E93 2004beb</t>
  </si>
  <si>
    <t>305.5/52095109045</t>
  </si>
  <si>
    <t>Archaeologists -- China -- Case studies.; China -- Social conditions -- 1976-2000.; Intellectuals -- China -- Case studies.; Interpersonal relations -- China.; Social control -- China -- Case studies.; Social structure -- China -- Case studies.</t>
  </si>
  <si>
    <t>http://public.eblib.com/choice/PublicFullRecord.aspx?p=3412075</t>
  </si>
  <si>
    <t>This Elusive Land : Women and the Canadian Environment</t>
  </si>
  <si>
    <t>Hessing, Melody; Raglon, Rebecca</t>
  </si>
  <si>
    <t>HQ1453 -- .T48 2005eb</t>
  </si>
  <si>
    <t>333.7/082/0971</t>
  </si>
  <si>
    <t>Electronic books. -- local; Environmentalism -- Canada.; Women and the environment -- Canada.</t>
  </si>
  <si>
    <t>http://public.eblib.com/choice/PublicFullRecord.aspx?p=3412076</t>
  </si>
  <si>
    <t>Shaped by the West Wind : Nature and History in Georgian Bay</t>
  </si>
  <si>
    <t>Nature | History | Society Series</t>
  </si>
  <si>
    <t>Campbell, Claire Elizabeth</t>
  </si>
  <si>
    <t>F1059.G3 -- C34 2005eb</t>
  </si>
  <si>
    <t>Electronic books. -- local; Georgian Bay (Ont. : Bay); Georgian Bay Region (Ont.) -- Environmental conditions.; Georgian Bay Region (Ont.) -- History.; Landscapes -- Symbolic aspects -- Ontario -- Georgian Bay Region.</t>
  </si>
  <si>
    <t>http://public.eblib.com/choice/PublicFullRecord.aspx?p=3412077</t>
  </si>
  <si>
    <t>Imagining Difference : Legend, Curse, and Spectacle in a Canadian Mining Town</t>
  </si>
  <si>
    <t>Robertson, Leslie</t>
  </si>
  <si>
    <t>HN110.F47 -- R62 2005eb</t>
  </si>
  <si>
    <t>305/.09711/65</t>
  </si>
  <si>
    <t>Blessing and cursing.; Differentiation (Sociology); Ethnology -- British Columbia -- Fernie.; Fernie (B.C.) -- Social conditions.; Group identity.; Indians of North America -- British Columbia -- Fernie -- Folklore.; Legends -- British Columbia -- Fernie.</t>
  </si>
  <si>
    <t>http://public.eblib.com/choice/PublicFullRecord.aspx?p=3412078</t>
  </si>
  <si>
    <t>If I Had a Hammer : Retraining That Really Works</t>
  </si>
  <si>
    <t>Little, Margaret</t>
  </si>
  <si>
    <t>HD6059.6.C32 -- R43 2005eb</t>
  </si>
  <si>
    <t>331.4/2592/0971</t>
  </si>
  <si>
    <t>Electronic books. -- local; Occupational training for women -- Canada.; Poor women -- Employment -- Canada.</t>
  </si>
  <si>
    <t>http://public.eblib.com/choice/PublicFullRecord.aspx?p=3412079</t>
  </si>
  <si>
    <t>Canadian Natural Resource and Environmental Policy : Political Economy and Public Policy</t>
  </si>
  <si>
    <t>Hessing, Melody; Howlett, Michael; Summerville, Tracy</t>
  </si>
  <si>
    <t>HC113.5 -- .H47 2005eb</t>
  </si>
  <si>
    <t>333.7/0971</t>
  </si>
  <si>
    <t>Electronic books. -- local; Environmental policy -- Canada.; Natural resources -- Government policy -- Canada.</t>
  </si>
  <si>
    <t>http://public.eblib.com/choice/PublicFullRecord.aspx?p=3412080</t>
  </si>
  <si>
    <t>Shifting Boundaries : Aboriginal Identity, Pluralist Theory, and the Politics of Self-Government</t>
  </si>
  <si>
    <t>Schouls, Tim</t>
  </si>
  <si>
    <t>E78.C2 -- S322 2003eb</t>
  </si>
  <si>
    <t>323.1/197071</t>
  </si>
  <si>
    <t>Autochtones -- Canada -- Politique et gouvernement.; Autochtones -- Canada -- Relations avec l''État.; Autochtones -- Droit -- Canada.; Cultural pluralism.; Indians of North America -- Canada -- Ethnic identity.; Indians of North America -- Canada -- Politics and government.; Indians of North America -- Legal status, laws, etc. -- Canada.</t>
  </si>
  <si>
    <t>http://public.eblib.com/choice/PublicFullRecord.aspx?p=3412081</t>
  </si>
  <si>
    <t>When I Was Small - I Wan Kwikws : A Grammatical Analysis of St'at'imc Oral Narratives</t>
  </si>
  <si>
    <t>Matthewson, Lisa</t>
  </si>
  <si>
    <t>PM1646.L7 -- M38 2005eb</t>
  </si>
  <si>
    <t>497/.943</t>
  </si>
  <si>
    <t>Electronic books. -- local; Indian women -- British Columbia -- Biography.; Lillooet Indians -- Biography.; Lillooet language -- Grammar.; Lillooet language -- Texts.</t>
  </si>
  <si>
    <t>http://public.eblib.com/choice/PublicFullRecord.aspx?p=3412082</t>
  </si>
  <si>
    <t>Hunters and Bureaucrats : Power, Knowledge, and Aboriginal-State Relations in the Southwest Yukon</t>
  </si>
  <si>
    <t>Nadasdy, Paul</t>
  </si>
  <si>
    <t>E78.Y8 -- N32 2003eb</t>
  </si>
  <si>
    <t>323.1/19707191</t>
  </si>
  <si>
    <t>Burwash Landing (Yukon) -- Politics and government.; Burwash Landing (Yukon) -- Social conditions.; Indians of North America -- Hunting -- Yukon -- Burwash Landing.; Indians of North America -- Land tenure -- Yukon -- Burwash Landing.; Indians of North America -- Yukon -- Burwash Landing -- Government relations.; Kluane National Park and Reserve (Yukon) -- Social conditions.; Local government -- Yukon -- Burwash Landing.</t>
  </si>
  <si>
    <t>http://public.eblib.com/choice/PublicFullRecord.aspx?p=3412083</t>
  </si>
  <si>
    <t>Images in Asian Religions : Texts and Contexts</t>
  </si>
  <si>
    <t>Granoff, Phyllis; Shinohara, Koichi</t>
  </si>
  <si>
    <t>BL1033 -- .I45 2004eb</t>
  </si>
  <si>
    <t>203/.095</t>
  </si>
  <si>
    <t>Asia -- Religion.; Asia -- Religious life and customs.; Asian religions; Asie -- Religion.; Asie -- Vie religieuse.; Idoles et images -- Asie -- Culte.; Idols and images -- Asia -- Worship.</t>
  </si>
  <si>
    <t>http://public.eblib.com/choice/PublicFullRecord.aspx?p=3412084</t>
  </si>
  <si>
    <t>Frigates and Foremasts : The North American Squadron in Nova Scotia Waters 1745-1815</t>
  </si>
  <si>
    <t>DA87 -- .G95 2003eb</t>
  </si>
  <si>
    <t>Grande-Bretagne. -- Royal Navy -- 19e siècle.; Grande-Bretagne. -- Royal Navy -- Histoire -- 18e siècle.; Great Britain. -- Royal Navy -- History -- 18th century.; Great Britain. -- Royal Navy -- History -- 19th century.; Nouvelle-Écosse -- Histoire navale -- 18e siècle.; Nova Scotia -- History, Naval -- 18th century.; Nova Scotia -- History, Naval -- 19th century.</t>
  </si>
  <si>
    <t>http://public.eblib.com/choice/PublicFullRecord.aspx?p=3412085</t>
  </si>
  <si>
    <t>Early Childhood Care and Education in Canada : Past, Present, and Future</t>
  </si>
  <si>
    <t>Prochner, Larry; Howe, Nina</t>
  </si>
  <si>
    <t>LB1139.3.C2 -- E25 2000eb</t>
  </si>
  <si>
    <t>372.21/0971</t>
  </si>
  <si>
    <t>Child care services -- Canada.; Day care centers -- Canada.; Early childhood education -- Canada.</t>
  </si>
  <si>
    <t>http://public.eblib.com/choice/PublicFullRecord.aspx?p=3412086</t>
  </si>
  <si>
    <t>Do Glaciers Listen? : Local Knowledge, Colonial Encounters, and Social Imagination</t>
  </si>
  <si>
    <t>Cruikshank, Julie</t>
  </si>
  <si>
    <t>E99.T6 -- C78 2005eb</t>
  </si>
  <si>
    <t>979.8/3</t>
  </si>
  <si>
    <t>Athapascan Indians -- Saint Elias Mountains -- Folklore.; Glaciers -- Saint Elias Mountains -- Folklore.; Human ecology -- Saint Elias Mountains.; Ice fields -- Saint Elias Mountains -- Folklore.; Oral tradition -- Saint Elias Mountains.; Saint Elias Mountains -- Discovery and exploration.; Tlingit Indians -- Saint Elias Mountains -- Folklore.</t>
  </si>
  <si>
    <t>http://public.eblib.com/choice/PublicFullRecord.aspx?p=3412087</t>
  </si>
  <si>
    <t>Negotiating Identities in 19th- and 20th-Century Montreal</t>
  </si>
  <si>
    <t>Bradbury, Bettina; Myers, Tamara</t>
  </si>
  <si>
    <t>HN110.M63 -- N44 2005eb</t>
  </si>
  <si>
    <t>Classes sociales -- Québec (Province) -- Montréal.; Développement social -- Québec (Province) -- Montréal -- Histoire.; Identité (Psychologie) -- Québec (Province) -- Montréal.; Identity (Psychology) -- Québec (Province) -- Montréal.; Social change -- Québec (Province) -- Montréal -- History.; Social classes -- Québec (Province) -- Montréal.; Social role -- Québec (Province) -- Montréal.</t>
  </si>
  <si>
    <t>http://public.eblib.com/choice/PublicFullRecord.aspx?p=3412088</t>
  </si>
  <si>
    <t>A Voyage to the North West Side of America : The Journals of James Colnett, 1786-89</t>
  </si>
  <si>
    <t>Galois, Robert; Galois, Robert</t>
  </si>
  <si>
    <t>F851.5 -- .C825 2004eb</t>
  </si>
  <si>
    <t>917.11/1041</t>
  </si>
  <si>
    <t>Colnett, James, -- 1755?-1806 -- Diaries.; Colnett, James, -- 1755-1806 -- Journal intime.; Explorers -- Great Britain -- Diaries.; Explorers -- Northwest Coast of North America -- Diaries.; Fourrures -- Commerce -- Colombie-Britannique -- Pacifique, Côte du -- Histoire -- 18e siècle.; Indians of North America -- First contact with Europeans -- British Columbia -- Pacific Coast.; Indiens d''Amérique -- Premiers contacts avec les Européens -- Colombie-Britannique -- Pacifique, Côte du.</t>
  </si>
  <si>
    <t>http://public.eblib.com/choice/PublicFullRecord.aspx?p=3412089</t>
  </si>
  <si>
    <t>When Coal Was King : Ladysmith and the Coal-Mining Industry on Vancouver Island</t>
  </si>
  <si>
    <t>Hinde, John</t>
  </si>
  <si>
    <t>HD9554.C3 -- L334 2003eb</t>
  </si>
  <si>
    <t>305.9/622/097112</t>
  </si>
  <si>
    <t>Coal miners -- British Columbia -- Ladysmith -- History.; Coal mines and mining -- Social aspects -- British Columbia -- Ladysmith -- History.; Ladysmith (B.C.) -- Social conditions.; Strikes and lockouts -- Coal mining -- British Columbia -- Vancouver Island -- History.</t>
  </si>
  <si>
    <t>http://public.eblib.com/choice/PublicFullRecord.aspx?p=3412090</t>
  </si>
  <si>
    <t>Murdering Holiness : The Trials of Franz Creffield and George Mitchell</t>
  </si>
  <si>
    <t>Law and Society Series</t>
  </si>
  <si>
    <t>Phillips, Jim; Gartner, Rosemary</t>
  </si>
  <si>
    <t>KF224.C69 -- P48 2003eb</t>
  </si>
  <si>
    <t>345.797/02523</t>
  </si>
  <si>
    <t>Church of the Bride of Christ.; Creffield, Edmund, -- 1867?-1906 -- Trials, litigation, etc.; Cults -- Oregon.; Mitchell, George -- (George Washington), -- 1883?-1906 -- Trials, litigation, etc.; Trials (Adultery) -- Oregon -- Portland.; Trials (Murder) -- Washington (State) -- Seattle.</t>
  </si>
  <si>
    <t>http://public.eblib.com/choice/PublicFullRecord.aspx?p=3412091</t>
  </si>
  <si>
    <t>Misplaced Distrust : Policy Networks and the Environment in France, the United States, and Canada</t>
  </si>
  <si>
    <t>Montpetit, ?ric</t>
  </si>
  <si>
    <t>H97.7 -- .M66 2003eb</t>
  </si>
  <si>
    <t>352.3/7</t>
  </si>
  <si>
    <t>Environmental policy -- Canada.; Environmental policy -- France.; Environmental policy -- United States.; Environnement -- Politique gouvernementale -- Canada.; Environnement -- Politique gouvernementale -- France.; Policy networks.; Réseaux de politiques publiques.</t>
  </si>
  <si>
    <t>http://public.eblib.com/choice/PublicFullRecord.aspx?p=3412092</t>
  </si>
  <si>
    <t>Canadian Yearbook of International Law, 2001, Vol. 39</t>
  </si>
  <si>
    <t>Canadian Yearbook of International Law Series</t>
  </si>
  <si>
    <t>McRae, Donald M.</t>
  </si>
  <si>
    <t>KZ21 -- .C36 2002eb</t>
  </si>
  <si>
    <t>341/.05</t>
  </si>
  <si>
    <t>Electronic books. -- local; International law.; Law.</t>
  </si>
  <si>
    <t>http://public.eblib.com/choice/PublicFullRecord.aspx?p=3412093</t>
  </si>
  <si>
    <t>People and Place : Historical Influences on Local Culture</t>
  </si>
  <si>
    <t>Swainger, Jonathan; Backhouse, Constance</t>
  </si>
  <si>
    <t>K487.C8 -- P46 2003eb</t>
  </si>
  <si>
    <t>340/.115</t>
  </si>
  <si>
    <t>Culture and law.; Electronic books. -- local; Law and geography.</t>
  </si>
  <si>
    <t>http://public.eblib.com/choice/PublicFullRecord.aspx?p=3412094</t>
  </si>
  <si>
    <t>Commanding Canadians : The Second World War Diaries of A. F. C. Layard</t>
  </si>
  <si>
    <t>Whitby, Michael</t>
  </si>
  <si>
    <t>D771 -- .L384 2005eb</t>
  </si>
  <si>
    <t>940.54/516/092</t>
  </si>
  <si>
    <t>Anti-submarine warfare -- Canada -- History -- 20th century.; Canada. -- Marine royale -- Histoire -- Guerre mondiale, 1939-1945.; Canada. -- Royal Canadian Navy -- History -- World War, 1939-1945.; Grande-Bretagne. -- Royal Navy -- Officiers -- Journal intime.; Great Britain. -- Royal Navy -- Officers -- Diaries.; Layard, A. F. C. -- (Arthur Frank Capel), -- 1899-1999 -- Diaries.; Layard, A. F. C. -- (Arthur Frank Capel), -- 1899-1999 -- Journal intime.</t>
  </si>
  <si>
    <t>http://public.eblib.com/choice/PublicFullRecord.aspx?p=3412095</t>
  </si>
  <si>
    <t>Elections</t>
  </si>
  <si>
    <t>Canadian Democratic Audit Series</t>
  </si>
  <si>
    <t>JL193 -- .C598 2004eb</t>
  </si>
  <si>
    <t>324.6/0971</t>
  </si>
  <si>
    <t>Elections -- Canada.; Élections -- Canada.; Gouvernement représentatif -- Canada.; Representative government and representation -- Canada.; Voting -- Canada.</t>
  </si>
  <si>
    <t>http://public.eblib.com/choice/PublicFullRecord.aspx?p=3412096</t>
  </si>
  <si>
    <t>Citizens</t>
  </si>
  <si>
    <t>Gidengil, Elisabeth; Nevitte, Neil</t>
  </si>
  <si>
    <t>JL186.5 -- .C573 2004eb</t>
  </si>
  <si>
    <t>323/.042/0971</t>
  </si>
  <si>
    <t>Citizenship -- Canada.; Citoyenneté -- Canada.; Democracy -- Canada.; Démocratie -- Canada.; Participation politique -- Canada.; Political participation -- Canada.</t>
  </si>
  <si>
    <t>http://public.eblib.com/choice/PublicFullRecord.aspx?p=3412097</t>
  </si>
  <si>
    <t>The Oriental Question : Consolidating a White Man's Province, 1914-41</t>
  </si>
  <si>
    <t>Roy, Patricia E.</t>
  </si>
  <si>
    <t>F1089.7.C5 -- R69 2003eb</t>
  </si>
  <si>
    <t>305.895/10711</t>
  </si>
  <si>
    <t>British Columbia -- Politics and government -- 20th century.; British Columbia -- Race relations.; China -- Emigration and immigration -- History -- 20th century.; Chinese -- British Columbia -- History -- 20th century.; Immigrants -- British Columbia -- History -- 20th century.; Japan -- Emigration and immigration -- History -- 20th century.; Japanese -- British Columbia -- History -- 20th century.</t>
  </si>
  <si>
    <t>http://public.eblib.com/choice/PublicFullRecord.aspx?p=3412098</t>
  </si>
  <si>
    <t>Cycling into Saigon : The Conservative Transition in Ontario</t>
  </si>
  <si>
    <t>Cameron, David R.; White, Graham</t>
  </si>
  <si>
    <t>F1058 -- .C36 2000eb</t>
  </si>
  <si>
    <t>320.9713/09/049</t>
  </si>
  <si>
    <t>Electronic books. -- local; Ontario -- History.; Ontario -- Politics and government.</t>
  </si>
  <si>
    <t>http://public.eblib.com/choice/PublicFullRecord.aspx?p=3412099</t>
  </si>
  <si>
    <t>Telling Tales : Essays in Western Women's History</t>
  </si>
  <si>
    <t>Cavanaugh, Catherine A.; Warne, Randi R.</t>
  </si>
  <si>
    <t>HQ1459.W4 -- T45 2000eb</t>
  </si>
  <si>
    <t>305.4/09712</t>
  </si>
  <si>
    <t>Canada, Western -- History.; Electronic books. -- local; Women -- Canada, Western -- History.; Women pioneers -- Canada, Western -- History.</t>
  </si>
  <si>
    <t>http://public.eblib.com/choice/PublicFullRecord.aspx?p=3412100</t>
  </si>
  <si>
    <t>Advocacy Groups</t>
  </si>
  <si>
    <t>Young, Lisa; Everitt, Joanna</t>
  </si>
  <si>
    <t>JF518 -- .Y68 2004eb</t>
  </si>
  <si>
    <t>322.4/3/0971</t>
  </si>
  <si>
    <t>Electronic books. -- local; Political participation -- Canada.; Pressure groups -- Canada.</t>
  </si>
  <si>
    <t>http://public.eblib.com/choice/PublicFullRecord.aspx?p=3412101</t>
  </si>
  <si>
    <t>Governing with the Charter : Legislative and Judicial Activism and Framers' Intent</t>
  </si>
  <si>
    <t>Kelly, James B.</t>
  </si>
  <si>
    <t>KE4381.5 -- .K45 2005eb</t>
  </si>
  <si>
    <t>Canada. -- Canadian Charter of Rights and Freedoms.; Canada. -- Charte canadienne des droits et libertés.; Canada. -- Cour suprême.; Canada. -- Supreme Court.; Judicial power -- Canada.; Legislative power -- Canada.; Political questions and judicial power -- Canada.</t>
  </si>
  <si>
    <t>http://public.eblib.com/choice/PublicFullRecord.aspx?p=3412102</t>
  </si>
  <si>
    <t>Communication Technology</t>
  </si>
  <si>
    <t>Barney, Darin</t>
  </si>
  <si>
    <t>JL186.5 -- .B37 2005eb</t>
  </si>
  <si>
    <t>321.8/0971</t>
  </si>
  <si>
    <t>Democracy -- Canada.; Electronic books. -- local; Information technology -- Political aspects -- Canada.; Political participation -- Canada.; Telecommunication -- Political aspects -- Canada.</t>
  </si>
  <si>
    <t>http://public.eblib.com/choice/PublicFullRecord.aspx?p=3412103</t>
  </si>
  <si>
    <t>Federalism</t>
  </si>
  <si>
    <t>Smith, Jennifer</t>
  </si>
  <si>
    <t>JL27 -- .S65 2004eb</t>
  </si>
  <si>
    <t>Electronic books. -- local; Federal government -- Canada.; Public administration -- Canada.</t>
  </si>
  <si>
    <t>http://public.eblib.com/choice/PublicFullRecord.aspx?p=3412104</t>
  </si>
  <si>
    <t>Gutenberg in Shanghai : Chinese Print Capitalism, 1876-1937</t>
  </si>
  <si>
    <t>Reed, Christopher A.</t>
  </si>
  <si>
    <t>Engineering: Manufacturing; Engineering; Publishing</t>
  </si>
  <si>
    <t>Z462.86.S46 -- R44 2004eb</t>
  </si>
  <si>
    <t>686.2/0951/13</t>
  </si>
  <si>
    <t>Electronic books. -- local; Printing -- China -- Shanghai -- History.; Publishers and publishing -- China -- Shanghai -- History.</t>
  </si>
  <si>
    <t>http://public.eblib.com/choice/PublicFullRecord.aspx?p=3412105</t>
  </si>
  <si>
    <t>The Vancouver Achievement : Urban Planning and Design</t>
  </si>
  <si>
    <t>Punter, John</t>
  </si>
  <si>
    <t>HT169.C32 -- V36 2003eb</t>
  </si>
  <si>
    <t>307.1/216/0971133</t>
  </si>
  <si>
    <t>City planning -- British Columbia -- Vancouver -- History.; Urbanisme -- Colombie-Britannique -- Vancouver -- Histoire.</t>
  </si>
  <si>
    <t>http://public.eblib.com/choice/PublicFullRecord.aspx?p=3412106</t>
  </si>
  <si>
    <t>Japan's Modern Prophet : Uchimura Kanzô, 1861-1930</t>
  </si>
  <si>
    <t>Asian Religions and Society Series</t>
  </si>
  <si>
    <t>Howes, John F.</t>
  </si>
  <si>
    <t>BR1317.U22 -- H68 2005eb</t>
  </si>
  <si>
    <t>275.2/082092; B</t>
  </si>
  <si>
    <t>Christian biography -- Japan.; Uchimura, Kanzō, -- 1861-1930.</t>
  </si>
  <si>
    <t>http://public.eblib.com/choice/PublicFullRecord.aspx?p=3412107</t>
  </si>
  <si>
    <t>Emerging from the Mist : Studies in Northwest Coast Culture History</t>
  </si>
  <si>
    <t>Pacific Rim Archaeology Series</t>
  </si>
  <si>
    <t>Mackie, Quentin; Coupland, Gary; Matson, R.G.</t>
  </si>
  <si>
    <t>E78.N78 -- E63 2003eb</t>
  </si>
  <si>
    <t>979.5/01</t>
  </si>
  <si>
    <t>Electronic books. -- local; Indians of North America -- Material culture -- Northwest Coast of North America.; Indians of North America -- Northwest Coast of North America -- Antiquities.; Northwest Coast of North America -- Antiquities.</t>
  </si>
  <si>
    <t>http://public.eblib.com/choice/PublicFullRecord.aspx?p=3412108</t>
  </si>
  <si>
    <t>Cross-Cultural Caring : A Handbook for Health Professionals (2nd Edition)</t>
  </si>
  <si>
    <t>Waxler-Morrison, Nancy; Anderson, Joan M. ; Richardson, Elizabeth ; Chambers, Natalie A</t>
  </si>
  <si>
    <t>RA418.5.T73 -- C76 2005eb</t>
  </si>
  <si>
    <t>362.1/089/00971</t>
  </si>
  <si>
    <t>Electronic books. -- local; Social medicine.; Transcultural medical care -- Canada -- Handbooks, manuals, etc.</t>
  </si>
  <si>
    <t>http://public.eblib.com/choice/PublicFullRecord.aspx?p=3412109</t>
  </si>
  <si>
    <t>Political Parties</t>
  </si>
  <si>
    <t>Cross, William</t>
  </si>
  <si>
    <t>JL195 -- .C76 2004eb</t>
  </si>
  <si>
    <t>Canada -- Politics and government.; Political parties -- Canada.</t>
  </si>
  <si>
    <t>http://public.eblib.com/choice/PublicFullRecord.aspx?p=3412110</t>
  </si>
  <si>
    <t>Contact Zones : Aboriginal and Settler Women in Canada's Colonial Past</t>
  </si>
  <si>
    <t>Rutherdale, Myra; Pickles, Katie</t>
  </si>
  <si>
    <t>E78.C2 -- C615 2005eb</t>
  </si>
  <si>
    <t>305.4/0971/09034; 305.48/897071/09034</t>
  </si>
  <si>
    <t>Indian women -- Canada -- Social conditions -- 19th century.; Indian women -- Canada -- Social conditions -- 20th century.; Indiennes d''Amérique -- Canada -- Conditions sociales -- 19e siècle.; Indiennes d''Amérique -- Canada -- Conditions sociales -- 20e siècle.; Women pioneers -- Canada -- Social conditions -- 19th century.; Women pioneers -- Canada -- Social conditions -- 20th century.</t>
  </si>
  <si>
    <t>http://public.eblib.com/choice/PublicFullRecord.aspx?p=3412111</t>
  </si>
  <si>
    <t>Canadian Yearbook of International Law, 2000, Vol. 38</t>
  </si>
  <si>
    <t>KZ21 -- .C3 2001eb</t>
  </si>
  <si>
    <t>http://public.eblib.com/choice/PublicFullRecord.aspx?p=3412112</t>
  </si>
  <si>
    <t>Collective Insecurity : The Liberian Crisis, Unilateralism, and Global Order</t>
  </si>
  <si>
    <t>Mgbeoji, Ikechi</t>
  </si>
  <si>
    <t>DT636.5 -- .M43 2003eb</t>
  </si>
  <si>
    <t>Africa -- Ethnic relations.; Africa -- Politics and government -- 1960-; Electronic books. -- local; Liberia -- History -- Civil War, 1989-1996.; Peacekeeping forces -- Liberia.</t>
  </si>
  <si>
    <t>http://public.eblib.com/choice/PublicFullRecord.aspx?p=3412113</t>
  </si>
  <si>
    <t>Corporate Governance in Global Capital Markets</t>
  </si>
  <si>
    <t>Sarra, Janis</t>
  </si>
  <si>
    <t>Law; Business/Management</t>
  </si>
  <si>
    <t>HD2741 -- C37 2003eb</t>
  </si>
  <si>
    <t>346/.0664</t>
  </si>
  <si>
    <t>Corporate governance -- Law and legislation -- Canada.; Corporate governance -- Law and legislation.; Corporate governance.; Electronic books. -- local</t>
  </si>
  <si>
    <t>http://public.eblib.com/choice/PublicFullRecord.aspx?p=3412114</t>
  </si>
  <si>
    <t>Legislatures</t>
  </si>
  <si>
    <t>Docherty, David C.</t>
  </si>
  <si>
    <t>JL136 -- .D63 2005eb</t>
  </si>
  <si>
    <t>Canada -- Politics and government.; Electronic books. -- local; Legislative bodies -- Canada.</t>
  </si>
  <si>
    <t>http://public.eblib.com/choice/PublicFullRecord.aspx?p=3412115</t>
  </si>
  <si>
    <t>Unnatural Law : Rethinking Canadian Environmental Law and Policy</t>
  </si>
  <si>
    <t>Boyd, David R.</t>
  </si>
  <si>
    <t>KE3619 -- .B69 2003eb</t>
  </si>
  <si>
    <t>344.71/046</t>
  </si>
  <si>
    <t>Environmental law -- Canada.; Environmental policy -- Canada.; Environnement -- Droit -- Canada.; Environnement -- Politique gouvernementale -- Canada.</t>
  </si>
  <si>
    <t>http://public.eblib.com/choice/PublicFullRecord.aspx?p=3412116</t>
  </si>
  <si>
    <t>Hidden Agendas : How Journalists Influence the News</t>
  </si>
  <si>
    <t>Miljan, Lydia; Cooper, Barry</t>
  </si>
  <si>
    <t>PN4914.O24 -- M55 2003eb</t>
  </si>
  <si>
    <t>071/.1</t>
  </si>
  <si>
    <t>Journalism -- Canada.; Journalism -- Objectivity -- Canada.; Journalism -- Political aspects -- Canada.; Journalists -- Canada -- Attitudes.</t>
  </si>
  <si>
    <t>http://public.eblib.com/choice/PublicFullRecord.aspx?p=3412117</t>
  </si>
  <si>
    <t>Masculinities without Men? : Female Masculinity in Twentieth-Century Fictions</t>
  </si>
  <si>
    <t>Sexuality Studies Series</t>
  </si>
  <si>
    <t>Noble, Jean Bobby</t>
  </si>
  <si>
    <t>PN56.G45 -- N63 2004eb</t>
  </si>
  <si>
    <t>809/.93353</t>
  </si>
  <si>
    <t>Fiction -- 20th century -- History and criticism.; Gender identity in literature.; Lesbianism in literature.; Masculinity in literature.; Women in motion pictures.</t>
  </si>
  <si>
    <t>http://public.eblib.com/choice/PublicFullRecord.aspx?p=3412118</t>
  </si>
  <si>
    <t>Governing Ourselves? : The Politics of Canadian Communities</t>
  </si>
  <si>
    <t>McAllister, Mary Louise</t>
  </si>
  <si>
    <t>JS1710 -- .M33 2004eb</t>
  </si>
  <si>
    <t>320.8/5/0971</t>
  </si>
  <si>
    <t>Administration municipale -- Canada.; Local government -- Canada.; Municipal government -- Canada.</t>
  </si>
  <si>
    <t>http://public.eblib.com/choice/PublicFullRecord.aspx?p=3412119</t>
  </si>
  <si>
    <t>Aboriginal Autonomy and Development in Northern Quebec and Labrador</t>
  </si>
  <si>
    <t>Scott, Colin</t>
  </si>
  <si>
    <t>E78.Q3 -- A26 2001eb</t>
  </si>
  <si>
    <t>323.1/19707141</t>
  </si>
  <si>
    <t>Autochtones -- Québec (Province) -- Nord-du-Québec.; Indians of North America -- Newfoundland and Labrador -- Labrador.; Indians of North America -- Québec (Province); Inuit -- Newfoundland and Labrador -- Labrador.; Inuit -- Québec (Province); Self-determination, National -- Newfoundland and Labrador -- Labrador.; Self-determination, National -- Québec (Province)</t>
  </si>
  <si>
    <t>http://public.eblib.com/choice/PublicFullRecord.aspx?p=3412120</t>
  </si>
  <si>
    <t>White Gold : Hydroelectric Power in Canada</t>
  </si>
  <si>
    <t>Froschauer, Karl</t>
  </si>
  <si>
    <t>HD9685.C2 -- F76 1999eb</t>
  </si>
  <si>
    <t>Electric power production -- Canada.; Electric utilities -- Canada.; Hydroelectric power plants -- Canada.; Water-power -- Canada.</t>
  </si>
  <si>
    <t>http://public.eblib.com/choice/PublicFullRecord.aspx?p=3412121</t>
  </si>
  <si>
    <t>Global Biopiracy : Patents, Plants, and Indigenous Knowledge</t>
  </si>
  <si>
    <t>K1519.B54 -- M43 2006eb</t>
  </si>
  <si>
    <t>346.04/86</t>
  </si>
  <si>
    <t>Biodiversity.; Electronic books. -- local; Eurocentrism.; Patents (International law); Plant biotechnology -- Patents.; Plants, Cultivated -- Patents.; Traditional ecological knowledge.</t>
  </si>
  <si>
    <t>http://public.eblib.com/choice/PublicFullRecord.aspx?p=3412122</t>
  </si>
  <si>
    <t>Representation and Democratic Theory</t>
  </si>
  <si>
    <t>Laycock, David</t>
  </si>
  <si>
    <t>JF1051 -- .R456 2004eb</t>
  </si>
  <si>
    <t>Democracy.; Representative government and representation.</t>
  </si>
  <si>
    <t>http://public.eblib.com/choice/PublicFullRecord.aspx?p=3412123</t>
  </si>
  <si>
    <t>Building Health Promotion Capacity : Action for Learning, Learning from Action</t>
  </si>
  <si>
    <t>McLean, Scott; Feather, Joan; Butler-Jones, David</t>
  </si>
  <si>
    <t>RA427.8 -- .M35 2005eb</t>
  </si>
  <si>
    <t>Electronic books. -- local; Health education -- Saskatchewan.; Health promotion -- Saskatchewan.; Health promotion.; Public health.</t>
  </si>
  <si>
    <t>http://public.eblib.com/choice/PublicFullRecord.aspx?p=3412124</t>
  </si>
  <si>
    <t>The Middle Power Project : Canada and the Founding of the United Nations</t>
  </si>
  <si>
    <t>Chapnick, Adam</t>
  </si>
  <si>
    <t>JZ4986 -- .C43 2005eb</t>
  </si>
  <si>
    <t>341.23/71/09044</t>
  </si>
  <si>
    <t>Electronic books. -- local; International relations.; United Nations -- Canada -- History -- 20th century.</t>
  </si>
  <si>
    <t>http://public.eblib.com/choice/PublicFullRecord.aspx?p=3412125</t>
  </si>
  <si>
    <t>No Place to Learn : Why Universities Aren't Working</t>
  </si>
  <si>
    <t>Pocklington, Thomas C; Tupper, Allan</t>
  </si>
  <si>
    <t>LB2329.8.C2 -- P63 2002eb</t>
  </si>
  <si>
    <t>Electronic books. -- local; Schools -- Canada.; Universities and colleges -- Canada.</t>
  </si>
  <si>
    <t>http://public.eblib.com/choice/PublicFullRecord.aspx?p=3412126</t>
  </si>
  <si>
    <t>Sanctuary, Sovereignty, Sacrifice : Canadian Sanctuary Incidents, Power, and Law</t>
  </si>
  <si>
    <t>Lippert, Randy K.</t>
  </si>
  <si>
    <t>KE237.O84 -- L57 2005eb</t>
  </si>
  <si>
    <t>305.9/06914/0971</t>
  </si>
  <si>
    <t>Asylum, Right of -- Canada.; Church work with refugees -- Canada.; Droit d''asile -- Canada.; Refugees -- Canada.; Refugees -- Government policy -- Canada.; Refugees -- Legal status, laws, etc. -- Canada.; Réfugiés -- Droit -- Canada.</t>
  </si>
  <si>
    <t>http://public.eblib.com/choice/PublicFullRecord.aspx?p=3412127</t>
  </si>
  <si>
    <t>Prisoners of the Home Front : German POWs and "Enemy Aliens" in Southern Quebec, 1940-1946</t>
  </si>
  <si>
    <t>Auger, Martin F.</t>
  </si>
  <si>
    <t>D805.C36 -- A84 2005eb</t>
  </si>
  <si>
    <t>940.54/7271</t>
  </si>
  <si>
    <t>Concentration camps -- Québec (Province) -- History -- 20th century.; Electronic books. -- local; Prisoners of war -- Canada.; Prisoners of war -- Germany.; World War, 1939-1945 -- Prisoners and prisons, Canadian.</t>
  </si>
  <si>
    <t>http://public.eblib.com/choice/PublicFullRecord.aspx?p=3412128</t>
  </si>
  <si>
    <t>The Domestic Assault of Women : Psychological and Criminal Justice Perspectives</t>
  </si>
  <si>
    <t>Dutton, Donald G.</t>
  </si>
  <si>
    <t>HV6626 -- .D87 2001eb</t>
  </si>
  <si>
    <t>Abused wives.; Electronic books. -- local; Wife abuse -- Investigation.; Wife abuse -- Psychological aspects.</t>
  </si>
  <si>
    <t>http://public.eblib.com/choice/PublicFullRecord.aspx?p=3412129</t>
  </si>
  <si>
    <t>Reclaiming Indigenous Voice and Vision</t>
  </si>
  <si>
    <t>Battiste, Marie</t>
  </si>
  <si>
    <t>GN380 -- .R43 2000eb</t>
  </si>
  <si>
    <t>Decolonization.; Electronic books. -- local; Indigenous peoples.</t>
  </si>
  <si>
    <t>http://public.eblib.com/choice/PublicFullRecord.aspx?p=3412130</t>
  </si>
  <si>
    <t>Canadian Yearbook of International Law, 1990 : Annuaire Canadien de Droit International</t>
  </si>
  <si>
    <t>Bourne, C. B.; Bourne, C B</t>
  </si>
  <si>
    <t>JX21 -- .C3642 1991eb</t>
  </si>
  <si>
    <t>http://public.eblib.com/choice/PublicFullRecord.aspx?p=3412131</t>
  </si>
  <si>
    <t>Every Inch a Woman : Phallic Possession, Femininity, and the Text</t>
  </si>
  <si>
    <t>Brooks, Carellin</t>
  </si>
  <si>
    <t>PN56.F4 -- B76 2006eb</t>
  </si>
  <si>
    <t>Femininity in literature.; Fetishism in literature.; Gender identity in literature.; Literature, Modern -- 20th century -- History and criticism.; Masculinity in literature.; Penis in literature.; Women in literature.</t>
  </si>
  <si>
    <t>http://public.eblib.com/choice/PublicFullRecord.aspx?p=3412132</t>
  </si>
  <si>
    <t>A Heart at Leisure from Itself : Caroline Macdonald of Japan</t>
  </si>
  <si>
    <t>Prang, Margaret</t>
  </si>
  <si>
    <t>BV3457.M26 -- P72 1995eb</t>
  </si>
  <si>
    <t>Electronic books. -- local; Macdonald, Caroline, -- 1874-1931.; Missionaries -- Canada -- Biography.; Missionaries -- Japan -- Biography.; Young Women''s Christian associations -- Japan.</t>
  </si>
  <si>
    <t>http://public.eblib.com/choice/PublicFullRecord.aspx?p=3412133</t>
  </si>
  <si>
    <t>Canadian Yearbook of International Law, 1986 : Annuaire Canadien de Droit International</t>
  </si>
  <si>
    <t>JX21 -- .C3640 1987eb</t>
  </si>
  <si>
    <t>http://public.eblib.com/choice/PublicFullRecord.aspx?p=3412134</t>
  </si>
  <si>
    <t>Painting the Maple : Essays on Race, Gender, and the Construction of Canada</t>
  </si>
  <si>
    <t>Strong-Boag, Veronica; Grace, Sherrill; Anderson, Joan</t>
  </si>
  <si>
    <t>HN103.5 -- .P35 1998eb</t>
  </si>
  <si>
    <t>Canada -- Race relations.; Canada -- Social conditions -- 1991-; Electronic books. -- local; Marginality, Social -- Canada.; Sex discrimination against women -- Canada.; Women -- Canada.</t>
  </si>
  <si>
    <t>http://public.eblib.com/choice/PublicFullRecord.aspx?p=3412135</t>
  </si>
  <si>
    <t>Aboriginal Peoples and Politics : The Indian Land Question in British Columbia, 1849-1989</t>
  </si>
  <si>
    <t>Tennant, Paul</t>
  </si>
  <si>
    <t>E78.B9 -- T46 1990eb</t>
  </si>
  <si>
    <t>British Columbia -- Politics and government.; Electronic books. -- local; Indians of North America -- British Columbia -- Claims.; Indians of North America -- British Columbia -- Government relations.; Indians of North America -- Land tenure -- British Columbia.</t>
  </si>
  <si>
    <t>http://public.eblib.com/choice/PublicFullRecord.aspx?p=3412136</t>
  </si>
  <si>
    <t>Mapping Marriage Law in Spanish Gitano Communities</t>
  </si>
  <si>
    <t>KKT1805 -- .D78 2006eb</t>
  </si>
  <si>
    <t>346.4601/6/08991497</t>
  </si>
  <si>
    <t>Andalusia (Spain) -- Social life and customs.; Domestic relations -- Spain.; Electronic books. -- local; Law and anthropology.; Law, Romani.; Marriage law -- Spain.; Romanies -- Legal status, laws, etc. -- Spain.</t>
  </si>
  <si>
    <t>http://public.eblib.com/choice/PublicFullRecord.aspx?p=3412137</t>
  </si>
  <si>
    <t>Gamblers and Dreamers : Women, Men, and Community in the Klondike</t>
  </si>
  <si>
    <t>Porsild, Charlene</t>
  </si>
  <si>
    <t>F1095.K5 -- P67 1998eb</t>
  </si>
  <si>
    <t>971.9/1</t>
  </si>
  <si>
    <t>Community life -- Yukon -- Dawson -- History.; Dawson (Yukon) -- History.; Electronic books. -- local; Klondike River Valley (Yukon) -- Gold discoveries.</t>
  </si>
  <si>
    <t>http://public.eblib.com/choice/PublicFullRecord.aspx?p=3412138</t>
  </si>
  <si>
    <t>Aboriginal and Treaty Rights in Canada : Essays on Law, Equality and Respect for Difference</t>
  </si>
  <si>
    <t>Asch, Michael</t>
  </si>
  <si>
    <t>E92 -- .A35 1997eb</t>
  </si>
  <si>
    <t>Electronic books. -- local; Indian land transfers -- Canada.; Indigenous peoples -- Legal status, laws, etc. -- Canada.</t>
  </si>
  <si>
    <t>http://public.eblib.com/choice/PublicFullRecord.aspx?p=3412139</t>
  </si>
  <si>
    <t>Canadian Yearbook of International Law, 1970 : Annuaire Canadien de Droit International</t>
  </si>
  <si>
    <t>JX21 -- .C33 1970eb</t>
  </si>
  <si>
    <t>http://public.eblib.com/choice/PublicFullRecord.aspx?p=3412140</t>
  </si>
  <si>
    <t>Canadian Yearbook of International Law, 1977 : Annuaire Canadien de Droit International</t>
  </si>
  <si>
    <t>KZ21 -- .C36 1978eb</t>
  </si>
  <si>
    <t>http://public.eblib.com/choice/PublicFullRecord.aspx?p=3412142</t>
  </si>
  <si>
    <t>Canadian Yearbook of International Law, 1997 : Annuaire Canadien de Droit International</t>
  </si>
  <si>
    <t>JX21 -- .C33646 1998eb</t>
  </si>
  <si>
    <t>http://public.eblib.com/choice/PublicFullRecord.aspx?p=3412143</t>
  </si>
  <si>
    <t>Potlatch at Gitsegukla : William Beynon's 1945 Field Notebooks</t>
  </si>
  <si>
    <t>Halpin, Marjorie M.; Anderson, Margaret Seguin</t>
  </si>
  <si>
    <t>E78.N78 -- B49 2000eb</t>
  </si>
  <si>
    <t>394.2/089/9741</t>
  </si>
  <si>
    <t>Electronic books. -- local; Gitksan Indians -- Rites and ceremonies.; Gitksan Indians -- Social life and customs.; Potlatch -- British Columbia.</t>
  </si>
  <si>
    <t>http://public.eblib.com/choice/PublicFullRecord.aspx?p=3412144</t>
  </si>
  <si>
    <t>Grassroots Politicians : Party Activists in British Columbia</t>
  </si>
  <si>
    <t>Blake, Donald E.; Carty, R. Kenneth</t>
  </si>
  <si>
    <t>JL439.A795 -- B53 1991eb</t>
  </si>
  <si>
    <t>British Columbia -- Politics and government.; Electronic books. -- local; Political activists -- British Columbia.; Political parties -- British Columbia.</t>
  </si>
  <si>
    <t>http://public.eblib.com/choice/PublicFullRecord.aspx?p=3412145</t>
  </si>
  <si>
    <t>Aboriginal Conditions : Research As a Foundation for Public Policy</t>
  </si>
  <si>
    <t>White, Jerry P.; Maxim, Paul S.; Beavon, Dan</t>
  </si>
  <si>
    <t>E78.C2 -- A1253 2003eb</t>
  </si>
  <si>
    <t>Canada -- Politics and government.; Canada -- Social policy.; Indians of North America -- Canada -- Social conditions.; Indians of North America -- Government relations -- Canada.</t>
  </si>
  <si>
    <t>http://public.eblib.com/choice/PublicFullRecord.aspx?p=3412147</t>
  </si>
  <si>
    <t>Canadian Yearbook of International Law, 1973 : Annuaire Canadien de Droit International</t>
  </si>
  <si>
    <t>Bourne, C. B.; etc.,</t>
  </si>
  <si>
    <t>JX21 -- .C3634 1974eb</t>
  </si>
  <si>
    <t>http://public.eblib.com/choice/PublicFullRecord.aspx?p=3412148</t>
  </si>
  <si>
    <t>Don Quixote de la Mancha : An Old Spelling Control Edition Based on the First Editions of Parts 1 and 2</t>
  </si>
  <si>
    <t>Flores, R. M.; Flores, R.M.</t>
  </si>
  <si>
    <t>PQ6323 -- .A11 1988eb</t>
  </si>
  <si>
    <t>Cervantes Saavedra, Miguel de, -- 1547-1616. -- Don Quixote.; Electronic books. -- local; Spanish literature.</t>
  </si>
  <si>
    <t>http://public.eblib.com/choice/PublicFullRecord.aspx?p=3412149</t>
  </si>
  <si>
    <t>As Long as the Sun Shines and Water Flows : A Reader in Canadian Native Studies</t>
  </si>
  <si>
    <t>Getty, Ian L.; Lussier, Antoine S.</t>
  </si>
  <si>
    <t>E92 -- .A8 1983eb</t>
  </si>
  <si>
    <t>Electronic books. -- local; Indians of North America -- Canada -- Government relations.; Indians, Treatment of -- Canada.</t>
  </si>
  <si>
    <t>http://public.eblib.com/choice/PublicFullRecord.aspx?p=3412150</t>
  </si>
  <si>
    <t>Alex Lord's British Columbia : Recollections of a Rural School Inspector, 1915-1936</t>
  </si>
  <si>
    <t>Calam, John</t>
  </si>
  <si>
    <t>LA2325.L64 -- L67 1991eb</t>
  </si>
  <si>
    <t>971.1/03</t>
  </si>
  <si>
    <t>Education, Rural -- British Columbia -- History -- 20th century.; Electronic books. -- local; Lord, A. R. -- (Alexander Russell), -- 1885-1961.; School supervision, Rural -- British Columbia -- History -- 20th century.</t>
  </si>
  <si>
    <t>http://public.eblib.com/choice/PublicFullRecord.aspx?p=3412151</t>
  </si>
  <si>
    <t>Canadian Yearbook of International Law, 1982 : Annuaire Canadien de Droit International</t>
  </si>
  <si>
    <t>JX21 -- .C3638 1983eb</t>
  </si>
  <si>
    <t>http://public.eblib.com/choice/PublicFullRecord.aspx?p=3412152</t>
  </si>
  <si>
    <t>Canadian Yearbook of International Law, 1991 : Annuaire Canadien de Droit International</t>
  </si>
  <si>
    <t>JX21 -- .C3643 1992eb</t>
  </si>
  <si>
    <t>http://public.eblib.com/choice/PublicFullRecord.aspx?p=3412153</t>
  </si>
  <si>
    <t>Asia-Pacific Legal Development</t>
  </si>
  <si>
    <t>Ferguson, Gerry</t>
  </si>
  <si>
    <t>K561 -- .A84 1998eb</t>
  </si>
  <si>
    <t>Comparative law.; Electronic books. -- local; Law -- Pacific Area.</t>
  </si>
  <si>
    <t>http://public.eblib.com/choice/PublicFullRecord.aspx?p=3412154</t>
  </si>
  <si>
    <t>Canadian Yearbook of International Law, 1978 : Annuaire Canadien de Droit International</t>
  </si>
  <si>
    <t>JX21 -- .C3637 1978eb</t>
  </si>
  <si>
    <t>http://public.eblib.com/choice/PublicFullRecord.aspx?p=3412155</t>
  </si>
  <si>
    <t>Citizens Plus : Aboriginal Peoples and the Canadian State</t>
  </si>
  <si>
    <t>Cairns, Alan</t>
  </si>
  <si>
    <t>E92 -- .C34 2000eb</t>
  </si>
  <si>
    <t>Canada. -- Royal Commission on Aboriginal Peoples.; Electronic books. -- local; Indians of North America -- Canada -- Government relations.; Indigenous peoples -- Canada.</t>
  </si>
  <si>
    <t>http://public.eblib.com/choice/PublicFullRecord.aspx?p=3412156</t>
  </si>
  <si>
    <t>Life in 2030 : Exploring a Sustainable Future for Canada</t>
  </si>
  <si>
    <t>Robinson, John B.; Legge, Russel ; Slocomve, D. Scott ; Robinson, John Bridger</t>
  </si>
  <si>
    <t>HC79.E5 -- R63 1996eb</t>
  </si>
  <si>
    <t>Electronic books. -- local; Environmental policy -- Canada.; Natural resources -- Government policy -- Canada.; Sustainable development -- Canada.</t>
  </si>
  <si>
    <t>http://public.eblib.com/choice/PublicFullRecord.aspx?p=3412157</t>
  </si>
  <si>
    <t>Canadian Yearbook of International Law, 1995 : Annuaire Canadien de Droit International</t>
  </si>
  <si>
    <t>JX21 -- .C3644 1996eb</t>
  </si>
  <si>
    <t>http://public.eblib.com/choice/PublicFullRecord.aspx?p=3412158</t>
  </si>
  <si>
    <t>White Man's Province : BC Politicians and Chinese and Japanese Immigrants, 1858-1914</t>
  </si>
  <si>
    <t>F1089.7.C5 -- R69 1989eb</t>
  </si>
  <si>
    <t>971.1/004951</t>
  </si>
  <si>
    <t>British Columbia -- Politics and government.; British Columbia -- Race relations.; China -- Emigration and immigration -- History.; Chinese -- British Columbia -- History.; Immigrants -- British Columbia -- History.; Japan -- Emigration and immigration -- History.; Japanese -- British Columbia -- History.</t>
  </si>
  <si>
    <t>http://public.eblib.com/choice/PublicFullRecord.aspx?p=3412159</t>
  </si>
  <si>
    <t>Flexible Crossroads : The Restructuring of British Columbia's Forest Economy</t>
  </si>
  <si>
    <t>Business/Management; Agriculture; Economics</t>
  </si>
  <si>
    <t>SD146.B7 -- H397 2000eb</t>
  </si>
  <si>
    <t>338.1/749/09711</t>
  </si>
  <si>
    <t>Electronic books. -- local; Forest policy -- British Columbia.; Forests and forestry -- Economic aspects -- British Columbia.</t>
  </si>
  <si>
    <t>http://public.eblib.com/choice/PublicFullRecord.aspx?p=3412160</t>
  </si>
  <si>
    <t>Checklist of Printed Material Relating to French-Canadian Literature 1763-1968 / Liste de Référence d'imprimés Relatifs à la Littérature Canadienne Francaise 1763-1968</t>
  </si>
  <si>
    <t>Tougas, Gerard</t>
  </si>
  <si>
    <t>PN74 -- .T68 1973eb</t>
  </si>
  <si>
    <t>Bibliography.; Criticism -- Canada.; Electronic books. -- local</t>
  </si>
  <si>
    <t>http://public.eblib.com/choice/PublicFullRecord.aspx?p=3412161</t>
  </si>
  <si>
    <t>Decision at Midnight : Inside the Canada-US Free-Trade Negotiations</t>
  </si>
  <si>
    <t>Hart, Michael; Dymond, Bill; Robertson, Colin</t>
  </si>
  <si>
    <t>HF1766 -- .H37 1994eb</t>
  </si>
  <si>
    <t>Canada -- Commercial treaties.; Electronic books. -- local; Free trade -- Canada.; Free trade -- United States.; United States -- Commercial treaties.</t>
  </si>
  <si>
    <t>http://public.eblib.com/choice/PublicFullRecord.aspx?p=3412163</t>
  </si>
  <si>
    <t>Injury and the New World of Work</t>
  </si>
  <si>
    <t>Sullivan, Terrence</t>
  </si>
  <si>
    <t>HD7103.6 -- .I55 2000eb</t>
  </si>
  <si>
    <t>Industrial accidents.; Occupational diseases.; Workers'' compensation.</t>
  </si>
  <si>
    <t>http://public.eblib.com/choice/PublicFullRecord.aspx?p=3412164</t>
  </si>
  <si>
    <t>Canadian Yearbook of International Law, 2004 : Annuaire Canadien De Droit International</t>
  </si>
  <si>
    <t>KZ21 -- .C3646 2005eb</t>
  </si>
  <si>
    <t>http://public.eblib.com/choice/PublicFullRecord.aspx?p=3412165</t>
  </si>
  <si>
    <t>The Emergence of Social Security in Canada : Third Edition</t>
  </si>
  <si>
    <t>Guest, Dennis T.</t>
  </si>
  <si>
    <t>HD7129 -- .G83 1997eb</t>
  </si>
  <si>
    <t>361.6/0971</t>
  </si>
  <si>
    <t>Electronic books. -- local; Public welfare -- Canada -- History.; Social security -- Canada -- History.</t>
  </si>
  <si>
    <t>http://public.eblib.com/choice/PublicFullRecord.aspx?p=3412166</t>
  </si>
  <si>
    <t>Land Resource Economics and Sustainable Development : Economic Policies and the Common Good</t>
  </si>
  <si>
    <t>HD156 --  .V36 1993eb</t>
  </si>
  <si>
    <t>Common good.; Conservation of natural resources.; Electronic books. -- local; Land use -- Economic aspects.; Land use -- Planning.; Sustainable development.</t>
  </si>
  <si>
    <t>http://public.eblib.com/choice/PublicFullRecord.aspx?p=3412167</t>
  </si>
  <si>
    <t>British Columbia Place Names : Third Edition</t>
  </si>
  <si>
    <t>Akrigg, G.P. (Philip) V.; Akrigg, Helen</t>
  </si>
  <si>
    <t>F1086.4 -- .A57 1997eb</t>
  </si>
  <si>
    <t>917.11/003</t>
  </si>
  <si>
    <t>British Columbia -- History, Local.; Electronic books. -- local; Names, Geographical -- British Columbia.</t>
  </si>
  <si>
    <t>http://public.eblib.com/choice/PublicFullRecord.aspx?p=3412168</t>
  </si>
  <si>
    <t>Alan Crawley and Contemporary Verse</t>
  </si>
  <si>
    <t>McCullagh, Joan</t>
  </si>
  <si>
    <t>PR9195.1 -- .M3 1976eb</t>
  </si>
  <si>
    <t>Canadian poetry -- 20th century -- History and criticism.; Contemporary verse (North Vancouver, B.C.); Contemporary verse (North Vancouver, B.C.) -- Periodicals -- Indexes.; Crawley, Alan -- Influence.; Electronic books. -- local</t>
  </si>
  <si>
    <t>http://public.eblib.com/choice/PublicFullRecord.aspx?p=3412169</t>
  </si>
  <si>
    <t>Conservation Biology Principles for Forested Landscapes</t>
  </si>
  <si>
    <t>Voller, Joan</t>
  </si>
  <si>
    <t>QH541.5.F6 -- C66 1998eb</t>
  </si>
  <si>
    <t>Conservation biology.; Electronic books. -- local; Forest ecology.</t>
  </si>
  <si>
    <t>http://public.eblib.com/choice/PublicFullRecord.aspx?p=3412170</t>
  </si>
  <si>
    <t>Thomas Crosby and the Tsimshian : Small Shoes for Feet Too Large</t>
  </si>
  <si>
    <t>Bolt, Clarence R.</t>
  </si>
  <si>
    <t>E99.T8 -- C763 1992eb</t>
  </si>
  <si>
    <t>Crosby, Thomas, -- 1840-1914.; Electronic books. -- local; Methodist Church -- Missions -- British Columbia -- Port Simpson -- History.; Missionaries -- British Columbia -- Port Simpson -- Biography.; Tsimshian Indians -- Cultural assimilation.; Tsimshian Indians -- Missions.; Tsimshian Indians -- Religion.</t>
  </si>
  <si>
    <t>http://public.eblib.com/choice/PublicFullRecord.aspx?p=3412171</t>
  </si>
  <si>
    <t>Canadian Yearbook of International Law, 2003 : Annuaire Canadien de Droit International</t>
  </si>
  <si>
    <t>KZ21 -- .C3645 2004eb</t>
  </si>
  <si>
    <t>http://public.eblib.com/choice/PublicFullRecord.aspx?p=3412172</t>
  </si>
  <si>
    <t>Parties, Candidates, and Constituency Campaigns in Canadian Elections</t>
  </si>
  <si>
    <t>Sayers, Anthony Michael</t>
  </si>
  <si>
    <t>JL193 -- .S29 1999eb</t>
  </si>
  <si>
    <t>Electronic books. -- local; Political campaigns -- British Columbia.; Political campaigns -- Canada.; Political candidates -- British Columbia.; Political candidates -- Canada.</t>
  </si>
  <si>
    <t>http://public.eblib.com/choice/PublicFullRecord.aspx?p=3412173</t>
  </si>
  <si>
    <t>Dictionary of Natural Resource Management</t>
  </si>
  <si>
    <t>Dunster, Julian; Dunster, Katherine</t>
  </si>
  <si>
    <t>HC15 -- .D86 1996eb</t>
  </si>
  <si>
    <t>Economic history.; Electronic books. -- local; Natural resources -- Management -- Dictionaries.</t>
  </si>
  <si>
    <t>http://public.eblib.com/choice/PublicFullRecord.aspx?p=3412174</t>
  </si>
  <si>
    <t>Ethel Wilson : Stories, Essays, and Letters</t>
  </si>
  <si>
    <t>Stouck, David</t>
  </si>
  <si>
    <t>PR9199.3.W54 -- W55 1987eb</t>
  </si>
  <si>
    <t>Electronic books. -- local; English literature.; Wilson, Ethel, -- 1888-1980.</t>
  </si>
  <si>
    <t>http://public.eblib.com/choice/PublicFullRecord.aspx?p=3412175</t>
  </si>
  <si>
    <t>Canada and Quebec : One Country, Two Histories</t>
  </si>
  <si>
    <t>F1027 -- .B66 1998eb</t>
  </si>
  <si>
    <t>Canada -- English-French relations.; Canada -- History.; Canada -- Politics and government.; Electronic books. -- local; Québec (Province) -- History -- Autonomy and independence movements.</t>
  </si>
  <si>
    <t>http://public.eblib.com/choice/PublicFullRecord.aspx?p=3412176</t>
  </si>
  <si>
    <t>The Six National Histories of Japan</t>
  </si>
  <si>
    <t>Sakamoto, Taro</t>
  </si>
  <si>
    <t>DS854 -- .S2513 1991eb</t>
  </si>
  <si>
    <t>952/.0072</t>
  </si>
  <si>
    <t>Japan -- History -- To 1185 -- Historiography.; Japan -- History -- To 1185.; Rikkokushi.</t>
  </si>
  <si>
    <t>http://public.eblib.com/choice/PublicFullRecord.aspx?p=3412177</t>
  </si>
  <si>
    <t>From Maps to Metaphors : The Pacific World of George Vancouver</t>
  </si>
  <si>
    <t>Fisher, Robin; Johnston, Hugh</t>
  </si>
  <si>
    <t>G246.V3 -- F76 1993eb</t>
  </si>
  <si>
    <t>Electronic books. -- local; Northwest Coast of North America -- Discovery and exploration -- British.; Pacific Area -- Discovery and exploration -- British.; Vancouver, George, -- 1757-1798 -- Travel -- British Columbia -- Pacific Coast.; Vancouver, George, -- 1757-1798 -- Travel -- Pacific Coast (U.S.)</t>
  </si>
  <si>
    <t>http://public.eblib.com/choice/PublicFullRecord.aspx?p=3412178</t>
  </si>
  <si>
    <t>Eagle Down Is Our Law : Witsuwit'en Law, Feasts, and Land Claims</t>
  </si>
  <si>
    <t>Mills, Antonia</t>
  </si>
  <si>
    <t>E99.W78 -- M55 1994eb</t>
  </si>
  <si>
    <t>346.71104/32/089972</t>
  </si>
  <si>
    <t>Electronic books. -- local; Gitksan Indians -- Land tenure.; Gitksan Indians -- Social life and customs.; Indians of North America -- British Columbia -- Claims.; Indians of North America -- British Columbia -- Social life and customs.; Indians of North America -- Land tenure -- British Columbia.</t>
  </si>
  <si>
    <t>http://public.eblib.com/choice/PublicFullRecord.aspx?p=3412179</t>
  </si>
  <si>
    <t>The Resettlement of British Columbia : Essays on Colonialism and Geographical Change</t>
  </si>
  <si>
    <t>F1088 -- .H37 1997eb</t>
  </si>
  <si>
    <t>British Columbia -- Colonization.; British Columbia -- History.; Human geography -- British Columbia.; Indians of North America -- British Columbia -- History.</t>
  </si>
  <si>
    <t>http://public.eblib.com/choice/PublicFullRecord.aspx?p=3412180</t>
  </si>
  <si>
    <t>Power of Words : Literacy and Revolution in South China, 1949-1995</t>
  </si>
  <si>
    <t>Peterson, Glen</t>
  </si>
  <si>
    <t>LC157.C6 -- P476 1997eb</t>
  </si>
  <si>
    <t>302.2/244/09512709045</t>
  </si>
  <si>
    <t>Electronic books. -- local; Literacy -- China -- Guangdong Sheng -- History.; Literacy -- Government policy -- China -- History.</t>
  </si>
  <si>
    <t>http://public.eblib.com/choice/PublicFullRecord.aspx?p=3412181</t>
  </si>
  <si>
    <t>Animals and Nature : Cultural Myths, Cultural Realities</t>
  </si>
  <si>
    <t>BD581 -- .P74 1999eb</t>
  </si>
  <si>
    <t>Animal welfare -- Moral and ethical aspects.; Electronic books. -- local; Human-animal relationships.; Philosophy of nature.</t>
  </si>
  <si>
    <t>http://public.eblib.com/choice/PublicFullRecord.aspx?p=3412182</t>
  </si>
  <si>
    <t>A People's Dream : Aboriginal Self-Government in Canada</t>
  </si>
  <si>
    <t>Russell, Dan</t>
  </si>
  <si>
    <t>E92 -- .R87 2000eb</t>
  </si>
  <si>
    <t>Indians of North America -- Canada -- Government relations.; Indians of North America -- Canada -- Politics and government.; Indians of North America -- Legal status, laws, etc. -- Canada.</t>
  </si>
  <si>
    <t>http://public.eblib.com/choice/PublicFullRecord.aspx?p=3412183</t>
  </si>
  <si>
    <t>First Nations of British Columbia : An Anthropological Survey</t>
  </si>
  <si>
    <t>Muckle, Robert J.</t>
  </si>
  <si>
    <t>E78.B9 -- M87 1998eb</t>
  </si>
  <si>
    <t>Electronic books. -- local; Indians of North America -- British Columbia.; Indians of North America -- History.</t>
  </si>
  <si>
    <t>http://public.eblib.com/choice/PublicFullRecord.aspx?p=3412184</t>
  </si>
  <si>
    <t>Outline of Classical Chinese Grammar</t>
  </si>
  <si>
    <t>Pulleyblank, Edwin G.</t>
  </si>
  <si>
    <t>PL1101 -- .P85 1995eb</t>
  </si>
  <si>
    <t>Chinese language -- Grammar, Historical.; Chinese language -- To 600.; Electronic books. -- local</t>
  </si>
  <si>
    <t>http://public.eblib.com/choice/PublicFullRecord.aspx?p=3412185</t>
  </si>
  <si>
    <t>Cabinets and First Ministers</t>
  </si>
  <si>
    <t>White, Graham</t>
  </si>
  <si>
    <t>JF331 -- .W45 2005eb</t>
  </si>
  <si>
    <t>Cabinet officers -- Canada.; Cabinet system -- Canada.; Electronic books. -- local; Power (Social sciences) -- Canada.; Prime ministers -- Canada.</t>
  </si>
  <si>
    <t>http://public.eblib.com/choice/PublicFullRecord.aspx?p=3412186</t>
  </si>
  <si>
    <t>Pepper in Our Eyes : The APEC Affair</t>
  </si>
  <si>
    <t>Pue, W. Wesley</t>
  </si>
  <si>
    <t>JC599.C2 -- P46 2000eb</t>
  </si>
  <si>
    <t>Asia Pacific Economic Cooperation (Organization). -- Ministerial Meeting -- (1997 : -- Vancouver, B.C.); Civil rights -- Canada.; Demonstrations -- British Columbia -- Vancouver.; Electronic books. -- local; Police -- Complaints against -- Canada.</t>
  </si>
  <si>
    <t>http://public.eblib.com/choice/PublicFullRecord.aspx?p=3412187</t>
  </si>
  <si>
    <t>Natural Women, Cultured Men : A Feminist Perspective on Sociological Theory</t>
  </si>
  <si>
    <t>Sydie, R.A.</t>
  </si>
  <si>
    <t>HM51 -- .S97 1994eb</t>
  </si>
  <si>
    <t>Electronic books. -- local; Feminism.; Sex role.; Sexism.; Sociology.</t>
  </si>
  <si>
    <t>http://public.eblib.com/choice/PublicFullRecord.aspx?p=3412188</t>
  </si>
  <si>
    <t>Canadian Yearbook of International Law, 1975 : Annuaire Canadien De Droit International</t>
  </si>
  <si>
    <t>JX21 -- .C3636 1976eb</t>
  </si>
  <si>
    <t>http://public.eblib.com/choice/PublicFullRecord.aspx?p=3412189</t>
  </si>
  <si>
    <t>A Stake in the Future : Redefining the Canadian Mineral Industry</t>
  </si>
  <si>
    <t>McAllister, Mary Louise; Alexander, Cynthia</t>
  </si>
  <si>
    <t>HD9506.C22 -- M222 1997eb</t>
  </si>
  <si>
    <t>338.2/0971</t>
  </si>
  <si>
    <t>Electronic books. -- local; Mineral industries -- Government policy -- Canada.; Mineral industries -- Social aspects -- Canada.; Whitehorse Mining Initiative (Canada)</t>
  </si>
  <si>
    <t>http://public.eblib.com/choice/PublicFullRecord.aspx?p=3412190</t>
  </si>
  <si>
    <t>Canadian Yearbook of International Law, 1974 : Annuaire Canadien de Droit International</t>
  </si>
  <si>
    <t>JX21 -- .C3635 1975eb</t>
  </si>
  <si>
    <t>http://public.eblib.com/choice/PublicFullRecord.aspx?p=3412191</t>
  </si>
  <si>
    <t>Rehabilitating the Old City of Beijing : A Project in the Ju'er Hutong Neighbourhood</t>
  </si>
  <si>
    <t>Urbanization in Asia Series</t>
  </si>
  <si>
    <t>Wu, Liangyong</t>
  </si>
  <si>
    <t>HT178.C552 -- B45 1999eb</t>
  </si>
  <si>
    <t>307.3/416/0951156</t>
  </si>
  <si>
    <t>City planning -- China -- Beijing.; Electronic books. -- local; Ju''er Hutong (Beijing, China); Urban renewal -- China -- Beijing.</t>
  </si>
  <si>
    <t>http://public.eblib.com/choice/PublicFullRecord.aspx?p=3412192</t>
  </si>
  <si>
    <t>Regional Economic Impact Analysis and Project Evaluation</t>
  </si>
  <si>
    <t>Davis, H. Craig</t>
  </si>
  <si>
    <t>Economics; Social Science; Business/Management</t>
  </si>
  <si>
    <t>HT388 -- .D38 1990eb</t>
  </si>
  <si>
    <t>Economic development projects -- Canada -- Evaluation.; Economic development projects -- Evaluation.; Electronic books. -- local; Regional economics -- Evaluation.; Regional planning -- Canada -- Evaluation.; Regional planning -- Evaluation.</t>
  </si>
  <si>
    <t>http://public.eblib.com/choice/PublicFullRecord.aspx?p=3412193</t>
  </si>
  <si>
    <t>Turn Up the Contrast : CBC Television Drama since 1952</t>
  </si>
  <si>
    <t>PN1992.65 -- M55 1987eb</t>
  </si>
  <si>
    <t>791.45/5</t>
  </si>
  <si>
    <t>Canadian Broadcasting Corporation -- History.; Electronic books. -- local; Television plays, Canadian -- History and criticism.; Television series -- Canada -- History and criticism.</t>
  </si>
  <si>
    <t>http://public.eblib.com/choice/PublicFullRecord.aspx?p=3412194</t>
  </si>
  <si>
    <t>Canadian Yearbook of International Law, 1971 : Annuaire Canadien de Droit International</t>
  </si>
  <si>
    <t>Bourne, C. B.</t>
  </si>
  <si>
    <t>JX21 -- .C363 1971eb</t>
  </si>
  <si>
    <t>http://public.eblib.com/choice/PublicFullRecord.aspx?p=3412195</t>
  </si>
  <si>
    <t>Hymns and the Christian Myth</t>
  </si>
  <si>
    <t>Adey, Lionel</t>
  </si>
  <si>
    <t>BV310 -- .A34 1986eb</t>
  </si>
  <si>
    <t>264/.2/09</t>
  </si>
  <si>
    <t>Electronic books. -- local; Hymns -- History and criticism.; Sacred songs -- History and criticism.</t>
  </si>
  <si>
    <t>http://public.eblib.com/choice/PublicFullRecord.aspx?p=3412197</t>
  </si>
  <si>
    <t>Protecting Aboriginal Children</t>
  </si>
  <si>
    <t>Walmsley, Chris</t>
  </si>
  <si>
    <t>HV745.B7 -- W34 2005eb</t>
  </si>
  <si>
    <t>362.76/089/970711</t>
  </si>
  <si>
    <t>Child welfare -- British Columbia.; Community-based child welfare -- British Columbia.; Electronic books. -- local; Indian children -- Services for -- British Columbia.; Social work with children -- British Columbia.; Social work with Indians -- British Columbia.</t>
  </si>
  <si>
    <t>http://public.eblib.com/choice/PublicFullRecord.aspx?p=3412198</t>
  </si>
  <si>
    <t>The International Politics of Whaling</t>
  </si>
  <si>
    <t>Stoett, Peter J.</t>
  </si>
  <si>
    <t>SH381 -- .S764 1997eb</t>
  </si>
  <si>
    <t>333.95/95</t>
  </si>
  <si>
    <t>Electronic books. -- local; Whaling -- Economic aspects.; Whaling -- Environmental aspects.; Whaling -- Political aspects.</t>
  </si>
  <si>
    <t>http://public.eblib.com/choice/PublicFullRecord.aspx?p=3412199</t>
  </si>
  <si>
    <t>Treaty Talks in British Columbia : Negotiating a Mutually Beneficial Future</t>
  </si>
  <si>
    <t>McKee, Christopher</t>
  </si>
  <si>
    <t>KEB529 -- .M35 2000eb</t>
  </si>
  <si>
    <t>Indians of North America -- British Columbia -- Claims.; Indians of North America -- Canada -- Government relations.; Indians of North America -- Canada -- Treaties.; Indians of North America -- Land tenure -- British Columbia.</t>
  </si>
  <si>
    <t>http://public.eblib.com/choice/PublicFullRecord.aspx?p=3412200</t>
  </si>
  <si>
    <t>Ethics and Aging : The Right to Live, the Right to Die</t>
  </si>
  <si>
    <t>Thornton, James E.; Winkler, Earl R.</t>
  </si>
  <si>
    <t>HQ1061 -- .E84 1988eb</t>
  </si>
  <si>
    <t>305.2/6</t>
  </si>
  <si>
    <t>Aging -- Moral and ethical aspects.; Electronic books. -- local; Older people -- Social conditions.</t>
  </si>
  <si>
    <t>http://public.eblib.com/choice/PublicFullRecord.aspx?p=3412201</t>
  </si>
  <si>
    <t>Rethinking Federalism : Citizens, Markets, and Governments in a Changing World</t>
  </si>
  <si>
    <t>Knop, Karen; Ostry, Sylvia; Simeon, Richard; Swinton, Kathleen</t>
  </si>
  <si>
    <t>JC355 -- .R445 1995xeb</t>
  </si>
  <si>
    <t>Electronic books. -- local; Federal government -- Congresses.; Political science -- Congresses.</t>
  </si>
  <si>
    <t>http://public.eblib.com/choice/PublicFullRecord.aspx?p=3412202</t>
  </si>
  <si>
    <t>Asia-Pacific Diplomacy : The Nongovernmental Approach to Regional Economic Cooperation</t>
  </si>
  <si>
    <t>Woods, Lawrence T.</t>
  </si>
  <si>
    <t>HF1642.55 -- .W66 1993eb</t>
  </si>
  <si>
    <t>East Asia -- Foreign economic relations.; Electronic books. -- local; Non-governmental organizations -- East Asia.; Non-governmental organizations -- Pacific Area.; Pacific Area -- Foreign economic relations.; Pacific Area cooperation.</t>
  </si>
  <si>
    <t>http://public.eblib.com/choice/PublicFullRecord.aspx?p=3412203</t>
  </si>
  <si>
    <t>Subarctic Fur Trade : Native Social and Economic Adaptions</t>
  </si>
  <si>
    <t>Krech, Shepard</t>
  </si>
  <si>
    <t>HD9944.C23 -- N677 1984eb</t>
  </si>
  <si>
    <t>Electronic books. -- local; Fur trade -- Canada, Northern -- History -- Congresses.; Indians of North America -- Canada, Northern -- Economic conditions -- Congresses.; Indians of North America -- Commerce -- Canada, Northern -- History -- Congresses.</t>
  </si>
  <si>
    <t>http://public.eblib.com/choice/PublicFullRecord.aspx?p=3412204</t>
  </si>
  <si>
    <t>Words We Call Home : Celebrating Creative Writing at UBC</t>
  </si>
  <si>
    <t>Svendsen, Linda</t>
  </si>
  <si>
    <t>PR9194.9 -- .W6 1990eb</t>
  </si>
  <si>
    <t>810.8/09711</t>
  </si>
  <si>
    <t>Canadian literature -- 20th century.; Creative writing -- Study and teaching -- British Columbia -- Vancouver -- History.; Electronic books. -- local</t>
  </si>
  <si>
    <t>http://public.eblib.com/choice/PublicFullRecord.aspx?p=3412205</t>
  </si>
  <si>
    <t>The Letters of Malcolm Lowry and Gerald Noxon, 1940-1952</t>
  </si>
  <si>
    <t>Strobel, Nancy; Tiessen, Paul</t>
  </si>
  <si>
    <t>PR6023.O96 -- Z489 1988eb</t>
  </si>
  <si>
    <t>Electronic books. -- local; Lowry, Malcolm, -- 1909-1957 -- Correspondence.; Lowry, Malcolm, -- 1909-1957.; Novelists, English -- 20th century -- Correspondence.; Noxon, Gerald -- Correspondence.</t>
  </si>
  <si>
    <t>http://public.eblib.com/choice/PublicFullRecord.aspx?p=3412206</t>
  </si>
  <si>
    <t>Captured Heritage : The Scramble for Northwest Coast Artifacts</t>
  </si>
  <si>
    <t>E78.N78 -- C65 1985eb</t>
  </si>
  <si>
    <t>Electronic books. -- local; Indians of North America -- Northwest Coast of North America -- Antiquities -- Collectors and collecting.; Indians of North America -- Northwest Coast of North America -- Antiquities.</t>
  </si>
  <si>
    <t>http://public.eblib.com/choice/PublicFullRecord.aspx?p=3412207</t>
  </si>
  <si>
    <t>Tammarniit (Mistakes) : Inuit Relocation in the Eastern Arctic, 1939-1963</t>
  </si>
  <si>
    <t>Tester, Frank</t>
  </si>
  <si>
    <t>E99.E7 -- T3 1994eb</t>
  </si>
  <si>
    <t>323.1/197107192</t>
  </si>
  <si>
    <t>Electronic books. -- local; Inuit -- Cultural assimilation -- Northwest Territories.; Inuit -- Northwest Territories -- Government relations.; Inuit -- Relocation -- Northwest Territories.</t>
  </si>
  <si>
    <t>http://public.eblib.com/choice/PublicFullRecord.aspx?p=3412208</t>
  </si>
  <si>
    <t>Canadian Yearbook of International Law, 1989 : Annuaire Canadien De Droit International</t>
  </si>
  <si>
    <t>KZ21 -- .C3641 1990eb</t>
  </si>
  <si>
    <t>http://public.eblib.com/choice/PublicFullRecord.aspx?p=3412209</t>
  </si>
  <si>
    <t>Morals and the Media : Ethics in Canadian Journalism</t>
  </si>
  <si>
    <t>Russell, Nick</t>
  </si>
  <si>
    <t>Journalism; Philosophy</t>
  </si>
  <si>
    <t>PN4914.E8 -- R87 2006eb</t>
  </si>
  <si>
    <t>174/.90711</t>
  </si>
  <si>
    <t>Journalistic ethics -- Canada.; Mass media -- Moral and ethical aspects -- Canada.</t>
  </si>
  <si>
    <t>http://public.eblib.com/choice/PublicFullRecord.aspx?p=3412210</t>
  </si>
  <si>
    <t>Indian Education in Canada, Volume 1 : The Legacy</t>
  </si>
  <si>
    <t>Barman, Jean; Hebert, Yvonne</t>
  </si>
  <si>
    <t>E96.2 -- .I53 1986eb</t>
  </si>
  <si>
    <t>371.97/97/071</t>
  </si>
  <si>
    <t>Education -- Canada.; Electronic books. -- local; Indians of North America -- Education -- Canada.</t>
  </si>
  <si>
    <t>http://public.eblib.com/choice/PublicFullRecord.aspx?p=3412211</t>
  </si>
  <si>
    <t>Robert Brown and the Vancouver Island Exploring Expedition</t>
  </si>
  <si>
    <t>F1089.V3 -- B76 1989eb</t>
  </si>
  <si>
    <t>917.11/34042</t>
  </si>
  <si>
    <t>Botany -- British Columbia -- Vancouver Island.; Brown, Robert, -- 1842-1895.; Electronic books. -- local; Indians of North America -- British Columbia -- Vancouver Island.; Vancouver Island (B.C.) -- Description and travel.; Vancouver Island (B.C.) -- Discovery and exploration.; Vancouver Island Exploring Expedition -- (1864)</t>
  </si>
  <si>
    <t>http://public.eblib.com/choice/PublicFullRecord.aspx?p=3412212</t>
  </si>
  <si>
    <t>Haida Gwaii : Human History and Environment from the Time of Loon to the Time of the Iron People</t>
  </si>
  <si>
    <t>Fedje, Daryl W.; Mathewes, Rolf</t>
  </si>
  <si>
    <t>History; Science: Geology; Science</t>
  </si>
  <si>
    <t>QE720.B75 -- H35 2005eb</t>
  </si>
  <si>
    <t>971.1/2</t>
  </si>
  <si>
    <t>Electronic books. -- local; Haida Gwaii (B.C.) -- Antiquities.; Haida Gwaii (B.C.) -- History.; Haida Indians -- History.; Paleoecology -- British Columbia -- Haida Gwaii.</t>
  </si>
  <si>
    <t>http://public.eblib.com/choice/PublicFullRecord.aspx?p=3412213</t>
  </si>
  <si>
    <t>Demographic Projection Techniques for Regions and Smaller Areas : A Primer</t>
  </si>
  <si>
    <t>HB849.53 -- .D38 1995eb</t>
  </si>
  <si>
    <t>304.6/01/12</t>
  </si>
  <si>
    <t>Demography -- Methodology.; Electronic books. -- local; Population forecasting -- Methodology.</t>
  </si>
  <si>
    <t>http://public.eblib.com/choice/PublicFullRecord.aspx?p=3412214</t>
  </si>
  <si>
    <t>Overland from Canada to British Columbia : By Mr. Thomas McMicking of Queenston, Canada West</t>
  </si>
  <si>
    <t>Leduc, Joanne</t>
  </si>
  <si>
    <t>F1060.8 -- .M36 1981eb</t>
  </si>
  <si>
    <t>Canada, Western -- Description and travel.; Electronic books. -- local; McMicking, Thomas, -- 1829-1866.; McMicking, Thomas.; Overland journeys to the Pacific.</t>
  </si>
  <si>
    <t>http://public.eblib.com/choice/PublicFullRecord.aspx?p=3412216</t>
  </si>
  <si>
    <t>A History of Migration from Germany to Canada, 1850-1939</t>
  </si>
  <si>
    <t>Wagner, Jonathan</t>
  </si>
  <si>
    <t>JV8025 -- .W34 2006eb</t>
  </si>
  <si>
    <t>325/.243/0971</t>
  </si>
  <si>
    <t>Canada -- Emigration and immigration -- History.; Electronic books. -- local; Emigration and immigration.; Germany -- Emigration and immigration -- History.</t>
  </si>
  <si>
    <t>http://public.eblib.com/choice/PublicFullRecord.aspx?p=3412217</t>
  </si>
  <si>
    <t>Spuzzum : Fraser Canyon Histories 1808-1939</t>
  </si>
  <si>
    <t>York, Annie</t>
  </si>
  <si>
    <t>F1089.5.S75 -- L34 1998eb</t>
  </si>
  <si>
    <t>971.1/37</t>
  </si>
  <si>
    <t>Electronic books. -- local; Fraser Canyon (B.C.) -- History.; Ntlakyapamuk Indians -- History.; Spuzzum (B.C.) -- History.</t>
  </si>
  <si>
    <t>http://public.eblib.com/choice/PublicFullRecord.aspx?p=3412218</t>
  </si>
  <si>
    <t>Comparing the Policy of Assimilation : Australia, Canada and New Zealand</t>
  </si>
  <si>
    <t>Armitage, Andrew</t>
  </si>
  <si>
    <t>GN367 -- .A76 1995eb</t>
  </si>
  <si>
    <t>Aboriginal Australians -- Government relations.; Assimilation (Sociology); Electronic books. -- local; Indians of North America -- Canada -- Government relations.; Indigenous peoples -- Canada -- Government relations.; Maori (New Zealand people) -- Government relations.</t>
  </si>
  <si>
    <t>http://public.eblib.com/choice/PublicFullRecord.aspx?p=3412219</t>
  </si>
  <si>
    <t>The Athenians and Their Empire</t>
  </si>
  <si>
    <t>McGregor, Malcolm</t>
  </si>
  <si>
    <t>DF227 -- .M37 1987eb</t>
  </si>
  <si>
    <t>Athens (Greece) -- History.; Electronic books. -- local; Greece -- History -- Athenian supremacy, 479-431 B.C.; Greece -- History -- Peloponnesian War, 431-404 B.C.; Greece -- History.</t>
  </si>
  <si>
    <t>http://public.eblib.com/choice/PublicFullRecord.aspx?p=3412220</t>
  </si>
  <si>
    <t>The Limits of Labour : Class Formation and the Labour Movement in Calgary, 1883-1929</t>
  </si>
  <si>
    <t>Bright, David</t>
  </si>
  <si>
    <t>HD4901 -- .B75 1998eb</t>
  </si>
  <si>
    <t>Calgary (Alta.) -- Social conditions.; Electronic books. -- local; Labor movement -- Alberta -- Calgary -- History.; Working class -- Alberta -- Calgary -- History.</t>
  </si>
  <si>
    <t>http://public.eblib.com/choice/PublicFullRecord.aspx?p=3412221</t>
  </si>
  <si>
    <t>Tribal Boundaries in the Nass Watershed</t>
  </si>
  <si>
    <t>Galois, Robert; Sterritt, Neil J.</t>
  </si>
  <si>
    <t>E78.B9 -- T75 1998eb</t>
  </si>
  <si>
    <t>333.2/089/9741</t>
  </si>
  <si>
    <t>Electronic books. -- local; Gitksan Indians -- Claims.; Gitksan Indians -- Land tenure.; Nass River Watershed (B.C.) -- History.; Niska Indians -- Claims.; Niska Indians -- Land tenure.</t>
  </si>
  <si>
    <t>http://public.eblib.com/choice/PublicFullRecord.aspx?p=3412222</t>
  </si>
  <si>
    <t>As Their Natural Resources Fail : Native People and the Economic History of Northern Manitoba, 1870-1930</t>
  </si>
  <si>
    <t>E78.M25 -- T68 1996eb</t>
  </si>
  <si>
    <t>Electronic books. -- local; Indians of North America -- Manitoba -- Economic conditions.; Indians of North America -- Manitoba -- History.; Manitoba -- Economic conditions.</t>
  </si>
  <si>
    <t>http://public.eblib.com/choice/PublicFullRecord.aspx?p=3412223</t>
  </si>
  <si>
    <t>First Nations Education in Canada : The Circle Unfolds</t>
  </si>
  <si>
    <t>E78.C2 -- F45 1995eb</t>
  </si>
  <si>
    <t>371.97/97071</t>
  </si>
  <si>
    <t>Education and state -- Canada.; Electronic books. -- local; Indians of North America -- Education -- Canada.</t>
  </si>
  <si>
    <t>http://public.eblib.com/choice/PublicFullRecord.aspx?p=3412224</t>
  </si>
  <si>
    <t>Gender and Change in Hong Kong : Globalization, Postcolonialism, and Chinese Patriarchy</t>
  </si>
  <si>
    <t>Lee, Eliza Wing-Yee</t>
  </si>
  <si>
    <t>HQ1781 -- .G46 2003eb</t>
  </si>
  <si>
    <t>305.42/095125</t>
  </si>
  <si>
    <t>Electronic books. -- local; Patriarchy -- China -- Hong Kong.; Postcolonialism -- China -- Hong Kong.; Women -- China -- Hong Kong -- Economic conditions.; Women -- China -- Hong Kong -- Social conditions.; Women in development -- China -- Hong Kong.</t>
  </si>
  <si>
    <t>http://public.eblib.com/choice/PublicFullRecord.aspx?p=3412225</t>
  </si>
  <si>
    <t>Whose North? : Political Change, Political Development, and Self Government in the Northwest Territories</t>
  </si>
  <si>
    <t>Dickerson, Mark</t>
  </si>
  <si>
    <t>E78.N79 -- D53 1992eb</t>
  </si>
  <si>
    <t>971.9/03</t>
  </si>
  <si>
    <t>Electronic books. -- local; Eskimos -- Northwest Territories -- Government relations.; Indians of North America -- Northwest Territories -- Government relations.</t>
  </si>
  <si>
    <t>http://public.eblib.com/choice/PublicFullRecord.aspx?p=3412226</t>
  </si>
  <si>
    <t>Mr. Smith Goes to Ottawa : Life in the House of Commons</t>
  </si>
  <si>
    <t>JL161 -- D62 1997eb</t>
  </si>
  <si>
    <t>Canada. -- Parliament. -- House of Commons.; Electronic books. -- local; Legislators -- Canada.</t>
  </si>
  <si>
    <t>http://public.eblib.com/choice/PublicFullRecord.aspx?p=3412227</t>
  </si>
  <si>
    <t>Balancing Act : Environmental Issues in Forestry</t>
  </si>
  <si>
    <t>Kimmins, J. P. Hamish</t>
  </si>
  <si>
    <t>SD387.E58 -- K57 1997eb</t>
  </si>
  <si>
    <t>333.75/16</t>
  </si>
  <si>
    <t>Electronic books. -- local; Forest ecology.; Forests and forestry -- Environmental aspects.</t>
  </si>
  <si>
    <t>http://public.eblib.com/choice/PublicFullRecord.aspx?p=3412228</t>
  </si>
  <si>
    <t>Geographic Variation in Forest Trees : Genetic Basis and Application of Knowledge in Silviculture</t>
  </si>
  <si>
    <t>Morgenstern, Maria</t>
  </si>
  <si>
    <t>SD399.5 -- .M67 1996eb</t>
  </si>
  <si>
    <t>634.9/56</t>
  </si>
  <si>
    <t>Electronic books. -- local; Forest genetics.; Forest management.</t>
  </si>
  <si>
    <t>http://public.eblib.com/choice/PublicFullRecord.aspx?p=3412229</t>
  </si>
  <si>
    <t>Canadian Yearbook of International Law, 1985 : Annuaire Canadien de Droit International</t>
  </si>
  <si>
    <t>JX21 -- .C3639 1986eb</t>
  </si>
  <si>
    <t>http://public.eblib.com/choice/PublicFullRecord.aspx?p=3412231</t>
  </si>
  <si>
    <t>Native Writers and Canadian Writing</t>
  </si>
  <si>
    <t>New, W. H.</t>
  </si>
  <si>
    <t>PR9185.6.I5 -- N38 1990eb</t>
  </si>
  <si>
    <t>Canadian literature -- History and criticism.; Canadian literature -- Indian authors -- History and criticism.; Canadian literature -- Indian authors.; Canadian literature -- Inuit authors -- History and criticism.; Canadian literature -- Inuit authors.; Eskimos -- Canada -- Literary collections.; Indians of North America -- Canada -- Literary collections.</t>
  </si>
  <si>
    <t>http://public.eblib.com/choice/PublicFullRecord.aspx?p=3412232</t>
  </si>
  <si>
    <t>Canadian Yearbook of International Law, 1996 : Annuaire Canadien de Droit International</t>
  </si>
  <si>
    <t>JX21 -- .C33 1997eb</t>
  </si>
  <si>
    <t>http://public.eblib.com/choice/PublicFullRecord.aspx?p=3412233</t>
  </si>
  <si>
    <t>Gunboat Frontier : British Maritime Authority and Northwest Coast Indians, 1846-1890</t>
  </si>
  <si>
    <t>Gough, Barry M.</t>
  </si>
  <si>
    <t>E78.B9 -- G68 1984eb</t>
  </si>
  <si>
    <t>971.1/00497</t>
  </si>
  <si>
    <t>British Columbia -- History.; Electronic books. -- local; Indians of North America -- British Columbia -- History.; Indians of North America -- Canada -- Government relations.</t>
  </si>
  <si>
    <t>http://public.eblib.com/choice/PublicFullRecord.aspx?p=3412234</t>
  </si>
  <si>
    <t>The Vancouver Island Letters of Edmund Hope Verney : 1862-65</t>
  </si>
  <si>
    <t>Pritchard, Allan</t>
  </si>
  <si>
    <t>F1089.V3 -- V46 1996eb</t>
  </si>
  <si>
    <t>Electronic books. -- local; Great Britain. -- Royal Navy -- Officers -- Correspondence.; Vancouver Island (B.C.) -- History -- Sources.; Vancouver Island (B.C.) -- History.; Vancouver Island (B.C.) -- Social conditions -- Sources.; Verney, Edmund Hope, -- 1838-1910 -- Correspondence.</t>
  </si>
  <si>
    <t>http://public.eblib.com/choice/PublicFullRecord.aspx?p=3412235</t>
  </si>
  <si>
    <t>Canadian Yearbook of International Law, 1972 : Annuaire Canadien de Droit International</t>
  </si>
  <si>
    <t>JX21 -- .C3633 1973eb</t>
  </si>
  <si>
    <t>http://public.eblib.com/choice/PublicFullRecord.aspx?p=3412236</t>
  </si>
  <si>
    <t>Regionalism, Multilateralism, and the Politics of Global Trade</t>
  </si>
  <si>
    <t>Barry, Donald; Keith, Ronald; Clark, Rt. Hon. Joe</t>
  </si>
  <si>
    <t>HF1352 -- .R44 1999eb</t>
  </si>
  <si>
    <t>Canada -- Commercial policy -- Congresses.; Canada -- Foreign economic relations -- Congresses.; Electronic books. -- local; International economic relations -- Congresses.; International trade -- Congresses.; Regionalism -- Congresses.; Trade blocs -- Congresses.</t>
  </si>
  <si>
    <t>http://public.eblib.com/choice/PublicFullRecord.aspx?p=3412237</t>
  </si>
  <si>
    <t>Field and Theory : Lectures in Geocryology/Terrain et Théorie  : Essais de Géocryologie</t>
  </si>
  <si>
    <t>Church, Michael</t>
  </si>
  <si>
    <t>GB642 -- .F54 1985eb</t>
  </si>
  <si>
    <t>551.3/84</t>
  </si>
  <si>
    <t>Electronic books. -- local; Frozen ground.; Ice.; MacKay, J. R., -- 1915-; Mass-wasting.</t>
  </si>
  <si>
    <t>http://public.eblib.com/choice/PublicFullRecord.aspx?p=3412238</t>
  </si>
  <si>
    <t>Death So Noble : Memory, Meaning, and the First World War</t>
  </si>
  <si>
    <t>Vance, Jonathan F.</t>
  </si>
  <si>
    <t>D547.C2 -- V36 1997eb</t>
  </si>
  <si>
    <t>940.3/71</t>
  </si>
  <si>
    <t>Electronic books. -- local; Public opinion -- Canada.; World War, 1914-1918 -- Canada -- Public opinion.; World War, 1914-1918 -- Canada.; World War, 1914-1918 -- Participation, Canadian -- Public opinion.</t>
  </si>
  <si>
    <t>http://public.eblib.com/choice/PublicFullRecord.aspx?p=3412239</t>
  </si>
  <si>
    <t>Achieving Sustainable Development</t>
  </si>
  <si>
    <t>Dale, Ann; Robinson, John B.</t>
  </si>
  <si>
    <t>HC120.E5 -- A24 1996eb</t>
  </si>
  <si>
    <t>Environmental policy -- Canada.; Sustainable development -- Canada.; Sustainable development -- International cooperation.</t>
  </si>
  <si>
    <t>http://public.eblib.com/choice/PublicFullRecord.aspx?p=3412241</t>
  </si>
  <si>
    <t>Canadian Oceans Policy : National Strategies and the New Law of the Sea</t>
  </si>
  <si>
    <t>McRae, Don M.; Munro, Gordon</t>
  </si>
  <si>
    <t>JX4422.C2 -- C37 1989eb</t>
  </si>
  <si>
    <t>341.7/625</t>
  </si>
  <si>
    <t>Electronic books. -- local; Law of the sea -- Canada.; Law of the sea.</t>
  </si>
  <si>
    <t>http://public.eblib.com/choice/PublicFullRecord.aspx?p=3412242</t>
  </si>
  <si>
    <t>Contact and Conflict : Indian -European Relations in British Columbia,1774-1890</t>
  </si>
  <si>
    <t>Fisher, Robin</t>
  </si>
  <si>
    <t>E78.B9 -- F57 1992eb</t>
  </si>
  <si>
    <t>Electronic books. -- local; Indians of North America -- British Columbia -- History.; Indians of North America -- Canada -- Government relations.</t>
  </si>
  <si>
    <t>http://public.eblib.com/choice/PublicFullRecord.aspx?p=3412243</t>
  </si>
  <si>
    <t>Fort Langley Journals, 1827-30 : Journals</t>
  </si>
  <si>
    <t>Maclachlan, Morag</t>
  </si>
  <si>
    <t>F1089.5.F6 -- F67 1998eb</t>
  </si>
  <si>
    <t>971.1/33</t>
  </si>
  <si>
    <t>Electronic books. -- local; Fort Langley (B.C.) -- History.; Fur traders -- British Columbia -- Fort Langley -- Diaries.; Fur traders -- British Columbia -- Fort Langley -- History.; Hudson''s Bay Company -- History.</t>
  </si>
  <si>
    <t>http://public.eblib.com/choice/PublicFullRecord.aspx?p=3412244</t>
  </si>
  <si>
    <t>The Big Red Machine : How the Liberal Party Dominates Canadian Politics</t>
  </si>
  <si>
    <t>JL197.L5 -- C53 2005eb</t>
  </si>
  <si>
    <t>Canada -- Politics and government -- 1945-; Liberal Party of Canada -- History.</t>
  </si>
  <si>
    <t>http://public.eblib.com/choice/PublicFullRecord.aspx?p=3412245</t>
  </si>
  <si>
    <t>Challenge and Opportunity : Canada's Community Colleges at the Crossroads</t>
  </si>
  <si>
    <t>Dennison, John D.</t>
  </si>
  <si>
    <t>LB2328.15.C2 -- C53 1995eb</t>
  </si>
  <si>
    <t>378/.052/0971</t>
  </si>
  <si>
    <t>Community colleges -- Canada.; Electronic books. -- local; Postsecondary education -- Canada.</t>
  </si>
  <si>
    <t>http://public.eblib.com/choice/PublicFullRecord.aspx?p=3412246</t>
  </si>
  <si>
    <t>Canadian Foreign Policy and International Economic Regimes</t>
  </si>
  <si>
    <t>Cutler, A. Claire</t>
  </si>
  <si>
    <t>HF1479 -- .C387 1992eb</t>
  </si>
  <si>
    <t>Canada -- Foreign economic relations -- Congresses.; Canada -- Foreign relations -- Congresses.; Electronic books. -- local; International relations.</t>
  </si>
  <si>
    <t>http://public.eblib.com/choice/PublicFullRecord.aspx?p=3412247</t>
  </si>
  <si>
    <t>Objects of Concern : Canadian Prisoners of War Through the Twentieth Century</t>
  </si>
  <si>
    <t>D627.A2 -- V36 1994eb</t>
  </si>
  <si>
    <t>341.6/5/0971</t>
  </si>
  <si>
    <t>Concentration camps -- History -- 20th century.; Electronic books. -- local; Prisoners of war -- Canada -- History -- 20th century.; War (International law) -- History -- 20th century.</t>
  </si>
  <si>
    <t>http://public.eblib.com/choice/PublicFullRecord.aspx?p=3412248</t>
  </si>
  <si>
    <t>Bitter Feast : Amerindians and Europeans in Northeastern North America, 1600-64</t>
  </si>
  <si>
    <t>Delage, Denys</t>
  </si>
  <si>
    <t>E45 -- .D3813 1993eb</t>
  </si>
  <si>
    <t>Electronic books. -- local; Europe -- Commerce -- North America -- History -- 17th century.; Indians of North America -- Commerce -- History -- 17th century.; Indians of North America -- History -- Colonial period, ca. 1600-1775.; North America -- Commerce -- Europe -- History -- 17th century.; North America -- History -- Colonial period, ca. 1600-1775.</t>
  </si>
  <si>
    <t>http://public.eblib.com/choice/PublicFullRecord.aspx?p=3412249</t>
  </si>
  <si>
    <t>Cannibal Tours and Glass Boxes : The Anthropology of Museums</t>
  </si>
  <si>
    <t>Ames, Michael M.</t>
  </si>
  <si>
    <t>GN35 -- .A54 1992eb</t>
  </si>
  <si>
    <t>Anthropological museums and collections.; Anthropology -- Social aspects.; Electronic books. -- local; Museums -- Social aspects.</t>
  </si>
  <si>
    <t>http://public.eblib.com/choice/PublicFullRecord.aspx?p=3412250</t>
  </si>
  <si>
    <t>Northern Exposures : Photographing and Filming the Canadian North, 1920-45</t>
  </si>
  <si>
    <t>Geller, Peter</t>
  </si>
  <si>
    <t>F1090.5 -- .G455 2004eb</t>
  </si>
  <si>
    <t>Canada, Northern -- History -- Pictorial works.; Documentary photography -- Canada, Northern -- History.; Inuit -- Canada -- Pictorial works -- History.; Inuit in motion pictures -- History.; Motion pictures -- Canada, Northern -- History.; Photography -- Canada, Northern -- History.; Visual communication -- Social aspects -- Canada -- History -- 20th century.</t>
  </si>
  <si>
    <t>http://public.eblib.com/choice/PublicFullRecord.aspx?p=3412251</t>
  </si>
  <si>
    <t>Sustaining the Forests of the Pacific Coast : Forging Truces in the War in the Woods</t>
  </si>
  <si>
    <t>Salazar, Debra</t>
  </si>
  <si>
    <t>SD568.B75 -- S87 2000eb</t>
  </si>
  <si>
    <t>333.75/09795</t>
  </si>
  <si>
    <t>Electronic books. -- local; Forest management -- Environmental aspects -- Northwest, Pacific.; Forest policy -- British Columbia.; Forest policy -- Northwest, Pacific.</t>
  </si>
  <si>
    <t>http://public.eblib.com/choice/PublicFullRecord.aspx?p=3412252</t>
  </si>
  <si>
    <t>Independence and Economic Security in Old Age</t>
  </si>
  <si>
    <t>Denton, Frank; Fretz, Deborah ; Spencer, Byron; Denton,</t>
  </si>
  <si>
    <t>HQ1064.C38 -- I54 2000eb</t>
  </si>
  <si>
    <t>Electronic books. -- local; Old age.; Older people -- Canada -- Economic conditions.</t>
  </si>
  <si>
    <t>http://public.eblib.com/choice/PublicFullRecord.aspx?p=3412253</t>
  </si>
  <si>
    <t>Qualities of Mercy : Justice, Punishment, and Discretion</t>
  </si>
  <si>
    <t>Strange, Carolyn</t>
  </si>
  <si>
    <t>HV8693 -- .Q34 1996eb</t>
  </si>
  <si>
    <t>364.6/09</t>
  </si>
  <si>
    <t>Electronic books. -- local; Punishment -- Australia -- History.; Punishment -- Canada -- History.; Punishment -- Great Britain -- History.</t>
  </si>
  <si>
    <t>http://public.eblib.com/choice/PublicFullRecord.aspx?p=3412254</t>
  </si>
  <si>
    <t>Introduction to Forestry Economics</t>
  </si>
  <si>
    <t>Pearse, Peter H.</t>
  </si>
  <si>
    <t>SD393 -- P43 1990eb</t>
  </si>
  <si>
    <t>338.1/7498</t>
  </si>
  <si>
    <t>Agriculture -- Economic aspects.; Electronic books. -- local; Forests and forestry -- Economic aspects.</t>
  </si>
  <si>
    <t>http://public.eblib.com/choice/PublicFullRecord.aspx?p=3412255</t>
  </si>
  <si>
    <t>Passing the Buck : Federalism and Canadian Environmental Policy</t>
  </si>
  <si>
    <t>Harrison, Kathryn</t>
  </si>
  <si>
    <t>GE190.C2 -- H37 1996eb</t>
  </si>
  <si>
    <t>Electronic books. -- local; Environmental policy -- Canada.; Federal government -- Canada.; Regionalism -- Canada.</t>
  </si>
  <si>
    <t>http://public.eblib.com/choice/PublicFullRecord.aspx?p=3412256</t>
  </si>
  <si>
    <t>Roaring Days : Rossland and the History of Mining in British Columbia</t>
  </si>
  <si>
    <t>Mouat, Jeremy</t>
  </si>
  <si>
    <t>F1089.5.R67 -- M68 1995eb</t>
  </si>
  <si>
    <t>971.1/62</t>
  </si>
  <si>
    <t>Electronic books. -- local; Mineral industries -- British Columbia -- Rossland -- History.; Rossland (B.C.) -- History.</t>
  </si>
  <si>
    <t>http://public.eblib.com/choice/PublicFullRecord.aspx?p=3412257</t>
  </si>
  <si>
    <t>Taking Control : Power and Contradiction in First Nations Adult Education</t>
  </si>
  <si>
    <t>E96.65.B7 -- H35 1995eb</t>
  </si>
  <si>
    <t>371.97/97071133</t>
  </si>
  <si>
    <t>Adult education -- British Columbia -- Vancouver.; Electronic books. -- local; Indians of North America -- Education -- British Columbia -- Vancouver.; Native Education Centre (Vancouver, B.C.)</t>
  </si>
  <si>
    <t>http://public.eblib.com/choice/PublicFullRecord.aspx?p=3412258</t>
  </si>
  <si>
    <t>Japanese Historians and the National Myths, 1600-1945 : The Age of the Gods and Emperor Jinmu</t>
  </si>
  <si>
    <t>DS834.7 -- .B758 1997eb</t>
  </si>
  <si>
    <t>952.03/07/22</t>
  </si>
  <si>
    <t>Electronic books. -- local; Japan -- History -- 1868- -- Historiography.; Japan -- History -- Tokugawa period, 1600-1868 -- Historiography.; Mythology, Japanese -- Political aspects.</t>
  </si>
  <si>
    <t>http://public.eblib.com/choice/PublicFullRecord.aspx?p=3412259</t>
  </si>
  <si>
    <t>Trading Beyond the Mountains : The British Fur Trade on the Pacific, 1793-1843</t>
  </si>
  <si>
    <t>Mackie, Richard S.</t>
  </si>
  <si>
    <t>F1060.8 -- .M32 1997eb</t>
  </si>
  <si>
    <t>971.1/102</t>
  </si>
  <si>
    <t>Electronic books. -- local; Fur trade -- British Columbia -- Pacific Coast -- History.; Fur trade -- Pacific Coast (U.S.) -- History.; Hudson''s Bay Company -- History.; Northwest Coast of North America.; Simpson, George, -- Sir, -- 1786 or 7-1860.</t>
  </si>
  <si>
    <t>http://public.eblib.com/choice/PublicFullRecord.aspx?p=3412260</t>
  </si>
  <si>
    <t>Our Tellings : Interior Salish Stories of the Nlha7kápmx People</t>
  </si>
  <si>
    <t>Hannah, Darwin; Henry, Mamie</t>
  </si>
  <si>
    <t>E99.N96 -- O83 1995eb</t>
  </si>
  <si>
    <t>Creation -- Mythology.; Electronic books. -- local; Ntlakyapamuk Indians -- Folklore.; Ntlakyapamuk mythology.; Tales -- British Columbia.</t>
  </si>
  <si>
    <t>http://public.eblib.com/choice/PublicFullRecord.aspx?p=3412261</t>
  </si>
  <si>
    <t>A Narrow Vision : Duncan Campbell Scott and the Administration of Indian Affairs in Canada</t>
  </si>
  <si>
    <t>E92 -- .T58 1986eb</t>
  </si>
  <si>
    <t>Canada. -- Dept. of Indian Affairs and Northern Development -- History.; Electronic books. -- local; Indians of North America -- Canada -- Government relations.; Scott, Duncan Campbell, -- 1862-1947.</t>
  </si>
  <si>
    <t>http://public.eblib.com/choice/PublicFullRecord.aspx?p=3412262</t>
  </si>
  <si>
    <t>Class and Idol in the English Hymn</t>
  </si>
  <si>
    <t>BV312 -- .A34 1988eb</t>
  </si>
  <si>
    <t>Electronic books. -- local; Hymns -- History and criticism.; Hymns, English -- History and criticism.</t>
  </si>
  <si>
    <t>http://public.eblib.com/choice/PublicFullRecord.aspx?p=3412263</t>
  </si>
  <si>
    <t>Four Centuries of Special Geography : An Annotated Guide to Books that Purport to Describe All the Countries in the World Published...</t>
  </si>
  <si>
    <t>Sitwell, O.F.G.</t>
  </si>
  <si>
    <t>General Works/Reference; Geography/Travel</t>
  </si>
  <si>
    <t>G96 -- .S57 1993eb</t>
  </si>
  <si>
    <t>Electronic books. -- local; Geography -- Bibliography.; Geography -- Early works to 1800 -- Bibliography.</t>
  </si>
  <si>
    <t>http://public.eblib.com/choice/PublicFullRecord.aspx?p=3412264</t>
  </si>
  <si>
    <t>Lifeline of the Oregon Country : The Fraser-Columbia Brigade System</t>
  </si>
  <si>
    <t>F880 -- .G44 1997eb</t>
  </si>
  <si>
    <t>979.5/03</t>
  </si>
  <si>
    <t>Electronic books. -- local; Fur trade -- Northwest, Pacific -- History -- 19th century.; Hudson''s Bay Company -- History -- 19th century.; Northwest, Pacific -- Discovery and exploration.; Northwest, Pacific -- History -- 19th century.; Oregon Territory -- History.; Transportation -- Northwest, Pacific -- History -- 19th century.</t>
  </si>
  <si>
    <t>http://public.eblib.com/choice/PublicFullRecord.aspx?p=3412265</t>
  </si>
  <si>
    <t>Chiefs of the Sea and Sky : Haida Heritage Sites of the Queen Charlotte Islands</t>
  </si>
  <si>
    <t>MacDonald, George F.</t>
  </si>
  <si>
    <t>E99.H2 -- M332 1989eb</t>
  </si>
  <si>
    <t>730/.8997</t>
  </si>
  <si>
    <t>British Columbia -- Antiquities.; Electronic books. -- local; Haida Gwaii (B.C.) -- Antiquities.; Haida Indians -- Antiquities.; Haida sculpture.</t>
  </si>
  <si>
    <t>http://public.eblib.com/choice/PublicFullRecord.aspx?p=3412266</t>
  </si>
  <si>
    <t>Sovereignty or Security? : Government Policy in the Canadian North, 1936-1950</t>
  </si>
  <si>
    <t>Grant, Shelagh</t>
  </si>
  <si>
    <t>F1034 -- .G73 1988eb</t>
  </si>
  <si>
    <t>Canada -- Military policy.; Canada, Northern -- History.; Canada, Northern -- Politics and government.; Electronic books. -- local</t>
  </si>
  <si>
    <t>http://public.eblib.com/choice/PublicFullRecord.aspx?p=3412267</t>
  </si>
  <si>
    <t>Gold at Fortymile Creek : Early Days in the Yukon</t>
  </si>
  <si>
    <t>Gates, Michael</t>
  </si>
  <si>
    <t>F1095.Y9 -- G374 1994eb</t>
  </si>
  <si>
    <t>Electronic books. -- local; Frontier and pioneer life -- Yukon River Valley (Yukon and Alaska); Frontier and pioneer life -- Yukon.; Gold mines and mining -- Yukon River Valley (Yukon and Alaska); Gold mines and mining -- Yukon.; Yukon River Valley (Yukon and Alaska) -- Gold discoveries.; Yukon River Valley (Yukon and Alaska) -- History.</t>
  </si>
  <si>
    <t>http://public.eblib.com/choice/PublicFullRecord.aspx?p=3412268</t>
  </si>
  <si>
    <t>Beyond the City Limits : Rural History in British Colunbia</t>
  </si>
  <si>
    <t>Sandwell, R. W.</t>
  </si>
  <si>
    <t>HN110.B7 -- B49 1998eb</t>
  </si>
  <si>
    <t>Agriculture -- Social aspects -- British Columbia.; British Columbia -- Rural conditions.; Electronic books. -- local; Frontier and pioneer life -- British Columbia.; Sociology, Rural -- British Columbia -- History.</t>
  </si>
  <si>
    <t>http://public.eblib.com/choice/PublicFullRecord.aspx?p=3412269</t>
  </si>
  <si>
    <t>Racing to the Bottom? : Provincial Interdependence in the Canadian Federation</t>
  </si>
  <si>
    <t>Equality | Security | Community Series</t>
  </si>
  <si>
    <t>JL198 -- .R23 2006eb</t>
  </si>
  <si>
    <t>Electronic books. -- local; Political planning -- Canada -- Provinces.; Provincial governments -- Canada.</t>
  </si>
  <si>
    <t>http://public.eblib.com/choice/PublicFullRecord.aspx?p=3412270</t>
  </si>
  <si>
    <t>Managing Natural Resources in British Columbia : Markets, Regulations, and Sustainable Development</t>
  </si>
  <si>
    <t>Scott, Anthony; Robinson, John B.</t>
  </si>
  <si>
    <t>HC117.B8 -- M36 1995eb</t>
  </si>
  <si>
    <t>Electronic books. -- local; Environmental policy -- British Columbia.; Renewable natural resources -- British Columbia.; Sustainable development -- British Columbia.</t>
  </si>
  <si>
    <t>http://public.eblib.com/choice/PublicFullRecord.aspx?p=3412271</t>
  </si>
  <si>
    <t>A Thousand Blunders : The Grand Trunk Pacific Railway and Northern British Columbia</t>
  </si>
  <si>
    <t>Leonard, Frank</t>
  </si>
  <si>
    <t>HE2810.G65 -- L46 1996eb</t>
  </si>
  <si>
    <t>385/.06/5711</t>
  </si>
  <si>
    <t>Electronic books. -- local; Grand Trunk Pacific Railway Company -- History -- 20th century.; Railroads -- British Columbia -- History -- 20th century.</t>
  </si>
  <si>
    <t>http://public.eblib.com/choice/PublicFullRecord.aspx?p=3412272</t>
  </si>
  <si>
    <t>Roasting Chestnuts : The Mythology of Maritime Political Culture</t>
  </si>
  <si>
    <t>Stewart, Ian</t>
  </si>
  <si>
    <t>F1035.8 -- .S73 1994eb</t>
  </si>
  <si>
    <t>Electronic books. -- local; Maritime Provinces -- History -- 20th century.; Political culture -- Maritime Provinces -- History -- 20th century.</t>
  </si>
  <si>
    <t>http://public.eblib.com/choice/PublicFullRecord.aspx?p=3412273</t>
  </si>
  <si>
    <t>The Behavior and Ecology of Pacific Salmon and Trout</t>
  </si>
  <si>
    <t>Quinn, Thomas P.</t>
  </si>
  <si>
    <t>QL638.S2 -- Q56 2005eb</t>
  </si>
  <si>
    <t>597.5/61568</t>
  </si>
  <si>
    <t>Electronic books. -- local; Oncorhynchus -- Behavior.; Oncorhynchus -- Ecology.</t>
  </si>
  <si>
    <t>http://public.eblib.com/choice/PublicFullRecord.aspx?p=3412274</t>
  </si>
  <si>
    <t>The Lillooet Language : Phonology, Morphology, Syntax</t>
  </si>
  <si>
    <t>Van Eijk, Jan</t>
  </si>
  <si>
    <t>PM1646.L7 -- E35 1997eb</t>
  </si>
  <si>
    <t>497/.9</t>
  </si>
  <si>
    <t>British Columbia -- Languages.; Electronic books. -- local; Lillooet language -- Grammar.</t>
  </si>
  <si>
    <t>http://public.eblib.com/choice/PublicFullRecord.aspx?p=3412275</t>
  </si>
  <si>
    <t>Canadian Yearbook of International Law, 1965 : Annuaire Canadien de Droit International</t>
  </si>
  <si>
    <t>KZ21 -- .C36 1965eb</t>
  </si>
  <si>
    <t>Electronic books. -- local; International law.</t>
  </si>
  <si>
    <t>http://public.eblib.com/choice/PublicFullRecord.aspx?p=3412276</t>
  </si>
  <si>
    <t>Dear Nan : Letters of Emily Carr, Nan Cheney, and Humphrey Toms</t>
  </si>
  <si>
    <t>Walker, Doreen</t>
  </si>
  <si>
    <t>ND249.C3 -- A3 1990eb</t>
  </si>
  <si>
    <t>Carr, Emily, -- 1871-1945 -- Correspondence.; Cheney, Nan, -- 1887-1985 -- Correspondence.; Electronic books. -- local; Painters -- Canada -- Correspondence.; Toms, Humphrey N. W. -- Correspondence.</t>
  </si>
  <si>
    <t>http://public.eblib.com/choice/PublicFullRecord.aspx?p=3412277</t>
  </si>
  <si>
    <t>Houser : The Life and Work of Catherine Bauer</t>
  </si>
  <si>
    <t>Oberlander, H. Peter; Newbrun, Eva</t>
  </si>
  <si>
    <t>H59.W87 -- O24 1999eb</t>
  </si>
  <si>
    <t>Electronic books. -- local; Public housing -- United States.; Social scientists -- United States -- Biography.; Wurster, Catherine Bauer.</t>
  </si>
  <si>
    <t>http://public.eblib.com/choice/PublicFullRecord.aspx?p=3412278</t>
  </si>
  <si>
    <t>Canadian Yearbook of International Law, 1983 : Annuaire Canadien de Droit International</t>
  </si>
  <si>
    <t>KZ21 -- .C36 1984eb</t>
  </si>
  <si>
    <t>http://public.eblib.com/choice/PublicFullRecord.aspx?p=3412279</t>
  </si>
  <si>
    <t>A Sarcee Grammar</t>
  </si>
  <si>
    <t>Cook, Eung-Do</t>
  </si>
  <si>
    <t>PM2275 -- .C58 1984eb</t>
  </si>
  <si>
    <t>Electronic books. -- local; Prairie Provinces -- Languages.; Sarsi language -- Grammar.</t>
  </si>
  <si>
    <t>http://public.eblib.com/choice/PublicFullRecord.aspx?p=3412280</t>
  </si>
  <si>
    <t>A Pioneer Gentlewoman in British Columbia : The Recollections of Susan Allison</t>
  </si>
  <si>
    <t>Ormsby, Margaret A.</t>
  </si>
  <si>
    <t>F1089.O5 -- A44 1976eb</t>
  </si>
  <si>
    <t>Allison, Susan, -- 1845-1937.; Electronic books. -- local; Frontier and pioneer life -- Okanagan River Valley (B.C. and Wash.); Okanagan River Valley (B.C. and Wash.) -- Biography.; Pioneers -- Okanagan River Valley (B.C. and Wash.) -- Biography.</t>
  </si>
  <si>
    <t>http://public.eblib.com/choice/PublicFullRecord.aspx?p=3412281</t>
  </si>
  <si>
    <t>Canadian Yearbook of International Law, 1980 : Annuaire Canadien de Droit International</t>
  </si>
  <si>
    <t>KZ21 -- .C36 1981eb</t>
  </si>
  <si>
    <t>http://public.eblib.com/choice/PublicFullRecord.aspx?p=3412282</t>
  </si>
  <si>
    <t>They Call Me Father : Memoirs of Father Nicolas Coccola</t>
  </si>
  <si>
    <t>Whitehead, Margaret</t>
  </si>
  <si>
    <t>BV2813 -- .C63 1988eb</t>
  </si>
  <si>
    <t>Coccola, Nicolas.; Electronic books. -- local; Indians of North America -- Missions -- British Columbia.; Missionaries -- British Columbia -- Biography.; Oblates of Mary Immaculate -- Missions -- British Columbia.</t>
  </si>
  <si>
    <t>http://public.eblib.com/choice/PublicFullRecord.aspx?p=3412283</t>
  </si>
  <si>
    <t>To the Charlottes : George Dawson's 1878 Survey of the Queen Charlotte Islands</t>
  </si>
  <si>
    <t>Lockner, Bradley</t>
  </si>
  <si>
    <t>F1089.Q3 -- D39 1993eb</t>
  </si>
  <si>
    <t>Dawson, George Mercer, -- 1849-1901 -- Diaries.; Electronic books. -- local; Geologists -- Canada -- Diaries.; Geology -- British Columbia -- Haida Gwaii.; Haida Gwaii (B.C.) -- Description and travel.; Haida Indians.; Indians of North America -- British Columbia -- Haida Gwaii.</t>
  </si>
  <si>
    <t>http://public.eblib.com/choice/PublicFullRecord.aspx?p=3412284</t>
  </si>
  <si>
    <t>Bookman's Catalogue, A to L</t>
  </si>
  <si>
    <t>Bose, Tirhankar; Colbeck, Norman R.</t>
  </si>
  <si>
    <t>Z2013 -- .U56 1987eb</t>
  </si>
  <si>
    <t>016.82/08</t>
  </si>
  <si>
    <t>Colbeck, R. Norman -- (Reginald Norman), -- 1903- -- Library -- Catalogs.; English literature -- 19th century -- Bibliography -- Catalogs.; English literature -- 20th century -- Bibliography -- Catalogs.; University of British Columbia. -- Library. -- Special Collections Division -- Catalogs.</t>
  </si>
  <si>
    <t>http://public.eblib.com/choice/PublicFullRecord.aspx?p=3412285</t>
  </si>
  <si>
    <t>A History of Domestic Space : Privacy and the Canadian Home</t>
  </si>
  <si>
    <t>NA7241 -- .W37 1999eb</t>
  </si>
  <si>
    <t>Architecture and society -- Canada.; Architecture, Domestic -- Canada -- History.; Dwellings -- Canada -- History.; Electronic books. -- local</t>
  </si>
  <si>
    <t>http://public.eblib.com/choice/PublicFullRecord.aspx?p=3412286</t>
  </si>
  <si>
    <t>Canadian Yearbook of International Law, 1984 : Annuaire Canadien de Droit International</t>
  </si>
  <si>
    <t>KZ21 -- .C36 1985eb</t>
  </si>
  <si>
    <t>http://public.eblib.com/choice/PublicFullRecord.aspx?p=3412287</t>
  </si>
  <si>
    <t>Corporate Power and Canadian Capitalism</t>
  </si>
  <si>
    <t>Carroll, William K.</t>
  </si>
  <si>
    <t>HC120.C3 -- C37 1986eb</t>
  </si>
  <si>
    <t>338.8/0971</t>
  </si>
  <si>
    <t>Capital -- Canada.; Corporate power -- Canada.; Electronic books. -- local; Elite (Social sciences) -- Canada.</t>
  </si>
  <si>
    <t>http://public.eblib.com/choice/PublicFullRecord.aspx?p=3412288</t>
  </si>
  <si>
    <t>Strangers in Blood : Fur Trade Company Families in Indian Country</t>
  </si>
  <si>
    <t>Brown, Jennifer S. H.</t>
  </si>
  <si>
    <t>F1060.7 -- .B76 1980eb</t>
  </si>
  <si>
    <t>Electronic books. -- local; Frontier and pioneer life -- Northwest, Canadian.; Fur traders -- Northwest, Canadian.; Hudson''s Bay Company.; North West Company (1967- ); Northwest, Canadian -- Social life and customs.</t>
  </si>
  <si>
    <t>http://public.eblib.com/choice/PublicFullRecord.aspx?p=3412289</t>
  </si>
  <si>
    <t>In Search of Sustainability : British Columbia Forest Policy in the 1990s</t>
  </si>
  <si>
    <t>Cashore, Benjamin; Howlett, Michael; Wilson, Jeremy; Rayner, Jeremy</t>
  </si>
  <si>
    <t>SD146.B75 -- I6 2001eb</t>
  </si>
  <si>
    <t>Electronic books. -- local; Forest management -- British Columbia.; Forest policy -- British Columbia.; Sustainable forestry -- Government policy -- British Columbia.</t>
  </si>
  <si>
    <t>http://public.eblib.com/choice/PublicFullRecord.aspx?p=3412290</t>
  </si>
  <si>
    <t>Canadian Yearbook of International Law, 1988 : Annuaire Canadien de Droit International</t>
  </si>
  <si>
    <t>Bourne, C. B.; McRae, D. M.</t>
  </si>
  <si>
    <t>KZ21 -- .C36 1989eb</t>
  </si>
  <si>
    <t>http://public.eblib.com/choice/PublicFullRecord.aspx?p=3412291</t>
  </si>
  <si>
    <t>Canadian Yearbook of International Law, 1963 : Annuaire Canadien de Droit International</t>
  </si>
  <si>
    <t>KZ21 -- .C36 1963eb</t>
  </si>
  <si>
    <t>http://public.eblib.com/choice/PublicFullRecord.aspx?p=3412292</t>
  </si>
  <si>
    <t>The Canadian Department of Justice and the Completion of Confederation 1867-78</t>
  </si>
  <si>
    <t>Swainger, Jonathan</t>
  </si>
  <si>
    <t>KE4752 -- .S92 2000eb</t>
  </si>
  <si>
    <t>Canada. -- Dept. of Justice -- History -- 19th century.; Electronic books. -- local; Justice, Administration of -- Canada -- History -- 19th century.</t>
  </si>
  <si>
    <t>http://public.eblib.com/choice/PublicFullRecord.aspx?p=3412293</t>
  </si>
  <si>
    <t>Bookman's Catalogue, M-End</t>
  </si>
  <si>
    <t>Colbeck, R. N.; Bose, T.</t>
  </si>
  <si>
    <t>http://public.eblib.com/choice/PublicFullRecord.aspx?p=3412294</t>
  </si>
  <si>
    <t>Life in Stone : A Natural History of British Columbia's Fossils</t>
  </si>
  <si>
    <t>Ludvigsen, Rolf</t>
  </si>
  <si>
    <t>QE748.B75 -- L54 1996eb</t>
  </si>
  <si>
    <t>560/.9711</t>
  </si>
  <si>
    <t>Electronic books. -- local; Fossils -- British Columbia.; Paleontology -- British Columbia.</t>
  </si>
  <si>
    <t>http://public.eblib.com/choice/PublicFullRecord.aspx?p=3412295</t>
  </si>
  <si>
    <t>Walking in Indian Moccasins : The Native Policies of Tommy Douglas and the CCF</t>
  </si>
  <si>
    <t>Barron, Laurie</t>
  </si>
  <si>
    <t>E78.S2 -- B37 1997eb</t>
  </si>
  <si>
    <t>Electronic books. -- local; Indigenous peoples -- Saskatchewan -- Government relations.; Saskatchewan -- Politics and government.</t>
  </si>
  <si>
    <t>http://public.eblib.com/choice/PublicFullRecord.aspx?p=3412296</t>
  </si>
  <si>
    <t>The Struggle for Social Justice in British Columbia : Helena Gutteridge, the Unknown Reformer</t>
  </si>
  <si>
    <t>Howard, Irene</t>
  </si>
  <si>
    <t>HQ1455.G87 -- H68 1992eb</t>
  </si>
  <si>
    <t>Electronic books. -- local; Feminists -- British Columbia -- Biography.; Gutteridge, Helena, -- 1879-1960.; Labor unions -- British Columbia -- History.; Women -- Political activity -- British Columbia -- Biography.; Women socialists -- British Columbia -- Biography.</t>
  </si>
  <si>
    <t>http://public.eblib.com/choice/PublicFullRecord.aspx?p=3412297</t>
  </si>
  <si>
    <t>Canadian Yearbook of International Law, 1966 : Annuaire Canadien de Droit International</t>
  </si>
  <si>
    <t>KZ21 -- .C36 1966eb</t>
  </si>
  <si>
    <t>http://public.eblib.com/choice/PublicFullRecord.aspx?p=3412298</t>
  </si>
  <si>
    <t>Professional Child and Youth Care</t>
  </si>
  <si>
    <t>Pence, Alan; Denholm, Carey; Ferguson, Roy V.</t>
  </si>
  <si>
    <t>HQ778.7.C2 -- P76 1993eb</t>
  </si>
  <si>
    <t>Child care -- Canada.; Child care services -- Canada.; Electronic books. -- local</t>
  </si>
  <si>
    <t>http://public.eblib.com/choice/PublicFullRecord.aspx?p=3412299</t>
  </si>
  <si>
    <t>Canadian Yearbook of International Law, 1969 : Annuaire Canadien de Droit International</t>
  </si>
  <si>
    <t>KZ21 -- .C36 1969eb</t>
  </si>
  <si>
    <t>http://public.eblib.com/choice/PublicFullRecord.aspx?p=3412300</t>
  </si>
  <si>
    <t>Laws and Societies in the Canadian Prairies West, 1670-1940</t>
  </si>
  <si>
    <t>Knafla, Louis</t>
  </si>
  <si>
    <t>KE394 -- .L42 2005eb</t>
  </si>
  <si>
    <t>Electronic books. -- local; Law -- Prairie Provinces -- History.; Law -- Social aspects -- Prairie Provinces -- History.; Northwest, Canadian -- History.; Prairie Provinces -- History.; Sociological jurisprudence -- History.</t>
  </si>
  <si>
    <t>http://public.eblib.com/choice/PublicFullRecord.aspx?p=3412301</t>
  </si>
  <si>
    <t>Positioning the Missionary : John Booth Good and the Confluence of Cultures in Nineteenth-Century British Columbia</t>
  </si>
  <si>
    <t>Christophers, Brett</t>
  </si>
  <si>
    <t>BV2815.B7 -- C57 1998eb</t>
  </si>
  <si>
    <t>Church of England -- Missions -- British Columbia.; Colonies.; Electronic books. -- local; Good, J. B. -- (John Booth), -- 1833-1916.; Ntlakyapamuk Indians -- Missions.</t>
  </si>
  <si>
    <t>http://public.eblib.com/choice/PublicFullRecord.aspx?p=3412302</t>
  </si>
  <si>
    <t>The Cult of Happiness : Nianhua, Art, and History in Rural North China</t>
  </si>
  <si>
    <t>Flath, James A.</t>
  </si>
  <si>
    <t>NE1183.25 -- .F57 2004eb</t>
  </si>
  <si>
    <t>769/.49951/09034</t>
  </si>
  <si>
    <t>Art and society -- China.; Narrative art -- China.; Wood-engraving, Chinese -- 19th century.; Wood-engraving, Chinese -- 20th century.</t>
  </si>
  <si>
    <t>http://public.eblib.com/choice/PublicFullRecord.aspx?p=3412303</t>
  </si>
  <si>
    <t>Critical Disability Theory : Essays in Philosophy, Politics, Policy and Law</t>
  </si>
  <si>
    <t>Pothier, Dianne</t>
  </si>
  <si>
    <t>HV1568.25.C2 -- C75 2006eb</t>
  </si>
  <si>
    <t>305.9/08; 362.4</t>
  </si>
  <si>
    <t>Disability studies -- Canada.; Discrimination against people with disabilities -- Canada.; Electronic books. -- local; People with disabilities -- Canada.; People with disabilities -- Government policy -- Canada.; People with disabilities -- Legal status, laws, etc. -- Canada.</t>
  </si>
  <si>
    <t>http://public.eblib.com/choice/PublicFullRecord.aspx?p=3412304</t>
  </si>
  <si>
    <t>Red Capitalism in South China : Growth and Development of the Pearl River Delta</t>
  </si>
  <si>
    <t>Lin, George C.S.</t>
  </si>
  <si>
    <t>HC428.C498 -- L56 1997eb</t>
  </si>
  <si>
    <t>330.951/27</t>
  </si>
  <si>
    <t>Capitalism -- China.; Electronic books. -- local; Pearl River Delta (China) -- Economic conditions.; Urbanization -- China -- Pearl River Delta.</t>
  </si>
  <si>
    <t>http://public.eblib.com/choice/PublicFullRecord.aspx?p=3412305</t>
  </si>
  <si>
    <t>Collected Poetry of Malcolm Lowry</t>
  </si>
  <si>
    <t>Scherf, Kathleen Dorothy</t>
  </si>
  <si>
    <t>PR6023.O96 -- A17 1992eb</t>
  </si>
  <si>
    <t>http://public.eblib.com/choice/PublicFullRecord.aspx?p=3412306</t>
  </si>
  <si>
    <t>With Good Intentions : Euro-Canadian and Aboriginal Relations in Colonial Canada</t>
  </si>
  <si>
    <t>Haig-Brown, Celia; Nock, David A.</t>
  </si>
  <si>
    <t>E78.C2 -- W583 2006eb</t>
  </si>
  <si>
    <t>Canada -- Race relations -- History.; Colonization -- History.; Electronic books. -- local; Europeans -- Canada -- History.; Racism -- Canada -- History.; Whites -- Canada -- Relations with Indians -- History.</t>
  </si>
  <si>
    <t>http://public.eblib.com/choice/PublicFullRecord.aspx?p=3412307</t>
  </si>
  <si>
    <t>Canadian Yearbook of International Law, 1967 : Annuaire Canadien de Droit International</t>
  </si>
  <si>
    <t>KZ21 -- .C36 1967eb</t>
  </si>
  <si>
    <t>http://public.eblib.com/choice/PublicFullRecord.aspx?p=3412308</t>
  </si>
  <si>
    <t>Prometheus Wired : The Hope for Democracy in the Age of Network Technology</t>
  </si>
  <si>
    <t>JC423 -- .B26 2000eb</t>
  </si>
  <si>
    <t>Democracy.; Electronic books. -- local; Information technology -- Political aspects.</t>
  </si>
  <si>
    <t>http://public.eblib.com/choice/PublicFullRecord.aspx?p=3412309</t>
  </si>
  <si>
    <t>On the Northwest : Commercial Whaling in the Pacific Northwest, 1790-1967</t>
  </si>
  <si>
    <t>Webb, Robert Lloyd</t>
  </si>
  <si>
    <t>SH382.7 -- .W35 1988eb</t>
  </si>
  <si>
    <t>Electronic books. -- local; Whaling -- British Columbia -- Pacific Coast -- History.; Whaling -- North Pacific Ocean -- History.; Whaling -- Pacific Coast (U.S.) -- History.</t>
  </si>
  <si>
    <t>http://public.eblib.com/choice/PublicFullRecord.aspx?p=3412310</t>
  </si>
  <si>
    <t>Borderlands : How We Talk About Canada</t>
  </si>
  <si>
    <t>GN491.7 -- .N49 1998eb</t>
  </si>
  <si>
    <t>Boundaries -- Social aspects -- Canada.; Canada -- Boundaries -- United States.; Canada -- Civilization.; Electronic books. -- local; United States -- Boundaries -- Canada.</t>
  </si>
  <si>
    <t>http://public.eblib.com/choice/PublicFullRecord.aspx?p=3412311</t>
  </si>
  <si>
    <t>Canadian Yearbook of International Law, 1979 : Annuaire Canadien de Droit International</t>
  </si>
  <si>
    <t>KZ21 -- .C36 1980eb</t>
  </si>
  <si>
    <t>http://public.eblib.com/choice/PublicFullRecord.aspx?p=3412312</t>
  </si>
  <si>
    <t>Early Human Occupation in British Columbia</t>
  </si>
  <si>
    <t>Carlson, Roy L.; Bona, Luke Dalla</t>
  </si>
  <si>
    <t>E78.B9 -- E27 1996eb</t>
  </si>
  <si>
    <t>British Columbia -- Antiquities.; Electronic books. -- local; Indians of North America -- British Columbia -- Antiquities.; Paleo-Indians -- British Columbia.; Tools, Prehistoric -- British Columbia.</t>
  </si>
  <si>
    <t>http://public.eblib.com/choice/PublicFullRecord.aspx?p=3412313</t>
  </si>
  <si>
    <t>Geography of British Columbia : People and Landscapes in Transition</t>
  </si>
  <si>
    <t>McGillivray, Brett</t>
  </si>
  <si>
    <t>F1087 -- .M147 2000eb</t>
  </si>
  <si>
    <t>British Columbia -- Geography.; Electronic books. -- local; Human geography -- British Columbia.</t>
  </si>
  <si>
    <t>http://public.eblib.com/choice/PublicFullRecord.aspx?p=3412314</t>
  </si>
  <si>
    <t>The Chinese in Vancouver, 1945-80 : The Pursuit of Identity and Power</t>
  </si>
  <si>
    <t>Ng, Wing Chung</t>
  </si>
  <si>
    <t>F1089.5.V22 -- N53 1999eb</t>
  </si>
  <si>
    <t>Chinese -- British Columbia -- Vancouver -- Ethnic identity.; Chinese -- British Columbia -- Vancouver -- History.; Electronic books. -- local; Vancouver (B.C.) -- History.</t>
  </si>
  <si>
    <t>http://public.eblib.com/choice/PublicFullRecord.aspx?p=3412315</t>
  </si>
  <si>
    <t>Ethnic Groups and Marital Choices : Ethnic History and Marital Assimilation,  in Canada 1871 and 1971</t>
  </si>
  <si>
    <t>Kalbach, Madeline</t>
  </si>
  <si>
    <t>HQ1031 -- .R52 1991eb</t>
  </si>
  <si>
    <t>Assimilation (Sociology); Electronic books. -- local; Intermarriage -- Canada.</t>
  </si>
  <si>
    <t>http://public.eblib.com/choice/PublicFullRecord.aspx?p=3412316</t>
  </si>
  <si>
    <t>Consolidated Index To the Canadian Yearbook of International Law/Index Refondu de L'Annuaire Canadien de Droit international</t>
  </si>
  <si>
    <t>Dunkley, David</t>
  </si>
  <si>
    <t>JX21 -- .C32 1989eb</t>
  </si>
  <si>
    <t>http://public.eblib.com/choice/PublicFullRecord.aspx?p=3412317</t>
  </si>
  <si>
    <t>Canadian Yearbook of International Law, 1987 : Annuaire Canadien de Droit International</t>
  </si>
  <si>
    <t>KZ21 -- .C36 1988eb</t>
  </si>
  <si>
    <t>http://public.eblib.com/choice/PublicFullRecord.aspx?p=3412318</t>
  </si>
  <si>
    <t>Canadian Yearbook of International Law, 1981 : Annuaire Canadien de Droit International</t>
  </si>
  <si>
    <t>KZ21 -- .C36 1982eb</t>
  </si>
  <si>
    <t>http://public.eblib.com/choice/PublicFullRecord.aspx?p=3412319</t>
  </si>
  <si>
    <t>The Klondike Stampede</t>
  </si>
  <si>
    <t>Adney, Tappan</t>
  </si>
  <si>
    <t>F1095.K5 -- A36 1994eb</t>
  </si>
  <si>
    <t>Electronic books. -- local; Klondike River Valley (Yukon) -- Gold discoveries.; Klondike River Valley (Yukon) -- History.</t>
  </si>
  <si>
    <t>http://public.eblib.com/choice/PublicFullRecord.aspx?p=3412320</t>
  </si>
  <si>
    <t>The Voyage of the Komagata Maru : The Sikh Challenge to Canada's Colour Bar</t>
  </si>
  <si>
    <t>Johnston, Hugh</t>
  </si>
  <si>
    <t>JV7285.S54 -- J63 1989eb</t>
  </si>
  <si>
    <t>325/.254/0971</t>
  </si>
  <si>
    <t>Cananda -- Emigration and immigration.; Electronic books. -- local; India -- Emigration and immigration.; India -- Politics and government -- 1857-1919.; Komagatamaru (Ship); Sikhs -- Canada -- History.</t>
  </si>
  <si>
    <t>http://public.eblib.com/choice/PublicFullRecord.aspx?p=3412321</t>
  </si>
  <si>
    <t>Middle Chinese : A Study in Historical Phonology</t>
  </si>
  <si>
    <t>History; Language/Linguistics</t>
  </si>
  <si>
    <t>DS777.53 -- .G39 2008eb</t>
  </si>
  <si>
    <t>Communism -- China -- History.; Sino-Japanese War, 1937-1945 -- Underground movements.; Sino-Japanese War, 1937-1945.; Zhongguo gong chan dang -- History.</t>
  </si>
  <si>
    <t>http://public.eblib.com/choice/PublicFullRecord.aspx?p=3412322</t>
  </si>
  <si>
    <t>Canadian Yearbook of International Law, 1993 : Annuaire Canadien de Droit International</t>
  </si>
  <si>
    <t>Bourne, C. B.; McRae, D M</t>
  </si>
  <si>
    <t>KZ21 -- .C36 1994eb</t>
  </si>
  <si>
    <t>http://public.eblib.com/choice/PublicFullRecord.aspx?p=3412323</t>
  </si>
  <si>
    <t>Canadian Yearbook of International Law, 1964 : Annuaire Canadien de Droit International</t>
  </si>
  <si>
    <t>KZ21 -- .C36 1964eb</t>
  </si>
  <si>
    <t>http://public.eblib.com/choice/PublicFullRecord.aspx?p=3412324</t>
  </si>
  <si>
    <t>A Complex Culture of the British Columbia Plateau : Traditional Stl'atl'imx Resource Use</t>
  </si>
  <si>
    <t>Hayden, Brian</t>
  </si>
  <si>
    <t>E99.L4 -- C656 1992eb</t>
  </si>
  <si>
    <t>Electronic books. -- local; Indians of North America -- British Columbia -- Fountain.; Indians of North America -- British Columbia -- Pavilion.; Lillooet Indians.; Shuswap Indians.</t>
  </si>
  <si>
    <t>http://public.eblib.com/choice/PublicFullRecord.aspx?p=3412325</t>
  </si>
  <si>
    <t>First Do No Harm : Making Sense of Canadian Health Reform</t>
  </si>
  <si>
    <t>Sullivan, Terrence; Baranek, Patricia M.</t>
  </si>
  <si>
    <t>RA395.C2 -- S844 2002eb</t>
  </si>
  <si>
    <t>362.1/0971</t>
  </si>
  <si>
    <t>http://public.eblib.com/choice/PublicFullRecord.aspx?p=3412326</t>
  </si>
  <si>
    <t>Canadian Yearbook of International Law, 1994 : Annuaire Canadien de Droit International</t>
  </si>
  <si>
    <t>KZ21 -- .C36 1995eb</t>
  </si>
  <si>
    <t>http://public.eblib.com/choice/PublicFullRecord.aspx?p=3412327</t>
  </si>
  <si>
    <t>Creating Historical Memory : English-Canadian Women and the Work of History</t>
  </si>
  <si>
    <t>Boutilier, Beverly; Prentice, Alison</t>
  </si>
  <si>
    <t>HQ1453 -- .C74 1997eb</t>
  </si>
  <si>
    <t>Electronic books. -- local; Women -- Canada -- Historiography.; Women -- Canada -- History.; Women historians -- Canada -- History.</t>
  </si>
  <si>
    <t>http://public.eblib.com/choice/PublicFullRecord.aspx?p=3412328</t>
  </si>
  <si>
    <t>Canadians Behind Enemy Lines, 1939-1945</t>
  </si>
  <si>
    <t>D810.S7 -- M25 2004eb</t>
  </si>
  <si>
    <t>Grande-Bretagne. -- Special Operations Executive.; Great Britain. -- Special Operations Executive.; Guerre mondiale, 1939-1945 -- Service secret -- Grande-Bretagne.; Spies -- Canada -- Biography.; World War, 1939-1945 -- Canada.; World War, 1939-1945 -- Personal narratives, Canadian.; World War, 1939-1945 -- Secret service -- Great Britain.</t>
  </si>
  <si>
    <t>http://public.eblib.com/choice/PublicFullRecord.aspx?p=3412330</t>
  </si>
  <si>
    <t>Vanishing British Columbia</t>
  </si>
  <si>
    <t>Kluckner, Michael</t>
  </si>
  <si>
    <t>F1087.8 -- .K58 2005eb</t>
  </si>
  <si>
    <t>971.1/04/0222</t>
  </si>
  <si>
    <t>British Columbia -- History, Local -- Pictorial works.; British Columbia -- History, Local.; Cities and towns -- British Columbia -- Pictorial works.; Electronic books. -- local; Historic buildings -- British Columbia -- Pictorial works.; Historic sites -- British Columbia -- Pictorial works.; Watercolor painting -- British Columbia.</t>
  </si>
  <si>
    <t>http://public.eblib.com/choice/PublicFullRecord.aspx?p=3412331</t>
  </si>
  <si>
    <t>Huron-Wendat : The Heritage of the Circle</t>
  </si>
  <si>
    <t>Sioui, Georges F.; Brierley, Jane</t>
  </si>
  <si>
    <t>E99.H9 -- S5713 1999eb</t>
  </si>
  <si>
    <t>973.04/9755</t>
  </si>
  <si>
    <t>Electronic books. -- local; Wyandot Indians -- History.; Wyandot Indians -- Religion.; Wyandot Indians -- Social life and customs.; Wyandot mythology.</t>
  </si>
  <si>
    <t>http://public.eblib.com/choice/PublicFullRecord.aspx?p=3412332</t>
  </si>
  <si>
    <t>Politics, Policy, and Government in British Columbia</t>
  </si>
  <si>
    <t>Carty, R. Kenneth</t>
  </si>
  <si>
    <t>F1088 -- .P64 1996eb</t>
  </si>
  <si>
    <t>British Columbia -- History.; British Columbia -- Politics and government.; British Columbia -- Social policy.; Electronic books. -- local</t>
  </si>
  <si>
    <t>http://public.eblib.com/choice/PublicFullRecord.aspx?p=3412333</t>
  </si>
  <si>
    <t>Mega Urban Regions of Southeast Asia</t>
  </si>
  <si>
    <t>Robinson, Ira M.; Robinson, Ira M.</t>
  </si>
  <si>
    <t>HT384.A786 -- M43 1995eb</t>
  </si>
  <si>
    <t>Electronic books. -- local; Metropolitan areas -- Southeast Asia.; Southeast Asia -- Social conditions.; Urbanization -- Southeast Asia.</t>
  </si>
  <si>
    <t>http://public.eblib.com/choice/PublicFullRecord.aspx?p=3412334</t>
  </si>
  <si>
    <t>Since the Time of the Transformers : The Ancient Heritage of the Nuu-chah-nulth, Ditidaht, and Makah</t>
  </si>
  <si>
    <t>McMillan, Alan D.</t>
  </si>
  <si>
    <t>E99.M19 -- M33 1999eb</t>
  </si>
  <si>
    <t>Electronic books. -- local; Makah Indians -- Antiquities.; Makah Indians -- History.; Nootka Indians -- Antiquities.; Nootka Indians -- History.</t>
  </si>
  <si>
    <t>http://public.eblib.com/choice/PublicFullRecord.aspx?p=3412335</t>
  </si>
  <si>
    <t>Assu of Cape Mudge : Recollections of a Coastal Indian Chief</t>
  </si>
  <si>
    <t>Inglis, Joy</t>
  </si>
  <si>
    <t>E99.K9 -- A87 1989eb</t>
  </si>
  <si>
    <t>Assu family.; Assu, Harry, -- 1905-; Electronic books. -- local; Indians of North America -- British Columbia -- Biography.; Indians of North America -- British Columbia -- Genealogy.; Kwakiutl Indians -- Biography.; Kwakiutl Indians -- Genealogy.</t>
  </si>
  <si>
    <t>http://public.eblib.com/choice/PublicFullRecord.aspx?p=3412336</t>
  </si>
  <si>
    <t>Canadian Yearbook of International Law, 1976 : Annuaire Canadien de Droit International</t>
  </si>
  <si>
    <t>KZ21 -- .C36 1977eb</t>
  </si>
  <si>
    <t>http://public.eblib.com/choice/PublicFullRecord.aspx?p=3412337</t>
  </si>
  <si>
    <t>Canadian Yearbook of International Law, 1992 : Annuaire Canadien de Droit International</t>
  </si>
  <si>
    <t>KZ21 -- .C36 1993eb</t>
  </si>
  <si>
    <t>http://public.eblib.com/choice/PublicFullRecord.aspx?p=3412338</t>
  </si>
  <si>
    <t>Communities, Development, and Sustainability across Canada</t>
  </si>
  <si>
    <t>Pierce, John T.; Dale, Ann</t>
  </si>
  <si>
    <t>HC120.E5 -- C66 1999eb</t>
  </si>
  <si>
    <t>Community development -- Canada.; Electronic books. -- local; Sustainable development -- Canada.</t>
  </si>
  <si>
    <t>http://public.eblib.com/choice/PublicFullRecord.aspx?p=3412339</t>
  </si>
  <si>
    <t>Last Word : Media Coverage of the Supreme Court of Canada</t>
  </si>
  <si>
    <t>Sauvageau, Florian; Schneiderman, David; Taras, David</t>
  </si>
  <si>
    <t>Journalism; Law</t>
  </si>
  <si>
    <t>KE8244 -- .S39 2006eb</t>
  </si>
  <si>
    <t>070.4/4934771035; 347.71/035</t>
  </si>
  <si>
    <t>Canada. -- Supreme Court -- Press coverage.; Electronic books. -- local; Judgments -- Press coverage -- Canada.; Press and politics -- Canada.</t>
  </si>
  <si>
    <t>http://public.eblib.com/choice/PublicFullRecord.aspx?p=3412340</t>
  </si>
  <si>
    <t>Lexicon of Reconstructed Pronunciation : in Early Middle Chinese, Late Middle Chinese, and Early Mandarin</t>
  </si>
  <si>
    <t>PL1081 -- .P966 1991eb</t>
  </si>
  <si>
    <t>Chinese language -- Middle Chinese, 1200-1919 -- Pronunciation.; Electronic books. -- local; Mandarin dialects -- Pronunciation.</t>
  </si>
  <si>
    <t>http://public.eblib.com/choice/PublicFullRecord.aspx?p=3412341</t>
  </si>
  <si>
    <t>Once Upon an Oldman : Special Interest Politics and the Oldman River Dam</t>
  </si>
  <si>
    <t>Glenn, Jack</t>
  </si>
  <si>
    <t>Engineering; Economics; Engineering: Civil; Environmental Studies</t>
  </si>
  <si>
    <t>TC558.A32 -- G54 1999eb</t>
  </si>
  <si>
    <t>Dams -- Environmental aspects -- Alberta -- Oldman River.; Dams -- Political aspects -- Alberta -- Oldman River.; Electronic books. -- local; Oldman River Dam (Alta.); Oldman River Valley (Alta.) -- History.; Piegan Indians -- Alberta -- Oldman River Region -- Government relations.</t>
  </si>
  <si>
    <t>http://public.eblib.com/choice/PublicFullRecord.aspx?p=3412342</t>
  </si>
  <si>
    <t>Policy and Practices for Biodiversity in Managed Forests : The Living Dance</t>
  </si>
  <si>
    <t>Johnson, Jacklyn F.; Binkley, Clark S.; Bunnell, Fred</t>
  </si>
  <si>
    <t>Economics; Science: Biology/Natural History; Science; Environmental Studies</t>
  </si>
  <si>
    <t>QH541.5.P6 -- P64 1998eb</t>
  </si>
  <si>
    <t>Biodiversity conservation.; Electronic books. -- local; Forest germplasm resources conservation.; Forest management.</t>
  </si>
  <si>
    <t>http://public.eblib.com/choice/PublicFullRecord.aspx?p=3412343</t>
  </si>
  <si>
    <t>Hidden Dimensions : The Cultural Significance of Wetland Archaeology</t>
  </si>
  <si>
    <t>Bernick, Kathryn</t>
  </si>
  <si>
    <t>CC77.W48 -- H54 1998eb</t>
  </si>
  <si>
    <t>Electronic books. -- local; Water-saturated sites (Archaeology) -- Congresses.; Wetlands -- Congresses.</t>
  </si>
  <si>
    <t>http://public.eblib.com/choice/PublicFullRecord.aspx?p=3412344</t>
  </si>
  <si>
    <t>Making Vancouver : Class, Status, and Social Boundaries, 1863-1913</t>
  </si>
  <si>
    <t>McDonald, Robert A.J.</t>
  </si>
  <si>
    <t>F1089.5.V22 -- M43 1996eb</t>
  </si>
  <si>
    <t>Electronic books. -- local; Social classes -- British Columbia -- Vancouver -- History.; Vancouver (B.C.) -- History.; Vancouver (B.C.) -- Social conditions.</t>
  </si>
  <si>
    <t>http://public.eblib.com/choice/PublicFullRecord.aspx?p=3412345</t>
  </si>
  <si>
    <t>Canadian Yearbook of International Law, 1999 : Annuaire Canadien de Droit International</t>
  </si>
  <si>
    <t>McRae, Donald M.; International, Law Association</t>
  </si>
  <si>
    <t>KZ21 -- .C36 2000eb</t>
  </si>
  <si>
    <t>http://public.eblib.com/choice/PublicFullRecord.aspx?p=3412346</t>
  </si>
  <si>
    <t>New Challenges for ASEAN : Emerging Policy Issuess</t>
  </si>
  <si>
    <t>Amitav, Acharya; Stubbs, Richard</t>
  </si>
  <si>
    <t>HC441 -- .N49 1995eb</t>
  </si>
  <si>
    <t>ASEAN.; Canada -- Foreign relations -- Southeast Asia.; International relations.; Southeast Asia -- Economic policy.; Southeast Asia -- Environmental conditions.; Southeast Asia -- Foreign relations -- Canada.; Southeast Asia -- Social conditions.</t>
  </si>
  <si>
    <t>http://public.eblib.com/choice/PublicFullRecord.aspx?p=3412347</t>
  </si>
  <si>
    <t>Diplomatic Departures : The Conservative Era in Canadian Foreign Policy, 1984-1993</t>
  </si>
  <si>
    <t>Michaud, Nelson</t>
  </si>
  <si>
    <t>F1034.2 -- .D585 2001eb</t>
  </si>
  <si>
    <t>327.71/009/048</t>
  </si>
  <si>
    <t>Canada -- Foreign relations -- 1945-; Canada -- Politics and government -- 1980-; Canada -- Relations extérieures -- 1945-; Conservatism -- Canada -- History -- 20th century.</t>
  </si>
  <si>
    <t>http://public.eblib.com/choice/PublicFullRecord.aspx?p=3412348</t>
  </si>
  <si>
    <t>The Burden of History : Colonialism and the Frontier Myth in a Rural Canadian Community</t>
  </si>
  <si>
    <t>E78.B9 -- F87 1999eb</t>
  </si>
  <si>
    <t>British Columbia -- Colonization.; Electronic books. -- local; Indians of North America -- Cultural assimilation -- British Columbia -- Williams Lake.; Indians, Treatment of -- British Columbia -- Williams Lake.; William Lake (B.C.) -- Race relations.; Williams Lake (B.C.) -- Colonial influence.</t>
  </si>
  <si>
    <t>http://public.eblib.com/choice/PublicFullRecord.aspx?p=3412349</t>
  </si>
  <si>
    <t>Reclaiming Adat : Contemporary Malaysian Film and Literature</t>
  </si>
  <si>
    <t>Khoo, Gaik Cheng</t>
  </si>
  <si>
    <t>DS594 -- .K56 2006eb</t>
  </si>
  <si>
    <t>Adat law -- Malaysia.; Electronic books. -- local; Islam and state -- Malaysia.; Malaysia -- Civilization -- 20th century.; Malaysia -- Social life and customs -- 20th century.; Malaysian literature (English) -- History and criticism.; Motion pictures -- Malaysia -- History.</t>
  </si>
  <si>
    <t>http://public.eblib.com/choice/PublicFullRecord.aspx?p=3412350</t>
  </si>
  <si>
    <t>Legends of Our Times : Native Cowboy Life</t>
  </si>
  <si>
    <t>Baillargeon, Morgan; Tepper, Leslie</t>
  </si>
  <si>
    <t>E78.P7 -- B35 1998eb</t>
  </si>
  <si>
    <t>Indian cowboys -- Great Plains -- History.; Indian cowboys -- Prairie Provinces -- History.; Prairie Provinces -- Social life and customs.; Ranches -- Great Plains -- History.; Ranches -- Prairie Provinces -- History.; Rodeos -- Great Plains -- History.; Rodeos -- Prairie Provinces -- History.</t>
  </si>
  <si>
    <t>http://public.eblib.com/choice/PublicFullRecord.aspx?p=3412351</t>
  </si>
  <si>
    <t>Ships and Memories : Merchant Seafarers in Canada's Age of Steam</t>
  </si>
  <si>
    <t>HE769 -- .S244 1993eb</t>
  </si>
  <si>
    <t>Authors, Canadian -- 20th century -- Biography.; Electronic books. -- local; Merchant marine -- Canada -- History -- 20th century.; Merchant mariners -- Canada -- Biography.; Sea stories.; Shipping -- Canada -- History.; Steam-navigation -- Canada -- History.</t>
  </si>
  <si>
    <t>http://public.eblib.com/choice/PublicFullRecord.aspx?p=3412352</t>
  </si>
  <si>
    <t>Colonizing Bodies : Aboriginal Health and Healing in British Columbia 1900-1950</t>
  </si>
  <si>
    <t>Kelm, Mary-Ellen</t>
  </si>
  <si>
    <t>Health; Social Science; History</t>
  </si>
  <si>
    <t>E78.B9 -- K45 1998eb</t>
  </si>
  <si>
    <t>Electronic books. -- local; Indians of North America -- Colonization -- British Columbia.; Indians of North America -- Health and hygiene -- British Columbia -- History -- 20th century.; Indians of North America -- Medical care -- British Columbia -- History -- 20th century.; Social medicine -- British Columbia -- History -- 20th century.</t>
  </si>
  <si>
    <t>http://public.eblib.com/choice/PublicFullRecord.aspx?p=3412353</t>
  </si>
  <si>
    <t>Distant Dominion : Britain and the Northwest Coast of North America, 1579-1809</t>
  </si>
  <si>
    <t>Gough, Barry</t>
  </si>
  <si>
    <t>F851.5 -- .G68 1980eb</t>
  </si>
  <si>
    <t>British Columbia -- History.; Electronic books. -- local; Great Britain -- History, Naval.; History -- North America.; Northwest Coast of North America -- History.</t>
  </si>
  <si>
    <t>http://public.eblib.com/choice/PublicFullRecord.aspx?p=3412354</t>
  </si>
  <si>
    <t>Poverty : Rights, Social Citizenship, and Legal Activism</t>
  </si>
  <si>
    <t>Young, Margot</t>
  </si>
  <si>
    <t>KE3500.Z85 -- P68 2007eb</t>
  </si>
  <si>
    <t>344.7103/25</t>
  </si>
  <si>
    <t>Basic needs -- Law and legislation -- Canada.; Canada. -- Canadian Charter of Rights and Freedoms.; Citizenship -- Canada.; Human rights -- Canada.; Public welfare -- Law and legislation -- Canada.; Social rights -- Canada.; Welfare recipients -- Legal status, laws, etc. -- Canada.</t>
  </si>
  <si>
    <t>http://public.eblib.com/choice/PublicFullRecord.aspx?p=3412355</t>
  </si>
  <si>
    <t>Criminal Artefacts : Governing Drugs and Users</t>
  </si>
  <si>
    <t>Moore, Dawn</t>
  </si>
  <si>
    <t>HV5801 -- M664 2007eb</t>
  </si>
  <si>
    <t>364.1/77</t>
  </si>
  <si>
    <t>Drug abuse and crime -- Canada.; Drug abuse and crime.; Drug addiction -- Treatment -- Canada -- History -- 20th century.; Drug addiction -- Treatment.; Drug addicts -- Legal status, laws, etc.; Drug addicts -- Legal status, laws, etc. -- Canada.; Sociological jurisprudence.</t>
  </si>
  <si>
    <t>http://public.eblib.com/choice/PublicFullRecord.aspx?p=3412356</t>
  </si>
  <si>
    <t>Sexing the Teacher : School Sex Scandals and Queer Pedagogies</t>
  </si>
  <si>
    <t>Sexuality Studies</t>
  </si>
  <si>
    <t>Cavanagh, Sheila L.</t>
  </si>
  <si>
    <t>LB2844.1.C54 -- C38 2007eb</t>
  </si>
  <si>
    <t>Child sexual abuse by teachers.; Electronic books. -- local; Feminist film criticism.; Queer theory.; Sexually abused boys.; Teacher-student relationships.; Women teachers -- Sexual behavior.</t>
  </si>
  <si>
    <t>http://public.eblib.com/choice/PublicFullRecord.aspx?p=3412357</t>
  </si>
  <si>
    <t>Supporting Indigenous Children's Development : Community-University Partnerships</t>
  </si>
  <si>
    <t>Pence, Alan R.; Ball, Jessica</t>
  </si>
  <si>
    <t>E96.2 -- .B35 2006eb</t>
  </si>
  <si>
    <t>372.21089/97071</t>
  </si>
  <si>
    <t>Child development -- Canada.; Community and college -- Canada.; Community education -- Canada.; Early childhood education -- Curricula -- Canada.; Early childhood teachers -- Training of -- Canada.; Indian children -- Care -- Canada.; Indian children -- Education (Preschool) -- Canada.</t>
  </si>
  <si>
    <t>http://public.eblib.com/choice/PublicFullRecord.aspx?p=3412358</t>
  </si>
  <si>
    <t>Journey to the Ice Age : Discovering an Ancient World</t>
  </si>
  <si>
    <t>Storck, Peter L.</t>
  </si>
  <si>
    <t>E78.O5 -- S83 2004eb</t>
  </si>
  <si>
    <t>Archaeologists -- Ontario -- Biography.; Ontario -- Antiquities.; Paleo-Indians -- Ontario.; Paleontologists -- Ontario -- Biography.; Pleistocene-Holocene boundary.; Royal Ontario Museum.; Storck, Peter L.</t>
  </si>
  <si>
    <t>http://public.eblib.com/choice/PublicFullRecord.aspx?p=3412359</t>
  </si>
  <si>
    <t>Birds of Ontario : Habitat Requirements, Limiting Factors, and Status</t>
  </si>
  <si>
    <t>Sandilands, Al; James, Ross</t>
  </si>
  <si>
    <t>QL685.5.O6 -- S261 2005eb</t>
  </si>
  <si>
    <t>598/.09713</t>
  </si>
  <si>
    <t>Bird populations -- Ontario.; Birds -- Effect of habitat modification on -- Ontario.; Birds -- Habitat -- Ontario.</t>
  </si>
  <si>
    <t>http://public.eblib.com/choice/PublicFullRecord.aspx?p=3412360</t>
  </si>
  <si>
    <t>Beyond Mothering Earth : Ecological Citizenship and the Politics of Care</t>
  </si>
  <si>
    <t>HQ1233 -- .M33 2006eb</t>
  </si>
  <si>
    <t>Caring.; Ecofeminism.; Écoféminisme.; Environmentalism.; Human ecology -- Political aspects.; Humanité (Morale); Women and the environment.</t>
  </si>
  <si>
    <t>http://public.eblib.com/choice/PublicFullRecord.aspx?p=3412361</t>
  </si>
  <si>
    <t>Be of Good Mind : Essays on the Coast Salish</t>
  </si>
  <si>
    <t>Miller, Bruce Granville; Angelbeck, Bill ; Bierwert, Crisca ; Boxberger, Daniel L. ; Galloway, Brent D. ; Grier, Colin ; McHalsie, Sonny ; Schaepe, Dave</t>
  </si>
  <si>
    <t>E99.S21 -- B4 2007eb</t>
  </si>
  <si>
    <t>971.1004/9794</t>
  </si>
  <si>
    <t>Coast Salish Indians -- History.; Coast Salish Indians.; Electronic books. -- local</t>
  </si>
  <si>
    <t>http://public.eblib.com/choice/PublicFullRecord.aspx?p=3412362</t>
  </si>
  <si>
    <t>Alliance and Illusion : Canada and the World, 1945-1984</t>
  </si>
  <si>
    <t>F1034.2 -- .B667 2007eb</t>
  </si>
  <si>
    <t>Canada -- Foreign relations -- 1945-; Canada -- Histoire -- 1945-; Canada -- Politique et gouvernement -- 1935-; Canada -- Politique militaire.; Canada -- Relations extérieures -- 1945-; Cold War.; Guerre froide.</t>
  </si>
  <si>
    <t>http://public.eblib.com/choice/PublicFullRecord.aspx?p=3412363</t>
  </si>
  <si>
    <t>Clio's Warriors : Canadian Historians and the Writing of the World Wars</t>
  </si>
  <si>
    <t>D547.C2 -- C66 2006eb</t>
  </si>
  <si>
    <t>940.4/127107271</t>
  </si>
  <si>
    <t>Electronic books. -- local; World War, 1914-1918 -- Canada -- Historiography.; World War, 1939-1945 -- Canada -- Historiography.</t>
  </si>
  <si>
    <t>http://public.eblib.com/choice/PublicFullRecord.aspx?p=3412364</t>
  </si>
  <si>
    <t>Tales of Two Cities : Women and Municipal Restructuring in London and Toronto</t>
  </si>
  <si>
    <t>Bashevkin, Sylvia</t>
  </si>
  <si>
    <t>HQ1236.5.G7 -- B38 2006eb</t>
  </si>
  <si>
    <t>320.8/5/08209421</t>
  </si>
  <si>
    <t>Decentralization in government -- England -- London Metropolitan Area.; Decentralization in government -- Ontario -- Toronto.; London Metropolitan Area (England) -- Politics and government.; Political participation -- England -- London Metropolitan Area.; Political participation -- Ontario -- Toronto.; Women -- Political activity -- England -- London Metropolitan Area.; Women -- Political activity -- Ontario -- Toronto.</t>
  </si>
  <si>
    <t>http://public.eblib.com/choice/PublicFullRecord.aspx?p=3412365</t>
  </si>
  <si>
    <t>Zina, Transnational Feminism, and the Moral Regulation of Pakistani Women</t>
  </si>
  <si>
    <t>Khan, Shahnaz</t>
  </si>
  <si>
    <t>HQ1745.5 -- .K53 2006eb</t>
  </si>
  <si>
    <t>Discrimination à l''égard des femmes -- Pākistān.; Feminism -- International cooperation.; Fornication (Islamic law); Sex discrimination against women -- Pakistan.; Women -- Pakistan -- Social conditions.; Women -- Religious aspects -- Islam.; Women (Islamic law) -- Pakistan.</t>
  </si>
  <si>
    <t>http://public.eblib.com/choice/PublicFullRecord.aspx?p=3412366</t>
  </si>
  <si>
    <t>Conventional Choices : Maritime Leadership Politics</t>
  </si>
  <si>
    <t>JF1525.L4 -- S74 2007eb</t>
  </si>
  <si>
    <t>303.3/4</t>
  </si>
  <si>
    <t>Elections -- Maritime Provinces -- Statistics.; Electronic books. -- local; Leadership.; Political conventions -- Maritime Provinces -- History.; Political leadership -- Maritime Provinces.; Political parties -- Maritime Provinces.; Politicians -- Maritime Provinces -- Biography.</t>
  </si>
  <si>
    <t>http://public.eblib.com/choice/PublicFullRecord.aspx?p=3412367</t>
  </si>
  <si>
    <t>Courts and Federalism : Judicial Doctrine in the United States, Australia, and Canada</t>
  </si>
  <si>
    <t>Baier, Gerald</t>
  </si>
  <si>
    <t>K3175 -- .B35 2006eb</t>
  </si>
  <si>
    <t>347.71/012</t>
  </si>
  <si>
    <t>Electronic books. -- local; Judicial review -- Australia.; Judicial review -- Canada.; Judicial review -- United States.; Political questions and judicial power -- Australia.; Political questions and judicial power -- Canada.; Political questions and judicial power -- United States.</t>
  </si>
  <si>
    <t>http://public.eblib.com/choice/PublicFullRecord.aspx?p=3412368</t>
  </si>
  <si>
    <t>Negotiating Buck Naked : Doukhobor, Public Policy, and Conflict Resolution</t>
  </si>
  <si>
    <t>Cran, Gregory J.</t>
  </si>
  <si>
    <t>BX7433 -- .C73 2006eb</t>
  </si>
  <si>
    <t>305.6/899</t>
  </si>
  <si>
    <t>Conflict management -- British Columbia -- Case studies.; Dukhobors -- Canada -- Government relations.; Dukhobors -- Canada -- History.; Dukhobors -- Civil rights -- British Columbia.; Dukhobors -- Government policy -- British Columbia.; Sons of Freedom Doukhobors -- British Columbia.</t>
  </si>
  <si>
    <t>http://public.eblib.com/choice/PublicFullRecord.aspx?p=3412369</t>
  </si>
  <si>
    <t>First Nations of British Columbia : An Anthropological Survey (2nd Edition)</t>
  </si>
  <si>
    <t>E78.B9 -- M87 2007eb</t>
  </si>
  <si>
    <t>Indians of North America -- British Columbia.</t>
  </si>
  <si>
    <t>http://public.eblib.com/choice/PublicFullRecord.aspx?p=3412370</t>
  </si>
  <si>
    <t>Taking the Air : Ideas and Change in Canada's National Parks</t>
  </si>
  <si>
    <t>Kopas, Paul</t>
  </si>
  <si>
    <t>SB484.C2 -- K67 2007eb</t>
  </si>
  <si>
    <t>333.78/30971</t>
  </si>
  <si>
    <t>Electronic books. -- local; Environmental protection -- Canada -- History.; National parks and reserves -- Canada -- History.; National parks and reserves -- Government policy -- Canada -- History.; National parks and reserves -- Protection -- Canada.</t>
  </si>
  <si>
    <t>http://public.eblib.com/choice/PublicFullRecord.aspx?p=3412371</t>
  </si>
  <si>
    <t>Sustainable Production : Building Canadian Capacity</t>
  </si>
  <si>
    <t>Sustainability and the Environment</t>
  </si>
  <si>
    <t>HC120.I52 -- S87 2006eb</t>
  </si>
  <si>
    <t>338.9/270971</t>
  </si>
  <si>
    <t>Industrial productivity -- Environmental aspects -- Canada.; Sustainable development -- Canada.</t>
  </si>
  <si>
    <t>http://public.eblib.com/choice/PublicFullRecord.aspx?p=3412372</t>
  </si>
  <si>
    <t>Culture of Flushing : A Social and Legal History of Sewage</t>
  </si>
  <si>
    <t>Nature/History/Society</t>
  </si>
  <si>
    <t>Benidickson, Jamie</t>
  </si>
  <si>
    <t>TD730 -- .B46 2007eb</t>
  </si>
  <si>
    <t>363.72/8</t>
  </si>
  <si>
    <t>Electronic books. -- local; Sewage -- Law and legislation -- History.; Sewage -- Social aspects -- History.</t>
  </si>
  <si>
    <t>http://public.eblib.com/choice/PublicFullRecord.aspx?p=3412374</t>
  </si>
  <si>
    <t>Multiculturalism and the Foundations of Meaningful Life : Reconciling Autonomy, Identity, and Community</t>
  </si>
  <si>
    <t>Robinson, Andrew M.</t>
  </si>
  <si>
    <t>HM1271 -- .R625 2007eb</t>
  </si>
  <si>
    <t>Multiculturalism -- Canada -- Case studies.; Multiculturalism -- Case studies.; Multiculturalisme -- Canada -- Cas, Études de.; Multiculturalisme -- Canada.; Multiculturalisme -- Cas, Études de.; Multiculturalisme.; Vie.</t>
  </si>
  <si>
    <t>http://public.eblib.com/choice/PublicFullRecord.aspx?p=3412375</t>
  </si>
  <si>
    <t>In Search of Canadian Political Culture</t>
  </si>
  <si>
    <t>Wiseman, Nelson</t>
  </si>
  <si>
    <t>JL65 -- .W58 2007eb</t>
  </si>
  <si>
    <t>Canada -- Politics and government.; Canada -- Politique et gouvernement.; Culture politique -- Canada.; Political culture -- Canada.</t>
  </si>
  <si>
    <t>http://public.eblib.com/choice/PublicFullRecord.aspx?p=3412376</t>
  </si>
  <si>
    <t>Good Intentions Gone Awry : Emma Crosby and the Methodist Mission on the Northwest Coast</t>
  </si>
  <si>
    <t>Hare, Jan</t>
  </si>
  <si>
    <t>BV2813.C76 -- H37 2006eb</t>
  </si>
  <si>
    <t>266/.7092; B</t>
  </si>
  <si>
    <t>Crosby, Emma, -- 1849-1926 -- Correspondance.; Crosby, Emma, -- 1849-1926 -- Correspondence.; Crosby, Thomas, -- 1840-1914.; Crosby, Thomas, -- 1840-1914.; Methodist Church -- Missions -- British Columbia -- Port Simpson -- History.; Missionaries'' spouses -- Canada -- Biography.; Tsimshian Indians -- Missions -- British Columbia -- History.</t>
  </si>
  <si>
    <t>http://public.eblib.com/choice/PublicFullRecord.aspx?p=3412377</t>
  </si>
  <si>
    <t>Creating a Modern Countryside : Liberalism and Land Resettlement in British Columbia</t>
  </si>
  <si>
    <t>Murton, James</t>
  </si>
  <si>
    <t>HD319.B78 -- M87 2007eb</t>
  </si>
  <si>
    <t>333.76/0971109042</t>
  </si>
  <si>
    <t>Environmental economics -- British Columbia -- History -- 20th century -- Case studies.; Environmental policy -- British Columbia.; Land use, Rural -- British Columbia -- History -- 20th century -- Case studies.; Rural renewal -- British Columbia -- History -- 20th century -- Case studies.</t>
  </si>
  <si>
    <t>http://public.eblib.com/choice/PublicFullRecord.aspx?p=3412378</t>
  </si>
  <si>
    <t>Attitudinal Decision Making in the Supreme Court of Canada</t>
  </si>
  <si>
    <t>Ostberg, C. L.; Wetstein, Matthew E.</t>
  </si>
  <si>
    <t>KE8244 -- .O85 2007eb</t>
  </si>
  <si>
    <t>Canada. -- Supreme Court.; Courts of last resort -- Canada.; Judges -- Canada -- Attitudes.; Judicial process -- Canada.; Political questions and judicial power -- Canada.</t>
  </si>
  <si>
    <t>http://public.eblib.com/choice/PublicFullRecord.aspx?p=3412379</t>
  </si>
  <si>
    <t>Misrecognized Materialists : Social Movements in Canadian Constitutional Politics</t>
  </si>
  <si>
    <t>James, Matt</t>
  </si>
  <si>
    <t>KE4395 -- .J36 2006eb</t>
  </si>
  <si>
    <t>342.7108/7</t>
  </si>
  <si>
    <t>Constitutional history -- Canada.; Minorities -- Legal status, laws, etc. -- Canada -- History -- 20th century.; Social movements -- Political aspects -- Canada -- History -- 20th century.</t>
  </si>
  <si>
    <t>http://public.eblib.com/choice/PublicFullRecord.aspx?p=3412380</t>
  </si>
  <si>
    <t>Capital and Labour in the British Columbia Forest Industry, 1934-74</t>
  </si>
  <si>
    <t>Hak, Gordon</t>
  </si>
  <si>
    <t>HD9764.C33 -- B75 2007eb</t>
  </si>
  <si>
    <t>338.1/74909711</t>
  </si>
  <si>
    <t>British Columbia -- Economic conditions -- 20th century.; Forest products industry -- British Columbia -- Employees -- Labor unions -- History.; Forest products industry -- British Columbia -- History.; Foresterie -- Colombie-Britannique -- Histoire.; Forests and forestry -- British Columbia -- History.; Produits forestiers -- Industrie -- Colombie-Britannique -- Histoire.; Produits forestiers -- Industrie -- Colombie-Britannique -- Personnel -- Syndicats -- Histoire.</t>
  </si>
  <si>
    <t>http://public.eblib.com/choice/PublicFullRecord.aspx?p=3412381</t>
  </si>
  <si>
    <t>Community Mental Health in Canada : Policy, Theory, and Practice</t>
  </si>
  <si>
    <t>Davis, Simon</t>
  </si>
  <si>
    <t>RA790.7.C3 -- D39 2006eb</t>
  </si>
  <si>
    <t>362.2/20971</t>
  </si>
  <si>
    <t>Community mental health services -- Canada.; Electronic books. -- local; Mental health policy -- Canada.; Mentally ill -- Care -- Canada.</t>
  </si>
  <si>
    <t>http://public.eblib.com/choice/PublicFullRecord.aspx?p=3412382</t>
  </si>
  <si>
    <t>Eau Canada : The Future of Canada's Water</t>
  </si>
  <si>
    <t>Bakker, Karen</t>
  </si>
  <si>
    <t>HD1696.C2 -- E28 2007eb</t>
  </si>
  <si>
    <t>333.91/00971</t>
  </si>
  <si>
    <t>Water -- Canada.; Water -- Government policy -- Canada.; Water -- Management.; Water conservation -- Canada.; Water rights -- Canada.; Water use -- Canada.; Water-supply -- Canada.</t>
  </si>
  <si>
    <t>http://public.eblib.com/choice/PublicFullRecord.aspx?p=3412383</t>
  </si>
  <si>
    <t>Diversity and Equality : The Changing Framework of Freedom in Canada</t>
  </si>
  <si>
    <t>Eisenberg, Avigail; Deckha, Maneesha ; Macleod, C.W. ; McRanor, Shauna ; McLaren, Mr. John ; Vallance, Neil</t>
  </si>
  <si>
    <t>F1035.A1 -- D58 2006eb</t>
  </si>
  <si>
    <t>323.1/71</t>
  </si>
  <si>
    <t>Civil rights -- Canada.; Minorities -- Civil rights -- Canada.; Minorities -- Legal status, laws, etc. -- Canada.</t>
  </si>
  <si>
    <t>http://public.eblib.com/choice/PublicFullRecord.aspx?p=3412384</t>
  </si>
  <si>
    <t>Obstructed Labour : Race and Gender in the Re-Emergence of Midwifery</t>
  </si>
  <si>
    <t>Nestel, Sheryl</t>
  </si>
  <si>
    <t>RG950 -- .N47 2006eb</t>
  </si>
  <si>
    <t>305.43/6182</t>
  </si>
  <si>
    <t>Electronic books. -- local; Midwifery -- Social aspects -- Ontario.; Midwives -- Ontario -- Social conditions -- 20th century.; Minority women -- Employment -- Ontario.; Race discrimination -- Ontario.</t>
  </si>
  <si>
    <t>http://public.eblib.com/choice/PublicFullRecord.aspx?p=3412385</t>
  </si>
  <si>
    <t>Hunters at the Margin : Native People and Wildlife Conservation in the Northwest Territories</t>
  </si>
  <si>
    <t>Sandlos, John</t>
  </si>
  <si>
    <t>Science; Economics; Environmental Studies; Science: Zoology</t>
  </si>
  <si>
    <t>QL84.26.N6 -- S26 2007eb</t>
  </si>
  <si>
    <t>Big game hunting -- Northwest Territories -- History -- 20th century.; Electronic books. -- local; Subsistence hunting -- Northwest Territories -- History -- 20th century.; Wildlife conservation -- Government policy -- Canada -- History -- 20th century.; Wildlife conservation -- Northwest Territories -- History -- 20th century.</t>
  </si>
  <si>
    <t>http://public.eblib.com/choice/PublicFullRecord.aspx?p=3412386</t>
  </si>
  <si>
    <t>Development's Displacements : Economies, Ecologies, and Cultures at Risk</t>
  </si>
  <si>
    <t>Vandergeest, Peter; Idahosa, Pablo</t>
  </si>
  <si>
    <t>HD75.8 -- .D49 2007eb</t>
  </si>
  <si>
    <t>Economic development projects -- Environmental aspects -- Case studies.; Economic development projects -- Social aspects -- Case studies.; Internally displaced persons -- Case studies.</t>
  </si>
  <si>
    <t>http://public.eblib.com/choice/PublicFullRecord.aspx?p=3412387</t>
  </si>
  <si>
    <t>The Archive of Place : Unearthing the Pasts of the Chilcotin Plateau</t>
  </si>
  <si>
    <t>Turkel, William</t>
  </si>
  <si>
    <t>E78.B9 -- T874 2007eb</t>
  </si>
  <si>
    <t>Chilcotin Indians -- Wars -- British Columbia.; Écologie humaine -- Colombie-Britannique -- Chilcotin, Plateau -- Histoire.; Ethnohistory -- British Columbia -- Case studies.; Human ecology -- British Columbia -- Chilcotin Plateau -- History.; Human ecology -- British Columbia -- History -- Case studies.; Indians of North America -- British Columbia -- Chilcotin Plateau -- History.; Material culture -- British Columbia -- Chilcotin Plateau.</t>
  </si>
  <si>
    <t>http://public.eblib.com/choice/PublicFullRecord.aspx?p=3412388</t>
  </si>
  <si>
    <t>The Chinese State at the Borders</t>
  </si>
  <si>
    <t>Lary, Diana; Harrell, Stevan ; Purdue, Peter</t>
  </si>
  <si>
    <t>DS736 -- .C525 2007eb</t>
  </si>
  <si>
    <t>China -- Boundaries -- History.; China -- Ethnic relations -- History.; China -- Territorial expansion -- History.; Electronic books. -- local; Minorities -- Government policy -- China -- History.; Regionalism -- China -- History.</t>
  </si>
  <si>
    <t>http://public.eblib.com/choice/PublicFullRecord.aspx?p=3412389</t>
  </si>
  <si>
    <t>Social Capital, Diversity, and the Welfare State</t>
  </si>
  <si>
    <t>Kay, Fiona</t>
  </si>
  <si>
    <t>HM708 -- .S653 2007eb</t>
  </si>
  <si>
    <t>Capital social (Sociologie) -- Canada.; Cultural pluralism -- Canada.; Multiculturalism -- Canada.; Pluralisme -- Canada.; Social capital (Sociology) -- Canada.; Trust -- Social aspects -- Canada.; Welfare state -- Canada.</t>
  </si>
  <si>
    <t>http://public.eblib.com/choice/PublicFullRecord.aspx?p=3412390</t>
  </si>
  <si>
    <t>Reaction and Resistance : Feminism, Law, and Social Change</t>
  </si>
  <si>
    <t>Chunn, Dorothy E.</t>
  </si>
  <si>
    <t>HQ1155 -- .R42 2007eb</t>
  </si>
  <si>
    <t>Anti-feminism -- Canada.; Feminism -- Canada.; Feminism -- Political aspects -- Canada.; Neoliberalism -- Canada.; Social change -- Canada.; Women -- Government policy -- Canada.; Women -- Legal status, laws, etc. -- Canada.</t>
  </si>
  <si>
    <t>http://public.eblib.com/choice/PublicFullRecord.aspx?p=3412391</t>
  </si>
  <si>
    <t>Queer Youth in the Province of the Severely Normal</t>
  </si>
  <si>
    <t>Filax, Gloria</t>
  </si>
  <si>
    <t>HQ76.27.Y68 -- F54 2006eb</t>
  </si>
  <si>
    <t>Gay youth -- Alberta -- History -- 20th century.; Gay youth -- Government policy -- Alberta -- History -- 20th century.; Homophobia -- Alberta -- History -- 20th century.; Homophobia -- Press coverage -- Alberta -- History -- 20th century.; Homophobie -- Alberta -- 20e siècle.; Jeunes homosexuels -- Alberta -- Histoire -- 20e siècle.; Jeunes homosexuels -- Politique gouvernementale -- Alberta -- 20e siècle.</t>
  </si>
  <si>
    <t>http://public.eblib.com/choice/PublicFullRecord.aspx?p=3412392</t>
  </si>
  <si>
    <t>Rethinking Domestic Violence</t>
  </si>
  <si>
    <t>HV6626 -- .D875 2006eb</t>
  </si>
  <si>
    <t>362.82/92</t>
  </si>
  <si>
    <t>Family violence.; Spousal abuse.</t>
  </si>
  <si>
    <t>http://public.eblib.com/choice/PublicFullRecord.aspx?p=3412393</t>
  </si>
  <si>
    <t>Historicizing Canadian Anthropology</t>
  </si>
  <si>
    <t>GN17.3.C2 -- H57 2006eb</t>
  </si>
  <si>
    <t>Anthropology -- Canada.; Canada -- History.; Electronic books. -- local</t>
  </si>
  <si>
    <t>http://public.eblib.com/choice/PublicFullRecord.aspx?p=3412394</t>
  </si>
  <si>
    <t>Reshaping the University : Responsibility, Indigenous Epistemes, and the Logic of the Gift</t>
  </si>
  <si>
    <t>Kuokkanen, Rauna</t>
  </si>
  <si>
    <t>LB2322.2 -- .K86 2007eb</t>
  </si>
  <si>
    <t>378/.01</t>
  </si>
  <si>
    <t>Discrimination in higher education.; Education, Higher -- Aims and objectives.; Education, Higher -- Philosophy.; Education, Humanistic.; Electronic books. -- local; Ethnophilosophy.; Indigenous peoples -- Education (Higher)</t>
  </si>
  <si>
    <t>http://public.eblib.com/choice/PublicFullRecord.aspx?p=3412395</t>
  </si>
  <si>
    <t>Race and the City : Chinese Canadian and Chinese American Political Mobilization</t>
  </si>
  <si>
    <t>Fernando, Shanti</t>
  </si>
  <si>
    <t>F1035.C5 -- F47 2006eb</t>
  </si>
  <si>
    <t>971/.004951</t>
  </si>
  <si>
    <t>Canada -- Race relations.; Chinese Americans -- California -- Los Angeles -- Politics and government.; Chinese Americans -- Politics and government.; Electronic books. -- local; United States -- Race relations.</t>
  </si>
  <si>
    <t>http://public.eblib.com/choice/PublicFullRecord.aspx?p=3412396</t>
  </si>
  <si>
    <t>Domestic Reforms : Political Visions and Family Regulation in British Columbia, 1862-1940</t>
  </si>
  <si>
    <t>Clarkson, Chris</t>
  </si>
  <si>
    <t>HQ560.15.B75 -- C53 2007eb</t>
  </si>
  <si>
    <t>Domestic relations -- British Columbia -- History.; Domestic relations -- British Columbia -- Legislative history.; Famille -- Aspect politique -- Colombie-Britannique -- Histoire -- 19e siècle.; Famille -- Aspect politique -- Colombie-Britannique -- Histoire -- 20e siècle.; Famille -- Droit -- Colombie-Britannique -- Histoire législative.; Famille -- Droit -- Colombie-Britannique -- Histoire.; Family policy -- British Columbia -- History.</t>
  </si>
  <si>
    <t>http://public.eblib.com/choice/PublicFullRecord.aspx?p=3412397</t>
  </si>
  <si>
    <t>The Culture of Hunting in Canada</t>
  </si>
  <si>
    <t>Manore, Jean L.; Miner, Dale</t>
  </si>
  <si>
    <t>Agriculture; Sport &amp; Recreation</t>
  </si>
  <si>
    <t>SK151 -- .C85 2007eb</t>
  </si>
  <si>
    <t>Electronic books. -- local; Hunting -- Canada -- History.; Hunting -- Canada.; Hunting -- Social aspects -- Canada.</t>
  </si>
  <si>
    <t>http://public.eblib.com/choice/PublicFullRecord.aspx?p=3412398</t>
  </si>
  <si>
    <t>The Other Quiet Revolution : National Identities in English Canada, 1945-71</t>
  </si>
  <si>
    <t>Igartua, Jose E.; Igartua, Joseu Eduardo</t>
  </si>
  <si>
    <t>F1034.2 -- .I34 2006eb</t>
  </si>
  <si>
    <t>Canada -- History -- 1945-; Canadians, English-speaking -- History -- 20th century.; Canadiens anglais -- Canada -- Histoire -- 20e siècle.; Multiculturalism -- Canada -- History -- 20th century.; Multiculturalisme -- Canada -- Histoire -- 20e siècle.; Nationalism -- Canada -- History -- 20th century.; Nationalisme -- Canada -- Histoire -- 20e siècle.</t>
  </si>
  <si>
    <t>http://public.eblib.com/choice/PublicFullRecord.aspx?p=3412399</t>
  </si>
  <si>
    <t>Canada and the British World : Culture, Migration, and Identity</t>
  </si>
  <si>
    <t>Buckner, Phillip; Francis, R. Douglas</t>
  </si>
  <si>
    <t>F1029.5.G7 -- C36 2006eb</t>
  </si>
  <si>
    <t>303.48/27104109034</t>
  </si>
  <si>
    <t>Canada -- Civilization -- British influences.; Canada -- History -- 19th century.; Canada -- History -- 20th century.; Canada -- Relations -- Great Britain.; Great Britain -- Relations -- Canada.; Nationalism -- Canada -- History.; Nationalisme -- Canada -- Histoire.</t>
  </si>
  <si>
    <t>http://public.eblib.com/choice/PublicFullRecord.aspx?p=3412400</t>
  </si>
  <si>
    <t>Defining Rights and Wrongs : Bureaucracy, Human Rights, and Public Accountability</t>
  </si>
  <si>
    <t>Langer, Rosanna L.</t>
  </si>
  <si>
    <t>JC599.C2 -- L36 2007eb</t>
  </si>
  <si>
    <t>353.4/80971</t>
  </si>
  <si>
    <t>Complaints (Administrative procedure) -- Canada.; Complaints (Administrative procedure) -- Ontario.; Human rights -- Canada -- Cases.; Human rights -- Canada.; Human rights -- Ontario -- Cases.; Human rights -- Ontario.; Ontario Human Rights Commission.</t>
  </si>
  <si>
    <t>http://public.eblib.com/choice/PublicFullRecord.aspx?p=3412401</t>
  </si>
  <si>
    <t>The Triumph of Citizenship : The Japanese and Chinese in Canada, 1941-67</t>
  </si>
  <si>
    <t>F1089.7.C5 -- R69 2007eb</t>
  </si>
  <si>
    <t>British Columbia -- Emigration and immigration -- Economic aspects.; British Columbia -- Emigration and immigration -- History.; British Columbia -- Politics and government.; British Columbia -- Race relations -- History.; Chinese -- British Columbia -- History.; Immigrants -- British Columbia -- History.; Japanese -- British Columbia -- History.</t>
  </si>
  <si>
    <t>http://public.eblib.com/choice/PublicFullRecord.aspx?p=3412402</t>
  </si>
  <si>
    <t>Resisting Manchukuo : Chinese Women Writers and the Japanese Occupation</t>
  </si>
  <si>
    <t>Smith, Norman</t>
  </si>
  <si>
    <t>PL2278 -- .S65 2007eb</t>
  </si>
  <si>
    <t>895.1/51099287</t>
  </si>
  <si>
    <t>Chinese literature -- Women authors -- History and criticism.; Electronic books. -- local; Manchuria (China) -- History -- 1931-1945.; Sino-Japanese War, 1937-1945 -- Women -- China -- Manchuria.; Women and literature -- China -- Manchuria -- History -- 20th century.; Women authors, Chinese -- 20th century -- Biography.; Women authors, Chinese -- China -- Manchuria -- Biography.</t>
  </si>
  <si>
    <t>http://public.eblib.com/choice/PublicFullRecord.aspx?p=3412403</t>
  </si>
  <si>
    <t>The Ermatingers : A 19th-Century Ojibwa-Canadian Family</t>
  </si>
  <si>
    <t>Stewart, W. Brian</t>
  </si>
  <si>
    <t>F1054.5.M89 -- M48 2007eb</t>
  </si>
  <si>
    <t>971.004/973330922</t>
  </si>
  <si>
    <t>Electronic books. -- local; Ermatinger family.; Métis -- Biography.; Métis -- Social conditions -- 19th century.</t>
  </si>
  <si>
    <t>http://public.eblib.com/choice/PublicFullRecord.aspx?p=3412404</t>
  </si>
  <si>
    <t>Betrayed : Scandal, Politics, and Canadian Naval Leadership</t>
  </si>
  <si>
    <t>Mayne, Richard O.</t>
  </si>
  <si>
    <t>V64.C22 -- M39 2006eb</t>
  </si>
  <si>
    <t>359.3/3041097109044</t>
  </si>
  <si>
    <t>Admirals -- Dismissal of -- Canada -- History -- 20th century.; Canada. -- Royal Canadian Navy -- Reserves -- Political activity -- History -- 20th century.; Civil-military relations -- Canada -- History -- 20th century.; Electronic books. -- local; Nelles, Percy Walker, -- 1892-1951 -- Military leadership.; World War, 1939-1945 -- Naval operations, Canadian.</t>
  </si>
  <si>
    <t>http://public.eblib.com/choice/PublicFullRecord.aspx?p=3412405</t>
  </si>
  <si>
    <t>States of Nature : Conserving Canada's Wildlife in the Twentieth Century</t>
  </si>
  <si>
    <t>Loo, Tina</t>
  </si>
  <si>
    <t>Economics; Science: Zoology; Environmental Studies; Science</t>
  </si>
  <si>
    <t>QL84.24 -- .L66 2006eb</t>
  </si>
  <si>
    <t>333.95/4160971</t>
  </si>
  <si>
    <t>Electronic books. -- local; Wildlife conservation -- Canada -- Citizen participation -- History.; Wildlife conservation -- Canada -- History.; Wildlife conservation -- Government policy -- Canada -- History.; Wildlife management -- Canada -- History.</t>
  </si>
  <si>
    <t>http://public.eblib.com/choice/PublicFullRecord.aspx?p=3412406</t>
  </si>
  <si>
    <t>Guarding the Gates : The Canadian Labour Movement and Immigration, 1872-1934</t>
  </si>
  <si>
    <t>Goutor, David</t>
  </si>
  <si>
    <t>HD6524 -- .G68 2007eb</t>
  </si>
  <si>
    <t>331.880971/09041</t>
  </si>
  <si>
    <t>Canada -- Emigration and immigration -- Government policy -- History.; Discrimination raciale -- Canada -- Histoire.; Foreign workers -- Canada -- History.; Immigrants -- Travail -- Canada -- Histoire.; Labor unions -- Canada -- History.; Race discrimination -- Canada -- History.; Syndicats -- Canada -- Histoire.</t>
  </si>
  <si>
    <t>http://public.eblib.com/choice/PublicFullRecord.aspx?p=3412407</t>
  </si>
  <si>
    <t>Discourses of Denial : Mediations of Race, Gender, and Violence</t>
  </si>
  <si>
    <t>Jiwani, Yasmin</t>
  </si>
  <si>
    <t>HV6250.4.W65 -- J58 2006eb</t>
  </si>
  <si>
    <t>305.48/800971</t>
  </si>
  <si>
    <t>Minority women -- Violence against -- Canada.; Race discrimination -- Canada.; Sex discrimination against women -- Canada.; Violence -- Canada.; Violence -- Press coverage -- Canada.; Violence envers les immigrantes -- Canada.; Women immigrants -- Violence against -- Canada.</t>
  </si>
  <si>
    <t>http://public.eblib.com/choice/PublicFullRecord.aspx?p=3412408</t>
  </si>
  <si>
    <t>Transnational Identities and Practices in Canada</t>
  </si>
  <si>
    <t>Satzewich, Vic; Wong, Lloyd</t>
  </si>
  <si>
    <t>F1035.A1 -- T73 2006eb</t>
  </si>
  <si>
    <t>Electronic books. -- local; Ethnic groups -- Canada.; Ethnicity -- Canada.; Immigrants -- Canada.; Multiculturalism -- Canada.; Transnationalism -- Political aspects -- Canada.; Transnationalism -- Social aspects -- Canada.</t>
  </si>
  <si>
    <t>http://public.eblib.com/choice/PublicFullRecord.aspx?p=3412409</t>
  </si>
  <si>
    <t>No Place to Go : Local Histories of the Battered Women’s Shelter Movement</t>
  </si>
  <si>
    <t>Janovicek, Nancy</t>
  </si>
  <si>
    <t>HV1448.C2 -- J35 2007eb</t>
  </si>
  <si>
    <t>362.82/92830971</t>
  </si>
  <si>
    <t>Abused women -- Services for -- Canada -- History.; Feminism -- Canada.; Indigenous women -- Services for -- Canada -- History.; Rural women -- Services for -- Canada -- History.; Women''s rights -- Canada.; Women''s shelters -- Canada -- Case studies.; Women''s shelters -- Canada -- History.</t>
  </si>
  <si>
    <t>http://public.eblib.com/choice/PublicFullRecord.aspx?p=3412410</t>
  </si>
  <si>
    <t>Dimensions of Inequality in Canada</t>
  </si>
  <si>
    <t>Green, David A.</t>
  </si>
  <si>
    <t>HN110.Z9 -- S623 2006eb</t>
  </si>
  <si>
    <t>Égalité (Sociologie) -- Canada.; Equality -- Canada.</t>
  </si>
  <si>
    <t>http://public.eblib.com/choice/PublicFullRecord.aspx?p=3412411</t>
  </si>
  <si>
    <t>Myth and Memory : Stories of Indigenous-European Contact</t>
  </si>
  <si>
    <t>Lutz, John Sutton; Binney, Judith ; Dauenhauer, Nora Marks ; Maclaren, I. S.</t>
  </si>
  <si>
    <t>E98.F39 -- M97 2007eb</t>
  </si>
  <si>
    <t>Acculturation.; Altérité -- Aspect social.; Autochtones -- Amérique du Nord.; Indian mythology -- North America.; Indians of North America -- First contact with Europeans.; Indians of North America -- Historiography.; Mythologie indienne d''Amérique.</t>
  </si>
  <si>
    <t>http://public.eblib.com/choice/PublicFullRecord.aspx?p=3412412</t>
  </si>
  <si>
    <t>Adaptive Co-Management : Collaboration, Learning, and Multi-Level Governance</t>
  </si>
  <si>
    <t>Armitage, Derek; Doubleday, Nancy</t>
  </si>
  <si>
    <t>S944 -- .A33 2007eb</t>
  </si>
  <si>
    <t>Adaptive natural resource management -- Case studies.; Adaptive natural resource management.; Cultural property -- Protection.; Electronic books. -- local; Fishery co-management.; Natural resources -- Co-management.</t>
  </si>
  <si>
    <t>http://public.eblib.com/choice/PublicFullRecord.aspx?p=3412413</t>
  </si>
  <si>
    <t>Battle Grounds : The Canadian Military and Aboriginal Lands</t>
  </si>
  <si>
    <t>Lackenbauer, P. Whitney</t>
  </si>
  <si>
    <t>E78.C2 -- L32 2007eb</t>
  </si>
  <si>
    <t>Canada -- History, Military.; Indians of North America -- Canada -- Claims.; Indians of North America -- Canada -- Government relations.; Indians of North America -- Land tenure -- Canada.</t>
  </si>
  <si>
    <t>http://public.eblib.com/choice/PublicFullRecord.aspx?p=3412414</t>
  </si>
  <si>
    <t>Critical Policy Studies</t>
  </si>
  <si>
    <t>Orsini, Michael</t>
  </si>
  <si>
    <t>JL86.P64 -- C75 2007eb</t>
  </si>
  <si>
    <t>Political planning -- Canada.; Politique publique -- Canada.</t>
  </si>
  <si>
    <t>http://public.eblib.com/choice/PublicFullRecord.aspx?p=3412415</t>
  </si>
  <si>
    <t>Judicial Decision Making in Child Sexual Abuse Cases</t>
  </si>
  <si>
    <t>Wright, Margaret M.</t>
  </si>
  <si>
    <t>KE8926 -- .W75 2007eb</t>
  </si>
  <si>
    <t>Abus sexuels à l''égard des enfants -- Canada -- Droit -- Jurisprudence.; Abus sexuels à l''égard des enfants -- Droit -- Canada.; Abus sexuels à l''égard des enfants -- Ontario -- Droit -- Jurisprudence.; Child sexual abuse -- Canada -- Cases.; Child sexual abuse -- Canada.; Judicial process -- Canada.; Processus judiciaire -- Canada.</t>
  </si>
  <si>
    <t>http://public.eblib.com/choice/PublicFullRecord.aspx?p=3412416</t>
  </si>
  <si>
    <t>Multicultural Education Policies in Canada and the United States</t>
  </si>
  <si>
    <t>Joshee, Reva</t>
  </si>
  <si>
    <t>LC1099.5.C2 -- M854 2007eb</t>
  </si>
  <si>
    <t>Multicultural education -- Canada.; Multicultural education -- United States.</t>
  </si>
  <si>
    <t>http://public.eblib.com/choice/PublicFullRecord.aspx?p=3412417</t>
  </si>
  <si>
    <t>Bar Codes : Women in the Legal Profession</t>
  </si>
  <si>
    <t>Leiper, Jean McKenzie</t>
  </si>
  <si>
    <t>KE332.W6 -- L45 2006eb</t>
  </si>
  <si>
    <t>305.43/349713</t>
  </si>
  <si>
    <t>Sex role in the work environment -- Ontario.; Women lawyers -- Ontario -- Social conditions.</t>
  </si>
  <si>
    <t>http://public.eblib.com/choice/PublicFullRecord.aspx?p=3412418</t>
  </si>
  <si>
    <t>Cinematic Howling : Women's Films, Women's Film Theories</t>
  </si>
  <si>
    <t>Cheu, Hoi</t>
  </si>
  <si>
    <t>PN1995.9.W6 -- C494 2007eb</t>
  </si>
  <si>
    <t>Feminism and motion pictures.; Feminist film criticism.; Feminist films -- History and criticism.; Women motion picture producers and directors.; Women screenwriters.</t>
  </si>
  <si>
    <t>http://public.eblib.com/choice/PublicFullRecord.aspx?p=3412419</t>
  </si>
  <si>
    <t>Kiumajut (Talking Back) : Game Management and Inuit Rights, 1900-70</t>
  </si>
  <si>
    <t>Kulchyski, Peter; Tester, Frank James</t>
  </si>
  <si>
    <t>E99.E7 -- K85 2007eb</t>
  </si>
  <si>
    <t>971.9004/97</t>
  </si>
  <si>
    <t>Community development -- Canada, Northern -- History -- 20th century.; Hunting -- Government policy -- Canada, Northern -- History.; Inuit -- Canada -- Government relations.; Inuit -- Hunting -- Canada -- History -- 20th century.; Wildlife management -- Canada, Northern -- History.; Wildlife management -- Government policy -- Canada, Northern -- History.; Wildlife research -- Canada, Northern -- History -- 20th century.</t>
  </si>
  <si>
    <t>http://public.eblib.com/choice/PublicFullRecord.aspx?p=3412420</t>
  </si>
  <si>
    <t>Organizing the Transnational : Labour, Politics, and Social Change</t>
  </si>
  <si>
    <t>Goldring, Luin; Krishnamurti, Sailaja</t>
  </si>
  <si>
    <t>HD8108.5.A2 -- O73 2007eb</t>
  </si>
  <si>
    <t>303.48/271</t>
  </si>
  <si>
    <t>Asians -- Canada.; Community organization -- Canada.; Ethnicity -- Canada.; Immigrants -- Canada.; Latin Americans -- Canada.; Social change -- Canada.; Transnationalism.</t>
  </si>
  <si>
    <t>http://public.eblib.com/choice/PublicFullRecord.aspx?p=3412421</t>
  </si>
  <si>
    <t>Gandharan Buddhism : Archaeology, Art, and Texts</t>
  </si>
  <si>
    <t>Behrendt, Kurt; Brancaccio, Pia</t>
  </si>
  <si>
    <t>BQ286 -- .G35 2006eb</t>
  </si>
  <si>
    <t>Art, Gandhara.; Buddhism -- Gandhara (Pakistan and Afghanistan) -- History.; Buddhist art -- Gandhara (Pakistan and Afghanistan); Gandhara (Pakistan and Afghanistan) -- Antiquities.; Relics -- Gandhara (Pakistan and Afghanistan)</t>
  </si>
  <si>
    <t>http://public.eblib.com/choice/PublicFullRecord.aspx?p=3412422</t>
  </si>
  <si>
    <t>Fighting from Home : The Second World War in Verdun, Quebec</t>
  </si>
  <si>
    <t>Durflinger, Serge</t>
  </si>
  <si>
    <t>D768.154.V47 -- D87 2006eb</t>
  </si>
  <si>
    <t>Verdun (Québec) -- History -- 20th century.; World War, 1939-1945 -- Québec (Province) -- Verdun.; World War, 1939-1945 -- War work -- Québec (Province) -- Verdun.</t>
  </si>
  <si>
    <t>http://public.eblib.com/choice/PublicFullRecord.aspx?p=3412423</t>
  </si>
  <si>
    <t>Nutrition Policy in Canada, 1870-1939</t>
  </si>
  <si>
    <t>Ostry, Aleck Samuel</t>
  </si>
  <si>
    <t>TX360.C3 -- O95 2006eb</t>
  </si>
  <si>
    <t>Electronic books. -- local; Food industry and trade -- Canada -- Safety measures -- History.; Food industry and trade -- Standards -- Canada -- History.; Nutrition policy -- Canada -- History.</t>
  </si>
  <si>
    <t>http://public.eblib.com/choice/PublicFullRecord.aspx?p=3412424</t>
  </si>
  <si>
    <t>Switchbacks : Art, Ownership, and Nuxalk National Identity</t>
  </si>
  <si>
    <t>Kramer, Jennifer</t>
  </si>
  <si>
    <t>E99.B39 -- K73 2006eb</t>
  </si>
  <si>
    <t>971.1/10049794</t>
  </si>
  <si>
    <t>Art bella coola.; Bella Coola (Indiens) -- Culture matérielle.; Bella Coola (Indiens) -- Identité ethnique.; Bella Coola art.; Bella Coola Indians -- Ethnic identity.; Bella Coola Indians -- Material culture.; Cultural property -- Repatriation -- British Columbia -- Bella Coola River Region.</t>
  </si>
  <si>
    <t>http://public.eblib.com/choice/PublicFullRecord.aspx?p=3412425</t>
  </si>
  <si>
    <t>Courts</t>
  </si>
  <si>
    <t>Canadian Democratic Audit</t>
  </si>
  <si>
    <t>Greene, Ian</t>
  </si>
  <si>
    <t>KF8719 -- G74 2006eb</t>
  </si>
  <si>
    <t>347.71/01</t>
  </si>
  <si>
    <t>Court administration -- Canada.; Courts -- Canada.; Electronic books. -- local; Judgments -- Canada.; Judicial power -- Canada.; Justice, Administration of -- Canada.; Justice, Administration of -- Political aspects -- Canada.</t>
  </si>
  <si>
    <t>http://public.eblib.com/choice/PublicFullRecord.aspx?p=3412426</t>
  </si>
  <si>
    <t>Manly Modern : Masculinity in Postwar Canada</t>
  </si>
  <si>
    <t>Dummitt, Christopher</t>
  </si>
  <si>
    <t>HQ1090.7.C2 -- D85 2007eb</t>
  </si>
  <si>
    <t>305.310971/094045</t>
  </si>
  <si>
    <t>Canada -- Civilization -- 20th century.; Masculinity -- Social aspects -- British Columbia -- Vancouver -- History -- 20th century -- Case studies.; Masculinity -- Social aspects -- Canada -- History -- 20th century.; Men -- British Columbia -- Vancouver -- Social conditions -- 20th century -- Case studies.; Men -- Canada -- Social conditions -- 20th century.</t>
  </si>
  <si>
    <t>http://public.eblib.com/choice/PublicFullRecord.aspx?p=3412427</t>
  </si>
  <si>
    <t>Sex Workers in the Maritimes Talk Back</t>
  </si>
  <si>
    <t>HQ149.M37 -- J44 2006eb</t>
  </si>
  <si>
    <t>Prostitutes -- Maritime Provinces.; Prostitutes -- New Brunswick.; Prostitutes -- Nova Scotia.</t>
  </si>
  <si>
    <t>http://public.eblib.com/choice/PublicFullRecord.aspx?p=3412428</t>
  </si>
  <si>
    <t>Tibet and Nationalist China’s Frontier : Intrigues and Ethnopolitics, 1928-49</t>
  </si>
  <si>
    <t>Lin, Hsiao-ting</t>
  </si>
  <si>
    <t>DS785 -- .L56 2006eb</t>
  </si>
  <si>
    <t>327.51051/509041</t>
  </si>
  <si>
    <t>China -- Foreign relations -- 1912-1949.; China -- Politics and government -- 1928-1937.; China -- Politics and government -- 1937-1945.; China -- Politics and government -- 1945-1949.; China -- Relations -- China -- Tibet Autonomous Region.; International relations.; Tibet Autonomous Region (China) -- Relations -- China.</t>
  </si>
  <si>
    <t>http://public.eblib.com/choice/PublicFullRecord.aspx?p=3412429</t>
  </si>
  <si>
    <t>Canadians on the Nile</t>
  </si>
  <si>
    <t>DT156.6 -- .M3 1978eb</t>
  </si>
  <si>
    <t>962.4/03</t>
  </si>
  <si>
    <t>Canadians -- Sudan -- History.; Sudan -- History -- 1821-1881.</t>
  </si>
  <si>
    <t>http://public.eblib.com/choice/PublicFullRecord.aspx?p=3412430</t>
  </si>
  <si>
    <t>Sam Selvon's Dialectical Style and Fictional Strategy</t>
  </si>
  <si>
    <t>Wyke, Clement H.</t>
  </si>
  <si>
    <t>PR9272.9.S4 -- Z93 1991eb</t>
  </si>
  <si>
    <t>Dialect literature, English -- Trinidad and Tobago -- History and criticism.; Selvon, Samuel -- Criticism and interpretation.; Trinidadian and Tobagonian literature.</t>
  </si>
  <si>
    <t>http://public.eblib.com/choice/PublicFullRecord.aspx?p=3412431</t>
  </si>
  <si>
    <t>Canada Home : Juliana Horatia Ewing's Fredericton Letters, 1867-1869</t>
  </si>
  <si>
    <t>Pioneers of British Columbia</t>
  </si>
  <si>
    <t>Blom, Thomas E.; Blom, Thomas E.</t>
  </si>
  <si>
    <t>PR4699.E85 -- Z48 1983eb</t>
  </si>
  <si>
    <t>Authors, English -- 19th century -- Correspondence.; Authors, English -- 19th century -- Homes and haunts -- New Brunswick -- Fredericton.; Ewing, Juliana Horatia Gatty, -- 1841-1885 -- Correspondence.; Ewing, Juliana Horatia Gatty, -- 1841-1885 -- Homes and haunts -- New Brunswick -- Fredericton.; Fredericton (N.B.) -- Social life and customs.</t>
  </si>
  <si>
    <t>http://public.eblib.com/choice/PublicFullRecord.aspx?p=3412432</t>
  </si>
  <si>
    <t>The Chinese in Cambodia</t>
  </si>
  <si>
    <t>Willmott, William E.</t>
  </si>
  <si>
    <t>DS557.C242 -- W5 1967eb</t>
  </si>
  <si>
    <t>301.453/51/0596</t>
  </si>
  <si>
    <t>Chinese -- Cambodia.</t>
  </si>
  <si>
    <t>http://public.eblib.com/choice/PublicFullRecord.aspx?p=3412433</t>
  </si>
  <si>
    <t>Varieties of Exile : The Canadian Experience</t>
  </si>
  <si>
    <t>Dahlie, Hallvard</t>
  </si>
  <si>
    <t>PR9185.5.E93 -- D34 1986eb</t>
  </si>
  <si>
    <t>810/.9/353</t>
  </si>
  <si>
    <t>Canadian literature -- History and criticism.; Exiles in literature.; Exiles'' writings, Canadian -- History and criticism.</t>
  </si>
  <si>
    <t>http://public.eblib.com/choice/PublicFullRecord.aspx?p=3412434</t>
  </si>
  <si>
    <t>Bill Reid : Beyond the Essential Form</t>
  </si>
  <si>
    <t>Duffek, Karen</t>
  </si>
  <si>
    <t>NB249.R45 -- A4 1986eb</t>
  </si>
  <si>
    <t>Reid, Bill, -- 1920-1998 -- Exhibitions.</t>
  </si>
  <si>
    <t>http://public.eblib.com/choice/PublicFullRecord.aspx?p=3412435</t>
  </si>
  <si>
    <t>Islands of Truth : The Imperial Fashioning of Vancouver Island</t>
  </si>
  <si>
    <t>Clayton, Daniel</t>
  </si>
  <si>
    <t>F1089.V3 -- C53 2000eb</t>
  </si>
  <si>
    <t>Indians of North America -- British Columbia -- Vancouver Island -- History.; Vancouver Island (B.C.) -- Discovery and exploration.; Vancouver Island (B.C.) -- Historiography.; Vancouver Island (B.C.) -- History.</t>
  </si>
  <si>
    <t>http://public.eblib.com/choice/PublicFullRecord.aspx?p=3412436</t>
  </si>
  <si>
    <t>God's Galloping Girl : The Peace River Diaries of Monica Storrs, 1929-1931</t>
  </si>
  <si>
    <t>Morton, W.L.</t>
  </si>
  <si>
    <t>F1089.P3 -- S8 1979eb</t>
  </si>
  <si>
    <t>971.1/1</t>
  </si>
  <si>
    <t>Anglicans -- Peace River Region (B.C. and Alta.) -- Diaries.; Frontier and pioneer life -- Peace River Region (B.C. and Alta.); Peace River Region (B.C. and Alta.) -- Biography.; Pioneers -- Peace River Region (B.C. and Alta.) -- Diaries.; Storrs, Monica, -- 1888-1967 -- Diaries.</t>
  </si>
  <si>
    <t>http://public.eblib.com/choice/PublicFullRecord.aspx?p=3412437</t>
  </si>
  <si>
    <t>Natural Resource Revenues : A Test of Federalism</t>
  </si>
  <si>
    <t>Scott, Anthony</t>
  </si>
  <si>
    <t>HJ795.A1 -- N37 1976eb</t>
  </si>
  <si>
    <t>336.2/78/3338</t>
  </si>
  <si>
    <t>Intergovernmental fiscal relations -- Canada -- Congresses.; Natural resources -- Taxation -- Canada -- Congresses.; Revenue sharing -- Canada -- Congresses.</t>
  </si>
  <si>
    <t>http://public.eblib.com/choice/PublicFullRecord.aspx?p=3412438</t>
  </si>
  <si>
    <t>Pacific Rim : Investment, Development and Trade</t>
  </si>
  <si>
    <t>Nemetz, Peter N.</t>
  </si>
  <si>
    <t>HF4030.7 -- .P33 1990eb</t>
  </si>
  <si>
    <t>Investments, Foreign -- Pacific Area.; Pacific Area -- Commerce.; Pacific Area -- Economic conditions.; Power resources -- Pacific Area.</t>
  </si>
  <si>
    <t>http://public.eblib.com/choice/PublicFullRecord.aspx?p=3412439</t>
  </si>
  <si>
    <t>Planning and Building Down Under : New Settlement Strategy and Current Architectural Practice in Australia</t>
  </si>
  <si>
    <t>Human Settlement Issues Series</t>
  </si>
  <si>
    <t>Seidler, Harry</t>
  </si>
  <si>
    <t>HT169.A8 -- S43 1978eb</t>
  </si>
  <si>
    <t>309.2/62/0994</t>
  </si>
  <si>
    <t>Architecture -- Australia.; City planning -- Australia.; Regional planning -- Australia.</t>
  </si>
  <si>
    <t>http://public.eblib.com/choice/PublicFullRecord.aspx?p=3412440</t>
  </si>
  <si>
    <t>Canadian Yearbook of International Law, 1998 : Annuaire Canadien de Droit International</t>
  </si>
  <si>
    <t>McRae, Donald M.; McRae, D M</t>
  </si>
  <si>
    <t>KZ21 -- .C36 1999eb</t>
  </si>
  <si>
    <t>International law.</t>
  </si>
  <si>
    <t>http://public.eblib.com/choice/PublicFullRecord.aspx?p=3412441</t>
  </si>
  <si>
    <t>RCN in Transition, 1910-1985</t>
  </si>
  <si>
    <t>Douglas, W.A.B.</t>
  </si>
  <si>
    <t>VA400 -- .R39 1988eb</t>
  </si>
  <si>
    <t>359/.00971</t>
  </si>
  <si>
    <t>Canada. -- Royal Canadian Navy -- History -- 20th century.</t>
  </si>
  <si>
    <t>http://public.eblib.com/choice/PublicFullRecord.aspx?p=3412442</t>
  </si>
  <si>
    <t>The Love of a Prince : Bonnie Prince Charlie in France 1744-1748</t>
  </si>
  <si>
    <t>DA814.A5 -- B66 1986eb</t>
  </si>
  <si>
    <t>Charles Edward, -- Prince, grandson of James II, King of England, -- 1720-1788.; Electronic books. -- local; Jacobite Rebellion, 1745-1746.; Montbazon, Louise de Rohan, -- duchesse de, -- 1725-1781.</t>
  </si>
  <si>
    <t>http://public.eblib.com/choice/PublicFullRecord.aspx?p=3412443</t>
  </si>
  <si>
    <t>The Inner Bird : Anatomy and Evolution</t>
  </si>
  <si>
    <t>Kaiser, Gary W.</t>
  </si>
  <si>
    <t>Science: Biology/Natural History; Science; Science: Zoology</t>
  </si>
  <si>
    <t>QL697 -- .K35 2007eb</t>
  </si>
  <si>
    <t>Birds -- Anatomy.; Birds -- Classification.; Birds -- Evolution.; Birds -- Flight.; Electronic books. -- local</t>
  </si>
  <si>
    <t>http://public.eblib.com/choice/PublicFullRecord.aspx?p=3412444</t>
  </si>
  <si>
    <t>Atlas of British Columbia</t>
  </si>
  <si>
    <t>Farley, A.L.</t>
  </si>
  <si>
    <t>G1170 -- .F37 1979eb</t>
  </si>
  <si>
    <t>British Columbia -- Maps, Physical.; British Columbia -- Maps.; British Columbia -- Population -- Maps.; Electronic books. -- local; Geography -- British Columbia.</t>
  </si>
  <si>
    <t>http://public.eblib.com/choice/PublicFullRecord.aspx?p=3412445</t>
  </si>
  <si>
    <t>Advances in Research and Services for Children with P.R. Special Needs</t>
  </si>
  <si>
    <t>Schwartz, Geraldine</t>
  </si>
  <si>
    <t>HV888 -- .A39 1983eb</t>
  </si>
  <si>
    <t>Children with disabilities -- Canada -- Congresses.; Children with disabilities -- Congresses.; Electronic books. -- local; People with disabilities -- Services for -- Congresses.</t>
  </si>
  <si>
    <t>http://public.eblib.com/choice/PublicFullRecord.aspx?p=3412446</t>
  </si>
  <si>
    <t>Canada's Community Colleges : A Critical Analysis</t>
  </si>
  <si>
    <t>Dennison, John D.; Gallagher, Paul</t>
  </si>
  <si>
    <t>LB2328 -- .D38 1986eb</t>
  </si>
  <si>
    <t>Community colleges -- Canada.; Electronic books. -- local; Public universities and colleges -- Canada.</t>
  </si>
  <si>
    <t>http://public.eblib.com/choice/PublicFullRecord.aspx?p=3412447</t>
  </si>
  <si>
    <t>Un/Covering the North : News, Media, and Aboriginal People</t>
  </si>
  <si>
    <t>Alia, Valerie</t>
  </si>
  <si>
    <t>E78.C2 -- A45 1999eb</t>
  </si>
  <si>
    <t>Electronic books. -- local; Indian mass media -- Canada, Northern.; Indigenous peoples and mass media -- Canada, Northern.; Mass media -- Canada, Northern.</t>
  </si>
  <si>
    <t>http://public.eblib.com/choice/PublicFullRecord.aspx?p=3412448</t>
  </si>
  <si>
    <t>Canadian Urban Growth Trends : Implications for a National Settlements Policy</t>
  </si>
  <si>
    <t>Human Settlement Issues</t>
  </si>
  <si>
    <t>Robinson, Ira M.</t>
  </si>
  <si>
    <t>HT127 -- .R6eb</t>
  </si>
  <si>
    <t>Cities and towns -- Canada -- Growth.; Electronic books. -- local; Land settlement patterns -- Canada.; Urban policy -- Canada.; Urbanization -- Canada.</t>
  </si>
  <si>
    <t>http://public.eblib.com/choice/PublicFullRecord.aspx?p=3412449</t>
  </si>
  <si>
    <t>The Mysteries of Montreal : Memoirs of a Midwife by Charlotte Fuhrer</t>
  </si>
  <si>
    <t>PR9199.2.F84 -- M9 1984eb</t>
  </si>
  <si>
    <t>Canadian literature.; Electronic books. -- local; Midwifery -- Canada.</t>
  </si>
  <si>
    <t>http://public.eblib.com/choice/PublicFullRecord.aspx?p=3412450</t>
  </si>
  <si>
    <t>Law and Citizenship</t>
  </si>
  <si>
    <t>K3224 -- .L39 2006eb</t>
  </si>
  <si>
    <t>342.08/3</t>
  </si>
  <si>
    <t>Citizenship.; Electronic books. -- local; Globalization -- Political aspects.; Globalization -- Social aspects.</t>
  </si>
  <si>
    <t>http://public.eblib.com/choice/PublicFullRecord.aspx?p=3412451</t>
  </si>
  <si>
    <t>The Great War of Words : British, American and Canadian Propaganda and Fiction, 1914-1933</t>
  </si>
  <si>
    <t>Buitenhuis, Peter</t>
  </si>
  <si>
    <t>D639.P6 -- B85 1987eb</t>
  </si>
  <si>
    <t>Electronic books. -- local; English literature -- 20th century -- History and criticism.; Propaganda, American.; Propaganda, British.; Propaganda, Canadian.; World War, 1914-1918 -- Literature and the war.; World War, 1914-1918 -- Propaganda.</t>
  </si>
  <si>
    <t>http://public.eblib.com/choice/PublicFullRecord.aspx?p=3412452</t>
  </si>
  <si>
    <t>The Political Economy of Productivity : Thai Agricultural Development, 1880-1975</t>
  </si>
  <si>
    <t>Feeny, David H.</t>
  </si>
  <si>
    <t>HC445 -- .F43 1982eb</t>
  </si>
  <si>
    <t>Agriculture -- Economic aspects -- Thailand -- History.; Electronic books. -- local; Thailand -- Economic conditions.</t>
  </si>
  <si>
    <t>http://public.eblib.com/choice/PublicFullRecord.aspx?p=3412453</t>
  </si>
  <si>
    <t>Journeys to the Japanese, 1952-1979</t>
  </si>
  <si>
    <t>White, Lucia; White, Morton</t>
  </si>
  <si>
    <t>DS811 -- .W45 1986eb</t>
  </si>
  <si>
    <t>Electronic books. -- local; Japan -- Civilization -- 1945-; Japan -- Description and travel.; Japan -- History -- 1945-; White, Lucia -- Travel -- Japan.; White, Morton Gabriel, -- 1917- -- Travel -- Japan.</t>
  </si>
  <si>
    <t>http://public.eblib.com/choice/PublicFullRecord.aspx?p=3412454</t>
  </si>
  <si>
    <t>Vancouver Past : Essays in Social History</t>
  </si>
  <si>
    <t>McDonald, Robert A. J.</t>
  </si>
  <si>
    <t>HN110.V36 -- V36 1986eb</t>
  </si>
  <si>
    <t>Electronic books. -- local; Vancouver (B.C.) -- History.; Vancouver (B.C.) -- Social conditions.</t>
  </si>
  <si>
    <t>http://public.eblib.com/choice/PublicFullRecord.aspx?p=3412455</t>
  </si>
  <si>
    <t>Politics of Agricultural Co-Operativism : Peru, 1969-1983</t>
  </si>
  <si>
    <t>Korovkin, Tanya</t>
  </si>
  <si>
    <t>HD1491.P4 -- K67 1990eb</t>
  </si>
  <si>
    <t>Agriculture and state -- Peru -- History -- 20th century.; Agriculture, Cooperative -- Peru -- History -- 20th century.; Cotton growing -- Peru -- History -- 20th century.; Electronic books. -- local</t>
  </si>
  <si>
    <t>http://public.eblib.com/choice/PublicFullRecord.aspx?p=3412456</t>
  </si>
  <si>
    <t>Land : The Central Human Settlement Issue</t>
  </si>
  <si>
    <t>Oberlander, H. Peter</t>
  </si>
  <si>
    <t>HD7287.96.D44 -- O24 1985eb</t>
  </si>
  <si>
    <t>Electronic books. -- local; Human settlements -- Developing countries.; Land use, Urban -- Developing countries.; Squatter settlements -- Developing countries.; Urban poor -- Housing -- Developing countries.</t>
  </si>
  <si>
    <t>http://public.eblib.com/choice/PublicFullRecord.aspx?p=3412457</t>
  </si>
  <si>
    <t>Thomas Hobbes : The Unity of Scientific and Moral Wisdom</t>
  </si>
  <si>
    <t>Herbert, Gary B.</t>
  </si>
  <si>
    <t>B1247 -- .H47 1989eb</t>
  </si>
  <si>
    <t>Electronic books. -- local; Hobbes, Thomas, -- 1588-1679.; Philosophy, Modern.</t>
  </si>
  <si>
    <t>http://public.eblib.com/choice/PublicFullRecord.aspx?p=3412458</t>
  </si>
  <si>
    <t>The Origins of Canadian Politics : A Comparative Approach</t>
  </si>
  <si>
    <t>Stewart, Gordon T.</t>
  </si>
  <si>
    <t>JL75 -- .S75 1986eb</t>
  </si>
  <si>
    <t>Canada -- Politics and government.; Comparative government.; Electronic books. -- local</t>
  </si>
  <si>
    <t>http://public.eblib.com/choice/PublicFullRecord.aspx?p=3412459</t>
  </si>
  <si>
    <t>Visitors Who Never Left : The Origin of the People of Damelahamid</t>
  </si>
  <si>
    <t>Harris, Kenneth B.; Robinson, Frances M.</t>
  </si>
  <si>
    <t>E99.K55 -- V57 1974eb</t>
  </si>
  <si>
    <t>Electronic books. -- local; Gitksan Indians -- Folklore.; Gitksan mythology.</t>
  </si>
  <si>
    <t>http://public.eblib.com/choice/PublicFullRecord.aspx?p=3412460</t>
  </si>
  <si>
    <t>Robertson Davies, Playwright : A Search for the Self on the Canadian Stage</t>
  </si>
  <si>
    <t>Stone-Blackburn, Susan</t>
  </si>
  <si>
    <t>PR9199.3.D3 -- Z8 1985eb</t>
  </si>
  <si>
    <t>Canada -- In literature.; Davies, Robertson, -- 1913-1995 -- Dramatic works.; Didactic drama, Canadian -- History and criticism.; Drama -- Psychological aspects.; Electronic books. -- local; Self in literature.</t>
  </si>
  <si>
    <t>http://public.eblib.com/choice/PublicFullRecord.aspx?p=3412461</t>
  </si>
  <si>
    <t>Canadian Writers in 1984</t>
  </si>
  <si>
    <t>PR9189.6 -- .C335 1984eb</t>
  </si>
  <si>
    <t>810/.8/0054</t>
  </si>
  <si>
    <t>Authorship.; Canadian literature -- 20th century -- History and criticism.; Canadian poetry -- 20th century.; Electronic books. -- local</t>
  </si>
  <si>
    <t>http://public.eblib.com/choice/PublicFullRecord.aspx?p=3412462</t>
  </si>
  <si>
    <t>The Early Greek Poets and Their Times</t>
  </si>
  <si>
    <t>Podlecki, Anthony J.</t>
  </si>
  <si>
    <t>PA3110 -- .P63 1984eb</t>
  </si>
  <si>
    <t>881/.01/09</t>
  </si>
  <si>
    <t>Electronic books. -- local; Greek poetry -- History and criticism.; Literature and society -- Greece.; Lyric poetry -- History and criticism.; Poets, Greek -- Biography.</t>
  </si>
  <si>
    <t>http://public.eblib.com/choice/PublicFullRecord.aspx?p=3412463</t>
  </si>
  <si>
    <t>Public Funds, Private Provision : The Role of the Voluntary Sector</t>
  </si>
  <si>
    <t>Rekart, Josephine</t>
  </si>
  <si>
    <t>HN110.Z9 -- V64 1993eb</t>
  </si>
  <si>
    <t>Electronic books. -- local; Social service -- Government policy -- British Columbia.; Voluntarism -- British Columbia.</t>
  </si>
  <si>
    <t>http://public.eblib.com/choice/PublicFullRecord.aspx?p=3412464</t>
  </si>
  <si>
    <t>Canadian Foreign Policy and the Law of Sea</t>
  </si>
  <si>
    <t>Johnson, Barbara; Zacher, Mark W.</t>
  </si>
  <si>
    <t>JX4422.C2 -- C36 1977eb</t>
  </si>
  <si>
    <t>Maritime law -- Canada.; United Nations Conference on the Law of the Sea -- (3rd : -- 1973-1982)</t>
  </si>
  <si>
    <t>http://public.eblib.com/choice/PublicFullRecord.aspx?p=3412465</t>
  </si>
  <si>
    <t>Russian Shadows on the British Northwest Coast of North America, 1810-1890 : A Study of Rejection of Defence Responsibilities</t>
  </si>
  <si>
    <t>F1088 -- .B25 1983eb</t>
  </si>
  <si>
    <t>Canada -- Military relations -- Soviet Union.; Electronic books. -- local; Pacific Coast (B.C.) -- History, Military.; Russians -- British Columbia -- Pacific Coast -- History -- 19th century.; Soviet Union -- Military relations -- Canada.</t>
  </si>
  <si>
    <t>http://public.eblib.com/choice/PublicFullRecord.aspx?p=3412466</t>
  </si>
  <si>
    <t>Private Eye : Observing Snow Geese</t>
  </si>
  <si>
    <t>Burns, Mary</t>
  </si>
  <si>
    <t>QL696.A52 -- B89 1996eb</t>
  </si>
  <si>
    <t>Anser.; Electronic books. -- local; Snow goose.</t>
  </si>
  <si>
    <t>http://public.eblib.com/choice/PublicFullRecord.aspx?p=3412467</t>
  </si>
  <si>
    <t>The Myth of the North American City : Continentalism Challenged</t>
  </si>
  <si>
    <t>Goldberg, Michael; Mercer, John</t>
  </si>
  <si>
    <t>HT127 -- .G65 1986eb</t>
  </si>
  <si>
    <t>Cities and towns -- Canada.; Cities and towns -- United States.; Urban policy -- Canada.; Urban policy -- United States.</t>
  </si>
  <si>
    <t>http://public.eblib.com/choice/PublicFullRecord.aspx?p=3412468</t>
  </si>
  <si>
    <t>Processing Varieties in English : An Examination of Oral and Written Speech across Genres</t>
  </si>
  <si>
    <t>Macaulay, Marcia</t>
  </si>
  <si>
    <t>PE1074.7 -- .M33 1990eb</t>
  </si>
  <si>
    <t>Electronic books. -- local; English language -- Variation.; Literary form.; Oral communication.; Speech acts (Linguistics); Written communication.</t>
  </si>
  <si>
    <t>http://public.eblib.com/choice/PublicFullRecord.aspx?p=3412469</t>
  </si>
  <si>
    <t>Challenge of Child Welfare</t>
  </si>
  <si>
    <t>Levitt, Kenneth L.; Wharf, Brian</t>
  </si>
  <si>
    <t>HV745.A6 -- C43 1985eb</t>
  </si>
  <si>
    <t>Child welfare -- Canada.; Electronic books. -- local; Public welfare -- Canada.</t>
  </si>
  <si>
    <t>http://public.eblib.com/choice/PublicFullRecord.aspx?p=3412470</t>
  </si>
  <si>
    <t>The Voyage that Never Ends : Malcolm Lowry's Fiction</t>
  </si>
  <si>
    <t>PR6023.O96 -- Z65 1982eb</t>
  </si>
  <si>
    <t>Lowry, Malcolm, -- 1909-1957 -- Criticism and interpretation.</t>
  </si>
  <si>
    <t>http://public.eblib.com/choice/PublicFullRecord.aspx?p=3412471</t>
  </si>
  <si>
    <t>Manlike Monsters on Trial : Early Records and Modern Evidence</t>
  </si>
  <si>
    <t>Ames, Michael; Halpin, Marjorie M.</t>
  </si>
  <si>
    <t>General Works/Reference; Science; Science: Zoology</t>
  </si>
  <si>
    <t>QL89.2.S2 -- M36 1980eb</t>
  </si>
  <si>
    <t>Electronic books. -- local; Monsters -- Congresses.; Sasquatch -- Congresses.; Yeti -- Congresses.</t>
  </si>
  <si>
    <t>http://public.eblib.com/choice/PublicFullRecord.aspx?p=3412472</t>
  </si>
  <si>
    <t>Sinews of Survival : The Living Legacy of Inuit Clothing</t>
  </si>
  <si>
    <t>Issenman, Betty Kobayashi</t>
  </si>
  <si>
    <t>E99.E7 -- I87 1997eb</t>
  </si>
  <si>
    <t>391/.008997</t>
  </si>
  <si>
    <t>Electronic books. -- local; Eskimos -- Clothing.; Inuit -- Clothing.</t>
  </si>
  <si>
    <t>http://public.eblib.com/choice/PublicFullRecord.aspx?p=3412473</t>
  </si>
  <si>
    <t>Reminiscences of Doctor John Sebastian Helmcken</t>
  </si>
  <si>
    <t>Blakey-Smith, Dorothy</t>
  </si>
  <si>
    <t>F1088 -- .H44 1975eb</t>
  </si>
  <si>
    <t>British Columbia -- Politics and government.; Electronic books. -- local; Helmcken, John Sebastian, -- 1824-1920.; Legislators -- British Columbia -- Biography.; Pioneers -- British Columbia -- Biography.</t>
  </si>
  <si>
    <t>http://public.eblib.com/choice/PublicFullRecord.aspx?p=3412474</t>
  </si>
  <si>
    <t>Life Spaces : Gender, Household, Employment</t>
  </si>
  <si>
    <t>HT169.C3 -- L54 1988eb</t>
  </si>
  <si>
    <t>Cities and towns -- Canada.; Electronic books. -- local; Feminism.; Sociology, Urban -- Canada.; Women -- Employment -- Canada.; Women and city planning -- Canada.</t>
  </si>
  <si>
    <t>http://public.eblib.com/choice/PublicFullRecord.aspx?p=3412475</t>
  </si>
  <si>
    <t>Pilgrims, Patrons, and Place : Localizing Sanctity in Asian Religions</t>
  </si>
  <si>
    <t>Granoff, Phyllis</t>
  </si>
  <si>
    <t>BL1033 -- .P547 2003eb</t>
  </si>
  <si>
    <t>Asia -- Religious life and customs.; Electronic books. -- local; Sacred space -- Asia.</t>
  </si>
  <si>
    <t>http://public.eblib.com/choice/PublicFullRecord.aspx?p=3412476</t>
  </si>
  <si>
    <t>Ninstints : Haida World Heritage Site</t>
  </si>
  <si>
    <t>E99.H2 -- M33 2001eb</t>
  </si>
  <si>
    <t>Electronic books. -- local; Haida Indians.; Ninstints Site (B.C.)</t>
  </si>
  <si>
    <t>http://public.eblib.com/choice/PublicFullRecord.aspx?p=3412477</t>
  </si>
  <si>
    <t>Everday Magic : Child Languages in Canadian Literature</t>
  </si>
  <si>
    <t>Ricou, Laurie</t>
  </si>
  <si>
    <t>PN56.5.C48 -- R53 1987eb</t>
  </si>
  <si>
    <t>Canadian literature -- 20th century -- History and criticism.; Children -- Language.; Children in literature.; Electronic books. -- local</t>
  </si>
  <si>
    <t>http://public.eblib.com/choice/PublicFullRecord.aspx?p=3412478</t>
  </si>
  <si>
    <t>A Companion to Under the Volcano</t>
  </si>
  <si>
    <t>Clipper, Lawrence J.; Ackerley, Christopher; Lawrence J., Clipper</t>
  </si>
  <si>
    <t>PR6023.O96 -- U532 1984eb</t>
  </si>
  <si>
    <t>English literature -- 20th century.; Lowry, Malcolm, -- 1909-1957. -- Under the volcano.</t>
  </si>
  <si>
    <t>http://public.eblib.com/choice/PublicFullRecord.aspx?p=3412479</t>
  </si>
  <si>
    <t>RCN in Retrospect, 1910-1968</t>
  </si>
  <si>
    <t>Boutilier, James A.</t>
  </si>
  <si>
    <t>VA400 -- .R38 1982eb</t>
  </si>
  <si>
    <t>Canada -- History, Naval.; Canada -- History.; Canada. -- Royal Canadian Navy -- History.; Electronic books. -- local</t>
  </si>
  <si>
    <t>http://public.eblib.com/choice/PublicFullRecord.aspx?p=3412480</t>
  </si>
  <si>
    <t>Showing the Flag : The Mounted Police and Canadian Sovereignty in the North, 1894-1925</t>
  </si>
  <si>
    <t>Morrison, William R.</t>
  </si>
  <si>
    <t>HV8157 -- .M64 1985eb</t>
  </si>
  <si>
    <t>Canada -- History.; Canada -- Politics and government.; Canada, Northern -- History.; Electronic books. -- local; Northwest, Canadian -- History.; Royal Canadian Mounted Police -- History.</t>
  </si>
  <si>
    <t>http://public.eblib.com/choice/PublicFullRecord.aspx?p=3412481</t>
  </si>
  <si>
    <t>Canadian Yearbook of International Law, 1968 : Annuaire Canadien de Droit International</t>
  </si>
  <si>
    <t>KZ21 -- .C36 1968eb</t>
  </si>
  <si>
    <t>Electronic books. -- local; International law.; International organization.</t>
  </si>
  <si>
    <t>http://public.eblib.com/choice/PublicFullRecord.aspx?p=3412482</t>
  </si>
  <si>
    <t>Special Places : The Changing Ecosystems of the Toronto Region</t>
  </si>
  <si>
    <t>Roots, Betty; Chant, Donald; Heidenreich, Conrad</t>
  </si>
  <si>
    <t>Science: General; Science: Biology/Natural History; Science</t>
  </si>
  <si>
    <t>QH106.2.O6 -- S64 1999eb</t>
  </si>
  <si>
    <t>Ecology -- Ontario -- Toronto Region.; Electronic books. -- local; Natural history -- Ontario -- Toronto Region.; Toronto Region (Ont.) -- History.</t>
  </si>
  <si>
    <t>http://public.eblib.com/choice/PublicFullRecord.aspx?p=3412483</t>
  </si>
  <si>
    <t>Agrarian Class Conflict : The Political Mobilization of Agricultural Labourers in Kuttanad, South India</t>
  </si>
  <si>
    <t>Tharamangalam, Joseph</t>
  </si>
  <si>
    <t>Business/Management; Agriculture; Political Science</t>
  </si>
  <si>
    <t>HD1537.I4 -- T46 1981eb</t>
  </si>
  <si>
    <t>Agricultural laborers -- India -- Kerala -- Political activity.; Agricultural laborers -- Labor unions -- India -- Kerala.; Electronic books. -- local; Social classes -- India -- Kerala.</t>
  </si>
  <si>
    <t>http://public.eblib.com/choice/PublicFullRecord.aspx?p=3412484</t>
  </si>
  <si>
    <t>Ecology of a Managed Terrestrial Landscape : Patterns and Processes of Forest Landscapes in Ontario</t>
  </si>
  <si>
    <t>Perera, Ajith; Euler, Dave</t>
  </si>
  <si>
    <t>SD387.L35 -- E36 2000eb</t>
  </si>
  <si>
    <t>Electronic books. -- local; Forest ecology -- Ontario.; Forest landscape management -- Ontario.; Forest policy -- Ontario.</t>
  </si>
  <si>
    <t>http://public.eblib.com/choice/PublicFullRecord.aspx?p=3412485</t>
  </si>
  <si>
    <t>Technology on the Frontier : Mining in Old Ontario</t>
  </si>
  <si>
    <t>Newell, Dianne</t>
  </si>
  <si>
    <t>Engineering; Economics; Business/Management; Engineering: Mining</t>
  </si>
  <si>
    <t>TN27.O4 -- N49 1986eb</t>
  </si>
  <si>
    <t>Electronic books. -- local; Mines and mineral resources -- Ontario -- History.; Mining engineering -- Ontario -- History.</t>
  </si>
  <si>
    <t>http://public.eblib.com/choice/PublicFullRecord.aspx?p=3412486</t>
  </si>
  <si>
    <t>Japan's Foreign Policy</t>
  </si>
  <si>
    <t>Langdon, Frank</t>
  </si>
  <si>
    <t>DS889 -- .L35 1973eb</t>
  </si>
  <si>
    <t>Electronic books. -- local; Japan -- Foreign relations -- 1945-1989.; Political science.</t>
  </si>
  <si>
    <t>http://public.eblib.com/choice/PublicFullRecord.aspx?p=3412487</t>
  </si>
  <si>
    <t>Jack Shadboldt and the Coastal Indian Image</t>
  </si>
  <si>
    <t>Halpin, Marjorie M.</t>
  </si>
  <si>
    <t>ND249.S53 -- H34 1986eb</t>
  </si>
  <si>
    <t>Indian art -- Northwest Coast of North America -- Influence.; Shadbolt, Jack, -- 1909-1998.</t>
  </si>
  <si>
    <t>http://public.eblib.com/choice/PublicFullRecord.aspx?p=3412488</t>
  </si>
  <si>
    <t>Chinatowns : Towns within Cities in Canada</t>
  </si>
  <si>
    <t>Lai, David Chuenyan</t>
  </si>
  <si>
    <t>F1035.C5 -- L18 1988eb</t>
  </si>
  <si>
    <t>Chinese -- British Columbia -- Victoria -- History.; Chinese -- Canada -- History.; Electronic books. -- local; Victoria (B.C.) -- History.</t>
  </si>
  <si>
    <t>http://public.eblib.com/choice/PublicFullRecord.aspx?p=3412489</t>
  </si>
  <si>
    <t>Prophecy of the Swan : The Upper Peace River Fur Trade of 1794-1823</t>
  </si>
  <si>
    <t>Hamilton, J. Scott; Fladmark, Knut R.; Fladmark, Knut R.</t>
  </si>
  <si>
    <t>F1089.P3 -- B87 1996eb</t>
  </si>
  <si>
    <t>971.1/87</t>
  </si>
  <si>
    <t>Electronic books. -- local; Fur trade -- Peace River Region (B.C. and Alta.) -- History -- 18th century.; Fur trade -- Peace River Region (B.C. and Alta.) -- History -- 19th century.; Peace River Region (B.C. and Alta.) -- Antiquities.; Peace River Region (B.C. and Alta.) -- History.</t>
  </si>
  <si>
    <t>http://public.eblib.com/choice/PublicFullRecord.aspx?p=3412490</t>
  </si>
  <si>
    <t>Clearcutting the Pacific Rain Forest : Production, Science, and Regulation</t>
  </si>
  <si>
    <t>Rajala, Richard A.</t>
  </si>
  <si>
    <t>SD146.B7 -- R35 1998eb</t>
  </si>
  <si>
    <t>Clearcutting -- British Columbia -- History.; Clearcutting -- Northwest, Pacific -- History.; Forest management -- British Columbia -- History.; Forest management -- Northwest, Pacific -- History.; Forest policy -- British Columbia -- History.; Forest policy -- Northwest, Pacific -- History.; Logging -- Technological innovations -- British Columbia -- History.</t>
  </si>
  <si>
    <t>http://public.eblib.com/choice/PublicFullRecord.aspx?p=3412491</t>
  </si>
  <si>
    <t>No Bleeding Heart : Charlotte Whitton: A Feminist on the Right</t>
  </si>
  <si>
    <t>Rooke, P. T.; Schnell, R. L.</t>
  </si>
  <si>
    <t>F1059.5.O9 -- W457 1987eb</t>
  </si>
  <si>
    <t>Electronic books. -- local; Feminists -- Canada -- Biography.; Mayors -- Ontario -- Ottawa -- Biography.; Whitton, Charlotte, -- 1896-1975.; Women social reformers -- Canada -- Biography.</t>
  </si>
  <si>
    <t>http://public.eblib.com/choice/PublicFullRecord.aspx?p=3412492</t>
  </si>
  <si>
    <t>Ocean of Destiny : A Concise History of the North Pacific, 1500-1978</t>
  </si>
  <si>
    <t>Lower, Arthur</t>
  </si>
  <si>
    <t>DS511 -- .L68 1978eb</t>
  </si>
  <si>
    <t>Canada -- Relations -- North Pacific Region.; Electronic books. -- local; North Pacific Region -- History.; North Pacific Region -- Relations -- Canada.</t>
  </si>
  <si>
    <t>http://public.eblib.com/choice/PublicFullRecord.aspx?p=3412493</t>
  </si>
  <si>
    <t>Will to Power : The Missionary Career of Father Morice</t>
  </si>
  <si>
    <t>Mulhall, David</t>
  </si>
  <si>
    <t>BV3705.M67 -- M85 1986eb</t>
  </si>
  <si>
    <t>Carrier Indians -- Missions.; Electronic books. -- local; Indians of North America -- Missions -- British Columbia.; Missionaries -- British Columbia -- Biography.; Morice, A. G. -- (Adrien Gabriel), -- 1859-1938.; Oblates of Mary Immaculate -- Biography.</t>
  </si>
  <si>
    <t>http://public.eblib.com/choice/PublicFullRecord.aspx?p=3412494</t>
  </si>
  <si>
    <t>The Cinema of Malcolm Lowry : A Scholarly Edition of Lowry's 'Tender is the Night'.</t>
  </si>
  <si>
    <t>Mota, Miguel; Tiessen, Paul</t>
  </si>
  <si>
    <t>PR6023.O96 -- T425 1990eb</t>
  </si>
  <si>
    <t>American fiction -- Film adaptations.; American fiction -- Television adaptations.; Electronic books. -- local; Fitzgerald, F. Scott -- (Francis Scott), -- 1896-1940 -- Film adaptations.; Fitzgerald, F. Scott -- (Francis Scott), -- 1896-1940 -- Television adaptations.</t>
  </si>
  <si>
    <t>http://public.eblib.com/choice/PublicFullRecord.aspx?p=3412495</t>
  </si>
  <si>
    <t>Totem Poles : An Illustrated Guide</t>
  </si>
  <si>
    <t>E98.T65 -- H3 2002eb</t>
  </si>
  <si>
    <t>Electronic books. -- local; Indian art -- Northwest Coast of North America.; Totem poles.</t>
  </si>
  <si>
    <t>http://public.eblib.com/choice/PublicFullRecord.aspx?p=3412496</t>
  </si>
  <si>
    <t>Fiji : Race and Politics in an Island State</t>
  </si>
  <si>
    <t>Howard, Michael C.</t>
  </si>
  <si>
    <t>DU600 -- .H69 1991eb</t>
  </si>
  <si>
    <t>Electronic books. -- local; Fiji -- History.; Fiji -- Politics and government.; Fiji -- Race relations.</t>
  </si>
  <si>
    <t>http://public.eblib.com/choice/PublicFullRecord.aspx?p=3412497</t>
  </si>
  <si>
    <t>Russia in Pacific Waters, 1715-1825 : A Survey of the Origins of Russia's Naval Presence in the North and South Pacific</t>
  </si>
  <si>
    <t>Pacific Maritime Studies</t>
  </si>
  <si>
    <t>DK57.5 -- .B37 1981eb</t>
  </si>
  <si>
    <t>Alaska -- Discovery and exploration.; Rossiĭsko-amerikanska︠i︡a kompani︠i︡a.; Soviet Union -- History, Naval.; Soviet Union -- History.</t>
  </si>
  <si>
    <t>http://public.eblib.com/choice/PublicFullRecord.aspx?p=3412498</t>
  </si>
  <si>
    <t>Russia and the South Pacific 1696–1840, Volume 2 : Southern and Eastern Polynesia</t>
  </si>
  <si>
    <t>DU510 -- .B37 1988eb</t>
  </si>
  <si>
    <t>Austral Islands (French Polynesia) -- Discovery and exploration -- Russian.; Easter Island -- Discovery and exploration -- Russian.; New Zealand -- Discovery and exploration -- Russian.; Polynesia -- Discovery and exploration -- Russian.; Soviet Union -- History, Naval.; Soviet Union -- History.; Soviet Union -- Relations -- Polynesia.</t>
  </si>
  <si>
    <t>http://public.eblib.com/choice/PublicFullRecord.aspx?p=3412500</t>
  </si>
  <si>
    <t>Canadian Travellers in Europe, 1851-1900</t>
  </si>
  <si>
    <t>Kroller, Eva-Marie</t>
  </si>
  <si>
    <t>D919 -- .K875 1987eb</t>
  </si>
  <si>
    <t>Electronic books. -- local; Europe -- Description and travel.; Travelers -- Canada -- History -- 19th century.</t>
  </si>
  <si>
    <t>http://public.eblib.com/choice/PublicFullRecord.aspx?p=3412501</t>
  </si>
  <si>
    <t>Pacifism in Japan : The Christian and Socialist Tradition</t>
  </si>
  <si>
    <t>Bamba, Nobuya; Howes, John F.</t>
  </si>
  <si>
    <t>JZ5584.J3 -- P33 1978eb</t>
  </si>
  <si>
    <t>Christian biography -- Japan.; Electronic books. -- local; Japan -- History -- 1868- -- Biography.; Pacifism.; Socialists -- Japan -- Biography.</t>
  </si>
  <si>
    <t>http://public.eblib.com/choice/PublicFullRecord.aspx?p=3412502</t>
  </si>
  <si>
    <t>Lord of Point Grey : Larry MacKenzie of UBC</t>
  </si>
  <si>
    <t>LE3.B79 -- W35 1987eb</t>
  </si>
  <si>
    <t>College presidents -- British Columbia -- Biography.; Electronic books. -- local; Legislators -- Canada -- Biography.; MacKenzie, Norman, -- 1894-1986.; University of British Columbia -- History.; University of British Columbia -- Presidents -- Biography.</t>
  </si>
  <si>
    <t>http://public.eblib.com/choice/PublicFullRecord.aspx?p=3412503</t>
  </si>
  <si>
    <t>Transients : Mammal-Hunting Killer Whales of British Columbia, Washington, and Southeastern Alaska</t>
  </si>
  <si>
    <t>Ford, John K. B.; Ellis, Graeme M.</t>
  </si>
  <si>
    <t>QL737.C432 -- F675 1999eb</t>
  </si>
  <si>
    <t>599.53/617743</t>
  </si>
  <si>
    <t>Electronic books. -- local; Killer whale -- Alaska.; Killer whale -- British Columbia.; Killer whale -- Washington (State)</t>
  </si>
  <si>
    <t>http://public.eblib.com/choice/PublicFullRecord.aspx?p=3412504</t>
  </si>
  <si>
    <t>Field Experiments and Measurement Programs in Geomorphology</t>
  </si>
  <si>
    <t>Slaymaker, Olav</t>
  </si>
  <si>
    <t>GB400.5 -- .F54 1991eb</t>
  </si>
  <si>
    <t>551.4/1/072</t>
  </si>
  <si>
    <t>Electronic books. -- local; Field experiments.; Geomorphology -- Fieldwork.</t>
  </si>
  <si>
    <t>http://public.eblib.com/choice/PublicFullRecord.aspx?p=3412505</t>
  </si>
  <si>
    <t>Farming the Frontier : The Agricultural Opening of the Oregon Country, 1786-1846</t>
  </si>
  <si>
    <t>HD1773.A9 -- G53 1985eb</t>
  </si>
  <si>
    <t>Agriculture -- Economic aspects -- Northwest, Pacific -- History.; Electronic books. -- local; Land use, Rural -- Northwest, Pacific -- History.</t>
  </si>
  <si>
    <t>http://public.eblib.com/choice/PublicFullRecord.aspx?p=3412506</t>
  </si>
  <si>
    <t>Psychological and Medical Effects of Concentration Camps and Related Persecutions on Survivors of the Holocaust : A Research Bibliography</t>
  </si>
  <si>
    <t>Eitinger, Leo; Krell, Robert</t>
  </si>
  <si>
    <t>General Works/Reference; Medicine</t>
  </si>
  <si>
    <t>RC451.4.H62 -- E38 1985eb</t>
  </si>
  <si>
    <t>Electronic books. -- local; Holocaust survivors -- Bibliography.; Holocaust, Jewish (1939-1945) -- Physiological aspects -- Bibliography.; Holocaust, Jewish (1939-1945) -- Psychological aspects -- Bibliography.</t>
  </si>
  <si>
    <t>http://public.eblib.com/choice/PublicFullRecord.aspx?p=3412507</t>
  </si>
  <si>
    <t>Paul Kane's Great Nor-West</t>
  </si>
  <si>
    <t>Urbanek, Sheila; Urbanek, Sheila</t>
  </si>
  <si>
    <t>F1060.8 -- .E28 1995eb</t>
  </si>
  <si>
    <t>971.2/01</t>
  </si>
  <si>
    <t>Indians of North America -- Northwest, Canadian -- Pictorial works.; Indians of North America -- Northwest, Canadian.; Indians of North America -- Northwest, Pacific -- Pictorial works.; Indians of North America -- Northwest, Pacific.; Kane, Paul, -- 1810-1871 -- Travel -- Northwest, Canadian.; Kane, Paul, -- 1810-1871 -- Travel -- Northwest, Pacific.; Northwest, Canadian -- Description and travel.</t>
  </si>
  <si>
    <t>http://public.eblib.com/choice/PublicFullRecord.aspx?p=3412508</t>
  </si>
  <si>
    <t>Margaret Atwood : Language, Text and System</t>
  </si>
  <si>
    <t>Weir, Lorraine; Weir, Lorraine</t>
  </si>
  <si>
    <t>PR9199.3.A8 -- Z75 1983eb</t>
  </si>
  <si>
    <t>Atwood, Margaret, -- 1939- -- Criticism and interpretation.; Electronic books. -- local; Women and literature -- Canada -- History -- 20th century.</t>
  </si>
  <si>
    <t>http://public.eblib.com/choice/PublicFullRecord.aspx?p=3412509</t>
  </si>
  <si>
    <t>Haida Monumental Art : Villages of the Queen Charlotte Islands</t>
  </si>
  <si>
    <t>E99.H2 -- M332 1983eb</t>
  </si>
  <si>
    <t>Electronic books. -- local; Haida architecture.; Haida art.; Indian architecture -- Northwest Coast of North America.; Indians of North America -- Northwest Coast of North America.</t>
  </si>
  <si>
    <t>http://public.eblib.com/choice/PublicFullRecord.aspx?p=3412511</t>
  </si>
  <si>
    <t>Russia and the South Pacific, 1696-1840, Volume 1 : Russians and Australia</t>
  </si>
  <si>
    <t>DU96 -- .B37 1988eb</t>
  </si>
  <si>
    <t>Australia -- Discovery and exploration -- Russian.; Australia -- History.; Australia -- Relations -- Soviet Union.; Soviet Union -- History, Naval.; Soviet Union -- Relations -- Australia.</t>
  </si>
  <si>
    <t>http://public.eblib.com/choice/PublicFullRecord.aspx?p=3412512</t>
  </si>
  <si>
    <t>Workers, Capital, and the State in British Columbia : Selected Papers</t>
  </si>
  <si>
    <t>Warburton, Rennie; Coburn, David</t>
  </si>
  <si>
    <t>HD8109.B72 -- W67 1988eb</t>
  </si>
  <si>
    <t>British Columbia -- Economic conditions.; Electronic books. -- local; Social conflict -- British Columbia.; Working class -- British Columbia.</t>
  </si>
  <si>
    <t>http://public.eblib.com/choice/PublicFullRecord.aspx?p=3412513</t>
  </si>
  <si>
    <t>Russia and the South Pacific, Volume 4 : Tuamotu Islands and Tahiti</t>
  </si>
  <si>
    <t>DU890 -- .B37 1992eb</t>
  </si>
  <si>
    <t>Iles Tuamotu et Gambier (French Polynesia) -- Discovery and exploration -- Russian.; Scientific expeditions -- French Polynesia -- Tahiti -- History.; Scientific expeditions -- French Polynesia -- Tuamotu Archipelago -- History.; Soviet Union -- History, Naval.; Tahiti (French Polynesia : Island) -- Discovery and exploration -- Russian.</t>
  </si>
  <si>
    <t>http://public.eblib.com/choice/PublicFullRecord.aspx?p=3412514</t>
  </si>
  <si>
    <t>A Leaf upon the Sea : A Small Ship in the Mediterranean, 1941-1943</t>
  </si>
  <si>
    <t>Stead, Gordon W.</t>
  </si>
  <si>
    <t>V64.G72 -- S74 1988eb</t>
  </si>
  <si>
    <t>Canada. -- Royal Canadian Navy -- Officers -- Biography.; Electronic books. -- local; Great Britain. -- Royal Navy -- History -- World War, 1939-1945.; Great Britain. -- Royal Navy -- Officers -- Biography.; Stead, Gordon W.; World War, 1939-1945 -- Naval operations, British.</t>
  </si>
  <si>
    <t>http://public.eblib.com/choice/PublicFullRecord.aspx?p=3412515</t>
  </si>
  <si>
    <t>Duff : A Life in the Law</t>
  </si>
  <si>
    <t>Williams, David Ricardo</t>
  </si>
  <si>
    <t>KE8248.D84 -- W55 1984eb</t>
  </si>
  <si>
    <t>Duff, Lyman Poore, -- Sir, -- 1865-1955.; Electronic books. -- local; Judges -- Canada -- Biography.</t>
  </si>
  <si>
    <t>http://public.eblib.com/choice/PublicFullRecord.aspx?p=3412516</t>
  </si>
  <si>
    <t>Letters from Windermere, 1912-1914</t>
  </si>
  <si>
    <t>F1089.W55 -- P46 1984eb</t>
  </si>
  <si>
    <t>Frontier and pioneer life -- British Columbia -- Windermere Lake Region.; Phillips, Daisy, -- d. 1960.; Windermere Lake Region (B.C.) -- Biography.</t>
  </si>
  <si>
    <t>http://public.eblib.com/choice/PublicFullRecord.aspx?p=3412517</t>
  </si>
  <si>
    <t>So Much to Do, So Little Time : The Writings of Hilda Neatby</t>
  </si>
  <si>
    <t>Hayden, Michael</t>
  </si>
  <si>
    <t>F1021.2 -- .N43 1983eb</t>
  </si>
  <si>
    <t>Canada -- Intellectual life.; Electronic books. -- local; Historians -- Canada -- Biography.; Neatby, Hilda, -- 1904-1975.</t>
  </si>
  <si>
    <t>http://public.eblib.com/choice/PublicFullRecord.aspx?p=3412518</t>
  </si>
  <si>
    <t>Between the Summit and the Sea : Central Veracruz in the Nineteenth Century</t>
  </si>
  <si>
    <t>Siemens, Alfred H.</t>
  </si>
  <si>
    <t>F1371 -- .S57 1990eb</t>
  </si>
  <si>
    <t>Electronic books. -- local; Mexico -- Foreign public opinion -- History -- 19th century.; Public opinion -- Europe -- History -- 19th century.; Public opinion -- North America -- History -- 19th century.; Travelers -- Mexico -- Veracruz-Llave (State) -- Attitudes -- History -- 19th century.; Veracruz-Llave (Mexico : State) -- Description and travel.; Visitors, Foreign -- Mexico -- Veracruz-Llave (State) -- Attitudes -- History -- 19th century.</t>
  </si>
  <si>
    <t>http://public.eblib.com/choice/PublicFullRecord.aspx?p=3412519</t>
  </si>
  <si>
    <t>In the Way : A Study of Christian Missionary Endeavours</t>
  </si>
  <si>
    <t>Burridge, Kenelm</t>
  </si>
  <si>
    <t>BV2063 -- .B87 1991eb</t>
  </si>
  <si>
    <t>Electronic books. -- local; Missions -- Anthropological aspects.; Missions.</t>
  </si>
  <si>
    <t>http://public.eblib.com/choice/PublicFullRecord.aspx?p=3412520</t>
  </si>
  <si>
    <t>Peter Stent : London Printseller Circa 1642-1665</t>
  </si>
  <si>
    <t>Globe, Alexander V.</t>
  </si>
  <si>
    <t>Z232.S84 -- G57 1985eb</t>
  </si>
  <si>
    <t>Engraving, English -- Catalogs.; Engraving, English -- England -- London -- 17th century -- Catalogs.; Printing -- England -- London -- History -- 17th century.; Prints -- England -- London -- 17th century -- Catalogs.; Prints, English -- Catalogs.; Publishers and publishing -- England -- London -- History -- 17th century.; Stent, Peter, -- fl. 1640-1667.</t>
  </si>
  <si>
    <t>http://public.eblib.com/choice/PublicFullRecord.aspx?p=3412521</t>
  </si>
  <si>
    <t>Lyric Poets of the Southern T'ang : Feng Yen-ssu, 903-960 and Li Yu, 937-978</t>
  </si>
  <si>
    <t>Bryant, Daniel</t>
  </si>
  <si>
    <t>PL2658.E3 -- L9 1982eb</t>
  </si>
  <si>
    <t>Chinese poetry -- Tang dynasty, 618-907 -- History and criticism.; Chinese poetry -- Tang dynasty, 618-907 -- Translations into English.; Ci (Chinese poetry) -- History and criticism.; Ci (Chinese poetry) -- Translations into English.; Feng, Yansi, -- 903-960 -- Criticism and interpretation.; Li, Yu, -- 937-978 -- Criticism and interpretation.; Middle Ages -- Poetry.</t>
  </si>
  <si>
    <t>http://public.eblib.com/choice/PublicFullRecord.aspx?p=3412522</t>
  </si>
  <si>
    <t>Two Political Worlds : Parties and Voting in British Columbia</t>
  </si>
  <si>
    <t>Blake, Donald E.</t>
  </si>
  <si>
    <t>JL439.A45 -- B55 1985eb</t>
  </si>
  <si>
    <t>British Columbia -- Politics and government.; Canada -- Politics and government -- 1945-1980.; Electronic books. -- local; Political parties -- British Columbia.; Political parties -- Canada.; Voting -- British Columbia.; Voting -- Canada.</t>
  </si>
  <si>
    <t>http://public.eblib.com/choice/PublicFullRecord.aspx?p=3412523</t>
  </si>
  <si>
    <t>The Northwest Coast : British Navigation, Trade and Discoveries to 1812</t>
  </si>
  <si>
    <t>F880 -- .G68 1992eb</t>
  </si>
  <si>
    <t>British Columbia -- History.; Electronic books. -- local; Great Britain -- History, Naval.; Northwest Coast of North America -- Discovery and exploration -- British.; Northwest Coast of North America -- History.</t>
  </si>
  <si>
    <t>http://public.eblib.com/choice/PublicFullRecord.aspx?p=3412524</t>
  </si>
  <si>
    <t>Canada-United States Trade in Forest Products</t>
  </si>
  <si>
    <t>Canadian and International Relations</t>
  </si>
  <si>
    <t>Uhler, Russell S.</t>
  </si>
  <si>
    <t>HD9764.C22 -- C36 1991eb</t>
  </si>
  <si>
    <t>Canada -- Commerce -- United States.; Electronic books. -- local; Forest products industry -- Canada.; Forest products industry -- United States.; United States -- Commerce -- Canada.</t>
  </si>
  <si>
    <t>http://public.eblib.com/choice/PublicFullRecord.aspx?p=3412525</t>
  </si>
  <si>
    <t>The Raven's Tail</t>
  </si>
  <si>
    <t>Samuel, Cheryl</t>
  </si>
  <si>
    <t>History; Fine Arts</t>
  </si>
  <si>
    <t>E78.N78 -- S26 1987eb</t>
  </si>
  <si>
    <t>746.1/4/09795</t>
  </si>
  <si>
    <t>Electronic books. -- local; Hand weaving -- Northwest Coast of North America.; Indian art -- Northwest Coast of North America.; Indian textile fabrics -- Northwest Coast of North America.</t>
  </si>
  <si>
    <t>http://public.eblib.com/choice/PublicFullRecord.aspx?p=3412526</t>
  </si>
  <si>
    <t>Paradoxes of Rationality and Cooperation : Prisoner's Dilemma and Newcomb's Problem</t>
  </si>
  <si>
    <t>Campbell, Richmond; Sowden, Lanning</t>
  </si>
  <si>
    <t>BC185 -- .P37 1985eb</t>
  </si>
  <si>
    <t>Choice (Psychology); Cooperativeness.; Dilemma.; Electronic books. -- local; Newcomb, William A.; Prisoner''s dilemma game.</t>
  </si>
  <si>
    <t>http://public.eblib.com/choice/PublicFullRecord.aspx?p=3412527</t>
  </si>
  <si>
    <t>Linking Industry and Ecology : A Question of Design</t>
  </si>
  <si>
    <t>Côté, Ray; Tansey, James; Dale, Ann</t>
  </si>
  <si>
    <t>TS161 -- .L55 2006eb</t>
  </si>
  <si>
    <t>Electronic books. -- local; Industrial ecology -- Canada.; Materials management -- Canada.</t>
  </si>
  <si>
    <t>http://public.eblib.com/choice/PublicFullRecord.aspx?p=3412528</t>
  </si>
  <si>
    <t>Kewa Tales</t>
  </si>
  <si>
    <t>LeRoy, John</t>
  </si>
  <si>
    <t>GR385.P36 -- K48 1985eb</t>
  </si>
  <si>
    <t>Electronic books. -- local; Kewa (Papua New Guinean people) -- Folklore.; Legends -- Papua New Guinea.; Tales -- Papua New Guinea.</t>
  </si>
  <si>
    <t>http://public.eblib.com/choice/PublicFullRecord.aspx?p=3412529</t>
  </si>
  <si>
    <t>Harsh and Lovely Land : The Major Canadian Poets and the Making of a Canadian Tradition</t>
  </si>
  <si>
    <t>Marshall, Tom</t>
  </si>
  <si>
    <t>PR9190.25 -- .M37 1980eb</t>
  </si>
  <si>
    <t>Canadian poetry -- History and criticism.; Poets, Canadian.</t>
  </si>
  <si>
    <t>http://public.eblib.com/choice/PublicFullRecord.aspx?p=3412530</t>
  </si>
  <si>
    <t>Class, Race and Colonialism in West Malaysia : The Indian Case</t>
  </si>
  <si>
    <t>Stenson, Michael</t>
  </si>
  <si>
    <t>HC445.5 -- .S74 1980eb</t>
  </si>
  <si>
    <t>East Indians -- Malaysia -- Malaya.; Electronic books. -- local; Malaya -- Economic conditions.; Malaya -- Politics and government.</t>
  </si>
  <si>
    <t>http://public.eblib.com/choice/PublicFullRecord.aspx?p=3412531</t>
  </si>
  <si>
    <t>Discovering the Americas : Evolution of Canadian Foreign Policy towards Latin America</t>
  </si>
  <si>
    <t>Canada and International Relations</t>
  </si>
  <si>
    <t>Rochlin, James A.</t>
  </si>
  <si>
    <t>HF1480.5 -- .R63 1994eb</t>
  </si>
  <si>
    <t>Canada -- Foreign relations -- Latin America.; Electronic books. -- local; International relations.; Latin America -- Foreign relations -- Canada.</t>
  </si>
  <si>
    <t>http://public.eblib.com/choice/PublicFullRecord.aspx?p=3412532</t>
  </si>
  <si>
    <t>Francis Rattenbury and British Columbia : Architecture and Challenge in the Imperial Age</t>
  </si>
  <si>
    <t>Barrett, Anthony A.; Liscombe, Rhodri Windsor</t>
  </si>
  <si>
    <t>NA749.R37 -- B37 1983eb</t>
  </si>
  <si>
    <t>Architects -- British Columbia -- Biography.; Eclecticism in architecture -- British Columbia.; Electronic books. -- local; Rattenbury, Francis Mawson, -- 1867-1935.</t>
  </si>
  <si>
    <t>http://public.eblib.com/choice/PublicFullRecord.aspx?p=3412533</t>
  </si>
  <si>
    <t>It's Up to You : Women at UBC in the Early Years</t>
  </si>
  <si>
    <t>Stewart, Lee</t>
  </si>
  <si>
    <t>LE3.B82 -- S74 1990eb</t>
  </si>
  <si>
    <t>Electronic books. -- local; University of British Columbia -- History.; Women college students -- British Columbia -- Vancouver -- History.; Women college teachers -- British Columbia -- Vancouver -- History.</t>
  </si>
  <si>
    <t>http://public.eblib.com/choice/PublicFullRecord.aspx?p=3412534</t>
  </si>
  <si>
    <t>Butterflies of British Columbia : Including Western Alberta, Southern Yukon, the Alaska Panhandle, Washington, Northern Oregon, Northern Idaho, and Northwestern Montana</t>
  </si>
  <si>
    <t>Shepard, Jon; Guppy, Crispin</t>
  </si>
  <si>
    <t>QL552 -- .G86 2001eb</t>
  </si>
  <si>
    <t>Butterflies -- British Columbia.; Butterflies -- Northwest, Pacific.; Electronic books. -- local</t>
  </si>
  <si>
    <t>http://public.eblib.com/choice/PublicFullRecord.aspx?p=3412535</t>
  </si>
  <si>
    <t>Alaska Highway : Papers of the 40th Anniversary Symposium</t>
  </si>
  <si>
    <t>Coates, Kenneth</t>
  </si>
  <si>
    <t>HE356.A4 -- A43 1985eb</t>
  </si>
  <si>
    <t>Alaska Highway -- History -- Congresses.; Electronic books. -- local; Roads -- Alaska -- History -- Congresses.</t>
  </si>
  <si>
    <t>http://public.eblib.com/choice/PublicFullRecord.aspx?p=3412536</t>
  </si>
  <si>
    <t>Chinese Opera : Images and Stories</t>
  </si>
  <si>
    <t>Lovrick, Peter; Siu, Wang-Ngai; Siu, Wang</t>
  </si>
  <si>
    <t>ML1751.C4 -- S58 1997eb</t>
  </si>
  <si>
    <t>782.1/0951</t>
  </si>
  <si>
    <t>Chinese drama -- History and criticism.; Electronic books. -- local; Operas, Chinese -- History and criticism.</t>
  </si>
  <si>
    <t>http://public.eblib.com/choice/PublicFullRecord.aspx?p=3412537</t>
  </si>
  <si>
    <t>Robes of Power : Totem Poles on Cloth</t>
  </si>
  <si>
    <t>Jensen, Doreen; Sargent, Polly</t>
  </si>
  <si>
    <t>E78.N78 -- J467 1993eb</t>
  </si>
  <si>
    <t>Electronic books. -- local; Indian art -- Northwest Coast of North America.; Indians of North America -- Clothing -- Northwest Coast of North America.; Indians of North America -- Northwest Coast of North America -- Rites and ceremonies.</t>
  </si>
  <si>
    <t>http://public.eblib.com/choice/PublicFullRecord.aspx?p=3412538</t>
  </si>
  <si>
    <t>'Here Is Hell' : Canada's Engagement in Somalia</t>
  </si>
  <si>
    <t>Dawson, Grant</t>
  </si>
  <si>
    <t>DT407.43 -- .D39 2007eb</t>
  </si>
  <si>
    <t>341.5/8409676309049</t>
  </si>
  <si>
    <t>Canada -- Armed Forces -- Somalia.; Canada -- History, Military -- 20th century.; Somalia Affair, 1992-1997.</t>
  </si>
  <si>
    <t>http://public.eblib.com/choice/PublicFullRecord.aspx?p=3412540</t>
  </si>
  <si>
    <t>Colony and Confederation : Early Canadian Poets and Their Background</t>
  </si>
  <si>
    <t>Woodcock, George</t>
  </si>
  <si>
    <t>PR9190.25 -- .W6 1974eb</t>
  </si>
  <si>
    <t>Canadian poetry -- History and criticism.; Electronic books. -- local; Poets, Canadian.</t>
  </si>
  <si>
    <t>http://public.eblib.com/choice/PublicFullRecord.aspx?p=3412541</t>
  </si>
  <si>
    <t>Houses for All : The Struggle for Social Housing in Vancouver, 1919-50</t>
  </si>
  <si>
    <t>Wade, Jill</t>
  </si>
  <si>
    <t>HD7288.78.C22 -- V369 1994eb</t>
  </si>
  <si>
    <t>Electronic books. -- local; Housing policy -- British Columbia -- Vancouver -- History.; Public housing -- British Columbia -- Vancouver -- History.</t>
  </si>
  <si>
    <t>http://public.eblib.com/choice/PublicFullRecord.aspx?p=3412542</t>
  </si>
  <si>
    <t>Settlement Planning and Development : A Strategy for Land Policy</t>
  </si>
  <si>
    <t>Lichfield, Nathaniel</t>
  </si>
  <si>
    <t>HD111 -- .L46 1980eb</t>
  </si>
  <si>
    <t>Electronic books. -- local; Land use -- Planning.; United Nations Conference on Human Settlements -- (1976 : -- Vancouver, B.C.)</t>
  </si>
  <si>
    <t>http://public.eblib.com/choice/PublicFullRecord.aspx?p=3412543</t>
  </si>
  <si>
    <t>The Subarctic Indians and the Fur Trade, 1680-1860</t>
  </si>
  <si>
    <t>Yerbury, Colin</t>
  </si>
  <si>
    <t>E99.A86 -- Y47 1986eb</t>
  </si>
  <si>
    <t>Athapascan Indians -- History.; Electronic books. -- local; Fur trade -- Canada, Northern -- History.; Indians of North America -- Canada, Northern -- History.; Trading posts -- Canada, Northern.; Trading posts.</t>
  </si>
  <si>
    <t>http://public.eblib.com/choice/PublicFullRecord.aspx?p=3412544</t>
  </si>
  <si>
    <t>The Power of Symbols : Masks and Masquerade in the Americas</t>
  </si>
  <si>
    <t>Crumrine, N. Ross; Halpin, Marjorie M.</t>
  </si>
  <si>
    <t>E59.M3 -- P69 1983eb</t>
  </si>
  <si>
    <t>Electronic books. -- local; Indian masks -- Congresses.; Indians -- Rites and ceremonies -- Congresses.; Masks -- America -- Congresses.</t>
  </si>
  <si>
    <t>http://public.eblib.com/choice/PublicFullRecord.aspx?p=3412545</t>
  </si>
  <si>
    <t>Gordon Shrum : An Autobiography with Peter Stursberg</t>
  </si>
  <si>
    <t>Shrum, Gordon; Stursberg, Peter</t>
  </si>
  <si>
    <t>LA2325.S37 -- A3 1986eb</t>
  </si>
  <si>
    <t>Educators -- British Columbia -- Biography.; Electronic books. -- local; Shrum, Gordon, -- 1896-1985.</t>
  </si>
  <si>
    <t>http://public.eblib.com/choice/PublicFullRecord.aspx?p=3412546</t>
  </si>
  <si>
    <t>Killer Whales : The Natural History and Genealogy of Orcinus Orca in British Columbia and Washington</t>
  </si>
  <si>
    <t>Ford, John K. B.</t>
  </si>
  <si>
    <t>QL737.C432 -- F67 1994eb</t>
  </si>
  <si>
    <t>Electronic books. -- local; Killer whale -- British Columbia.; Killer whale -- Washington (State)</t>
  </si>
  <si>
    <t>http://public.eblib.com/choice/PublicFullRecord.aspx?p=3412547</t>
  </si>
  <si>
    <t>Invocations : The Poetry and Prose of Gwendolyn MacEwen</t>
  </si>
  <si>
    <t>Bartley, Jan</t>
  </si>
  <si>
    <t>PR9199.3.M313 -- Z56 1983eb</t>
  </si>
  <si>
    <t>Electronic books. -- local; MacEwen, Gwendolyn, -- 1941-1987 -- Criticism and interpretation.; Poets, Canadian -- 20th century.</t>
  </si>
  <si>
    <t>http://public.eblib.com/choice/PublicFullRecord.aspx?p=3412548</t>
  </si>
  <si>
    <t>Birds of British Columbia, Volume 3 : Passerines - Flycatchers through Vireos</t>
  </si>
  <si>
    <t>Campbell, Wayne; Dawe, Neil K.; McTaggart-Cowan, Ian; Cooper, John M ; Kaiser, Gary W ; McNall, Michael C E ; Smith, G E John ; Campbell R Wayne Canadian Wildlife Service BC Environment,</t>
  </si>
  <si>
    <t>QL685.5.B8 -- .B573 1997eb</t>
  </si>
  <si>
    <t>Birds -- British Columbia.; Ornithology -- British Columbia.</t>
  </si>
  <si>
    <t>http://public.eblib.com/choice/PublicFullRecord.aspx?p=3412549</t>
  </si>
  <si>
    <t>Heavy Traffic : Deregulation, Trade, and Transformation in North American Trucking</t>
  </si>
  <si>
    <t>Madar, Daniel</t>
  </si>
  <si>
    <t>HE5623 -- .M253 2000eb</t>
  </si>
  <si>
    <t>388.3/24/097</t>
  </si>
  <si>
    <t>Electronic books. -- local; Free trade -- North America.; Trucking -- Deregulation -- Canada.; Trucking -- Deregulation -- North America.; Trucking -- Deregulation -- United States.</t>
  </si>
  <si>
    <t>http://public.eblib.com/choice/PublicFullRecord.aspx?p=3412550</t>
  </si>
  <si>
    <t>Canadian Yearbook of International Law, 2005 : Annuaire Canadien de Droit International</t>
  </si>
  <si>
    <t>KZ21 -- .C36 2006eb</t>
  </si>
  <si>
    <t>http://public.eblib.com/choice/PublicFullRecord.aspx?p=3412551</t>
  </si>
  <si>
    <t>Genetically Modified Diplomacy : The Global Politics of Agricultural Biotechnology and the Environment</t>
  </si>
  <si>
    <t>Andre, Peter; Andreue, Peter</t>
  </si>
  <si>
    <t>Law; Agriculture</t>
  </si>
  <si>
    <t>S494.5.B563 -- A53 2007eb</t>
  </si>
  <si>
    <t>Agricultural biotechnology -- Law and legislation.; Convention on Biological Diversity -- (1992). -- Protocols, etc. -- 2000 Jan. 29.; Environmental law, International.; Precautionary principle.; Transgenic organisms.</t>
  </si>
  <si>
    <t>http://public.eblib.com/choice/PublicFullRecord.aspx?p=3412552</t>
  </si>
  <si>
    <t>For Most Conspicuous Bravery : A Biography of Major-General George R. Pearkes, V.C., through Two World Wars</t>
  </si>
  <si>
    <t>Roy, Reginald H.</t>
  </si>
  <si>
    <t>F1034.3.P38 -- R69 1977eb</t>
  </si>
  <si>
    <t>Canada. -- Canadian Army -- Biography.; Electronic books. -- local; Generals -- Canada -- Biography.; Pearkes, George Randolph, -- b. 1888.; Statesmen -- Canada -- Biography.</t>
  </si>
  <si>
    <t>http://public.eblib.com/choice/PublicFullRecord.aspx?p=3412553</t>
  </si>
  <si>
    <t>The Curtain Within : Haida Social and Mythical Discourse</t>
  </si>
  <si>
    <t>Boelscher, Marianne</t>
  </si>
  <si>
    <t>E99.H2 -- B64 1988eb</t>
  </si>
  <si>
    <t>Electronic books. -- local; Haida Gwaii (B.C.) -- Social life and customs.; Haida Indians -- Kinship.; Haida Indians -- Social life and customs.</t>
  </si>
  <si>
    <t>http://public.eblib.com/choice/PublicFullRecord.aspx?p=3412554</t>
  </si>
  <si>
    <t>Great Blue Heron : A Natural History and Ecology of a Seashore Sentinel</t>
  </si>
  <si>
    <t>Butler, Robert; Bateman, Robert</t>
  </si>
  <si>
    <t>QL696.C52 -- B86 1997eb</t>
  </si>
  <si>
    <t>598.3/4</t>
  </si>
  <si>
    <t>Electronic books. -- local; Great blue heron -- British Columbia.; Herons -- British Columbia.</t>
  </si>
  <si>
    <t>http://public.eblib.com/choice/PublicFullRecord.aspx?p=3412555</t>
  </si>
  <si>
    <t>Indicator Plants of Coastal British Columbia</t>
  </si>
  <si>
    <t>Ceska, A.; Scagel, A. M.; Scagel, A. M.</t>
  </si>
  <si>
    <t>QK203.B7 -- I53 1989eb</t>
  </si>
  <si>
    <t>Electronic books. -- local; Plant ecology -- British Columbia -- Pacific Coast.; Plant indicators -- British Columbia -- Pacific Coast.</t>
  </si>
  <si>
    <t>http://public.eblib.com/choice/PublicFullRecord.aspx?p=3412556</t>
  </si>
  <si>
    <t>Growing Up British in British Columbia : Boys in Private School</t>
  </si>
  <si>
    <t>Barman, Jean</t>
  </si>
  <si>
    <t>LC51.2.B7 -- B34 1984eb</t>
  </si>
  <si>
    <t>Boys -- Education -- British Columbia.; Education -- British Columbia -- British influences.; Electronic books. -- local; Private schools -- British Columbia -- History.</t>
  </si>
  <si>
    <t>http://public.eblib.com/choice/PublicFullRecord.aspx?p=3412557</t>
  </si>
  <si>
    <t>Our Chiefs and Elders : Words and Photographs of Native Leaders</t>
  </si>
  <si>
    <t>Neel, David; Harper, Chief Elijah</t>
  </si>
  <si>
    <t>E99.K9 -- N44 1992eb</t>
  </si>
  <si>
    <t>971.1/004979</t>
  </si>
  <si>
    <t>Electronic books. -- local; Indians of North America -- British Columbia -- Portraits.; Kwakiutl Indians -- Portraits.; Kwakiutl Indians -- Social life and customs.</t>
  </si>
  <si>
    <t>http://public.eblib.com/choice/PublicFullRecord.aspx?p=3412558</t>
  </si>
  <si>
    <t>Canadian Yearbook of International Law, 2002 : Annuaire Canadien de Droit International</t>
  </si>
  <si>
    <t>KZ21 -- .C36 2003eb</t>
  </si>
  <si>
    <t>http://public.eblib.com/choice/PublicFullRecord.aspx?p=3412559</t>
  </si>
  <si>
    <t>Voices Rising : Asian Canadian Cultural Activism</t>
  </si>
  <si>
    <t>Li, Xiaoping</t>
  </si>
  <si>
    <t>F1035.A75 -- L5 2007eb</t>
  </si>
  <si>
    <t>Artists -- Canada -- Interviews.; Asians -- Canada -- Biography.; Asians -- Canada -- Ethnic identity.; Asians -- Canada -- Interviews.; Asians -- Canada -- Politics and government.; Asians -- Canada -- Social life and customs.; Social participation -- Canada.</t>
  </si>
  <si>
    <t>http://public.eblib.com/choice/PublicFullRecord.aspx?p=3412560</t>
  </si>
  <si>
    <t>From World Order to Global Disorder : States, Markets, and Dissent</t>
  </si>
  <si>
    <t>Brunelle, Dorval</t>
  </si>
  <si>
    <t>JZ1318 -- .B7813 2007eb</t>
  </si>
  <si>
    <t>Globalization.; International economic relations.; Regionalism.</t>
  </si>
  <si>
    <t>http://public.eblib.com/choice/PublicFullRecord.aspx?p=3412561</t>
  </si>
  <si>
    <t>Awful Splendour : A Fire History of Canada</t>
  </si>
  <si>
    <t>Nature | History | Society</t>
  </si>
  <si>
    <t>Pyne, Stephen J.</t>
  </si>
  <si>
    <t>SD421.34.C2 -- P96 2007eb</t>
  </si>
  <si>
    <t>Electronic books. -- local; Fire ecology -- Canada -- History.; Fires -- Canada -- History.; Wildfires -- Canada -- History.</t>
  </si>
  <si>
    <t>http://public.eblib.com/choice/PublicFullRecord.aspx?p=3412562</t>
  </si>
  <si>
    <t>Nonpasserines : Introduction, Loons Through Waterfowl</t>
  </si>
  <si>
    <t>Campbell, R. Wayne; Dawe, Neil K.; McTaggart-Cowan, Ian; Kaiser, Gary W ; McNall, Michael ; Campbell R Wayne Canadian Wildlife Service BC Environment,</t>
  </si>
  <si>
    <t>QL685.5.B8 -- B57 1990eb</t>
  </si>
  <si>
    <t>Birds -- British Columbia.; Loons -- British Columbia.</t>
  </si>
  <si>
    <t>http://public.eblib.com/choice/PublicFullRecord.aspx?p=3412563</t>
  </si>
  <si>
    <t>Nonpasserines : Diurnal Birds of Prey Through Woodpeckers</t>
  </si>
  <si>
    <t>Campbell, R. Wayne; Dawe, Neil K.; McTaggart-Cowan, Ian; Cooper, John M ; Kaiser, Gary W ; McNall, Michael C E ; Campbell R Wayne Canadian Wildlife Service BC Environment,</t>
  </si>
  <si>
    <t>QL685.5.B8 -- B572 1990eb</t>
  </si>
  <si>
    <t>Birds -- British Columbia.; Falconiformes -- British Columbia.</t>
  </si>
  <si>
    <t>http://public.eblib.com/choice/PublicFullRecord.aspx?p=3412564</t>
  </si>
  <si>
    <t>Birds of the Yukon Territory</t>
  </si>
  <si>
    <t>Sinclair, Pamela H.; Nixon, Wendy A.; Eckert, Cameron D.; Hughes, Nancy L</t>
  </si>
  <si>
    <t>QL685.5.Y8 -- B57 2003eb</t>
  </si>
  <si>
    <t>Birds -- Canada.; Birds -- Yukon.; Electronic books. -- local</t>
  </si>
  <si>
    <t>http://public.eblib.com/choice/PublicFullRecord.aspx?p=3412565</t>
  </si>
  <si>
    <t>Birds of British Columbia, Volume 4 : Passerines Wood-Warblers Through Old World Sparrows</t>
  </si>
  <si>
    <t>Campbell, R. Wayne; Dawe, Neil K.; McTaggart-Cowan, Ian; et al, ; Kaiser, Gary W ; McNall, Michael C E ; Campbell R Wayne Canadian Wildlife Service BC Environment,</t>
  </si>
  <si>
    <t>QL685.5.B7 -- B575 2001eb</t>
  </si>
  <si>
    <t>Birds -- British Columbia.; Electronic books. -- local; Passeriformes -- British Columbia.</t>
  </si>
  <si>
    <t>http://public.eblib.com/choice/PublicFullRecord.aspx?p=3412566</t>
  </si>
  <si>
    <t>Working Girls in the West : Representations of Wage-Earning Women</t>
  </si>
  <si>
    <t>McMaster, Lindsey</t>
  </si>
  <si>
    <t>PR9185.6.W6 -- M36 2008eb</t>
  </si>
  <si>
    <t>C810.9/3553</t>
  </si>
  <si>
    <t>Canadian literature -- 20th century -- History and criticism.; Canadian literature -- Canada, Western -- History and criticism.; Women -- Canada, Western -- Social conditions -- 20th century.; Women employees -- Canada, Western -- Social conditions -- 20th century.; Women employees in literature.; Women in literature.; Work in literature.</t>
  </si>
  <si>
    <t>http://public.eblib.com/choice/PublicFullRecord.aspx?p=3412567</t>
  </si>
  <si>
    <t>Indigenous Legal Traditions</t>
  </si>
  <si>
    <t>Law Commission of Canada; Kennedy, Dawnis ; Lajoie, Andree ; Palys, Ted ; Shawana, Perry</t>
  </si>
  <si>
    <t>KE7735 -- .I53 2007eb</t>
  </si>
  <si>
    <t>Customary law -- Canada.; Indians of North America -- Canada -- Government relations.; Indians of North America -- Canada -- Social life and customs.; Indians of North America -- Legal status, laws, etc. -- Canada.; Indigenous peoples -- Canada -- Government relations.; Indigenous peoples -- Canada -- Social life and customs.; Indigenous peoples -- Legal status, laws, etc. -- Canada.</t>
  </si>
  <si>
    <t>http://public.eblib.com/choice/PublicFullRecord.aspx?p=3412568</t>
  </si>
  <si>
    <t>Farming in a Changing Climate : Agricultural Adaptation in Canada</t>
  </si>
  <si>
    <t>Wall, Ellen; Smit, Barry; Wandel, Johanna</t>
  </si>
  <si>
    <t>S600.7.C54 -- F37 2007eb</t>
  </si>
  <si>
    <t>Agricultural ecology -- Canada.; Agriculture -- Management -- Canada.; Agriculture and state -- Canada.; Crops and climate -- Canada.; Crops and climate -- Methodology.; Electronic books. -- local</t>
  </si>
  <si>
    <t>http://public.eblib.com/choice/PublicFullRecord.aspx?p=3412569</t>
  </si>
  <si>
    <t>Multiculturalism and the Canadian Constitution</t>
  </si>
  <si>
    <t>Tierney, Stephen J.</t>
  </si>
  <si>
    <t>KE4381 -- .M85 2007eb</t>
  </si>
  <si>
    <t>Civil rights -- Canada.; Minorities -- Legal status, laws, etc. -- Canada.; Multiculturalism -- Law and legislation -- Canada.</t>
  </si>
  <si>
    <t>http://public.eblib.com/choice/PublicFullRecord.aspx?p=3412570</t>
  </si>
  <si>
    <t>Nunavut : Rethinking Political Culture</t>
  </si>
  <si>
    <t>E99.E7 -- H458 2007eb</t>
  </si>
  <si>
    <t>Culture politique -- Nunavut.; Inuit -- Nunavut -- Politics and government.; Inuit -- Nunavut -- Politique et gouvernement.; Political culture -- Nunavut.; Political participation -- Nunavut.; Politics and culture -- Nunavut.; Politique et culture -- Nunavut.</t>
  </si>
  <si>
    <t>http://public.eblib.com/choice/PublicFullRecord.aspx?p=3412571</t>
  </si>
  <si>
    <t>Let Right Be Done : Aboriginal Title, the Calder Case, and the Future of Indigenous Rights</t>
  </si>
  <si>
    <t>Foster, Hamar; Raven, Heather</t>
  </si>
  <si>
    <t>KE7715 -- .L48 2007eb</t>
  </si>
  <si>
    <t>Calder, Frank -- Trials, litigation, etc.; Indians of North America -- Canada -- Claims.; Indians of North America -- Land tenure -- Canada.; Indians of North America -- Legal status, laws, etc. -- Canada.; Indigenous peoples -- Canada -- Claims.; Indigenous peoples -- Land tenure -- Canada.; Indigenous peoples -- Legal status, laws, etc. -- Canada.</t>
  </si>
  <si>
    <t>http://public.eblib.com/choice/PublicFullRecord.aspx?p=3412572</t>
  </si>
  <si>
    <t>New Histories for Old : Changing Perspectives on Canada’s Native Pasts</t>
  </si>
  <si>
    <t>Binnema, Theodore; Neylan, Susan</t>
  </si>
  <si>
    <t>E78.C2 -- N48 2007eb</t>
  </si>
  <si>
    <t>Indians of North America -- British Columbia -- History.; Indians of North America -- Canada -- History.; Ray, Arthur J.</t>
  </si>
  <si>
    <t>http://public.eblib.com/choice/PublicFullRecord.aspx?p=3412573</t>
  </si>
  <si>
    <t>Creating Postwar Canada : Community, Diversity, and Dissent, 1945-75</t>
  </si>
  <si>
    <t>Rutherdale, Robert; Fahrni, Magda</t>
  </si>
  <si>
    <t>F1034.2 -- .C74 2008eb</t>
  </si>
  <si>
    <t>Canada -- Economic conditions -- 1945-; Canada -- History -- 1945-; Canada -- Social conditions -- 1945-; Social change -- Canada -- History -- 20th century.</t>
  </si>
  <si>
    <t>http://public.eblib.com/choice/PublicFullRecord.aspx?p=3412574</t>
  </si>
  <si>
    <t>Navigating Neoliberalism : Self-Determination and the Mikisew Cree First Nation</t>
  </si>
  <si>
    <t>Slowey, Gabrielle</t>
  </si>
  <si>
    <t>E99.C88 -- S778 2008eb</t>
  </si>
  <si>
    <t>330.089/97071</t>
  </si>
  <si>
    <t>Cree Indians -- Alberta -- Economic conditions.; Cree Indians -- Alberta -- Government relations.; Cree Indians -- Alberta -- Politics and government.; Mikisew Cree First Nation.; Neoliberalism -- Alberta.; Première nation des Mikisew Cree.; Self-determination, National -- Canada.</t>
  </si>
  <si>
    <t>http://public.eblib.com/choice/PublicFullRecord.aspx?p=3412575</t>
  </si>
  <si>
    <t>An Officer and a Lady : Canadian Military Nursing and the Second World War</t>
  </si>
  <si>
    <t>Studies in Canadian Military History Series</t>
  </si>
  <si>
    <t>Toman, Cynthia</t>
  </si>
  <si>
    <t>D807.C2 -- T66 2007eb</t>
  </si>
  <si>
    <t>Canada. -- Canadian Armed Forces -- Nurses -- History -- 20th century.; Electronic books. -- local; Military nursing -- Canada -- History -- 20th century.; World War, 1939-1945 -- Medical care -- Canada.</t>
  </si>
  <si>
    <t>http://public.eblib.com/choice/PublicFullRecord.aspx?p=3412576</t>
  </si>
  <si>
    <t>Negotiating Responsibility : Law, Murder, and States of Mind</t>
  </si>
  <si>
    <t>White, Kimberley</t>
  </si>
  <si>
    <t>KE8910 -- .W45 2008eb</t>
  </si>
  <si>
    <t>345.71/04</t>
  </si>
  <si>
    <t>Criminal liability -- Canada -- History.; Forensic psychiatry -- Canada -- History.; Insanity (Law) -- Canada -- History.; Murder -- Canada -- History.; Trials (Murder) -- Canada.</t>
  </si>
  <si>
    <t>http://public.eblib.com/choice/PublicFullRecord.aspx?p=3412577</t>
  </si>
  <si>
    <t>Hunting for Empire : Narratives of Sport in Rupert's Land, 1840-70</t>
  </si>
  <si>
    <t>Gillespie, Greg</t>
  </si>
  <si>
    <t>Sport &amp; Recreation; Agriculture</t>
  </si>
  <si>
    <t>SK151 -- .G55 2007eb</t>
  </si>
  <si>
    <t>Big game hunting -- Prairie Provinces -- History -- 19th century.; British -- Canada -- History -- 19th century.; Electronic books. -- local; Great Britain -- Colonies -- America -- History -- 19th century.; Imperialism -- History -- 19th century.; Rupert''s Land -- Description and travel.; Travelers'' writings, British -- 19th century -- History and criticism.</t>
  </si>
  <si>
    <t>http://public.eblib.com/choice/PublicFullRecord.aspx?p=3412578</t>
  </si>
  <si>
    <t>National Visions, National Blindness : Canadian Art and Identities in the 1920s</t>
  </si>
  <si>
    <t>Dawn, Leslie</t>
  </si>
  <si>
    <t>N6545 -- .D39 2006eb</t>
  </si>
  <si>
    <t>Art, Canadian -- 20th century.; Electronic books. -- local; Indians in art.; Landscapes in art.</t>
  </si>
  <si>
    <t>http://public.eblib.com/choice/PublicFullRecord.aspx?p=3412579</t>
  </si>
  <si>
    <t>Clifford Sifton, Volume 2 : A Lonely Eminence, 1901-1929</t>
  </si>
  <si>
    <t>Hall, D.J.</t>
  </si>
  <si>
    <t>F1033.S59 -- H2542 1985eb</t>
  </si>
  <si>
    <t>Canada -- Politics and government -- 1867-1914.; Manitoba -- Politics and government.; Sifton, Clifford, -- Sir, -- 1861-1929.; Statesmen -- Canada -- Biography.</t>
  </si>
  <si>
    <t>http://public.eblib.com/choice/PublicFullRecord.aspx?p=3412580</t>
  </si>
  <si>
    <t>Britain and the Origins of Canadian Confederation, 1837-1867</t>
  </si>
  <si>
    <t>Martin, Ged</t>
  </si>
  <si>
    <t>F1032 -- .M37 1995eb</t>
  </si>
  <si>
    <t>Canada -- History -- Confederation, 1867.; Canada -- Politics and government -- 1841-1867.; Constitutional history -- Canada.; Electronic books. -- local; Great Britain -- Politics and government -- 1837-1901.</t>
  </si>
  <si>
    <t>http://public.eblib.com/choice/PublicFullRecord.aspx?p=3412581</t>
  </si>
  <si>
    <t>Hiroshima Immigrants in Canada, 1891-1941</t>
  </si>
  <si>
    <t>Ayukawa, Michiko Midge</t>
  </si>
  <si>
    <t>F1035.J3 -- A98 2008eb</t>
  </si>
  <si>
    <t>Canada -- Emigration and immigration -- History.; Electronic books. -- local; Hiroshima-ken (Japan) -- Emigration and immigration -- History.; Japanese -- Canada -- History.</t>
  </si>
  <si>
    <t>http://public.eblib.com/choice/PublicFullRecord.aspx?p=3412582</t>
  </si>
  <si>
    <t>At the Far Reaches of Empire : The Life of Juan Francisco de la Bodega y Quadra</t>
  </si>
  <si>
    <t>Tovell, Freeman M.</t>
  </si>
  <si>
    <t>F851.5 -- .T68 2008eb</t>
  </si>
  <si>
    <t>Bodega y Cuadra, Juan de la, -- 1743-1794 -- Travel -- Pacific Coast (North America); Bodega y Cuadra, Juan de la, -- 1743-1794.; Electronic books. -- local; Explorers -- Pacific Coast (North America) -- Biography.; Explorers -- Spain -- Biography.; Pacific Coast (North America) -- Description and travel.; Pacific Coast (North America) -- Discovery and exploration -- Spanish.</t>
  </si>
  <si>
    <t>http://public.eblib.com/choice/PublicFullRecord.aspx?p=3412583</t>
  </si>
  <si>
    <t>Captain Alex MacLean : Jack London's Sea Wolf</t>
  </si>
  <si>
    <t>MacGillivray, Don</t>
  </si>
  <si>
    <t>Agriculture; Military Science</t>
  </si>
  <si>
    <t>VK140.M28 -- M33 2008eb</t>
  </si>
  <si>
    <t>Electronic books. -- local; MacLean, Alexander, -- 1858-1914.; Sailors -- Nova Scotia -- Cape Breton Island -- Biography.; Sealers (Persons) -- Canada -- Biography.; Sealing -- Canada -- History.; Sealing -- North Pacific Ocean -- History.</t>
  </si>
  <si>
    <t>http://public.eblib.com/choice/PublicFullRecord.aspx?p=3412584</t>
  </si>
  <si>
    <t>Making Wawa : The Genesis of Chinook Jargon</t>
  </si>
  <si>
    <t>First Nations Language Series</t>
  </si>
  <si>
    <t>Lang, George</t>
  </si>
  <si>
    <t>PM846 -- .L35 2008eb</t>
  </si>
  <si>
    <t>497/.41</t>
  </si>
  <si>
    <t>Chinook jargon -- History.; Electronic books. -- local; Indians of North America -- Northwest, Pacific -- History.; Whites -- Northwest, Pacific -- Relations with Indians -- History.</t>
  </si>
  <si>
    <t>http://public.eblib.com/choice/PublicFullRecord.aspx?p=3412585</t>
  </si>
  <si>
    <t>Colonial Proximities : Crossracial Encounters and Juridical Truths in British Columbia, 1871-1921</t>
  </si>
  <si>
    <t>Mawani, Renisa</t>
  </si>
  <si>
    <t>F1089.7.A1 -- M325 2009eb</t>
  </si>
  <si>
    <t>British Columbia -- Race relations -- History.; Electronic books. -- local; Race discrimination -- Law and legislation -- British Columbia -- History.; Racially mixed people -- British Columbia -- History.; Racism -- British Columbia -- History.; Racism -- Political aspects -- British Columbia -- History.</t>
  </si>
  <si>
    <t>http://public.eblib.com/choice/PublicFullRecord.aspx?p=3412586</t>
  </si>
  <si>
    <t>Clifford Sifton, Volume 1 : The Young Napoleon, 1861-1900</t>
  </si>
  <si>
    <t>F1033.S53 -- H35 1981eb</t>
  </si>
  <si>
    <t>Canada -- Politics and government -- 1867-1914.; Manitoba -- Politics and government -- 1870-1900.; Politicians -- Canada -- Biography.; Sifton, Clifford, -- Sir, -- 1861-1929.</t>
  </si>
  <si>
    <t>http://public.eblib.com/choice/PublicFullRecord.aspx?p=3412587</t>
  </si>
  <si>
    <t>Japan's Motorcycle Wars : An Industry History</t>
  </si>
  <si>
    <t>Alexander, Jeffrey W.</t>
  </si>
  <si>
    <t>HD9710.5.J32 -- A44 2008eb</t>
  </si>
  <si>
    <t>338.4/762922750952</t>
  </si>
  <si>
    <t>Motocyclettes -- Industrie -- Japon -- Histoire.; Motocyclisme -- Japon -- Histoire.; Motorcycle industry -- Japan -- History.; Motorcycling -- Japan -- History.</t>
  </si>
  <si>
    <t>http://public.eblib.com/choice/PublicFullRecord.aspx?p=3412588</t>
  </si>
  <si>
    <t>Indigenous Storywork : Educating the Heart, Mind, Body, and Spirit</t>
  </si>
  <si>
    <t>E99.S21 -- .A73 2008eb</t>
  </si>
  <si>
    <t>398.2089/97071</t>
  </si>
  <si>
    <t>Coast Salish Indians -- British Columbia -- Folklore.; Coast Salish Indians -- Education -- Canada.; Coyote (Legendary character); Indiens d''Amérique -- Canada -- Folklore.; Older Indians -- British Columbia -- Interviews.; Oral tradition -- British Columbia.; Storytelling -- Canada.</t>
  </si>
  <si>
    <t>http://public.eblib.com/choice/PublicFullRecord.aspx?p=3412589</t>
  </si>
  <si>
    <t>Voices Raised in Protest : Defending North American Citizens of Japanese Ancestry, 1942-49</t>
  </si>
  <si>
    <t>Bangarth, Stephanie</t>
  </si>
  <si>
    <t>E184.J3 -- B36 2008eb</t>
  </si>
  <si>
    <t>323.1195/6071</t>
  </si>
  <si>
    <t>American Civil Liberties Union -- Histoire.; American Civil Liberties Union -- History -- 20th century.; Co-operative Committee on Japanese Canadians -- Histoire.; Co-operative Committee on Japanese Canadians -- History -- 20th century.; Co-operative Committee on Japanese Canadians -- History.; Japanese -- Civil rights -- Canada -- History -- 20th century.; Japanese Americans -- Civil rights -- History -- 20th century.</t>
  </si>
  <si>
    <t>http://public.eblib.com/choice/PublicFullRecord.aspx?p=3412590</t>
  </si>
  <si>
    <t>Defining Harm : Religious Freedom and the Limits of the Law</t>
  </si>
  <si>
    <t>Beaman, Lori G.</t>
  </si>
  <si>
    <t>KE4430 -- .B42 2008eb</t>
  </si>
  <si>
    <t>342.7108/52</t>
  </si>
  <si>
    <t>Fear -- Canada -- Religious aspects.; Freedom of religion -- Canada.; Psychology, Religious -- Canada.; Religion and law -- Canada.; Religious minorities -- Canada.</t>
  </si>
  <si>
    <t>http://public.eblib.com/choice/PublicFullRecord.aspx?p=3412591</t>
  </si>
  <si>
    <t>Becoming British Columbia : A Population History</t>
  </si>
  <si>
    <t>Belshaw, John</t>
  </si>
  <si>
    <t>HB3530.B7 -- B45 2009eb</t>
  </si>
  <si>
    <t>British Columbia -- History.; British Columbia -- Population -- History.; British Columbia -- Population -- Statistics.; Electronic books. -- local; Indians of North America -- British Columbia -- Population -- History.</t>
  </si>
  <si>
    <t>http://public.eblib.com/choice/PublicFullRecord.aspx?p=3412592</t>
  </si>
  <si>
    <t>Home Is the Hunter : The James Bay Cree and Their Land</t>
  </si>
  <si>
    <t>Carlson, Hans M.</t>
  </si>
  <si>
    <t>E99.C88 -- C37 2008eb</t>
  </si>
  <si>
    <t>Cree Indians -- Hunting -- James Bay Region.; Cree Indians -- Hunting -- Québec (Province) -- Nord-du-Québec.; Cree Indians -- James Bay Region -- Government relations.; Cree Indians -- James Bay Region -- History.; Cree Indians -- Québec (Province) -- Nord-du-Québec -- History.; Cultural landscapes -- James Bay Region.; Cultural landscapes -- Québec (Province) -- Nord-du-Québec.</t>
  </si>
  <si>
    <t>http://public.eblib.com/choice/PublicFullRecord.aspx?p=3412593</t>
  </si>
  <si>
    <t>Canada's Rights Revolution : Social Movements and Social Change, 1937-82</t>
  </si>
  <si>
    <t>Clement, Dominique</t>
  </si>
  <si>
    <t>JC599.C2 -- C54 2008eb</t>
  </si>
  <si>
    <t>British Columbia Civil Liberties Association -- Histoire.; Canadian Civil Liberties Association -- Histoire.; Défense des droits de l''homme -- Canada -- Histoire -- 20e siècle.; Human rights advocacy -- Canada -- History -- 20th century.; Human rights movements -- Canada -- History -- 20th century.; Mouvements des droits de l''homme -- Canada -- Histoire -- 20e siècle.; Newfoundland-Labrador Human Rights Association -- Histoire.</t>
  </si>
  <si>
    <t>http://public.eblib.com/choice/PublicFullRecord.aspx?p=3412594</t>
  </si>
  <si>
    <t>Democratizing Pension Funds : Corporate Governance and Accountability</t>
  </si>
  <si>
    <t>Davis, Ronald B.</t>
  </si>
  <si>
    <t>HD7105.4 -- .D385 2008eb</t>
  </si>
  <si>
    <t>Corporate governance.; Institutional investments -- Social aspects.; Institutional investors.; Pension trusts -- Investments.; Pension trusts -- Management.; Régimes privés de retraite -- Investissements.; Social responsibility of business.</t>
  </si>
  <si>
    <t>http://public.eblib.com/choice/PublicFullRecord.aspx?p=3412595</t>
  </si>
  <si>
    <t>Braiding Histories : Learning from Aboriginal Peoples' Experiences and Perspectives</t>
  </si>
  <si>
    <t>Dion, Susan D.</t>
  </si>
  <si>
    <t>E78.C2 -- D55 2009eb</t>
  </si>
  <si>
    <t>Canada -- Historiography.; Canada -- History -- Study and teaching.; Electronic books. -- local; Storytelling -- Canada.</t>
  </si>
  <si>
    <t>http://public.eblib.com/choice/PublicFullRecord.aspx?p=3412596</t>
  </si>
  <si>
    <t>Brock Chisholm, the World Health Organization, and the Cold War</t>
  </si>
  <si>
    <t>Farley, John</t>
  </si>
  <si>
    <t>RA8 -- .F37 2008eb</t>
  </si>
  <si>
    <t>Chisholm, Brock, -- 1896-1971.; Cold War.; Electronic books. -- local; Health services administrators -- Canada -- Biography.; Public health -- International cooperation.; World Health Organization -- History.; World health.</t>
  </si>
  <si>
    <t>http://public.eblib.com/choice/PublicFullRecord.aspx?p=3412597</t>
  </si>
  <si>
    <t>Healing Henan : Canadian Nurses at the North China Mission, 1888-1947</t>
  </si>
  <si>
    <t>Grypma, Sonya</t>
  </si>
  <si>
    <t>R722 -- .G79 2008eb</t>
  </si>
  <si>
    <t>Electronic books. -- local; Missions, Canadian -- China -- Henan Sheng -- History.; Missions, Medical -- China -- Henan Sheng -- History.; Nursing -- Canada -- History.; Nursing -- China -- Henan Sheng -- History.; Protestant churches -- Missions -- China -- Henan Sheng -- History.</t>
  </si>
  <si>
    <t>http://public.eblib.com/choice/PublicFullRecord.aspx?p=3412598</t>
  </si>
  <si>
    <t>The Reluctant Land : Society, Space, and Environment in Canada before Confederation</t>
  </si>
  <si>
    <t>F1008 -- .H37 2008eb</t>
  </si>
  <si>
    <t>Canada -- Historical geography.; Canada -- History -- 1763-1867.; Canada -- History -- To 1763 (New France); Human geography -- Canada.</t>
  </si>
  <si>
    <t>http://public.eblib.com/choice/PublicFullRecord.aspx?p=3412599</t>
  </si>
  <si>
    <t>Landing Native Fisheries : Indian Reserves and Fishing Rights in British Columbia, 1849-1925</t>
  </si>
  <si>
    <t>Harris, Douglas C.</t>
  </si>
  <si>
    <t>KEB529.5.H8 -- H373 2008eb</t>
  </si>
  <si>
    <t>346.71104/6956</t>
  </si>
  <si>
    <t>Fishery law and legislation -- British Columbia -- History.; Indians of North America -- Canada -- Government relations.; Indians of North America -- Fishing -- Law and legislation -- British Columbia -- History.; Indians of North America -- Land tenure -- British Columbia -- History.; Indians of North America -- Legal status, laws, etc. -- British Columbia -- History.; Indiens d''Amérique -- Pêche -- Droit -- Colombie-Britannique -- Histoire.; Pêches -- Droit -- Colombie-Britannique -- Histoire.</t>
  </si>
  <si>
    <t>http://public.eblib.com/choice/PublicFullRecord.aspx?p=3412600</t>
  </si>
  <si>
    <t>From Pride to Influence : Towards a New Canadian Foreign Policy</t>
  </si>
  <si>
    <t>FC242 -- .H38 2008eb</t>
  </si>
  <si>
    <t>Canada -- Foreign relations -- 1945-; Canada -- Foreign relations -- United States.; Electronic books. -- local; United States -- Foreign relations -- Canada.</t>
  </si>
  <si>
    <t>http://public.eblib.com/choice/PublicFullRecord.aspx?p=3412601</t>
  </si>
  <si>
    <t>Cautious Beginnings : Canadian Foreign Intelligence, 1939-51</t>
  </si>
  <si>
    <t>Jensen, Kurt F.</t>
  </si>
  <si>
    <t>UB251.C3 -- J45 2008eb</t>
  </si>
  <si>
    <t>Electronic books. -- local; Intelligence service -- Canada -- History -- 20th century.; Military intelligence -- Canada -- History -- 20th century.; World War, 1939-1945 -- Military intelligence -- Canada.; World War, 1939-1945 -- Secret service -- Canada.</t>
  </si>
  <si>
    <t>http://public.eblib.com/choice/PublicFullRecord.aspx?p=3412602</t>
  </si>
  <si>
    <t>The Provinces and Canadian Foreign Trade Policy</t>
  </si>
  <si>
    <t>Kukucha, Christopher J.</t>
  </si>
  <si>
    <t>HF1479 -- .K85 2008eb</t>
  </si>
  <si>
    <t>Canada -- Commerce.; Canada -- Commercial policy.; Canada -- Foreign economic relations.; Electronic books. -- local; Foreign trade promotion -- Canada -- Provinces.</t>
  </si>
  <si>
    <t>http://public.eblib.com/choice/PublicFullRecord.aspx?p=3412603</t>
  </si>
  <si>
    <t>Undercurrents : Queer Culture and Postcolonial Hong Kong</t>
  </si>
  <si>
    <t>Leung, Helen Hok-Sze</t>
  </si>
  <si>
    <t>NX180.H6 -- L48 2008eb</t>
  </si>
  <si>
    <t>Electronic books. -- local; Gays in popular culture -- China -- Hong Kong -- History.; Homosexuality -- Social aspects -- China -- Hong Kong -- History.; Homosexuality and art -- China -- Hong Kong -- History.; Homosexuality and motion pictures -- China -- Hong Kong -- History.; Hong Kong (China) -- History -- Transfer of Sovereignty from Great Britain, 1997.</t>
  </si>
  <si>
    <t>http://public.eblib.com/choice/PublicFullRecord.aspx?p=3412604</t>
  </si>
  <si>
    <t>Makúk : A New History of Aboriginal-White Relations</t>
  </si>
  <si>
    <t>Lutz, John Sutton</t>
  </si>
  <si>
    <t>E78.B9 -- L89 2008eb</t>
  </si>
  <si>
    <t>Indians of North America -- British Columbia -- Economic conditions.; Indians of North America -- British Columbia -- Government relations.; Indians of North America -- Employment -- British Columbia -- History.; Indiens d''Amérique -- Colombie-Britannique -- Conditions économiques.; Indiens d''Amérique -- Relations avec les Blancs.; Indiens d''Amérique -- Travail -- Colombie-Britannique -- Histoire.; Whites -- British Columbia -- Relations with Indians.</t>
  </si>
  <si>
    <t>http://public.eblib.com/choice/PublicFullRecord.aspx?p=3412605</t>
  </si>
  <si>
    <t>The New Lawyer : How Settlement Is Transforming the Practice of Law</t>
  </si>
  <si>
    <t>K120 -- .M33 2008eb</t>
  </si>
  <si>
    <t>347.71/09</t>
  </si>
  <si>
    <t>Attorney and client -- Canada.; Compromise (Law) -- Canada.; Compromise (Law) -- United States.; Dispute resolution (Law) -- Canada.; Dispute resolution (Law) -- United States.; Practice of law -- Canada.; Practice of law -- United States.</t>
  </si>
  <si>
    <t>http://public.eblib.com/choice/PublicFullRecord.aspx?p=3412606</t>
  </si>
  <si>
    <t>Renegades : Canadians in the Spanish Civil War</t>
  </si>
  <si>
    <t>Petrou, Michael</t>
  </si>
  <si>
    <t>DP269.47.C3 -- P48 2008eb</t>
  </si>
  <si>
    <t>946.081/42092271</t>
  </si>
  <si>
    <t>Soldiers -- Canada -- Biography.; Soldiers -- Spain -- Biography.; Spain -- History -- Civil War, 1936-1939 -- Participation, Canadian.; Spain. -- Ejército Popular de la República. -- MacKenzie-Papineau Battalion -- History.</t>
  </si>
  <si>
    <t>http://public.eblib.com/choice/PublicFullRecord.aspx?p=3412607</t>
  </si>
  <si>
    <t>Sins of the Flesh : A History of Vegetarian Thought</t>
  </si>
  <si>
    <t>Health; Philosophy</t>
  </si>
  <si>
    <t>TX392 -- .P74 2008eb</t>
  </si>
  <si>
    <t>Electronic books. -- local; Vegetarianism -- History.; Vegetarianism -- Moral and ethical aspects -- History.</t>
  </si>
  <si>
    <t>http://public.eblib.com/choice/PublicFullRecord.aspx?p=3412608</t>
  </si>
  <si>
    <t>Settlers on the Edge : Identity and Modernization on Russia's Arctic  Frontier</t>
  </si>
  <si>
    <t>Thompson, Niobe</t>
  </si>
  <si>
    <t>DK771.C4 -- T56 2008eb</t>
  </si>
  <si>
    <t>Acculturation -- Russia (Federation) -- Chukchi Peninsula.; Chukchi Peninsula (Russia) -- History -- 20th century.; Chukchi Peninsula (Russia) -- Population -- History -- 20th century.; Electronic books. -- local; Ethnology -- Russia (Federation) -- Chukchi Peninsula.; Migrant labor -- Russia (Federation) -- Chukchi Peninsula -- History.; Migration, Internal -- Russia (Federation) -- History -- 20th century.</t>
  </si>
  <si>
    <t>http://public.eblib.com/choice/PublicFullRecord.aspx?p=3412609</t>
  </si>
  <si>
    <t>Contributing Citizens : Modern Charitable Fundraising and the Making of the Welfare State, 1920-66</t>
  </si>
  <si>
    <t>Tillotson, Shirley</t>
  </si>
  <si>
    <t>HV41.9.C2 -- T55 2008eb</t>
  </si>
  <si>
    <t>361.70971/09041</t>
  </si>
  <si>
    <t>Aide sociale -- Canada -- Histoire -- 20e siècle.; Charities -- Political aspects -- Canada.; État providence -- Canada -- Histoire.; Oeuvres de bienfaisance -- Aspect politique -- Canada.; Public welfare -- Canada -- History -- 20th century.; Welfare state -- Canada -- History.</t>
  </si>
  <si>
    <t>http://public.eblib.com/choice/PublicFullRecord.aspx?p=3412610</t>
  </si>
  <si>
    <t>Gendering the Nation-State : Canadian and Comparative Perspectives</t>
  </si>
  <si>
    <t>Abu-Laban, Yasmeen; Eichler, Maya ; Sawer, Marian</t>
  </si>
  <si>
    <t>HQ1236.5.C2 -- G42 2008eb</t>
  </si>
  <si>
    <t>Citizenship.; Electronic books. -- local; Feminism -- Political aspects.; Nation-state.; Power (Social sciences)</t>
  </si>
  <si>
    <t>http://public.eblib.com/choice/PublicFullRecord.aspx?p=3412611</t>
  </si>
  <si>
    <t>The Paradoxes of Peacebuilding Post-9/11</t>
  </si>
  <si>
    <t>North-South Institute</t>
  </si>
  <si>
    <t>Baranyi, Stephen; Hauge, Wenche ; Hunguana, Carolina ; Jadotte, Herard ; Aguilera Peralta, Gabriel Edgardo ; Pierre, Yves-Francois ; Scholey, Pamela ; Sitoe, Eduardo J.</t>
  </si>
  <si>
    <t>JZ5538 -- .P365 2008eb</t>
  </si>
  <si>
    <t>Peace-building -- Case studies.; September 11 Terrorist Attacks, 2001.</t>
  </si>
  <si>
    <t>http://public.eblib.com/choice/PublicFullRecord.aspx?p=3412612</t>
  </si>
  <si>
    <t>Emerging Technologies : From Hindsight to Foresight</t>
  </si>
  <si>
    <t>Einsiedel, Edna F.</t>
  </si>
  <si>
    <t>T14.5 -- .E445 2009eb</t>
  </si>
  <si>
    <t>Biotechnology.; Genomics.; Nanotechnology.; Technological innovations -- Social aspects.; Technology -- Social aspects.</t>
  </si>
  <si>
    <t>http://public.eblib.com/choice/PublicFullRecord.aspx?p=3412613</t>
  </si>
  <si>
    <t>Law and Religious Pluralism in Canada</t>
  </si>
  <si>
    <t>Moon, Richard J.; Hutchinson, Roger ; Ryder, Bruce</t>
  </si>
  <si>
    <t>KE4430 -- .L39 2008eb</t>
  </si>
  <si>
    <t>344.71/096</t>
  </si>
  <si>
    <t>Church and state -- Canada.; Freedom of religion -- Canada.; Religious minorities -- Legal status, laws, etc. -- Canada.</t>
  </si>
  <si>
    <t>http://public.eblib.com/choice/PublicFullRecord.aspx?p=3412614</t>
  </si>
  <si>
    <t>Solidarity First : Canadian Workers and Social Cohesion</t>
  </si>
  <si>
    <t>O'Brien, Robert</t>
  </si>
  <si>
    <t>HD8104 -- .S66 2008eb</t>
  </si>
  <si>
    <t>Canada -- Economic conditions -- 1991-; Employees -- Canada.; Social integration -- Canada.; Social participation -- Canada.; Social values -- Canada.; Solidarity -- Canada.; Working class -- Canada.</t>
  </si>
  <si>
    <t>http://public.eblib.com/choice/PublicFullRecord.aspx?p=3412615</t>
  </si>
  <si>
    <t>Renegotiating Community : Interdisciplinary Perspectives, Global Contexts</t>
  </si>
  <si>
    <t>Globalization and Autonomy Series</t>
  </si>
  <si>
    <t>Brydon, Diana; Coleman, William D.</t>
  </si>
  <si>
    <t>JZ1318 -- .R47 2008eb</t>
  </si>
  <si>
    <t>Autonomy.; Communities.; Electronic books. -- local; Globalization -- Social aspects.; Group identity.; Transnationalism.</t>
  </si>
  <si>
    <t>http://public.eblib.com/choice/PublicFullRecord.aspx?p=3412616</t>
  </si>
  <si>
    <t>Global Ordering : Institutions and Autonomy in a Changing World</t>
  </si>
  <si>
    <t>Pauly, Louis W.; Coleman, William D.; Gensey, Guy ; Clarkson, Stephen ; Hedetoft, Ulf</t>
  </si>
  <si>
    <t>JZ1318 -- .G55873 2008eb</t>
  </si>
  <si>
    <t>Autonomy.; Globalization.; International agencies.</t>
  </si>
  <si>
    <t>http://public.eblib.com/choice/PublicFullRecord.aspx?p=3412617</t>
  </si>
  <si>
    <t>Bringing the Passions Back In : The Emotions in Political Philosophy</t>
  </si>
  <si>
    <t>Kingston, Rebecca; Ferry, Leonard</t>
  </si>
  <si>
    <t>JA71 -- .B755 2008eb</t>
  </si>
  <si>
    <t>Émotions -- Aspect politique.; Emotions -- Political aspects.; Émotions (Philosophie); Emotions (Philosophy); Idées politiques.; Political psychology.; Political science -- Philosophy.</t>
  </si>
  <si>
    <t>http://public.eblib.com/choice/PublicFullRecord.aspx?p=3412618</t>
  </si>
  <si>
    <t>Quebec : A Historical Geography</t>
  </si>
  <si>
    <t>Courville, Serge; Howard, Richard</t>
  </si>
  <si>
    <t>FC2911 -- .C6813 2008eb</t>
  </si>
  <si>
    <t>Electronic books. -- local; Human geography -- Québec (Province); Human territoriality -- Québec (Province) -- History.; Québec (Province) -- Economic conditions.; Québec (Province) -- Historical geography.; Québec (Province) -- Social conditions.</t>
  </si>
  <si>
    <t>http://public.eblib.com/choice/PublicFullRecord.aspx?p=3412619</t>
  </si>
  <si>
    <t>First Nations Cultural Heritage and Law : Case Studies, Voices, and Perspectives</t>
  </si>
  <si>
    <t>Bell, Catherine; Napoleon, Val</t>
  </si>
  <si>
    <t>KE7709 -- .F57 2008eb</t>
  </si>
  <si>
    <t>Cultural property -- Protection -- Canada -- Case studies.; Cultural property -- Protection -- Law and legislation -- Canada.; Cultural property -- Repatriation -- Canada.; Human remains (Archaeology) -- Repatriation -- Canada.; Indians of North America -- Land tenure -- Canada.; Indians of North America -- Legal status, laws, etc. -- Canada.; Indians of North America -- Material culture -- Canada.</t>
  </si>
  <si>
    <t>http://public.eblib.com/choice/PublicFullRecord.aspx?p=3412620</t>
  </si>
  <si>
    <t>Protection of First Nations Cultural Heritage : Laws, Policy, and Reform</t>
  </si>
  <si>
    <t>University of British Columbia Press (UBC)</t>
  </si>
  <si>
    <t>Bell, Catherine E.; Paterson, Robert K.</t>
  </si>
  <si>
    <t>KE7709 -- .P76 2009eb</t>
  </si>
  <si>
    <t>Autochtones -- Canada -- Vie intellectuelle.; Autochtones -- Culture matérielle -- Canada.; Autochtones -- Droit -- Canada.; Biens culturels -- Protection -- Droit -- Canada.; Cultural property -- Protection -- Law and legislation -- Canada.; Cultural property -- Repatriation -- North America.; Indigenous peoples -- Legal status, laws, etc. -- Canada.</t>
  </si>
  <si>
    <t>http://public.eblib.com/choice/PublicFullRecord.aspx?p=3412621</t>
  </si>
  <si>
    <t>Contradictory Impulses : Canada and Japan in the Twentieth Century</t>
  </si>
  <si>
    <t>Donaghy, Greg; Roy, Patricia E.; Iino, Masako ; Johnson, Gregory A. ; Kirton, Professor John ; Leclerc, Richard ; Perras, Galen Roger</t>
  </si>
  <si>
    <t>F1029.5.J3 -- C66 2008eb</t>
  </si>
  <si>
    <t>Canada -- Foreign relations -- Japan.; Canada -- Relations extérieures -- Japon.; Japan -- Foreign relations -- Canada.; Japon -- Relations extérieures -- Canada.</t>
  </si>
  <si>
    <t>http://public.eblib.com/choice/PublicFullRecord.aspx?p=3412622</t>
  </si>
  <si>
    <t>The Industrial Transformation of Subarctic Canada</t>
  </si>
  <si>
    <t>Nature/ History/ Society</t>
  </si>
  <si>
    <t>Piper, Liza</t>
  </si>
  <si>
    <t>HC117.N5 -- P56 2009eb</t>
  </si>
  <si>
    <t>Canada, Northern -- Economic conditions -- 20th century.; Canada, Northern -- Environmental conditions.; Environmental degradation -- Canada, Northern -- History.; Industrial policy -- Canada -- History.; Industrialization -- Canada, Northern -- History.; Natural resources -- Canada, Northern.; Winnipeg, Lake (Man.)</t>
  </si>
  <si>
    <t>http://public.eblib.com/choice/PublicFullRecord.aspx?p=3412623</t>
  </si>
  <si>
    <t>Crisis of Conscience : Conscientious Objection in Canada during the First World War</t>
  </si>
  <si>
    <t>Shaw, Amy</t>
  </si>
  <si>
    <t>UB342.C2 -- S53 2009eb</t>
  </si>
  <si>
    <t>Conscientious objection -- Canada -- History -- 20th century.; Conscientious objection -- Canada -- Public opinion -- History -- 20th century.; Draft -- Canada -- History.; Electronic books. -- local; World War, 1914-1918 -- Conscientious objectors -- Canada.</t>
  </si>
  <si>
    <t>http://public.eblib.com/choice/PublicFullRecord.aspx?p=3412624</t>
  </si>
  <si>
    <t>The Exchange University : Corporatization of Academic Culture</t>
  </si>
  <si>
    <t>Chan, Adrienne S.; Fisher, Donald</t>
  </si>
  <si>
    <t>Economics; Education; Business/Management</t>
  </si>
  <si>
    <t>LC67.68.C2 -- E84 2008eb</t>
  </si>
  <si>
    <t>338.4/337871</t>
  </si>
  <si>
    <t>Academic spin-outs -- Canada.; Business and education -- Canada.; Education, Higher -- Economic aspects -- Canada.; Education, Higher -- Research -- Economic aspects -- Canada.; Enseignement supérieur -- Aspect économique -- Canada.; Higher education and state -- Canada.; Universities and colleges -- Canada -- Finance.</t>
  </si>
  <si>
    <t>http://public.eblib.com/choice/PublicFullRecord.aspx?p=3412625</t>
  </si>
  <si>
    <t>The OECD and Transnational Governance</t>
  </si>
  <si>
    <t>Mahon, Rianne; McBride, Stephen; Deacon, Bob ; Drouillard, Lisa ; Grinvalds, Holly</t>
  </si>
  <si>
    <t>HD82 -- .O33 2008eb</t>
  </si>
  <si>
    <t>Economic policy -- International cooperation.; International cooperation.; International organization.; Organisation de cooperation et de developpement economiques.; Organisation for Economic Co-operation and Development.; Political planning -- International cooperation.; Social policy -- International cooperation.</t>
  </si>
  <si>
    <t>http://public.eblib.com/choice/PublicFullRecord.aspx?p=3412626</t>
  </si>
  <si>
    <t>Grand Experiment (The) : Law and Legal Culture in British Settler Societies</t>
  </si>
  <si>
    <t>Foster, Hamar; Berger, Benjamin L.; Buck, A.R.</t>
  </si>
  <si>
    <t>KD5020 -- .G73 2008eb</t>
  </si>
  <si>
    <t>Indians of North America -- Legal status, laws, etc. -- Canada -- History.; Law -- Great Britain -- Colonies -- History.; Law -- Great Britain -- History.</t>
  </si>
  <si>
    <t>http://public.eblib.com/choice/PublicFullRecord.aspx?p=3412627</t>
  </si>
  <si>
    <t>Healing Traditions : The Mental Health of Aboriginal Peoples in Canada, With a Foreword by Georges Henry Erasmus</t>
  </si>
  <si>
    <t>Erasmus, Georges Henry; Kirmayer, Laurence; Valaskakis, Gail Guthrie</t>
  </si>
  <si>
    <t>RC451.5.I5 -- H44 2009eb</t>
  </si>
  <si>
    <t>Electronic books. -- local; Indigenous peoples -- Canada.; Mental healing -- Canada.</t>
  </si>
  <si>
    <t>http://public.eblib.com/choice/PublicFullRecord.aspx?p=3412628</t>
  </si>
  <si>
    <t>Setting the Standard : Certification, Governance, and the Forest Stewardship Council</t>
  </si>
  <si>
    <t>Tollefson, Chris; Gale, Fred; Haley, David</t>
  </si>
  <si>
    <t>SD131 -- .T65 2008eb</t>
  </si>
  <si>
    <t>Electronic books. -- local; Forest management -- British Columbia.; Forest management.; Forest Stewardship Council.; Forests and forestry -- Certification -- British Columbia.</t>
  </si>
  <si>
    <t>http://public.eblib.com/choice/PublicFullRecord.aspx?p=3412629</t>
  </si>
  <si>
    <t>Electing a Diverse Canada : The Representation of Immigrants, Minorities, and Women</t>
  </si>
  <si>
    <t>Andrew, Caroline; Biles, John; Siemiatycki, Myer; Caverhill, Michael</t>
  </si>
  <si>
    <t>JL186.5 -- .E44 2008eb</t>
  </si>
  <si>
    <t>324/.08900971</t>
  </si>
  <si>
    <t>Immigrants -- Canada -- Activité politique.; Immigrants -- Political activity -- Canada.; Minorities -- Canada -- Activité politique.; Minorities -- Political activity -- Canada.; Political participation -- Canada.; Representative government and representation -- Canada.; Women -- Political activity -- Canada.</t>
  </si>
  <si>
    <t>http://public.eblib.com/choice/PublicFullRecord.aspx?p=3412630</t>
  </si>
  <si>
    <t>Place and Practice in Canadian Nursing History</t>
  </si>
  <si>
    <t>Elliott, Jayne; Stuart, Meryn; Toman, Cynthia</t>
  </si>
  <si>
    <t>RT6.A1 -- P59 2008eb</t>
  </si>
  <si>
    <t>Electronic books. -- local; Nurses -- Canada -- Biography.; Nurses -- Canada -- History.; Nursing -- Canada -- History.</t>
  </si>
  <si>
    <t>http://public.eblib.com/choice/PublicFullRecord.aspx?p=3412631</t>
  </si>
  <si>
    <t>The Comparative Turn in Canadian Political Science</t>
  </si>
  <si>
    <t>White, Linda; Simeon, Richard; Vipond, Robert</t>
  </si>
  <si>
    <t>JA84.C3 -- C65 2008eb</t>
  </si>
  <si>
    <t>320.0971/09045</t>
  </si>
  <si>
    <t>Comparative government.; Federal government -- Canada.; Institutions politiques comparées.; Multiculturalism -- Canada.; Political science -- Canada -- History -- 20th century.; Political science -- Study and teaching -- Canada.; Science politique -- Canada -- Histoire -- 20e siècle.</t>
  </si>
  <si>
    <t>http://public.eblib.com/choice/PublicFullRecord.aspx?p=3412632</t>
  </si>
  <si>
    <t>Canadian Yearbook of International Law, 2006 : Annuaire Canadien de Droit International</t>
  </si>
  <si>
    <t>McRae, Donald M.; de Mestral, A. L. C.</t>
  </si>
  <si>
    <t>http://public.eblib.com/choice/PublicFullRecord.aspx?p=3412633</t>
  </si>
  <si>
    <t>Language Matters : How Canadian Voluntary Associations Manage French and English</t>
  </si>
  <si>
    <t>Cameron, David R.; Simeon, Richard</t>
  </si>
  <si>
    <t>P119.32.C3 -- L36 2009eb</t>
  </si>
  <si>
    <t>Associations -- Canada.; Associations, institutions, etc. -- Canada.; Bilingualism -- Canada.; Bilinguisme -- Canada.; Canada -- Languages -- Political aspects.; Language policy -- Canada.; Politique linguistique -- Canada.</t>
  </si>
  <si>
    <t>http://public.eblib.com/choice/PublicFullRecord.aspx?p=3412634</t>
  </si>
  <si>
    <t>Forestry and Biodiversity : Learning How to Sustain Biodiversity in Managed Forests</t>
  </si>
  <si>
    <t>Bunnell, Fred L.; Dunsworth, Glen B.</t>
  </si>
  <si>
    <t>Science; Science: Biology/Natural History; Environmental Studies; Economics</t>
  </si>
  <si>
    <t>QH77.C2 -- F67 2009eb</t>
  </si>
  <si>
    <t>333.95/1609152</t>
  </si>
  <si>
    <t>Adaptive natural resource management -- British Columbia -- Case studies.; Coastal forests -- British Columbia -- Management -- Case studies.; Forest biodiversity conservation -- British Columbia -- Case studies.; Forest management -- British Columbia -- Case studies.; Rain forests -- British Columbia -- Management -- Case studies.; Sustainable forestry -- British Columbia -- Case studies.</t>
  </si>
  <si>
    <t>http://public.eblib.com/choice/PublicFullRecord.aspx?p=3412635</t>
  </si>
  <si>
    <t>Suburb, Slum, Urban Village : Transformations in Toronto's Parkdale Neighbourhood, 1875-2002</t>
  </si>
  <si>
    <t>Whitzman, Carolyn</t>
  </si>
  <si>
    <t>F1059.5.T686 -- P379 2009eb</t>
  </si>
  <si>
    <t>City planning -- Ontario -- Toronto -- Case studies.; Neighborhoods -- Ontario -- Toronto -- Case studies.; Parkdale (Toronto, Ont.) -- History.; Parkdale (Toronto, Ont.) -- Social conditions.; Social change -- Ontario -- Toronto -- Case studies.; Toronto (Ont.) -- History.; Toronto (Ont.) -- Social conditions.</t>
  </si>
  <si>
    <t>http://public.eblib.com/choice/PublicFullRecord.aspx?p=3412636</t>
  </si>
  <si>
    <t>First Nations, First Thoughts : The Impact of Indigenous Thought in Canada</t>
  </si>
  <si>
    <t>E78.C2 -- F539 2009eb</t>
  </si>
  <si>
    <t>Canada -- Civilization -- Indian influences.; Electronic books. -- local; Indians of North America -- Canada -- History.; Indians of North America -- Canada -- Intellectual life.; Indians of North America -- Canada -- Politics and government.</t>
  </si>
  <si>
    <t>http://public.eblib.com/choice/PublicFullRecord.aspx?p=3412637</t>
  </si>
  <si>
    <t>Opening Doors Wider : Women's Political Engagement in Canada</t>
  </si>
  <si>
    <t>HQ1236.5.C2 -- O64 2009eb</t>
  </si>
  <si>
    <t>320.082/0971</t>
  </si>
  <si>
    <t>Electronic books. -- local; Women -- Political activity -- Canada.; Women in public life -- Canada.; Women legislators -- Canada.</t>
  </si>
  <si>
    <t>http://public.eblib.com/choice/PublicFullRecord.aspx?p=3412638</t>
  </si>
  <si>
    <t>Pearson's Peacekeepers : Canada and the United Nations Emergency Force, 1956-67</t>
  </si>
  <si>
    <t>Carroll, Michael K.; Bothwell, Robert</t>
  </si>
  <si>
    <t>DT107.83 -- .C374 2009eb</t>
  </si>
  <si>
    <t>962.05/3</t>
  </si>
  <si>
    <t>Egypt -- History -- Intervention, 1956.; Force d''urgence des Nations Unies.; Peacekeeping forces -- Egypt -- History -- 20th century.; Peacekeeping forces, Canadian -- History -- 20th century.; Pearson, Lester B.; Pearson, Lester B., -- 1897-1972.; United Nations Emergency Force.</t>
  </si>
  <si>
    <t>http://public.eblib.com/choice/PublicFullRecord.aspx?p=3412639</t>
  </si>
  <si>
    <t>Identity/Difference Politics : How Difference Is Produced, and Why It Matters</t>
  </si>
  <si>
    <t>Dhamoon, Rita</t>
  </si>
  <si>
    <t>F1035.A1 -- D53 2009eb</t>
  </si>
  <si>
    <t>Ethnic relations -- Political aspects -- Canada.; Identity politics -- Canada.; Minorités -- Canada -- Activité politique.; Minorities -- Political activity -- Canada.; Multiculturalism.; Politique identitaire -- Canada.; Relations interethniques -- Aspect politique -- Canada.</t>
  </si>
  <si>
    <t>http://public.eblib.com/choice/PublicFullRecord.aspx?p=3412640</t>
  </si>
  <si>
    <t>Multi-Party Litigation : The Strategic Context</t>
  </si>
  <si>
    <t>McIntosh, Wayne V.; Cates, Cynthia L.</t>
  </si>
  <si>
    <t>K2243 -- .M35 2009eb</t>
  </si>
  <si>
    <t>Actions and defenses -- Political aspects.; Actions and defenses.; Actions et défenses -- Aspect politique.; Actions et défenses.</t>
  </si>
  <si>
    <t>http://public.eblib.com/choice/PublicFullRecord.aspx?p=3412641</t>
  </si>
  <si>
    <t>Empires and Autonomy : Moments in the History of Globalization</t>
  </si>
  <si>
    <t>Globalization and Autonomy</t>
  </si>
  <si>
    <t>Streeter, Stephen M.; Weaver, John C.; Coleman, William D.</t>
  </si>
  <si>
    <t>JZ1318 -- .E47 2009eb</t>
  </si>
  <si>
    <t>303.48/209</t>
  </si>
  <si>
    <t>Autonomy.; Electronic books. -- local; Globalization -- History.; Imperialism -- History.; Nation-state and globalization -- History.</t>
  </si>
  <si>
    <t>http://public.eblib.com/choice/PublicFullRecord.aspx?p=3412642</t>
  </si>
  <si>
    <t>Kiss the kids for dad, Don’t forget to write : The Wartime Letters of George Timmins, 1916-18</t>
  </si>
  <si>
    <t>Bennett, Y.A.; Bennett, Yvonne Aleksandra ; Bennett, Y a</t>
  </si>
  <si>
    <t>D640 -- .T638 2009eb</t>
  </si>
  <si>
    <t>Canada. -- Canadian Army. -- Canadian Expeditionary Force.; Soldiers -- Canada -- Correspondence.; Timmins, George, -- 1882-1974 -- Correspondance.; Timmins, George, -- 1882-1974 -- Correspondence.; World War, 1914-1918 -- Campaigns -- Belgium.; World War, 1914-1918 -- Campaigns -- France.; World War, 1914-1918 -- Personal narratives, Canadian.</t>
  </si>
  <si>
    <t>http://public.eblib.com/choice/PublicFullRecord.aspx?p=3412644</t>
  </si>
  <si>
    <t>Surveillance : Power, Problems, and Politics</t>
  </si>
  <si>
    <t>Hier, Sean P.; Greenberg, Josh</t>
  </si>
  <si>
    <t>HM846 -- .S87 2009eb</t>
  </si>
  <si>
    <t>303.3/3</t>
  </si>
  <si>
    <t>Electronic books. -- local; Electronic surveillance -- Political aspects.; Electronic surveillance -- Social aspects.; Information technology -- Social aspects.; Privacy, Right of.; Social control.</t>
  </si>
  <si>
    <t>http://public.eblib.com/choice/PublicFullRecord.aspx?p=3412645</t>
  </si>
  <si>
    <t>Thinking Planning and Urbanism</t>
  </si>
  <si>
    <t>Milroy, Beth Moore</t>
  </si>
  <si>
    <t>HT178.C22 -- T67 2009eb</t>
  </si>
  <si>
    <t>City planning -- Ontario -- Toronto.; Electronic books. -- local; Sociology, Urban -- Ontario -- Toronto.</t>
  </si>
  <si>
    <t>http://public.eblib.com/choice/PublicFullRecord.aspx?p=3412646</t>
  </si>
  <si>
    <t>Canadian Yearbook of International Law, 2007 : Annuaire Canadien de Droit International</t>
  </si>
  <si>
    <t>KZ21 -- .C3645 2008eb</t>
  </si>
  <si>
    <t>http://public.eblib.com/choice/PublicFullRecord.aspx?p=3412647</t>
  </si>
  <si>
    <t>Speaking for Ourselves : Environmental Justice in Canada</t>
  </si>
  <si>
    <t>Agyeman, Julian; Cole, Peter; Haluza-DeLay, Randolph; O'Riley, Pat</t>
  </si>
  <si>
    <t>GE240.C2 -- S64 2009eb</t>
  </si>
  <si>
    <t>363.7/00971</t>
  </si>
  <si>
    <t>Environmental justice -- Canada.</t>
  </si>
  <si>
    <t>http://public.eblib.com/choice/PublicFullRecord.aspx?p=3412648</t>
  </si>
  <si>
    <t>Finding Dahshaa : Self-Government, Social Suffering, and Aboriginal Policy in Canada</t>
  </si>
  <si>
    <t>Irlbacher-Fox, Stephanie</t>
  </si>
  <si>
    <t>E92 -- .I75 2009eb</t>
  </si>
  <si>
    <t>323.11970719/3</t>
  </si>
  <si>
    <t>Indigenous peoples -- Northwest Territories -- Government relations.; Indigenous peoples -- Northwest Territories -- Politics and government.; Indigenous peoples -- Northwest Territories -- Social conditions.</t>
  </si>
  <si>
    <t>http://public.eblib.com/choice/PublicFullRecord.aspx?p=3412649</t>
  </si>
  <si>
    <t>Leviathan Undone? : Towards a Political Economy of Scale</t>
  </si>
  <si>
    <t>Keil, Roger; Mahon, Rianne</t>
  </si>
  <si>
    <t>JL15 -- .L48 2009eb</t>
  </si>
  <si>
    <t>Canada -- Politics and government.; Canada. -- Canadian Charter of Rights and Freedoms.; Constitutional law -- Canada.</t>
  </si>
  <si>
    <t>http://public.eblib.com/choice/PublicFullRecord.aspx?p=3412650</t>
  </si>
  <si>
    <t>Canada, the Congo Crisis, and UN Peacekeeping, 1960-64</t>
  </si>
  <si>
    <t>Spooner, Kevin A.</t>
  </si>
  <si>
    <t>DT658.22 -- .S66 2009eb</t>
  </si>
  <si>
    <t>Canada -- Armed Forces -- Congo (Democratic Republic) -- History.; Canada -- Foreign relations -- 1945-; Congo (Democratic Republic) -- History -- Civil War, 1960-1965.; Electronic books. -- local; History, Modern -- 20th century.; United Nations -- Peacekeeping forces -- Congo (Democratic Republic) -- History.; United Nations Operation in the Congo.</t>
  </si>
  <si>
    <t>http://public.eblib.com/choice/PublicFullRecord.aspx?p=3412651</t>
  </si>
  <si>
    <t>The Nurture of Nature : Childhood, Antimodernism, and Ontario Summer Camps, 1920-55</t>
  </si>
  <si>
    <t>Wall, Sharon</t>
  </si>
  <si>
    <t>GV195.C2 -- W35 2009eb</t>
  </si>
  <si>
    <t>306.4/8</t>
  </si>
  <si>
    <t>Camping -- Ontario -- History -- 20th century.; Camping -- Social aspects -- Ontario.; Camps -- Ontario -- History -- 20th century.; Camps -- Social aspects -- Ontario.; Electronic books. -- local; Outdoor recreation for children -- Ontario -- History -- 20th century.; Outdoor recreation for children -- Social aspects -- Ontario.</t>
  </si>
  <si>
    <t>http://public.eblib.com/choice/PublicFullRecord.aspx?p=3412652</t>
  </si>
  <si>
    <t>A History of Early Childhood Education in Canada, Australia, and New Zealand</t>
  </si>
  <si>
    <t>Prochner, Larry</t>
  </si>
  <si>
    <t>LB1139.23 -- .P755 2009eb</t>
  </si>
  <si>
    <t>Early childhood education -- Australia -- History.; Early childhood education -- Canada -- History.; Early childhood education -- History.; Early childhood education -- New Zealand -- History.</t>
  </si>
  <si>
    <t>http://public.eblib.com/choice/PublicFullRecord.aspx?p=3412653</t>
  </si>
  <si>
    <t>Big Steel : Technology, Trade, and Survival in a Global Market</t>
  </si>
  <si>
    <t>HD9510.5 -- .M33 2009eb</t>
  </si>
  <si>
    <t>338.4/7669142</t>
  </si>
  <si>
    <t>Electronic books. -- local; Steel industry and trade -- History.; Steel industry and trade.</t>
  </si>
  <si>
    <t>http://public.eblib.com/choice/PublicFullRecord.aspx?p=3412654</t>
  </si>
  <si>
    <t>Canada's Voice : The Public Life of John Wendell Holmes</t>
  </si>
  <si>
    <t>F1034.3.H65 -- C47 2009eb</t>
  </si>
  <si>
    <t>Canada -- Relations extérieures -- 20e siècle.; Canadian Institute of International Affairs -- Officials and employees -- Biography.; Diplomates -- Canada -- Biographies.; Diplomats -- Canada -- Biography.; Holmes, John W. -- (John Wendell), -- 1910-1988.; Institut canadien des affaires internationales -- Fonctionnaires -- Biographies.</t>
  </si>
  <si>
    <t>http://public.eblib.com/choice/PublicFullRecord.aspx?p=3412655</t>
  </si>
  <si>
    <t>Contested Constitutionalism : Reflections on the Canadian Charter of Rights and Freedoms</t>
  </si>
  <si>
    <t>Kelly, James B.; Manfredi, Christopher P.</t>
  </si>
  <si>
    <t>KE4381.5 -- .C66 2009eb</t>
  </si>
  <si>
    <t>Canada -- Politique et gouvernement -- 1984-1993.; Canada -- Politique et gouvernement -- 1993-2006.; Canada. -- Canadian Charter of Rights and Freedoms.; Canada. -- Charte canadienne des droits et libertés.; Civil rights -- Canada.; Droits de l''homme -- Canada.</t>
  </si>
  <si>
    <t>http://public.eblib.com/choice/PublicFullRecord.aspx?p=3412656</t>
  </si>
  <si>
    <t>Fire and the Full Moon : Canada and Indonesia in a Decolonizing World</t>
  </si>
  <si>
    <t>Webster, David</t>
  </si>
  <si>
    <t>F1029.5.I5 -- W43 2009eb</t>
  </si>
  <si>
    <t>Canada -- Foreign relations -- 1945-; Canada -- Foreign relations -- Indonesia.; Decolonization -- Indonesia -- History.; Electronic books. -- local; Indonesia -- Foreign relations -- Canada.</t>
  </si>
  <si>
    <t>http://public.eblib.com/choice/PublicFullRecord.aspx?p=3412657</t>
  </si>
  <si>
    <t>Deliberative Democracy in Practice</t>
  </si>
  <si>
    <t>Kahane, David; Leydet, Dominique ; Williams, Melissa</t>
  </si>
  <si>
    <t>JC423 -- .D38944 2010eb</t>
  </si>
  <si>
    <t>Deliberative democracy.</t>
  </si>
  <si>
    <t>http://public.eblib.com/choice/PublicFullRecord.aspx?p=3412658</t>
  </si>
  <si>
    <t>Reforming Japan : The Woman’s Christian Temperance Union in the Meiji Period</t>
  </si>
  <si>
    <t>Lublin, Elizabeth Dorn</t>
  </si>
  <si>
    <t>HV5247.J3 -- L84 2010beb</t>
  </si>
  <si>
    <t>363.4/1095209034</t>
  </si>
  <si>
    <t>Japan -- Moral conditions.; Japan -- Social conditions -- 1868-1912.; Japan -- Social policy.; Social problems -- Japan -- History.; Woman''s Christian Temperance Union -- History.; Women social reformers -- Japan -- History.</t>
  </si>
  <si>
    <t>http://public.eblib.com/choice/PublicFullRecord.aspx?p=3412659</t>
  </si>
  <si>
    <t>Asian Religiions in British Colubia</t>
  </si>
  <si>
    <t>DeVries, Larry; Baker, Don; Overmyer, Dan</t>
  </si>
  <si>
    <t>BL2530.C2 -- A84 2010eb</t>
  </si>
  <si>
    <t>Asians -- British Columbia -- Religion.; Asiatiques -- Colombie-Britannique -- Religion.; British Columbia -- Religion.; Colombie-Britannique -- Religion.</t>
  </si>
  <si>
    <t>http://public.eblib.com/choice/PublicFullRecord.aspx?p=3412660</t>
  </si>
  <si>
    <t>Media Divides : Communication Rights and the Right to Communicate in Canada</t>
  </si>
  <si>
    <t>Raboy, Marc; Shtern, Jeremy; McIver, William J.; McIver, William J ; Murray, Associate Professor Department of English Laura J ; ? Siochr?, Se?n ; Regan Shade, Leslie</t>
  </si>
  <si>
    <t>P95.82.C2 -- R33 2010eb</t>
  </si>
  <si>
    <t>Communication policy -- Canada.; Copyright -- Canada.; Freedom of expression -- Canada.; Mass media -- Law and legislation -- Canada.; Mass media policy -- Canada.; Privacy, Right of -- Canada.; Telecommunication policy -- Canada.</t>
  </si>
  <si>
    <t>http://public.eblib.com/choice/PublicFullRecord.aspx?p=3412661</t>
  </si>
  <si>
    <t>The Way of the Bachelor : Early Chinese Settlement in Manitoba</t>
  </si>
  <si>
    <t>Marshall, Alison R.; Mark, the Hon. Inky</t>
  </si>
  <si>
    <t>F1062 -- .M37 2011eb</t>
  </si>
  <si>
    <t>Bachelors -- Manitoba -- History -- 20th century.; Chinese restaurants -- Manitoba -- History -- 20th century.; Electronic books. -- local; Laundries -- Manitoba -- History -- 20th century.; Zhongguo guo min dang. -- Manitoba Branch -- History.</t>
  </si>
  <si>
    <t>http://public.eblib.com/choice/PublicFullRecord.aspx?p=3412663</t>
  </si>
  <si>
    <t>Eating Bitterness : New Perspectives on China's Great Leap Forward and Famine</t>
  </si>
  <si>
    <t>Manning, Kimberley Ens; Wemheuer, Felix</t>
  </si>
  <si>
    <t>DS777.56 -- .E38 2011eb</t>
  </si>
  <si>
    <t>China -- Economic conditions -- 1949-1976.; China -- Economic policy -- 1949-1976.; China -- History -- 1949-1976.; China -- Politics and government -- 1949-1976.; China -- Social conditions -- 1949-1976.; Famines -- China -- History -- 20th century.</t>
  </si>
  <si>
    <t>http://public.eblib.com/choice/PublicFullRecord.aspx?p=3412664</t>
  </si>
  <si>
    <t>Judging Homosexuals : A History of Gay Persecution in Quebec and France</t>
  </si>
  <si>
    <t>Corriveau, Patrice; Adam, Barry</t>
  </si>
  <si>
    <t>HQ76.3.C3 -- C67 2011eb</t>
  </si>
  <si>
    <t>Electronic books. -- local; Gays -- Legal status, laws, etc. -- France -- History.; Gays -- Legal status, laws, etc. -- Québec (Province) -- History.; Homosexuality -- Social aspects -- France -- History.; Homosexuality -- Social aspects -- Québec (Province) -- History.</t>
  </si>
  <si>
    <t>http://public.eblib.com/choice/PublicFullRecord.aspx?p=3412665</t>
  </si>
  <si>
    <t>Money, Politics, and Democracy : Canada’s Party Finance Reforms</t>
  </si>
  <si>
    <t>Young, Lisa; Jansen, Harold J.</t>
  </si>
  <si>
    <t>KE4646 -- .M66 2011eb</t>
  </si>
  <si>
    <t>Campaign funds -- Canada.; Campaign funds -- Law and legislation -- Canada.; Electronic books. -- local</t>
  </si>
  <si>
    <t>http://public.eblib.com/choice/PublicFullRecord.aspx?p=3412667</t>
  </si>
  <si>
    <t>Globalization and Local Adaptation in International Trade Law</t>
  </si>
  <si>
    <t>Asia Pacific Legal Culture and Globalization Series</t>
  </si>
  <si>
    <t>Potter, Pitman B.; Biukovic, Ljiljana</t>
  </si>
  <si>
    <t>KNC842 -- .G56 2011eb</t>
  </si>
  <si>
    <t>Dispute resolution (Law) -- Pacific Area.; Electronic books. -- local; Foreign trade regulation -- Pacific Area.; Globalization -- Economic aspects -- Pacific Area.; Pacific Area -- Commercial policy.</t>
  </si>
  <si>
    <t>http://public.eblib.com/choice/PublicFullRecord.aspx?p=3412668</t>
  </si>
  <si>
    <t>Code Politics : Campaigns and Cultures on the Canadian Prairies</t>
  </si>
  <si>
    <t>Wesley, Jared J.</t>
  </si>
  <si>
    <t>JA75.7 -- .W47 2011eb</t>
  </si>
  <si>
    <t>Alberta -- Politics and government.; Manitoba -- Politics and government.; Political culture -- Alberta.; Political culture -- Manitoba.; Political culture -- Prairie Provinces.; Political culture -- Saskatchewan.; Saskatchewan -- Politics and government.</t>
  </si>
  <si>
    <t>http://public.eblib.com/choice/PublicFullRecord.aspx?p=3412669</t>
  </si>
  <si>
    <t>Xavier's Legacies : Catholicism in Modern Japanese Culture</t>
  </si>
  <si>
    <t>Doak, Kevin M.</t>
  </si>
  <si>
    <t>BX1668 -- .X39 2011eb</t>
  </si>
  <si>
    <t>Catholic Church -- Japan -- History.; Catholic Church -- Japan -- Influence.; Catholic Church -- Social aspects -- Japan.; Christianity -- Japan.; Electronic books. -- local; Japan -- Religious life and customs.</t>
  </si>
  <si>
    <t>http://public.eblib.com/choice/PublicFullRecord.aspx?p=3412670</t>
  </si>
  <si>
    <t>Keeping the Nation's House : Domestic Management and the Making of Modern China</t>
  </si>
  <si>
    <t>Schneider, Helen M.</t>
  </si>
  <si>
    <t>TX101 -- .S36 2011eb</t>
  </si>
  <si>
    <t>Electronic books. -- local; Families -- Political aspects -- China -- History -- 20th century.; Home economics -- China -- History -- 20th century.; Home economics -- Study and teaching -- China -- History -- 20th century.; Sex role -- China -- History -- 20th century.; Women -- China -- Social conditions -- 20th century.; Women -- Education -- China -- History -- 20th century.</t>
  </si>
  <si>
    <t>http://public.eblib.com/choice/PublicFullRecord.aspx?p=3412671</t>
  </si>
  <si>
    <t>A Life in Balance? : Reopening the Family-Work Debate</t>
  </si>
  <si>
    <t>Krull, Catherine; Sempruch, Justyna</t>
  </si>
  <si>
    <t>HD4904.25 -- .L53 2011eb</t>
  </si>
  <si>
    <t>Caregivers -- Family relationships -- Canada.; Electronic books. -- local; Women -- Canada -- Social conditions.; Women -- Employment -- Canada.; Work and family -- Canada.</t>
  </si>
  <si>
    <t>http://public.eblib.com/choice/PublicFullRecord.aspx?p=3412672</t>
  </si>
  <si>
    <t>Faith, Politics, and Sexual Diversity in Canada and the United States</t>
  </si>
  <si>
    <t>Rayside, David; Wilcox, Clyde</t>
  </si>
  <si>
    <t>HQ76.8.C3 -- F35 2011eb</t>
  </si>
  <si>
    <t>Gay rights -- Canada -- Public opinion.; Gay rights -- Canada -- Religious aspects.; Gay rights -- United States -- Public opinion.; Gay rights -- United States -- Religious aspects.; Homosexuality -- Religious aspects.; Same-sex marriage -- Canada -- Religious aspects.; Same-sex marriage -- United States -- Religious aspects.</t>
  </si>
  <si>
    <t>http://public.eblib.com/choice/PublicFullRecord.aspx?p=3412673</t>
  </si>
  <si>
    <t>British Columbia’s Inland Rainforest : Ecology, Conservation, and Management</t>
  </si>
  <si>
    <t>Stevenson, Susan K.; Armleder, Harold M.; Coxson, Darwyn ; DeLong, S. Craig ; Jull, M. J.</t>
  </si>
  <si>
    <t>SD146.B7 -- B755 2011eb</t>
  </si>
  <si>
    <t>Electronic books. -- local; Temperate rain forest conservation -- British Columbia.; Temperate rain forest ecology -- British Columbia.; Temperate rain forests -- British Columbia -- Management.; Temperate rain forests -- British Columbia.</t>
  </si>
  <si>
    <t>http://public.eblib.com/choice/PublicFullRecord.aspx?p=3412674</t>
  </si>
  <si>
    <t>Contesting White Supremacy : School Segregation, Anti-Racism, and the Making of Chinese Canadians</t>
  </si>
  <si>
    <t>Stanley, Timothy J.</t>
  </si>
  <si>
    <t>HS1610 -- .S83 2011eb</t>
  </si>
  <si>
    <t>Electronic books. -- local; Social movements.; White supremacy movements.</t>
  </si>
  <si>
    <t>http://public.eblib.com/choice/PublicFullRecord.aspx?p=3412675</t>
  </si>
  <si>
    <t>Retail Nation : Department Stores and the Making of Modern Canada</t>
  </si>
  <si>
    <t>Belisle, Donica</t>
  </si>
  <si>
    <t>HC120.C6 -- B45 2011eb</t>
  </si>
  <si>
    <t>Consumption (Economics) -- Canada -- History.; Department stores -- Canada -- History.; Retail trade -- Canada -- History.</t>
  </si>
  <si>
    <t>http://public.eblib.com/choice/PublicFullRecord.aspx?p=3412676</t>
  </si>
  <si>
    <t>Corporate Social Responsibility and the State : International Approaches to Forest Co-Regulation</t>
  </si>
  <si>
    <t>Lister, Jane</t>
  </si>
  <si>
    <t>SD387.S69 -- L57 2011eb</t>
  </si>
  <si>
    <t>Forest management -- Standards.; Forest policy.; Forest products -- Certification.; Sustainable forestry.</t>
  </si>
  <si>
    <t>http://public.eblib.com/choice/PublicFullRecord.aspx?p=3412677</t>
  </si>
  <si>
    <t>Property, Territory, Globalization : Struggles over Autonomy</t>
  </si>
  <si>
    <t>JZ1318 -- .P747 2011eb</t>
  </si>
  <si>
    <t>Autonomy.; Globalization -- Political aspects.; Indigenous peoples -- Land tenure.; Intellectual property.; Law and globalization.</t>
  </si>
  <si>
    <t>http://public.eblib.com/choice/PublicFullRecord.aspx?p=3412678</t>
  </si>
  <si>
    <t>First Person Plural : Aboriginal Storytelling and the Ethics of Collaborative Authorship</t>
  </si>
  <si>
    <t>McCall, Sophie</t>
  </si>
  <si>
    <t>E78.C2 -- M33 2011eb</t>
  </si>
  <si>
    <t>Authorship -- Collaboration.; Intercultural communication -- Canada.; Oral tradition -- Canada.</t>
  </si>
  <si>
    <t>http://public.eblib.com/choice/PublicFullRecord.aspx?p=3412679</t>
  </si>
  <si>
    <t>Defence and Discovery : Canada’s Military Space Program, 1945-74</t>
  </si>
  <si>
    <t>Godefroy, Andrew B.</t>
  </si>
  <si>
    <t>Engineering; Military Science; Engineering: General</t>
  </si>
  <si>
    <t>UG1525.C3 -- G63 2011eb</t>
  </si>
  <si>
    <t>623/.690971</t>
  </si>
  <si>
    <t>Astronautics, Military -- Canada -- History.; Canada -- History, Military -- 20th century.; Outer space -- Exploration -- Canada -- History.</t>
  </si>
  <si>
    <t>http://public.eblib.com/choice/PublicFullRecord.aspx?p=3412680</t>
  </si>
  <si>
    <t>Transforming Law's Family : The Legal Recognition of Planned Lesbian Motherhood</t>
  </si>
  <si>
    <t>Kelly, Fiona</t>
  </si>
  <si>
    <t>KE600 -- .K44 2011eb</t>
  </si>
  <si>
    <t>346.7101/7</t>
  </si>
  <si>
    <t>Law reform -- Canada.; Lesbian couples as parents -- Legal status, laws, etc. -- Canada.; Lesbian mothers -- Canada -- Interviews.; Lesbian mothers -- Family relationships -- Canada.; Lesbian mothers -- Legal status, laws, etc. -- Canada.; Parent and child (Law) -- Canada.</t>
  </si>
  <si>
    <t>http://public.eblib.com/choice/PublicFullRecord.aspx?p=3412681</t>
  </si>
  <si>
    <t>Orienting Canada : Race, Empire, and the Transpacific</t>
  </si>
  <si>
    <t>Price, John</t>
  </si>
  <si>
    <t>F1034.2 -- .P75 2011eb</t>
  </si>
  <si>
    <t>Asia -- Foreign relations -- Canada.; Asia -- Race relations -- History -- 20th century.; Canada -- Foreign relations -- Asia.; Canada -- Foreign relations -- Pacific Area.; Canada -- Race relations -- History -- 20th century.; Imperialism -- History -- 20th century.; Pacific Area -- Foreign relations -- Canada.</t>
  </si>
  <si>
    <t>http://public.eblib.com/choice/PublicFullRecord.aspx?p=3412682</t>
  </si>
  <si>
    <t>Westward Bound : Sex, Violence, the Law, and the Making of a Settler Society</t>
  </si>
  <si>
    <t>Erickson, Lesley</t>
  </si>
  <si>
    <t>HV9960.C2 -- E75 2011eb</t>
  </si>
  <si>
    <t>Criminal justice, Administration of -- Canada, Western -- History.; Criminal law -- Social aspects -- Canada, Western.; Female offenders -- Canada, Western -- History.; Sex discrimination in criminal justice administration -- Canada, Western -- History.; Women -- Crimes against -- Canada, Western -- History.</t>
  </si>
  <si>
    <t>http://public.eblib.com/choice/PublicFullRecord.aspx?p=3412683</t>
  </si>
  <si>
    <t>Corps Commanders : Five British and Canadian Generals at War, 1939-45</t>
  </si>
  <si>
    <t>Delaney, Douglas E.</t>
  </si>
  <si>
    <t>D768.15 -- .D45 2011eb</t>
  </si>
  <si>
    <t>Canada. -- Canadian Army -- Officers -- Biography.; Generals -- Canada -- Biography.; Generals -- Great Britain -- Biography.; Great Britain. -- Army -- Officers -- Biography.; World War, 1939-1945 -- Canada -- Biography.; World War, 1939-1945 -- Great Britain -- Biography.</t>
  </si>
  <si>
    <t>http://public.eblib.com/choice/PublicFullRecord.aspx?p=3412684</t>
  </si>
  <si>
    <t>Grassroots Liberals : Organizing for Local and National Politics</t>
  </si>
  <si>
    <t>Koop, Royce</t>
  </si>
  <si>
    <t>JL197.L5 -- K66 2011eb</t>
  </si>
  <si>
    <t>Canada -- Politics and government.; Liberal Party of Canada.; Political participation -- Canada.</t>
  </si>
  <si>
    <t>http://public.eblib.com/choice/PublicFullRecord.aspx?p=3412685</t>
  </si>
  <si>
    <t>Wet Prairie : People, Land, and Water in Agricultural Manitoba</t>
  </si>
  <si>
    <t>Stunden Bower, Shannon</t>
  </si>
  <si>
    <t>S451.5.M3 -- S78 2011eb</t>
  </si>
  <si>
    <t>333.76/097127</t>
  </si>
  <si>
    <t>Agriculture -- Manitoba -- History.; Agriculture -- Social aspects -- Manitoba.; Agriculture and state -- Manitoba.; Drainage -- Manitoba -- History.; Watershed management -- Manitoba -- History.</t>
  </si>
  <si>
    <t>http://public.eblib.com/choice/PublicFullRecord.aspx?p=3412686</t>
  </si>
  <si>
    <t>New Possibilities for the Past : Shaping History Education in Canada</t>
  </si>
  <si>
    <t>Clark, Penney</t>
  </si>
  <si>
    <t>F1025 -- .N49 2011eb</t>
  </si>
  <si>
    <t>Canada -- History -- Study and teaching.; History -- Study and teaching -- Canada.</t>
  </si>
  <si>
    <t>http://public.eblib.com/choice/PublicFullRecord.aspx?p=3412687</t>
  </si>
  <si>
    <t>The Freedom of Security : Governing Canada in the Age of Counter-Terrorism</t>
  </si>
  <si>
    <t>Bell, Colleen</t>
  </si>
  <si>
    <t>JC599.C2 -- B45 2011eb</t>
  </si>
  <si>
    <t>Civil rights -- Canada.; National security -- Canada.; Terrorism -- Prevention -- Government policy -- Canada.; Terrorism -- Prevention -- Political aspects -- Canada.</t>
  </si>
  <si>
    <t>http://public.eblib.com/choice/PublicFullRecord.aspx?p=3412688</t>
  </si>
  <si>
    <t>Labour at the Lakehead : Ethnicity, Socialism, and Politics, 1900-35</t>
  </si>
  <si>
    <t>Beaulieu, Michel S.</t>
  </si>
  <si>
    <t>HD6529.T67 -- B43 2011eb</t>
  </si>
  <si>
    <t>331.8/097131209041</t>
  </si>
  <si>
    <t>Labor movement -- Ontario -- Thunder Bay -- History -- 20th century.; Labor unions -- Ontario -- Thunder Bay -- History -- 20th century.; Thunder Bay (Ont.) -- Ethnic relations.; Thunder Bay (Ont.) -- Politics and government -- 20th century.; Thunder Bay (Ont.) -- Social conditions -- 20th century.</t>
  </si>
  <si>
    <t>http://public.eblib.com/choice/PublicFullRecord.aspx?p=3412689</t>
  </si>
  <si>
    <t>The Many Voyages of Arthur Wellington Clah : A Tsimshian Man on the Pacific Northwest Coast</t>
  </si>
  <si>
    <t>Brock, Peggy</t>
  </si>
  <si>
    <t>E99.T8 -- B76 2011eb</t>
  </si>
  <si>
    <t>Clah, Arthur Wellington, -- 1831-1916 -- Diaries.; Clah, Arthur Wellington, -- 1831-1916 -- Travel -- Northwest Coast of North America.; Clah, Arthur Wellington, -- 1831-1916.; Tsimshian Indians -- Biography.; Tsimshian Indians -- British Columbia -- Government relations.</t>
  </si>
  <si>
    <t>http://public.eblib.com/choice/PublicFullRecord.aspx?p=3412690</t>
  </si>
  <si>
    <t>Wife to Widow : Lives, Laws, and Politics in Nineteenth-Century Montreal</t>
  </si>
  <si>
    <t>Bradbury, Bettina</t>
  </si>
  <si>
    <t>HQ1453 -- .B73 2011eb</t>
  </si>
  <si>
    <t>Married women -- Legal status, laws, etc. -- Québec (Province) -- History -- 19th century.; Married women -- Québec (Province) -- Montréal -- Social conditions -- 19th century.; Montréal (Québec) -- Biography.; Montréal (Québec) -- History -- 19th century.; Widows -- Legal status, laws, etc. -- Québec (Province) -- History -- 19th century.; Widows -- Québec (Province) -- Montréal -- Social conditions -- 19th century.</t>
  </si>
  <si>
    <t>http://public.eblib.com/choice/PublicFullRecord.aspx?p=3412691</t>
  </si>
  <si>
    <t>Age, Gender, and Work : Small Information Technology Firms in the New Economy</t>
  </si>
  <si>
    <t>McMullin, Julie Ann</t>
  </si>
  <si>
    <t>HD8039.I37 -- A34 2011eb</t>
  </si>
  <si>
    <t>331.11/91004</t>
  </si>
  <si>
    <t>Age and employment.; Corporate culture.; Information services industry -- Employees.; Sex role in the work environment.; Small business.; Women computer industry employees.</t>
  </si>
  <si>
    <t>http://public.eblib.com/choice/PublicFullRecord.aspx?p=3412692</t>
  </si>
  <si>
    <t>Beyond Suffering : Recounting War in Modern China</t>
  </si>
  <si>
    <t>Flath, James; Smith, Norman</t>
  </si>
  <si>
    <t>UA837 -- .B49 2011eb</t>
  </si>
  <si>
    <t>China -- History, Military -- 19th century.; China -- History, Military.; War and society -- China -- History -- 19th century.; War and society -- China -- History -- 20th century.</t>
  </si>
  <si>
    <t>http://public.eblib.com/choice/PublicFullRecord.aspx?p=3412693</t>
  </si>
  <si>
    <t>Critical Criminology in Canada : New Voices, New Directions</t>
  </si>
  <si>
    <t>Doyle, Aaron; Moore, Dawn</t>
  </si>
  <si>
    <t>HV6019 -- .C745 2011eb</t>
  </si>
  <si>
    <t>Critical criminology -- Canada.</t>
  </si>
  <si>
    <t>http://public.eblib.com/choice/PublicFullRecord.aspx?p=3412694</t>
  </si>
  <si>
    <t>Oral History on Trial : Recognizing Aboriginal Narratives in the Courts</t>
  </si>
  <si>
    <t>Miller, Bruce Granville</t>
  </si>
  <si>
    <t>KE7709 -- .M55 2011eb</t>
  </si>
  <si>
    <t>Evidence (Law) -- Canada.; Indigenous peoples -- Legal status, laws, etc. -- Canada.; Oral tradition -- Canada.</t>
  </si>
  <si>
    <t>http://public.eblib.com/choice/PublicFullRecord.aspx?p=3412695</t>
  </si>
  <si>
    <t>Political Marketing in Canada</t>
  </si>
  <si>
    <t>Communication, Strategy, and Politics</t>
  </si>
  <si>
    <t>Marland, Alex; Giasson, Thierry; Lees-Marshment, Jennifer</t>
  </si>
  <si>
    <t>JA85.2.C3 -- P65 2012eb</t>
  </si>
  <si>
    <t>Campaign management -- Canada.; Marketing -- Political aspects -- Canada.; Political campaigns -- Canada.</t>
  </si>
  <si>
    <t>http://public.eblib.com/choice/PublicFullRecord.aspx?p=3412780</t>
  </si>
  <si>
    <t>Constituency Influence in Parliament : Countering the Centre</t>
  </si>
  <si>
    <t>Blidook, Kelly</t>
  </si>
  <si>
    <t>JF331 -- .B55 2012eb</t>
  </si>
  <si>
    <t>Cabinet system.; Constituent power.</t>
  </si>
  <si>
    <t>http://public.eblib.com/choice/PublicFullRecord.aspx?p=3412782</t>
  </si>
  <si>
    <t>Two Mediterranean Worlds : Diverging Paths of Globalization and Autonomy</t>
  </si>
  <si>
    <t>Essid, Yassine; Coleman, William D.; Roth, Kathe</t>
  </si>
  <si>
    <t>HC244.5 -- .T86 2012eb</t>
  </si>
  <si>
    <t>Autonomy -- Mediterranean Region.; Globalization -- Mediterranean Region.; Mediterranean Region -- Economic conditions.</t>
  </si>
  <si>
    <t>http://public.eblib.com/choice/PublicFullRecord.aspx?p=3412783</t>
  </si>
  <si>
    <t>A Sisterhood of Suffering and Service : Women and Girls of Canada and Newfoundland during the First World War</t>
  </si>
  <si>
    <t>Glassford, Sarah; Shaw, Amy</t>
  </si>
  <si>
    <t>D639.W7 -- S57 2012eb</t>
  </si>
  <si>
    <t>World War, 1914-1918 -- Children -- Canada.; World War, 1914-1918 -- Children -- Newfoundland and Labrador.; World War, 1914-1918 -- Women -- Canada.; World War, 1914-1918 -- Women -- Newfoundland and Labrador.</t>
  </si>
  <si>
    <t>http://public.eblib.com/choice/PublicFullRecord.aspx?p=3412784</t>
  </si>
  <si>
    <t>Making Meaning Out of Mountains : The Political Ecology of Skiing</t>
  </si>
  <si>
    <t>Stoddart, Mark C.J.</t>
  </si>
  <si>
    <t>GV854 -- .S76 2012eb</t>
  </si>
  <si>
    <t>Political ecology.; Skis and skiing.</t>
  </si>
  <si>
    <t>http://public.eblib.com/choice/PublicFullRecord.aspx?p=3412785</t>
  </si>
  <si>
    <t>Islam in the Hinterlands : Muslim Cultural Politics in Canada</t>
  </si>
  <si>
    <t>Zine, Jasmin</t>
  </si>
  <si>
    <t>F1035.M87 -- I85 2012eb</t>
  </si>
  <si>
    <t>Muslims -- Canada.</t>
  </si>
  <si>
    <t>http://public.eblib.com/choice/PublicFullRecord.aspx?p=3412786</t>
  </si>
  <si>
    <t>Labour Goes to War : The CIO and the Construction of a New Social Order, 1939-45</t>
  </si>
  <si>
    <t>Studies in Canadian Military History Series : Published in Association with the Canadian War Museum</t>
  </si>
  <si>
    <t>Cuthbertson, Wendy</t>
  </si>
  <si>
    <t>HD6524 -- .C88 2012eb</t>
  </si>
  <si>
    <t>Canada -- Social conditions -- 1939-1945.; Congress of Industrial Organizations (U.S.) -- History.; Labor unions -- Canada -- History -- 20th century.; Labor unions -- Ontario -- History -- 20th century.</t>
  </si>
  <si>
    <t>http://public.eblib.com/choice/PublicFullRecord.aspx?p=3412788</t>
  </si>
  <si>
    <t>So Near Yet So Far : The Public and Hidden Worlds of Canada–US Relations</t>
  </si>
  <si>
    <t>Hale, Geoffrey</t>
  </si>
  <si>
    <t>F1029.5.U6 -- H354 2012eb</t>
  </si>
  <si>
    <t>Canada -- Foreign relations -- 1945-; Canada -- Foreign relations -- United States.; International relations -- History -- 20th century.; International relations -- History -- 21st century.; United States -- Foreign relations -- 2001-2009.; United States -- Foreign relations -- Canada.</t>
  </si>
  <si>
    <t>http://public.eblib.com/choice/PublicFullRecord.aspx?p=3412789</t>
  </si>
  <si>
    <t>Alternative Media in Canada</t>
  </si>
  <si>
    <t>Kozolanka, Kirsten; Mazepa, Patricia; Skinner, David</t>
  </si>
  <si>
    <t>P96.A442 -- C2 2012eb</t>
  </si>
  <si>
    <t>Alternative mass media -- Canada.; Alternative mass media -- Political aspects -- Canada.; Alternative mass media -- Social aspects -- Canada.</t>
  </si>
  <si>
    <t>http://public.eblib.com/choice/PublicFullRecord.aspx?p=3412790</t>
  </si>
  <si>
    <t>Modern Warfare : Armed Groups, Private Militaries, Humanitarian Organizations, and the Law</t>
  </si>
  <si>
    <t>Perrin, Benjamin</t>
  </si>
  <si>
    <t>KZ6471 -- .M63 2012eb</t>
  </si>
  <si>
    <t>Humanitarian assistance.; Humanitarian law.; Insurgency.; Private security services.; Urban violence.</t>
  </si>
  <si>
    <t>http://public.eblib.com/choice/PublicFullRecord.aspx?p=3412792</t>
  </si>
  <si>
    <t>With Friends Like These : Entangled Nationalisms and the Canada-Quebec-France Triangle, 1944-1970</t>
  </si>
  <si>
    <t>Meren, David</t>
  </si>
  <si>
    <t>F1029.5.F8 -- M474 2012eb</t>
  </si>
  <si>
    <t>Canada -- English-French relations.; Canada -- Foreign relations -- France.; France -- Foreign relations -- Canada.; France -- Relations -- Québec (Province); International relations.; Québec (Province) -- Relations -- France.</t>
  </si>
  <si>
    <t>http://public.eblib.com/choice/PublicFullRecord.aspx?p=3412793</t>
  </si>
  <si>
    <t>The Canadian Election Studies : Assessing Four Decades of Influence</t>
  </si>
  <si>
    <t>Kanji, Mebs; Bilodeau, Antoine; Scotto, Thomas J.</t>
  </si>
  <si>
    <t>JL193 -- .C36 2012eb</t>
  </si>
  <si>
    <t>Elections -- Canada.; Voting -- Canada.</t>
  </si>
  <si>
    <t>http://public.eblib.com/choice/PublicFullRecord.aspx?p=3412794</t>
  </si>
  <si>
    <t>Fractured Homeland : Federal Recognition and Algonquin Identity in Ontario</t>
  </si>
  <si>
    <t>Lawrence, Bonita</t>
  </si>
  <si>
    <t>E99.A349 -- L39 2012eb</t>
  </si>
  <si>
    <t>Algonquin Indians -- Government policy -- Canada.; Algonquin Indians -- Ontario -- Claims.; Algonquin Indians -- Ontario -- Ethnic identity.</t>
  </si>
  <si>
    <t>http://public.eblib.com/choice/PublicFullRecord.aspx?p=3412795</t>
  </si>
  <si>
    <t>People of the Middle Fraser Canyon : An Archaeological History</t>
  </si>
  <si>
    <t>Prentiss, Anna Marie; Kuijt, Ian</t>
  </si>
  <si>
    <t>E99.L4 -- P74 2012eb</t>
  </si>
  <si>
    <t>Antiquities, Prehistoric -- British Columbia -- Fraser Canyon.; Excavations (Archaeology) -- British Columbia -- Fraser Canyon.; Fraser Canyon (B.C.) -- Antiquities.; Lillooet Indians -- Antiquities.</t>
  </si>
  <si>
    <t>http://public.eblib.com/choice/PublicFullRecord.aspx?p=3412796</t>
  </si>
  <si>
    <t>Try to Control Yourself : The Regulation of Public Drinking in Post-Prohibition Ontario, 1927-44</t>
  </si>
  <si>
    <t>Malleck, Dan</t>
  </si>
  <si>
    <t>HV5087.C3 -- M34 2012eb</t>
  </si>
  <si>
    <t>Drinking of alcoholic beverages -- Government policy -- Ontario.; Drinking of alcoholic beverages -- Ontario -- History -- 20th century.; Liquor Control Board of Ontario -- History.; Liquor laws -- Ontario.; Temperance -- Ontario -- History -- 20th century.</t>
  </si>
  <si>
    <t>http://public.eblib.com/choice/PublicFullRecord.aspx?p=3412797</t>
  </si>
  <si>
    <t>Becoming Multicultural : Immigration and the Politics of Membership in Canada and Germany</t>
  </si>
  <si>
    <t>Triadafilopoulos, Triadafilos</t>
  </si>
  <si>
    <t>JV7225 -- .T698 2012eb</t>
  </si>
  <si>
    <t>Citizenship -- Government policy -- Canada -- History -- 20th century.; Citizenship -- Government policy -- Germany -- History -- 20th century.; Emigration and immigration -- Government policy -- Canada -- History -- 20th century.; Emigration and immigration -- Government policy -- Germany -- History -- 20th century.; Multiculturalism -- Canada -- History -- 20th century.; Multiculturalism -- Germany -- History -- 20th century.</t>
  </si>
  <si>
    <t>http://public.eblib.com/choice/PublicFullRecord.aspx?p=3412798</t>
  </si>
  <si>
    <t>The End of Children? : Changing Trends in Childbearing and Childhood</t>
  </si>
  <si>
    <t>Lauster, Nathanael; Allan, Graham</t>
  </si>
  <si>
    <t>HQ767.87 -- .E53 2012eb</t>
  </si>
  <si>
    <t>305.2309/04</t>
  </si>
  <si>
    <t>Child development -- History -- 20th century.; Child development -- History -- 21st century.; Children -- History -- 20th century.; Children -- History -- 21st century.; Children.; Human reproduction -- History -- 20th century.; Human reproduction -- History -- 21st century.</t>
  </si>
  <si>
    <t>http://public.eblib.com/choice/PublicFullRecord.aspx?p=3412799</t>
  </si>
  <si>
    <t>International Trade Law and Domestic Policy : Canada, the United States, and the WTO</t>
  </si>
  <si>
    <t>Krikorian, Jacqueline D.</t>
  </si>
  <si>
    <t>K4610 -- .K75 2012eb</t>
  </si>
  <si>
    <t>Foreign trade regulation -- Political aspects -- Canada.; Foreign trade regulation -- Political aspects -- United States.; World Trade Organization.</t>
  </si>
  <si>
    <t>http://public.eblib.com/choice/PublicFullRecord.aspx?p=3412801</t>
  </si>
  <si>
    <t>Rooted Cosmopolitanism : Canada and the World</t>
  </si>
  <si>
    <t>Kymlicka, Will; Walker, Kathryn</t>
  </si>
  <si>
    <t>F1029 -- .R66 2012eb</t>
  </si>
  <si>
    <t>Canada -- Foreign relations.; Cosmopolitanism -- Canada.; Cosmopolitanism.; Internationalism.; Nationalism -- Canada.; World citizenship.</t>
  </si>
  <si>
    <t>http://public.eblib.com/choice/PublicFullRecord.aspx?p=3412802</t>
  </si>
  <si>
    <t>Health and Sustainability in the Canadian Food System : Advocacy and Opportunity for Civil Society</t>
  </si>
  <si>
    <t>MacRae, Rod; Abergel, Elisabeth</t>
  </si>
  <si>
    <t>RA601 -- .H43 2012eb</t>
  </si>
  <si>
    <t>Food -- Quality -- Canada.; Sustainability -- Canada.</t>
  </si>
  <si>
    <t>http://public.eblib.com/choice/PublicFullRecord.aspx?p=3412803</t>
  </si>
  <si>
    <t>Brokering Access : Power, Politics, and Freedom of Information Process in Canada</t>
  </si>
  <si>
    <t>Larsen, Mike; Walby, Kevin</t>
  </si>
  <si>
    <t>KE5325 -- .B76 2012eb</t>
  </si>
  <si>
    <t>342.71/0662</t>
  </si>
  <si>
    <t>Canada. -- Access to Information Act.; Freedom of information -- Canada.; Freedom of information -- Political aspects -- Canada.; Government information -- Canada.; Official secrets -- Canada.</t>
  </si>
  <si>
    <t>http://public.eblib.com/choice/PublicFullRecord.aspx?p=3412804</t>
  </si>
  <si>
    <t>Intoxicating Manchuria : Alcohol, Opium, and Culture in China's Northeast</t>
  </si>
  <si>
    <t>HV5620.M35 -- S65 2012eb</t>
  </si>
  <si>
    <t>Drinking of alcoholic beverages -- China -- Manchuria -- History -- 20th century.; Opium abuse -- China -- Manchuria -- History -- 20th century.</t>
  </si>
  <si>
    <t>http://public.eblib.com/choice/PublicFullRecord.aspx?p=3412805</t>
  </si>
  <si>
    <t>Reimagining Intervention in Young Lives : Work, Social Assistance, and Marginalization</t>
  </si>
  <si>
    <t>Foster, Karen R.; Spencer, Dale C.</t>
  </si>
  <si>
    <t>HV887.C32 -- O883 2012eb</t>
  </si>
  <si>
    <t>362.7409713/84</t>
  </si>
  <si>
    <t>Problem youth -- Employment -- Ontario -- Ottawa -- Case studies.; Problem youth -- Ontario -- Ottawa -- Social conditions -- Case studies.; Problem youth -- Services for -- Ontario -- Ottawa -- Case studies.</t>
  </si>
  <si>
    <t>http://public.eblib.com/choice/PublicFullRecord.aspx?p=3412806</t>
  </si>
  <si>
    <t>An Ethic of Mutual Respect : The Covenant Chain and Aboriginal-Crown Relations</t>
  </si>
  <si>
    <t>Morito, Bruce</t>
  </si>
  <si>
    <t>E91 -- .M67 2012eb</t>
  </si>
  <si>
    <t>Indians of North America -- Government relations -- To 1789.; Iroquois Indians -- Government relations.</t>
  </si>
  <si>
    <t>http://public.eblib.com/choice/PublicFullRecord.aspx?p=3412807</t>
  </si>
  <si>
    <t>Living Indigenous Leadership : Native Narratives on Building Strong Communities</t>
  </si>
  <si>
    <t>Kenny, Carolyn; Fraser, Tina Ngaroimata</t>
  </si>
  <si>
    <t>E98.S7 -- L58 2012eb</t>
  </si>
  <si>
    <t>Ethnology -- Study and teaching -- United States.; Indians of North America -- History.</t>
  </si>
  <si>
    <t>http://public.eblib.com/choice/PublicFullRecord.aspx?p=3412811</t>
  </si>
  <si>
    <t>Imperfect Democracies : The Democratic Deficit in Canada and the United States</t>
  </si>
  <si>
    <t>Lenard, Patti Tamara; Simeon, Richard</t>
  </si>
  <si>
    <t>JL186.5 -- .I57 2012eb</t>
  </si>
  <si>
    <t>Democracy -- Canada.; Democracy -- United States.</t>
  </si>
  <si>
    <t>http://public.eblib.com/choice/PublicFullRecord.aspx?p=3412812</t>
  </si>
  <si>
    <t>Investing in Place : Economic Renewal in Northern British Columbia</t>
  </si>
  <si>
    <t>Markey, Sean; Halseth, Greg; Manson, Don</t>
  </si>
  <si>
    <t>HC117.B8 -- M37 2012eb</t>
  </si>
  <si>
    <t>British Columbia, Northern -- Economic conditions.; Economic development -- British Columbia, Northern.</t>
  </si>
  <si>
    <t>http://public.eblib.com/choice/PublicFullRecord.aspx?p=3412813</t>
  </si>
  <si>
    <t>Academic Careers and the Gender Gap</t>
  </si>
  <si>
    <t>Baker, Maureen</t>
  </si>
  <si>
    <t>LB2332.3 -- .B35 2012eb</t>
  </si>
  <si>
    <t>378.1/2082</t>
  </si>
  <si>
    <t>Sex role in the work environment.; Universities and colleges -- Social aspects.; Women college teachers.; Women in higher education.; Work and family.</t>
  </si>
  <si>
    <t>http://public.eblib.com/choice/PublicFullRecord.aspx?p=3412814</t>
  </si>
  <si>
    <t>Standing Up with Ga'axsta'las : Jane Constance Cook and the Politics of Memory, Church, and Custom</t>
  </si>
  <si>
    <t>Women and Indigenous Studies Series</t>
  </si>
  <si>
    <t>Robertson, Leslie A.</t>
  </si>
  <si>
    <t>HQ1455.C66 -- R63 2012eb</t>
  </si>
  <si>
    <t>Cook, Jane Constance, -- 1870-1951.; Potlatch -- British Columbia.; Women -- British Columbia -- Biography.</t>
  </si>
  <si>
    <t>http://public.eblib.com/choice/PublicFullRecord.aspx?p=3412815</t>
  </si>
  <si>
    <t>An Environmental History of Canada</t>
  </si>
  <si>
    <t>MacDowell, Laurel Sefton</t>
  </si>
  <si>
    <t>GF511 -- .M33 2012eb</t>
  </si>
  <si>
    <t>Canada -- Environmental conditions -- History.; Environmental policy -- Canada.; Human ecology -- Canada -- History.; Natural resources -- History.</t>
  </si>
  <si>
    <t>http://public.eblib.com/choice/PublicFullRecord.aspx?p=3412816</t>
  </si>
  <si>
    <t>Merry Laughter and Angry Curses : The Shanghai Tabloid Press, 1897-1911</t>
  </si>
  <si>
    <t>Wang, Juan</t>
  </si>
  <si>
    <t>PN5364 -- .W36 2012eb</t>
  </si>
  <si>
    <t>Tabloid newspapers -- China -- Shanghai -- History.; Tabloid newspapers -- Social aspects -- China -- Shanghai -- History.</t>
  </si>
  <si>
    <t>http://public.eblib.com/choice/PublicFullRecord.aspx?p=3412817</t>
  </si>
  <si>
    <t>Still Dying for a Living : Corporate Criminal Liability after the Westray Mine Disaster</t>
  </si>
  <si>
    <t>Bittle, Steven</t>
  </si>
  <si>
    <t>HV6771.C3 -- B57 2012eb</t>
  </si>
  <si>
    <t>Canada. -- Act to Amend the Criminal Code (Criminal Liability of Organizations); Corporation law -- Canada -- Criminal provisions.; Corporations -- Corrupt practices -- Canada.; Criminal liability of juristic persons -- Canada.; Westray Mine Disaster, Plymouth, Pictou, N.S., 1992.</t>
  </si>
  <si>
    <t>http://public.eblib.com/choice/PublicFullRecord.aspx?p=3412818</t>
  </si>
  <si>
    <t>Hunger, Horses, and Government Men : Criminal Law on the Aboriginal Plains, 1870-1905</t>
  </si>
  <si>
    <t>Gavigan, Shelley A.M.</t>
  </si>
  <si>
    <t>KE7722.C75 -- G385 2012eb</t>
  </si>
  <si>
    <t>Criminal courts -- Saskatchewan -- History.; Criminal justice, Administration of -- Saskatchewan -- History.; Criminal law -- Saskatchewan -- History.; Indians of North America -- Criminal justice system -- Saskatchewan -- History.</t>
  </si>
  <si>
    <t>http://public.eblib.com/choice/PublicFullRecord.aspx?p=3412819</t>
  </si>
  <si>
    <t>Reasonable Accommodation : Managing Religious Diversity</t>
  </si>
  <si>
    <t>BL2530.C3 -- R23 2012eb</t>
  </si>
  <si>
    <t>Multiculturalism -- Religious aspects.; Religion and sociology -- Canada.; Religious minorities -- Canada.</t>
  </si>
  <si>
    <t>http://public.eblib.com/choice/PublicFullRecord.aspx?p=3412820</t>
  </si>
  <si>
    <t>Canadian Liberalism and the Politics of Border Control, 1867-1967</t>
  </si>
  <si>
    <t>Anderson, Christopher G.</t>
  </si>
  <si>
    <t>JV7233 -- .A53 2012eb</t>
  </si>
  <si>
    <t>Aliens -- Civil rights -- Canada.; Canada -- Emigration and immigration -- Government policy.</t>
  </si>
  <si>
    <t>http://public.eblib.com/choice/PublicFullRecord.aspx?p=3412821</t>
  </si>
  <si>
    <t>The Right to a Healthy Environment : Revitalizing Canada's Constitution</t>
  </si>
  <si>
    <t>KE5110 -- .B69 2012eb</t>
  </si>
  <si>
    <t>Constitutional law -- Canada.; Environmental ethics -- Canada.; Environmental law -- Canada.; Human rights -- Canada.</t>
  </si>
  <si>
    <t>http://public.eblib.com/choice/PublicFullRecord.aspx?p=3412822</t>
  </si>
  <si>
    <t>Aboriginal Justice and the Charter : Realizing a Culturally Sensitive Interpretation of Legal Rights</t>
  </si>
  <si>
    <t>Milward, David</t>
  </si>
  <si>
    <t>KE7709 -- .M55 2012eb</t>
  </si>
  <si>
    <t>Canada. -- Canadian Charter of Rights and Freedoms.; Indigenous peoples -- Legal status, laws, etc. -- Canada.</t>
  </si>
  <si>
    <t>http://public.eblib.com/choice/PublicFullRecord.aspx?p=3412823</t>
  </si>
  <si>
    <t>Social Transformation in Rural Canada : New Insights into Community, Cultures, and Collective Action</t>
  </si>
  <si>
    <t>Parkins, John; Reed, Maureen</t>
  </si>
  <si>
    <t>HN103.5 -- S6265 2012eb</t>
  </si>
  <si>
    <t>Canada -- Rural conditions.; Rural development -- Canada.; Sociology, Rural -- Canada.</t>
  </si>
  <si>
    <t>http://public.eblib.com/choice/PublicFullRecord.aspx?p=3412824</t>
  </si>
  <si>
    <t>Father Involvement in Canada : Diversity, Renewal, and Transformation</t>
  </si>
  <si>
    <t>Ball, Jessica; Daly, Kerry</t>
  </si>
  <si>
    <t>HQ756 -- .F38 2012eb</t>
  </si>
  <si>
    <t>Fatherhood -- Canada.; Fathers -- Canada.</t>
  </si>
  <si>
    <t>http://public.eblib.com/choice/PublicFullRecord.aspx?p=3412825</t>
  </si>
  <si>
    <t>Governing from the Bench : The Supreme Court of Canada and the Judicial Role</t>
  </si>
  <si>
    <t>Macfarlane, Emmett</t>
  </si>
  <si>
    <t>KE8259 -- .M33 2013eb</t>
  </si>
  <si>
    <t>Canada. -- Supreme Court -- Decision making.; Judicial process -- Canada.; Law -- Political aspects.</t>
  </si>
  <si>
    <t>http://public.eblib.com/choice/PublicFullRecord.aspx?p=3412826</t>
  </si>
  <si>
    <t>Aboriginal Peoples and Sport in Canada : Historical Foundations and Contemporary Issues</t>
  </si>
  <si>
    <t>Forsyth, Janice; Giles, Audrey R.</t>
  </si>
  <si>
    <t>E78.C2 -- A26 2013eb</t>
  </si>
  <si>
    <t>Indians of North America -- Canada -- Social conditions.; Indians of North America -- Sports -- Canada.; Indians of North America -- Sports -- Social aspects -- Canada.</t>
  </si>
  <si>
    <t>http://public.eblib.com/choice/PublicFullRecord.aspx?p=3412827</t>
  </si>
  <si>
    <t>Public Engagement and Emerging Technologies</t>
  </si>
  <si>
    <t>O'Doherty, Kieran; Einsiedel, Edna</t>
  </si>
  <si>
    <t>TP248.23 -- .P83 2013eb</t>
  </si>
  <si>
    <t>Biotechnology -- Technological innovations -- Government policy.; Biotechnology -- Technological innovations -- Moral and ethical aspects.; Biotechnology -- Technological innovations -- Political aspects.; Biotechnology -- Technological innovations -- Social aspects.</t>
  </si>
  <si>
    <t>http://public.eblib.com/choice/PublicFullRecord.aspx?p=3412828</t>
  </si>
  <si>
    <t>Milestones on a Golden Road : Writing for Chinese Socialism, 1945-80</t>
  </si>
  <si>
    <t>King, Richard</t>
  </si>
  <si>
    <t>PL2303 -- .K56 2013eb</t>
  </si>
  <si>
    <t>China -- In literature.; Chinese literature -- 20th century -- History and criticism.; Socialism in literature.</t>
  </si>
  <si>
    <t>http://public.eblib.com/choice/PublicFullRecord.aspx?p=3412829</t>
  </si>
  <si>
    <t>Strong, Beautiful and Modern : National Fitness in Britain, New Zealand, Australia and Canada, 1935-1960</t>
  </si>
  <si>
    <t>Macdonald, Charlotte</t>
  </si>
  <si>
    <t>HQ1865.5 -- .M33 2013eb</t>
  </si>
  <si>
    <t>Physical fitness -- Government policy -- New Zealand.; Physical fitness -- Social aspects -- New Zealand.; Women -- New Zealand -- Social conditions.; Women -- New Zealand.</t>
  </si>
  <si>
    <t>http://public.eblib.com/choice/PublicFullRecord.aspx?p=3412830</t>
  </si>
  <si>
    <t>Action and Reaction in the World System : The Dynamics of Economic and Political Power</t>
  </si>
  <si>
    <t>de Montbrial, Thierry</t>
  </si>
  <si>
    <t>HF1359 -- .M6613 2013eb</t>
  </si>
  <si>
    <t>Globalization -- Economic aspects.; International economic relations.</t>
  </si>
  <si>
    <t>http://public.eblib.com/choice/PublicFullRecord.aspx?p=3412832</t>
  </si>
  <si>
    <t>Parties, Elections, and the Future of Canadian Politics</t>
  </si>
  <si>
    <t>Bittner, Amanda; Koop, Royce</t>
  </si>
  <si>
    <t>FC635 -- .P37 2013eb</t>
  </si>
  <si>
    <t>Canada -- Politics and government -- 1993-2006.; Canada -- Politics and government -- 2006-; Elections -- Canada.; Political parties -- Canada.</t>
  </si>
  <si>
    <t>http://public.eblib.com/choice/PublicFullRecord.aspx?p=3412833</t>
  </si>
  <si>
    <t>Unjust by Design : Canada's Administrative Justice System</t>
  </si>
  <si>
    <t>Ellis, Ron</t>
  </si>
  <si>
    <t>KE5029 -- .E45 2013eb</t>
  </si>
  <si>
    <t>Administrative courts -- Canada.; Due process of law -- Canada.</t>
  </si>
  <si>
    <t>http://public.eblib.com/choice/PublicFullRecord.aspx?p=3412834</t>
  </si>
  <si>
    <t>Where Happiness Dwells : A History of the Dane-zaa First Nations</t>
  </si>
  <si>
    <t>Ridington, Robin; Ridington, Jillian; in collaboration with elders of the Dane-zaa First Nations</t>
  </si>
  <si>
    <t>E99.T77 -- R53 2013eb</t>
  </si>
  <si>
    <t>Blueberry River First Nation.; Doig River First Nation.; Oral history -- Peace River Region (B.C. and Alta.); Oral tradition -- Peace River Region (B.C. and Alta.); Tsattine Indians -- Peace River Region (B.C. and Alta.) -- History.; Tsattine Indians -- Peace River Region (B.C. and Alta.) -- Interviews.</t>
  </si>
  <si>
    <t>http://public.eblib.com/choice/PublicFullRecord.aspx?p=3412835</t>
  </si>
  <si>
    <t>The Struggle for Canadian Copyright : Imperialism to Internationalism, 1842-1971</t>
  </si>
  <si>
    <t>Bannerman, Sara</t>
  </si>
  <si>
    <t>KE2799 -- .B36 2013eb</t>
  </si>
  <si>
    <t>Copyright -- Canada -- History.</t>
  </si>
  <si>
    <t>http://public.eblib.com/choice/PublicFullRecord.aspx?p=3412836</t>
  </si>
  <si>
    <t>Don't Be So Gay! : Queers, Bullying, and Making Schools Safe</t>
  </si>
  <si>
    <t>Short, Donn</t>
  </si>
  <si>
    <t>LB3013.34.C2 -- S56 2013eb</t>
  </si>
  <si>
    <t>Bullying in schools -- Government policy -- Ontario.; Bullying in schools -- Ontario -- Toronto -- Case studies.; Bullying in schools -- Ontario -- Toronto -- Prevention -- Case studies.; Gay high school students -- Ontario -- Toronto -- Social conditions -- Case studies.; Homophobia in high schools -- Ontario -- Toronto -- Case studies.</t>
  </si>
  <si>
    <t>http://public.eblib.com/choice/PublicFullRecord.aspx?p=3412837</t>
  </si>
  <si>
    <t>Glorify the Empire : Japanese Avant-Garde Propaganda in Manchukuo</t>
  </si>
  <si>
    <t>Culver, Annika A.</t>
  </si>
  <si>
    <t>D810.P7 -- J33 2013eb</t>
  </si>
  <si>
    <t>Artists -- Japan -- History -- 20th century.; Arts -- Political aspects -- China -- Manchuria -- History -- 20th century.; Avant-garde (Aesthetics) -- Political aspects -- China -- Manchuria -- History -- 20th century.; Propaganda in art.; Propaganda, Japanese -- China -- Manchuria -- History -- 20th century.; World War, 1939-1945 -- China -- Manchuria -- Art and the war.; World War, 1939-1945 -- China -- Manchuria -- Propaganda.</t>
  </si>
  <si>
    <t>http://public.eblib.com/choice/PublicFullRecord.aspx?p=3412838</t>
  </si>
  <si>
    <t>Chieftains into Ancestors : Imperial Expansion and Indigenous Society in Southwest China</t>
  </si>
  <si>
    <t>Faure, David; Ho, Ts'ui-p'ing</t>
  </si>
  <si>
    <t>DS730 -- .C45 2013eb</t>
  </si>
  <si>
    <t>Ancestor worship -- China, Southwest.; China, Southwest -- History.; Ethnology -- China, Southwest.; Minorities -- China, Southwest -- Ethnic identity.; Minorities -- China, Southwest -- Government relations.</t>
  </si>
  <si>
    <t>http://public.eblib.com/choice/PublicFullRecord.aspx?p=3412839</t>
  </si>
  <si>
    <t>Selling Sex : Experience, Advocacy, and Research on Sex Work in Canada</t>
  </si>
  <si>
    <t>van der Meulen, Emily; Durisin, Elya M.; Love, Victoria</t>
  </si>
  <si>
    <t>HQ148 -- .S45 2013eb</t>
  </si>
  <si>
    <t>Prostitutes -- Labor unions -- Organizing -- Canada.; Prostitution -- Canada.; Prostitution -- Government policy -- Canada.; Sex-oriented businesses -- Canada.; Sex-oriented businesses -- Law and legislation -- Canada.</t>
  </si>
  <si>
    <t>http://public.eblib.com/choice/PublicFullRecord.aspx?p=3412840</t>
  </si>
  <si>
    <t>Resistance Is Fertile : Canadian Struggles on the BioCommons</t>
  </si>
  <si>
    <t>Peekhaus, Wilhelm</t>
  </si>
  <si>
    <t>S494.5.B563 -- P44 2013eb</t>
  </si>
  <si>
    <t>Agricultural biotechnology -- Canada.; Agricultural biotechnology -- Economic aspects -- Canada.; Agricultural biotechnology -- Government policy -- Canada.</t>
  </si>
  <si>
    <t>http://public.eblib.com/choice/PublicFullRecord.aspx?p=3412841</t>
  </si>
  <si>
    <t>Targeted Transnationals : The State, the Media, and Arab Canadians</t>
  </si>
  <si>
    <t>Hennebry, Jenna; Momani, Bessma</t>
  </si>
  <si>
    <t>F1035.A7 -- T37 2013eb</t>
  </si>
  <si>
    <t>Arabs -- Canada -- Civil rights.; Arabs -- Canada -- Press coverage.</t>
  </si>
  <si>
    <t>http://public.eblib.com/choice/PublicFullRecord.aspx?p=3412842</t>
  </si>
  <si>
    <t>Dispersed but Not Destroyed : A History of the Seventeenth-Century Wendat People</t>
  </si>
  <si>
    <t>Labelle, Kathryn Magee</t>
  </si>
  <si>
    <t>E99.H9 -- L33 2013eb</t>
  </si>
  <si>
    <t>Indians of North America -- History -- 17th century.; Wyandot Indians -- History -- 17th century.</t>
  </si>
  <si>
    <t>http://public.eblib.com/choice/PublicFullRecord.aspx?p=3412843</t>
  </si>
  <si>
    <t>Indigenous in the City : Contemporary Identities and Cultural Innovation</t>
  </si>
  <si>
    <t>Peters, Evelyn; Andersen, Chris</t>
  </si>
  <si>
    <t>E98.U72 -- I53 2013eb</t>
  </si>
  <si>
    <t>Indigenous peoples -- Ethnic identity.; Indigenous peoples -- Urban residence -- Canada.</t>
  </si>
  <si>
    <t>http://public.eblib.com/choice/PublicFullRecord.aspx?p=3412844</t>
  </si>
  <si>
    <t>Power from the North : Territory, Identity, and the Culture of Hydroelectricity in Quebec</t>
  </si>
  <si>
    <t>Desbiens, Caroline</t>
  </si>
  <si>
    <t>HC120.E5 -- D47 2013eb</t>
  </si>
  <si>
    <t>Environmental policy -- Quebec (Province) -- History.; James Bay (Nunavut) -- History.; Natural resources -- Quebec (Province); Quebec (Province) -- Civilization.; Quebec (Province) -- History.</t>
  </si>
  <si>
    <t>http://public.eblib.com/choice/PublicFullRecord.aspx?p=3412846</t>
  </si>
  <si>
    <t>Red Stamps and Gold Stars : Fieldwork Dilemmas in Upland Socialist Asia</t>
  </si>
  <si>
    <t>Turner, Sarah</t>
  </si>
  <si>
    <t>GN346 -- .R43 2013eb</t>
  </si>
  <si>
    <t>Ethnology -- Southeast Asia -- Fieldwork. ; Socialism -- Southeast Asia -- Fieldwork.</t>
  </si>
  <si>
    <t>http://public.eblib.com/choice/PublicFullRecord.aspx?p=3412847</t>
  </si>
  <si>
    <t>On the Outside : From Lengthy Imprisonment to Lasting Freedom</t>
  </si>
  <si>
    <t>Munn, Melissa; Bruckert, Chris</t>
  </si>
  <si>
    <t>HV9308 -- .M86 2013eb</t>
  </si>
  <si>
    <t>Ex-convicts -- Canada -- Social conditions.; Imprisonment -- Social aspects -- Canada.; Prisons -- Social aspects -- Canada.</t>
  </si>
  <si>
    <t>http://public.eblib.com/choice/PublicFullRecord.aspx?p=3412849</t>
  </si>
  <si>
    <t>Wildlife, Conservation, and Conflict in Quebec, 1840-1914</t>
  </si>
  <si>
    <t>Ingram, Darcy</t>
  </si>
  <si>
    <t>Economics; Science; Science: Zoology; Environmental Studies</t>
  </si>
  <si>
    <t>QL84.26.Q8 -- I54 2013eb</t>
  </si>
  <si>
    <t>Wildlife conservation -- Quebec (Province) -- History -- 19th century.; Wildlife conservation -- Quebec (Province) -- History -- 20century.</t>
  </si>
  <si>
    <t>http://public.eblib.com/choice/PublicFullRecord.aspx?p=3412850</t>
  </si>
  <si>
    <t>Indigenous Encounters with Neoliberalism : Place, Women, and the Environment in Canada and Mexico</t>
  </si>
  <si>
    <t>Altamirano-Jiménez, Isabel</t>
  </si>
  <si>
    <t>E78.C2 -- A48 2013eb</t>
  </si>
  <si>
    <t>Indians of Mexico -- Mexico -- Chiapas -- Case studies.; Inuit -- Nunavut -- Case studies.; Neoliberalism -- Canada.; Niska Indians -- Case studies.; Zapotec Indians -- Mexico -- Juchitan de Zaragoza -- Case studies.</t>
  </si>
  <si>
    <t>http://public.eblib.com/choice/PublicFullRecord.aspx?p=3412851</t>
  </si>
  <si>
    <t>The Industrial Diet : The Degradation of Food and the Struggle for Healthy Eating</t>
  </si>
  <si>
    <t>Winson, Anthony</t>
  </si>
  <si>
    <t>RA784 -- .W56 2013eb</t>
  </si>
  <si>
    <t>Diet.; Food industry and trade -- Health aspects.; Industrialization -- Health aspects.; Nutrition.</t>
  </si>
  <si>
    <t>http://public.eblib.com/choice/PublicFullRecord.aspx?p=3412852</t>
  </si>
  <si>
    <t>Stalled : The Representation of Women in Canadian Governments</t>
  </si>
  <si>
    <t>Trimble, Linda; Arscott, Jane; Tremblay, Manon</t>
  </si>
  <si>
    <t>HQ1236.5.C2 -- S73 2013eb</t>
  </si>
  <si>
    <t>Women -- Political activity -- Canada.; Women legislators -- Canada.</t>
  </si>
  <si>
    <t>http://public.eblib.com/choice/PublicFullRecord.aspx?p=3412853</t>
  </si>
  <si>
    <t>Keeping Canada British : The Ku Klux Klan in 1920s Saskatchewan</t>
  </si>
  <si>
    <t>HS2339.K8 -- P58 2013 eb</t>
  </si>
  <si>
    <t>Ku Klux Klan (1915-) -- History -- 20th century.; Racism -- Saskatchewan -- History -- 20th century.; Saskatchewan -- Race relations -- History -- 20th century.</t>
  </si>
  <si>
    <t>http://public.eblib.com/choice/PublicFullRecord.aspx?p=3412854</t>
  </si>
  <si>
    <t>Sporting Gender : Women Athletes and Celebrity-Making during China?s National Crisis, 1931-45</t>
  </si>
  <si>
    <t>Gao, Yunxiang</t>
  </si>
  <si>
    <t>GV709.18.C6 -- G36 2013eb</t>
  </si>
  <si>
    <t>Sports -- Social aspects -- China -- History -- 20th century.; Women athletes -- China -- Biography.</t>
  </si>
  <si>
    <t>http://public.eblib.com/choice/PublicFullRecord.aspx?p=3412857</t>
  </si>
  <si>
    <t>Consuming Modernity : Gendered Behaviour and Consumerism before the Baby Boom</t>
  </si>
  <si>
    <t>Warsh, Cheryl Krasnick; Malleck, Dan</t>
  </si>
  <si>
    <t>HC79.C6 -- C66 2013eb</t>
  </si>
  <si>
    <t>Consumption (Economics) -- Political aspects -- Canada -- History -- 20th century.; Consumption (Economics) -- Political aspects -- History -- 20th century.; Consumption (Economics) -- Sex differences -- History -- 20th century.; Women consumers -- History -- 20th century.; Women in advertising -- History -- 20th century.</t>
  </si>
  <si>
    <t>http://public.eblib.com/choice/PublicFullRecord.aspx?p=3412858</t>
  </si>
  <si>
    <t>Death or Deliverance : Canadian Courts Martial in the Great War</t>
  </si>
  <si>
    <t>Iacobelli, Teresa</t>
  </si>
  <si>
    <t>KE7197 -- .I23 2013eb</t>
  </si>
  <si>
    <t>Capital punishment -- Canada -- History.; Military deserters -- Canada -- History.; World War, 1914-1918 -- Desertions -- Canada.</t>
  </si>
  <si>
    <t>http://public.eblib.com/choice/PublicFullRecord.aspx?p=3412860</t>
  </si>
  <si>
    <t>Smokeless Sugar : The Death of a Provincial Bureaucrat and the Construction of China's National Economy</t>
  </si>
  <si>
    <t>Hill, Emily M.</t>
  </si>
  <si>
    <t>DS793.K7 -- H54 2010eb</t>
  </si>
  <si>
    <t>951/.27042</t>
  </si>
  <si>
    <t>China -- Economic conditions -- 1912-1949.; China -- Politics and government -- 1928-1937.; Feng, Rui, -- 1899-1936.; Guangdong Sheng (China) -- Officials and employees -- Biography.; Guangdong Sheng (China) -- Politics and government -- 20th century.; Sugar -- Manufacture and refining -- China -- Guangdong Sheng -- History -- 20th century.</t>
  </si>
  <si>
    <t>http://public.eblib.com/choice/PublicFullRecord.aspx?p=3412864</t>
  </si>
  <si>
    <t>Canada's Global Villagers : CUSO in Development, 1961-86</t>
  </si>
  <si>
    <t>HC60 -- .B76 2013eb</t>
  </si>
  <si>
    <t>CUSO -- Biography.; CUSO -- History.; Economic assistance, Canadian -- History -- 20th century.; Technical assistance, Canadian -- History -- 20th century.</t>
  </si>
  <si>
    <t>http://public.eblib.com/choice/PublicFullRecord.aspx?p=3412865</t>
  </si>
  <si>
    <t>Building Sanctuary : The Movement to Support Vietnam War Resisters in Canada, 1965-73</t>
  </si>
  <si>
    <t>Squires, Jessica</t>
  </si>
  <si>
    <t>DS559.8.D7 -- S68 2013eb</t>
  </si>
  <si>
    <t>Canada -- Emigration and immigration -- Government policy -- History -- 20th century.; Canada -- Politics and government -- 1945-1980.; Peace movements -- Canada -- History -- 20th century.; Vietnam War, 1961-1975 -- Draft resisters -- Canada.; Vietnam War, 1961-1975 -- Draft resisters -- Government policy -- Canada.; Vietnam War, 1961-1975 -- Draft resisters -- United States.; Vietnam War, 1961-1975 -- Protest movements -- Canada.</t>
  </si>
  <si>
    <t>http://public.eblib.com/choice/PublicFullRecord.aspx?p=3412866</t>
  </si>
  <si>
    <t>Panoptic Dreams : Streetscape Video Surveillance in Canada</t>
  </si>
  <si>
    <t>Hier, Sean P.</t>
  </si>
  <si>
    <t>HV8158 -- .H54 2010eb</t>
  </si>
  <si>
    <t>363.2/32</t>
  </si>
  <si>
    <t>Electronic surveillance -- Canada.; Electronic surveillance -- Social aspects -- Canada.; Privacy, Right of -- Canada.; Video surveillance -- Canada.; Video surveillance -- Social aspects -- Canada.</t>
  </si>
  <si>
    <t>http://public.eblib.com/choice/PublicFullRecord.aspx?p=3412867</t>
  </si>
  <si>
    <t>The Hero and the Historians : Historiography and the Uses of Jacques Cartier</t>
  </si>
  <si>
    <t>E133.C3 -- G67 2010eb</t>
  </si>
  <si>
    <t>971.01/13092</t>
  </si>
  <si>
    <t>Canada -- Discovery and exploration -- French -- Historiography.; Canada -- Historiography.; Canada -- History -- To 1763 (New France) -- Historiography.; Cartier, Jacques, -- 1491-1557.; National characteristics, Canadian -- Historiography.</t>
  </si>
  <si>
    <t>http://public.eblib.com/choice/PublicFullRecord.aspx?p=3412868</t>
  </si>
  <si>
    <t>Sex Work : Rethinking the Job, Respecting the Workers</t>
  </si>
  <si>
    <t>Parent, Colette; Bruckert, Chris; Corriveau, Patrice; Nengeh Mensah, Maria ; Toupin, Louise</t>
  </si>
  <si>
    <t>HQ118 -- .S499 2013eb</t>
  </si>
  <si>
    <t>Human trafficking.; Prostitutes -- Civil rights.; Prostitution.; Victims of crimes.</t>
  </si>
  <si>
    <t>http://public.eblib.com/choice/PublicFullRecord.aspx?p=3412869</t>
  </si>
  <si>
    <t>Brewed in Japan : The Evolution of the Japanese Beer Industry</t>
  </si>
  <si>
    <t>HD9397.J32 -- A44 2013eb</t>
  </si>
  <si>
    <t>Beer industry -- Japan -- History.</t>
  </si>
  <si>
    <t>http://public.eblib.com/choice/PublicFullRecord.aspx?p=3412870</t>
  </si>
  <si>
    <t>Aluminum Ore : The Political Economy of the Global Bauxite Industry</t>
  </si>
  <si>
    <t>Gendron, Robin S.; Ingulstad, Mats; Storli, Espen</t>
  </si>
  <si>
    <t>Economics; Business/Management; Engineering: Mining; Engineering</t>
  </si>
  <si>
    <t>TN490.A5 -- A48 2013eb</t>
  </si>
  <si>
    <t>Aluminum mines and mining -- Environmental aspects.; Aluminum mines and mining -- History.; Aluminum mines and mining -- Political aspects.; Aluminum mines and mining -- Social aspects.; Globalization -- Economic aspects.</t>
  </si>
  <si>
    <t>http://public.eblib.com/choice/PublicFullRecord.aspx?p=3412871</t>
  </si>
  <si>
    <t>Secular States and Religious Diversity</t>
  </si>
  <si>
    <t>Ethnicity and Democratic Governance Series</t>
  </si>
  <si>
    <t>Berman, Bruce J.; Bhargava, Rajeev; Laliberte, Andre</t>
  </si>
  <si>
    <t>BL65.P7 -- S43 2013eb</t>
  </si>
  <si>
    <t>Religion and politics.; Religion and state.; Religious pluralism -- Political aspects.; Secularism -- Political aspects.</t>
  </si>
  <si>
    <t>http://public.eblib.com/choice/PublicFullRecord.aspx?p=3412873</t>
  </si>
  <si>
    <t>A National Force : The Evolution of Canada?s Army, 1950-2000</t>
  </si>
  <si>
    <t>Kasurak, Peter</t>
  </si>
  <si>
    <t>UA600 -- .K37 2013eb</t>
  </si>
  <si>
    <t>Canada -- Armed Forces -- History -- 20th century.; Canada -- History, Military -- 20th century.; Canada. -- Canadian Armed Forces -- History -- 20th century.; Military history.</t>
  </si>
  <si>
    <t>http://public.eblib.com/choice/PublicFullRecord.aspx?p=3412874</t>
  </si>
  <si>
    <t>A Small Price to Pay : Consumer Culture on the Canadian Home Front, 1939-45</t>
  </si>
  <si>
    <t>Broad, Graham</t>
  </si>
  <si>
    <t>HC115 -- .B76 2013eb</t>
  </si>
  <si>
    <t>Canada -- Social conditions -- 1939-1945.; Consumption (Economics) -- Social aspects -- Canada -- History -- 20th century.; Marketing -- Social aspects -- Canada -- History -- 20th century.</t>
  </si>
  <si>
    <t>http://public.eblib.com/choice/PublicFullRecord.aspx?p=3412875</t>
  </si>
  <si>
    <t>To Right Historical Wrongs : Race, Gender, and Sentencing in Canada</t>
  </si>
  <si>
    <t>Murdocca, Carmela</t>
  </si>
  <si>
    <t>HV9960.C2 -- M87 2013eb</t>
  </si>
  <si>
    <t>Discrimination in criminal justice administration -- Canada.; Prison sentences -- Canada.</t>
  </si>
  <si>
    <t>http://public.eblib.com/choice/PublicFullRecord.aspx?p=3412878</t>
  </si>
  <si>
    <t>Pinay on the Prairies : Filipino Women and Transnational Identities</t>
  </si>
  <si>
    <t>Bonifacio, Glenda Tibe</t>
  </si>
  <si>
    <t>F1035.F48 -- B66 2013eb</t>
  </si>
  <si>
    <t>Filipinos -- Prairie Provinces -- Ethnic identity.; Prairie Provinces -- Emigration and immigration.</t>
  </si>
  <si>
    <t>http://public.eblib.com/choice/PublicFullRecord.aspx?p=3412880</t>
  </si>
  <si>
    <t>Diasporic Chineseness after the Rise of China : Communities and Cultural Production</t>
  </si>
  <si>
    <t>Kuehn, Julia; Louie, Kam; Pomfret, David M.</t>
  </si>
  <si>
    <t>DS732 -- .D53 2013eb</t>
  </si>
  <si>
    <t>Chinese -- Ethnic identity.; Chinese diaspora.</t>
  </si>
  <si>
    <t>http://public.eblib.com/choice/PublicFullRecord.aspx?p=3412881</t>
  </si>
  <si>
    <t>The Canadian Rangers : A Living History</t>
  </si>
  <si>
    <t>UA602.C29454 -- L33 2013eb</t>
  </si>
  <si>
    <t>Canada -- Armed Forces -- Canada, Northern -- History.; Canada. -- Canadian Armed Forces. -- Canadian Rangers -- History.; Military history.</t>
  </si>
  <si>
    <t>http://public.eblib.com/choice/PublicFullRecord.aspx?p=3412885</t>
  </si>
  <si>
    <t>Chinese Comfort Women : Testimonies from Imperial Japan's Sex Slaves</t>
  </si>
  <si>
    <t>Qiu, Peipei; Zhiliang, Su; Lifei, Chen</t>
  </si>
  <si>
    <t>D810.C698 -- Q59 2013eb</t>
  </si>
  <si>
    <t>Comfort women -- China -- History -- Sources.; Service, Compulsory non-military -- Japan -- History -- Sources.</t>
  </si>
  <si>
    <t>http://public.eblib.com/choice/PublicFullRecord.aspx?p=3412886</t>
  </si>
  <si>
    <t>Land Politics and Livelihoods on the Margins of Hanoi, 1920-2010</t>
  </si>
  <si>
    <t>Labbe, Danielle</t>
  </si>
  <si>
    <t>HT147.V5 -- L33 2014eb</t>
  </si>
  <si>
    <t>City planning -- Vietnam -- Hanoi -- History.; Urbanization -- Vietnam -- Hanoi -- History.</t>
  </si>
  <si>
    <t>http://public.eblib.com/choice/PublicFullRecord.aspx?p=3412888</t>
  </si>
  <si>
    <t>Polygamy's Rights and Wrongs : Perspectives on Harm, Family, and Law</t>
  </si>
  <si>
    <t>Calder, Gillian; Beaman, Lori G.</t>
  </si>
  <si>
    <t>HQ981 -- .P65 2014eb</t>
  </si>
  <si>
    <t>Non-monogamous relationships.; Polygamy.</t>
  </si>
  <si>
    <t>http://public.eblib.com/choice/PublicFullRecord.aspx?p=3412889</t>
  </si>
  <si>
    <t>Tellings from Our Elders: Lushootseed syeyehub</t>
  </si>
  <si>
    <t>Beck, David; Hess, Thom; Lamont, Martha Williams; Krise, Elizabeth Charles; Sam, Edward; James, Agnes Jules</t>
  </si>
  <si>
    <t>PM22654.A2 -- B43 2014eb</t>
  </si>
  <si>
    <t>Puget Sound Salish languages -- Textbooks for foreign speakers -- English.; Puget Sound Salish languages -- Texts.</t>
  </si>
  <si>
    <t>http://public.eblib.com/choice/PublicFullRecord.aspx?p=3412890</t>
  </si>
  <si>
    <t>Unsettled Legitimacy : Political Community, Power, and Authority in a Global Era</t>
  </si>
  <si>
    <t>Bernstein, Steven; Coleman, William D.</t>
  </si>
  <si>
    <t>JZ1318 -- .U575 2009eb</t>
  </si>
  <si>
    <t>Autonomy.; Globalization -- Political aspects.; Legitimacy of governments.; Power (Social sciences)</t>
  </si>
  <si>
    <t>http://public.eblib.com/choice/PublicFullRecord.aspx?p=3412892</t>
  </si>
  <si>
    <t>The Business of Women : Marriage, Family, and Entrepreneurship in British Columbia, 1901-51</t>
  </si>
  <si>
    <t>Buddle, Melanie</t>
  </si>
  <si>
    <t>HD6054.4.C2 -- B83 2010eb</t>
  </si>
  <si>
    <t>305.43/3380971109041</t>
  </si>
  <si>
    <t>Businesswomen -- British Columbia -- History -- 20th century.; Businesswomen -- Family relationships -- British Columbia -- History -- 20th century.; Self-employed women -- British Columbia -- History -- 20th century.; Self-employed women -- Family relationships -- British Columbia -- History -- 20th century.; Women -- Employment -- British Columbia -- History -- 20th century.</t>
  </si>
  <si>
    <t>http://public.eblib.com/choice/PublicFullRecord.aspx?p=3412893</t>
  </si>
  <si>
    <t>Gathering Places : Aboriginal and Fur Trade Histories</t>
  </si>
  <si>
    <t>Podruchny, Carolyn; Peers, Laura</t>
  </si>
  <si>
    <t>E78.C2 -- G378 2010eb</t>
  </si>
  <si>
    <t>Fur trade -- Canada -- History.; Indigenous peoples -- Canada -- Ethnic identity.; Indigenous peoples -- Canada -- History.; Indigenous peoples -- Material culture -- Canada.; Métis -- History.</t>
  </si>
  <si>
    <t>http://public.eblib.com/choice/PublicFullRecord.aspx?p=3412894</t>
  </si>
  <si>
    <t>The Information Front : The Canadian Army and News Management during the Second World War</t>
  </si>
  <si>
    <t>Balzer, Timothy</t>
  </si>
  <si>
    <t>D799.C2 -- B35 2011eb</t>
  </si>
  <si>
    <t>355.3/420971</t>
  </si>
  <si>
    <t>Armed Forces and mass media -- Canada -- History -- 20th century.; Canada. -- Canadian Army -- Public relations -- History -- 20th century.; Propaganda, Canadian -- History -- 20th century.; World War, 1939-1945 -- Press coverage -- Canada.; World War, 1939-1945 -- Propaganda -- Canada.</t>
  </si>
  <si>
    <t>http://public.eblib.com/choice/PublicFullRecord.aspx?p=3412895</t>
  </si>
  <si>
    <t>No need of a chief for this band : The Maritime Mi'kmaq and Federal Electoral Legislation, 1899-1951</t>
  </si>
  <si>
    <t>Walls, Martha Elizabeth</t>
  </si>
  <si>
    <t>KE7749.M53 -- W35 2010eb</t>
  </si>
  <si>
    <t>342.71/070872</t>
  </si>
  <si>
    <t>Election law -- Canada.; Micmac Indians -- Government relations.; Micmac Indians -- Legal status, laws, etc.; Micmac Indians -- Politics and government.</t>
  </si>
  <si>
    <t>http://public.eblib.com/choice/PublicFullRecord.aspx?p=3412896</t>
  </si>
  <si>
    <t>Between Consenting Peoples : Political Community and the Meaning of Consent</t>
  </si>
  <si>
    <t>Webber, Jeremy; Macleod, Colin M.</t>
  </si>
  <si>
    <t>K579.I6 -- B48 2010eb</t>
  </si>
  <si>
    <t>320.01/1</t>
  </si>
  <si>
    <t>Consensus (Social sciences) -- Congresses.; Consent (Law) -- Congresses.; Indians of North America -- Canada -- Government relations -- Congresses.; Indigenous peoples -- Legal status, laws, etc. -- Congresses.; Legitimacy of governments -- Congresses.</t>
  </si>
  <si>
    <t>http://public.eblib.com/choice/PublicFullRecord.aspx?p=3412897</t>
  </si>
  <si>
    <t>Acts of Occupation : Canada and Arctic Sovereignty, 1918-25</t>
  </si>
  <si>
    <t>Cavell, Janice; Noakes, Jeff</t>
  </si>
  <si>
    <t>F1090.5 -- .C39 2010eb</t>
  </si>
  <si>
    <t>917.1904/2</t>
  </si>
  <si>
    <t>Arctic regions -- Discovery and exploration.; Canada -- Boundaries -- Arctic regions.; Canada -- Foreign relations -- 1914-1945.; Canada, Northern -- Discovery and exploration.; Canada, Northern -- Politics and government.; Jurisdiction, Territorial -- Canada.</t>
  </si>
  <si>
    <t>http://public.eblib.com/choice/PublicFullRecord.aspx?p=3412898</t>
  </si>
  <si>
    <t>Art in Turmoil : The Chinese Cultural Revolution, 1966-76</t>
  </si>
  <si>
    <t>Croizier, Ralph; Zheng, Shentian; Watson, Scott; Watson, Music Instructor Scott</t>
  </si>
  <si>
    <t>NX583.A1 -- A78 2010eb</t>
  </si>
  <si>
    <t>700.951/09046</t>
  </si>
  <si>
    <t>Artists -- China -- Biography.; Arts, Chinese -- 20th century.; China -- History -- Cultural Revolution, 1966-1976.</t>
  </si>
  <si>
    <t>http://public.eblib.com/choice/PublicFullRecord.aspx?p=3412899</t>
  </si>
  <si>
    <t>Awfully Devoted Women : Lesbian Lives in Canada, 1900-65</t>
  </si>
  <si>
    <t>Duder, Cameron</t>
  </si>
  <si>
    <t>HQ75.6.C2 -- D83 2010eb</t>
  </si>
  <si>
    <t>306.76/6309710904</t>
  </si>
  <si>
    <t>Lesbianism -- Canada -- History -- 20th century.; Lesbians -- Canada -- Social conditions -- 20th century.; Lesbians -- Sexual behavior -- Canada -- History -- 20th century.</t>
  </si>
  <si>
    <t>http://public.eblib.com/choice/PublicFullRecord.aspx?p=3412900</t>
  </si>
  <si>
    <t>The Politics of Acknowledgement : Truth Commissions in Uganda and Haiti</t>
  </si>
  <si>
    <t>JC580 -- .Q85 2010eb</t>
  </si>
  <si>
    <t>323.4/9</t>
  </si>
  <si>
    <t>Truth commissions -- Haiti.; Truth commissions -- Uganda.; Truth commissions.</t>
  </si>
  <si>
    <t>http://public.eblib.com/choice/PublicFullRecord.aspx?p=3412902</t>
  </si>
  <si>
    <t>Taking Medicine : Women's Healing Work and Colonial Contact in Southern Alberta, 1880-1930</t>
  </si>
  <si>
    <t>Burnett, Kristin</t>
  </si>
  <si>
    <t>RA450.A4 -- B87 2010eb</t>
  </si>
  <si>
    <t>Alberta.; Medical care.; Women -- Health and hygiene.; Women''s health services.</t>
  </si>
  <si>
    <t>http://public.eblib.com/choice/PublicFullRecord.aspx?p=3412903</t>
  </si>
  <si>
    <t>Teachers' Schools and the Making of the Modern Chinese Nation-State, 1897-1937</t>
  </si>
  <si>
    <t>Cong, Xiaoping</t>
  </si>
  <si>
    <t>LB1727.C6 -- C66 2007eb</t>
  </si>
  <si>
    <t>Education and state -- China -- History -- 20th century.; Teachers -- Training of -- China -- History -- 20th century.; Teachers colleges -- China -- History -- 20th century.</t>
  </si>
  <si>
    <t>http://public.eblib.com/choice/PublicFullRecord.aspx?p=3412904</t>
  </si>
  <si>
    <t>What Is Water? : The History of a Modern Abstraction</t>
  </si>
  <si>
    <t>Linton, Jamie</t>
  </si>
  <si>
    <t>GB665 -- .L56 2010eb</t>
  </si>
  <si>
    <t>Hydrologic cycle.; Water -- Environmental aspects.; Water -- History.; Water -- Social aspects.; Water.; Whitman College -- Memorial bookplates -- Class of 1940.</t>
  </si>
  <si>
    <t>http://public.eblib.com/choice/PublicFullRecord.aspx?p=3412905</t>
  </si>
  <si>
    <t>From Victoria to Vladivostok : Canada’s Siberian Expedition, 1917-19</t>
  </si>
  <si>
    <t>Isitt, Benjamin</t>
  </si>
  <si>
    <t>DK265.42.C3 -- I85 2010eb</t>
  </si>
  <si>
    <t>947.084/1</t>
  </si>
  <si>
    <t>Canada. -- Canadian Army. -- Canadian Expeditionary Force (Siberia) -- History.; Labor movement -- Canada -- History -- 20th century.; Siberia (Russia) -- History -- Revolution, 1917-1921.; Soviet Union -- History -- Allied intervention, 1918-1920 -- Participation, Canadian.; Vladivostok (Russia) -- History -- 20th century.</t>
  </si>
  <si>
    <t>http://public.eblib.com/choice/PublicFullRecord.aspx?p=3412906</t>
  </si>
  <si>
    <t>The (Un)Making of the Modern Family</t>
  </si>
  <si>
    <t>Dagenais, Daniel; Brierley, Jane</t>
  </si>
  <si>
    <t>HQ728 -- .D2413 2008eb</t>
  </si>
  <si>
    <t>Couples.; Families -- Religious aspects -- Christianity -- History of doctrines.; Families.; Kinship.; Parenting.</t>
  </si>
  <si>
    <t>http://public.eblib.com/choice/PublicFullRecord.aspx?p=3412907</t>
  </si>
  <si>
    <t>Militia Myths : Ideas of the Canadian Citizen Soldier, 1896-1921</t>
  </si>
  <si>
    <t>Wood, James</t>
  </si>
  <si>
    <t>F1028 -- .W59 2010eb</t>
  </si>
  <si>
    <t>Canada -- Armed Forces -- History.; Canada -- History, Military.; Canada -- Militia -- History.; Sociology, Military -- Canada.</t>
  </si>
  <si>
    <t>http://public.eblib.com/choice/PublicFullRecord.aspx?p=3412908</t>
  </si>
  <si>
    <t>Veterans with a Vision : Canada’s War Blinded in Peace and War</t>
  </si>
  <si>
    <t>Durflinger, Serge Marc</t>
  </si>
  <si>
    <t>UB365.C2 -- D87 2010eb</t>
  </si>
  <si>
    <t>Baker, Edwin Albert, -- 1893-1968.; Blind -- Canada -- History.; Blind -- Services for -- Canada -- History.; Canadian National Institute for the Blind -- History.; Disabled veterans -- Canada -- History.; Sir Arthur Pearson Association of War Blinded -- History.</t>
  </si>
  <si>
    <t>http://public.eblib.com/choice/PublicFullRecord.aspx?p=3412909</t>
  </si>
  <si>
    <t>Aboriginal Title and Indigenous Peoples : Canada, Australia, and New Zealand</t>
  </si>
  <si>
    <t>Knafla, Louis A.; Westra, Haijo</t>
  </si>
  <si>
    <t>K3248.L36 -- A93 2010eb</t>
  </si>
  <si>
    <t>Indian title -- Canada.; Indigenous peoples -- Legal status, laws, etc.; Native title (Australia)</t>
  </si>
  <si>
    <t>http://public.eblib.com/choice/PublicFullRecord.aspx?p=3412910</t>
  </si>
  <si>
    <t>Becoming Native in a Foreign Land : Sport, Visual Culture, and Identity in Montreal, 1840-85</t>
  </si>
  <si>
    <t>Poulter, Gillian</t>
  </si>
  <si>
    <t>F1054.5.M89 -- E536 2009eb</t>
  </si>
  <si>
    <t>971.4/2803</t>
  </si>
  <si>
    <t>Canadians, English-speaking -- Québec (Province) -- Montréal -- History -- 19th century.; Montréal (Québec) -- Civilization -- 19th century.; Montréal (Québec) -- Intellectual life -- 19th century.; National characteristics, Canadian.; Sports -- Social aspects -- Québec (Province) -- Montréal -- History -- 19th century.</t>
  </si>
  <si>
    <t>http://public.eblib.com/choice/PublicFullRecord.aspx?p=3412911</t>
  </si>
  <si>
    <t>Canada and Ballistic Missile Defence, 1954-2009 : Déjà Vu All Over Again</t>
  </si>
  <si>
    <t>Fergusson, James G.</t>
  </si>
  <si>
    <t>UG745.C2 -- F47 2010eb</t>
  </si>
  <si>
    <t>358.1/740971</t>
  </si>
  <si>
    <t>Ballistic missile defenses -- Canada -- History.; Canada -- Military policy.; Canada -- Military relations -- United States.; Canada -- Politics and government -- 20th century.; Canada -- Politics and government -- 21st century.; National security -- Canada -- History.; United States -- Military relations -- Canada.</t>
  </si>
  <si>
    <t>http://public.eblib.com/choice/PublicFullRecord.aspx?p=3412912</t>
  </si>
  <si>
    <t>Game Changer : The Impact of 9/11 on North American Security</t>
  </si>
  <si>
    <t>Paquin, Jonathan; James, Patrick</t>
  </si>
  <si>
    <t>HV6432.7 -- .G364 2014eb</t>
  </si>
  <si>
    <t>National security -- North America.; North America -- Foreign relations.; September 11 Terrorist Attacks, 2001 -- Influence.</t>
  </si>
  <si>
    <t>http://public.eblib.com/choice/PublicFullRecord.aspx?p=3412914</t>
  </si>
  <si>
    <t>Webs of Empire : Locating New Zealand's Colonial Past</t>
  </si>
  <si>
    <t>Ballantyne, Tony</t>
  </si>
  <si>
    <t>DU420.16 -- .B355 2014eb</t>
  </si>
  <si>
    <t>Great Britain -- Colonies -- History -- 19th century.; New Zealand -- History -- 19th century.</t>
  </si>
  <si>
    <t>http://public.eblib.com/choice/PublicFullRecord.aspx?p=3412915</t>
  </si>
  <si>
    <t>Negotiating a River : Canada, the US, and the Creation of the St. Lawrence Seaway</t>
  </si>
  <si>
    <t>Macfarlane, Daniel</t>
  </si>
  <si>
    <t>HE396.S25 -- .M334 2014eb</t>
  </si>
  <si>
    <t>North America -- Saint Lawrence River.; Saint Lawrence River -- Navigation.; Saint Lawrence Seaway Development Corporation.</t>
  </si>
  <si>
    <t>http://public.eblib.com/choice/PublicFullRecord.aspx?p=3412917</t>
  </si>
  <si>
    <t>Written as I Remember It : Teachings (ʔəms taʔaw ) from the Life of a Sliammon Elder</t>
  </si>
  <si>
    <t>Paul, Elsie; Raibmon, Paige; Johnson, Harmony</t>
  </si>
  <si>
    <t>GR78 -- .P385 2014eb</t>
  </si>
  <si>
    <t>971.1/310049794</t>
  </si>
  <si>
    <t>Legends -- British Columbia -- Sunshine Coast.; Oral tradition -- British Columbia -- Sunshine Coast.</t>
  </si>
  <si>
    <t>http://public.eblib.com/choice/PublicFullRecord.aspx?p=3412918</t>
  </si>
  <si>
    <t>Recognition versus Self-Determination : Dilemmas of Emancipatory Politics</t>
  </si>
  <si>
    <t>Eisenberg, Avigail; Webber, Jeremy; Coulthard, Glen; Boisselle, Andree</t>
  </si>
  <si>
    <t>JF1061 -- .R436 2014eb</t>
  </si>
  <si>
    <t>Autonomy (Psychology) -- Political aspects.; Ethnic groups Minorities -- Political activity.; Ethnicity -- Political aspects.; Minorities -- Political activity.; Recognition (Psychology) -- Political aspects.</t>
  </si>
  <si>
    <t>http://public.eblib.com/choice/PublicFullRecord.aspx?p=3412919</t>
  </si>
  <si>
    <t>“Métis” : Race, Recognition, and the Struggle for Indigenous Peoplehood</t>
  </si>
  <si>
    <t>Andersen, Chris</t>
  </si>
  <si>
    <t>E99.M47 -- .A534 2014eb</t>
  </si>
  <si>
    <t>Métis -- Ethnic identity.; Métis -- History.; Métis -- Legal status, laws, etc.</t>
  </si>
  <si>
    <t>http://public.eblib.com/choice/PublicFullRecord.aspx?p=3412920</t>
  </si>
  <si>
    <t>Remembering the Samsui Women : Migration and Social Memory in Singapore and China</t>
  </si>
  <si>
    <t>Low, Kelvin E.Y.</t>
  </si>
  <si>
    <t>JV6347 -- .L69 2014eb</t>
  </si>
  <si>
    <t>Samsui women -- China -- Guangdong Sheng -- History -- 20th century.; Samsui women -- China -- Guangdong Sheng -- Social conditions -- 20th century.; Samsui women -- Singapore -- History -- 20th century.; Samsui women -- Singapore -- Social conditions -- 20th century.; Women immigrants -- Singapore -- History -- 20th century.</t>
  </si>
  <si>
    <t>http://public.eblib.com/choice/PublicFullRecord.aspx?p=3412922</t>
  </si>
  <si>
    <t>Assessing Treaty Performance in China : Trade and Human Rights</t>
  </si>
  <si>
    <t>Asia Pacific Legal Culture and Globalization</t>
  </si>
  <si>
    <t>Potter, Pitman B.</t>
  </si>
  <si>
    <t>HF1733.C6 -- .P68 2014eb</t>
  </si>
  <si>
    <t>China -- Commercial treaties -- Evaluation.; Contracts -- China -- Evaluation.; Human rights -- China -- Evaluation.; Property -- China -- Evaluation.</t>
  </si>
  <si>
    <t>http://public.eblib.com/choice/PublicFullRecord.aspx?p=3412924</t>
  </si>
  <si>
    <t>Making of Modern Chinese Medicine, 1850-1960</t>
  </si>
  <si>
    <t>Andrews, Bridie</t>
  </si>
  <si>
    <t>R601 -- .A53 2014eb</t>
  </si>
  <si>
    <t>Medical care -- China -- History -- 19th century.; Medicine, Chinese -- China -- History -- 19th century.; Medicine, Chinese -- China -- History -- 20th century.</t>
  </si>
  <si>
    <t>http://public.eblib.com/choice/PublicFullRecord.aspx?p=3412925</t>
  </si>
  <si>
    <t>Voyage of the Komagata Maru : The Sikh Challenge to Canada's Colour Bar</t>
  </si>
  <si>
    <t>Expanded and Fully Revised</t>
  </si>
  <si>
    <t>Johnston, Hugh J.M.</t>
  </si>
  <si>
    <t>F1035.S54 -- .J63 2014eb</t>
  </si>
  <si>
    <t>325/.2540971</t>
  </si>
  <si>
    <t>Aliens -- Canada -- History.; Sikhs -- Canada -- History.</t>
  </si>
  <si>
    <t>http://public.eblib.com/choice/PublicFullRecord.aspx?p=3412927</t>
  </si>
  <si>
    <t>Private Women and the Public Good : Charity and State Formation in Hamilton, Ontario, 1846-93</t>
  </si>
  <si>
    <t>Nielson, Carmen J.</t>
  </si>
  <si>
    <t>HV109.O64 -- .N545 2014eb</t>
  </si>
  <si>
    <t>Charities -- Ontario -- Hamilton -- History -- 19th century.; Hamilton (Ont.) -- History -- 19th century.; Public welfare -- Ontario -- Hamilton -- History -- 19th century.; Public welfare -- Ontario -- History.; Women in charitable work -- Ontario -- Hamilton -- History -- 19th century.</t>
  </si>
  <si>
    <t>http://public.eblib.com/choice/PublicFullRecord.aspx?p=3412928</t>
  </si>
  <si>
    <t>The Public Sociology Debate : Ethics and Engagement</t>
  </si>
  <si>
    <t>Hanemaayer, Ariane; Schneider, Christopher J.; Burawoy, Michael</t>
  </si>
  <si>
    <t>HM24 -- .P835 2014eb</t>
  </si>
  <si>
    <t>Applied sociology.; Sociology -- Methodology.; Sociology -- Moral and ethical aspects.; Sociology -- Philosophy.; Sociology -- Study and teaching.</t>
  </si>
  <si>
    <t>http://public.eblib.com/choice/PublicFullRecord.aspx?p=3412931</t>
  </si>
  <si>
    <t>Segmented Cities? : How Urban Contexts Shape Ethnic and Nationalist Politics</t>
  </si>
  <si>
    <t>Good, Kristin R.; Turgeon, Luc; Triadafilopoulos, Triadafilos</t>
  </si>
  <si>
    <t>HT151 -- .S446 2014eb</t>
  </si>
  <si>
    <t>Ethnic neighborhoods.; Ethnic relations -- Political aspects.; Sociology, Urban.; Urban minorities -- Political activity.</t>
  </si>
  <si>
    <t>http://public.eblib.com/choice/PublicFullRecord.aspx?p=3412935</t>
  </si>
  <si>
    <t>The Strategic Constitution : Understanding Canadian Power in the World</t>
  </si>
  <si>
    <t>Studin, Irvin</t>
  </si>
  <si>
    <t>KE4219 -- .S78 2014eb</t>
  </si>
  <si>
    <t>Canada -- Politics and government.; Constitutional law -- Canada.</t>
  </si>
  <si>
    <t>http://public.eblib.com/choice/PublicFullRecord.aspx?p=3412936</t>
  </si>
  <si>
    <t>Comparing Canada : Methods and Perspectives on Canadian Politics</t>
  </si>
  <si>
    <t>Turgeon, Luc; Papillon, Martin; Wallner, Jennifer</t>
  </si>
  <si>
    <t>JA84.C3 -- .C667 2014eb</t>
  </si>
  <si>
    <t>Political science -- Canada -- Comparative method.; Political science -- Canada -- Methodology.</t>
  </si>
  <si>
    <t>http://public.eblib.com/choice/PublicFullRecord.aspx?p=3412947</t>
  </si>
  <si>
    <t>Teaching Each Other : Nehinuw Concepts and Indigenous Pedagogies</t>
  </si>
  <si>
    <t>Goulet, Linda M.; Goulet, Keith N.</t>
  </si>
  <si>
    <t>E96.2 -- .G685 2014eb</t>
  </si>
  <si>
    <t>Cree Indians -- Education -- Canada.; Indigenous peoples -- Education -- Canada.</t>
  </si>
  <si>
    <t>http://public.eblib.com/choice/PublicFullRecord.aspx?p=3412948</t>
  </si>
  <si>
    <t>The First Nations of British Columbia, Third Edition : An Anthropological Overview</t>
  </si>
  <si>
    <t>E78.B9 -- .M835 2014eb</t>
  </si>
  <si>
    <t>http://public.eblib.com/choice/PublicFullRecord.aspx?p=3412950</t>
  </si>
  <si>
    <t>Co-operative Canada : Empowering Communities and Sustainable Businesses</t>
  </si>
  <si>
    <t>Fairbairn, Brett; Russell, Nora</t>
  </si>
  <si>
    <t>HD3448 -- .C667 2014eb</t>
  </si>
  <si>
    <t>Community development -- Canada -- Case studies.; Cooperative societies -- Canada -- Case studies.; Social entrepreneurship -- Canada -- Case studies.</t>
  </si>
  <si>
    <t>http://public.eblib.com/choice/PublicFullRecord.aspx?p=3412951</t>
  </si>
  <si>
    <t>Demarginalizing Voices : Commitment, Emotion, and Action in Qualitative Research</t>
  </si>
  <si>
    <t>Kilty, Jennifer M.; Fabian, Sheryl C.; Felices-Luna, Maritza</t>
  </si>
  <si>
    <t>HM1136 -- .D463 2014eb</t>
  </si>
  <si>
    <t>Marginality, Social -- Research -- Methodology.; Qualitative research -- Methodology.; Social sciences -- Research -- Methodology.</t>
  </si>
  <si>
    <t>http://public.eblib.com/choice/PublicFullRecord.aspx?p=3412952</t>
  </si>
  <si>
    <t>Mixed Race Amnesia : Resisting the Romanticization of Multiraciality</t>
  </si>
  <si>
    <t>Mahtani, Minelle</t>
  </si>
  <si>
    <t>HT1523 -- .M348 2014eb</t>
  </si>
  <si>
    <t>Racially mixed people -- Canada.; Racially mixed people -- Race identity -- Canada.</t>
  </si>
  <si>
    <t>http://public.eblib.com/choice/PublicFullRecord.aspx?p=3412954</t>
  </si>
  <si>
    <t>The Business of Culture : Cultural Entrepreneurs in China and Southeast Asia, 1900-65</t>
  </si>
  <si>
    <t>Rea, Christopher; Volland, Nicolai</t>
  </si>
  <si>
    <t>HD9999.C9473 -- .B875 2015eb</t>
  </si>
  <si>
    <t>Businesspeople -- China -- Case studies.; Cultural industries -- China -- Case studies.; Cultural industries -- Southeast Asia -- Case studies.</t>
  </si>
  <si>
    <t>http://public.eblib.com/choice/PublicFullRecord.aspx?p=3412959</t>
  </si>
  <si>
    <t>The Making of the Nations and Cultures of the New World : An Essay in Comparative History</t>
  </si>
  <si>
    <t>Bouchard, Gérard</t>
  </si>
  <si>
    <t>F1052.95 -- .B65 2008eb</t>
  </si>
  <si>
    <t>Ethnicity.; Nationalism -- Australia -- History.; Nationalism -- Québec (Province) -- History.; Nationalism.; Nationalisme -- Québec (Province) -- Histoire.; Nationalisme.; Nation-state.</t>
  </si>
  <si>
    <t>http://public.eblib.com/choice/PublicFullRecord.aspx?p=3433717</t>
  </si>
  <si>
    <t>The Canadian Oral History Reader</t>
  </si>
  <si>
    <t>Llewellyn, Kristina R.; Freund, Alexander; Reilly, Nolan</t>
  </si>
  <si>
    <t>D16.14 -- .C363 2015eb</t>
  </si>
  <si>
    <t>Oral history -- Canada -- Case studies.</t>
  </si>
  <si>
    <t>http://public.eblib.com/choice/PublicFullRecord.aspx?p=3433720</t>
  </si>
  <si>
    <t>Discrepant Parallels : Cultural Implications of the Canada-US Border</t>
  </si>
  <si>
    <t>Roberts, Gillian</t>
  </si>
  <si>
    <t>F1021.2 -- .R634 2015eb</t>
  </si>
  <si>
    <t>Canada -- Boundaries -- United States.; Canada -- Civilization -- American influences.; United States -- Boundaries -- Canada.</t>
  </si>
  <si>
    <t>http://public.eblib.com/choice/PublicFullRecord.aspx?p=3433721</t>
  </si>
  <si>
    <t>Fernand Dumont : A Sociologist Turns to Theology</t>
  </si>
  <si>
    <t>BR100 -- .B386 2015eb</t>
  </si>
  <si>
    <t>Christianity -- Philosophy.; Sociologists -- Québec (Province) -- Biography.</t>
  </si>
  <si>
    <t>http://public.eblib.com/choice/PublicFullRecord.aspx?p=3433722</t>
  </si>
  <si>
    <t>State Traditions and Language Regimes</t>
  </si>
  <si>
    <t>Cardinal, Linda; Sonntag, Selma K.</t>
  </si>
  <si>
    <t>P119.3 -- .S738 2015eb</t>
  </si>
  <si>
    <t>306.44/9</t>
  </si>
  <si>
    <t>Language and languages -- Political aspects.; Language policy.</t>
  </si>
  <si>
    <t>http://public.eblib.com/choice/PublicFullRecord.aspx?p=3433723</t>
  </si>
  <si>
    <t>Building Bridges</t>
  </si>
  <si>
    <t>Goldbloom, Victor C.</t>
  </si>
  <si>
    <t>F1035.J5 -- .G653 2015eb</t>
  </si>
  <si>
    <t>971.4/04092</t>
  </si>
  <si>
    <t>Jews -- Québec (Province) -- Biography.; Pediatricians -- Québec (Province) -- Biography.</t>
  </si>
  <si>
    <t>http://public.eblib.com/choice/PublicFullRecord.aspx?p=3433724</t>
  </si>
  <si>
    <t>Conquest and Survival in Colonial Guatemala : A Historical Geography of the Cuchumatán Highlands, 1500-1839</t>
  </si>
  <si>
    <t>Lovell, W. George</t>
  </si>
  <si>
    <t>F1465 -- .L684 2015eb</t>
  </si>
  <si>
    <t>http://public.eblib.com/choice/PublicFullRecord.aspx?p=3433725</t>
  </si>
  <si>
    <t>Anthems and Minstrel Shows : The Life and Times of Calixa Lavallée, 1842-1891</t>
  </si>
  <si>
    <t>Thompson, Brian Christopher</t>
  </si>
  <si>
    <t>ML410.L32 -- .T466 2015eb</t>
  </si>
  <si>
    <t>Composers -- Canada -- Biography.; Lavallée, Calixa, -- 1842-1891.</t>
  </si>
  <si>
    <t>http://public.eblib.com/choice/PublicFullRecord.aspx?p=3433726</t>
  </si>
  <si>
    <t>Alice in Shandehland : Scandal and Scorn in the Edelson/Horwitz Murder Case</t>
  </si>
  <si>
    <t>K543.M8 -- .H357 2015eb</t>
  </si>
  <si>
    <t>Adultery -- Ontario -- Ottawa -- Case studies.; Sex scandals -- Ontario -- Ottawa -- Case studies.; Trials (Murder) -- Ontario -- Ottawa -- Case studies.</t>
  </si>
  <si>
    <t>http://public.eblib.com/choice/PublicFullRecord.aspx?p=3433727</t>
  </si>
  <si>
    <t>Ecosystems, Society, and Health : Pathways through Diversity, Convergence, and Integration</t>
  </si>
  <si>
    <t>Hallström, Lars K.; Guehlstorf, Nicholas P.; Parkes, Margot W.</t>
  </si>
  <si>
    <t>GF41 -- .E267 2015eb</t>
  </si>
  <si>
    <t>Biotic communities.; Ecological integrity.; Ecosystem health.; Environmental health.; Human ecology.</t>
  </si>
  <si>
    <t>http://public.eblib.com/choice/PublicFullRecord.aspx?p=3433728</t>
  </si>
  <si>
    <t>The Writings of David Thompson, Volume 2 : The Travels, 1848 Version, and Associated Texts</t>
  </si>
  <si>
    <t>Moreau, William E.; Moreau, William ; Champlain Society, ; Moreau, William E</t>
  </si>
  <si>
    <t>F1060.7.T48 -- .W758 2015eb</t>
  </si>
  <si>
    <t>917.1204/1</t>
  </si>
  <si>
    <t>Canada, Western -- Description and travel.; Northwest, Pacific -- Description and travel.; Pioneers -- Canada -- Biography.; Thompson, David, -- 1770-1857 -- Travel -- Canada, Western.; Thompson, David, -- 1770-1857 -- Travel -- Northwest, Pacific.</t>
  </si>
  <si>
    <t>http://public.eblib.com/choice/PublicFullRecord.aspx?p=3433729</t>
  </si>
  <si>
    <t>Designing Fictions : Literature Confronts Advertising</t>
  </si>
  <si>
    <t>Literature; Business/Management</t>
  </si>
  <si>
    <t>HF5823 -- .R677 2015eb</t>
  </si>
  <si>
    <t>820.9/355</t>
  </si>
  <si>
    <t>Advertising in literature.; Advertising in popular culture.; Advertising.</t>
  </si>
  <si>
    <t>http://public.eblib.com/choice/PublicFullRecord.aspx?p=3433730</t>
  </si>
  <si>
    <t>Lives in Transition : Longitudinal Analysis from Historical Sources</t>
  </si>
  <si>
    <t>Baskerville, Peter; Inwood, Kris</t>
  </si>
  <si>
    <t>JV6029 -- .L584 2015eb</t>
  </si>
  <si>
    <t>304.809/034</t>
  </si>
  <si>
    <t>Emigration and immigration -- History -- 19th century.; Emigration and immigration -- History -- 20th century.; Immigrants -- Social conditions -- 19th century.; Migration, Internal -- History -- 19th century.; Migration, Internal -- History -- 20th century.</t>
  </si>
  <si>
    <t>http://public.eblib.com/choice/PublicFullRecord.aspx?p=3433731</t>
  </si>
  <si>
    <t>The Politics of Popular Culture : Negotiating Power, Identity, and Place</t>
  </si>
  <si>
    <t>Nieguth, Tim</t>
  </si>
  <si>
    <t>JN2597 -- .P655 2015eb</t>
  </si>
  <si>
    <t>Popular culture -- Political aspects -- Canada.</t>
  </si>
  <si>
    <t>http://public.eblib.com/choice/PublicFullRecord.aspx?p=3433732</t>
  </si>
  <si>
    <t>A Subtle Balance : Expertise, Evidence, and Democracy in Public Policy Governance, 1970-2010</t>
  </si>
  <si>
    <t>Parson, Edward A.; Parson, School of Law and School of Natural Resources and the Environment Edward A</t>
  </si>
  <si>
    <t>JL86.D42 -- .S838 2015eb</t>
  </si>
  <si>
    <t>Public administration -- Canada -- Decision making -- History -- 20th century.; Public administration -- Canada -- Decision making -- History -- 21st century.</t>
  </si>
  <si>
    <t>http://public.eblib.com/choice/PublicFullRecord.aspx?p=3433733</t>
  </si>
  <si>
    <t>Local Self-Government and the Right to the City</t>
  </si>
  <si>
    <t>Magnusson, Warren</t>
  </si>
  <si>
    <t>JS78 -- .M346 2015eb</t>
  </si>
  <si>
    <t>320.8/5</t>
  </si>
  <si>
    <t>Communities -- Political aspects.; Municipal government.; Political participation.</t>
  </si>
  <si>
    <t>http://public.eblib.com/choice/PublicFullRecord.aspx?p=3433734</t>
  </si>
  <si>
    <t>Why Did We Choose to Industrialize? : Montreal, 1819-1849</t>
  </si>
  <si>
    <t>Sweeny, Robert C. H.</t>
  </si>
  <si>
    <t>HC118.M6 -- .S944 2015eb</t>
  </si>
  <si>
    <t>Industrial revolution -- Québec (Province) -- Montréal.; Industrialization -- Québec (Province) -- Montréal -- History.; Industrialization -- Social aspects -- Québec (Province) -- Montréal.; Montréal (Québec) -- Economic conditions -- 19th century.</t>
  </si>
  <si>
    <t>http://public.eblib.com/choice/PublicFullRecord.aspx?p=3433735</t>
  </si>
  <si>
    <t>Beyond Brutal Passions : Prostitution in Early Nineteenth-Century Montreal</t>
  </si>
  <si>
    <t>Poutanen, Mary Anne</t>
  </si>
  <si>
    <t>HQ150.M6 -- .P688 2015eb</t>
  </si>
  <si>
    <t>Montréal (Québec) -- History -- 19th century.; Montréal (Québec) -- Social conditions -- 19th century.; Prostitutes -- Québec (Province) -- Montréal -- History -- 19th century.; Prostitution -- Québec (Province) -- Montréal -- History -- 19th century.; Prostitution -- Québec (Province) -- Montréal -- History -- 20th century.</t>
  </si>
  <si>
    <t>http://public.eblib.com/choice/PublicFullRecord.aspx?p=3433736</t>
  </si>
  <si>
    <t>The Unbounded Level of the Mind : Rod Macdonald's Legal Imagination</t>
  </si>
  <si>
    <t>Janda, Richard; Jukier, Rosalie; Jutras, Daniel</t>
  </si>
  <si>
    <t>KE448 -- .U53 2015eb</t>
  </si>
  <si>
    <t>Law -- Canada.; Macdonald, Roderick A., -- 1948-2014.</t>
  </si>
  <si>
    <t>http://public.eblib.com/choice/PublicFullRecord.aspx?p=3433737</t>
  </si>
  <si>
    <t>The Jewish Oil Magnates of Galicia : Part One: The Jewish Oil Magnates: A History, 1853-1945 by Valerie Schatzker;  Part Two: The Jewish Oil Magnates, A Novel by Julien Hirszhaut, Translated by Miriam Beckerman, Edited by Valerie Schatzker</t>
  </si>
  <si>
    <t>Hirszhaut, Julien; Schatzker, Valerie; Polonsky, Anthony; Beckerman, Miriam</t>
  </si>
  <si>
    <t>DS134.66.G35 -- S33 2015eb</t>
  </si>
  <si>
    <t>305.892/40438609034</t>
  </si>
  <si>
    <t>Jews -- Galicia (Poland and Ukraine) -- History -- 19th century.; Jews -- Galicia (Poland and Ukraine) -- History -- 20th century.; Petroleum industry and trade -- Galicia (Poland and Ukraine) -- History -- 19th century.; Petroleum industry and trade -- Galicia (Poland and Ukraine) -- History -- 20th century.; Petroleum workers -- Galicia (Poland and Ukraine) -- History -- 19th century.; Petroleum workers -- Galicia (Poland and Ukraine) -- History -- 20th century.</t>
  </si>
  <si>
    <t>http://public.eblib.com/choice/PublicFullRecord.aspx?p=3433738</t>
  </si>
  <si>
    <t>Techniciens de l'organisation sociale : La réorganisation de l’assistance catholique privée à Montréal (1930-1974)</t>
  </si>
  <si>
    <t>Bourbeau, Amélie</t>
  </si>
  <si>
    <t>BX1423.M7 -- .B687 2015eb</t>
  </si>
  <si>
    <t>Catholic Church -- Québec (Province) -- Montréal.; Charities -- Québec (Province) -- Montréal.; Poor -- Québec (Province) -- Montréal.</t>
  </si>
  <si>
    <t>http://public.eblib.com/choice/PublicFullRecord.aspx?p=3433739</t>
  </si>
  <si>
    <t>Then and Now : Collecting and Classicism in Eighteenth-Century England</t>
  </si>
  <si>
    <t>NB87.G7 -- C68 2015eb</t>
  </si>
  <si>
    <t>733.074/4209033</t>
  </si>
  <si>
    <t>Sculpture, Classical -- Appreciation -- England -- History -- 18th century.; Sculpture, Classical -- Collectors and collecting -- England -- History -- 18th century.; Sculpture, Classical -- Political aspects -- England -- History -- 18th century.; Sculpture, Classical -- Private collections -- England -- History -- 18th century.</t>
  </si>
  <si>
    <t>http://public.eblib.com/choice/PublicFullRecord.aspx?p=3433740</t>
  </si>
  <si>
    <t>Family Ties : Living History in Canadian House Museums</t>
  </si>
  <si>
    <t>Terry, Andrea</t>
  </si>
  <si>
    <t>F1010 -- .T47 2015eb</t>
  </si>
  <si>
    <t>Dundurn Castle (Hamilton, Ont.); Dwellings -- Canada -- History -- 19th century.; Historic buildings -- Canada -- Case studies.; Historic house museums -- Canada -- Case studies.; Mackenzie House (Toronto, Ont.); Material culture -- Canada -- History -- 19th century.; Sir George-Étienne Cartier National Historic Site (Montréal, Québec)</t>
  </si>
  <si>
    <t>http://public.eblib.com/choice/PublicFullRecord.aspx?p=3433741</t>
  </si>
  <si>
    <t>Wallace Stevens among Others : Diva-Dames, Deleuze, and American Culture</t>
  </si>
  <si>
    <t>Jarraway, David R.</t>
  </si>
  <si>
    <t>PS3537.T4753 -- Z683 2015eb</t>
  </si>
  <si>
    <t>Deleuze, Gilles.; Stevens, Wallace, -- 1879-1955 -- Criticism and interpretation.; Subjectivity in literature.</t>
  </si>
  <si>
    <t>http://public.eblib.com/choice/PublicFullRecord.aspx?p=3433742</t>
  </si>
  <si>
    <t>Fresh Strange Music : Elizabeth Barrett Browning's Language</t>
  </si>
  <si>
    <t>Hair, Donald S.</t>
  </si>
  <si>
    <t>PR4198 -- .H35 2015eb</t>
  </si>
  <si>
    <t>Browning, Elizabeth Barrett, -- 1806-1861 -- Criticism and interpretation.</t>
  </si>
  <si>
    <t>http://public.eblib.com/choice/PublicFullRecord.aspx?p=3433743</t>
  </si>
  <si>
    <t>hook</t>
  </si>
  <si>
    <t>halifax, nancy viva davis</t>
  </si>
  <si>
    <t>PR9199.4.H35623 -- H66 2015eb</t>
  </si>
  <si>
    <t>http://public.eblib.com/choice/PublicFullRecord.aspx?p=3433744</t>
  </si>
  <si>
    <t>Christ, God's Companionship with Man</t>
  </si>
  <si>
    <t>Giussani, Luigi; Carrón, Julián</t>
  </si>
  <si>
    <t>BX2350.3 -- .G5813 2015eb</t>
  </si>
  <si>
    <t>248.4/82</t>
  </si>
  <si>
    <t>Spiritual life -- Catholic Church.</t>
  </si>
  <si>
    <t>http://public.eblib.com/choice/PublicFullRecord.aspx?p=3433745</t>
  </si>
  <si>
    <t>What Is Government Good At? : A Canadian Answer</t>
  </si>
  <si>
    <t>JL75 -- .S28 2015eb</t>
  </si>
  <si>
    <t>Federal government -- Canada.; Public administration -- Canada.</t>
  </si>
  <si>
    <t>http://public.eblib.com/choice/PublicFullRecord.aspx?p=3433746</t>
  </si>
  <si>
    <t>When Ballet Became French : Modern Ballet and the Cultural Politics of France, 1909-1958</t>
  </si>
  <si>
    <t>Karthas, Ilyana</t>
  </si>
  <si>
    <t>DC33.7 -- .K37 2015eb</t>
  </si>
  <si>
    <t>Ballet -- Political aspects -- France.; Ballet -- Social aspects -- France.; France -- Social life and customs -- 20th century.</t>
  </si>
  <si>
    <t>http://public.eblib.com/choice/PublicFullRecord.aspx?p=3433747</t>
  </si>
  <si>
    <t>Forced Migration, Reconciliation, and Justice</t>
  </si>
  <si>
    <t>Bradley, Megan</t>
  </si>
  <si>
    <t>HV640 -- .F67 2015eb</t>
  </si>
  <si>
    <t>Forced migration.; Reconciliation.; Social justice.</t>
  </si>
  <si>
    <t>http://public.eblib.com/choice/PublicFullRecord.aspx?p=3433748</t>
  </si>
  <si>
    <t>The Stability Imperative : Human Rights and Law in China</t>
  </si>
  <si>
    <t>Biddulph, Sarah</t>
  </si>
  <si>
    <t>K3240 -- .B533 2015eb</t>
  </si>
  <si>
    <t>Civil rights -- Political aspects -- China -- Case studies.; Human rights -- Political aspects -- China -- Case studies.</t>
  </si>
  <si>
    <t>http://public.eblib.com/choice/PublicFullRecord.aspx?p=3440655</t>
  </si>
  <si>
    <t>Where the Rivers Meet : Pipelines, Participatory Resource Management, and Aboriginal-State Relations in the Northwest Territories</t>
  </si>
  <si>
    <t>Dokis, Carly A.</t>
  </si>
  <si>
    <t>HD9581.C3 -- .D655 2015eb</t>
  </si>
  <si>
    <t>Bearlake Indians -- Northwest Territories -- Government relations.; Environmental impact analysis -- Northwest Territories -- Decision making.; Mackenzie Gas Project.</t>
  </si>
  <si>
    <t>http://public.eblib.com/choice/PublicFullRecord.aspx?p=3440658</t>
  </si>
  <si>
    <t>Who Is Bob_34? : Investigating Child Cyberpornography</t>
  </si>
  <si>
    <t>Fortin, Francis; Corriveau, Patrice; Roth, Käthe</t>
  </si>
  <si>
    <t>HQ471 -- .F678 2015eb</t>
  </si>
  <si>
    <t>Child pornography.; Internet pornography.; Online sexual predators.; Pedophilia.</t>
  </si>
  <si>
    <t>http://public.eblib.com/choice/PublicFullRecord.aspx?p=3440660</t>
  </si>
  <si>
    <t>Collective Encounters : Documentary Theatre in English Canada</t>
  </si>
  <si>
    <t>University of Toronto Press</t>
  </si>
  <si>
    <t>U_Toronto</t>
  </si>
  <si>
    <t>Filewod, Alan</t>
  </si>
  <si>
    <t>PN2304 -- .F54 1987eb</t>
  </si>
  <si>
    <t>792/.0971</t>
  </si>
  <si>
    <t>Electronic books. -- local; Experimental theater -- Canada.; Theater -- Canada -- History -- 20th century.</t>
  </si>
  <si>
    <t>http://public.eblib.com/choice/PublicFullRecord.aspx?p=3443813</t>
  </si>
  <si>
    <t>Russian Literature, 1995-2002 : On the Threshold of a New Millennium</t>
  </si>
  <si>
    <t>Heritage</t>
  </si>
  <si>
    <t>Shneidman, Norman, N.; Shneidman, Norman N</t>
  </si>
  <si>
    <t>PG3098.4 -- .S473 2004eb</t>
  </si>
  <si>
    <t>891.73/509</t>
  </si>
  <si>
    <t>Russian fiction -- 20th century -- History and criticism.; Russian fiction -- 21st century -- History and criticism.</t>
  </si>
  <si>
    <t>http://public.eblib.com/choice/PublicFullRecord.aspx?p=3443814</t>
  </si>
  <si>
    <t>Revenge of the Windigo : The Construction of the Mind and Mental Health of North American Aboriginal Peoples</t>
  </si>
  <si>
    <t>Anthropological Horizons</t>
  </si>
  <si>
    <t>Waldram, James, B.</t>
  </si>
  <si>
    <t>Psychology; Medicine</t>
  </si>
  <si>
    <t>RC451.5.I5 -- W34 2004eb</t>
  </si>
  <si>
    <t>Electronic books. -- local; Ethnopsychology -- History.; Indians of North America -- Mental health.; Indians of North America -- Psychology.</t>
  </si>
  <si>
    <t>http://public.eblib.com/choice/PublicFullRecord.aspx?p=3443815</t>
  </si>
  <si>
    <t>Coast Salish Prehistory : The Archaeology of San Juan Island</t>
  </si>
  <si>
    <t>University of Washington Press</t>
  </si>
  <si>
    <t>University of Washington Peess/Burke Museum of Natural History and Culture</t>
  </si>
  <si>
    <t>Burke Museum Monograph</t>
  </si>
  <si>
    <t>Stein, Julie K.</t>
  </si>
  <si>
    <t>E99.S2 -- S74 2000eb</t>
  </si>
  <si>
    <t>979.7/774</t>
  </si>
  <si>
    <t>Cattle Point Site (Wash.); English Camp Site (Wash.); Excavations (Archaeology) -- Washington (State) -- San Juan Island.; Salish Indians -- Antiquities.; San Juan Island (Wash.) -- Antiquities.; San Juan Island National Historical Park (Wash.) -- Antiquities.</t>
  </si>
  <si>
    <t>http://public.eblib.com/choice/PublicFullRecord.aspx?p=3444539</t>
  </si>
  <si>
    <t>High Performance Computing Systems and Applications and OSCAR Symposium</t>
  </si>
  <si>
    <t>International Symposium on High Performance Computing Systems andApplications (17th : 2003 : Sherbrooke, Quebec)</t>
  </si>
  <si>
    <t>QA76.88 -- .I58 2003eb</t>
  </si>
  <si>
    <t>Electronic books. -- local; Electronic data processing.; High performance computing -- Congresses.</t>
  </si>
  <si>
    <t>http://public.eblib.com/choice/PublicFullRecord.aspx?p=3563611</t>
  </si>
  <si>
    <t>Pemmican Eaters</t>
  </si>
  <si>
    <t>Dumont, Marilyn</t>
  </si>
  <si>
    <t>PR9199.3.D8465 -- .D866 2015eb</t>
  </si>
  <si>
    <t>MÃÂ©tis -- History -- Poetry.; Riel, Louis, -- 1844-1885 -- Poetry.</t>
  </si>
  <si>
    <t>http://public.eblib.com/choice/PublicFullRecord.aspx?p=3564831</t>
  </si>
  <si>
    <t>Monkeys, Myths, and Molecules : Separating Fact from Fiction, and the Science of Everyday Life</t>
  </si>
  <si>
    <t>Q162 -- .S34 2015eb</t>
  </si>
  <si>
    <t>Chemistry -- Miscellanea.; Chemistry -- Popular works.; Science -- Miscellanea.; Science -- Popular works.</t>
  </si>
  <si>
    <t>http://public.eblib.com/choice/PublicFullRecord.aspx?p=3564836</t>
  </si>
  <si>
    <t>What Was I Thinking? : The Autobiography of an Idea and Other Essays</t>
  </si>
  <si>
    <t>Salutin, Rick</t>
  </si>
  <si>
    <t>PN4913.S5 -- .S258 2015eb</t>
  </si>
  <si>
    <t>Authors, Canadian (English) -- 20th century -- Biography.; Journalists -- Canada -- Biography.</t>
  </si>
  <si>
    <t>http://public.eblib.com/choice/PublicFullRecord.aspx?p=3564842</t>
  </si>
  <si>
    <t>Free Man</t>
  </si>
  <si>
    <t>BasiliÃÂ¨res, Michel</t>
  </si>
  <si>
    <t>PZ7.O81167 -- .B375 2015eb</t>
  </si>
  <si>
    <t>Time travel -- Fiction.</t>
  </si>
  <si>
    <t>http://public.eblib.com/choice/PublicFullRecord.aspx?p=3564853</t>
  </si>
  <si>
    <t>Quiver Trees, Phantom Orchids and Rock Splitters : The Remarkable Survival Strategies of Plants</t>
  </si>
  <si>
    <t>Trail, Jesse Vernon</t>
  </si>
  <si>
    <t>QK754 -- .T735 2015eb</t>
  </si>
  <si>
    <t>Plants -- Effect of stress on.; Plants -- Hardiness.</t>
  </si>
  <si>
    <t>http://public.eblib.com/choice/PublicFullRecord.aspx?p=3564854</t>
  </si>
  <si>
    <t>Debris</t>
  </si>
  <si>
    <t>Hardcastle, Kevin</t>
  </si>
  <si>
    <t>PZ5 -- .H373 2015eb</t>
  </si>
  <si>
    <t>Ghost stories.</t>
  </si>
  <si>
    <t>http://public.eblib.com/choice/PublicFullRecord.aspx?p=3564898</t>
  </si>
  <si>
    <t>The Blue Dragon : A Peter Strand Mystery</t>
  </si>
  <si>
    <t>Tierney, Ronald</t>
  </si>
  <si>
    <t>PS3603.A884 -- .T547 2015eb</t>
  </si>
  <si>
    <t>Chinatown (San Francisco, Calif.) -- Fiction.; Murder -- Investigation -- San Francisco -- California -- Fiction.</t>
  </si>
  <si>
    <t>http://public.eblib.com/choice/PublicFullRecord.aspx?p=4006590</t>
  </si>
  <si>
    <t>She Tries Her Tongue, Her Silence Softly Breaks</t>
  </si>
  <si>
    <t>Wesleyan University Press</t>
  </si>
  <si>
    <t>Wesleyan</t>
  </si>
  <si>
    <t>Wesleyan Poetry Series</t>
  </si>
  <si>
    <t>Philip, M. NourbeSe; Shockley, Evie</t>
  </si>
  <si>
    <t>PR9199.3.P456 -- .P455 2014eb</t>
  </si>
  <si>
    <t>Women, Black -- Canada -- Poetry.</t>
  </si>
  <si>
    <t>http://public.eblib.com/choice/PublicFullRecord.aspx?p=4006618</t>
  </si>
  <si>
    <t>Secrets Ebook Bundle</t>
  </si>
  <si>
    <t>Secrets</t>
  </si>
  <si>
    <t>Kacer, Kathy; Jocelyn, Marthe; McClintock, Norah; Orca Book Publishers</t>
  </si>
  <si>
    <t>http://public.eblib.com/choice/PublicFullRecord.aspx?p=4006672</t>
  </si>
  <si>
    <t>Set You Free</t>
  </si>
  <si>
    <t>http://public.eblib.com/choice/PublicFullRecord.aspx?p=4013698</t>
  </si>
  <si>
    <t>What's the Buzz? : Keeping Bees in Flight</t>
  </si>
  <si>
    <t>Wilcox, Merrie-Ellen</t>
  </si>
  <si>
    <t>QL565.2 -- .W553 2015eb</t>
  </si>
  <si>
    <t>Bees -- Juvenile literature.; Bees.</t>
  </si>
  <si>
    <t>http://public.eblib.com/choice/PublicFullRecord.aspx?p=4013715</t>
  </si>
  <si>
    <t>Exposed</t>
  </si>
  <si>
    <t>Retribution</t>
  </si>
  <si>
    <t>Graves, Judith</t>
  </si>
  <si>
    <t>Automobile theft</t>
  </si>
  <si>
    <t>http://public.eblib.com/choice/PublicFullRecord.aspx?p=4013947</t>
  </si>
  <si>
    <t>Burned</t>
  </si>
  <si>
    <t>Deen, Natasha</t>
  </si>
  <si>
    <t>http://public.eblib.com/choice/PublicFullRecord.aspx?p=4013948</t>
  </si>
  <si>
    <t>Unleashed</t>
  </si>
  <si>
    <t>Young adult fiction</t>
  </si>
  <si>
    <t>http://public.eblib.com/choice/PublicFullRecord.aspx?p=4013949</t>
  </si>
  <si>
    <t>Foolproof</t>
  </si>
  <si>
    <t>Love</t>
  </si>
  <si>
    <t>http://public.eblib.com/choice/PublicFullRecord.aspx?p=4013954</t>
  </si>
  <si>
    <t>Scandinavian Common Sense : Policies to Tackle Social Inequalities in Health</t>
  </si>
  <si>
    <t>Côté, Dominque; Raynauilt, Marie-France</t>
  </si>
  <si>
    <t>HN18.3</t>
  </si>
  <si>
    <t>http://public.eblib.com/choice/PublicFullRecord.aspx?p=4306718</t>
  </si>
  <si>
    <t>Theory of Light at Midnight</t>
  </si>
  <si>
    <t>Ukrainetz, Elizabeth</t>
  </si>
  <si>
    <t>PR9199.3.U37 -- T44 2015eb</t>
  </si>
  <si>
    <t>http://public.eblib.com/choice/PublicFullRecord.aspx?p=4306963</t>
  </si>
  <si>
    <t>Fish into Wine : The Newfoundland Plantation in the Seventeenth Century</t>
  </si>
  <si>
    <t>University of North Carolina Press</t>
  </si>
  <si>
    <t>Published for the Omohundro Institute of Early American History and Culture, Williamsburg, Virginia Ser.</t>
  </si>
  <si>
    <t>Pope, Peter E.; Omohundro Institute of Early American History and Culture Staff</t>
  </si>
  <si>
    <t>2004002521 [F]</t>
  </si>
  <si>
    <t>971.8/01</t>
  </si>
  <si>
    <t>http://public.eblib.com/choice/PublicFullRecord.aspx?p=4321934</t>
  </si>
  <si>
    <t>Bonds of Alliance : Indigenous and Atlantic Slaveries in New France</t>
  </si>
  <si>
    <t>Rushforth, Brett</t>
  </si>
  <si>
    <t>HT1051.R87 2012</t>
  </si>
  <si>
    <t>306.3/6209710162</t>
  </si>
  <si>
    <t>http://public.eblib.com/choice/PublicFullRecord.aspx?p=4321947</t>
  </si>
  <si>
    <t>Irish in Ontario, Second Edition : A Study in Rural History</t>
  </si>
  <si>
    <t>http://public.eblib.com/choice/PublicFullRecord.aspx?p=4396085</t>
  </si>
  <si>
    <t>Encounters : An Anthropological History of Southeastern Labrador</t>
  </si>
  <si>
    <t>Kennedy, John C.</t>
  </si>
  <si>
    <t>http://public.eblib.com/choice/PublicFullRecord.aspx?p=4396090</t>
  </si>
  <si>
    <t>Replacing Misandry : A Revolutionary History of Men</t>
  </si>
  <si>
    <t>http://public.eblib.com/choice/PublicFullRecord.aspx?p=4396091</t>
  </si>
  <si>
    <t>Twentieth Century Theories of Art</t>
  </si>
  <si>
    <t>Thompson, James M.</t>
  </si>
  <si>
    <t>http://public.eblib.com/choice/PublicFullRecord.aspx?p=4396096</t>
  </si>
  <si>
    <t>Law, Life, and Government at Red River, Volume 1 : Settlement and Governance, 1812-1872</t>
  </si>
  <si>
    <t>Gibson, Dale; Phillips, Jim</t>
  </si>
  <si>
    <t>K561 -- .G537 2015eb</t>
  </si>
  <si>
    <t>http://public.eblib.com/choice/PublicFullRecord.aspx?p=4396097</t>
  </si>
  <si>
    <t>Law, Life, and Government at Red River, Volume 2 : General Quarterly Court of Assiniboia, Annotated Records, 1844-1872</t>
  </si>
  <si>
    <t>http://public.eblib.com/choice/PublicFullRecord.aspx?p=4396098</t>
  </si>
  <si>
    <t>Dawn of the Neuron : The Early Struggles to Trace the Origin of Nervous Systems</t>
  </si>
  <si>
    <t>Anctil, Michel</t>
  </si>
  <si>
    <t>QP361 -- .A538 2015eb</t>
  </si>
  <si>
    <t>Neurophysiology - History</t>
  </si>
  <si>
    <t>http://public.eblib.com/choice/PublicFullRecord.aspx?p=4396099</t>
  </si>
  <si>
    <t>Religion and Greater Ireland : Christianity and Irish Global Networks, 1750-1969</t>
  </si>
  <si>
    <t>Barr, Colin; Carey, Hilary M.; Barr, Colin</t>
  </si>
  <si>
    <t>BL980.I7 -- .R455 2015eb</t>
  </si>
  <si>
    <t>http://public.eblib.com/choice/PublicFullRecord.aspx?p=4396100</t>
  </si>
  <si>
    <t>Educating the Imagination : Northrop Frye, Past, Present, and Future</t>
  </si>
  <si>
    <t>Bewell, Alan; Warkentin, Germaine</t>
  </si>
  <si>
    <t>PN75.F7 -- .E383 2015eb</t>
  </si>
  <si>
    <t>http://public.eblib.com/choice/PublicFullRecord.aspx?p=4396101</t>
  </si>
  <si>
    <t>L.M. Montgomery's Rainbow Valleys : The Ontario Years, 1911-1961</t>
  </si>
  <si>
    <t>Bode, Rita; Clement, Lesley D.; Bode, Rita</t>
  </si>
  <si>
    <t>PR9199.3.M6 -- .L6 2015eb</t>
  </si>
  <si>
    <t>http://public.eblib.com/choice/PublicFullRecord.aspx?p=4396102</t>
  </si>
  <si>
    <t>Telling the Flesh : Life Writing, Citizenship, and the Body in the Letters to Samuel Auguste Tissot</t>
  </si>
  <si>
    <t>Boon, Sonja</t>
  </si>
  <si>
    <t>R566.T57 -- .B666 2015eb</t>
  </si>
  <si>
    <t>http://public.eblib.com/choice/PublicFullRecord.aspx?p=4396103</t>
  </si>
  <si>
    <t>Call Me Giambattista : A Personal and Political Journey</t>
  </si>
  <si>
    <t>Ciaccia, John</t>
  </si>
  <si>
    <t>JL253 -- .C533 2015eb</t>
  </si>
  <si>
    <t>http://public.eblib.com/choice/PublicFullRecord.aspx?p=4396104</t>
  </si>
  <si>
    <t>Green-lite : Complexity in Fifty Years of Canadian Environmental Policy, Governance, and Democracy</t>
  </si>
  <si>
    <t>Doern, G. Bruce; Auld, Graeme; Stoney, Christopher</t>
  </si>
  <si>
    <t>http://public.eblib.com/choice/PublicFullRecord.aspx?p=4396106</t>
  </si>
  <si>
    <t>Desiring a Better Country : Forays in Political Theology</t>
  </si>
  <si>
    <t>BT83.59 -- .F377 2015eb</t>
  </si>
  <si>
    <t>http://public.eblib.com/choice/PublicFullRecord.aspx?p=4396107</t>
  </si>
  <si>
    <t>Keeping Promises : The Royal Proclamation of 1763, Aboriginal Rights, and Treaties in Canada</t>
  </si>
  <si>
    <t>Fenge, Terry; Aldridge, Jim</t>
  </si>
  <si>
    <t>KE7739.L3 -- .K447 2015eb</t>
  </si>
  <si>
    <t>http://public.eblib.com/choice/PublicFullRecord.aspx?p=4396108</t>
  </si>
  <si>
    <t>Moral Reasoning in a Pluralistic World</t>
  </si>
  <si>
    <t>Marino, Patricia</t>
  </si>
  <si>
    <t>BJ1012 -- .M375 2015eb</t>
  </si>
  <si>
    <t>http://public.eblib.com/choice/PublicFullRecord.aspx?p=4396109</t>
  </si>
  <si>
    <t>On Their Own : Women, Urbanization, and the Right to the City in South Africa</t>
  </si>
  <si>
    <t>McGill-Queen's Studies in Urban Governance</t>
  </si>
  <si>
    <t>HQ1800.5 -- .G643 2015eb</t>
  </si>
  <si>
    <t>http://public.eblib.com/choice/PublicFullRecord.aspx?p=4396110</t>
  </si>
  <si>
    <t>Crash to Paywall : Canadian Newspapers and the Great Disruption</t>
  </si>
  <si>
    <t>Gorman, Brian; Gorman, Brian</t>
  </si>
  <si>
    <t>PN4734 -- .G676 2015eb</t>
  </si>
  <si>
    <t>http://public.eblib.com/choice/PublicFullRecord.aspx?p=4396111</t>
  </si>
  <si>
    <t>W.A. Mackintosh : The Life of a Canadian Economist</t>
  </si>
  <si>
    <t>Grant, Hugh; Grant, Hugh</t>
  </si>
  <si>
    <t>HB76 -- .G736 2015eb</t>
  </si>
  <si>
    <t>http://public.eblib.com/choice/PublicFullRecord.aspx?p=4396112</t>
  </si>
  <si>
    <t>No Ordinary School : The Study, 1915-2024</t>
  </si>
  <si>
    <t>LC51.2.Q8 -- .G739 2015eb</t>
  </si>
  <si>
    <t>http://public.eblib.com/choice/PublicFullRecord.aspx?p=4396113</t>
  </si>
  <si>
    <t>From Treaties to Reserves : The Federal Government and Native Peoples in Territorial Alberta, 1870-1924</t>
  </si>
  <si>
    <t>Hall, D. J.</t>
  </si>
  <si>
    <t>E99.A84 -- .H355 2015eb</t>
  </si>
  <si>
    <t>http://public.eblib.com/choice/PublicFullRecord.aspx?p=4396114</t>
  </si>
  <si>
    <t>Trade, Industrial Policy, and International Competition, Second Edition</t>
  </si>
  <si>
    <t>Harris, Richard G.; Wolfe, David A.</t>
  </si>
  <si>
    <t>HD3616.C23 -- .H377 2015eb</t>
  </si>
  <si>
    <t>http://public.eblib.com/choice/PublicFullRecord.aspx?p=4396115</t>
  </si>
  <si>
    <t>Timing Canada : The Shifting Politics of Time in Canadian Literary Culture</t>
  </si>
  <si>
    <t>Huebener, Paul</t>
  </si>
  <si>
    <t>PN56.T5 -- .H843 2015eb</t>
  </si>
  <si>
    <t>http://public.eblib.com/choice/PublicFullRecord.aspx?p=4396116</t>
  </si>
  <si>
    <t>Surface Imaginations : Cosmetic Surgery, Photography, and Skin</t>
  </si>
  <si>
    <t>Hurst, Rachel Alpha Johnston; Hurst, Rachel</t>
  </si>
  <si>
    <t>RD118.5 -- .H877 2015eb</t>
  </si>
  <si>
    <t>http://public.eblib.com/choice/PublicFullRecord.aspx?p=4396117</t>
  </si>
  <si>
    <t>City-Regions in Prospect? : Exploring the Meeting Points between Place and Practice</t>
  </si>
  <si>
    <t>Jones, Kevin Edson; Lord, Alex; Shields, Rob</t>
  </si>
  <si>
    <t>HT119 -- .C589 2015eb</t>
  </si>
  <si>
    <t>http://public.eblib.com/choice/PublicFullRecord.aspx?p=4396118</t>
  </si>
  <si>
    <t>The Constitutions that Shaped Us : A Historical Anthology of Pre-1867 Canadian Constitutions</t>
  </si>
  <si>
    <t>Laforest, Guy; Brouillet, Eugénie; Gagnon, Alain-G.; Laforest, Guy</t>
  </si>
  <si>
    <t>KE4199 -- .C4713 2015eb</t>
  </si>
  <si>
    <t>http://public.eblib.com/choice/PublicFullRecord.aspx?p=4396119</t>
  </si>
  <si>
    <t>Liberal Education, Civic Education, and the Canadian Regime : Past Principles and Present Challenges</t>
  </si>
  <si>
    <t>Livingstone, David W.</t>
  </si>
  <si>
    <t>LC1024.A -- L534 2015eb</t>
  </si>
  <si>
    <t>http://public.eblib.com/choice/PublicFullRecord.aspx?p=4396120</t>
  </si>
  <si>
    <t>Together We Survive : Ethnographic Intuitions, Friendships, and Conversations</t>
  </si>
  <si>
    <t>Long, John S.; Brown, Jennifer S. H.</t>
  </si>
  <si>
    <t>971.004/97323</t>
  </si>
  <si>
    <t>http://public.eblib.com/choice/PublicFullRecord.aspx?p=4396121</t>
  </si>
  <si>
    <t>The Philosophy of Gesture : Completing Pragmatists' Incomplete Revolution</t>
  </si>
  <si>
    <t>Maddalena, Giovanni; Zalamea, Fernando</t>
  </si>
  <si>
    <t>B832 -- .M333 2015eb</t>
  </si>
  <si>
    <t>Pragmatism</t>
  </si>
  <si>
    <t>http://public.eblib.com/choice/PublicFullRecord.aspx?p=4396122</t>
  </si>
  <si>
    <t>Canadian Expeditionary Force, 1914-1919 : Official History of the Canadian Army in the First World War</t>
  </si>
  <si>
    <t>Nicholson, G. W. L.; Humphries, Mark Osborne</t>
  </si>
  <si>
    <t>D547.C2 -- .N534 2015eb</t>
  </si>
  <si>
    <t>http://public.eblib.com/choice/PublicFullRecord.aspx?p=4396123</t>
  </si>
  <si>
    <t>Implied Consent and Sexual Assault : Intimate Relationships, Autonomy, and Voice</t>
  </si>
  <si>
    <t>Plaxton, Michael</t>
  </si>
  <si>
    <t>K5194 -- .P539 2015eb</t>
  </si>
  <si>
    <t>http://public.eblib.com/choice/PublicFullRecord.aspx?p=4396124</t>
  </si>
  <si>
    <t>The Invisible Irish : Finding Protestants in the Nineteenth-Century Migrations to America</t>
  </si>
  <si>
    <t>Sherling, Rankin</t>
  </si>
  <si>
    <t>JV6450 -- .S547 2015eb</t>
  </si>
  <si>
    <t>http://public.eblib.com/choice/PublicFullRecord.aspx?p=4396125</t>
  </si>
  <si>
    <t>A Truffaut Notebook</t>
  </si>
  <si>
    <t>Solecki, Sam</t>
  </si>
  <si>
    <t>PN1998.3.T78 -- .S654 2015eb</t>
  </si>
  <si>
    <t>http://public.eblib.com/choice/PublicFullRecord.aspx?p=4396126</t>
  </si>
  <si>
    <t>The Embattled General : Sir Richard Turner and the First World War</t>
  </si>
  <si>
    <t>Stewart, William F.; Stewart, William</t>
  </si>
  <si>
    <t>D768.15 -- .P539 2015eb</t>
  </si>
  <si>
    <t>http://public.eblib.com/choice/PublicFullRecord.aspx?p=4396127</t>
  </si>
  <si>
    <t>The Meaning of Sunday : The Practice of Belief in a Secular Age</t>
  </si>
  <si>
    <t>Thiessen, Joel</t>
  </si>
  <si>
    <t>BL60 -- .T454 2015eb</t>
  </si>
  <si>
    <t>http://public.eblib.com/choice/PublicFullRecord.aspx?p=4396128</t>
  </si>
  <si>
    <t>Shooting from the East : Filmmaking on the Canadian Atlantic</t>
  </si>
  <si>
    <t>Varga, Darrell</t>
  </si>
  <si>
    <t>PN1993.5.C2 -- .V374 2015eb</t>
  </si>
  <si>
    <t>http://public.eblib.com/choice/PublicFullRecord.aspx?p=4396129</t>
  </si>
  <si>
    <t>The Invention of Journalism Ethics, Second Edition : The Path to Objectivity and Beyond</t>
  </si>
  <si>
    <t>Ward, Stephen J. A.; Ward, Stephen</t>
  </si>
  <si>
    <t>PN4756 -- .W373 2015eb</t>
  </si>
  <si>
    <t>http://public.eblib.com/choice/PublicFullRecord.aspx?p=4396130</t>
  </si>
  <si>
    <t>Solitudes of the Workplace : Women in Universities</t>
  </si>
  <si>
    <t>Whittaker, Elvi</t>
  </si>
  <si>
    <t>LC1567 -- .S655 2015eb</t>
  </si>
  <si>
    <t>http://public.eblib.com/choice/PublicFullRecord.aspx?p=4396131</t>
  </si>
  <si>
    <t>Listening for the Heartbeat of Being : The Arts of Robert Bringhurst</t>
  </si>
  <si>
    <t>Wood, Brent; Dickinson, Mark; Wood, Brent</t>
  </si>
  <si>
    <t>PR9189.6 -- .L578 2015eb</t>
  </si>
  <si>
    <t>http://public.eblib.com/choice/PublicFullRecord.aspx?p=4396132</t>
  </si>
  <si>
    <t>Bird on an Ethics Wire : Battles about Values in the Culture Wars</t>
  </si>
  <si>
    <t>Somerville, Margaret; Somerville, Margaret A</t>
  </si>
  <si>
    <t>HM681 -- .S664 2015eb</t>
  </si>
  <si>
    <t>http://public.eblib.com/choice/PublicFullRecord.aspx?p=4396133</t>
  </si>
  <si>
    <t>Honorer la vérité, réconcilier pour l’avenir : Sommaire du rapport final de la Commission de vérité et réconciliation du Canada</t>
  </si>
  <si>
    <t>Canada, Commission de vérité et réconciliation du</t>
  </si>
  <si>
    <t>http://public.eblib.com/choice/PublicFullRecord.aspx?p=4396134</t>
  </si>
  <si>
    <t>Pain, Pride, and Politics : Social Movement Activism and the Sri Lankan Tamil Diaspora in Canada</t>
  </si>
  <si>
    <t>University of Georgia Press</t>
  </si>
  <si>
    <t>Geographies of Justice and Social Transformation</t>
  </si>
  <si>
    <t>Amarasingam, Amarnath</t>
  </si>
  <si>
    <t>JV8752.7 -- .A43 2015eb</t>
  </si>
  <si>
    <t>Social movements - Sri Lanka</t>
  </si>
  <si>
    <t>http://public.eblib.com/choice/PublicFullRecord.aspx?p=4397158</t>
  </si>
  <si>
    <t>Castro : A Graphic Novel</t>
  </si>
  <si>
    <t>Kleist, Reinhard</t>
  </si>
  <si>
    <t>Biographical comics</t>
  </si>
  <si>
    <t>http://public.eblib.com/choice/PublicFullRecord.aspx?p=4414210</t>
  </si>
  <si>
    <t>I Am Currently Working on a Novel</t>
  </si>
  <si>
    <t>Rolli</t>
  </si>
  <si>
    <t>PR9197.32 -- .R655 2014eb</t>
  </si>
  <si>
    <t>http://public.eblib.com/choice/PublicFullRecord.aspx?p=4454171</t>
  </si>
  <si>
    <t>Sword Dance : A Woman's Story – A Celtic Poem</t>
  </si>
  <si>
    <t>Exile Editions</t>
  </si>
  <si>
    <t>Gaylie, Veronica</t>
  </si>
  <si>
    <t>PR9199.4.G395S96</t>
  </si>
  <si>
    <t>http://public.eblib.com/choice/PublicFullRecord.aspx?p=4459449</t>
  </si>
  <si>
    <t>In a Time of No Song</t>
  </si>
  <si>
    <t>Bien, Jeff; Moritz, A. F.</t>
  </si>
  <si>
    <t>PR9251 -- .B546 2015eb</t>
  </si>
  <si>
    <t>http://public.eblib.com/choice/PublicFullRecord.aspx?p=4459451</t>
  </si>
  <si>
    <t>CVC5 : Carter V Cooper Short Fiction Anthology</t>
  </si>
  <si>
    <t>Carter V. Cooper Short Fiction Anthology</t>
  </si>
  <si>
    <t>Vanderbilt, Gloria</t>
  </si>
  <si>
    <t>PR9197.32 -- .C83 2015eb</t>
  </si>
  <si>
    <t>http://public.eblib.com/choice/PublicFullRecord.aspx?p=4459452</t>
  </si>
  <si>
    <t>Couldn't Have a Wedding without the Fiddler : The Story of Traditional Fiddling on Prince Edward Island</t>
  </si>
  <si>
    <t>University of Tennessee Press</t>
  </si>
  <si>
    <t>Univ Tennessee Press</t>
  </si>
  <si>
    <t>Charles K. Wolfe Music Series</t>
  </si>
  <si>
    <t>Perlman, Ken</t>
  </si>
  <si>
    <t>ML863</t>
  </si>
  <si>
    <t>787.2/162110717</t>
  </si>
  <si>
    <t>Music - Social aspects - Prince Edward Island - History</t>
  </si>
  <si>
    <t>http://public.eblib.com/choice/PublicFullRecord.aspx?p=4462575</t>
  </si>
  <si>
    <t>Pensionnats du Canada : L’histoire, partie 2, de 1939 à 2000</t>
  </si>
  <si>
    <t>http://public.eblib.com/choice/PublicFullRecord.aspx?p=4500628</t>
  </si>
  <si>
    <t>Gangs and Girls : Understanding Juvenile Prostitution</t>
  </si>
  <si>
    <t>Dorais, Michel; Corriveau, Patrice</t>
  </si>
  <si>
    <t>HQ149.Q4</t>
  </si>
  <si>
    <t>http://public.eblib.com/choice/PublicFullRecord.aspx?p=4502786</t>
  </si>
  <si>
    <t>Sandino's Nation : Ernesto Cardenal and Sergio Ramírez Writing Nicaragua, 1940-2012</t>
  </si>
  <si>
    <t>http://public.eblib.com/choice/PublicFullRecord.aspx?p=4502812</t>
  </si>
  <si>
    <t>McMaster University, Volume 1 : The Toronto Years</t>
  </si>
  <si>
    <t>Johnston, Charles M.</t>
  </si>
  <si>
    <t>http://public.eblib.com/choice/PublicFullRecord.aspx?p=4502828</t>
  </si>
  <si>
    <t>McMaster University, Volume 2 : The Early Years in Hamilton, 1930-1957</t>
  </si>
  <si>
    <t>http://public.eblib.com/choice/PublicFullRecord.aspx?p=4502829</t>
  </si>
  <si>
    <t>Satanic Purses : Money, Myth, and Misinformation in the War on Terror</t>
  </si>
  <si>
    <t>BP190.5.T47</t>
  </si>
  <si>
    <t>http://public.eblib.com/choice/PublicFullRecord.aspx?p=4502844</t>
  </si>
  <si>
    <t>Lion, The Eagle, and Upper Canada, Second Edition : A Developing Colonial Ideology</t>
  </si>
  <si>
    <t>Errington, Jane</t>
  </si>
  <si>
    <t>http://public.eblib.com/choice/PublicFullRecord.aspx?p=4502852</t>
  </si>
  <si>
    <t>The Art and Science of Stanislaw Lem</t>
  </si>
  <si>
    <t>PG7158.L392</t>
  </si>
  <si>
    <t>http://public.eblib.com/choice/PublicFullRecord.aspx?p=4502855</t>
  </si>
  <si>
    <t>Dialogues on Diversity and Unity in Federal Countries</t>
  </si>
  <si>
    <t>Chattopadhyay, Rupak; Karos, Abigail Ostien</t>
  </si>
  <si>
    <t>Federal government</t>
  </si>
  <si>
    <t>http://public.eblib.com/choice/PublicFullRecord.aspx?p=4502882</t>
  </si>
  <si>
    <t>Dialogues on Intergovernmental Relations in Federal Systems</t>
  </si>
  <si>
    <t>Global Dialogue on Federalism Booklet</t>
  </si>
  <si>
    <t>Nerenberg, Karl; Nerenberg, Karl</t>
  </si>
  <si>
    <t>JC355D525 2011</t>
  </si>
  <si>
    <t>http://public.eblib.com/choice/PublicFullRecord.aspx?p=4502883</t>
  </si>
  <si>
    <t>Dialogues on Political Parties and Civil Society in Federal Countries</t>
  </si>
  <si>
    <t>Chattopadhyay, Rupak; Nerenberg, Karl</t>
  </si>
  <si>
    <t>http://public.eblib.com/choice/PublicFullRecord.aspx?p=4502884</t>
  </si>
  <si>
    <t>A Critical Spirit : The Thought of William Dawson LeSueur</t>
  </si>
  <si>
    <t>McKillop; McKillop, Heather</t>
  </si>
  <si>
    <t>http://public.eblib.com/choice/PublicFullRecord.aspx?p=4502903</t>
  </si>
  <si>
    <t>The War Against the Seals : A History of the North American Seal  Fishery</t>
  </si>
  <si>
    <t>Busch, Briton Cooper</t>
  </si>
  <si>
    <t>http://public.eblib.com/choice/PublicFullRecord.aspx?p=4502908</t>
  </si>
  <si>
    <t>Quebec Nationalism in Crisis</t>
  </si>
  <si>
    <t>Clift, Dominique</t>
  </si>
  <si>
    <t>http://public.eblib.com/choice/PublicFullRecord.aspx?p=4502910</t>
  </si>
  <si>
    <t>Meech Lake Post-Mortem : Is Quebec Sovereignty Inevitable?</t>
  </si>
  <si>
    <t>Fournier, Pierre; Fischman, Sheila</t>
  </si>
  <si>
    <t>http://public.eblib.com/choice/PublicFullRecord.aspx?p=4502911</t>
  </si>
  <si>
    <t>Considerations on France</t>
  </si>
  <si>
    <t>Lebrun, Richard A.; Lebrun, Richard A.</t>
  </si>
  <si>
    <t>DC148</t>
  </si>
  <si>
    <t>http://public.eblib.com/choice/PublicFullRecord.aspx?p=4502912</t>
  </si>
  <si>
    <t>The Living Past of Montreal</t>
  </si>
  <si>
    <t>McLean, Eric; Wilson, R. D.</t>
  </si>
  <si>
    <t>Montreal (Quebec) - Pictorial works</t>
  </si>
  <si>
    <t>http://public.eblib.com/choice/PublicFullRecord.aspx?p=4502914</t>
  </si>
  <si>
    <t>Secular Socialists : The CCF/NDP in Ontario, A Biography</t>
  </si>
  <si>
    <t>Morley, J. T.</t>
  </si>
  <si>
    <t>1923-1943</t>
  </si>
  <si>
    <t>http://public.eblib.com/choice/PublicFullRecord.aspx?p=4502916</t>
  </si>
  <si>
    <t>Sherlock Holmes : A Study in Sources</t>
  </si>
  <si>
    <t>Redmond, Donald A.</t>
  </si>
  <si>
    <t>PR4624.R4 1982</t>
  </si>
  <si>
    <t>http://public.eblib.com/choice/PublicFullRecord.aspx?p=4502917</t>
  </si>
  <si>
    <t>Un grand patron : Une biographie de Donald Gordon</t>
  </si>
  <si>
    <t>Schull, Joseph; Sicotte, Luc</t>
  </si>
  <si>
    <t>http://public.eblib.com/choice/PublicFullRecord.aspx?p=4502918</t>
  </si>
  <si>
    <t>The Emerging Worker : Equality and Conflict in the Mass Consumption Society</t>
  </si>
  <si>
    <t>Westley, William A.; Westlet, Margaret W.</t>
  </si>
  <si>
    <t>http://public.eblib.com/choice/PublicFullRecord.aspx?p=4502919</t>
  </si>
  <si>
    <t>George Whalley : Studies in Literature and the Humanities</t>
  </si>
  <si>
    <t>Whalley, George; Crick, Brian; Ferns, John</t>
  </si>
  <si>
    <t>Humanites</t>
  </si>
  <si>
    <t>http://public.eblib.com/choice/PublicFullRecord.aspx?p=4502921</t>
  </si>
  <si>
    <t>Sport under Communism : The USSR, Czechoslovakia, The GDR, China, Cuba</t>
  </si>
  <si>
    <t>Riordan, James</t>
  </si>
  <si>
    <t>http://public.eblib.com/choice/PublicFullRecord.aspx?p=4502922</t>
  </si>
  <si>
    <t>Cosmopolitanism : A Philosophy for Global Ethics</t>
  </si>
  <si>
    <t>Hooft, Stan van</t>
  </si>
  <si>
    <t>http://public.eblib.com/choice/PublicFullRecord.aspx?p=4502923</t>
  </si>
  <si>
    <t>The Philosophy of Heidegger</t>
  </si>
  <si>
    <t>Watts, Michael</t>
  </si>
  <si>
    <t>http://public.eblib.com/choice/PublicFullRecord.aspx?p=4502924</t>
  </si>
  <si>
    <t>Philosophy, Neuroscience, and Consciousness</t>
  </si>
  <si>
    <t>http://public.eblib.com/choice/PublicFullRecord.aspx?p=4502926</t>
  </si>
  <si>
    <t>How to Understand Language : A Philosophical Enquiry</t>
  </si>
  <si>
    <t>Weiss, Bernhard</t>
  </si>
  <si>
    <t>http://public.eblib.com/choice/PublicFullRecord.aspx?p=4502927</t>
  </si>
  <si>
    <t>God</t>
  </si>
  <si>
    <t>Wood, W. Jay</t>
  </si>
  <si>
    <t>http://public.eblib.com/choice/PublicFullRecord.aspx?p=4502928</t>
  </si>
  <si>
    <t>Phenomenal Consciousness : Understanding the Relation between Experience and Neural Processes in the Brain</t>
  </si>
  <si>
    <t>Platchias, Dimitris</t>
  </si>
  <si>
    <t>http://public.eblib.com/choice/PublicFullRecord.aspx?p=4502929</t>
  </si>
  <si>
    <t>Badiou's Deleuze</t>
  </si>
  <si>
    <t>Roffe, Jon</t>
  </si>
  <si>
    <t>http://public.eblib.com/choice/PublicFullRecord.aspx?p=4502930</t>
  </si>
  <si>
    <t>Moralism : A Study of a Vice</t>
  </si>
  <si>
    <t>Taylor, Craig</t>
  </si>
  <si>
    <t>http://public.eblib.com/choice/PublicFullRecord.aspx?p=4502932</t>
  </si>
  <si>
    <t>The Minds of the Moderns : Rationalism, Empiricism, and Philosophy of Mind</t>
  </si>
  <si>
    <t>Thomas, Janice</t>
  </si>
  <si>
    <t>190.9/032</t>
  </si>
  <si>
    <t>http://public.eblib.com/choice/PublicFullRecord.aspx?p=4502933</t>
  </si>
  <si>
    <t>The Philosophy of Wine : A Case of Truth, Beauty, and Intoxication</t>
  </si>
  <si>
    <t>Todd, Cain</t>
  </si>
  <si>
    <t>http://public.eblib.com/choice/PublicFullRecord.aspx?p=4502934</t>
  </si>
  <si>
    <t>The New Pragmatism</t>
  </si>
  <si>
    <t>Malachowski, Alan</t>
  </si>
  <si>
    <t>http://public.eblib.com/choice/PublicFullRecord.aspx?p=4502935</t>
  </si>
  <si>
    <t>Time and Philosophy : A History of Continental Thought</t>
  </si>
  <si>
    <t>McCumber, John</t>
  </si>
  <si>
    <t>http://public.eblib.com/choice/PublicFullRecord.aspx?p=4502936</t>
  </si>
  <si>
    <t>Ethics for Broken World : Imagining Philosophy after Catastrophe</t>
  </si>
  <si>
    <t>Mulgan, Tim</t>
  </si>
  <si>
    <t>http://public.eblib.com/choice/PublicFullRecord.aspx?p=4502938</t>
  </si>
  <si>
    <t>Idealism : The History of a Philosophy</t>
  </si>
  <si>
    <t>Dunham, Jeremy; Grant, Iain Hamilton; Watson, Sean</t>
  </si>
  <si>
    <t>http://public.eblib.com/choice/PublicFullRecord.aspx?p=4502939</t>
  </si>
  <si>
    <t>The Metaphysics of Scientific Realism</t>
  </si>
  <si>
    <t>Ellis, Brian</t>
  </si>
  <si>
    <t>Science: General</t>
  </si>
  <si>
    <t>http://public.eblib.com/choice/PublicFullRecord.aspx?p=4502940</t>
  </si>
  <si>
    <t>Art's Emotions : Ethics, Expression, and Aesthetic Experience</t>
  </si>
  <si>
    <t>Freeman, Damien</t>
  </si>
  <si>
    <t>http://public.eblib.com/choice/PublicFullRecord.aspx?p=4502941</t>
  </si>
  <si>
    <t>Eranos : An Alternative Intellectual History of the Twentieth Century</t>
  </si>
  <si>
    <t>Hakl, Hans Thomas; Hakl, Hans Thomas; McIntosh, Christopher</t>
  </si>
  <si>
    <t>http://public.eblib.com/choice/PublicFullRecord.aspx?p=4502942</t>
  </si>
  <si>
    <t>The Philosophy of Sartre</t>
  </si>
  <si>
    <t>Hatzimoysi, Anthony</t>
  </si>
  <si>
    <t>http://public.eblib.com/choice/PublicFullRecord.aspx?p=4502944</t>
  </si>
  <si>
    <t>The Philosophy of Husserl</t>
  </si>
  <si>
    <t>Hopkins, Burt C.</t>
  </si>
  <si>
    <t>http://public.eblib.com/choice/PublicFullRecord.aspx?p=4502945</t>
  </si>
  <si>
    <t>Ethics and Experience : Life Beyond Moral Theory</t>
  </si>
  <si>
    <t>Chappell, Tim</t>
  </si>
  <si>
    <t>http://public.eblib.com/choice/PublicFullRecord.aspx?p=4502947</t>
  </si>
  <si>
    <t>Film, Theory, and Philosophy : The Key Thinkers</t>
  </si>
  <si>
    <t>Colman, Felicity</t>
  </si>
  <si>
    <t>http://public.eblib.com/choice/PublicFullRecord.aspx?p=4502948</t>
  </si>
  <si>
    <t>Analytic versus Continental : Arguments on the Methods and Value of Philosophy</t>
  </si>
  <si>
    <t>Chase, James; Reynolds, Jack</t>
  </si>
  <si>
    <t>http://public.eblib.com/choice/PublicFullRecord.aspx?p=4502949</t>
  </si>
  <si>
    <t>Time and Space : Second Edition</t>
  </si>
  <si>
    <t>Dainton, Barry Francis</t>
  </si>
  <si>
    <t>http://public.eblib.com/choice/PublicFullRecord.aspx?p=4502950</t>
  </si>
  <si>
    <t>Cold Comfort, Second Edition : My Love Affair with the Arctic</t>
  </si>
  <si>
    <t>Rowley, Graham</t>
  </si>
  <si>
    <t>http://public.eblib.com/choice/PublicFullRecord.aspx?p=4502951</t>
  </si>
  <si>
    <t>The Return of Feminist Liberalism</t>
  </si>
  <si>
    <t>Abbey, Ruth</t>
  </si>
  <si>
    <t>http://public.eblib.com/choice/PublicFullRecord.aspx?p=4502952</t>
  </si>
  <si>
    <t>Realism and Anti-Realism</t>
  </si>
  <si>
    <t>Brock, Stuart; Mares, Edwin; Brock, Stuart</t>
  </si>
  <si>
    <t>Realisme</t>
  </si>
  <si>
    <t>http://public.eblib.com/choice/PublicFullRecord.aspx?p=4502953</t>
  </si>
  <si>
    <t>Rights</t>
  </si>
  <si>
    <t>Ivison, Duncan</t>
  </si>
  <si>
    <t>Idees politiques</t>
  </si>
  <si>
    <t>http://public.eblib.com/choice/PublicFullRecord.aspx?p=4502954</t>
  </si>
  <si>
    <t>Death</t>
  </si>
  <si>
    <t>Scarre, Geoffrey</t>
  </si>
  <si>
    <t>http://public.eblib.com/choice/PublicFullRecord.aspx?p=4502955</t>
  </si>
  <si>
    <t>The Philosophy of Agamben</t>
  </si>
  <si>
    <t>Mills, Catherine</t>
  </si>
  <si>
    <t>Agamben, Giorgio</t>
  </si>
  <si>
    <t>http://public.eblib.com/choice/PublicFullRecord.aspx?p=4502956</t>
  </si>
  <si>
    <t>The Philosophy of Hegel</t>
  </si>
  <si>
    <t>Speight, Allen</t>
  </si>
  <si>
    <t>Hegel, Georg Wilhelm Friedrich</t>
  </si>
  <si>
    <t>http://public.eblib.com/choice/PublicFullRecord.aspx?p=4502957</t>
  </si>
  <si>
    <t>The Philosophy of Derrida</t>
  </si>
  <si>
    <t>Dooley, Mark; Kavanagh, Liam</t>
  </si>
  <si>
    <t>Memory (Philosophy)</t>
  </si>
  <si>
    <t>http://public.eblib.com/choice/PublicFullRecord.aspx?p=4502959</t>
  </si>
  <si>
    <t>Thomas Nagel</t>
  </si>
  <si>
    <t>Thomas, Alan</t>
  </si>
  <si>
    <t>http://public.eblib.com/choice/PublicFullRecord.aspx?p=4502960</t>
  </si>
  <si>
    <t>Robert Brandom</t>
  </si>
  <si>
    <t>Wanderer, Jeremy</t>
  </si>
  <si>
    <t>Brandom, Robert</t>
  </si>
  <si>
    <t>http://public.eblib.com/choice/PublicFullRecord.aspx?p=4502961</t>
  </si>
  <si>
    <t>David Armstrong</t>
  </si>
  <si>
    <t>Mumford, Stephen</t>
  </si>
  <si>
    <t>Philosophie - Australie</t>
  </si>
  <si>
    <t>http://public.eblib.com/choice/PublicFullRecord.aspx?p=4502963</t>
  </si>
  <si>
    <t>John Rawls</t>
  </si>
  <si>
    <t>Audard, Catherine</t>
  </si>
  <si>
    <t>Rawls, John</t>
  </si>
  <si>
    <t>http://public.eblib.com/choice/PublicFullRecord.aspx?p=4502964</t>
  </si>
  <si>
    <t>Champlain : Life of Fortitude</t>
  </si>
  <si>
    <t>Bishop, Morris</t>
  </si>
  <si>
    <t>http://public.eblib.com/choice/PublicFullRecord.aspx?p=4502965</t>
  </si>
  <si>
    <t>Canadian Social Structure : A Statistical Profile</t>
  </si>
  <si>
    <t>Porter, John</t>
  </si>
  <si>
    <t>http://public.eblib.com/choice/PublicFullRecord.aspx?p=4502966</t>
  </si>
  <si>
    <t>The Old Province of Quebec : Volume 1 , 1760-1778</t>
  </si>
  <si>
    <t>Burt, Alfred Leroy; Neatby, Hilda</t>
  </si>
  <si>
    <t>http://public.eblib.com/choice/PublicFullRecord.aspx?p=4502967</t>
  </si>
  <si>
    <t>Growth and the Canadian Economy</t>
  </si>
  <si>
    <t>Brewis, T. N.</t>
  </si>
  <si>
    <t>http://public.eblib.com/choice/PublicFullRecord.aspx?p=4502969</t>
  </si>
  <si>
    <t>Eskimo of the Canadian Arctic</t>
  </si>
  <si>
    <t>Valentine, Victor F.; Vallee, Frank G.</t>
  </si>
  <si>
    <t>http://public.eblib.com/choice/PublicFullRecord.aspx?p=4502970</t>
  </si>
  <si>
    <t>Statistical Account of Upper Canada</t>
  </si>
  <si>
    <t>Gourlay, Robert; Mealing,</t>
  </si>
  <si>
    <t>http://public.eblib.com/choice/PublicFullRecord.aspx?p=4502971</t>
  </si>
  <si>
    <t>Consociational Democracy : Political Accommodation in Segmented Societies</t>
  </si>
  <si>
    <t>McRae, Kenneth D.</t>
  </si>
  <si>
    <t>http://public.eblib.com/choice/PublicFullRecord.aspx?p=4502972</t>
  </si>
  <si>
    <t>The Frontier and Canadian Letters</t>
  </si>
  <si>
    <t>Eggleston, Wilfrid; Spettigue, D. O.</t>
  </si>
  <si>
    <t>http://public.eblib.com/choice/PublicFullRecord.aspx?p=4502973</t>
  </si>
  <si>
    <t>Does Money Matter? : Prospects for Higher Education in Ontario</t>
  </si>
  <si>
    <t>Porter, Marion R.; Porter, John; Blishen, Bernard</t>
  </si>
  <si>
    <t>http://public.eblib.com/choice/PublicFullRecord.aspx?p=4502975</t>
  </si>
  <si>
    <t>The Canadian Economy and Disarmament</t>
  </si>
  <si>
    <t>Rosenbluth, Gideon</t>
  </si>
  <si>
    <t>Economics</t>
  </si>
  <si>
    <t>http://public.eblib.com/choice/PublicFullRecord.aspx?p=4502976</t>
  </si>
  <si>
    <t>Canadian Confederation : A Decision-Making Analysis</t>
  </si>
  <si>
    <t>White, W. L.; Soderlund, W. C.</t>
  </si>
  <si>
    <t>http://public.eblib.com/choice/PublicFullRecord.aspx?p=4502977</t>
  </si>
  <si>
    <t>The Redistribution of Income in Canada</t>
  </si>
  <si>
    <t>Gillespie, W. Irwin</t>
  </si>
  <si>
    <t>http://public.eblib.com/choice/PublicFullRecord.aspx?p=4502978</t>
  </si>
  <si>
    <t>Police Officer</t>
  </si>
  <si>
    <t>Vincent, Claude L.</t>
  </si>
  <si>
    <t>HV7921.V55</t>
  </si>
  <si>
    <t>http://public.eblib.com/choice/PublicFullRecord.aspx?p=4502980</t>
  </si>
  <si>
    <t>God's Peculiar Peoples : Essays on Political Culture in Nineteenth Century Canada</t>
  </si>
  <si>
    <t>Wise, S. F.; Romney, 0; Wise, S F; Romney, Paul Martin; McKillop, A. B.</t>
  </si>
  <si>
    <t>http://public.eblib.com/choice/PublicFullRecord.aspx?p=4502981</t>
  </si>
  <si>
    <t>Aid as Peacemaker : Canadian Development Assistance and Third World Conflict</t>
  </si>
  <si>
    <t>Miller, Robert</t>
  </si>
  <si>
    <t>http://public.eblib.com/choice/PublicFullRecord.aspx?p=4502982</t>
  </si>
  <si>
    <t>A Different Drummer : Readings in Anthropology with a Canadian Perspective</t>
  </si>
  <si>
    <t>Cox, Bruce Alden</t>
  </si>
  <si>
    <t>http://public.eblib.com/choice/PublicFullRecord.aspx?p=4502983</t>
  </si>
  <si>
    <t>The Drug Solution : Regulating Drugs According to Principles of Efficiency, Justice and Democracy</t>
  </si>
  <si>
    <t>Mitchell, Chester Nelson</t>
  </si>
  <si>
    <t>http://public.eblib.com/choice/PublicFullRecord.aspx?p=4502984</t>
  </si>
  <si>
    <t>Fear of the Ride</t>
  </si>
  <si>
    <t>Bloom, Ronna</t>
  </si>
  <si>
    <t>http://public.eblib.com/choice/PublicFullRecord.aspx?p=4502985</t>
  </si>
  <si>
    <t>How Ottawa Spends, 1993-1994 : A More Democratic Canada…?</t>
  </si>
  <si>
    <t>Carleton Public Policy Series</t>
  </si>
  <si>
    <t>Phillips, Susan D.</t>
  </si>
  <si>
    <t>http://public.eblib.com/choice/PublicFullRecord.aspx?p=4502986</t>
  </si>
  <si>
    <t>How Ottawa Spends, 1994-95 : Making Change</t>
  </si>
  <si>
    <t>http://public.eblib.com/choice/PublicFullRecord.aspx?p=4502988</t>
  </si>
  <si>
    <t>How Ottawa Spends, 1995-96 : Mid-life Crisis</t>
  </si>
  <si>
    <t>http://public.eblib.com/choice/PublicFullRecord.aspx?p=4502989</t>
  </si>
  <si>
    <t>How Ottawa Spends, 1996-97 : Life Under the Knife</t>
  </si>
  <si>
    <t>http://public.eblib.com/choice/PublicFullRecord.aspx?p=4502990</t>
  </si>
  <si>
    <t>John Lehman : A Tribute</t>
  </si>
  <si>
    <t>Tolley, A. T.</t>
  </si>
  <si>
    <t>http://public.eblib.com/choice/PublicFullRecord.aspx?p=4502991</t>
  </si>
  <si>
    <t>New Directions : Environment, Labour and the International Trade Agenda</t>
  </si>
  <si>
    <t>Christie, Keith H.</t>
  </si>
  <si>
    <t>http://public.eblib.com/choice/PublicFullRecord.aspx?p=4502993</t>
  </si>
  <si>
    <t>Nouvelles Directions : Programme de l'environnement, du travail et du commerce international</t>
  </si>
  <si>
    <t>http://public.eblib.com/choice/PublicFullRecord.aspx?p=4502994</t>
  </si>
  <si>
    <t>The Poetry of the Forties in Britain</t>
  </si>
  <si>
    <t>http://public.eblib.com/choice/PublicFullRecord.aspx?p=4502995</t>
  </si>
  <si>
    <t>Social Engineering</t>
  </si>
  <si>
    <t>Podgorecki, Adam; Alexander, John; Shields, Rob; Alexander, Professor Jonathan J G</t>
  </si>
  <si>
    <t>http://public.eblib.com/choice/PublicFullRecord.aspx?p=4502996</t>
  </si>
  <si>
    <t>Something I'm Supposed to Remember</t>
  </si>
  <si>
    <t>Kritsch, Holly</t>
  </si>
  <si>
    <t>http://public.eblib.com/choice/PublicFullRecord.aspx?p=4502997</t>
  </si>
  <si>
    <t>Special Trust and Confidence : Envoy Essays in Canadian Diplomacy</t>
  </si>
  <si>
    <t>Reece, David Chalmer</t>
  </si>
  <si>
    <t>http://public.eblib.com/choice/PublicFullRecord.aspx?p=4502998</t>
  </si>
  <si>
    <t>Tamarack &amp; Clearcut</t>
  </si>
  <si>
    <t>Bluger, Marianne; Haas, Rudi</t>
  </si>
  <si>
    <t>http://public.eblib.com/choice/PublicFullRecord.aspx?p=4503000</t>
  </si>
  <si>
    <t>York Wilson : His Life and Work, 1907-1984</t>
  </si>
  <si>
    <t>Wilson, Lela; Dyck, Sandra</t>
  </si>
  <si>
    <t>http://public.eblib.com/choice/PublicFullRecord.aspx?p=4503001</t>
  </si>
  <si>
    <t>The Great War as I Saw It</t>
  </si>
  <si>
    <t>Scott, Frederick George; McGowan, Mark G.</t>
  </si>
  <si>
    <t>Canada - Chaplains</t>
  </si>
  <si>
    <t>http://public.eblib.com/choice/PublicFullRecord.aspx?p=4503006</t>
  </si>
  <si>
    <t>Towards Constructive Change in Aboriginal Communities : A Social Psychology Perspective</t>
  </si>
  <si>
    <t>Taylor, Donald M.</t>
  </si>
  <si>
    <t>http://public.eblib.com/choice/PublicFullRecord.aspx?p=4503007</t>
  </si>
  <si>
    <t>Opium and Empire : The Lives and Careers of William Jardine and James Matheson</t>
  </si>
  <si>
    <t>Grace, Richard J.</t>
  </si>
  <si>
    <t>http://public.eblib.com/choice/PublicFullRecord.aspx?p=4503010</t>
  </si>
  <si>
    <t>Power without Law : The Supreme Court of Canada, the Marshall Decisions and the Failure of Judicial Activism</t>
  </si>
  <si>
    <t>Cameron, Alex M.</t>
  </si>
  <si>
    <t>KE229.M37</t>
  </si>
  <si>
    <t>http://public.eblib.com/choice/PublicFullRecord.aspx?p=4503021</t>
  </si>
  <si>
    <t>Generating Traces in the History of the World : New Traces of the Christian Experience</t>
  </si>
  <si>
    <t>Giussani, Luigi; Alberto, Stefano; Prades, Javier</t>
  </si>
  <si>
    <t>BX2350.3 -- .G57413 2010eb</t>
  </si>
  <si>
    <t>http://public.eblib.com/choice/PublicFullRecord.aspx?p=4503052</t>
  </si>
  <si>
    <t>Canada's Residential Schools: The History, Part 1, Origins to 1939</t>
  </si>
  <si>
    <t>Canada, Truth and Reconciliation Commission of</t>
  </si>
  <si>
    <t>http://public.eblib.com/choice/PublicFullRecord.aspx?p=4503069</t>
  </si>
  <si>
    <t>Canada's Residential Schools: The History, Part 2, 1939 to 2000</t>
  </si>
  <si>
    <t>http://public.eblib.com/choice/PublicFullRecord.aspx?p=4503070</t>
  </si>
  <si>
    <t>Canada's Residential Schools: The Legacy</t>
  </si>
  <si>
    <t>http://public.eblib.com/choice/PublicFullRecord.aspx?p=4503075</t>
  </si>
  <si>
    <t>Pensionnats du Canada : L’histoire, partie 1, des origines à 1939</t>
  </si>
  <si>
    <t>http://public.eblib.com/choice/PublicFullRecord.aspx?p=4503077</t>
  </si>
  <si>
    <t>Pensionnats du Canada : L’expérience métisse</t>
  </si>
  <si>
    <t>http://public.eblib.com/choice/PublicFullRecord.aspx?p=4503080</t>
  </si>
  <si>
    <t>Pensionnats du Canada : Enfants disparus et lieux de sépulture non marqués</t>
  </si>
  <si>
    <t>http://public.eblib.com/choice/PublicFullRecord.aspx?p=4503081</t>
  </si>
  <si>
    <t>Adapted Brains and Imaginary Worlds : Cognitive Science and the Literature of the Renaissance</t>
  </si>
  <si>
    <t>Beecher, Donald</t>
  </si>
  <si>
    <t>http://public.eblib.com/choice/PublicFullRecord.aspx?p=4503083</t>
  </si>
  <si>
    <t>Chora 7 : Intervals in the Philosophy of Architecture</t>
  </si>
  <si>
    <t>http://public.eblib.com/choice/PublicFullRecord.aspx?p=4503088</t>
  </si>
  <si>
    <t>In Twilight and in Dawn : A Biography of Diamond Jenness</t>
  </si>
  <si>
    <t>Richling, Barnett</t>
  </si>
  <si>
    <t>GN21</t>
  </si>
  <si>
    <t>http://public.eblib.com/choice/PublicFullRecord.aspx?p=4503501</t>
  </si>
  <si>
    <t>Canada's Residential Schools: The Inuit and Northern Experience</t>
  </si>
  <si>
    <t>http://public.eblib.com/choice/PublicFullRecord.aspx?p=4503753</t>
  </si>
  <si>
    <t>Canada's Residential Schools: The Métis Experience</t>
  </si>
  <si>
    <t>http://public.eblib.com/choice/PublicFullRecord.aspx?p=4503755</t>
  </si>
  <si>
    <t>Canada's Residential Schools: Missing Children and Unmarked Burials</t>
  </si>
  <si>
    <t>http://public.eblib.com/choice/PublicFullRecord.aspx?p=4503756</t>
  </si>
  <si>
    <t>Canada's Residential Schools: Reconciliation</t>
  </si>
  <si>
    <t>http://public.eblib.com/choice/PublicFullRecord.aspx?p=4503758</t>
  </si>
  <si>
    <t>Pensionnats du Canada : L’expérience inuite et nordique</t>
  </si>
  <si>
    <t>http://public.eblib.com/choice/PublicFullRecord.aspx?p=4503759</t>
  </si>
  <si>
    <t>Water as a Social Opportunity</t>
  </si>
  <si>
    <t>Davidson, Seanna L.; Linton, Jamie; Mabee, Warren E.</t>
  </si>
  <si>
    <t>http://public.eblib.com/choice/PublicFullRecord.aspx?p=4503760</t>
  </si>
  <si>
    <t>Curative Illnesses : Medico-National Allegory in Québécois Fiction</t>
  </si>
  <si>
    <t>Robert, Julie</t>
  </si>
  <si>
    <t>PQ3917.Q3 -- .R634 2016eb</t>
  </si>
  <si>
    <t>http://public.eblib.com/choice/PublicFullRecord.aspx?p=4503762</t>
  </si>
  <si>
    <t>Charleswood Road Stories</t>
  </si>
  <si>
    <t>At Bay Press</t>
  </si>
  <si>
    <t>Joudrey, M.C.</t>
  </si>
  <si>
    <t>PR9199.4.J68 -- C43 2014eb</t>
  </si>
  <si>
    <t>http://public.eblib.com/choice/PublicFullRecord.aspx?p=4505409</t>
  </si>
  <si>
    <t>Canada and the Crown : Essays in Constitutional Monarchy</t>
  </si>
  <si>
    <t>Jackson, D. Michael; Lagassé, Philippe</t>
  </si>
  <si>
    <t>JC405</t>
  </si>
  <si>
    <t>Monarchy - Canada</t>
  </si>
  <si>
    <t>http://public.eblib.com/choice/PublicFullRecord.aspx?p=4512152</t>
  </si>
  <si>
    <t>Canada: The State of the Federation, 2011</t>
  </si>
  <si>
    <t>Verrelli, Nadia</t>
  </si>
  <si>
    <t>http://public.eblib.com/choice/PublicFullRecord.aspx?p=4512153</t>
  </si>
  <si>
    <t>Making Policy in Turbulent Times : Challenges and Prospects for Higher Education</t>
  </si>
  <si>
    <t>Axelrod, Paul; Trilokekar, Roopa Desai; Shanahan, Theresa; Wellen, Richard</t>
  </si>
  <si>
    <t>http://public.eblib.com/choice/PublicFullRecord.aspx?p=4512158</t>
  </si>
  <si>
    <t>Multiculturalism Question : Debating Identity in 21st Century Canada</t>
  </si>
  <si>
    <t>Jedwab, Jack</t>
  </si>
  <si>
    <t>http://public.eblib.com/choice/PublicFullRecord.aspx?p=4512160</t>
  </si>
  <si>
    <t>Democratic Dilemma : Reforming Canada's Supreme Court</t>
  </si>
  <si>
    <t>KE8244 -- .D46 2013eb</t>
  </si>
  <si>
    <t>Judges - Selection and appointment - Canada</t>
  </si>
  <si>
    <t>http://public.eblib.com/choice/PublicFullRecord.aspx?p=4512165</t>
  </si>
  <si>
    <t>The Handbook of Canadian Higher Education</t>
  </si>
  <si>
    <t>Shanahan, Theresa; Nilson, Michelle; Broshko, Li Jeen</t>
  </si>
  <si>
    <t>K3755 -- .H363 2015eb</t>
  </si>
  <si>
    <t>http://public.eblib.com/choice/PublicFullRecord.aspx?p=4512166</t>
  </si>
  <si>
    <t>International Perspectives : Integration and Inclusion</t>
  </si>
  <si>
    <t>Frideres, James; Biles, John</t>
  </si>
  <si>
    <t>JV6225I58 2012</t>
  </si>
  <si>
    <t>Immigrants - Social conditions</t>
  </si>
  <si>
    <t>http://public.eblib.com/choice/PublicFullRecord.aspx?p=4512170</t>
  </si>
  <si>
    <t>Where to from Here? : Keeping Medicare Sustainable</t>
  </si>
  <si>
    <t>Duckett, Stephen</t>
  </si>
  <si>
    <t>RA449 -- .D835 2012eb</t>
  </si>
  <si>
    <t>http://public.eblib.com/choice/PublicFullRecord.aspx?p=4512172</t>
  </si>
  <si>
    <t>Navigating on the Titanic : Economic Growth, Energy, and the Failure of Governance</t>
  </si>
  <si>
    <t>Purchase, Bryne</t>
  </si>
  <si>
    <t>HD75.6</t>
  </si>
  <si>
    <t>http://public.eblib.com/choice/PublicFullRecord.aspx?p=4512173</t>
  </si>
  <si>
    <t>Government-Nonprofit Relations in Times of Recession</t>
  </si>
  <si>
    <t>Queen's University (Kingston, Ont.), School of Policy Studies Staff; Laforest, Rachel</t>
  </si>
  <si>
    <t>HD2769.15</t>
  </si>
  <si>
    <t>http://public.eblib.com/choice/PublicFullRecord.aspx?p=4512175</t>
  </si>
  <si>
    <t>Intellectual Disabilities and Dual Diagnosis : An Interprofessional Clinical Guide for Healthcare Providers</t>
  </si>
  <si>
    <t>McCreary, Bruce D.; Jones, Jessica</t>
  </si>
  <si>
    <t>RC570</t>
  </si>
  <si>
    <t>http://public.eblib.com/choice/PublicFullRecord.aspx?p=4512178</t>
  </si>
  <si>
    <t>Canada: The State of the Federation, 2012</t>
  </si>
  <si>
    <t>Berdahl, Loleen; Juneau, André; Tuohy, Carolyn Hughes</t>
  </si>
  <si>
    <t>http://public.eblib.com/choice/PublicFullRecord.aspx?p=4513220</t>
  </si>
  <si>
    <t>Rethinking Higher Education : Participation, Research, and Differentiation</t>
  </si>
  <si>
    <t>Fallis, George</t>
  </si>
  <si>
    <t>http://public.eblib.com/choice/PublicFullRecord.aspx?p=4513225</t>
  </si>
  <si>
    <t>Paradigm Freeze : Why It Is So Hard to Reform Health Care in Canada</t>
  </si>
  <si>
    <t>Lazar, Harvey; Forest, Pierre-Gerlier; Lavis, John N.; Church, John</t>
  </si>
  <si>
    <t>http://public.eblib.com/choice/PublicFullRecord.aspx?p=4513246</t>
  </si>
  <si>
    <t>Thinking Outside the Box : Innovation in Policy Ideas</t>
  </si>
  <si>
    <t>Banting, Keith G.; Chaykowski, Richard P.; Lehrer, Steven F.</t>
  </si>
  <si>
    <t>JL86.P64</t>
  </si>
  <si>
    <t>http://public.eblib.com/choice/PublicFullRecord.aspx?p=4513254</t>
  </si>
  <si>
    <t>The Politics of Canadian Foreign Policy, Fourth Edition</t>
  </si>
  <si>
    <t>Nossal, Kim Richard; Roussel, Stéphane; Paquin, Stéphane</t>
  </si>
  <si>
    <t>http://public.eblib.com/choice/PublicFullRecord.aspx?p=4513262</t>
  </si>
  <si>
    <t>Measuring the Value of a Postsecondary Education</t>
  </si>
  <si>
    <t>Norrie, Ken; Lennon, Mary Catharine</t>
  </si>
  <si>
    <t>http://public.eblib.com/choice/PublicFullRecord.aspx?p=4513290</t>
  </si>
  <si>
    <t>War Plan Red : The United States' Secret Plan to Invade Canada and Canada's Secret Plan to Invade the United States</t>
  </si>
  <si>
    <t>Princeton Architectural Press</t>
  </si>
  <si>
    <t>Lippert, Kevin</t>
  </si>
  <si>
    <t>E183.8.C2 -- .L577 2015eb</t>
  </si>
  <si>
    <t>http://public.eblib.com/choice/PublicFullRecord.aspx?p=4514030</t>
  </si>
  <si>
    <t>Iranian Civilization and Culture : Essays in Honour of the 2500th Anniversary of the Founding of the Persian Empire</t>
  </si>
  <si>
    <t>Adams, Charles J.</t>
  </si>
  <si>
    <t>http://public.eblib.com/choice/PublicFullRecord.aspx?p=4516886</t>
  </si>
  <si>
    <t>Kingston General Hospital : A Social and Institutional History</t>
  </si>
  <si>
    <t>Angus, Margaret</t>
  </si>
  <si>
    <t>http://public.eblib.com/choice/PublicFullRecord.aspx?p=4516887</t>
  </si>
  <si>
    <t>Fertility and Family Planning in a Canadian Metropolis</t>
  </si>
  <si>
    <t>Balakrishnan, T. R; Kantner, J. F.; Allingham, J. D.</t>
  </si>
  <si>
    <t>http://public.eblib.com/choice/PublicFullRecord.aspx?p=4516889</t>
  </si>
  <si>
    <t>Strange Contrarieties : Pascal in England During the Age of Reason</t>
  </si>
  <si>
    <t>Barker, John</t>
  </si>
  <si>
    <t>http://public.eblib.com/choice/PublicFullRecord.aspx?p=4516890</t>
  </si>
  <si>
    <t>Voices in Exhile : The Decembrist Memoirs</t>
  </si>
  <si>
    <t>http://public.eblib.com/choice/PublicFullRecord.aspx?p=4516893</t>
  </si>
  <si>
    <t>Oil in the People's Republic of China : Industry Structure, Production, Exports</t>
  </si>
  <si>
    <t>Bartke, Wolfgang</t>
  </si>
  <si>
    <t>http://public.eblib.com/choice/PublicFullRecord.aspx?p=4516894</t>
  </si>
  <si>
    <t>St Petersburg : Industrialization and Change</t>
  </si>
  <si>
    <t>Studies in Urban History</t>
  </si>
  <si>
    <t>Bater, James H.</t>
  </si>
  <si>
    <t>http://public.eblib.com/choice/PublicFullRecord.aspx?p=4516895</t>
  </si>
  <si>
    <t>Mercenaries for the Crimea : The German, Swiss, and Italian Legions in British Service, 1854-1856</t>
  </si>
  <si>
    <t>Bayley, C. C.</t>
  </si>
  <si>
    <t>http://public.eblib.com/choice/PublicFullRecord.aspx?p=4516896</t>
  </si>
  <si>
    <t>The Balance of Power</t>
  </si>
  <si>
    <t>McGill University Beatty Memorial Lectures</t>
  </si>
  <si>
    <t>Beloff, Max</t>
  </si>
  <si>
    <t>http://public.eblib.com/choice/PublicFullRecord.aspx?p=4516897</t>
  </si>
  <si>
    <t>The First Public Playhouse : The Theatre in Shoreditch, 1576-1598</t>
  </si>
  <si>
    <t>Berry, Herbert</t>
  </si>
  <si>
    <t>http://public.eblib.com/choice/PublicFullRecord.aspx?p=4516898</t>
  </si>
  <si>
    <t>Divided Loyalties : Canadian Concepts of Federalism</t>
  </si>
  <si>
    <t>Black, Edwin R.</t>
  </si>
  <si>
    <t>http://public.eblib.com/choice/PublicFullRecord.aspx?p=4516900</t>
  </si>
  <si>
    <t>Royal Touch : Sacred Monarchy and Scrofula in England and France</t>
  </si>
  <si>
    <t>Bloch, Marc; Anderson, J. E.</t>
  </si>
  <si>
    <t>http://public.eblib.com/choice/PublicFullRecord.aspx?p=4516901</t>
  </si>
  <si>
    <t>Critical Strategies : German Fiction in the Twentieth Century</t>
  </si>
  <si>
    <t>Boa, Elizabeth; Reid, J. H.</t>
  </si>
  <si>
    <t>http://public.eblib.com/choice/PublicFullRecord.aspx?p=4516902</t>
  </si>
  <si>
    <t>What The Thunder Really Said : A Retrospective Essay on the Making of The Waste Land</t>
  </si>
  <si>
    <t>Bolgan, Anne C.</t>
  </si>
  <si>
    <t>http://public.eblib.com/choice/PublicFullRecord.aspx?p=4516904</t>
  </si>
  <si>
    <t>First on the Antarctic Continent : Being an Account of the British Antarctic Expedition 1898-1900</t>
  </si>
  <si>
    <t>Borchgrevink, C. E.; Gjelsvik, Tore</t>
  </si>
  <si>
    <t>http://public.eblib.com/choice/PublicFullRecord.aspx?p=4516905</t>
  </si>
  <si>
    <t>The Protestant Crusade in Ireland, 1800-70 : A Study of Protestant-Catholic Relations Between the Act of Union and Disestablishment</t>
  </si>
  <si>
    <t>http://public.eblib.com/choice/PublicFullRecord.aspx?p=4516907</t>
  </si>
  <si>
    <t>One Country or Two?</t>
  </si>
  <si>
    <t>Burns, R. M.; Deutsch, John J.</t>
  </si>
  <si>
    <t>http://public.eblib.com/choice/PublicFullRecord.aspx?p=4516908</t>
  </si>
  <si>
    <t>How Long Have We Got?</t>
  </si>
  <si>
    <t>Calder, Ritchie</t>
  </si>
  <si>
    <t>http://public.eblib.com/choice/PublicFullRecord.aspx?p=4516909</t>
  </si>
  <si>
    <t>Prehistory of Western Siberia</t>
  </si>
  <si>
    <t>Arctic Institute of North America Anthropology of the North: Translations from Russian Sources</t>
  </si>
  <si>
    <t>Chernetsov, V. N.; Moszynska, W.; Michael, Henry N.</t>
  </si>
  <si>
    <t>http://public.eblib.com/choice/PublicFullRecord.aspx?p=4516910</t>
  </si>
  <si>
    <t>Through the First Antarctic Night, 1898-1899 : A Narrative of the Voyage of the "Belgica" among Newly Discovered Lands and over an Unknown Sea about the South Pole</t>
  </si>
  <si>
    <t>Cook, Frederick A.; Gerlache, Gaston De, Baron</t>
  </si>
  <si>
    <t>http://public.eblib.com/choice/PublicFullRecord.aspx?p=4516911</t>
  </si>
  <si>
    <t>Explorations in Aerospace Law : Selected Essays, 1946-1966</t>
  </si>
  <si>
    <t>Cooper, John Cobb; Vlasic, Ivan A.</t>
  </si>
  <si>
    <t>http://public.eblib.com/choice/PublicFullRecord.aspx?p=4516913</t>
  </si>
  <si>
    <t>Changing Structure of the Western Economy</t>
  </si>
  <si>
    <t>Copland, Sir Douglas</t>
  </si>
  <si>
    <t>http://public.eblib.com/choice/PublicFullRecord.aspx?p=4516914</t>
  </si>
  <si>
    <t>Farewell the Ivory Tower : Universities in Transition</t>
  </si>
  <si>
    <t>Corry, J. A.</t>
  </si>
  <si>
    <t>http://public.eblib.com/choice/PublicFullRecord.aspx?p=4516915</t>
  </si>
  <si>
    <t>Anxiety and Depression : The Adaptive Emotions</t>
  </si>
  <si>
    <t>Costello, Charles G.</t>
  </si>
  <si>
    <t>http://public.eblib.com/choice/PublicFullRecord.aspx?p=4516916</t>
  </si>
  <si>
    <t>Canada, the Commonwealth and the Common Market : Report of the 1962 Summer Institute, Mount Allison University</t>
  </si>
  <si>
    <t>Cunningham, W. B.</t>
  </si>
  <si>
    <t>http://public.eblib.com/choice/PublicFullRecord.aspx?p=4516917</t>
  </si>
  <si>
    <t>Kant on History and Religion : With a Translation of Kant's On the Failure of All Attempted Philosophical Theodicies</t>
  </si>
  <si>
    <t>Despland, Michel</t>
  </si>
  <si>
    <t>http://public.eblib.com/choice/PublicFullRecord.aspx?p=4516918</t>
  </si>
  <si>
    <t>Quebec : The Unfinished Revolution</t>
  </si>
  <si>
    <t>Dion, Leon; Thorburn, Hugh</t>
  </si>
  <si>
    <t>http://public.eblib.com/choice/PublicFullRecord.aspx?p=4516919</t>
  </si>
  <si>
    <t>On F.R. Scott : Essays on His Contributions to Law, Literature, and Politics</t>
  </si>
  <si>
    <t>Djwa, Sandra; Macdonald, R. St. J.</t>
  </si>
  <si>
    <t>Scott, F. R</t>
  </si>
  <si>
    <t>http://public.eblib.com/choice/PublicFullRecord.aspx?p=4516920</t>
  </si>
  <si>
    <t>Science and Politics in Canada</t>
  </si>
  <si>
    <t>http://public.eblib.com/choice/PublicFullRecord.aspx?p=4516922</t>
  </si>
  <si>
    <t>Fearful Joy : Papers from the Thomas Gray Bicentenary Conference at Carleton University</t>
  </si>
  <si>
    <t>Downey, James; Jones, Ben</t>
  </si>
  <si>
    <t>http://public.eblib.com/choice/PublicFullRecord.aspx?p=4516923</t>
  </si>
  <si>
    <t>Environment and Good Sense : An Introduction to Environmental Damage and Control in Canada</t>
  </si>
  <si>
    <t>Environmental Damage and Control in Canada</t>
  </si>
  <si>
    <t>Dunbar, M. J.</t>
  </si>
  <si>
    <t>http://public.eblib.com/choice/PublicFullRecord.aspx?p=4516924</t>
  </si>
  <si>
    <t>Images of Sport in Early Canada / Images du sport dans le Canada d'autrefois</t>
  </si>
  <si>
    <t>Dunbar, Nancy J.; MacLennan, Hugh</t>
  </si>
  <si>
    <t>http://public.eblib.com/choice/PublicFullRecord.aspx?p=4516926</t>
  </si>
  <si>
    <t>Ancient Greek : A Structural Programme, Volume 2</t>
  </si>
  <si>
    <t>Ellis, C. D.; Schachter, A.</t>
  </si>
  <si>
    <t>http://public.eblib.com/choice/PublicFullRecord.aspx?p=4516927</t>
  </si>
  <si>
    <t>Rantin' Pipe and Tremblin' String : A History of Scottish Dance Music</t>
  </si>
  <si>
    <t>Emmerson, George S.</t>
  </si>
  <si>
    <t>http://public.eblib.com/choice/PublicFullRecord.aspx?p=4516928</t>
  </si>
  <si>
    <t>Christian Ethics : A Historical and Systematic Analysis of its Dominant Ideas</t>
  </si>
  <si>
    <t>Faruqi, Isma‘il Ragi A. al</t>
  </si>
  <si>
    <t>http://public.eblib.com/choice/PublicFullRecord.aspx?p=4516930</t>
  </si>
  <si>
    <t>Nonparametric Trend Analysis : A Practical Guide for Research Workers</t>
  </si>
  <si>
    <t>Ferguson, George Andrew</t>
  </si>
  <si>
    <t>http://public.eblib.com/choice/PublicFullRecord.aspx?p=4516931</t>
  </si>
  <si>
    <t>In Search of Jerusalem : Religion and Ethics in the Writings of A.M. Klein</t>
  </si>
  <si>
    <t>Fischer, Gretl K.</t>
  </si>
  <si>
    <t>http://public.eblib.com/choice/PublicFullRecord.aspx?p=4516932</t>
  </si>
  <si>
    <t>The New Hungarian Agriculture</t>
  </si>
  <si>
    <t>Fischer, Lewis A.; Uren, Philipi E.</t>
  </si>
  <si>
    <t>http://public.eblib.com/choice/PublicFullRecord.aspx?p=4516933</t>
  </si>
  <si>
    <t>Report from Peking : Observations of a Western Diplomat on the Cultural Revolution</t>
  </si>
  <si>
    <t>Fokkema, D. W.</t>
  </si>
  <si>
    <t>http://public.eblib.com/choice/PublicFullRecord.aspx?p=4516934</t>
  </si>
  <si>
    <t>Atlantis : The Making of Myth</t>
  </si>
  <si>
    <t>Forsyth, Phyllis Young</t>
  </si>
  <si>
    <t>http://public.eblib.com/choice/PublicFullRecord.aspx?p=4516935</t>
  </si>
  <si>
    <t>Staff Relations in the Civil Service : The Canadian Experience</t>
  </si>
  <si>
    <t>Frankel, Saul J.</t>
  </si>
  <si>
    <t>http://public.eblib.com/choice/PublicFullRecord.aspx?p=4516936</t>
  </si>
  <si>
    <t>People Pollution : Sociologic and Ecologic Viewpoints on the Prevalence of People</t>
  </si>
  <si>
    <t>Freeman, Milton M. R.</t>
  </si>
  <si>
    <t>http://public.eblib.com/choice/PublicFullRecord.aspx?p=4516937</t>
  </si>
  <si>
    <t>Shaykh Ahman Sirhindi : An Outline of His Thought and a Study of His Image in the Eyes of Posterity</t>
  </si>
  <si>
    <t>McGill Islamic Studies</t>
  </si>
  <si>
    <t>Friedmann, Yohanan</t>
  </si>
  <si>
    <t>http://public.eblib.com/choice/PublicFullRecord.aspx?p=4516938</t>
  </si>
  <si>
    <t>Standing and Understanding : A Re-appraisal of the Christian Faith</t>
  </si>
  <si>
    <t>http://public.eblib.com/choice/PublicFullRecord.aspx?p=4516939</t>
  </si>
  <si>
    <t>Patriarchs and Prophets</t>
  </si>
  <si>
    <t>http://public.eblib.com/choice/PublicFullRecord.aspx?p=4516940</t>
  </si>
  <si>
    <t>Llyod George and Foreign Policy : The Education of a Statesman, 1890-1916, Vol. 1</t>
  </si>
  <si>
    <t>Fry, Michael G.</t>
  </si>
  <si>
    <t>http://public.eblib.com/choice/PublicFullRecord.aspx?p=4516941</t>
  </si>
  <si>
    <t>Conrad's Later Novels</t>
  </si>
  <si>
    <t>Geddes, Gary</t>
  </si>
  <si>
    <t>http://public.eblib.com/choice/PublicFullRecord.aspx?p=4516942</t>
  </si>
  <si>
    <t>Chemotaxonomy of Flowering Plants : Four Volumes</t>
  </si>
  <si>
    <t>Gibbs, R. Darnley</t>
  </si>
  <si>
    <t>http://public.eblib.com/choice/PublicFullRecord.aspx?p=4516944</t>
  </si>
  <si>
    <t>Norwegian Resistance, 1940-1945</t>
  </si>
  <si>
    <t>Gjelsvik, Tore; Derry, Thomas Kingston</t>
  </si>
  <si>
    <t>http://public.eblib.com/choice/PublicFullRecord.aspx?p=4516945</t>
  </si>
  <si>
    <t>Tinkers and Travellers</t>
  </si>
  <si>
    <t>Gmelch, Sharon; Langan, Pat; Gmelch, George</t>
  </si>
  <si>
    <t>301.44/3</t>
  </si>
  <si>
    <t>http://public.eblib.com/choice/PublicFullRecord.aspx?p=4516946</t>
  </si>
  <si>
    <t>Imagination Indulged : The Irrational in the Nineteenth-Century Novel</t>
  </si>
  <si>
    <t>Gose, Elliot B., Jr.</t>
  </si>
  <si>
    <t>http://public.eblib.com/choice/PublicFullRecord.aspx?p=4516948</t>
  </si>
  <si>
    <t>Tides of Empire : Discursions on the Expansion of Britain Overseas</t>
  </si>
  <si>
    <t>Graham, Gerald S.</t>
  </si>
  <si>
    <t>http://public.eblib.com/choice/PublicFullRecord.aspx?p=4516949</t>
  </si>
  <si>
    <t>Transformation of Sin : Studies in Donne, Herbert, Vaughan and Traherne</t>
  </si>
  <si>
    <t>Grant, Patrick</t>
  </si>
  <si>
    <t>http://public.eblib.com/choice/PublicFullRecord.aspx?p=4516950</t>
  </si>
  <si>
    <t>Sincere Ideal : Studies on Sincerity in Eighteenth-Century English Literature</t>
  </si>
  <si>
    <t>Guilhamet, Leon</t>
  </si>
  <si>
    <t>http://public.eblib.com/choice/PublicFullRecord.aspx?p=4516952</t>
  </si>
  <si>
    <t>Crabbe's Arabesque : Social Drama in the Poetry of George Crabbe</t>
  </si>
  <si>
    <t>Hatch, Ronald B.</t>
  </si>
  <si>
    <t>http://public.eblib.com/choice/PublicFullRecord.aspx?p=4516953</t>
  </si>
  <si>
    <t>His Own Man : Essays in Honour of Arthur Reginald Marsden Lower</t>
  </si>
  <si>
    <t>Heick, W. H.; Graham, Roger</t>
  </si>
  <si>
    <t>http://public.eblib.com/choice/PublicFullRecord.aspx?p=4516954</t>
  </si>
  <si>
    <t>Women and State Socialism : Sex Inequality in the Soviet Union &amp; Czechoslovakia</t>
  </si>
  <si>
    <t>Heitlinger, Alena</t>
  </si>
  <si>
    <t>http://public.eblib.com/choice/PublicFullRecord.aspx?p=4516955</t>
  </si>
  <si>
    <t>Fit and Proper Persons : Ideal and Reality in Nineteenth-Century Urban Government</t>
  </si>
  <si>
    <t>Hennock, E. P.</t>
  </si>
  <si>
    <t>http://public.eblib.com/choice/PublicFullRecord.aspx?p=4516956</t>
  </si>
  <si>
    <t>Roentgenological Studies of Traumatic and Recurrent Anterior and Inferior Dislocations of the Shoulder Joint</t>
  </si>
  <si>
    <t>Hermodsson, Ivan; Moseley, H. F.; Overgaard, B.</t>
  </si>
  <si>
    <t>http://public.eblib.com/choice/PublicFullRecord.aspx?p=4516957</t>
  </si>
  <si>
    <t>Chaucer, Spenser, Milton : Mythopoeic Continuities and Transformations</t>
  </si>
  <si>
    <t>Hieatt, A. Kent</t>
  </si>
  <si>
    <t>http://public.eblib.com/choice/PublicFullRecord.aspx?p=4516958</t>
  </si>
  <si>
    <t>No Soft Options : The Poltico-Military Realities of NATO</t>
  </si>
  <si>
    <t>Sir; Luns, J. M. A. H., Dr.</t>
  </si>
  <si>
    <t>http://public.eblib.com/choice/PublicFullRecord.aspx?p=4516959</t>
  </si>
  <si>
    <t>Provincial Governments as Employers : A Survey of Public Personnel Administration in Canada's Provinces</t>
  </si>
  <si>
    <t>Canadian Public Administration</t>
  </si>
  <si>
    <t>Hodgetts, J. E.; Dwivedi, O. P.</t>
  </si>
  <si>
    <t>http://public.eblib.com/choice/PublicFullRecord.aspx?p=4516961</t>
  </si>
  <si>
    <t>The Son of Man in Mark : A Study of the Background of the Term "Son of Man" and its Use in St Mark's Gospel</t>
  </si>
  <si>
    <t>Hooker, Morna D.</t>
  </si>
  <si>
    <t>http://public.eblib.com/choice/PublicFullRecord.aspx?p=4516962</t>
  </si>
  <si>
    <t>John Ford : Baroque English Dramatist</t>
  </si>
  <si>
    <t>Huebert, Ronald</t>
  </si>
  <si>
    <t>http://public.eblib.com/choice/PublicFullRecord.aspx?p=4516963</t>
  </si>
  <si>
    <t>Why I Left Canada : Reflections on Science and Politics</t>
  </si>
  <si>
    <t>Infeld, Leopold; Pyenson, Lewis; Infeld, Helen</t>
  </si>
  <si>
    <t>http://public.eblib.com/choice/PublicFullRecord.aspx?p=4516965</t>
  </si>
  <si>
    <t>Son of Man, Son of God</t>
  </si>
  <si>
    <t>Jay, E. G.</t>
  </si>
  <si>
    <t>http://public.eblib.com/choice/PublicFullRecord.aspx?p=4516966</t>
  </si>
  <si>
    <t>Britain and the War for the Union : Volume 2</t>
  </si>
  <si>
    <t>http://public.eblib.com/choice/PublicFullRecord.aspx?p=4516967</t>
  </si>
  <si>
    <t>Britain and the War for the Union : Volume 1</t>
  </si>
  <si>
    <t>http://public.eblib.com/choice/PublicFullRecord.aspx?p=4516968</t>
  </si>
  <si>
    <t>Economics of Cyprus : A Survey to 1914</t>
  </si>
  <si>
    <t>Jenness, Diamond</t>
  </si>
  <si>
    <t>http://public.eblib.com/choice/PublicFullRecord.aspx?p=4516970</t>
  </si>
  <si>
    <t>A Hundred Years Eating : Food, Drink, and the Daily Diet in Britain Since the Late Nineteenth Century</t>
  </si>
  <si>
    <t>Johnston, James P.</t>
  </si>
  <si>
    <t>http://public.eblib.com/choice/PublicFullRecord.aspx?p=4516974</t>
  </si>
  <si>
    <t>Ephesians, Baptism and Pentecost : An Inquiry into the Structure and Purpose of the Epistle to the Ephesians</t>
  </si>
  <si>
    <t>Kirby, John C.</t>
  </si>
  <si>
    <t>http://public.eblib.com/choice/PublicFullRecord.aspx?p=4516975</t>
  </si>
  <si>
    <t>The Political Economy of Germany: 1815-1914</t>
  </si>
  <si>
    <t>Kitchen, Martin</t>
  </si>
  <si>
    <t>http://public.eblib.com/choice/PublicFullRecord.aspx?p=4516976</t>
  </si>
  <si>
    <t>Finnish Folk Poetry - Epic : An Anthology in Finnish and English</t>
  </si>
  <si>
    <t>Publications of the Finnish Literature Society</t>
  </si>
  <si>
    <t>Kuusi, Matti; Bosley, Keith; Branch, Michael</t>
  </si>
  <si>
    <t>http://public.eblib.com/choice/PublicFullRecord.aspx?p=4516977</t>
  </si>
  <si>
    <t>Crown and Nobility, 1450-1509 : 1450-1509</t>
  </si>
  <si>
    <t>Lander, J. R.</t>
  </si>
  <si>
    <t>http://public.eblib.com/choice/PublicFullRecord.aspx?p=4516979</t>
  </si>
  <si>
    <t>Eastward to Empire : Exploration and Conquest on the Russian Open Frontier to 1750</t>
  </si>
  <si>
    <t>Lantzeff, George V.; Pierce, Richard A.</t>
  </si>
  <si>
    <t>http://public.eblib.com/choice/PublicFullRecord.aspx?p=4516980</t>
  </si>
  <si>
    <t>Freshwater Pollution, Canadian Style : Volume 3 of Environmental Damage and Control in Canada</t>
  </si>
  <si>
    <t>Larkin, P. A.</t>
  </si>
  <si>
    <t>TD226 -- .L375 1974eb</t>
  </si>
  <si>
    <t>http://public.eblib.com/choice/PublicFullRecord.aspx?p=4516981</t>
  </si>
  <si>
    <t>In First Gear : The French Automobile Industry to 1914</t>
  </si>
  <si>
    <t>Laux, James M.</t>
  </si>
  <si>
    <t>HD9710.F72 -- .L389 1976eb</t>
  </si>
  <si>
    <t>http://public.eblib.com/choice/PublicFullRecord.aspx?p=4516982</t>
  </si>
  <si>
    <t>Skellig : Island Outpost of Europe</t>
  </si>
  <si>
    <t>Lavelle, Des</t>
  </si>
  <si>
    <t>DA990.K4 -- .L384 1976eb</t>
  </si>
  <si>
    <t>http://public.eblib.com/choice/PublicFullRecord.aspx?p=4516983</t>
  </si>
  <si>
    <t>Royal Victoria Hospital, 1887-1947</t>
  </si>
  <si>
    <t>Lewis, D. Sclater</t>
  </si>
  <si>
    <t>RA983.M6 -- .L495 1969eb</t>
  </si>
  <si>
    <t>http://public.eblib.com/choice/PublicFullRecord.aspx?p=4516984</t>
  </si>
  <si>
    <t>The Politics of Motherhood : Child and Maternal Welfare in England, 1900-1939</t>
  </si>
  <si>
    <t>Lewis, Jane</t>
  </si>
  <si>
    <t>HV700.G7 -- .L495 1980eb</t>
  </si>
  <si>
    <t>20e siecle</t>
  </si>
  <si>
    <t>http://public.eblib.com/choice/PublicFullRecord.aspx?p=4516986</t>
  </si>
  <si>
    <t>Norwegian Oil Policies</t>
  </si>
  <si>
    <t>Lind, T.; Mackay, G. A.</t>
  </si>
  <si>
    <t>HD9710.F72 -- .L389 1979eb</t>
  </si>
  <si>
    <t>http://public.eblib.com/choice/PublicFullRecord.aspx?p=4516987</t>
  </si>
  <si>
    <t>Great Britain's Woodyard : British America and the Timber Trade, 1763-1867</t>
  </si>
  <si>
    <t>Lower, Arthur R. M</t>
  </si>
  <si>
    <t>HD9761.5 -- .L694 1973eb</t>
  </si>
  <si>
    <t>http://public.eblib.com/choice/PublicFullRecord.aspx?p=4516990</t>
  </si>
  <si>
    <t>Regional Mobility and Resource Development in West Africa</t>
  </si>
  <si>
    <t>Keith Callard Lectures</t>
  </si>
  <si>
    <t>Mabogunje, Akin L.</t>
  </si>
  <si>
    <t>JV8995.W4 -- .M336 1972eb</t>
  </si>
  <si>
    <t>http://public.eblib.com/choice/PublicFullRecord.aspx?p=4516992</t>
  </si>
  <si>
    <t>Studies in Christian Existentialism</t>
  </si>
  <si>
    <t>Macquarrie, John</t>
  </si>
  <si>
    <t>BT80 -- .M337 1965eb</t>
  </si>
  <si>
    <t>http://public.eblib.com/choice/PublicFullRecord.aspx?p=4516994</t>
  </si>
  <si>
    <t>Northern Sphinx : Iceland and the Icelanders from the Settlement to the Present</t>
  </si>
  <si>
    <t>Magnusson, Sigurdur A.</t>
  </si>
  <si>
    <t>DL326 -- .M346 1977eb</t>
  </si>
  <si>
    <t>http://public.eblib.com/choice/PublicFullRecord.aspx?p=4516996</t>
  </si>
  <si>
    <t>Arctic Bibliography : Volume 16</t>
  </si>
  <si>
    <t>Martna, Maret</t>
  </si>
  <si>
    <t>Z64 -- .A738 1975eb</t>
  </si>
  <si>
    <t>http://public.eblib.com/choice/PublicFullRecord.aspx?p=4516999</t>
  </si>
  <si>
    <t>Quest for an American Sociology : Robert E. Park and the Chicago School</t>
  </si>
  <si>
    <t>Matthews, Fred H.</t>
  </si>
  <si>
    <t>HM22.U6 -- .M388 1977eb</t>
  </si>
  <si>
    <t>http://public.eblib.com/choice/PublicFullRecord.aspx?p=4517001</t>
  </si>
  <si>
    <t>Working Papers on Canadian Politics</t>
  </si>
  <si>
    <t>Meisel, John</t>
  </si>
  <si>
    <t>JL193 -- .M457 1972eb</t>
  </si>
  <si>
    <t>http://public.eblib.com/choice/PublicFullRecord.aspx?p=4517002</t>
  </si>
  <si>
    <t>Homosexuality and Literature : 1890-1930</t>
  </si>
  <si>
    <t>Meyers, Jeffrey</t>
  </si>
  <si>
    <t>PN56.H57 -- .M494 1977eb</t>
  </si>
  <si>
    <t>http://public.eblib.com/choice/PublicFullRecord.aspx?p=4517003</t>
  </si>
  <si>
    <t>The Reluctant Europeans : The Attitudes of the Nordic Countries towards European Integration</t>
  </si>
  <si>
    <t>Miljan, Toivo</t>
  </si>
  <si>
    <t>HC241.25.S3 -- .M555 1977eb</t>
  </si>
  <si>
    <t>http://public.eblib.com/choice/PublicFullRecord.aspx?p=4517005</t>
  </si>
  <si>
    <t>Judicial Administration in Canada</t>
  </si>
  <si>
    <t>Millar, Perry S.; Baar, Carl</t>
  </si>
  <si>
    <t>KE8226 -- .M555 1981 eb</t>
  </si>
  <si>
    <t>Tribunaux</t>
  </si>
  <si>
    <t>http://public.eblib.com/choice/PublicFullRecord.aspx?p=4517006</t>
  </si>
  <si>
    <t>Hindu Monastic Life : The Monks and Monasteries of Bhubaneswar</t>
  </si>
  <si>
    <t>Miller, David M.; Wertz, Dorothy C.</t>
  </si>
  <si>
    <t>BL1226.85 -- .M555 1976eb</t>
  </si>
  <si>
    <t>http://public.eblib.com/choice/PublicFullRecord.aspx?p=4517008</t>
  </si>
  <si>
    <t>A Bibliography of the Writings of Henry E. Sigerist</t>
  </si>
  <si>
    <t>Miller, Genevieve</t>
  </si>
  <si>
    <t>Z6658 -- .B535 1966eb</t>
  </si>
  <si>
    <t>http://public.eblib.com/choice/PublicFullRecord.aspx?p=4517009</t>
  </si>
  <si>
    <t>Experience and Identity : Birmingham and the West Midlands, 1760-1800</t>
  </si>
  <si>
    <t>Money, John</t>
  </si>
  <si>
    <t>DA690.B6 -- .M64 1977eb</t>
  </si>
  <si>
    <t>http://public.eblib.com/choice/PublicFullRecord.aspx?p=4517011</t>
  </si>
  <si>
    <t>Philosophy and Personal Relations : An Anglo-French Study</t>
  </si>
  <si>
    <t>Montefiore, Alan</t>
  </si>
  <si>
    <t>BJ1012 -- .P455 1973eb</t>
  </si>
  <si>
    <t>http://public.eblib.com/choice/PublicFullRecord.aspx?p=4517013</t>
  </si>
  <si>
    <t>Power and Authority in British Universities</t>
  </si>
  <si>
    <t>Moodie, Graeme C.</t>
  </si>
  <si>
    <t>LC178.G7 -- .M663 1974eb</t>
  </si>
  <si>
    <t>http://public.eblib.com/choice/PublicFullRecord.aspx?p=4517015</t>
  </si>
  <si>
    <t>Confessions of a Young Man : Avowals</t>
  </si>
  <si>
    <t>Moore, George; Dick, Susan</t>
  </si>
  <si>
    <t>PR5043 -- .M667 1972eb</t>
  </si>
  <si>
    <t>http://public.eblib.com/choice/PublicFullRecord.aspx?p=4517017</t>
  </si>
  <si>
    <t>Education and Politics in Africa : The Tanzanian Case</t>
  </si>
  <si>
    <t>LA1841 -- .M677 1976eb</t>
  </si>
  <si>
    <t>http://public.eblib.com/choice/PublicFullRecord.aspx?p=4517018</t>
  </si>
  <si>
    <t>Recurrent Dislocation of the Shoulder</t>
  </si>
  <si>
    <t>Moseley, H. F.; MacArthur, Hellen T.</t>
  </si>
  <si>
    <t>RD557.5 -- .M674 1961eb</t>
  </si>
  <si>
    <t>http://public.eblib.com/choice/PublicFullRecord.aspx?p=4517022</t>
  </si>
  <si>
    <t>International Crisis : The Outbreak of World War I</t>
  </si>
  <si>
    <t>Nomikos, Eugenia V.; North, Robert C.</t>
  </si>
  <si>
    <t>D511 -- .N665 1976eb</t>
  </si>
  <si>
    <t>http://public.eblib.com/choice/PublicFullRecord.aspx?p=4517023</t>
  </si>
  <si>
    <t>Robert Creeley : An Inventory, 1945-1970</t>
  </si>
  <si>
    <t>Novik, Mary</t>
  </si>
  <si>
    <t>Z8198.9 -- .N685 1973eb</t>
  </si>
  <si>
    <t>http://public.eblib.com/choice/PublicFullRecord.aspx?p=4517025</t>
  </si>
  <si>
    <t>Yakutia : Before Its Incorporation into the Russian State</t>
  </si>
  <si>
    <t>Okladnikov, A. P.</t>
  </si>
  <si>
    <t>GN4 -- .O353 1970eb</t>
  </si>
  <si>
    <t>http://public.eblib.com/choice/PublicFullRecord.aspx?p=4517026</t>
  </si>
  <si>
    <t>The Doomed Democracy : Czechoslovakia in a Disrupted Europe, 1914-38</t>
  </si>
  <si>
    <t>Olivova, Vera</t>
  </si>
  <si>
    <t>DB215.2 -- .O458 1972eb</t>
  </si>
  <si>
    <t>http://public.eblib.com/choice/PublicFullRecord.aspx?p=4517028</t>
  </si>
  <si>
    <t>Politics in High Latitudes : The Svalbard Archipelago</t>
  </si>
  <si>
    <t>Ostreng, Willy</t>
  </si>
  <si>
    <t>JX4084.S94 -- .Ø7871978eb</t>
  </si>
  <si>
    <t>http://public.eblib.com/choice/PublicFullRecord.aspx?p=4517029</t>
  </si>
  <si>
    <t>The Price of Leisure : An Economic Analysis of the Demand for Leisure Time</t>
  </si>
  <si>
    <t>Owen, John D.</t>
  </si>
  <si>
    <t>HD4904.7 -- .O946 1970eb</t>
  </si>
  <si>
    <t>http://public.eblib.com/choice/PublicFullRecord.aspx?p=4517030</t>
  </si>
  <si>
    <t>A Culture in Conflict : Skilled Workers and Industrial Capitalism in Hamilton, Ontario, 1860-1914</t>
  </si>
  <si>
    <t>Palmer, Bryan D.</t>
  </si>
  <si>
    <t>http://public.eblib.com/choice/PublicFullRecord.aspx?p=4517032</t>
  </si>
  <si>
    <t>Labouring Children : British Immigrant Apprentices to Canada, 1869-1924</t>
  </si>
  <si>
    <t>Parr, Joyce</t>
  </si>
  <si>
    <t>HD4875.C19 -- .P377 1980eb</t>
  </si>
  <si>
    <t>http://public.eblib.com/choice/PublicFullRecord.aspx?p=4517033</t>
  </si>
  <si>
    <t>British Trade Unions and the Problem of Change</t>
  </si>
  <si>
    <t>Paynter, Will</t>
  </si>
  <si>
    <t>HD6664 -- .P396 1970eb</t>
  </si>
  <si>
    <t>http://public.eblib.com/choice/PublicFullRecord.aspx?p=4517034</t>
  </si>
  <si>
    <t>The Tory Syndrome : Leadership Politics in the Progressive Conservative Party</t>
  </si>
  <si>
    <t>Perlin, George C.</t>
  </si>
  <si>
    <t>JL197.P67 -- .P475 1980eb</t>
  </si>
  <si>
    <t>http://public.eblib.com/choice/PublicFullRecord.aspx?p=4517036</t>
  </si>
  <si>
    <t>Economics of the Canadian Corporate Bond Market</t>
  </si>
  <si>
    <t>Peters, J. Ross</t>
  </si>
  <si>
    <t>HG5152 -- .P484 1971eb</t>
  </si>
  <si>
    <t>http://public.eblib.com/choice/PublicFullRecord.aspx?p=4517038</t>
  </si>
  <si>
    <t>The Periglacial Environment : Past and Present</t>
  </si>
  <si>
    <t>Pewe, Troy L.</t>
  </si>
  <si>
    <t>GB641 -- .P475 1969eb</t>
  </si>
  <si>
    <t>http://public.eblib.com/choice/PublicFullRecord.aspx?p=4517039</t>
  </si>
  <si>
    <t>The Visionary Landscape : A Study in Medieval Allegory</t>
  </si>
  <si>
    <t>Piehler, Paul</t>
  </si>
  <si>
    <t>PN682.A5 -- .P544 1971eb</t>
  </si>
  <si>
    <t>http://public.eblib.com/choice/PublicFullRecord.aspx?p=4517040</t>
  </si>
  <si>
    <t>Problems and Prospects of Economic Integration in West Africa</t>
  </si>
  <si>
    <t>Plessz, Nicolas G.</t>
  </si>
  <si>
    <t>HC503.W4 -- .P547 1968eb</t>
  </si>
  <si>
    <t>http://public.eblib.com/choice/PublicFullRecord.aspx?p=4517041</t>
  </si>
  <si>
    <t>For Friends at Home : A Scottish Emigrant's Letters from Canada, California, and the Caribou, 1844-1864</t>
  </si>
  <si>
    <t>Preston, Richard Arthur</t>
  </si>
  <si>
    <t>F1013 -- .F67 1974eb</t>
  </si>
  <si>
    <t>http://public.eblib.com/choice/PublicFullRecord.aspx?p=4517042</t>
  </si>
  <si>
    <t>Standard Dictionary of Meteorological Sciences : English-French / French-English</t>
  </si>
  <si>
    <t>Proulx, Gerard J.</t>
  </si>
  <si>
    <t>QC854 -- .P768 1971eb</t>
  </si>
  <si>
    <t>http://public.eblib.com/choice/PublicFullRecord.aspx?p=4517044</t>
  </si>
  <si>
    <t>Boris Pil'niak : A Soviet Writer in Conflict with the State</t>
  </si>
  <si>
    <t>Reck, Vera T.</t>
  </si>
  <si>
    <t>http://public.eblib.com/choice/PublicFullRecord.aspx?p=4517045</t>
  </si>
  <si>
    <t>Towards a Canada-Quebec Union</t>
  </si>
  <si>
    <t>JL27 -- .R476 1991eb</t>
  </si>
  <si>
    <t>http://public.eblib.com/choice/PublicFullRecord.aspx?p=4517046</t>
  </si>
  <si>
    <t>Voltaire and Sensibility</t>
  </si>
  <si>
    <t>Ridgway, R. S.</t>
  </si>
  <si>
    <t>PQ2122 -- .R534 1973eb</t>
  </si>
  <si>
    <t>http://public.eblib.com/choice/PublicFullRecord.aspx?p=4517048</t>
  </si>
  <si>
    <t>Danish Greenland : Its People and Products</t>
  </si>
  <si>
    <t>Rink, Henrik; Larsen, Helga</t>
  </si>
  <si>
    <t>G742 -- .R565 1974eb</t>
  </si>
  <si>
    <t>http://public.eblib.com/choice/PublicFullRecord.aspx?p=4517049</t>
  </si>
  <si>
    <t>Student Unrest in India : A Comparative Approach</t>
  </si>
  <si>
    <t>Ross, Aileen D.</t>
  </si>
  <si>
    <t>LA1153.7 -- .R677 1969eb</t>
  </si>
  <si>
    <t>http://public.eblib.com/choice/PublicFullRecord.aspx?p=4517051</t>
  </si>
  <si>
    <t>Politics and Territory : The Sociology of Regional Persistence in Canada</t>
  </si>
  <si>
    <t>Schwartz, Mildred A.</t>
  </si>
  <si>
    <t>JL27 -- .S39 1974eb</t>
  </si>
  <si>
    <t>http://public.eblib.com/choice/PublicFullRecord.aspx?p=4517052</t>
  </si>
  <si>
    <t>The Yearbook of Symbolic Anthropology : 1</t>
  </si>
  <si>
    <t>Schwimmer, Erik</t>
  </si>
  <si>
    <t>GN452.5 -- .Y437 1978 eb</t>
  </si>
  <si>
    <t>http://public.eblib.com/choice/PublicFullRecord.aspx?p=4517053</t>
  </si>
  <si>
    <t>The Anatomy of Scottish Capital : Scottish Companies and Scottish Capital, 1900-1979</t>
  </si>
  <si>
    <t>Scott, John; Hughes, Michael</t>
  </si>
  <si>
    <t>HG4142 -- .S368 1980eb</t>
  </si>
  <si>
    <t>http://public.eblib.com/choice/PublicFullRecord.aspx?p=4517055</t>
  </si>
  <si>
    <t>Image 4 Ghana : If This is the Time/Tant qu'il y a la vie</t>
  </si>
  <si>
    <t>Semak, Michael; Brew, His Excellency Mr Kwesi</t>
  </si>
  <si>
    <t>TR654 -- .I434 1969eb</t>
  </si>
  <si>
    <t>http://public.eblib.com/choice/PublicFullRecord.aspx?p=4517057</t>
  </si>
  <si>
    <t>First Man West : Alexander Mackenzie's Account of his Expedition across North America to the Pacific in 1793</t>
  </si>
  <si>
    <t>Sheppe, Walter</t>
  </si>
  <si>
    <t>F1060.7 -- .F577 1962eb</t>
  </si>
  <si>
    <t>http://public.eblib.com/choice/PublicFullRecord.aspx?p=4517059</t>
  </si>
  <si>
    <t>Autobiographical Writings : Autobiographical Writings</t>
  </si>
  <si>
    <t>Sigerist, Henry E.; Beeson, Nora Sigerist</t>
  </si>
  <si>
    <t>R154.S477 -- .H467 1966eb</t>
  </si>
  <si>
    <t>http://public.eblib.com/choice/PublicFullRecord.aspx?p=4517060</t>
  </si>
  <si>
    <t>The Victorian Army at Home : The Recruitment and Terms and Conditions of the British Regular, 1859-1899</t>
  </si>
  <si>
    <t>Skelley, Alan Ramsay</t>
  </si>
  <si>
    <t>UA649 -- .S545 1977eb</t>
  </si>
  <si>
    <t>http://public.eblib.com/choice/PublicFullRecord.aspx?p=4517061</t>
  </si>
  <si>
    <t>Pathophysiology of Peptic Ulcer : Proceedings of the Second World</t>
  </si>
  <si>
    <t>Skoryna, Stanley C.; Bochus, Henry L.</t>
  </si>
  <si>
    <t>RC821 -- .P384 1963eb</t>
  </si>
  <si>
    <t>http://public.eblib.com/choice/PublicFullRecord.aspx?p=4517063</t>
  </si>
  <si>
    <t>Lyric and Polemic : The Literary Personality of Roy Campbell</t>
  </si>
  <si>
    <t>PR9369.3.C35 -- .S658 1972eb</t>
  </si>
  <si>
    <t>http://public.eblib.com/choice/PublicFullRecord.aspx?p=4517064</t>
  </si>
  <si>
    <t>History of MacDonald College of McGill University : 1904-1955</t>
  </si>
  <si>
    <t>Snell, John Ferguson</t>
  </si>
  <si>
    <t>LE3.M152 -- .S645 1963eb</t>
  </si>
  <si>
    <t>http://public.eblib.com/choice/PublicFullRecord.aspx?p=4517066</t>
  </si>
  <si>
    <t>Looking for Philosophy</t>
  </si>
  <si>
    <t>Sparshott, F. E.</t>
  </si>
  <si>
    <t>B53 -- .S637 1972eb</t>
  </si>
  <si>
    <t>http://public.eblib.com/choice/PublicFullRecord.aspx?p=4517067</t>
  </si>
  <si>
    <t>Letters from the Grand Tour</t>
  </si>
  <si>
    <t>Spence, Joseph; Klima, Slava</t>
  </si>
  <si>
    <t>PR3699.S4 -- .J674 1975eb</t>
  </si>
  <si>
    <t>http://public.eblib.com/choice/PublicFullRecord.aspx?p=4517069</t>
  </si>
  <si>
    <t>Charting the Russian Northern Sea Route : The Arctic Ocean Hydrographic Expedition 1910-1915</t>
  </si>
  <si>
    <t>Starokadomskiy, L. M.; Barr, William</t>
  </si>
  <si>
    <t>G700 1910 .G52 -- .S737 1976eb</t>
  </si>
  <si>
    <t>http://public.eblib.com/choice/PublicFullRecord.aspx?p=4517071</t>
  </si>
  <si>
    <t>The Canadian House of Commons : Procedure and Reform</t>
  </si>
  <si>
    <t>Stewart, John B.</t>
  </si>
  <si>
    <t>KE4658 -- .S749 1977eb</t>
  </si>
  <si>
    <t>http://public.eblib.com/choice/PublicFullRecord.aspx?p=4517072</t>
  </si>
  <si>
    <t>Tanzanian Doctor</t>
  </si>
  <si>
    <t>Stirling, Leader; Nyerre, Julius</t>
  </si>
  <si>
    <t>R722.32.S74 -- .S757 1977eb</t>
  </si>
  <si>
    <t>http://public.eblib.com/choice/PublicFullRecord.aspx?p=4517073</t>
  </si>
  <si>
    <t>Domination of Eastern Europe : Native Nobilities and Foreign Absolutism 1500-1715</t>
  </si>
  <si>
    <t>Subtelny, Orest</t>
  </si>
  <si>
    <t>DJK47 -- .S93 1986eb</t>
  </si>
  <si>
    <t>http://public.eblib.com/choice/PublicFullRecord.aspx?p=4517075</t>
  </si>
  <si>
    <t>Autumn of Central Paris : The Defeat of Town Planning, 1850-1970</t>
  </si>
  <si>
    <t>Sutcliffe, Anthony</t>
  </si>
  <si>
    <t>HT169.F72 -- .S883 1971eb</t>
  </si>
  <si>
    <t>http://public.eblib.com/choice/PublicFullRecord.aspx?p=4517076</t>
  </si>
  <si>
    <t>Asia Today : Two Outlooks</t>
  </si>
  <si>
    <t>Beatty Memorial Lectures</t>
  </si>
  <si>
    <t>Suyin, Han</t>
  </si>
  <si>
    <t>DS33.3 -- .H27 1969eb</t>
  </si>
  <si>
    <t>http://public.eblib.com/choice/PublicFullRecord.aspx?p=4517077</t>
  </si>
  <si>
    <t>Arctic Bibliography : Volume 14</t>
  </si>
  <si>
    <t>The Arctic Institute of North America</t>
  </si>
  <si>
    <t>Tremaine, Marie</t>
  </si>
  <si>
    <t>G620 -- .A738 1969eb</t>
  </si>
  <si>
    <t>http://public.eblib.com/choice/PublicFullRecord.aspx?p=4517079</t>
  </si>
  <si>
    <t>Arctic Bibliography : Volume 13</t>
  </si>
  <si>
    <t>G620 -- .A738 1967eb</t>
  </si>
  <si>
    <t>http://public.eblib.com/choice/PublicFullRecord.aspx?p=4517217</t>
  </si>
  <si>
    <t>In Caps and Gowns : The Story of the School for Graduate Nurses,  McGill University, 1920-1964</t>
  </si>
  <si>
    <t>Tunis, Barbara Logan</t>
  </si>
  <si>
    <t>RT81.M85 -- .T865 1966eb</t>
  </si>
  <si>
    <t>http://public.eblib.com/choice/PublicFullRecord.aspx?p=4517218</t>
  </si>
  <si>
    <t>The Ship in the Medieval Economy, 600-1600</t>
  </si>
  <si>
    <t>Unger, Richard W.</t>
  </si>
  <si>
    <t>http://public.eblib.com/choice/PublicFullRecord.aspx?p=4517219</t>
  </si>
  <si>
    <t>Stello : A Session with Doctor Noir</t>
  </si>
  <si>
    <t>Vigny, Alfred de; Massey, Irving</t>
  </si>
  <si>
    <t>http://public.eblib.com/choice/PublicFullRecord.aspx?p=4517220</t>
  </si>
  <si>
    <t>A Breviate of British Diplomatic Blue Books, 1919-1939</t>
  </si>
  <si>
    <t>Vogel, Robert</t>
  </si>
  <si>
    <t>http://public.eblib.com/choice/PublicFullRecord.aspx?p=4517221</t>
  </si>
  <si>
    <t>Kierkegaard : The Descent into God</t>
  </si>
  <si>
    <t>Walker, Jeremy</t>
  </si>
  <si>
    <t>http://public.eblib.com/choice/PublicFullRecord.aspx?p=4517222</t>
  </si>
  <si>
    <t>To Will One Thing : Reflections on Kierkegaard's Purity of Heart</t>
  </si>
  <si>
    <t>http://public.eblib.com/choice/PublicFullRecord.aspx?p=4517223</t>
  </si>
  <si>
    <t>Chairman Hua : Leader of the Chinese Communists</t>
  </si>
  <si>
    <t>Wang, Ting</t>
  </si>
  <si>
    <t>HX417 -- .D564 1980eb</t>
  </si>
  <si>
    <t>Chefs d''bEtat</t>
  </si>
  <si>
    <t>http://public.eblib.com/choice/PublicFullRecord.aspx?p=4517224</t>
  </si>
  <si>
    <t>Faulkner's Women : The Myth and the Muse</t>
  </si>
  <si>
    <t>PS3511.A86 -- .W555 1977eb</t>
  </si>
  <si>
    <t>http://public.eblib.com/choice/PublicFullRecord.aspx?p=4517225</t>
  </si>
  <si>
    <t>Social Security and National Policy : Sweden, Yugoslavia, Japan</t>
  </si>
  <si>
    <t>Woodsworth, David E.</t>
  </si>
  <si>
    <t>HD7203 -- .W663 1977eb</t>
  </si>
  <si>
    <t>http://public.eblib.com/choice/PublicFullRecord.aspx?p=4517226</t>
  </si>
  <si>
    <t>The Proceedings of the 1972 Meeting of the IGU Commission on Quantitative Geography</t>
  </si>
  <si>
    <t>Yeates, Maurice</t>
  </si>
  <si>
    <t>GA23 -- .P763 1974eb</t>
  </si>
  <si>
    <t>http://public.eblib.com/choice/PublicFullRecord.aspx?p=4517227</t>
  </si>
  <si>
    <t>What's Wrong with the Law?</t>
  </si>
  <si>
    <t>Zander, Michael</t>
  </si>
  <si>
    <t>KD654 -- .W438 1970eb</t>
  </si>
  <si>
    <t>http://public.eblib.com/choice/PublicFullRecord.aspx?p=4517228</t>
  </si>
  <si>
    <t>The Quest for Rananim : D.H. Lawrence's Letters to S.S. Koteliansky, 1914-1930</t>
  </si>
  <si>
    <t>Zytaruk, George J.</t>
  </si>
  <si>
    <t>PR6023.A93 -- .Q47 1970eb</t>
  </si>
  <si>
    <t>http://public.eblib.com/choice/PublicFullRecord.aspx?p=4517229</t>
  </si>
  <si>
    <t>A Course in Urdu</t>
  </si>
  <si>
    <t>Barker, Muhammad Abd-al-Rahman; Hamdani, Hasan Jahangir</t>
  </si>
  <si>
    <t>PK1975 -- .C687 1967eb</t>
  </si>
  <si>
    <t>http://public.eblib.com/choice/PublicFullRecord.aspx?p=4517230</t>
  </si>
  <si>
    <t>White Men Came to the St. Lawrence : The French and the Land They Found</t>
  </si>
  <si>
    <t>Beatty Memorial Lectures, 3rd Series</t>
  </si>
  <si>
    <t>F1030 -- .B574 1961eb</t>
  </si>
  <si>
    <t>http://public.eblib.com/choice/PublicFullRecord.aspx?p=4517232</t>
  </si>
  <si>
    <t>E.J. Pratt : The Evolutionary Vision</t>
  </si>
  <si>
    <t>PR9199.3.P7 -- .D593 1974eb</t>
  </si>
  <si>
    <t>http://public.eblib.com/choice/PublicFullRecord.aspx?p=4517233</t>
  </si>
  <si>
    <t>English Poetry in Quebec : Proceedings of the Foster Poetry Conference, October 12-14, 1963</t>
  </si>
  <si>
    <t>Glassco, John</t>
  </si>
  <si>
    <t>PR9291.Q4 -- .F678 1965eb</t>
  </si>
  <si>
    <t>http://public.eblib.com/choice/PublicFullRecord.aspx?p=4517234</t>
  </si>
  <si>
    <t>A Catalogue of the Burney Family Correspondence, 1748-1878</t>
  </si>
  <si>
    <t>Hemlow, Joyce; Burgess, Jeanne M.</t>
  </si>
  <si>
    <t>CD1069.5.B87 -- .H465 1971eb</t>
  </si>
  <si>
    <t>http://public.eblib.com/choice/PublicFullRecord.aspx?p=4517235</t>
  </si>
  <si>
    <t>Crisis Escalation War</t>
  </si>
  <si>
    <t>Holsti, Ole R.</t>
  </si>
  <si>
    <t>JX1255 -- .H657 1972eb</t>
  </si>
  <si>
    <t>http://public.eblib.com/choice/PublicFullRecord.aspx?p=4517236</t>
  </si>
  <si>
    <t>French-Canadian Thinkers of the Nineteenth and Twentieth Centuries</t>
  </si>
  <si>
    <t>LaPierre, Laurier L.</t>
  </si>
  <si>
    <t>F1052 -- .F746 1966eb</t>
  </si>
  <si>
    <t>http://public.eblib.com/choice/PublicFullRecord.aspx?p=4517237</t>
  </si>
  <si>
    <t>Introduction to Mamluk Historiography : An Analysis of Arabic Annalistic and Biographical Sources for the Reign of al-Malik an-Nāṣir Muḥammad ibn Qalāʹūn</t>
  </si>
  <si>
    <t>Little, Donald Presgrave</t>
  </si>
  <si>
    <t>DT96 -- .L588 1970eb</t>
  </si>
  <si>
    <t>http://public.eblib.com/choice/PublicFullRecord.aspx?p=4517238</t>
  </si>
  <si>
    <t>McGill : The Story of a University</t>
  </si>
  <si>
    <t>Gilroy, John; MacLennan, Hugh</t>
  </si>
  <si>
    <t>LE3.M22 -- .M345 1960eb</t>
  </si>
  <si>
    <t>http://public.eblib.com/choice/PublicFullRecord.aspx?p=4517239</t>
  </si>
  <si>
    <t>Arctic Bibliography : Volume 15</t>
  </si>
  <si>
    <t>G620 -- .A738 1971eb</t>
  </si>
  <si>
    <t>http://public.eblib.com/choice/PublicFullRecord.aspx?p=4517240</t>
  </si>
  <si>
    <t>Anatomy of the Spy Thriller : 1890-1930</t>
  </si>
  <si>
    <t>Merry, Bruce</t>
  </si>
  <si>
    <t>PR830.S65 -- .M477 1977eb</t>
  </si>
  <si>
    <t>http://public.eblib.com/choice/PublicFullRecord.aspx?p=4517241</t>
  </si>
  <si>
    <t>Essays on the Reconstruction of Medieval History</t>
  </si>
  <si>
    <t>Murdoch, Vaclav; Couse, G. S.</t>
  </si>
  <si>
    <t>D116 -- .E873 1974eb</t>
  </si>
  <si>
    <t>http://public.eblib.com/choice/PublicFullRecord.aspx?p=4517242</t>
  </si>
  <si>
    <t>Montreal and the Fur Trade</t>
  </si>
  <si>
    <t>Rich, E. E.</t>
  </si>
  <si>
    <t>F1060.7 -- .R534 1967eb</t>
  </si>
  <si>
    <t>http://public.eblib.com/choice/PublicFullRecord.aspx?p=4517243</t>
  </si>
  <si>
    <t>Signature</t>
  </si>
  <si>
    <t>Scott, F. R.</t>
  </si>
  <si>
    <t>PR9195.7 -- .S368 1964eb</t>
  </si>
  <si>
    <t>http://public.eblib.com/choice/PublicFullRecord.aspx?p=4517244</t>
  </si>
  <si>
    <t>St. Denys Garneau &amp; Anne Hebert</t>
  </si>
  <si>
    <t>PQ3919.G28 -- .S734 1962eb</t>
  </si>
  <si>
    <t>http://public.eblib.com/choice/PublicFullRecord.aspx?p=4517245</t>
  </si>
  <si>
    <t>Montreal Children's Hospital : Years of Growth</t>
  </si>
  <si>
    <t>Scriver, Jessie Boyd</t>
  </si>
  <si>
    <t>RA964 -- .S375 1979eb</t>
  </si>
  <si>
    <t>http://public.eblib.com/choice/PublicFullRecord.aspx?p=4517247</t>
  </si>
  <si>
    <t>British Regulars in Montreal : An Imperial Garrison, 1832-1854</t>
  </si>
  <si>
    <t>Senior, Elinor Kyte</t>
  </si>
  <si>
    <t>F1054.5.M857 -- .S465 1981eb</t>
  </si>
  <si>
    <t>http://public.eblib.com/choice/PublicFullRecord.aspx?p=4517248</t>
  </si>
  <si>
    <t>Canadian Population Trends and Public Policy Through the 1980s</t>
  </si>
  <si>
    <t>Stone, Leroy O; Marceau, Claude</t>
  </si>
  <si>
    <t>HB3529 -- .C363 1977eb</t>
  </si>
  <si>
    <t>http://public.eblib.com/choice/PublicFullRecord.aspx?p=4517249</t>
  </si>
  <si>
    <t>Percy Erskine Nobbs : Architect, Artist, Craftsman</t>
  </si>
  <si>
    <t>NA740 -- .W344 1982eb</t>
  </si>
  <si>
    <t>http://public.eblib.com/choice/PublicFullRecord.aspx?p=4517250</t>
  </si>
  <si>
    <t>Anatomy of the Brain and Nerves : Volumes 1 &amp; 2</t>
  </si>
  <si>
    <t>Willis, Thomas; Feindel, William</t>
  </si>
  <si>
    <t>QM451 -- .W555 1965eb</t>
  </si>
  <si>
    <t>http://public.eblib.com/choice/PublicFullRecord.aspx?p=4517251</t>
  </si>
  <si>
    <t>The Rousing of the Scottish Working Class</t>
  </si>
  <si>
    <t>Young, James D.</t>
  </si>
  <si>
    <t>HD8399.S3 -- .Y686 1979eb</t>
  </si>
  <si>
    <t>http://public.eblib.com/choice/PublicFullRecord.aspx?p=4517252</t>
  </si>
  <si>
    <t>Working Papers on Canadian Politics : Enlarged Edition</t>
  </si>
  <si>
    <t>JL195 -- .M457 1973eb</t>
  </si>
  <si>
    <t>http://public.eblib.com/choice/PublicFullRecord.aspx?p=4517253</t>
  </si>
  <si>
    <t>Anarchism in France : The Case of Octave Mirbeau</t>
  </si>
  <si>
    <t>Carr, Reg</t>
  </si>
  <si>
    <t>PQ2364.M7 -- .C377 1977eb</t>
  </si>
  <si>
    <t>http://public.eblib.com/choice/PublicFullRecord.aspx?p=4517254</t>
  </si>
  <si>
    <t>The Provincial Towns of Georgian England : A Study of the Building Process, 1740-1820</t>
  </si>
  <si>
    <t>Chalklin, C. W.</t>
  </si>
  <si>
    <t>HT133 -- .C435 1974eb</t>
  </si>
  <si>
    <t>http://public.eblib.com/choice/PublicFullRecord.aspx?p=4517255</t>
  </si>
  <si>
    <t>Law and Politics in Space : Specific and Urgent Problems in the Law of Outer Space</t>
  </si>
  <si>
    <t>Cohen, Maxwell</t>
  </si>
  <si>
    <t>JX5771 -- .L39 1964eb</t>
  </si>
  <si>
    <t>http://public.eblib.com/choice/PublicFullRecord.aspx?p=4517256</t>
  </si>
  <si>
    <t>Montreal : A Brief History</t>
  </si>
  <si>
    <t>Cooper, John Irwin</t>
  </si>
  <si>
    <t>F1054.5.M857 -- .C667 1969eb</t>
  </si>
  <si>
    <t>http://public.eblib.com/choice/PublicFullRecord.aspx?p=4517257</t>
  </si>
  <si>
    <t>The Development of Secularism in Turkey</t>
  </si>
  <si>
    <t>Berkes, Niyazi</t>
  </si>
  <si>
    <t>DR557 -- .B475 1964eb</t>
  </si>
  <si>
    <t>http://public.eblib.com/choice/PublicFullRecord.aspx?p=4517258</t>
  </si>
  <si>
    <t>University Housing in Canada</t>
  </si>
  <si>
    <t>Bland, John; Schoenauer, Norbert</t>
  </si>
  <si>
    <t>NA6605.C2 -- .B536 1966eb</t>
  </si>
  <si>
    <t>http://public.eblib.com/choice/PublicFullRecord.aspx?p=4517259</t>
  </si>
  <si>
    <t>Rideau Hall : An Illustrated History of the Government House, Ottawa, from Victorian Times to the Present Day</t>
  </si>
  <si>
    <t>Hubbard, R. H.; Leger, Jules; Vanier, Georges P.</t>
  </si>
  <si>
    <t>F1059.5.O9 -- .H833 1977eb</t>
  </si>
  <si>
    <t>http://public.eblib.com/choice/PublicFullRecord.aspx?p=4517260</t>
  </si>
  <si>
    <t>Rideau-Hall : Histoire illustree de la Residence du Gouverneur general a Ottawa depuis l'epoque victorienne jusqu'a nos jours</t>
  </si>
  <si>
    <t>Hubbard, R. H.; Leger, Jules; Vanier, Georges P.; Robichaud, Raymond</t>
  </si>
  <si>
    <t>F1059.5.O9 -- .H833 1979eb</t>
  </si>
  <si>
    <t>http://public.eblib.com/choice/PublicFullRecord.aspx?p=4517261</t>
  </si>
  <si>
    <t>McGill University Thesis Directory : Volume I: 1881-1959</t>
  </si>
  <si>
    <t>Spitzer, Frank; Sylvester, Elizabeth</t>
  </si>
  <si>
    <t>AS42.M3 -- .M345 1976eb</t>
  </si>
  <si>
    <t>http://public.eblib.com/choice/PublicFullRecord.aspx?p=4517263</t>
  </si>
  <si>
    <t>McGill University Thesis Directory : Volume II: 1960-1973</t>
  </si>
  <si>
    <t>LB2391.C2 -- .M345 1978eb</t>
  </si>
  <si>
    <t>http://public.eblib.com/choice/PublicFullRecord.aspx?p=4517264</t>
  </si>
  <si>
    <t>A History of the McGill Dental School</t>
  </si>
  <si>
    <t>Rogers, Mervyn A.</t>
  </si>
  <si>
    <t>RK98.M34 -- .R644 1980eb</t>
  </si>
  <si>
    <t>http://public.eblib.com/choice/PublicFullRecord.aspx?p=4517265</t>
  </si>
  <si>
    <t>Tales and Traditions of the Eskimo</t>
  </si>
  <si>
    <t>Rink, Henrik; Larsen, Helge</t>
  </si>
  <si>
    <t>E99.E7 -- .R565 1974eb</t>
  </si>
  <si>
    <t>http://public.eblib.com/choice/PublicFullRecord.aspx?p=4517266</t>
  </si>
  <si>
    <t>Laurier : A Study in Canadian Politics</t>
  </si>
  <si>
    <t>Dafoe, J. W.; Donnelly, Murray S.</t>
  </si>
  <si>
    <t>F1033 -- .L3595 1978eb</t>
  </si>
  <si>
    <t>http://public.eblib.com/choice/PublicFullRecord.aspx?p=4517267</t>
  </si>
  <si>
    <t>The Rowell-Sirois Report : An abridgement of Book I of the Royal Commission Report on Dominion-Provincial Relations</t>
  </si>
  <si>
    <t>Smiley, Donald V.</t>
  </si>
  <si>
    <t>JL27 -- .R694 1967eb</t>
  </si>
  <si>
    <t>http://public.eblib.com/choice/PublicFullRecord.aspx?p=4517268</t>
  </si>
  <si>
    <t>The Unreformed Senate of Canada</t>
  </si>
  <si>
    <t>MacKay, Robert A.</t>
  </si>
  <si>
    <t>JL155 -- .M335 1963eb</t>
  </si>
  <si>
    <t>http://public.eblib.com/choice/PublicFullRecord.aspx?p=4517269</t>
  </si>
  <si>
    <t>The French-Canadian Outlook : A Brief Account of the Unknown North Americans</t>
  </si>
  <si>
    <t>Wade, Mason</t>
  </si>
  <si>
    <t>F1027 -- .W334 1946eb</t>
  </si>
  <si>
    <t>http://public.eblib.com/choice/PublicFullRecord.aspx?p=4517270</t>
  </si>
  <si>
    <t>The Canadian Commercial Revolution, 1845-1851</t>
  </si>
  <si>
    <t>Tucker, Gilbert Norman; Aitken, Hugh G. J.</t>
  </si>
  <si>
    <t>HF3226.5 -- .T835 1964eb</t>
  </si>
  <si>
    <t>http://public.eblib.com/choice/PublicFullRecord.aspx?p=4517272</t>
  </si>
  <si>
    <t>Life and Letters of Sir Wilfrid Laurier : Volume 2 1896-1919</t>
  </si>
  <si>
    <t>Skelton, Oscar Douglas; Farr, David M. L.</t>
  </si>
  <si>
    <t>F1033 -- .L544 1971eb</t>
  </si>
  <si>
    <t>http://public.eblib.com/choice/PublicFullRecord.aspx?p=4517273</t>
  </si>
  <si>
    <t>Frontenac, the Courtier Governor</t>
  </si>
  <si>
    <t>Eccles, W. J.</t>
  </si>
  <si>
    <t>F1030 -- .E235 1959eb</t>
  </si>
  <si>
    <t>http://public.eblib.com/choice/PublicFullRecord.aspx?p=4517274</t>
  </si>
  <si>
    <t>A History of Canadian External Relations : Volume 2</t>
  </si>
  <si>
    <t>Glazebrook, G. P. de T.</t>
  </si>
  <si>
    <t>F1034 -- .G539 1966eb</t>
  </si>
  <si>
    <t>http://public.eblib.com/choice/PublicFullRecord.aspx?p=4517275</t>
  </si>
  <si>
    <t>North Atlantic Triangle : The Interplay of Canada, the United States, and Great Britain</t>
  </si>
  <si>
    <t>Brebner, John Bartlet; Creighton, Donald G.</t>
  </si>
  <si>
    <t>E183.8.C2 -- .B743 1966eb</t>
  </si>
  <si>
    <t>http://public.eblib.com/choice/PublicFullRecord.aspx?p=4517276</t>
  </si>
  <si>
    <t>Church and State in Canada, 1627-1867 : Basic documents</t>
  </si>
  <si>
    <t>Moir, John S.</t>
  </si>
  <si>
    <t>BR570 -- .C487 1967eb</t>
  </si>
  <si>
    <t>http://public.eblib.com/choice/PublicFullRecord.aspx?p=4517277</t>
  </si>
  <si>
    <t>A History of Journalism in Canada</t>
  </si>
  <si>
    <t>Kesterton, W. H.; Eggleston, Wilfrid</t>
  </si>
  <si>
    <t>PN4904 -- .K478  1967eb</t>
  </si>
  <si>
    <t>http://public.eblib.com/choice/PublicFullRecord.aspx?p=4517278</t>
  </si>
  <si>
    <t>Sir Francis Bond Head : A Narrative</t>
  </si>
  <si>
    <t>Mackenzie, William Lyon; Wise, S. F.</t>
  </si>
  <si>
    <t>F1032 -- .S574 1969eb</t>
  </si>
  <si>
    <t>http://public.eblib.com/choice/PublicFullRecord.aspx?p=4517279</t>
  </si>
  <si>
    <t>John Strachan : Documents and Opinions</t>
  </si>
  <si>
    <t>Henderson, J. L. H.</t>
  </si>
  <si>
    <t>BX5620.S75 -- .J646 1969eb</t>
  </si>
  <si>
    <t>http://public.eblib.com/choice/PublicFullRecord.aspx?p=4517280</t>
  </si>
  <si>
    <t>The Better Part of Valour : Essays on Canadian Diplomacy</t>
  </si>
  <si>
    <t>Holmes, John W.</t>
  </si>
  <si>
    <t>F1034.2 -- .H656 1970eb</t>
  </si>
  <si>
    <t>http://public.eblib.com/choice/PublicFullRecord.aspx?p=4517281</t>
  </si>
  <si>
    <t>Monck, Letters and Journals, 1863-1868 : Canada From Government House at Confederation</t>
  </si>
  <si>
    <t>Morton, W. L.</t>
  </si>
  <si>
    <t>F1021 -- .M663 1970eb</t>
  </si>
  <si>
    <t>http://public.eblib.com/choice/PublicFullRecord.aspx?p=4517282</t>
  </si>
  <si>
    <t>Historical Essays on the Prairie Provinces</t>
  </si>
  <si>
    <t>Swainson, Donald</t>
  </si>
  <si>
    <t>F1060.37 -- .S935 1970eb</t>
  </si>
  <si>
    <t>http://public.eblib.com/choice/PublicFullRecord.aspx?p=4517283</t>
  </si>
  <si>
    <t>The Development of Canada's Staples, 1867-1939 : A Documentary Collection</t>
  </si>
  <si>
    <t>Burley, Kevin H.</t>
  </si>
  <si>
    <t>HC115 -- .D484 1970eb</t>
  </si>
  <si>
    <t>http://public.eblib.com/choice/PublicFullRecord.aspx?p=4517284</t>
  </si>
  <si>
    <t>Urban Development in South-Central Ontario</t>
  </si>
  <si>
    <t>Spelt, Jacob</t>
  </si>
  <si>
    <t>HT127 -- .S645 1972eb</t>
  </si>
  <si>
    <t>http://public.eblib.com/choice/PublicFullRecord.aspx?p=4517285</t>
  </si>
  <si>
    <t>Culture and Nationality</t>
  </si>
  <si>
    <t>Bailey, Alfred Goldsworthy</t>
  </si>
  <si>
    <t>F1026 -- .B355 1972eb</t>
  </si>
  <si>
    <t>http://public.eblib.com/choice/PublicFullRecord.aspx?p=4517286</t>
  </si>
  <si>
    <t>Perspectives on the North American Indians</t>
  </si>
  <si>
    <t>Nagler, Mark</t>
  </si>
  <si>
    <t>E98.S67 -- .N345 1972eb</t>
  </si>
  <si>
    <t>http://public.eblib.com/choice/PublicFullRecord.aspx?p=4517287</t>
  </si>
  <si>
    <t>Languages in Conflict : The Canadian Experience</t>
  </si>
  <si>
    <t>Joy, Richard J.; Vallee, Frank G.</t>
  </si>
  <si>
    <t>JL25 -- .J69 1972eb</t>
  </si>
  <si>
    <t>http://public.eblib.com/choice/PublicFullRecord.aspx?p=4517288</t>
  </si>
  <si>
    <t>Laurier and a Liberal Quebec : The Union of 1841 to Confederation</t>
  </si>
  <si>
    <t>Neatby, H. Blair; Clippingdale, Richard T.</t>
  </si>
  <si>
    <t>F1033 -- .L387 1973eb</t>
  </si>
  <si>
    <t>http://public.eblib.com/choice/PublicFullRecord.aspx?p=4517289</t>
  </si>
  <si>
    <t>Renegade in Power : The Diefenbaker Years</t>
  </si>
  <si>
    <t>Newman, Peter C.; Smith, Denis</t>
  </si>
  <si>
    <t>F1034.D5 -- .N496 1973eb</t>
  </si>
  <si>
    <t>http://public.eblib.com/choice/PublicFullRecord.aspx?p=4517290</t>
  </si>
  <si>
    <t>Philippe de Rigaud de Vaudreuil : Governor of New France, 1703-1725</t>
  </si>
  <si>
    <t>Zoltvan, Yves F.; Eccles, W. J.</t>
  </si>
  <si>
    <t>F1030.V37 -- .Z658 1974eb</t>
  </si>
  <si>
    <t>http://public.eblib.com/choice/PublicFullRecord.aspx?p=4517291</t>
  </si>
  <si>
    <t>The Frog Lake "Massacre" : Personal Perspectives on Ethnic Conflict</t>
  </si>
  <si>
    <t>Hughes, Stuart</t>
  </si>
  <si>
    <t>F1060.9 -- .F764 1976eb</t>
  </si>
  <si>
    <t>http://public.eblib.com/choice/PublicFullRecord.aspx?p=4517292</t>
  </si>
  <si>
    <t>Canada : A Middle-Aged Power</t>
  </si>
  <si>
    <t>JX1515 -- .H656 1978eb</t>
  </si>
  <si>
    <t>http://public.eblib.com/choice/PublicFullRecord.aspx?p=4517293</t>
  </si>
  <si>
    <t>Keynesian Economics</t>
  </si>
  <si>
    <t>Timlin, Mabel F.; Safarian, A. E.</t>
  </si>
  <si>
    <t>HB99.7.K38 -- .T565 1977eb</t>
  </si>
  <si>
    <t>http://public.eblib.com/choice/PublicFullRecord.aspx?p=4517294</t>
  </si>
  <si>
    <t>Contexts of Canada's Past : Selected Essays of W.L. Morton</t>
  </si>
  <si>
    <t>Morton, W. L.; McKillop, A. B.</t>
  </si>
  <si>
    <t>F1026.6 -- .M678 1980eb</t>
  </si>
  <si>
    <t>http://public.eblib.com/choice/PublicFullRecord.aspx?p=4517295</t>
  </si>
  <si>
    <t>Recreational Land Use : Perspectives on Its Evolution in Canada</t>
  </si>
  <si>
    <t>Wall, Geoffrey; Marsh, John S.</t>
  </si>
  <si>
    <t>Economics; Environmental Studies; Sport &amp; Recreation</t>
  </si>
  <si>
    <t>GV182 -- .R437 1982eb</t>
  </si>
  <si>
    <t>http://public.eblib.com/choice/PublicFullRecord.aspx?p=4517296</t>
  </si>
  <si>
    <t>Distance and Duties : Determinants of Manufacturing in Australia and Canada</t>
  </si>
  <si>
    <t>Conlon, R. M.</t>
  </si>
  <si>
    <t>HD9734.C25</t>
  </si>
  <si>
    <t>http://public.eblib.com/choice/PublicFullRecord.aspx?p=4517297</t>
  </si>
  <si>
    <t>Shattered Images : Dialogues and Meditations on Tsimshian Narratives</t>
  </si>
  <si>
    <t>E99.T8 -- .C684 1987eb</t>
  </si>
  <si>
    <t>http://public.eblib.com/choice/PublicFullRecord.aspx?p=4517298</t>
  </si>
  <si>
    <t>Canadian Perspectives on Law and Society : Issues in Legal History</t>
  </si>
  <si>
    <t>Pue, W. Wesley; Wright, Barry</t>
  </si>
  <si>
    <t>K370 -- .P84 1988eb</t>
  </si>
  <si>
    <t>http://public.eblib.com/choice/PublicFullRecord.aspx?p=4517299</t>
  </si>
  <si>
    <t>Canada Among Nations, 1992-93 : A New World Order?</t>
  </si>
  <si>
    <t>F1034.2 -- .C363 1992eb</t>
  </si>
  <si>
    <t>http://public.eblib.com/choice/PublicFullRecord.aspx?p=4517300</t>
  </si>
  <si>
    <t>Continental Community? : Independence and Integration in North America</t>
  </si>
  <si>
    <t>Axline, Andrew</t>
  </si>
  <si>
    <t>HF1480.15.U5 -- .C668 1974eb</t>
  </si>
  <si>
    <t>http://public.eblib.com/choice/PublicFullRecord.aspx?p=4517301</t>
  </si>
  <si>
    <t>The Flight of Wild Oats : An Aerial Adventure</t>
  </si>
  <si>
    <t>Goodwin, Fred R.; Wise, S. F.</t>
  </si>
  <si>
    <t>TL561 -- .G663 1997eb</t>
  </si>
  <si>
    <t>http://public.eblib.com/choice/PublicFullRecord.aspx?p=4517302</t>
  </si>
  <si>
    <t>J.E.H. MacDonald, Designer</t>
  </si>
  <si>
    <t>Archives of Canadian Art</t>
  </si>
  <si>
    <t>Stacey, Robert; Bishop, Hunter</t>
  </si>
  <si>
    <t>ND249.M25 -- .S733 1996eb</t>
  </si>
  <si>
    <t>http://public.eblib.com/choice/PublicFullRecord.aspx?p=4517303</t>
  </si>
  <si>
    <t>Our Geographic Mosaic : Research Essays in Honour of G.C. Merrill</t>
  </si>
  <si>
    <t>F1011.3 -- .O97 1985eb</t>
  </si>
  <si>
    <t>http://public.eblib.com/choice/PublicFullRecord.aspx?p=4517304</t>
  </si>
  <si>
    <t>Queen Charlotte Sound, New Zealand : The Traditional European Records, 1820</t>
  </si>
  <si>
    <t>DU423.A1 -- .Q44 1987eb</t>
  </si>
  <si>
    <t>http://public.eblib.com/choice/PublicFullRecord.aspx?p=4517305</t>
  </si>
  <si>
    <t>Taking Sex into Account : The Policy Consequences of Sexist Research</t>
  </si>
  <si>
    <t>Vickers, Jill McCalla</t>
  </si>
  <si>
    <t>H62 -- .T355 1984eb</t>
  </si>
  <si>
    <t>http://public.eblib.com/choice/PublicFullRecord.aspx?p=4517306</t>
  </si>
  <si>
    <t>William Thomas, Architect: 1799-1860</t>
  </si>
  <si>
    <t>McArthur, Glenn; Szamosi, Annie</t>
  </si>
  <si>
    <t>NA749.T52 -- .M337 1996eb</t>
  </si>
  <si>
    <t>http://public.eblib.com/choice/PublicFullRecord.aspx?p=4517307</t>
  </si>
  <si>
    <t>Ancient Greek : A Structural Programme, Volume 1</t>
  </si>
  <si>
    <t>PA258 -- .E455 1973eb</t>
  </si>
  <si>
    <t>http://public.eblib.com/choice/PublicFullRecord.aspx?p=4517308</t>
  </si>
  <si>
    <t>Espresso</t>
  </si>
  <si>
    <t>PR9199.4.F735E87</t>
  </si>
  <si>
    <t>http://public.eblib.com/choice/PublicFullRecord.aspx?p=4525943</t>
  </si>
  <si>
    <t>Measure of Canadian Society, The : Education, Equality and Opportunity</t>
  </si>
  <si>
    <t>CLS</t>
  </si>
  <si>
    <t>http://public.eblib.com/choice/PublicFullRecord.aspx?p=4530432</t>
  </si>
  <si>
    <t>Sir Robert Borden : Canada</t>
  </si>
  <si>
    <t>Haus Publishing</t>
  </si>
  <si>
    <t>Makers of the Modern World</t>
  </si>
  <si>
    <t>Thornton, Martin; Sharp, Alan</t>
  </si>
  <si>
    <t>F1034</t>
  </si>
  <si>
    <t>http://public.eblib.com/choice/PublicFullRecord.aspx?p=4538848</t>
  </si>
  <si>
    <t>Last Words : Stories</t>
  </si>
  <si>
    <t>Graham, Hugh</t>
  </si>
  <si>
    <t>PR9199.4</t>
  </si>
  <si>
    <t>Canadian fiction - 21st century</t>
  </si>
  <si>
    <t>http://public.eblib.com/choice/PublicFullRecord.aspx?p=4543012</t>
  </si>
  <si>
    <t>Betting Game</t>
  </si>
  <si>
    <t>O'Connor, Heather M.</t>
  </si>
  <si>
    <t>http://public.eblib.com/choice/PublicFullRecord.aspx?p=4546438</t>
  </si>
  <si>
    <t>Sleight of Hand</t>
  </si>
  <si>
    <t>http://public.eblib.com/choice/PublicFullRecord.aspx?p=4546440</t>
  </si>
  <si>
    <t>In Search of the Ethical Lawyer : Stories from the Canadian Legal Profession</t>
  </si>
  <si>
    <t>Dodek, Adam; Woolley, Alice</t>
  </si>
  <si>
    <t>KE339 -- .I5 2016eb</t>
  </si>
  <si>
    <t>http://public.eblib.com/choice/PublicFullRecord.aspx?p=4547253</t>
  </si>
  <si>
    <t>Made in Nunavut : An Experiment in Decentralized Government</t>
  </si>
  <si>
    <t>Hicks, Jack; White, Graham</t>
  </si>
  <si>
    <t>JS1721 N85 -- .H535 2015eb</t>
  </si>
  <si>
    <t>http://public.eblib.com/choice/PublicFullRecord.aspx?p=4547254</t>
  </si>
  <si>
    <t>The Fat Woman Next Door Is Pregnant</t>
  </si>
  <si>
    <t>http://public.eblib.com/choice/PublicFullRecord.aspx?p=4548292</t>
  </si>
  <si>
    <t>A Line in the Sand</t>
  </si>
  <si>
    <t>Verdecchia, Guillermo; Youssef, Marcus</t>
  </si>
  <si>
    <t>PR9199.3.V45L5 1997</t>
  </si>
  <si>
    <t>Canadians - Qatar - Drama</t>
  </si>
  <si>
    <t>http://public.eblib.com/choice/PublicFullRecord.aspx?p=4548324</t>
  </si>
  <si>
    <t>For the Pleasure of Seeing Her Again</t>
  </si>
  <si>
    <t>Tremblay, Michel; Gaboriau, Linda</t>
  </si>
  <si>
    <t>PQ3919.2.T73E5313</t>
  </si>
  <si>
    <t>http://public.eblib.com/choice/PublicFullRecord.aspx?p=4548432</t>
  </si>
  <si>
    <t>The Commons</t>
  </si>
  <si>
    <t>http://public.eblib.com/choice/PublicFullRecord.aspx?p=4548512</t>
  </si>
  <si>
    <t>The Gaelic Vision in Scottish Culture</t>
  </si>
  <si>
    <t>Chapman, Malcolm</t>
  </si>
  <si>
    <t>http://public.eblib.com/choice/PublicFullRecord.aspx?p=4560240</t>
  </si>
  <si>
    <t>The Court-Garden House</t>
  </si>
  <si>
    <t>Schoenauer, Norbert; Seeman, Stanley</t>
  </si>
  <si>
    <t>http://public.eblib.com/choice/PublicFullRecord.aspx?p=4560241</t>
  </si>
  <si>
    <t>Yearbook of Air and Space Law - 1967 - Annuaire de droit aerien et spatial</t>
  </si>
  <si>
    <t>Mankiewicz, Rene H.</t>
  </si>
  <si>
    <t>http://public.eblib.com/choice/PublicFullRecord.aspx?p=4560243</t>
  </si>
  <si>
    <t>The Reciprocity Treaty of 1854 : Its History, Its Relation to British Colonial and Foreign Policy and to the Development of Canadian Fiscal Autonomy</t>
  </si>
  <si>
    <t>Masters, Donald C.</t>
  </si>
  <si>
    <t>http://public.eblib.com/choice/PublicFullRecord.aspx?p=4560244</t>
  </si>
  <si>
    <t>French Canadian Society : Volume 1</t>
  </si>
  <si>
    <t>Rioux, Marcel; Martin, Yves</t>
  </si>
  <si>
    <t>http://public.eblib.com/choice/PublicFullRecord.aspx?p=4560245</t>
  </si>
  <si>
    <t>Go Figure</t>
  </si>
  <si>
    <t>Ducharme, Réjean; Browning, Will</t>
  </si>
  <si>
    <t>PQ3919.2.D78V313</t>
  </si>
  <si>
    <t>http://public.eblib.com/choice/PublicFullRecord.aspx?p=4560259</t>
  </si>
  <si>
    <t>Ardour</t>
  </si>
  <si>
    <t>Brossard, Nicole; Carr, Angela</t>
  </si>
  <si>
    <t>PQ3919.2.B75A7613 2015</t>
  </si>
  <si>
    <t>841/.54</t>
  </si>
  <si>
    <t>French-Canadian poetry--20th century.</t>
  </si>
  <si>
    <t>http://public.eblib.com/choice/PublicFullRecord.aspx?p=4571576</t>
  </si>
  <si>
    <t>Looking For Non-publics</t>
  </si>
  <si>
    <t>Presses de l'Universite du Quebec</t>
  </si>
  <si>
    <t>Jacobi, Daniel; Katz, Elihu; Lucherhoff, Jason</t>
  </si>
  <si>
    <t>HM621 -- .L665 2012eb</t>
  </si>
  <si>
    <t>http://public.eblib.com/choice/PublicFullRecord.aspx?p=4572944</t>
  </si>
  <si>
    <t>Cerulean Blue</t>
  </si>
  <si>
    <t>PR9199.3.T35</t>
  </si>
  <si>
    <t>http://public.eblib.com/choice/PublicFullRecord.aspx?p=4587252</t>
  </si>
  <si>
    <t>The Divine : A Play for Sarah Bernhardt</t>
  </si>
  <si>
    <t>Bouchard, Michel Marc; Gaboriau, Linda</t>
  </si>
  <si>
    <t>PQ3919.2.B5855</t>
  </si>
  <si>
    <t>http://public.eblib.com/choice/PublicFullRecord.aspx?p=4587427</t>
  </si>
  <si>
    <t>Spectacle of Empire : Marc Lescarbot's Theatre of Neptune in New France</t>
  </si>
  <si>
    <t>Wasserman, Jerry; Wasserman, Jerry</t>
  </si>
  <si>
    <t>F1030.L62S643 2015</t>
  </si>
  <si>
    <t>http://public.eblib.com/choice/PublicFullRecord.aspx?p=4587456</t>
  </si>
  <si>
    <t>Takeover in Tehran : The Inside Story of the 1979 U.S. Embassy Capture</t>
  </si>
  <si>
    <t>Ebtekar, Massoumeh</t>
  </si>
  <si>
    <t>E183.8.I55E284 2000</t>
  </si>
  <si>
    <t>955.05/42</t>
  </si>
  <si>
    <t>Iran Hostage Crisis, 1979-1981--Personal narratives.</t>
  </si>
  <si>
    <t>http://public.eblib.com/choice/PublicFullRecord.aspx?p=4587883</t>
  </si>
  <si>
    <t>The United States of Wind : A Travelogue</t>
  </si>
  <si>
    <t>Canty, Daniel; Avasilichioaei, Oana</t>
  </si>
  <si>
    <t>E169.Z83</t>
  </si>
  <si>
    <t>http://public.eblib.com/choice/PublicFullRecord.aspx?p=4587981</t>
  </si>
  <si>
    <t>Toward a Healthcare Strategy for Canadians</t>
  </si>
  <si>
    <t>Paquin, Stephane; Carson, A. Scott; Dixon, Jeffrey; Nossal, Kim Richard</t>
  </si>
  <si>
    <t>RA395</t>
  </si>
  <si>
    <t>http://public.eblib.com/choice/PublicFullRecord.aspx?p=4593211</t>
  </si>
  <si>
    <t>A Superior Man</t>
  </si>
  <si>
    <t>Railroad construction workers - British Columbia - History - 19th century</t>
  </si>
  <si>
    <t>http://public.eblib.com/choice/PublicFullRecord.aspx?p=4595744</t>
  </si>
  <si>
    <t>Foucault Against Himself</t>
  </si>
  <si>
    <t>Caillat , François; Bersani, Leo; Didi-Huberman , Georges; Farge, Arlette; de Lagasnerie , Geoffroy</t>
  </si>
  <si>
    <t>B2430.F724</t>
  </si>
  <si>
    <t>http://public.eblib.com/choice/PublicFullRecord.aspx?p=4596327</t>
  </si>
  <si>
    <t>Mouthquake</t>
  </si>
  <si>
    <t>Cox, Daniel  Allen; Schulman, Sarah</t>
  </si>
  <si>
    <t>PR9199.4.C689</t>
  </si>
  <si>
    <t>http://public.eblib.com/choice/PublicFullRecord.aspx?p=4596392</t>
  </si>
  <si>
    <t>Tuco : The Parrot, the Others, and A Scattershot World</t>
  </si>
  <si>
    <t>Brett, Brian</t>
  </si>
  <si>
    <t>SF473.P3.B74 2015</t>
  </si>
  <si>
    <t>Parrots.</t>
  </si>
  <si>
    <t>http://public.eblib.com/choice/PublicFullRecord.aspx?p=4612927</t>
  </si>
  <si>
    <t>Great Soul of Siberia : Passion, Obsession, and One Man's Quest for the World's Most Elusive Tiger</t>
  </si>
  <si>
    <t>Park, Sooyong; Park, Sooyong; Vaillant, John</t>
  </si>
  <si>
    <t>Agriculture; Science; Science: Zoology</t>
  </si>
  <si>
    <t>SB270.T5.P46 2015</t>
  </si>
  <si>
    <t>Coffee--Thailand.</t>
  </si>
  <si>
    <t>http://public.eblib.com/choice/PublicFullRecord.aspx?p=4612928</t>
  </si>
  <si>
    <t>The Riverton Rifle : My Story ÃÂ Straight Shooting on Hockey and on Life</t>
  </si>
  <si>
    <t>Leach, Reggie; Clarke, Bobby; Boyden, Joseph</t>
  </si>
  <si>
    <t>GV848.5.L43.A3 2015</t>
  </si>
  <si>
    <t>Hockey players--Canada--Biography.</t>
  </si>
  <si>
    <t>http://public.eblib.com/choice/PublicFullRecord.aspx?p=4612929</t>
  </si>
  <si>
    <t>Beyond Fair Trade : How One Small Coffee Company Helped Transform a Hillside Village in Thailand</t>
  </si>
  <si>
    <t>Pendergrast, Mark</t>
  </si>
  <si>
    <t>Coffee--Thailand--Chiang Rai (Province)--History.</t>
  </si>
  <si>
    <t>http://public.eblib.com/choice/PublicFullRecord.aspx?p=4612936</t>
  </si>
  <si>
    <t>Respira : (Breathless)</t>
  </si>
  <si>
    <t>PR6052.A465.W584 2005</t>
  </si>
  <si>
    <t>First loves--Fiction.</t>
  </si>
  <si>
    <t>http://public.eblib.com/choice/PublicFullRecord.aspx?p=4613281</t>
  </si>
  <si>
    <t>L'effet manga : (Manga Touch)</t>
  </si>
  <si>
    <t>PS1917.P437 2007</t>
  </si>
  <si>
    <t>Student exchange programs--Fiction.</t>
  </si>
  <si>
    <t>http://public.eblib.com/choice/PublicFullRecord.aspx?p=4613282</t>
  </si>
  <si>
    <t>La tormenta : (Death Wind)</t>
  </si>
  <si>
    <t>PR6057.I532.B455 2002</t>
  </si>
  <si>
    <t>Teenage pregnancy--Fiction.</t>
  </si>
  <si>
    <t>http://public.eblib.com/choice/PublicFullRecord.aspx?p=4613283</t>
  </si>
  <si>
    <t>El blanco : (Bull's Eye)</t>
  </si>
  <si>
    <t>PZ7.A395.H378 2007</t>
  </si>
  <si>
    <t>Identity (Philosophical concept)--Fiction.</t>
  </si>
  <si>
    <t>http://public.eblib.com/choice/PublicFullRecord.aspx?p=4613285</t>
  </si>
  <si>
    <t>El soplón : (Snitch)</t>
  </si>
  <si>
    <t>PZ7.G8523.M335 2005</t>
  </si>
  <si>
    <t>Dogs--Training--Juvenile fiction.</t>
  </si>
  <si>
    <t>http://public.eblib.com/choice/PublicFullRecord.aspx?p=4613309</t>
  </si>
  <si>
    <t>A fond la planche! : (Grind)</t>
  </si>
  <si>
    <t>PZ7.S8147.W358 2004</t>
  </si>
  <si>
    <t>Skateboarding--Juvenile fiction.</t>
  </si>
  <si>
    <t>http://public.eblib.com/choice/PublicFullRecord.aspx?p=4613328</t>
  </si>
  <si>
    <t>Al límite : (Grind)</t>
  </si>
  <si>
    <t>Walters, Eric; Quintana Crelis, Eva</t>
  </si>
  <si>
    <t>http://public.eblib.com/choice/PublicFullRecord.aspx?p=4613360</t>
  </si>
  <si>
    <t>Les Casse-Cous : (Daredevil Club)</t>
  </si>
  <si>
    <t>BF698.35.D48.W584 2006</t>
  </si>
  <si>
    <t>Determination (Personality trait)</t>
  </si>
  <si>
    <t>http://public.eblib.com/choice/PublicFullRecord.aspx?p=4613365</t>
  </si>
  <si>
    <t>A Town Called Asbestos : Environmental Contamination, Health, and Resilience in a Resource Community</t>
  </si>
  <si>
    <t>van Horssen, Jessica</t>
  </si>
  <si>
    <t>TN930.H67 2016eb</t>
  </si>
  <si>
    <t>Asbestos mines and mining--Quâebec (Province)--Asbestos.</t>
  </si>
  <si>
    <t>http://public.eblib.com/choice/PublicFullRecord.aspx?p=4621114</t>
  </si>
  <si>
    <t>Critical Suicidology : Transforming Suicide Research and Prevention for the 21st Century</t>
  </si>
  <si>
    <t>White, Jennifer; Marsh, Ian; Kral, Michael J.; Morris, Jonathan</t>
  </si>
  <si>
    <t>http://public.eblib.com/choice/PublicFullRecord.aspx?p=4621115</t>
  </si>
  <si>
    <t>Lock, Stock, and Icebergs : A History of Canada’s Arctic Maritime Sovereignty</t>
  </si>
  <si>
    <t>Lajeunesse, Adam</t>
  </si>
  <si>
    <t>http://public.eblib.com/choice/PublicFullRecord.aspx?p=4621120</t>
  </si>
  <si>
    <t>Parties and Party Systems : Structure and Context</t>
  </si>
  <si>
    <t>Johnston, Richard; Sharman, Campbell</t>
  </si>
  <si>
    <t>http://public.eblib.com/choice/PublicFullRecord.aspx?p=4621121</t>
  </si>
  <si>
    <t>Protest and Politics : The Promise of Social Movement Societies</t>
  </si>
  <si>
    <t>Ramos, Howard; Rodgers, Kathleen</t>
  </si>
  <si>
    <t>http://public.eblib.com/choice/PublicFullRecord.aspx?p=4621123</t>
  </si>
  <si>
    <t>Patriation and Its Consequences : Constitution Making in Canada</t>
  </si>
  <si>
    <t>KE4199.P387 2015</t>
  </si>
  <si>
    <t>342.7102/9</t>
  </si>
  <si>
    <t>Constitutional history--Canada.</t>
  </si>
  <si>
    <t>http://public.eblib.com/choice/PublicFullRecord.aspx?p=4621124</t>
  </si>
  <si>
    <t>The People and the Bay : A Social and Environmental History of Hamilton Harbour</t>
  </si>
  <si>
    <t>Bouchier, Nancy B.; Cruikshank, Ken</t>
  </si>
  <si>
    <t>GE160.C2.B68 2016eb</t>
  </si>
  <si>
    <t>971.3/52</t>
  </si>
  <si>
    <t>http://public.eblib.com/choice/PublicFullRecord.aspx?p=4621127</t>
  </si>
  <si>
    <t>What We Learned : Two Generations Reflect on Tsimshian Education and the Day Schools</t>
  </si>
  <si>
    <t>Raptis, Helen</t>
  </si>
  <si>
    <t>E96.65.B7.R37 2016eb</t>
  </si>
  <si>
    <t>Tsimshian Indians--Education--British Columbia.</t>
  </si>
  <si>
    <t>http://public.eblib.com/choice/PublicFullRecord.aspx?p=4621133</t>
  </si>
  <si>
    <t>Outil d'évaluation des structures du temps (OUEST) : Pour les personnes présentant un trouble du spectre de l'autisme</t>
  </si>
  <si>
    <t>Presses de l'Université du Québec</t>
  </si>
  <si>
    <t>Mainville, Johanne; Poirier, Nathalie</t>
  </si>
  <si>
    <t>RC553.A88.O985 2015</t>
  </si>
  <si>
    <t>Autistic people--Life skills guides.</t>
  </si>
  <si>
    <t>http://public.eblib.com/choice/PublicFullRecord.aspx?p=4624816</t>
  </si>
  <si>
    <t>La sauvegarde de l'architecture moderne</t>
  </si>
  <si>
    <t>Vanlaethem, France</t>
  </si>
  <si>
    <t>NA687.S288 2014</t>
  </si>
  <si>
    <t>Architecture, Modern--21st century.</t>
  </si>
  <si>
    <t>http://public.eblib.com/choice/PublicFullRecord.aspx?p=4624817</t>
  </si>
  <si>
    <t>Introduction à la gestion des opérations : Viser l'excellence opérationnelle</t>
  </si>
  <si>
    <t>Spooner, Marie-Pierre; Bourenane,Hocine</t>
  </si>
  <si>
    <t>TS155.I587 2014</t>
  </si>
  <si>
    <t>Production management.</t>
  </si>
  <si>
    <t>http://public.eblib.com/choice/PublicFullRecord.aspx?p=4624818</t>
  </si>
  <si>
    <t>L'inclusion en éducation physique : Notions théoriques et applications pédagogiques</t>
  </si>
  <si>
    <t>Dugas, Claude</t>
  </si>
  <si>
    <t>GV445.D843 2014</t>
  </si>
  <si>
    <t>Physical education for children with disabilities.</t>
  </si>
  <si>
    <t>http://public.eblib.com/choice/PublicFullRecord.aspx?p=4624819</t>
  </si>
  <si>
    <t>Responsabilités et violences envers les femmes</t>
  </si>
  <si>
    <t>Problèmes sociaux et interventions sociales</t>
  </si>
  <si>
    <t>Smedslund, Katja</t>
  </si>
  <si>
    <t>HV6626.R45 2014</t>
  </si>
  <si>
    <t>Women--Violence against--Prevention.</t>
  </si>
  <si>
    <t>http://public.eblib.com/choice/PublicFullRecord.aspx?p=4624821</t>
  </si>
  <si>
    <t>Sciences du territoire – Tome 2 : Défis méthodologiques</t>
  </si>
  <si>
    <t>Science régionale</t>
  </si>
  <si>
    <t>Robitaille, Martin</t>
  </si>
  <si>
    <t>HT395.C32.S354 2014</t>
  </si>
  <si>
    <t>Regional planning--Quâebec (Province)</t>
  </si>
  <si>
    <t>http://public.eblib.com/choice/PublicFullRecord.aspx?p=4624822</t>
  </si>
  <si>
    <t>La nordicité du Québec : Entretiens avec Louis-Edmond Hamelin</t>
  </si>
  <si>
    <t>Chartier, Daniel; Hamelin, Louis-Edmond</t>
  </si>
  <si>
    <t>G69.H36.N673 2014</t>
  </si>
  <si>
    <t>Geographers--Quâebec (Province)--Interviews.</t>
  </si>
  <si>
    <t>http://public.eblib.com/choice/PublicFullRecord.aspx?p=4624823</t>
  </si>
  <si>
    <t>Développement et persévérance professionnels dans l'enseignement : Oui, mais comment?</t>
  </si>
  <si>
    <t>Portelance, Lilianne; Mukamurera, Joséphine</t>
  </si>
  <si>
    <t>LB1775.4.C22.D484 2014</t>
  </si>
  <si>
    <t>Teachers--Quâebec (Province)</t>
  </si>
  <si>
    <t>http://public.eblib.com/choice/PublicFullRecord.aspx?p=4624824</t>
  </si>
  <si>
    <t>Préposés aux bénéficiaires et aides-soignantes : Entre domination et autonomie</t>
  </si>
  <si>
    <t>Santé et société</t>
  </si>
  <si>
    <t>Aubry, François</t>
  </si>
  <si>
    <t>R727.3.A937 2014</t>
  </si>
  <si>
    <t>Allied health personnel and patient.</t>
  </si>
  <si>
    <t>http://public.eblib.com/choice/PublicFullRecord.aspx?p=4624825</t>
  </si>
  <si>
    <t>Quand travailler enferme dans la pauvreté et la précarité : Travailleuses et travailleurs pauvres au Québec et dans le monde</t>
  </si>
  <si>
    <t>Yerochewski, Carole</t>
  </si>
  <si>
    <t>HD8109.Q4.Y476 2014</t>
  </si>
  <si>
    <t>Working poor--Quâebec (Province)</t>
  </si>
  <si>
    <t>http://public.eblib.com/choice/PublicFullRecord.aspx?p=4624826</t>
  </si>
  <si>
    <t>Désinstitutionnalisation psychiatrique en Acadie, en Ontario francophone et au Québec, 1930-2013</t>
  </si>
  <si>
    <t>Thifault, Marie-Claude</t>
  </si>
  <si>
    <t>HV3004.T454 2014</t>
  </si>
  <si>
    <t>People with mental disabilities.</t>
  </si>
  <si>
    <t>http://public.eblib.com/choice/PublicFullRecord.aspx?p=4624827</t>
  </si>
  <si>
    <t>Labrador</t>
  </si>
  <si>
    <t>Imagoborealis</t>
  </si>
  <si>
    <t>Mesher, Bob (William Robert)</t>
  </si>
  <si>
    <t>F1136 .M474 2014</t>
  </si>
  <si>
    <t>http://public.eblib.com/choice/PublicFullRecord.aspx?p=4624828</t>
  </si>
  <si>
    <t>Passages de la prose, poésie dévoyée : Loranger «contre Mallarmé»</t>
  </si>
  <si>
    <t>Bonenfant, Luc</t>
  </si>
  <si>
    <t>PN1031.B664 2014</t>
  </si>
  <si>
    <t>Poetry--History and criticism.</t>
  </si>
  <si>
    <t>http://public.eblib.com/choice/PublicFullRecord.aspx?p=4624829</t>
  </si>
  <si>
    <t>L'écriture réflexive : Objet de recherche et de professionnalisation</t>
  </si>
  <si>
    <t>Éducation - Recherche</t>
  </si>
  <si>
    <t>Morisse, Martine</t>
  </si>
  <si>
    <t>P301.5.A27.L437 2014</t>
  </si>
  <si>
    <t>Academic writing.</t>
  </si>
  <si>
    <t>http://public.eblib.com/choice/PublicFullRecord.aspx?p=4624830</t>
  </si>
  <si>
    <t>Transformations des marchés du travail et innovations syndicales au Québec</t>
  </si>
  <si>
    <t>Innovation sociale</t>
  </si>
  <si>
    <t>Noiseux, Yanick</t>
  </si>
  <si>
    <t>HD5729.Q4.N657 2014</t>
  </si>
  <si>
    <t>Labor market--Quâebec (Province)</t>
  </si>
  <si>
    <t>http://public.eblib.com/choice/PublicFullRecord.aspx?p=4624831</t>
  </si>
  <si>
    <t>Les cabinets de relations publiques : Évolution, meilleures pratiques et perspectives d'avenir</t>
  </si>
  <si>
    <t>Communication - Relations publiques</t>
  </si>
  <si>
    <t>Dumas, Michel</t>
  </si>
  <si>
    <t>HD59.D863 2014</t>
  </si>
  <si>
    <t>Public relations firms.</t>
  </si>
  <si>
    <t>http://public.eblib.com/choice/PublicFullRecord.aspx?p=4624832</t>
  </si>
  <si>
    <t>Amin Maalouf: une oeuvre à revisiter</t>
  </si>
  <si>
    <t>Bouvet, Rachel</t>
  </si>
  <si>
    <t>PQ3979.2.M28.A456 2014</t>
  </si>
  <si>
    <t>843.914Z</t>
  </si>
  <si>
    <t>http://public.eblib.com/choice/PublicFullRecord.aspx?p=4624833</t>
  </si>
  <si>
    <t>Nouvelles perspectives en développement régional : Essais en l'honneur de Donald J. Savoie</t>
  </si>
  <si>
    <t>Breau, Sébastien</t>
  </si>
  <si>
    <t>HT391.N688 2014</t>
  </si>
  <si>
    <t>Regional planning.</t>
  </si>
  <si>
    <t>http://public.eblib.com/choice/PublicFullRecord.aspx?p=4624834</t>
  </si>
  <si>
    <t>Histoires d'immigrations au Québec</t>
  </si>
  <si>
    <t>Berthiaume, Guy; Montreuil, Sophie</t>
  </si>
  <si>
    <t>F1055.A1.H578 2014</t>
  </si>
  <si>
    <t>305.8009714 |2 23</t>
  </si>
  <si>
    <t>Ethnic groups--Quâebec (Province)</t>
  </si>
  <si>
    <t>http://public.eblib.com/choice/PublicFullRecord.aspx?p=4624835</t>
  </si>
  <si>
    <t>Des jeunes immigrants d'origine haïtienne dans la course à l'emploi : Au-delà de l'espoir</t>
  </si>
  <si>
    <t>Bernard, Léonel</t>
  </si>
  <si>
    <t>HD6276.C32.B476 2014</t>
  </si>
  <si>
    <t>Haitians--Employment--Quâebec (Province)--Laval.</t>
  </si>
  <si>
    <t>http://public.eblib.com/choice/PublicFullRecord.aspx?p=4624836</t>
  </si>
  <si>
    <t>Le défi de l'innovation sociale partagée : Savoirs croisés</t>
  </si>
  <si>
    <t>Fontan, Jean-Marc; Bussières, Denis</t>
  </si>
  <si>
    <t>H62.5.C22.D445 2014</t>
  </si>
  <si>
    <t>Social change--Research--Quâebec (Province)</t>
  </si>
  <si>
    <t>http://public.eblib.com/choice/PublicFullRecord.aspx?p=4624837</t>
  </si>
  <si>
    <t>Genre et politique dans la presse en France et au Canada</t>
  </si>
  <si>
    <t>Gingras, Anne-Marie</t>
  </si>
  <si>
    <t>P95.8.G467 2014</t>
  </si>
  <si>
    <t>Mass media--Political aspects--France.</t>
  </si>
  <si>
    <t>http://public.eblib.com/choice/PublicFullRecord.aspx?p=4624838</t>
  </si>
  <si>
    <t>La trace et le rhizome - Les mises en scène du patrimoine culturel</t>
  </si>
  <si>
    <t>Patrimoine urbain</t>
  </si>
  <si>
    <t>Greffe, Xavier</t>
  </si>
  <si>
    <t>CC135.G744 2014</t>
  </si>
  <si>
    <t>Cultural property--Protection.</t>
  </si>
  <si>
    <t>http://public.eblib.com/choice/PublicFullRecord.aspx?p=4624839</t>
  </si>
  <si>
    <t>Le mariage en Afrique : Pluralité des formes et des modèles matrimoniaux</t>
  </si>
  <si>
    <t>Sociétés africaines en mutation</t>
  </si>
  <si>
    <t>Marcoux, Richard</t>
  </si>
  <si>
    <t>HQ734.L4 2014</t>
  </si>
  <si>
    <t>Marriage.</t>
  </si>
  <si>
    <t>http://public.eblib.com/choice/PublicFullRecord.aspx?p=4624840</t>
  </si>
  <si>
    <t>Actualiser le patrimoine par l'architecture contemporaine</t>
  </si>
  <si>
    <t>Nouveaux Patrimoines</t>
  </si>
  <si>
    <t>Georgescu Paquin, Alexandra</t>
  </si>
  <si>
    <t>NA105.P378 2014</t>
  </si>
  <si>
    <t>Architecture--Conservation and restoration.</t>
  </si>
  <si>
    <t>http://public.eblib.com/choice/PublicFullRecord.aspx?p=4624841</t>
  </si>
  <si>
    <t>Le lieu du Nord : Vers une cartographie des lieux du Nord</t>
  </si>
  <si>
    <t>Droit au Pôle</t>
  </si>
  <si>
    <t>Bellemare-Page, Stéphanie; Duhan, Alice</t>
  </si>
  <si>
    <t>PN56.3.A65.L548 2015</t>
  </si>
  <si>
    <t>http://public.eblib.com/choice/PublicFullRecord.aspx?p=4624842</t>
  </si>
  <si>
    <t>Repenser le travail : Des concepts nouveaux pour des réalités transformées</t>
  </si>
  <si>
    <t>D'Amours, Martine; Tremblay, Diane-Gabrielle</t>
  </si>
  <si>
    <t>HD58.8.R474 2015</t>
  </si>
  <si>
    <t>Organizational change.</t>
  </si>
  <si>
    <t>http://public.eblib.com/choice/PublicFullRecord.aspx?p=4624843</t>
  </si>
  <si>
    <t>Le devenir des églises : Patrimonialisation ou disparition</t>
  </si>
  <si>
    <t>Sauvé, Jean-Sébastien</t>
  </si>
  <si>
    <t>NA4795.D484 2014</t>
  </si>
  <si>
    <t>Church architecture--Conservation and restoration--Congresses.</t>
  </si>
  <si>
    <t>http://public.eblib.com/choice/PublicFullRecord.aspx?p=4624844</t>
  </si>
  <si>
    <t>Identité et multiplicité en ligne</t>
  </si>
  <si>
    <t>Cahiers du gerse</t>
  </si>
  <si>
    <t>Bonenfant, Maude</t>
  </si>
  <si>
    <t>http://public.eblib.com/choice/PublicFullRecord.aspx?p=4624845</t>
  </si>
  <si>
    <t>Jeunesse en tête : Au-delà du risque de maltraitance, les besoins de développement des enfants</t>
  </si>
  <si>
    <t>Poirier, Marie-Andrée; Clément, Marie-Ève</t>
  </si>
  <si>
    <t>HV707.J486 2015</t>
  </si>
  <si>
    <t>Child welfare--Congresses.</t>
  </si>
  <si>
    <t>http://public.eblib.com/choice/PublicFullRecord.aspx?p=4624846</t>
  </si>
  <si>
    <t>L'installation interactive : Un laboratoire d’expériences perceptuelles pour le participant-chercheur</t>
  </si>
  <si>
    <t>Esthétique</t>
  </si>
  <si>
    <t>Boisclair, Louise</t>
  </si>
  <si>
    <t>N7433.915.B657 2015</t>
  </si>
  <si>
    <t>Interactive art.</t>
  </si>
  <si>
    <t>http://public.eblib.com/choice/PublicFullRecord.aspx?p=4624847</t>
  </si>
  <si>
    <t>S'en sortir quand on vit dans la rue : Trajectoires de jeunes en quête de reconnaissance</t>
  </si>
  <si>
    <t>Colombo, Annamaria</t>
  </si>
  <si>
    <t>HV1441.C32.C656 2015</t>
  </si>
  <si>
    <t>Street youth--Quâebec (Province)--Montrâeal.</t>
  </si>
  <si>
    <t>http://public.eblib.com/choice/PublicFullRecord.aspx?p=4624848</t>
  </si>
  <si>
    <t>50 ans de la Place des Arts</t>
  </si>
  <si>
    <t>Poissant, Louise</t>
  </si>
  <si>
    <t>NX820.C32.A57 2015</t>
  </si>
  <si>
    <t>Art centers--Quâebec (Province)--Montrâeal--History.</t>
  </si>
  <si>
    <t>http://public.eblib.com/choice/PublicFullRecord.aspx?p=4624849</t>
  </si>
  <si>
    <t>Les pères et la prise du congé parental ou de paternité : Une nouvelle réalité</t>
  </si>
  <si>
    <t>Tremblay, Diane-Gabrielle</t>
  </si>
  <si>
    <t>HD6065.5.C3.T746 2015</t>
  </si>
  <si>
    <t>Parental leave--Quâebec (Province)</t>
  </si>
  <si>
    <t>http://public.eblib.com/choice/PublicFullRecord.aspx?p=4624850</t>
  </si>
  <si>
    <t>Le printemps québécois : Le mouvement étudiant de 2012</t>
  </si>
  <si>
    <t>Tremblay, Pierre-André; Tremblay, Sabrina</t>
  </si>
  <si>
    <t>LA418.Q3.P756 2015</t>
  </si>
  <si>
    <t>Student strikes--Quâebec (Province)--Congresses.</t>
  </si>
  <si>
    <t>http://public.eblib.com/choice/PublicFullRecord.aspx?p=4624851</t>
  </si>
  <si>
    <t>Maternité précoce, violence et résilience : Des jeunes mères témoignent</t>
  </si>
  <si>
    <t>Lévesque, Sylvie</t>
  </si>
  <si>
    <t>HQ759.4.L484 2015</t>
  </si>
  <si>
    <t>Teenage mothers.</t>
  </si>
  <si>
    <t>http://public.eblib.com/choice/PublicFullRecord.aspx?p=4624852</t>
  </si>
  <si>
    <t>Relations éducatives et apprentissage : Regards diversifiés de professionnels en éducation et futurs chercheurs</t>
  </si>
  <si>
    <t>Ouellet, Sylvie</t>
  </si>
  <si>
    <t>LB1033.R453 2015</t>
  </si>
  <si>
    <t>Teacher-student relationships.</t>
  </si>
  <si>
    <t>http://public.eblib.com/choice/PublicFullRecord.aspx?p=4624853</t>
  </si>
  <si>
    <t>Le développement de l'agir éthique chez les professionnels en éducation : Formations initiale et continue</t>
  </si>
  <si>
    <t>St-Vincent, Lise-Anne</t>
  </si>
  <si>
    <t>Philosophy; Education</t>
  </si>
  <si>
    <t>LB1779.D484 2015</t>
  </si>
  <si>
    <t>Teachers--Professional ethics.</t>
  </si>
  <si>
    <t>http://public.eblib.com/choice/PublicFullRecord.aspx?p=4624854</t>
  </si>
  <si>
    <t>Écritures de la réclusion</t>
  </si>
  <si>
    <t>Bazié, Isaac</t>
  </si>
  <si>
    <t>PN56.C36.E275 2015</t>
  </si>
  <si>
    <t>Captivity in literature.</t>
  </si>
  <si>
    <t>http://public.eblib.com/choice/PublicFullRecord.aspx?p=4624855</t>
  </si>
  <si>
    <t>Architecture iconique : Les leçons de Toronto</t>
  </si>
  <si>
    <t>Les Presses de l'Université du Québec</t>
  </si>
  <si>
    <t>Architecture; Fine Arts</t>
  </si>
  <si>
    <t>NA9130.T6.2015</t>
  </si>
  <si>
    <t>City planning--Ontario--Toronto.</t>
  </si>
  <si>
    <t>http://public.eblib.com/choice/PublicFullRecord.aspx?p=4624856</t>
  </si>
  <si>
    <t>Analyse et pilotage des politiques publiques : France, Suisse, Canada</t>
  </si>
  <si>
    <t>Knoepfel, Peter; Varone, Frédéric</t>
  </si>
  <si>
    <t>JF1352.A535 2015</t>
  </si>
  <si>
    <t>Public administration.</t>
  </si>
  <si>
    <t>http://public.eblib.com/choice/PublicFullRecord.aspx?p=4624857</t>
  </si>
  <si>
    <t>Les Juifs de Québec : Quatre cents ans d'histoire</t>
  </si>
  <si>
    <t>Anctil, Pierre; Jacobs, simon</t>
  </si>
  <si>
    <t>F1035.J5.J854 2015</t>
  </si>
  <si>
    <t>Jews--Quâebec (Province)--Quâebec--History.</t>
  </si>
  <si>
    <t>http://public.eblib.com/choice/PublicFullRecord.aspx?p=4624858</t>
  </si>
  <si>
    <t>La géographie en action : Une collaboration entre la science et le politique</t>
  </si>
  <si>
    <t>Géographie contemporaine</t>
  </si>
  <si>
    <t>Mukakayumba, Édith</t>
  </si>
  <si>
    <t>G70.L3 2015</t>
  </si>
  <si>
    <t>Geography.</t>
  </si>
  <si>
    <t>http://public.eblib.com/choice/PublicFullRecord.aspx?p=4624859</t>
  </si>
  <si>
    <t>La protection de l'enfance : La parole des enfants et des parents</t>
  </si>
  <si>
    <t>Lacharité, Carl; Chamberland, Claire</t>
  </si>
  <si>
    <t>HV713.L3 2015</t>
  </si>
  <si>
    <t>Child welfare.</t>
  </si>
  <si>
    <t>http://public.eblib.com/choice/PublicFullRecord.aspx?p=4624860</t>
  </si>
  <si>
    <t>L'inscription des sociétés non occidentales dans la modernité</t>
  </si>
  <si>
    <t>Côté, Louis</t>
  </si>
  <si>
    <t>HN13.C684 2015</t>
  </si>
  <si>
    <t>Social history.</t>
  </si>
  <si>
    <t>http://public.eblib.com/choice/PublicFullRecord.aspx?p=4624861</t>
  </si>
  <si>
    <t>L'accompagnement et l'évaluation de la réflexivité en santé : Des applications en éducation et en formation</t>
  </si>
  <si>
    <t>Fusion</t>
  </si>
  <si>
    <t>Lafortune, Louise</t>
  </si>
  <si>
    <t>LC1031.L346 2015</t>
  </si>
  <si>
    <t>Reflective learning.</t>
  </si>
  <si>
    <t>http://public.eblib.com/choice/PublicFullRecord.aspx?p=4624862</t>
  </si>
  <si>
    <t>Vers une approche géopoétique : Lectures de Kenneth White, de Victor Segalen et de J.-M. G. Le Clézio</t>
  </si>
  <si>
    <t>PN56.G48.B688 2015</t>
  </si>
  <si>
    <t>Geography in literature.</t>
  </si>
  <si>
    <t>http://public.eblib.com/choice/PublicFullRecord.aspx?p=4624863</t>
  </si>
  <si>
    <t>Intervenir auprès de sectes religieuses en protection de la jeunesse : Un défi</t>
  </si>
  <si>
    <t>Derocher, Lorraine</t>
  </si>
  <si>
    <t>HV713.D476 2015</t>
  </si>
  <si>
    <t>http://public.eblib.com/choice/PublicFullRecord.aspx?p=4624864</t>
  </si>
  <si>
    <t>Les Chinois à Saint-Pétersbourg : Histoire et portrait d'une communauté en mutation</t>
  </si>
  <si>
    <t>Asies contemporaines</t>
  </si>
  <si>
    <t>Alexeeva, Olga V.</t>
  </si>
  <si>
    <t>DK510.35C5.A449 2015</t>
  </si>
  <si>
    <t>Chinese--Russia (Federation)</t>
  </si>
  <si>
    <t>http://public.eblib.com/choice/PublicFullRecord.aspx?p=4624865</t>
  </si>
  <si>
    <t>Que faisons-nous de notre temps? : Vingt-quatre heures dans la vie des Québécois – Comparaisons internationales</t>
  </si>
  <si>
    <t>Temps libre et culture</t>
  </si>
  <si>
    <t>Pronovost, Gilles</t>
  </si>
  <si>
    <t>Business/Management; Computer Science/IT</t>
  </si>
  <si>
    <t>HD69.T54.P766 2015</t>
  </si>
  <si>
    <t>Time management--Quâebec (Province)</t>
  </si>
  <si>
    <t>http://public.eblib.com/choice/PublicFullRecord.aspx?p=4624866</t>
  </si>
  <si>
    <t>Changement et grands projets : Des choix engagés</t>
  </si>
  <si>
    <t>Lehmann, Valérie; Colomb, Valérie</t>
  </si>
  <si>
    <t>HD69.P75.C436 2015</t>
  </si>
  <si>
    <t>Project management.</t>
  </si>
  <si>
    <t>http://public.eblib.com/choice/PublicFullRecord.aspx?p=4624867</t>
  </si>
  <si>
    <t>L'ALENA conjugué au passé, au présent et au futur : L'intégration régionale 3.0 et les défis de l'interconnexion</t>
  </si>
  <si>
    <t>Rioux, Michèle; Viau, Laurent</t>
  </si>
  <si>
    <t>HF1746.A446 2015</t>
  </si>
  <si>
    <t>Free trade--North America.</t>
  </si>
  <si>
    <t>http://public.eblib.com/choice/PublicFullRecord.aspx?p=4624868</t>
  </si>
  <si>
    <t>Entre le mil et le franc : Un siècle de migrations circulaires en Afrique de l'Ouest. Le cas du Burkina Faso</t>
  </si>
  <si>
    <t>Les sociétés africaines en mutation</t>
  </si>
  <si>
    <t>Piché, Victor</t>
  </si>
  <si>
    <t>HB2126.4.A3.P534 2015</t>
  </si>
  <si>
    <t>Migration, Internal--Burkina Faso.</t>
  </si>
  <si>
    <t>http://public.eblib.com/choice/PublicFullRecord.aspx?p=4624869</t>
  </si>
  <si>
    <t>Accompagnement-formation d’une pratique réflexive-interactive féministe : Le cas de Relais-femmes</t>
  </si>
  <si>
    <t>HF5549.5.C53.L346 2015</t>
  </si>
  <si>
    <t>Employees--Coaching of.</t>
  </si>
  <si>
    <t>http://public.eblib.com/choice/PublicFullRecord.aspx?p=4624870</t>
  </si>
  <si>
    <t>Les jeunes adultes faiblement scolarisés : Parcours de formation et besoins d’accompagnement</t>
  </si>
  <si>
    <t>Villemagne, Carine</t>
  </si>
  <si>
    <t>LC145.C3.J486 2015</t>
  </si>
  <si>
    <t>School attendance--Quâebec (Province)--Statistics.</t>
  </si>
  <si>
    <t>http://public.eblib.com/choice/PublicFullRecord.aspx?p=4624871</t>
  </si>
  <si>
    <t>La recherche communautaire VIH/sida : Des savoirs engagés</t>
  </si>
  <si>
    <t>Otis, Joanne; Lévy, Joseph Josy</t>
  </si>
  <si>
    <t>RA643.8.R434 2015</t>
  </si>
  <si>
    <t>HIV infections--Research.</t>
  </si>
  <si>
    <t>http://public.eblib.com/choice/PublicFullRecord.aspx?p=4624872</t>
  </si>
  <si>
    <t>Géopolitique des ressources minières en Asie du Sud-Est : Trajectoires plurielles et incertaines – Indonésie, Laos et Viêt Nam</t>
  </si>
  <si>
    <t>Mottet, Éric; Courmont, Barthélémy</t>
  </si>
  <si>
    <t>HD9506.A652.M688 2015</t>
  </si>
  <si>
    <t>Mineral industries--Southeast Asia.</t>
  </si>
  <si>
    <t>http://public.eblib.com/choice/PublicFullRecord.aspx?p=4624873</t>
  </si>
  <si>
    <t>Le développement professionnel en soins de santé primaires au Canada : Nouveaux défis</t>
  </si>
  <si>
    <t>Gosselin, Julie; Joanisse, Mélanie</t>
  </si>
  <si>
    <t>RA427.9.D484 2015</t>
  </si>
  <si>
    <t>Primary care (Medicine)--Canada.</t>
  </si>
  <si>
    <t>http://public.eblib.com/choice/PublicFullRecord.aspx?p=4624874</t>
  </si>
  <si>
    <t>Panorama de l'archivistique contemporaine: évolution de la discipline et de la profession</t>
  </si>
  <si>
    <t>Gestion de l'information</t>
  </si>
  <si>
    <t>Gagnon-Arguin, Louise</t>
  </si>
  <si>
    <t>Library Science; History</t>
  </si>
  <si>
    <t>CD972.P366 2015</t>
  </si>
  <si>
    <t>Archives.</t>
  </si>
  <si>
    <t>http://public.eblib.com/choice/PublicFullRecord.aspx?p=4624875</t>
  </si>
  <si>
    <t>Droits de vieillir et citoyenneté des aînés : Pour une perspective internationale</t>
  </si>
  <si>
    <t>Viriot Durandal, Jean-Philippe; Moulaert, Thibauld</t>
  </si>
  <si>
    <t>HQ1061.D765 2015</t>
  </si>
  <si>
    <t>Aging--Social aspects.</t>
  </si>
  <si>
    <t>http://public.eblib.com/choice/PublicFullRecord.aspx?p=4624876</t>
  </si>
  <si>
    <t>Les troubles mentaux en milieu de travail et dans les médias de masse</t>
  </si>
  <si>
    <t>Dorvil, Henri; Dupuis, Gilles</t>
  </si>
  <si>
    <t>RC967.5.D678 2015</t>
  </si>
  <si>
    <t>Industrial psychiatry.</t>
  </si>
  <si>
    <t>http://public.eblib.com/choice/PublicFullRecord.aspx?p=4624877</t>
  </si>
  <si>
    <t>Des couvents en héritage / Religious Houses: A Legacy</t>
  </si>
  <si>
    <t>Noppen, Luc; Drouin, Martin</t>
  </si>
  <si>
    <t>NA4850.C688 2015</t>
  </si>
  <si>
    <t>Religious facilities--Conservation and restoration--Congresses.</t>
  </si>
  <si>
    <t>http://public.eblib.com/choice/PublicFullRecord.aspx?p=4624878</t>
  </si>
  <si>
    <t>Le tourisme comme expérience : Regards interdisciplinaires sur le vécu touristique</t>
  </si>
  <si>
    <t>Tourisme</t>
  </si>
  <si>
    <t>Decroly, Jean-Michel</t>
  </si>
  <si>
    <t>Economics; Tourism/Hospitality</t>
  </si>
  <si>
    <t>G154.9.T687 2015</t>
  </si>
  <si>
    <t>Tourism--Congresses.</t>
  </si>
  <si>
    <t>http://public.eblib.com/choice/PublicFullRecord.aspx?p=4624879</t>
  </si>
  <si>
    <t>Esthétique du mur géopolitique</t>
  </si>
  <si>
    <t>Enjeux contemporains</t>
  </si>
  <si>
    <t>Ganivet, Elisa</t>
  </si>
  <si>
    <t>N8217.B63.G365 2015</t>
  </si>
  <si>
    <t>Boundaries in art.</t>
  </si>
  <si>
    <t>http://public.eblib.com/choice/PublicFullRecord.aspx?p=4624880</t>
  </si>
  <si>
    <t>Adaptation aux changements climatiques en zones côtières : Politiques publiques et indicateurs de suivi des progrès dans sept pays occidentaux</t>
  </si>
  <si>
    <t>Lamari, Moktar</t>
  </si>
  <si>
    <t>GB451.2.L363 2015</t>
  </si>
  <si>
    <t>Coast changes.</t>
  </si>
  <si>
    <t>http://public.eblib.com/choice/PublicFullRecord.aspx?p=4624881</t>
  </si>
  <si>
    <t>Lettres du Père Crespel et son naufrage à Anticosti en 1736</t>
  </si>
  <si>
    <t>Jardin de givre</t>
  </si>
  <si>
    <t>Crespel, Emmanuel</t>
  </si>
  <si>
    <t>F1030.C747 2015</t>
  </si>
  <si>
    <t>Shipwrecks--Quâebec (Province)--Early works to 1800.</t>
  </si>
  <si>
    <t>http://public.eblib.com/choice/PublicFullRecord.aspx?p=4624882</t>
  </si>
  <si>
    <t>Un nouveau pont sur l’Atlantique : L’Accord économique et commercial global entre l’Union européenne et le Canada</t>
  </si>
  <si>
    <t>Deblock, Christian; Paquin, Stéphanie</t>
  </si>
  <si>
    <t>HF3228.E87.N688 2015</t>
  </si>
  <si>
    <t>http://public.eblib.com/choice/PublicFullRecord.aspx?p=4624883</t>
  </si>
  <si>
    <t>Retour sur les États généraux du Canada français : Continuités et ruptures d'un projet national</t>
  </si>
  <si>
    <t>Politeia</t>
  </si>
  <si>
    <t>Laniel, Jean; Thériault, Josep Yvon</t>
  </si>
  <si>
    <t>F1027.R486 2016</t>
  </si>
  <si>
    <t>French-Canadians--Social conditions.</t>
  </si>
  <si>
    <t>http://public.eblib.com/choice/PublicFullRecord.aspx?p=4624884</t>
  </si>
  <si>
    <t>La diversité des patrimoines : Du rejet du discours à l’éloge des pratiques</t>
  </si>
  <si>
    <t>Moisa, Daniela</t>
  </si>
  <si>
    <t>CC135.D584 2015</t>
  </si>
  <si>
    <t>Historic preservation--Congresses.</t>
  </si>
  <si>
    <t>http://public.eblib.com/choice/PublicFullRecord.aspx?p=4624885</t>
  </si>
  <si>
    <t>L'étalonnage et la décision psychométrique, 2e édition : Exemples et tables</t>
  </si>
  <si>
    <t>Laurencelle, Louis</t>
  </si>
  <si>
    <t>BF39.L387 2016</t>
  </si>
  <si>
    <t>Psychology--Statistical methods.</t>
  </si>
  <si>
    <t>http://public.eblib.com/choice/PublicFullRecord.aspx?p=4624887</t>
  </si>
  <si>
    <t>La présence attentive (mindfulness) : État des connaissances théoriques, empiriques et pratiques</t>
  </si>
  <si>
    <t>Grégoire, Simon; Richer, Louis</t>
  </si>
  <si>
    <t>BF637.M4.P747 2016</t>
  </si>
  <si>
    <t>Meditation.</t>
  </si>
  <si>
    <t>http://public.eblib.com/choice/PublicFullRecord.aspx?p=4624888</t>
  </si>
  <si>
    <t>Je ferme les yeux pour couvrir l'obscurité</t>
  </si>
  <si>
    <t>Berthelsen, Kelly</t>
  </si>
  <si>
    <t>PM64.B47.B478 2015</t>
  </si>
  <si>
    <t>Kalãatdlisut literature.</t>
  </si>
  <si>
    <t>http://public.eblib.com/choice/PublicFullRecord.aspx?p=4624889</t>
  </si>
  <si>
    <t>Le leadership moteur : Comprendre les rouages du changement en éducation</t>
  </si>
  <si>
    <t>Leadership et administration en éducation</t>
  </si>
  <si>
    <t>Fullan, Michael</t>
  </si>
  <si>
    <t>LB2806.F855 2015</t>
  </si>
  <si>
    <t>Educational leadership.</t>
  </si>
  <si>
    <t>http://public.eblib.com/choice/PublicFullRecord.aspx?p=4624890</t>
  </si>
  <si>
    <t>Le rêve d'un Groenlandais</t>
  </si>
  <si>
    <t>Storch, Mathias</t>
  </si>
  <si>
    <t>PM64.S86 2016</t>
  </si>
  <si>
    <t>Eskimo languages--Texts.</t>
  </si>
  <si>
    <t>http://public.eblib.com/choice/PublicFullRecord.aspx?p=4624893</t>
  </si>
  <si>
    <t>Cahiers Charlevoix 8 : Études franco-ontariennes</t>
  </si>
  <si>
    <t>Cahiers Charlevoix</t>
  </si>
  <si>
    <t>La Société Charlevoix</t>
  </si>
  <si>
    <t>http://public.eblib.com/choice/PublicFullRecord.aspx?p=4648835</t>
  </si>
  <si>
    <t>Portraits de traducteurs</t>
  </si>
  <si>
    <t>Collection Regards sur la traduction</t>
  </si>
  <si>
    <t>Delisle, Jean</t>
  </si>
  <si>
    <t>http://public.eblib.com/choice/PublicFullRecord.aspx?p=4648838</t>
  </si>
  <si>
    <t>Margaret Atwood : The Open Eye</t>
  </si>
  <si>
    <t>Kozakewich, Tobi; Moss, John</t>
  </si>
  <si>
    <t>http://public.eblib.com/choice/PublicFullRecord.aspx?p=4648840</t>
  </si>
  <si>
    <t>The Politics of Translation in the Middle Ages and the Renaissance</t>
  </si>
  <si>
    <t>Blumenfeld-Kosinski, Renate; von Flotow, Luise; Russell, Daniel</t>
  </si>
  <si>
    <t>http://public.eblib.com/choice/PublicFullRecord.aspx?p=4648841</t>
  </si>
  <si>
    <t>Nationalisme et protection sociale</t>
  </si>
  <si>
    <t>Les Presses de l'UniversitÃ© d'Ottawa</t>
  </si>
  <si>
    <t>BÃ©land, Daniel; Lecours, AndrÃ©</t>
  </si>
  <si>
    <t>HV31.B453 2012</t>
  </si>
  <si>
    <t>Public welfare--Political aspects--Case studies.</t>
  </si>
  <si>
    <t>http://public.eblib.com/choice/PublicFullRecord.aspx?p=4648843</t>
  </si>
  <si>
    <t>La rationalitÃ© pÃ©nale moderne : RÃ©flexions thÃ©oriques et explorations empiriques</t>
  </si>
  <si>
    <t>Perspectives alternatives en criminologie</t>
  </si>
  <si>
    <t>DubÃ©, Richard; Garcia, Margarida; Rocha Machado, MaÃ­ra</t>
  </si>
  <si>
    <t>K5018.D834 2013</t>
  </si>
  <si>
    <t>Criminal law--Philosophy.</t>
  </si>
  <si>
    <t>http://public.eblib.com/choice/PublicFullRecord.aspx?p=4648844</t>
  </si>
  <si>
    <t>Double-Takes : Intersections between Canadian Literature and Film</t>
  </si>
  <si>
    <t>http://public.eblib.com/choice/PublicFullRecord.aspx?p=4648846</t>
  </si>
  <si>
    <t>Cahiers Charlevoix 9 : Études franco-ontariennes</t>
  </si>
  <si>
    <t>http://public.eblib.com/choice/PublicFullRecord.aspx?p=4648847</t>
  </si>
  <si>
    <t>Financement de la santé et efficacité de l’aide internationale : Enjeux, défis et perspectives</t>
  </si>
  <si>
    <t>SantÃ© et sociÃ©tÃ©</t>
  </si>
  <si>
    <t>Barry, Mamadou; Sanni Yaya, Hachimi</t>
  </si>
  <si>
    <t>RA390.A2.B377 2015</t>
  </si>
  <si>
    <t>Medical assistance.</t>
  </si>
  <si>
    <t>http://public.eblib.com/choice/PublicFullRecord.aspx?p=4648851</t>
  </si>
  <si>
    <t>Jouer la traduction : Théâtre et hétérolinguisme au Canada francophone</t>
  </si>
  <si>
    <t>Regards sur la traduction</t>
  </si>
  <si>
    <t>Nolette, Nicole</t>
  </si>
  <si>
    <t>PN2305.Q4.N65 2015</t>
  </si>
  <si>
    <t>Theater--Quâebec (Province)--History--20th century.</t>
  </si>
  <si>
    <t>http://public.eblib.com/choice/PublicFullRecord.aspx?p=4648852</t>
  </si>
  <si>
    <t>Laïcité et humanisme</t>
  </si>
  <si>
    <t>Le Blanc, Charles</t>
  </si>
  <si>
    <t>http://public.eblib.com/choice/PublicFullRecord.aspx?p=4648855</t>
  </si>
  <si>
    <t>Short Stories by Thomas Murtha</t>
  </si>
  <si>
    <t>Murtha, Thomas; Murtha, William</t>
  </si>
  <si>
    <t>Fiction</t>
  </si>
  <si>
    <t>http://public.eblib.com/choice/PublicFullRecord.aspx?p=4648927</t>
  </si>
  <si>
    <t>Waken, Lords and Ladies Gay : Selected Stories of Desmond Pacey</t>
  </si>
  <si>
    <t>Pacey, Desmond; Tierney, Frank M.</t>
  </si>
  <si>
    <t>http://public.eblib.com/choice/PublicFullRecord.aspx?p=4648928</t>
  </si>
  <si>
    <t>Identity Theft and Fraud : Evaluating and Managing Risk</t>
  </si>
  <si>
    <t>Critical Issues in Risk Management</t>
  </si>
  <si>
    <t>Archer, Norm; Sproule, Susan; Yuan, Yufei; Xiang, Junlian</t>
  </si>
  <si>
    <t>http://public.eblib.com/choice/PublicFullRecord.aspx?p=4648929</t>
  </si>
  <si>
    <t>L’incontournable caste des femmes : histoire des services de santé au Québec et au Canada</t>
  </si>
  <si>
    <t>http://public.eblib.com/choice/PublicFullRecord.aspx?p=4648931</t>
  </si>
  <si>
    <t>Médée protéiforme</t>
  </si>
  <si>
    <t>Carrière, Marie</t>
  </si>
  <si>
    <t>http://public.eblib.com/choice/PublicFullRecord.aspx?p=4648937</t>
  </si>
  <si>
    <t>Foucault and the Indefinite Work of Freedom</t>
  </si>
  <si>
    <t>Fillion, Réal</t>
  </si>
  <si>
    <t>http://public.eblib.com/choice/PublicFullRecord.aspx?p=4649010</t>
  </si>
  <si>
    <t>The Hermes Complex : Philosophical Reflections on Translation</t>
  </si>
  <si>
    <t>Le Blanc, Charles; Folkart, Barbara</t>
  </si>
  <si>
    <t>http://public.eblib.com/choice/PublicFullRecord.aspx?p=4649013</t>
  </si>
  <si>
    <t>Migrating Texts and Traditions</t>
  </si>
  <si>
    <t>http://public.eblib.com/choice/PublicFullRecord.aspx?p=4649018</t>
  </si>
  <si>
    <t>Eight Men Speak : A Play by Oscar Ryan et al.</t>
  </si>
  <si>
    <t>Ryan, Oscar; Cecil-Smith, Edward; Goldberg, Mildred; Filewod, Alan</t>
  </si>
  <si>
    <t>http://public.eblib.com/choice/PublicFullRecord.aspx?p=4649031</t>
  </si>
  <si>
    <t>Le Québec traduit en Espagne : Analyse sociologique de l’exportation d’une culture périphérique</t>
  </si>
  <si>
    <t>Córdoba Serrano, María Sierra</t>
  </si>
  <si>
    <t>http://public.eblib.com/choice/PublicFullRecord.aspx?p=4649045</t>
  </si>
  <si>
    <t>Recovering the Body : A Philosophical Story</t>
  </si>
  <si>
    <t>Collier, Carol</t>
  </si>
  <si>
    <t>http://public.eblib.com/choice/PublicFullRecord.aspx?p=4649046</t>
  </si>
  <si>
    <t>Apprendre à écouter et à parler : La déficience auditive chez l’enfant</t>
  </si>
  <si>
    <t>Éducation</t>
  </si>
  <si>
    <t>Fitzpatrick, Élizabeth M.; Doucet, Suzanne P.</t>
  </si>
  <si>
    <t>http://public.eblib.com/choice/PublicFullRecord.aspx?p=4649049</t>
  </si>
  <si>
    <t>Manuel de rédaction à l’usage des militaires</t>
  </si>
  <si>
    <t>Ouellet, Éric; Pahlavi, Pierre; Chapnick, Adam; Stone, Craig</t>
  </si>
  <si>
    <t>http://public.eblib.com/choice/PublicFullRecord.aspx?p=4649052</t>
  </si>
  <si>
    <t>The Copyright Pentalogy : How the Supreme Court of Canada Shook the Foundations of Canadian Copyright Law</t>
  </si>
  <si>
    <t>Law, Technology and Society</t>
  </si>
  <si>
    <t>Geist, Michael</t>
  </si>
  <si>
    <t>http://public.eblib.com/choice/PublicFullRecord.aspx?p=4649053</t>
  </si>
  <si>
    <t>Yoko Tawada's Portrait of a Tongue : An Experimental Translation by Chantal Wright</t>
  </si>
  <si>
    <t>Literary Translation</t>
  </si>
  <si>
    <t>Tawada, Yoko; Wright, Chantal</t>
  </si>
  <si>
    <t>http://public.eblib.com/choice/PublicFullRecord.aspx?p=4649054</t>
  </si>
  <si>
    <t>Swinging the Maelstrom : A Critical Edition</t>
  </si>
  <si>
    <t>Lowry, Malcolm; Ackerley, Chris; Surrey, Philip; Doyen, Vik; McCarthy, Patrick A.; Tiessen, Paul; Mota, Miguel</t>
  </si>
  <si>
    <t>http://public.eblib.com/choice/PublicFullRecord.aspx?p=4649055</t>
  </si>
  <si>
    <t>Taking Aviation to New Heights : A Biography of Pierre Jeanniot</t>
  </si>
  <si>
    <t>Cardinal, Jacqueline; Lapierre, Laurent; Winkler, Donald</t>
  </si>
  <si>
    <t>http://public.eblib.com/choice/PublicFullRecord.aspx?p=4649056</t>
  </si>
  <si>
    <t>Atlas de neuroanatomie fonctionnelle : Première édition française</t>
  </si>
  <si>
    <t>Hendelman, Walter J.; Tetracomm Inc.</t>
  </si>
  <si>
    <t>Science; Science: Anatomy/Physiology</t>
  </si>
  <si>
    <t>http://public.eblib.com/choice/PublicFullRecord.aspx?p=4649057</t>
  </si>
  <si>
    <t>La traduction raisonnée, 3e édition : Manuel d’initiation à la traduction professionnelle de l’anglais vers le français</t>
  </si>
  <si>
    <t>Pédagogie de la traduction</t>
  </si>
  <si>
    <t>Delisle, Jean; Fiola, Marco A.</t>
  </si>
  <si>
    <t>http://public.eblib.com/choice/PublicFullRecord.aspx?p=4649098</t>
  </si>
  <si>
    <t>Cloudburst : An Anthology of Hispanic Canadian Short Stories</t>
  </si>
  <si>
    <t>Torres-Recinos, Julio; Molina Lora, Luis; Hazelton, Hugh</t>
  </si>
  <si>
    <t>http://public.eblib.com/choice/PublicFullRecord.aspx?p=4649099</t>
  </si>
  <si>
    <t>Sport Policy in Canada</t>
  </si>
  <si>
    <t>Open Access</t>
  </si>
  <si>
    <t>Thibault, Lucie; Harvey, Jean</t>
  </si>
  <si>
    <t>http://public.eblib.com/choice/PublicFullRecord.aspx?p=4649100</t>
  </si>
  <si>
    <t>Le Bonheur et autres troubles</t>
  </si>
  <si>
    <t>Traduction littéraire</t>
  </si>
  <si>
    <t>Saidullah, Ahmad; Geoffroy-Skuce, Annick; Charron, Marc; Lavoie, Caroline</t>
  </si>
  <si>
    <t>http://public.eblib.com/choice/PublicFullRecord.aspx?p=4649102</t>
  </si>
  <si>
    <t>Flora Lyndsay; or, Passages in an Eventful Life : A Novel by Susanna Moodie</t>
  </si>
  <si>
    <t>Moodie, Susanna; Peterman, Michael A.</t>
  </si>
  <si>
    <t>http://public.eblib.com/choice/PublicFullRecord.aspx?p=4649103</t>
  </si>
  <si>
    <t>Home Ground and Foreign Territory : Essays on Early Canadian Literature</t>
  </si>
  <si>
    <t>http://public.eblib.com/choice/PublicFullRecord.aspx?p=4649105</t>
  </si>
  <si>
    <t>Transfert : Exploration d’un champ conceptuel</t>
  </si>
  <si>
    <t>Gin, Pascal; Goyer, Nicolas; Moser, Walter</t>
  </si>
  <si>
    <t>http://public.eblib.com/choice/PublicFullRecord.aspx?p=4649106</t>
  </si>
  <si>
    <t>The Collected Poems of Miriam Waddington : A Critical Edition</t>
  </si>
  <si>
    <t>Waddington, Miriam; Panofsky, Ruth</t>
  </si>
  <si>
    <t>http://public.eblib.com/choice/PublicFullRecord.aspx?p=4649107</t>
  </si>
  <si>
    <t>Homelessness &amp; Health in Canada</t>
  </si>
  <si>
    <t>Health &amp; Society</t>
  </si>
  <si>
    <t>Guirguis-Younger, Manal; Hwang, Stephen W.; McNeil, Ryan</t>
  </si>
  <si>
    <t>http://public.eblib.com/choice/PublicFullRecord.aspx?p=4649110</t>
  </si>
  <si>
    <t>Petun to Wyandot : The Ontario Petun from the Sixteenth Century</t>
  </si>
  <si>
    <t>Canadian Museum of History</t>
  </si>
  <si>
    <t>Mercury Series</t>
  </si>
  <si>
    <t>Garrad, Charles; Pilon, Jean-Luc; Fox, William</t>
  </si>
  <si>
    <t>http://public.eblib.com/choice/PublicFullRecord.aspx?p=4649111</t>
  </si>
  <si>
    <t>A Nation Beyond Borders : Lionel Groulx on French-Canadian Minorities</t>
  </si>
  <si>
    <t>Bock, Michel; Van Gennip, Ferdinanda</t>
  </si>
  <si>
    <t>http://public.eblib.com/choice/PublicFullRecord.aspx?p=4649112</t>
  </si>
  <si>
    <t>Des outils pour le changement : Une approche critique en études du développement</t>
  </si>
  <si>
    <t>Études en développement international et mondialisation</t>
  </si>
  <si>
    <t>Tanimoune, Nasser Ary; Veltmeyer, Henry</t>
  </si>
  <si>
    <t>http://public.eblib.com/choice/PublicFullRecord.aspx?p=4649117</t>
  </si>
  <si>
    <t>Enjeux et défis du développement international</t>
  </si>
  <si>
    <t>Beaudet, Pierre; Haslam, Paul</t>
  </si>
  <si>
    <t>http://public.eblib.com/choice/PublicFullRecord.aspx?p=4649118</t>
  </si>
  <si>
    <t>Death Sentences</t>
  </si>
  <si>
    <t>Myre, Suzanne; Hildebrand, Cassidy</t>
  </si>
  <si>
    <t>http://public.eblib.com/choice/PublicFullRecord.aspx?p=4649122</t>
  </si>
  <si>
    <t>Law, Privacy and Surveillance in Canada in the Post-Snowden Era</t>
  </si>
  <si>
    <t>Law, Technology and Media</t>
  </si>
  <si>
    <t>http://public.eblib.com/choice/PublicFullRecord.aspx?p=4649125</t>
  </si>
  <si>
    <t>Mathematical Modelling of Zombies</t>
  </si>
  <si>
    <t>Smith?, Robert; Cartmel, Andrew</t>
  </si>
  <si>
    <t>http://public.eblib.com/choice/PublicFullRecord.aspx?p=4649126</t>
  </si>
  <si>
    <t>The Worlds of Carol Shields</t>
  </si>
  <si>
    <t>http://public.eblib.com/choice/PublicFullRecord.aspx?p=4649127</t>
  </si>
  <si>
    <t>Cahiers Charlevoix 10 : Études franco-ontariennes</t>
  </si>
  <si>
    <t>Bock, Michel; Pichette, Jean-Pierre; Laflamme, Simon; Frenette, Yves; Bénéteau, Marcel; La Société Charlevoix</t>
  </si>
  <si>
    <t>http://public.eblib.com/choice/PublicFullRecord.aspx?p=4649128</t>
  </si>
  <si>
    <t>Canada and Aboriginal Canada Today - Le Canada et le Canada autochtone aujourd’hui : Changing the Course of History - Changer le cours de l’histoire</t>
  </si>
  <si>
    <t>The Symons Medal Series/Collection de la Médaille Symons</t>
  </si>
  <si>
    <t>Martin, Paul</t>
  </si>
  <si>
    <t>http://public.eblib.com/choice/PublicFullRecord.aspx?p=4649131</t>
  </si>
  <si>
    <t>eGirls, eCitizens : Putting Technology, Theory and Policy into Dialogue with Girls’ and Young Women’s Voices</t>
  </si>
  <si>
    <t>Bailey, Jane; Steeves, Valerie</t>
  </si>
  <si>
    <t>http://public.eblib.com/choice/PublicFullRecord.aspx?p=4649136</t>
  </si>
  <si>
    <t>Hugh Garner's Best Stories</t>
  </si>
  <si>
    <t>Garner, Hugh; Robins Sharpe, Emily</t>
  </si>
  <si>
    <t>PR9199.3.G3.A6 2015</t>
  </si>
  <si>
    <t>http://public.eblib.com/choice/PublicFullRecord.aspx?p=4649137</t>
  </si>
  <si>
    <t>This Time a Better Earth : A Critical Edition</t>
  </si>
  <si>
    <t>Allan, Ted; Vautour, Bart</t>
  </si>
  <si>
    <t>http://public.eblib.com/choice/PublicFullRecord.aspx?p=4649139</t>
  </si>
  <si>
    <t>The 1940 Under the Volcano : A Critical Edition</t>
  </si>
  <si>
    <t>Lowry, Malcolm; Ackerley, Chris; Large, David; Mota, Miguel; Tiessen, Paul; Doyen, Vik; McCarthy, Patrick A.</t>
  </si>
  <si>
    <t>http://public.eblib.com/choice/PublicFullRecord.aspx?p=4649142</t>
  </si>
  <si>
    <t>Hockey and Philosophy</t>
  </si>
  <si>
    <t>Baillargeon, Normand; Boissinot, Christian; Irving, Scott</t>
  </si>
  <si>
    <t>http://public.eblib.com/choice/PublicFullRecord.aspx?p=4649147</t>
  </si>
  <si>
    <t>Northrop Frye and Others : Twelve Writers Who Helped Shape His Thinking</t>
  </si>
  <si>
    <t>Denham, Robert D.</t>
  </si>
  <si>
    <t>http://public.eblib.com/choice/PublicFullRecord.aspx?p=4649148</t>
  </si>
  <si>
    <t>Canadian Public-Sector Financial Management, Second Edition</t>
  </si>
  <si>
    <t>Graham, Andrew</t>
  </si>
  <si>
    <t>HJ9921</t>
  </si>
  <si>
    <t>352.4/0971</t>
  </si>
  <si>
    <t>http://public.eblib.com/choice/PublicFullRecord.aspx?p=4649497</t>
  </si>
  <si>
    <t>Ward : The Life and Loss of Toronto's First Immigrant Neighbourhood</t>
  </si>
  <si>
    <t>Lorinc, John; McClelland, Michael; Scheinberg, Ellen</t>
  </si>
  <si>
    <t>HT123 -- .W373 2015eb</t>
  </si>
  <si>
    <t>Immigrants -- Ontario -- Toronto -- History.; Neighborhoods -- Ontario -- Toronto -- History.; Ward (Toronto, Ont.) -- History.</t>
  </si>
  <si>
    <t>http://public.eblib.com/choice/PublicFullRecord.aspx?p=4660333</t>
  </si>
  <si>
    <t>The Metadata Handbook</t>
  </si>
  <si>
    <t>The Future of Publishing</t>
  </si>
  <si>
    <t>Register, Renee; McIlroy, Thad; Register, Renaee</t>
  </si>
  <si>
    <t>Books - Marketing</t>
  </si>
  <si>
    <t>http://public.eblib.com/choice/PublicFullRecord.aspx?p=4661699</t>
  </si>
  <si>
    <t>By the Grace of God : Francoist Spain and the Sacred Roots of Political Imagination</t>
  </si>
  <si>
    <t>Toronto Iberic</t>
  </si>
  <si>
    <t>Viestenz, William R.</t>
  </si>
  <si>
    <t>PQ6073.P6V54 2014</t>
  </si>
  <si>
    <t>860.9/382</t>
  </si>
  <si>
    <t>http://public.eblib.com/choice/PublicFullRecord.aspx?p=4669178</t>
  </si>
  <si>
    <t>The Ovidian Vogue : Literary Fashion and Imitative Practice in Late Elizabethan England</t>
  </si>
  <si>
    <t>Moss, Daniel D.</t>
  </si>
  <si>
    <t>http://public.eblib.com/choice/PublicFullRecord.aspx?p=4669181</t>
  </si>
  <si>
    <t>The Politics of Language : Byrhtferth, Aelfric, and the Multilingual Identity of the Benedictine Reform</t>
  </si>
  <si>
    <t>Toronto Anglo-Saxon Series</t>
  </si>
  <si>
    <t>Stephenson, Rebecca</t>
  </si>
  <si>
    <t>http://public.eblib.com/choice/PublicFullRecord.aspx?p=4669182</t>
  </si>
  <si>
    <t>Dante's Idea of Friendship : The Transformation of a Classical Concept</t>
  </si>
  <si>
    <t>Toronto Italian Studies</t>
  </si>
  <si>
    <t>Modesto, Filippa</t>
  </si>
  <si>
    <t>http://public.eblib.com/choice/PublicFullRecord.aspx?p=4669187</t>
  </si>
  <si>
    <t>Theodahad : A Platonic King at the Collapse of Ostrogothic Italy</t>
  </si>
  <si>
    <t>Vitiello, Massimiliano</t>
  </si>
  <si>
    <t>DG508.5V58 2014</t>
  </si>
  <si>
    <t>945/.01</t>
  </si>
  <si>
    <t>http://public.eblib.com/choice/PublicFullRecord.aspx?p=4669191</t>
  </si>
  <si>
    <t>A Meeting of Minds : The Massey College Story</t>
  </si>
  <si>
    <t>Grant, Judith Skelton</t>
  </si>
  <si>
    <t>http://public.eblib.com/choice/PublicFullRecord.aspx?p=4669197</t>
  </si>
  <si>
    <t>The University of Toronto : A History, Second Edition</t>
  </si>
  <si>
    <t>Friedland, Martin L.</t>
  </si>
  <si>
    <t>LE3.T52.F754 2013</t>
  </si>
  <si>
    <t>378.71/3541</t>
  </si>
  <si>
    <t>http://public.eblib.com/choice/PublicFullRecord.aspx?p=4669217</t>
  </si>
  <si>
    <t>Traditional Subjectivities : The Old English Poetics of Mentality</t>
  </si>
  <si>
    <t>Toronto Anglo-Saxon</t>
  </si>
  <si>
    <t>Mize, Britt</t>
  </si>
  <si>
    <t>PR201.M594 2013</t>
  </si>
  <si>
    <t>829/.1009</t>
  </si>
  <si>
    <t>http://public.eblib.com/choice/PublicFullRecord.aspx?p=4669219</t>
  </si>
  <si>
    <t>Benjamin Disraeli Letters, 1865-1867</t>
  </si>
  <si>
    <t>Letters of Benjamin Disraeli</t>
  </si>
  <si>
    <t>Pharand, Michael W.; Hawman, Ellen L.; Millar, Mary S.; Den Otter, Sandra M.; Wiebe, M.G.</t>
  </si>
  <si>
    <t>DA564.B3.B465 2013</t>
  </si>
  <si>
    <t>http://public.eblib.com/choice/PublicFullRecord.aspx?p=4669233</t>
  </si>
  <si>
    <t>Exhibiting the German Past : Museums, Film, and Musealization</t>
  </si>
  <si>
    <t>McIsaac, Peter M.; Mueller, Gabriele</t>
  </si>
  <si>
    <t>http://public.eblib.com/choice/PublicFullRecord.aspx?p=4669237</t>
  </si>
  <si>
    <t>Homer and the Question of Strife from Erasmus to Hobbes</t>
  </si>
  <si>
    <t>Wolfe, Jessica</t>
  </si>
  <si>
    <t>http://public.eblib.com/choice/PublicFullRecord.aspx?p=4669241</t>
  </si>
  <si>
    <t>Ethical Dimension of the 'Decameron'</t>
  </si>
  <si>
    <t>Migiel, Marilyn</t>
  </si>
  <si>
    <t>http://public.eblib.com/choice/PublicFullRecord.aspx?p=4669244</t>
  </si>
  <si>
    <t>The Edwardses of Halifax : The Making and Selling of Beautiful Books in London and Halifax, 1749-1826</t>
  </si>
  <si>
    <t>Bentley, Jr, G.E.</t>
  </si>
  <si>
    <t>http://public.eblib.com/choice/PublicFullRecord.aspx?p=4669245</t>
  </si>
  <si>
    <t>Constance Maynard's Passions : Religion, Sexuality, and an English Educational Pioneer, 1849-1935</t>
  </si>
  <si>
    <t>Phipps, Pauline A.</t>
  </si>
  <si>
    <t>http://public.eblib.com/choice/PublicFullRecord.aspx?p=4669246</t>
  </si>
  <si>
    <t>Petty Justice : Low Law and the Sessions System in Charlotte County, New Brunswick, 1785-1867</t>
  </si>
  <si>
    <t>Craven, Paul</t>
  </si>
  <si>
    <t>http://public.eblib.com/choice/PublicFullRecord.aspx?p=4669256</t>
  </si>
  <si>
    <t>Benjamin Disraeli Letters : 1868, Vol. X</t>
  </si>
  <si>
    <t>Pharand, Michael W.; Hawman, Ellen L.; Millar, Mary S.; Den Otter, Sandra; Wiebe, M G</t>
  </si>
  <si>
    <t>http://public.eblib.com/choice/PublicFullRecord.aspx?p=4669258</t>
  </si>
  <si>
    <t>Beastly Possessions : Animals in Victorian Consumer Culture</t>
  </si>
  <si>
    <t>Amato, Sarah</t>
  </si>
  <si>
    <t>http://public.eblib.com/choice/PublicFullRecord.aspx?p=4669262</t>
  </si>
  <si>
    <t>Merchant Writers : Florentine Memoirs from the Middle Ages and Renaissance</t>
  </si>
  <si>
    <t>Lorenzo Da Ponte Italian Library</t>
  </si>
  <si>
    <t>Branca, Vittore; Massimo Ciavolella/Luigi Ballerini; Baca, Murtha</t>
  </si>
  <si>
    <t>http://public.eblib.com/choice/PublicFullRecord.aspx?p=4669264</t>
  </si>
  <si>
    <t>Herder : Aesthetics against Imperialism</t>
  </si>
  <si>
    <t>German and European Studies</t>
  </si>
  <si>
    <t>Noyes, John K.</t>
  </si>
  <si>
    <t>Upplysningen</t>
  </si>
  <si>
    <t>http://public.eblib.com/choice/PublicFullRecord.aspx?p=4669265</t>
  </si>
  <si>
    <t>Reclaiming the Personal : Oral History in Post-Socialist Europe</t>
  </si>
  <si>
    <t>Khanenko-Friesen, Natalia; Grinchenko, Gelinada</t>
  </si>
  <si>
    <t>http://public.eblib.com/choice/PublicFullRecord.aspx?p=4669268</t>
  </si>
  <si>
    <t>The Correspondence of Wolfgang Capito : Volume 3 (1532-1536)</t>
  </si>
  <si>
    <t>Capito, Wolfgang; Kooistra, Milton; Rummel, Erika</t>
  </si>
  <si>
    <t>http://public.eblib.com/choice/PublicFullRecord.aspx?p=4669274</t>
  </si>
  <si>
    <t>Gender, Narrative, and Dissonance in the Modern Italian Novel</t>
  </si>
  <si>
    <t>Valisa, Silvia</t>
  </si>
  <si>
    <t>http://public.eblib.com/choice/PublicFullRecord.aspx?p=4669285</t>
  </si>
  <si>
    <t>Ugo Foscolo's Tragic Vision in Italy and England</t>
  </si>
  <si>
    <t>Walsh, Rachel A.</t>
  </si>
  <si>
    <t>http://public.eblib.com/choice/PublicFullRecord.aspx?p=4669286</t>
  </si>
  <si>
    <t>Courtesy Lost : Dante, Boccaccio, and the Literature of History</t>
  </si>
  <si>
    <t>Olson, Kristina Marie</t>
  </si>
  <si>
    <t>http://public.eblib.com/choice/PublicFullRecord.aspx?p=4669288</t>
  </si>
  <si>
    <t>Garcilaso de la Vega and the Material Culture of Renaissance Europe</t>
  </si>
  <si>
    <t>Barnard, Mary E</t>
  </si>
  <si>
    <t>PQ6392.B37 2014</t>
  </si>
  <si>
    <t>http://public.eblib.com/choice/PublicFullRecord.aspx?p=4669291</t>
  </si>
  <si>
    <t>Alien Albion : Literature and Immigration in Early Modern England</t>
  </si>
  <si>
    <t>Oldenburg, Scott</t>
  </si>
  <si>
    <t>http://public.eblib.com/choice/PublicFullRecord.aspx?p=4669292</t>
  </si>
  <si>
    <t>Essays on Private Law : Foreign Law and Foreign Judgments</t>
  </si>
  <si>
    <t>Baxter, Ian F.G.</t>
  </si>
  <si>
    <t>K7041.B398 1966</t>
  </si>
  <si>
    <t>http://public.eblib.com/choice/PublicFullRecord.aspx?p=4669296</t>
  </si>
  <si>
    <t>Poems : Volumes 1: The Poems and Volume 2: Notes and Commentary</t>
  </si>
  <si>
    <t>Brome, Alexander; Dubkinski, Roman, R.</t>
  </si>
  <si>
    <t>PN1031.B766 1982</t>
  </si>
  <si>
    <t>http://public.eblib.com/choice/PublicFullRecord.aspx?p=4669297</t>
  </si>
  <si>
    <t>Honor Edgeworth</t>
  </si>
  <si>
    <t>Bottomley, Kate Madeleine; Lochhead, Douglas</t>
  </si>
  <si>
    <t>PZ3.V575.V473 1975</t>
  </si>
  <si>
    <t>http://public.eblib.com/choice/PublicFullRecord.aspx?p=4669298</t>
  </si>
  <si>
    <t>Studies in the Eighteenth Century III : Papers presented at the Third David Nichol Smith Memorial Seminar, Canberra 1973</t>
  </si>
  <si>
    <t>Brissenden, R. F.; Eade, J. C.</t>
  </si>
  <si>
    <t>http://public.eblib.com/choice/PublicFullRecord.aspx?p=4669299</t>
  </si>
  <si>
    <t>Urban Futures for Central Canada : Perspectives on Forecasting Urban Growth and Form</t>
  </si>
  <si>
    <t>Bourne, L. S.; MacKinnon, Ross D.; Siegel, Jay</t>
  </si>
  <si>
    <t>http://public.eblib.com/choice/PublicFullRecord.aspx?p=4669300</t>
  </si>
  <si>
    <t>The Form of Cities in Central Canada : Selected Papers</t>
  </si>
  <si>
    <t>Bourne, L. S.; MacKinnon, Ross, D.; Simmons, James, W.</t>
  </si>
  <si>
    <t>HT127.F676 1973</t>
  </si>
  <si>
    <t>301.36/3/09713</t>
  </si>
  <si>
    <t>http://public.eblib.com/choice/PublicFullRecord.aspx?p=4669301</t>
  </si>
  <si>
    <t>Inside the Law : Canadian Law Firms in Historical Perspective</t>
  </si>
  <si>
    <t>Osgoode Society for Canadian Legal History</t>
  </si>
  <si>
    <t>KE394.E873 1996</t>
  </si>
  <si>
    <t>http://public.eblib.com/choice/PublicFullRecord.aspx?p=4669302</t>
  </si>
  <si>
    <t>Urban Housing Markets : Recent Directions in Research and Policy</t>
  </si>
  <si>
    <t>Bourne, Larry, S.; Hitchcock, John, R.</t>
  </si>
  <si>
    <t>HD7305.A3.U733 1978</t>
  </si>
  <si>
    <t>301.5/4/0971</t>
  </si>
  <si>
    <t>http://public.eblib.com/choice/PublicFullRecord.aspx?p=4669303</t>
  </si>
  <si>
    <t>English Merchant Shipping 1460-1540</t>
  </si>
  <si>
    <t>Burwash, Dorothy</t>
  </si>
  <si>
    <t>HE824.B879 1969</t>
  </si>
  <si>
    <t>http://public.eblib.com/choice/PublicFullRecord.aspx?p=4669304</t>
  </si>
  <si>
    <t>The Methodological Heritage of Newton</t>
  </si>
  <si>
    <t>Butts, Robert, E.; Davis, John, W.</t>
  </si>
  <si>
    <t>QC16.N7.B398 1970</t>
  </si>
  <si>
    <t>530/.01</t>
  </si>
  <si>
    <t>http://public.eblib.com/choice/PublicFullRecord.aspx?p=4669305</t>
  </si>
  <si>
    <t>The Manuscript Tradition of Propertius</t>
  </si>
  <si>
    <t>Phoenix Supplementary Volumes</t>
  </si>
  <si>
    <t>Butrica, James, L.</t>
  </si>
  <si>
    <t>http://public.eblib.com/choice/PublicFullRecord.aspx?p=4669306</t>
  </si>
  <si>
    <t>Quaker Ways in Foreign Policy</t>
  </si>
  <si>
    <t>Byrd, Robert, O.</t>
  </si>
  <si>
    <t>http://public.eblib.com/choice/PublicFullRecord.aspx?p=4669307</t>
  </si>
  <si>
    <t>A Question of Physics : Conversations in Physics and Biology</t>
  </si>
  <si>
    <t>Buckley, Paul; Peat, F. David</t>
  </si>
  <si>
    <t>http://public.eblib.com/choice/PublicFullRecord.aspx?p=4669308</t>
  </si>
  <si>
    <t>Encyclopedia of Ukraine : Volume V: St-Z</t>
  </si>
  <si>
    <t>Struk, Danylo  Husar</t>
  </si>
  <si>
    <t>DK508.A4.E539 1993</t>
  </si>
  <si>
    <t>http://public.eblib.com/choice/PublicFullRecord.aspx?p=4669309</t>
  </si>
  <si>
    <t>Encyclopedia  of Ukraine : Volume III: L-Pf</t>
  </si>
  <si>
    <t>http://public.eblib.com/choice/PublicFullRecord.aspx?p=4669310</t>
  </si>
  <si>
    <t>Mirror of Minds : Psychological Beliefs in English Poetry</t>
  </si>
  <si>
    <t>Alexander Lectures</t>
  </si>
  <si>
    <t>Bullough, Geoffrey</t>
  </si>
  <si>
    <t>PR508.P9.B398 1962</t>
  </si>
  <si>
    <t>http://public.eblib.com/choice/PublicFullRecord.aspx?p=4669311</t>
  </si>
  <si>
    <t>The Atlantic Region to Confederation : A History</t>
  </si>
  <si>
    <t>Buckner, Phillip; Reid, John G.; Reid, John G.; Buckner, Philip</t>
  </si>
  <si>
    <t>F1035.8.A853 2005</t>
  </si>
  <si>
    <t>http://public.eblib.com/choice/PublicFullRecord.aspx?p=4669313</t>
  </si>
  <si>
    <t>Next-Year Country : A Study of Rural Social Organization in Alberta</t>
  </si>
  <si>
    <t>Burnet, Jean</t>
  </si>
  <si>
    <t>http://public.eblib.com/choice/PublicFullRecord.aspx?p=4669315</t>
  </si>
  <si>
    <t>New Designs for Learning : Highlights of the Reports of the Ontario Curriculum Institute, 1963-1966</t>
  </si>
  <si>
    <t>Burnham, Brian</t>
  </si>
  <si>
    <t>LB1026.N49 1967</t>
  </si>
  <si>
    <t>http://public.eblib.com/choice/PublicFullRecord.aspx?p=4669319</t>
  </si>
  <si>
    <t>Encyclopedia of Ukraine : Volume II: G-K</t>
  </si>
  <si>
    <t>Kubijovyc, Volodymyr</t>
  </si>
  <si>
    <t>DK508.A4.E539 1988</t>
  </si>
  <si>
    <t>http://public.eblib.com/choice/PublicFullRecord.aspx?p=4669336</t>
  </si>
  <si>
    <t>Civil Justice, Privatization, and Democracy</t>
  </si>
  <si>
    <t>Farrow, Trevor C.W.</t>
  </si>
  <si>
    <t>KE8615.F37 2014</t>
  </si>
  <si>
    <t>http://public.eblib.com/choice/PublicFullRecord.aspx?p=4669345</t>
  </si>
  <si>
    <t>Science and the Creative Spirit : Essays on Humanistic Aspects of Science</t>
  </si>
  <si>
    <t>Brown, Harcourt</t>
  </si>
  <si>
    <t>Q175.S354 1958</t>
  </si>
  <si>
    <t>http://public.eblib.com/choice/PublicFullRecord.aspx?p=4669348</t>
  </si>
  <si>
    <t>Encyclopedia of Ukraine : Volume I: A-F plus Map and Gazetteer</t>
  </si>
  <si>
    <t>DK508.A4.E539 1985</t>
  </si>
  <si>
    <t>http://public.eblib.com/choice/PublicFullRecord.aspx?p=4669358</t>
  </si>
  <si>
    <t>Encyclopedia of Ukraine : Volume IV: Ph-Sr</t>
  </si>
  <si>
    <t>http://public.eblib.com/choice/PublicFullRecord.aspx?p=4669365</t>
  </si>
  <si>
    <t>Permafrost in Canada : Its Influence on Northern Development</t>
  </si>
  <si>
    <t>Brown, Roger, J.E.</t>
  </si>
  <si>
    <t>TA713.B769 1970</t>
  </si>
  <si>
    <t>624/.151</t>
  </si>
  <si>
    <t>http://public.eblib.com/choice/PublicFullRecord.aspx?p=4669367</t>
  </si>
  <si>
    <t>Medieval Celtic Literature : A Select Bibliography</t>
  </si>
  <si>
    <t>Bromwich, Rachel</t>
  </si>
  <si>
    <t>Z7011.B398 1974</t>
  </si>
  <si>
    <t>016.82/08/001</t>
  </si>
  <si>
    <t>http://public.eblib.com/choice/PublicFullRecord.aspx?p=4669369</t>
  </si>
  <si>
    <t>Christopher Columbus's Naming in the 'diarios' of the Four Voyages (1492-1504) : A Discourse of Negotiation</t>
  </si>
  <si>
    <t>Guzauskyte, Evelina</t>
  </si>
  <si>
    <t>E118</t>
  </si>
  <si>
    <t>http://public.eblib.com/choice/PublicFullRecord.aspx?p=4669370</t>
  </si>
  <si>
    <t>Casual Slaughters and Accidental Judgments : Canadian War Crimes Prosecutions, 1944-1948</t>
  </si>
  <si>
    <t>Brode, Patrick</t>
  </si>
  <si>
    <t>http://public.eblib.com/choice/PublicFullRecord.aspx?p=4669371</t>
  </si>
  <si>
    <t>The Bird's Nest Fungi</t>
  </si>
  <si>
    <t>Brodie, Harold J.</t>
  </si>
  <si>
    <t>QK629.N5.B398 1975</t>
  </si>
  <si>
    <t>589/.221</t>
  </si>
  <si>
    <t>http://public.eblib.com/choice/PublicFullRecord.aspx?p=4669372</t>
  </si>
  <si>
    <t>The Czech Renascence of the Nineteenth Century</t>
  </si>
  <si>
    <t>Brock, Peter; Skilling, H. Gordon</t>
  </si>
  <si>
    <t>DB214.C943 1970</t>
  </si>
  <si>
    <t>914.37/03/2</t>
  </si>
  <si>
    <t>http://public.eblib.com/choice/PublicFullRecord.aspx?p=4669373</t>
  </si>
  <si>
    <t>Monetary and Fiscal Thought and Policy in Canada, 1919-1939</t>
  </si>
  <si>
    <t>Brecher, Irving</t>
  </si>
  <si>
    <t>HG654.B743 1957</t>
  </si>
  <si>
    <t>http://public.eblib.com/choice/PublicFullRecord.aspx?p=4669374</t>
  </si>
  <si>
    <t>My Lady of the Snows</t>
  </si>
  <si>
    <t>Brown, Margaret, A.; Lochhead, Douglas</t>
  </si>
  <si>
    <t>PZ3.B81724.B769 1973</t>
  </si>
  <si>
    <t>813/.5/2</t>
  </si>
  <si>
    <t>http://public.eblib.com/choice/PublicFullRecord.aspx?p=4669375</t>
  </si>
  <si>
    <t>Canadian Population and Northern Colonization</t>
  </si>
  <si>
    <t>Bladen, Vincent, W.</t>
  </si>
  <si>
    <t>HB3529.C363 1962</t>
  </si>
  <si>
    <t>http://public.eblib.com/choice/PublicFullRecord.aspx?p=4669376</t>
  </si>
  <si>
    <t>Studies in the Eighteenth Century : Papers presented at the David Nichol Smith Memorial Seminar, Canberra 1966</t>
  </si>
  <si>
    <t>Brissenden, R. F.</t>
  </si>
  <si>
    <t>http://public.eblib.com/choice/PublicFullRecord.aspx?p=4669377</t>
  </si>
  <si>
    <t>Studies in the Eighteenth Century II : Papers presented at the Second David Nichol Smith Memorial Seminar, Canberra 1970</t>
  </si>
  <si>
    <t>http://public.eblib.com/choice/PublicFullRecord.aspx?p=4669378</t>
  </si>
  <si>
    <t>The Young Vincent Massey</t>
  </si>
  <si>
    <t>Bissell, Claude</t>
  </si>
  <si>
    <t>F1034.M35.B577 1981</t>
  </si>
  <si>
    <t>971.06/092/4</t>
  </si>
  <si>
    <t>http://public.eblib.com/choice/PublicFullRecord.aspx?p=4669380</t>
  </si>
  <si>
    <t>Imagination and the University</t>
  </si>
  <si>
    <t>Bronowski, Jacob; Commager, Henry Steele; Allport, Gordon W.</t>
  </si>
  <si>
    <t>LB1062.I434 1964</t>
  </si>
  <si>
    <t>http://public.eblib.com/choice/PublicFullRecord.aspx?p=4669381</t>
  </si>
  <si>
    <t>Electrophysiology of Extraocular Muscle</t>
  </si>
  <si>
    <t>Breinin, Goodwin, M.</t>
  </si>
  <si>
    <t>http://public.eblib.com/choice/PublicFullRecord.aspx?p=4669384</t>
  </si>
  <si>
    <t>The Judicial Committee and the British North America Act : An Analysis of the Interpretative Scheme for the Distribution of Legislative Powers</t>
  </si>
  <si>
    <t>Browne, G P.</t>
  </si>
  <si>
    <t>KE4275.B398 1967</t>
  </si>
  <si>
    <t>328.3/4</t>
  </si>
  <si>
    <t>http://public.eblib.com/choice/PublicFullRecord.aspx?p=4669391</t>
  </si>
  <si>
    <t>Characterization of the Electrical Environment</t>
  </si>
  <si>
    <t>Bodle, David; Ghazi, Axel J.; Syed, Moninuddin</t>
  </si>
  <si>
    <t>http://public.eblib.com/choice/PublicFullRecord.aspx?p=4669397</t>
  </si>
  <si>
    <t>Brown, D. G.</t>
  </si>
  <si>
    <t>http://public.eblib.com/choice/PublicFullRecord.aspx?p=4669398</t>
  </si>
  <si>
    <t>Our Living Tradition : First Series</t>
  </si>
  <si>
    <t>F1005.O97 1966</t>
  </si>
  <si>
    <t>http://public.eblib.com/choice/PublicFullRecord.aspx?p=4669399</t>
  </si>
  <si>
    <t>A Darkened House : Cholera in Nineteenth-Century Canada</t>
  </si>
  <si>
    <t>Bilson, Geoffrey</t>
  </si>
  <si>
    <t>RC132.C2.B557 1980</t>
  </si>
  <si>
    <t>614.5/14/0971</t>
  </si>
  <si>
    <t>http://public.eblib.com/choice/PublicFullRecord.aspx?p=4669400</t>
  </si>
  <si>
    <t>Old English Studies in Honour of John C. Pope</t>
  </si>
  <si>
    <t>Burlin, Robert B; Irving Jr., Edward B.</t>
  </si>
  <si>
    <t>PR176.O43 1974</t>
  </si>
  <si>
    <t>829/.1</t>
  </si>
  <si>
    <t>http://public.eblib.com/choice/PublicFullRecord.aspx?p=4669401</t>
  </si>
  <si>
    <t>Modern Fiscal Issues : Essays in Honour of Carl S. Shoup</t>
  </si>
  <si>
    <t>Bird, Richard, M.; Head, John, G.</t>
  </si>
  <si>
    <t>HJ141.M634 1972</t>
  </si>
  <si>
    <t>http://public.eblib.com/choice/PublicFullRecord.aspx?p=4669402</t>
  </si>
  <si>
    <t>Agent, Action, and Reason</t>
  </si>
  <si>
    <t>Binkley, Robert W.; Bronaugh, R. N.; Marras, Ausonio</t>
  </si>
  <si>
    <t>http://public.eblib.com/choice/PublicFullRecord.aspx?p=4669403</t>
  </si>
  <si>
    <t>Legendary Sources of Flaubert's Saint Julien</t>
  </si>
  <si>
    <t>University of Toronto Romance Series</t>
  </si>
  <si>
    <t>Bart, Benjamin, F.; Cook, Robert, F.</t>
  </si>
  <si>
    <t>PQ2246.L5.B378 1977</t>
  </si>
  <si>
    <t>843/.8</t>
  </si>
  <si>
    <t>http://public.eblib.com/choice/PublicFullRecord.aspx?p=4669405</t>
  </si>
  <si>
    <t>Musical Canada : Words and Music Honouring Helmut Kallmann</t>
  </si>
  <si>
    <t>Beckwith, John; Hall, Frederick A.</t>
  </si>
  <si>
    <t>ML55.M875 1988</t>
  </si>
  <si>
    <t>780/.971</t>
  </si>
  <si>
    <t>http://public.eblib.com/choice/PublicFullRecord.aspx?p=4669408</t>
  </si>
  <si>
    <t>Lesya Ukrainka</t>
  </si>
  <si>
    <t>Bida, Constantine; Rich, Vera</t>
  </si>
  <si>
    <t>http://public.eblib.com/choice/PublicFullRecord.aspx?p=4669409</t>
  </si>
  <si>
    <t>In the Midst of Alarms</t>
  </si>
  <si>
    <t>Barr, Robert; Lochhead, Douglas</t>
  </si>
  <si>
    <t>PZ3.B272.B377 1973</t>
  </si>
  <si>
    <t>http://public.eblib.com/choice/PublicFullRecord.aspx?p=4669412</t>
  </si>
  <si>
    <t>Canadian-Soviet Relations between the World Wars</t>
  </si>
  <si>
    <t>Balawyder, Aloysius</t>
  </si>
  <si>
    <t>F1029.5.R9.B353 1972</t>
  </si>
  <si>
    <t>327.71/047</t>
  </si>
  <si>
    <t>http://public.eblib.com/choice/PublicFullRecord.aspx?p=4669413</t>
  </si>
  <si>
    <t>Spanish Poetry of the Golden Age</t>
  </si>
  <si>
    <t>Buchanan, Milton, A.</t>
  </si>
  <si>
    <t>PQ6184.S636 1970</t>
  </si>
  <si>
    <t>http://public.eblib.com/choice/PublicFullRecord.aspx?p=4669414</t>
  </si>
  <si>
    <t>Sir Charles God Damn : The Life of Sir Charles G.D.Roberts</t>
  </si>
  <si>
    <t>Adams, John Coldwell</t>
  </si>
  <si>
    <t>PR9199.2.R6.A336 1986</t>
  </si>
  <si>
    <t>818/.5209</t>
  </si>
  <si>
    <t>http://public.eblib.com/choice/PublicFullRecord.aspx?p=4669415</t>
  </si>
  <si>
    <t>Social Work in the Hospital Organization</t>
  </si>
  <si>
    <t>Brock, Margaret, G.</t>
  </si>
  <si>
    <t>HV687.B763 1969</t>
  </si>
  <si>
    <t>http://public.eblib.com/choice/PublicFullRecord.aspx?p=4669416</t>
  </si>
  <si>
    <t>Selected Papers of Charles H. Best</t>
  </si>
  <si>
    <t>Best, Charles Herbert</t>
  </si>
  <si>
    <t>http://public.eblib.com/choice/PublicFullRecord.aspx?p=4669417</t>
  </si>
  <si>
    <t>The Conflict of European and Eastern Algonkian Cultures, 1504-1700 : A Study in Canadian Civilization, Second Edition</t>
  </si>
  <si>
    <t>F1021.B355 1969</t>
  </si>
  <si>
    <t>917.1/03/1</t>
  </si>
  <si>
    <t>http://public.eblib.com/choice/PublicFullRecord.aspx?p=4669418</t>
  </si>
  <si>
    <t>Jacques Chessex : Calvinism and the Text</t>
  </si>
  <si>
    <t>Bond, David, J.</t>
  </si>
  <si>
    <t>http://public.eblib.com/choice/PublicFullRecord.aspx?p=4669419</t>
  </si>
  <si>
    <t>Economic Thinking and Pollution Problems</t>
  </si>
  <si>
    <t>Auld, Douglas</t>
  </si>
  <si>
    <t>HC120.P55.E266 1972</t>
  </si>
  <si>
    <t>http://public.eblib.com/choice/PublicFullRecord.aspx?p=4669420</t>
  </si>
  <si>
    <t>Being a Parent : Unchanging Values in a Changing World</t>
  </si>
  <si>
    <t>Bernhardt, Karl, S.; Bernhardt, David, K.</t>
  </si>
  <si>
    <t>HQ769.B476 1970</t>
  </si>
  <si>
    <t>http://public.eblib.com/choice/PublicFullRecord.aspx?p=4669421</t>
  </si>
  <si>
    <t>Mathmatical Recreations &amp; Essays : 12th Edition</t>
  </si>
  <si>
    <t>Ball, W. W.; Coxeter, H.S.M.</t>
  </si>
  <si>
    <t>Mathematics; Sport &amp; Recreation</t>
  </si>
  <si>
    <t>QA95.B355 1974</t>
  </si>
  <si>
    <t>793.7/4</t>
  </si>
  <si>
    <t>http://public.eblib.com/choice/PublicFullRecord.aspx?p=4669422</t>
  </si>
  <si>
    <t>The Bunkhouse Man : Life and Labour in the Northern Work Camps</t>
  </si>
  <si>
    <t>Bradwin, Edmund W.; Burnet, Jean</t>
  </si>
  <si>
    <t>http://public.eblib.com/choice/PublicFullRecord.aspx?p=4669423</t>
  </si>
  <si>
    <t>Paradise : Class, Commuters, and Ethnicity in Rural Ontario</t>
  </si>
  <si>
    <t>HN110.O5.B37 1994</t>
  </si>
  <si>
    <t>307.72/09713</t>
  </si>
  <si>
    <t>http://public.eblib.com/choice/PublicFullRecord.aspx?p=4669424</t>
  </si>
  <si>
    <t>Epistola ad Joannem Millium</t>
  </si>
  <si>
    <t>Bentley, Richard; Goold, G. P.</t>
  </si>
  <si>
    <t>http://public.eblib.com/choice/PublicFullRecord.aspx?p=4669425</t>
  </si>
  <si>
    <t>A Short Dictionary of Anglo-Saxon Poetry</t>
  </si>
  <si>
    <t>Bessinger, J. B.</t>
  </si>
  <si>
    <t>http://public.eblib.com/choice/PublicFullRecord.aspx?p=4669426</t>
  </si>
  <si>
    <t>The Early H.G.Wells : A Study of the Scientific Romances</t>
  </si>
  <si>
    <t>Bergonzi, Bernard</t>
  </si>
  <si>
    <t>PR5777.B474 1961</t>
  </si>
  <si>
    <t>823/.9/12</t>
  </si>
  <si>
    <t>http://public.eblib.com/choice/PublicFullRecord.aspx?p=4669427</t>
  </si>
  <si>
    <t>The Land of Open Doors : Being Letters from Western Canada 1911-1913</t>
  </si>
  <si>
    <t>Bickersteth, J. Burgon</t>
  </si>
  <si>
    <t>F1076.B535 1976</t>
  </si>
  <si>
    <t>971.23/02/0924</t>
  </si>
  <si>
    <t>http://public.eblib.com/choice/PublicFullRecord.aspx?p=4669432</t>
  </si>
  <si>
    <t>Books on Asia from the Near East to the Far East</t>
  </si>
  <si>
    <t>Birnbaum, Eleazar</t>
  </si>
  <si>
    <t>http://public.eblib.com/choice/PublicFullRecord.aspx?p=4669433</t>
  </si>
  <si>
    <t>Halfway up Parnassus : A Personal Account of the University of Toronto, 1932-1971</t>
  </si>
  <si>
    <t>LE3.T52.B577 1974</t>
  </si>
  <si>
    <t>378.713/541</t>
  </si>
  <si>
    <t>http://public.eblib.com/choice/PublicFullRecord.aspx?p=4669434</t>
  </si>
  <si>
    <t>Customs Administration in Canada</t>
  </si>
  <si>
    <t>Blake, Gordon</t>
  </si>
  <si>
    <t>HJ6751.B535 1957</t>
  </si>
  <si>
    <t>http://public.eblib.com/choice/PublicFullRecord.aspx?p=4669435</t>
  </si>
  <si>
    <t>From Adam Smith to Maynard Keynes : The Heritage of Political Economy</t>
  </si>
  <si>
    <t>http://public.eblib.com/choice/PublicFullRecord.aspx?p=4669436</t>
  </si>
  <si>
    <t>Doctors and Doctrines : The Ideology of Medical Care in Canada</t>
  </si>
  <si>
    <t>Blishen, Bernard, R.</t>
  </si>
  <si>
    <t>RA412.5.C3.B557 1969</t>
  </si>
  <si>
    <t>http://public.eblib.com/choice/PublicFullRecord.aspx?p=4669437</t>
  </si>
  <si>
    <t>The Imperial Canadian</t>
  </si>
  <si>
    <t>F1034.M35.B577 1986</t>
  </si>
  <si>
    <t>http://public.eblib.com/choice/PublicFullRecord.aspx?p=4669438</t>
  </si>
  <si>
    <t>Inside Out : The Social Meaning of Mental Retardation</t>
  </si>
  <si>
    <t>Bogdan, Robert; Taylor, Steven J.; Sarason, Seymour B.</t>
  </si>
  <si>
    <t>HV3004.B643 1982</t>
  </si>
  <si>
    <t>362.3/092/2</t>
  </si>
  <si>
    <t>http://public.eblib.com/choice/PublicFullRecord.aspx?p=4669439</t>
  </si>
  <si>
    <t>Certain Sermons or Homilies (1547) and a Homily against Disobedience and Wilful Rebellion (1570) : A Critical Edition</t>
  </si>
  <si>
    <t>Bond, Ronald, B.</t>
  </si>
  <si>
    <t>http://public.eblib.com/choice/PublicFullRecord.aspx?p=4669440</t>
  </si>
  <si>
    <t>Letters to Limbo</t>
  </si>
  <si>
    <t>Borden, Robert, L.; Borden, Henry</t>
  </si>
  <si>
    <t>http://public.eblib.com/choice/PublicFullRecord.aspx?p=4669441</t>
  </si>
  <si>
    <t>Conference on Statistics 1960 : Papers</t>
  </si>
  <si>
    <t>Beach, E. F.; Weldon, J. C.</t>
  </si>
  <si>
    <t>HA12.C664 1962</t>
  </si>
  <si>
    <t>http://public.eblib.com/choice/PublicFullRecord.aspx?p=4669442</t>
  </si>
  <si>
    <t>I Bless You in My Heart : Selected Correspondence of Catharine Parr Traill</t>
  </si>
  <si>
    <t>Ballstadt, Carl; Peterman, Michael; Hopkins, Elizabeth</t>
  </si>
  <si>
    <t>F1057.T735 1996</t>
  </si>
  <si>
    <t>971.3/02/092</t>
  </si>
  <si>
    <t>http://public.eblib.com/choice/PublicFullRecord.aspx?p=4669443</t>
  </si>
  <si>
    <t>Dot It Down : A Story of Life in the North-West</t>
  </si>
  <si>
    <t>Begg, Alexander; Lochhead, Douglas</t>
  </si>
  <si>
    <t>PR9199.3.B4385.B444 1973</t>
  </si>
  <si>
    <t>http://public.eblib.com/choice/PublicFullRecord.aspx?p=4669444</t>
  </si>
  <si>
    <t>Forest Soils : Properties and Processes</t>
  </si>
  <si>
    <t>Armson, Ken</t>
  </si>
  <si>
    <t>SD390.A767 1977</t>
  </si>
  <si>
    <t>http://public.eblib.com/choice/PublicFullRecord.aspx?p=4669445</t>
  </si>
  <si>
    <t>Surrealism and Quebec Literature : History of a Cultural Revolution</t>
  </si>
  <si>
    <t>Bourassa, André, G.; Czarnecki, Mark</t>
  </si>
  <si>
    <t>http://public.eblib.com/choice/PublicFullRecord.aspx?p=4669446</t>
  </si>
  <si>
    <t>Thunder Bay District, 1821 - 1892</t>
  </si>
  <si>
    <t>Arthur, Elizabeth</t>
  </si>
  <si>
    <t>F1059.T5.T486 1973</t>
  </si>
  <si>
    <t>917.1312/03/2</t>
  </si>
  <si>
    <t>http://public.eblib.com/choice/PublicFullRecord.aspx?p=4669447</t>
  </si>
  <si>
    <t>Research Compendium : Review and Abstracts of Graduate Research, 1942-1962</t>
  </si>
  <si>
    <t>Avison, Margaret; Rose, Albert; Strakhovsky, Florence</t>
  </si>
  <si>
    <t>General Works/Reference; Education</t>
  </si>
  <si>
    <t>LB2391.C2.R474 1964</t>
  </si>
  <si>
    <t>http://public.eblib.com/choice/PublicFullRecord.aspx?p=4669448</t>
  </si>
  <si>
    <t>n-gons</t>
  </si>
  <si>
    <t>Bachmann, Friedrich; Schmidt, Eckart; Garner, Cyril W.L.</t>
  </si>
  <si>
    <t>QA482.B334 1975</t>
  </si>
  <si>
    <t>516/.22</t>
  </si>
  <si>
    <t>http://public.eblib.com/choice/PublicFullRecord.aspx?p=4669449</t>
  </si>
  <si>
    <t>Measure of the Rule</t>
  </si>
  <si>
    <t>Barr, Robert; Mackendrick, Louise, K.; Lochhead, Douglas</t>
  </si>
  <si>
    <t>PR4069.B38.B377 1973</t>
  </si>
  <si>
    <t>http://public.eblib.com/choice/PublicFullRecord.aspx?p=4669450</t>
  </si>
  <si>
    <t>Edgar Allan Poe : sa vie et ses ouvrages</t>
  </si>
  <si>
    <t>Baudelaire, Charles; Bandy, W. T.</t>
  </si>
  <si>
    <t>PS2631.B383 1973</t>
  </si>
  <si>
    <t>818/.3/09</t>
  </si>
  <si>
    <t>http://public.eblib.com/choice/PublicFullRecord.aspx?p=4669451</t>
  </si>
  <si>
    <t>Naturalisme pas mort : Lettres inédites de Paul Alexis à Emile Zola, 1871-1900</t>
  </si>
  <si>
    <t>Bakker, B. H.</t>
  </si>
  <si>
    <t>PQ2152.A6.N388 1971</t>
  </si>
  <si>
    <t>http://public.eblib.com/choice/PublicFullRecord.aspx?p=4669452</t>
  </si>
  <si>
    <t>La province de Quebec</t>
  </si>
  <si>
    <t>Beaulieu, André; Morley, W.F.E.; Bernier, Benôit; Bernier, Benoit</t>
  </si>
  <si>
    <t>History; General Works/Reference</t>
  </si>
  <si>
    <t>F1052.95.B438 1971</t>
  </si>
  <si>
    <t>http://public.eblib.com/choice/PublicFullRecord.aspx?p=4669453</t>
  </si>
  <si>
    <t>The Government of Nova Scotia</t>
  </si>
  <si>
    <t>Beck, James Murray</t>
  </si>
  <si>
    <t>JL304.B435 1957</t>
  </si>
  <si>
    <t>http://public.eblib.com/choice/PublicFullRecord.aspx?p=4669454</t>
  </si>
  <si>
    <t>Practical Exporting and Importing in Canada</t>
  </si>
  <si>
    <t>Arnold, J. R.</t>
  </si>
  <si>
    <t>HF3227.A766 1961</t>
  </si>
  <si>
    <t>http://public.eblib.com/choice/PublicFullRecord.aspx?p=4669455</t>
  </si>
  <si>
    <t>Eastern and Western Perspectives : Papers from the Joint Atlantic Canada/Western Canadian Studs. Conference</t>
  </si>
  <si>
    <t>Bercuson, David, J.; Buckner, Phillip, A.</t>
  </si>
  <si>
    <t>http://public.eblib.com/choice/PublicFullRecord.aspx?p=4669456</t>
  </si>
  <si>
    <t>Canada and the Far East : 1940-1953</t>
  </si>
  <si>
    <t>Angus, H. F.</t>
  </si>
  <si>
    <t>DS158.9.C3.A548 1953</t>
  </si>
  <si>
    <t>http://public.eblib.com/choice/PublicFullRecord.aspx?p=4669457</t>
  </si>
  <si>
    <t>Canadians and Foreign Policy : The Record of an Independent Investigation</t>
  </si>
  <si>
    <t>Alexander, Frederick</t>
  </si>
  <si>
    <t>http://public.eblib.com/choice/PublicFullRecord.aspx?p=4669458</t>
  </si>
  <si>
    <t>The Politics of Federalism : Ontario's Relations with the Federal Government. 1867-1942</t>
  </si>
  <si>
    <t>JL27.A767 1981</t>
  </si>
  <si>
    <t>321.02/3/0971</t>
  </si>
  <si>
    <t>http://public.eblib.com/choice/PublicFullRecord.aspx?p=4669459</t>
  </si>
  <si>
    <t>Rural Protest on Prince Edward Island : From British Colonization to the Escheat Movement</t>
  </si>
  <si>
    <t>Bittermann, Rusty; Bittermann, Rusty</t>
  </si>
  <si>
    <t>Business/Management; Economics; Agriculture</t>
  </si>
  <si>
    <t>HD1511.C22.B588 2006</t>
  </si>
  <si>
    <t>333.3/1717091734</t>
  </si>
  <si>
    <t>http://public.eblib.com/choice/PublicFullRecord.aspx?p=4669460</t>
  </si>
  <si>
    <t>Alternative Voices : Essays on Contemporary Vocal and Choral Composition</t>
  </si>
  <si>
    <t>Anhalt, Istvan</t>
  </si>
  <si>
    <t>http://public.eblib.com/choice/PublicFullRecord.aspx?p=4669463</t>
  </si>
  <si>
    <t>Colonial Extractions : Race and Canadian Mining in Contemporary Africa</t>
  </si>
  <si>
    <t>Butler, Paula</t>
  </si>
  <si>
    <t>http://public.eblib.com/choice/PublicFullRecord.aspx?p=4669466</t>
  </si>
  <si>
    <t>Fixing the Future : How Canada's Usually Fractious Governments Worked Together to Rescue the Canada Pension Plan</t>
  </si>
  <si>
    <t>Rotman-UTP Publishing</t>
  </si>
  <si>
    <t>Little, Bruce</t>
  </si>
  <si>
    <t>HD7105.35.C2.L588 2008</t>
  </si>
  <si>
    <t>368.4/300971</t>
  </si>
  <si>
    <t>http://public.eblib.com/choice/PublicFullRecord.aspx?p=4669470</t>
  </si>
  <si>
    <t>Edward Blake, Irish Nationalist : A Canadian Statesman in Irish Politics 1892-1907</t>
  </si>
  <si>
    <t>Banks, Margaret A.</t>
  </si>
  <si>
    <t>DA958.B54.B365 1957</t>
  </si>
  <si>
    <t>http://public.eblib.com/choice/PublicFullRecord.aspx?p=4669471</t>
  </si>
  <si>
    <t>Inventories and the Business Cycle</t>
  </si>
  <si>
    <t>Barber, Clarence, L.</t>
  </si>
  <si>
    <t>http://public.eblib.com/choice/PublicFullRecord.aspx?p=4669472</t>
  </si>
  <si>
    <t>Essays on German Literature : In Honour of G.Joyce Hallamore</t>
  </si>
  <si>
    <t>Batts, Michael, S.; Stankiewicz, Marketa, G.</t>
  </si>
  <si>
    <t>http://public.eblib.com/choice/PublicFullRecord.aspx?p=4669473</t>
  </si>
  <si>
    <t>Old Norse-Icelandic Studies : A Selected Bibliography</t>
  </si>
  <si>
    <t>Bekker-Nielsen, Hans</t>
  </si>
  <si>
    <t>Language/Linguistics; General Works/Reference</t>
  </si>
  <si>
    <t>PD2215.O43 1967</t>
  </si>
  <si>
    <t>http://public.eblib.com/choice/PublicFullRecord.aspx?p=4669474</t>
  </si>
  <si>
    <t>University College : A Portrait, 1853-1953</t>
  </si>
  <si>
    <t>LE3.T52.U558 1953</t>
  </si>
  <si>
    <t>http://public.eblib.com/choice/PublicFullRecord.aspx?p=4669475</t>
  </si>
  <si>
    <t>Human Security : Some Reflections</t>
  </si>
  <si>
    <t>Blatz, W. E.</t>
  </si>
  <si>
    <t>BF575.S35.B538 1967</t>
  </si>
  <si>
    <t>http://public.eblib.com/choice/PublicFullRecord.aspx?p=4669476</t>
  </si>
  <si>
    <t>The Renaissance and English Humanism</t>
  </si>
  <si>
    <t>Bush, Douglas</t>
  </si>
  <si>
    <t>B778.B874 1962</t>
  </si>
  <si>
    <t>http://public.eblib.com/choice/PublicFullRecord.aspx?p=4669477</t>
  </si>
  <si>
    <t>Moral Education : Interdisciplinary Approaches</t>
  </si>
  <si>
    <t>Beck, Clive, M.; Crittenden, Brian, S.; Sullivan, Edmund, V.</t>
  </si>
  <si>
    <t>http://public.eblib.com/choice/PublicFullRecord.aspx?p=4669478</t>
  </si>
  <si>
    <t>An Introduction to Political Economy</t>
  </si>
  <si>
    <t>http://public.eblib.com/choice/PublicFullRecord.aspx?p=4669479</t>
  </si>
  <si>
    <t>The German Novel, 1939-1944</t>
  </si>
  <si>
    <t>Boeschenstein, H.</t>
  </si>
  <si>
    <t>PT772.B647 1949</t>
  </si>
  <si>
    <t>http://public.eblib.com/choice/PublicFullRecord.aspx?p=4669480</t>
  </si>
  <si>
    <t>International Geography 1972 : Volumes 1 and 2</t>
  </si>
  <si>
    <t>Adams, Peter; Helleiner, Frederick, M.</t>
  </si>
  <si>
    <t>G56.I584 1972</t>
  </si>
  <si>
    <t>http://public.eblib.com/choice/PublicFullRecord.aspx?p=4669481</t>
  </si>
  <si>
    <t>Sir Guy Carleton : (Lord Dorchester)</t>
  </si>
  <si>
    <t>Bradley, A. G.</t>
  </si>
  <si>
    <t>F1032.B733 1966</t>
  </si>
  <si>
    <t>http://public.eblib.com/choice/PublicFullRecord.aspx?p=4669482</t>
  </si>
  <si>
    <t>In Search of Chaucer</t>
  </si>
  <si>
    <t>Bronson, Bertrand H.</t>
  </si>
  <si>
    <t>PR1924.B766 1963</t>
  </si>
  <si>
    <t>http://public.eblib.com/choice/PublicFullRecord.aspx?p=4669483</t>
  </si>
  <si>
    <t>Rhythm in the Novel</t>
  </si>
  <si>
    <t>Brown, E. K.</t>
  </si>
  <si>
    <t>PN3383.R5.B769 1963</t>
  </si>
  <si>
    <t>http://public.eblib.com/choice/PublicFullRecord.aspx?p=4669484</t>
  </si>
  <si>
    <t>Towards a Constitutional Charter for Canada</t>
  </si>
  <si>
    <t>Abel, Albert S.</t>
  </si>
  <si>
    <t>KE4219.A245 1980</t>
  </si>
  <si>
    <t>http://public.eblib.com/choice/PublicFullRecord.aspx?p=4669485</t>
  </si>
  <si>
    <t>Italian Women Writers : Gender and Everyday Life in Fiction and Journalism, 1870-1910</t>
  </si>
  <si>
    <t>Mitchell, Katharine</t>
  </si>
  <si>
    <t>http://public.eblib.com/choice/PublicFullRecord.aspx?p=4669486</t>
  </si>
  <si>
    <t>Transnational Cervantes</t>
  </si>
  <si>
    <t>Childers, William</t>
  </si>
  <si>
    <t>http://public.eblib.com/choice/PublicFullRecord.aspx?p=4669496</t>
  </si>
  <si>
    <t>Science, God, and Nature in Victorian Canada : The 1982 Joanne Goodman Lectures</t>
  </si>
  <si>
    <t>Joanne Goodman Lectures</t>
  </si>
  <si>
    <t>Berger, Carl</t>
  </si>
  <si>
    <t>QH21.C3.B474 1983</t>
  </si>
  <si>
    <t>http://public.eblib.com/choice/PublicFullRecord.aspx?p=4669497</t>
  </si>
  <si>
    <t>Trade Liberalizaton and the Canadian Furniture Industry</t>
  </si>
  <si>
    <t>Bond, David, E.; Wonnacott, Ronald, J.</t>
  </si>
  <si>
    <t>HD9773.C22.B663 1968</t>
  </si>
  <si>
    <t>382/.45/684100971</t>
  </si>
  <si>
    <t>http://public.eblib.com/choice/PublicFullRecord.aspx?p=4669498</t>
  </si>
  <si>
    <t>E.H. Norman : His Life and Scholarship</t>
  </si>
  <si>
    <t>Bowen, Roger, W.</t>
  </si>
  <si>
    <t>DS834.9.N67.E4 1984</t>
  </si>
  <si>
    <t>971.063/092/4</t>
  </si>
  <si>
    <t>http://public.eblib.com/choice/PublicFullRecord.aspx?p=4669499</t>
  </si>
  <si>
    <t>The Soviet Wood-Processing Industry : A linear programming analysis of the role of transportation costs in location and flow patterns</t>
  </si>
  <si>
    <t>Barr, Brenton M.</t>
  </si>
  <si>
    <t>HD9765.R9.B377 1970</t>
  </si>
  <si>
    <t>338.4/7/67480947</t>
  </si>
  <si>
    <t>http://public.eblib.com/choice/PublicFullRecord.aspx?p=4669500</t>
  </si>
  <si>
    <t>The Jewish Emergence from Powerlessness</t>
  </si>
  <si>
    <t>Bauer, Yehuda</t>
  </si>
  <si>
    <t>D810.J4.B384 1979</t>
  </si>
  <si>
    <t>940.53/1503/924</t>
  </si>
  <si>
    <t>http://public.eblib.com/choice/PublicFullRecord.aspx?p=4669501</t>
  </si>
  <si>
    <t>Honour Among Men and Nations : Transformations of an idea</t>
  </si>
  <si>
    <t>Best, Geoffrey</t>
  </si>
  <si>
    <t>JC311.B478 1982</t>
  </si>
  <si>
    <t>http://public.eblib.com/choice/PublicFullRecord.aspx?p=4669503</t>
  </si>
  <si>
    <t>Regulation by Municipal Licensing</t>
  </si>
  <si>
    <t>Bossons, John; Makuch, S.M.; Palmer, John</t>
  </si>
  <si>
    <t>KEO430.B677 1984</t>
  </si>
  <si>
    <t>352/.8/09713</t>
  </si>
  <si>
    <t>http://public.eblib.com/choice/PublicFullRecord.aspx?p=4669504</t>
  </si>
  <si>
    <t>Canada and the Birth of Israel : A Study in Canadian Foreign Policy</t>
  </si>
  <si>
    <t>Bercuson, David, J.</t>
  </si>
  <si>
    <t>F1029.5.I7.B473 1985</t>
  </si>
  <si>
    <t>http://public.eblib.com/choice/PublicFullRecord.aspx?p=4669505</t>
  </si>
  <si>
    <t>Distribution of Income and Wealth in Ontario : Theory and Evidence</t>
  </si>
  <si>
    <t>Beach, Charles M.; Flatters, Frank; Card, David E.</t>
  </si>
  <si>
    <t>HC117.O6.B433 1981</t>
  </si>
  <si>
    <t>339.2/09713</t>
  </si>
  <si>
    <t>http://public.eblib.com/choice/PublicFullRecord.aspx?p=4669506</t>
  </si>
  <si>
    <t>The Ethical Poetic of the Later Middle Ages : A decorum of convenient distinction</t>
  </si>
  <si>
    <t>Allen, Judson Boyce</t>
  </si>
  <si>
    <t>PN88.A454 1982</t>
  </si>
  <si>
    <t>801/.951/0902</t>
  </si>
  <si>
    <t>http://public.eblib.com/choice/PublicFullRecord.aspx?p=4669507</t>
  </si>
  <si>
    <t>Urban Systems Development in Central Canada : Selected Papers</t>
  </si>
  <si>
    <t>Bourne, L. S.; MacKinnon, Ross D.</t>
  </si>
  <si>
    <t>http://public.eblib.com/choice/PublicFullRecord.aspx?p=4669509</t>
  </si>
  <si>
    <t>Transportation Rates and Economic Development in Northern Ontario</t>
  </si>
  <si>
    <t>Bonsor, N.C.</t>
  </si>
  <si>
    <t>HE2135.B667 1977</t>
  </si>
  <si>
    <t>380.5/2</t>
  </si>
  <si>
    <t>http://public.eblib.com/choice/PublicFullRecord.aspx?p=4669510</t>
  </si>
  <si>
    <t>The Atmospheric Environment : A Study of Comfort and Performance</t>
  </si>
  <si>
    <t>Auliciems, Andris</t>
  </si>
  <si>
    <t>Science: Anatomy/Physiology; Science: Biology/Natural History; Science</t>
  </si>
  <si>
    <t>QP82.2.T4.A955 1972</t>
  </si>
  <si>
    <t>612/.01446</t>
  </si>
  <si>
    <t>http://public.eblib.com/choice/PublicFullRecord.aspx?p=4669511</t>
  </si>
  <si>
    <t>Property Crime in Canada : An Econometric Study</t>
  </si>
  <si>
    <t>Avio, Kenneth L.; Clark, C. Scott</t>
  </si>
  <si>
    <t>HV6807.A956 1976</t>
  </si>
  <si>
    <t>364.1/6/0971</t>
  </si>
  <si>
    <t>http://public.eblib.com/choice/PublicFullRecord.aspx?p=4669513</t>
  </si>
  <si>
    <t>Weighting Evidence in Language and Literature : A Statistical Approach</t>
  </si>
  <si>
    <t>Brainerd, Barron</t>
  </si>
  <si>
    <t>http://public.eblib.com/choice/PublicFullRecord.aspx?p=4669514</t>
  </si>
  <si>
    <t>The City Below The Hill : The Slums of Montreal, 1897</t>
  </si>
  <si>
    <t>Ames, Herbert Brown; Rutherford, Paul</t>
  </si>
  <si>
    <t>HN110.M63.A447 1972</t>
  </si>
  <si>
    <t>309.1/714/281056</t>
  </si>
  <si>
    <t>http://public.eblib.com/choice/PublicFullRecord.aspx?p=4669515</t>
  </si>
  <si>
    <t>A Celebration of Ben Jonson</t>
  </si>
  <si>
    <t>Blissett, William, F.; Patrick, Julian; Van Fossen, R.W.</t>
  </si>
  <si>
    <t>http://public.eblib.com/choice/PublicFullRecord.aspx?p=4669516</t>
  </si>
  <si>
    <t>Our Intellectual Strength and Weakness : 'English-Canadian Literature' and 'French-Canadian Literature'</t>
  </si>
  <si>
    <t>Bourinot, John George; Marquis, Thomas Guthrie; Roy, Camille</t>
  </si>
  <si>
    <t>F1021.B687 1973</t>
  </si>
  <si>
    <t>http://public.eblib.com/choice/PublicFullRecord.aspx?p=4669517</t>
  </si>
  <si>
    <t>My Sister's Keeper</t>
  </si>
  <si>
    <t>Allan, Ted</t>
  </si>
  <si>
    <t>PR9268.A453 1969</t>
  </si>
  <si>
    <t>http://public.eblib.com/choice/PublicFullRecord.aspx?p=4669518</t>
  </si>
  <si>
    <t>The New Christianity : The Theology of the Social Gospel</t>
  </si>
  <si>
    <t>Bland, Salem; Allen, Richard</t>
  </si>
  <si>
    <t>http://public.eblib.com/choice/PublicFullRecord.aspx?p=4669519</t>
  </si>
  <si>
    <t>Oneida-English/English-Oneida Dictionary</t>
  </si>
  <si>
    <t>Michelson, Karin E.; Doxtator, Mercy A.</t>
  </si>
  <si>
    <t>PM2073.Z5.M534 2002</t>
  </si>
  <si>
    <t>497/.55</t>
  </si>
  <si>
    <t>http://public.eblib.com/choice/PublicFullRecord.aspx?p=4669520</t>
  </si>
  <si>
    <t>Gompers in Canada : A Study in American Continentalism Before the First World War</t>
  </si>
  <si>
    <t>Babcock, Robert, H.</t>
  </si>
  <si>
    <t>HD6525.G6.B333 1974</t>
  </si>
  <si>
    <t>331.88/32/0971</t>
  </si>
  <si>
    <t>http://public.eblib.com/choice/PublicFullRecord.aspx?p=4669521</t>
  </si>
  <si>
    <t>The Search for English-Canadian Literature : An Anthology of Critical Articles from the Nineteenth and Early Twentieth Centuries</t>
  </si>
  <si>
    <t>Ballstadt, Carl</t>
  </si>
  <si>
    <t>PR9184.6.S437 1975</t>
  </si>
  <si>
    <t>810/.9/971</t>
  </si>
  <si>
    <t>http://public.eblib.com/choice/PublicFullRecord.aspx?p=4669522</t>
  </si>
  <si>
    <t>The Race of Time : Three Lectures on Renaissance Historiography</t>
  </si>
  <si>
    <t>Baker, Hershel</t>
  </si>
  <si>
    <t>D116.B354 1967</t>
  </si>
  <si>
    <t>http://public.eblib.com/choice/PublicFullRecord.aspx?p=4669523</t>
  </si>
  <si>
    <t>Essays on Chaucerian Irony</t>
  </si>
  <si>
    <t>Birney, Earle; Rowland, Beryl</t>
  </si>
  <si>
    <t>PR1933.I75.B576 1985</t>
  </si>
  <si>
    <t>http://public.eblib.com/choice/PublicFullRecord.aspx?p=4669524</t>
  </si>
  <si>
    <t>Doctors in Canada : The Changing World of Medical Practice</t>
  </si>
  <si>
    <t>R728.B575 1991</t>
  </si>
  <si>
    <t>610.69/52/0971</t>
  </si>
  <si>
    <t>http://public.eblib.com/choice/PublicFullRecord.aspx?p=4669525</t>
  </si>
  <si>
    <t>R. Murray Schafer</t>
  </si>
  <si>
    <t>Adams, Stephen</t>
  </si>
  <si>
    <t>ML410.S228.A65 1983</t>
  </si>
  <si>
    <t>780/.92/4</t>
  </si>
  <si>
    <t>http://public.eblib.com/choice/PublicFullRecord.aspx?p=4669526</t>
  </si>
  <si>
    <t>Milton and the Puritan Dilelmma, 1641-1660</t>
  </si>
  <si>
    <t>Barker, Arthur E.</t>
  </si>
  <si>
    <t>PR3592.P64.B375 1942</t>
  </si>
  <si>
    <t>http://public.eblib.com/choice/PublicFullRecord.aspx?p=4669527</t>
  </si>
  <si>
    <t>New Liberalism : The Political Economy of J.A. Hobson</t>
  </si>
  <si>
    <t>Allett, John</t>
  </si>
  <si>
    <t>HB103.H55.A454 1981</t>
  </si>
  <si>
    <t>330.15/5</t>
  </si>
  <si>
    <t>http://public.eblib.com/choice/PublicFullRecord.aspx?p=4669528</t>
  </si>
  <si>
    <t>Equivocal Prediction : George Herbert's Way to God</t>
  </si>
  <si>
    <t>Ross (Asals), Heather A.R.</t>
  </si>
  <si>
    <t>PR3508.A835 1981</t>
  </si>
  <si>
    <t>http://public.eblib.com/choice/PublicFullRecord.aspx?p=4669529</t>
  </si>
  <si>
    <t>Christening Pagan Mysteries : Erasmus in Pursuit of Wisdom</t>
  </si>
  <si>
    <t>Boyle, Marjorie O'Rourke</t>
  </si>
  <si>
    <t>B785.E64.B688 1981</t>
  </si>
  <si>
    <t>199/.492</t>
  </si>
  <si>
    <t>http://public.eblib.com/choice/PublicFullRecord.aspx?p=4669530</t>
  </si>
  <si>
    <t>The Phonological Interpretation of Ancient Greek : A Pandialectal Analysis</t>
  </si>
  <si>
    <t>Bubenik, Vit</t>
  </si>
  <si>
    <t>http://public.eblib.com/choice/PublicFullRecord.aspx?p=4669532</t>
  </si>
  <si>
    <t>'Betwixt Jest and Earnest' : Marprelate, Milton, Marvell, Swift &amp; the Decorum of Religious Ridicule</t>
  </si>
  <si>
    <t>Anselment, Raymond A.</t>
  </si>
  <si>
    <t>PR931.A574 1979</t>
  </si>
  <si>
    <t>827/.009</t>
  </si>
  <si>
    <t>http://public.eblib.com/choice/PublicFullRecord.aspx?p=4669533</t>
  </si>
  <si>
    <t>A Canadian Bankclerk</t>
  </si>
  <si>
    <t>Buschlen, John Preston; Lochhead, Douglas</t>
  </si>
  <si>
    <t>PZ3.B962.P747 1973</t>
  </si>
  <si>
    <t>http://public.eblib.com/choice/PublicFullRecord.aspx?p=4669534</t>
  </si>
  <si>
    <t>Regulations, Crown Corporations and Adminstrative Tribunals : Royal Commission</t>
  </si>
  <si>
    <t>Bernier, Ivan; Lajoie, Andrée</t>
  </si>
  <si>
    <t>KE5019.R43 1985</t>
  </si>
  <si>
    <t>http://public.eblib.com/choice/PublicFullRecord.aspx?p=4669535</t>
  </si>
  <si>
    <t>Forests and French Sea Power, 1660-1789</t>
  </si>
  <si>
    <t>Bamford, Paul</t>
  </si>
  <si>
    <t>VC265.F8.B364 1956</t>
  </si>
  <si>
    <t>http://public.eblib.com/choice/PublicFullRecord.aspx?p=4669536</t>
  </si>
  <si>
    <t>The Modern Composer and His World</t>
  </si>
  <si>
    <t>Beckwith, John; Kasemets, Udo</t>
  </si>
  <si>
    <t>ML197.I584 1961</t>
  </si>
  <si>
    <t>http://public.eblib.com/choice/PublicFullRecord.aspx?p=4669537</t>
  </si>
  <si>
    <t>Guilty : A Canadian Story From Real Life</t>
  </si>
  <si>
    <t>Bilton, Lance; Lochhead, Douglas</t>
  </si>
  <si>
    <t>http://public.eblib.com/choice/PublicFullRecord.aspx?p=4669538</t>
  </si>
  <si>
    <t>The Political Process in Canada : Essays in Honour of R. MacGregor Dawson</t>
  </si>
  <si>
    <t>Aitchison, J.H.</t>
  </si>
  <si>
    <t>JL31.P655 1963</t>
  </si>
  <si>
    <t>http://public.eblib.com/choice/PublicFullRecord.aspx?p=4669539</t>
  </si>
  <si>
    <t>Fécondité d'Emile Zola : Roman à Thèse, Évangile, Mythe</t>
  </si>
  <si>
    <t>Baguley, David</t>
  </si>
  <si>
    <t>PQ2502.B348 1973</t>
  </si>
  <si>
    <t>http://public.eblib.com/choice/PublicFullRecord.aspx?p=4669540</t>
  </si>
  <si>
    <t>Beasley's Guide to Library Research</t>
  </si>
  <si>
    <t>Z710.B39 2000</t>
  </si>
  <si>
    <t>Research libraries</t>
  </si>
  <si>
    <t>http://public.eblib.com/choice/PublicFullRecord.aspx?p=4669541</t>
  </si>
  <si>
    <t>Science and the Human Comedy : Natural Philosophy in French Literature from Rabelais to Maupertuis</t>
  </si>
  <si>
    <t>PQ142.B769 1976</t>
  </si>
  <si>
    <t>840/.9/38</t>
  </si>
  <si>
    <t>http://public.eblib.com/choice/PublicFullRecord.aspx?p=4669542</t>
  </si>
  <si>
    <t>The Rise and Fall of the Toronto Typographical Union, 1832-1972 : A Case Study of Foreign Domination</t>
  </si>
  <si>
    <t>Zerker, Sally, F.</t>
  </si>
  <si>
    <t>http://public.eblib.com/choice/PublicFullRecord.aspx?p=4669543</t>
  </si>
  <si>
    <t>The Grasping Imagination : The American Writings of Henry James</t>
  </si>
  <si>
    <t>Buitenhuis, Peter Martinus</t>
  </si>
  <si>
    <t>PS2124.B858 1973</t>
  </si>
  <si>
    <t>http://public.eblib.com/choice/PublicFullRecord.aspx?p=4669544</t>
  </si>
  <si>
    <t>The Nibelungenlied : A Literary Analysis</t>
  </si>
  <si>
    <t>Bekker, Hugo</t>
  </si>
  <si>
    <t>PT1589.B455 1971</t>
  </si>
  <si>
    <t>831/.2</t>
  </si>
  <si>
    <t>http://public.eblib.com/choice/PublicFullRecord.aspx?p=4669545</t>
  </si>
  <si>
    <t>Economic Constitution of Federal States</t>
  </si>
  <si>
    <t>Breton, Albert; Scott, Anthony</t>
  </si>
  <si>
    <t>JC355.B748 1978</t>
  </si>
  <si>
    <t>320/.2</t>
  </si>
  <si>
    <t>http://public.eblib.com/choice/PublicFullRecord.aspx?p=4669546</t>
  </si>
  <si>
    <t>Karl Philipp Moritz : At the Fringe of Genius</t>
  </si>
  <si>
    <t>Boulby, Mark</t>
  </si>
  <si>
    <t>http://public.eblib.com/choice/PublicFullRecord.aspx?p=4669547</t>
  </si>
  <si>
    <t>Blue Skies and Boiler Rooms : Buying and Selling Securities in Canada, 1870-1940</t>
  </si>
  <si>
    <t>HG5152.A767 1997</t>
  </si>
  <si>
    <t>332.64/271</t>
  </si>
  <si>
    <t>http://public.eblib.com/choice/PublicFullRecord.aspx?p=4669548</t>
  </si>
  <si>
    <t>Polish Revolutionary Populism : A Study in Agrarian Socialist Thought From the 1830s to the 1850s</t>
  </si>
  <si>
    <t>Brock, Peter</t>
  </si>
  <si>
    <t>HX315.7.A6.B763 1977</t>
  </si>
  <si>
    <t>335/.009438</t>
  </si>
  <si>
    <t>http://public.eblib.com/choice/PublicFullRecord.aspx?p=4669557</t>
  </si>
  <si>
    <t>The Slovak National Awakening : An Essay in the Intellectual History of East Central Europe</t>
  </si>
  <si>
    <t>DB666 .B76 1976</t>
  </si>
  <si>
    <t>943.7/3</t>
  </si>
  <si>
    <t>http://public.eblib.com/choice/PublicFullRecord.aspx?p=4669558</t>
  </si>
  <si>
    <t>Timothy Warren Anglin, 1822-96 : Irish Catholic Canadian</t>
  </si>
  <si>
    <t>Baker, William, M.</t>
  </si>
  <si>
    <t>F1033.A532.B34 1977</t>
  </si>
  <si>
    <t>328.71/092/4</t>
  </si>
  <si>
    <t>http://public.eblib.com/choice/PublicFullRecord.aspx?p=4669559</t>
  </si>
  <si>
    <t>Mousetrap : Structure and Meaning in Hamlet</t>
  </si>
  <si>
    <t>Aldus, P.J.</t>
  </si>
  <si>
    <t>PR2807.A86 1977</t>
  </si>
  <si>
    <t>http://public.eblib.com/choice/PublicFullRecord.aspx?p=4669560</t>
  </si>
  <si>
    <t>Bibliographie de la Critique sur Emile Zola, 1864-1970</t>
  </si>
  <si>
    <t>Z8998.5.B348 1976</t>
  </si>
  <si>
    <t>016.843/8</t>
  </si>
  <si>
    <t>http://public.eblib.com/choice/PublicFullRecord.aspx?p=4669562</t>
  </si>
  <si>
    <t>Nicholas Karamzin and Russian Society in the Nineteenth Century : A Study in Russian Political and Historical Thought</t>
  </si>
  <si>
    <t>Black, J. Laurence</t>
  </si>
  <si>
    <t>DK38.7.K35.B57 1975</t>
  </si>
  <si>
    <t>947/.07/0924</t>
  </si>
  <si>
    <t>http://public.eblib.com/choice/PublicFullRecord.aspx?p=4669563</t>
  </si>
  <si>
    <t>Speaking Spirits : Ventriloquizing the Dead in Renaissance Italy</t>
  </si>
  <si>
    <t>Roush, Sherry</t>
  </si>
  <si>
    <t>http://public.eblib.com/choice/PublicFullRecord.aspx?p=4669564</t>
  </si>
  <si>
    <t>Politics as Radical Creation : Herbert Marcuse and Hannah Arendt on Political Performativity</t>
  </si>
  <si>
    <t>Holman, Christopher</t>
  </si>
  <si>
    <t>JC423.H65 2013</t>
  </si>
  <si>
    <t>http://public.eblib.com/choice/PublicFullRecord.aspx?p=4669569</t>
  </si>
  <si>
    <t>The Legends of the Saints in Old Norse-Icelandic Prose</t>
  </si>
  <si>
    <t>Toronto Old Norse-Icelandic Series (TONIS)</t>
  </si>
  <si>
    <t>Wolf, Kirsten</t>
  </si>
  <si>
    <t>Z2556.W64 2013</t>
  </si>
  <si>
    <t>http://public.eblib.com/choice/PublicFullRecord.aspx?p=4669574</t>
  </si>
  <si>
    <t>Northrop Frye's Uncollected Prose</t>
  </si>
  <si>
    <t>Frye, Northrop; Denham, Robert D.</t>
  </si>
  <si>
    <t>http://public.eblib.com/choice/PublicFullRecord.aspx?p=4669576</t>
  </si>
  <si>
    <t>The All-Encompassing Eye of Ukraine : Ivan Nechui-Levyts'kyi's Realist Prose</t>
  </si>
  <si>
    <t>Tarnawsky, Maxim</t>
  </si>
  <si>
    <t>Nechui-Levyetiskyi, I. S</t>
  </si>
  <si>
    <t>http://public.eblib.com/choice/PublicFullRecord.aspx?p=4669582</t>
  </si>
  <si>
    <t>Anglo-Saxon Manuscripts : A Bibliographical Handlist of Manuscripts and Manuscript Fragments Written or Owned in England up to 1100</t>
  </si>
  <si>
    <t>Gneuss, Helmut; Lapidge, Michael</t>
  </si>
  <si>
    <t>http://public.eblib.com/choice/PublicFullRecord.aspx?p=4669594</t>
  </si>
  <si>
    <t>Highland Shepherd : James MacGregor, Father of the Scottish Enlightenment in Nova Scotia</t>
  </si>
  <si>
    <t>Wilson, Alan</t>
  </si>
  <si>
    <t>http://public.eblib.com/choice/PublicFullRecord.aspx?p=4669600</t>
  </si>
  <si>
    <t>Controversies : Collected Works of Erasmus - Volume 73</t>
  </si>
  <si>
    <t>Collected Works of Erasmus</t>
  </si>
  <si>
    <t>Erasmus, Desiderius; Drysdall, Denis L.</t>
  </si>
  <si>
    <t>http://public.eblib.com/choice/PublicFullRecord.aspx?p=4669601</t>
  </si>
  <si>
    <t>The Outrageous Juan Rana &lt;em&gt;Entremeses&lt;/em&gt; : A Bilingual and Annotated Selection of Plays Written for This Spanish Age &lt;em&gt;Gracioso&lt;/em&gt;</t>
  </si>
  <si>
    <t>University of Toronto Romance</t>
  </si>
  <si>
    <t>Thompson, Peter E.</t>
  </si>
  <si>
    <t>PQ6239.E6.T466 2009</t>
  </si>
  <si>
    <t>862/.0410803</t>
  </si>
  <si>
    <t>Rana, Juan - Performances</t>
  </si>
  <si>
    <t>http://public.eblib.com/choice/PublicFullRecord.aspx?p=4669603</t>
  </si>
  <si>
    <t>Anna Maria Ortese : Celestial Geographies</t>
  </si>
  <si>
    <t>Annovi, Gian Maria; Ghezzo, Flora</t>
  </si>
  <si>
    <t>Ortese, Anna Maria</t>
  </si>
  <si>
    <t>http://public.eblib.com/choice/PublicFullRecord.aspx?p=4669612</t>
  </si>
  <si>
    <t>Spiritualia and Pastoralia : Exomologesis and Ecclesiastes</t>
  </si>
  <si>
    <t>Erasmus, Desiderius; McGinness, Frederick; Dalzell, Alexander; Heath, Michael; Butrica, James L. P.</t>
  </si>
  <si>
    <t>http://public.eblib.com/choice/PublicFullRecord.aspx?p=4669614</t>
  </si>
  <si>
    <t>The Correspondence of Wolfgang Capito : Volume 2: 1524-1531</t>
  </si>
  <si>
    <t>Rummel, Erika; Rummel, Erika</t>
  </si>
  <si>
    <t>BX9419.C3.C677 2009</t>
  </si>
  <si>
    <t>http://public.eblib.com/choice/PublicFullRecord.aspx?p=4669615</t>
  </si>
  <si>
    <t>Prince Edward Island Sayings</t>
  </si>
  <si>
    <t>Pratt, T.K.; Burke, Scott</t>
  </si>
  <si>
    <t>PE3245.P75.P756 1998</t>
  </si>
  <si>
    <t>427/.9717</t>
  </si>
  <si>
    <t>http://public.eblib.com/choice/PublicFullRecord.aspx?p=4669618</t>
  </si>
  <si>
    <t>Earthquakes and Explorations : Language and Painting from Cubism to Concrete Poetry</t>
  </si>
  <si>
    <t>Scobie, Stephen</t>
  </si>
  <si>
    <t>PN53.S385 1997</t>
  </si>
  <si>
    <t>759.06/32</t>
  </si>
  <si>
    <t>http://public.eblib.com/choice/PublicFullRecord.aspx?p=4669619</t>
  </si>
  <si>
    <t>Theory Rules : Art as Theory / Theory as Art</t>
  </si>
  <si>
    <t>Berland, Jody; Straw, Will; Tomas, David</t>
  </si>
  <si>
    <t>N7475.T446 1996</t>
  </si>
  <si>
    <t>http://public.eblib.com/choice/PublicFullRecord.aspx?p=4669620</t>
  </si>
  <si>
    <t>Milton and the Rise of Russian Satanism</t>
  </si>
  <si>
    <t>Boss, Valentin</t>
  </si>
  <si>
    <t>PR3588.B677 1991</t>
  </si>
  <si>
    <t>http://public.eblib.com/choice/PublicFullRecord.aspx?p=4669622</t>
  </si>
  <si>
    <t>A Ricoeur Reader : Reflection and Imagination</t>
  </si>
  <si>
    <t>Valdes, Mario</t>
  </si>
  <si>
    <t>B2430.R553</t>
  </si>
  <si>
    <t>http://public.eblib.com/choice/PublicFullRecord.aspx?p=4669624</t>
  </si>
  <si>
    <t>The Queen's People : A Study of Hegemony, Coercion, and Accommodation among the Okanagan of Canada</t>
  </si>
  <si>
    <t>Carstens, Peter</t>
  </si>
  <si>
    <t>E99.O35.C377 1991</t>
  </si>
  <si>
    <t>971/.004979</t>
  </si>
  <si>
    <t>http://public.eblib.com/choice/PublicFullRecord.aspx?p=4669625</t>
  </si>
  <si>
    <t>The Orwellian World of Jehovah's Witnesses</t>
  </si>
  <si>
    <t>Botting, Gary; Botting, Heather</t>
  </si>
  <si>
    <t>BX8526.B67 1984</t>
  </si>
  <si>
    <t>289.9/2</t>
  </si>
  <si>
    <t>http://public.eblib.com/choice/PublicFullRecord.aspx?p=4669628</t>
  </si>
  <si>
    <t>Kaiser and Führer : A Comparative Study of Personality and Politics</t>
  </si>
  <si>
    <t>Waite, Robert G.L.</t>
  </si>
  <si>
    <t>DD229.W358 1998</t>
  </si>
  <si>
    <t>943.08/4/092</t>
  </si>
  <si>
    <t>http://public.eblib.com/choice/PublicFullRecord.aspx?p=4669632</t>
  </si>
  <si>
    <t>The CTR Anthology : Fifteen Plays from Canadian Theatre Review</t>
  </si>
  <si>
    <t>PR9196.6.C77 1993</t>
  </si>
  <si>
    <t>812/.54080971</t>
  </si>
  <si>
    <t>http://public.eblib.com/choice/PublicFullRecord.aspx?p=4669640</t>
  </si>
  <si>
    <t>Counseling Across and Beyond Cultures : Exploring the Work of Clemmont E. Vontress in Clinical Practice</t>
  </si>
  <si>
    <t>Moodley, Roy; Walcott, Rinaldo</t>
  </si>
  <si>
    <t>BF636.7.C76.C686 2010</t>
  </si>
  <si>
    <t>158/.3</t>
  </si>
  <si>
    <t>http://public.eblib.com/choice/PublicFullRecord.aspx?p=4669645</t>
  </si>
  <si>
    <t>Researching the Social Economy</t>
  </si>
  <si>
    <t>Mook, Laurie; Quarter, Jack; Ryan, Sherida</t>
  </si>
  <si>
    <t>HD2769.2.C24.R474 2010</t>
  </si>
  <si>
    <t>http://public.eblib.com/choice/PublicFullRecord.aspx?p=4669647</t>
  </si>
  <si>
    <t>The Persistence of Presence : Emblem and Ritual in Baroque Spain</t>
  </si>
  <si>
    <t>Nelson, Bradley J.</t>
  </si>
  <si>
    <t>http://public.eblib.com/choice/PublicFullRecord.aspx?p=4669649</t>
  </si>
  <si>
    <t>After Words : Suicide and Authorship in Twentieth-Century Italy</t>
  </si>
  <si>
    <t>Leake, Elizabeth</t>
  </si>
  <si>
    <t>PQ4088.L435 2011</t>
  </si>
  <si>
    <t>850.9/3561</t>
  </si>
  <si>
    <t>http://public.eblib.com/choice/PublicFullRecord.aspx?p=4669652</t>
  </si>
  <si>
    <t>Globalization and Its Tax Discontents : Tax Policy and International Investments</t>
  </si>
  <si>
    <t>Cockfield, Arthur J.</t>
  </si>
  <si>
    <t>K4528.G563 2010</t>
  </si>
  <si>
    <t>http://public.eblib.com/choice/PublicFullRecord.aspx?p=4669653</t>
  </si>
  <si>
    <t>Controversies</t>
  </si>
  <si>
    <t>Erasmus, Desiderius; Hoffman, Manfred; Tracy, James D.</t>
  </si>
  <si>
    <t>PA8502.E5.E737 2011</t>
  </si>
  <si>
    <t>http://public.eblib.com/choice/PublicFullRecord.aspx?p=4669654</t>
  </si>
  <si>
    <t>Becoming Biosubjects : Bodies. Systems. Technology.</t>
  </si>
  <si>
    <t>Gerlach, Neil; Hamilton, Sheryl; Sullivan, Rebecca; Walton, Priscilla L</t>
  </si>
  <si>
    <t>http://public.eblib.com/choice/PublicFullRecord.aspx?p=4669657</t>
  </si>
  <si>
    <t>On the Causes of the Greatness and Magnificence of Cities</t>
  </si>
  <si>
    <t>Symcox, Geoffrey; Ciavolella, Massimo; Ballerini, Luigi</t>
  </si>
  <si>
    <t>HT111.B684 2012</t>
  </si>
  <si>
    <t>http://public.eblib.com/choice/PublicFullRecord.aspx?p=4669694</t>
  </si>
  <si>
    <t>Freshwater Saga : Memoirs of a Lifetime of Wilderness Canoeing</t>
  </si>
  <si>
    <t>Morse, Eric W.</t>
  </si>
  <si>
    <t>GV776.15.A2.M677 1987</t>
  </si>
  <si>
    <t>http://public.eblib.com/choice/PublicFullRecord.aspx?p=4669699</t>
  </si>
  <si>
    <t>The Myth of  Deliverance : Reflections on Shakespeare's Problem Comedies</t>
  </si>
  <si>
    <t>Frye, Northrop; Hamilton, A.C.</t>
  </si>
  <si>
    <t>PR2981.F794 1993</t>
  </si>
  <si>
    <t>http://public.eblib.com/choice/PublicFullRecord.aspx?p=4669700</t>
  </si>
  <si>
    <t>Thinking About Criminology</t>
  </si>
  <si>
    <t>Holdaway, Simon; Rock, Paul</t>
  </si>
  <si>
    <t>HV6018.T456 1998</t>
  </si>
  <si>
    <t>http://public.eblib.com/choice/PublicFullRecord.aspx?p=4669701</t>
  </si>
  <si>
    <t>Towards an Intellectual History of Ukraine : An Anthology of Ukrainian Thought from 1710 to 1995</t>
  </si>
  <si>
    <t>Lindheim, Ralph; Luckyj, George, S.N.</t>
  </si>
  <si>
    <t>DK508.4.T693 1996</t>
  </si>
  <si>
    <t>http://public.eblib.com/choice/PublicFullRecord.aspx?p=4669702</t>
  </si>
  <si>
    <t>Mounties, Moose, and Moonshine : The Patterns and Context of Outport Crime</t>
  </si>
  <si>
    <t>Okihiro, Norman</t>
  </si>
  <si>
    <t>HN110.N49.O354 1997</t>
  </si>
  <si>
    <t>http://public.eblib.com/choice/PublicFullRecord.aspx?p=4669703</t>
  </si>
  <si>
    <t>Living and Learning with Blind Children : A Guide for Parents and Teachers of Visually Impaired Children</t>
  </si>
  <si>
    <t>Harrison, Felicity; Crow, Mary</t>
  </si>
  <si>
    <t>HV1596.2.H377 1993</t>
  </si>
  <si>
    <t>http://public.eblib.com/choice/PublicFullRecord.aspx?p=4669704</t>
  </si>
  <si>
    <t>John Bracken: A Political Biography</t>
  </si>
  <si>
    <t>F1063.B7.K463 1979</t>
  </si>
  <si>
    <t>971.27/02/0924</t>
  </si>
  <si>
    <t>http://public.eblib.com/choice/PublicFullRecord.aspx?p=4669705</t>
  </si>
  <si>
    <t>More Alike Than Different : Treating Severely Dissociative Trauma Survivors</t>
  </si>
  <si>
    <t>Rivera, Margo</t>
  </si>
  <si>
    <t>RC569.5.M8.R584 1996</t>
  </si>
  <si>
    <t>616.85/236</t>
  </si>
  <si>
    <t>http://public.eblib.com/choice/PublicFullRecord.aspx?p=4669706</t>
  </si>
  <si>
    <t>History and Communication : Harold Innis, Marshall McLuhan, the Interpretation of History</t>
  </si>
  <si>
    <t>Patterson, Graeme</t>
  </si>
  <si>
    <t>P92.5.I56.P388 1990</t>
  </si>
  <si>
    <t>http://public.eblib.com/choice/PublicFullRecord.aspx?p=4669707</t>
  </si>
  <si>
    <t>Earning Respect : The Lives of Working Women in Small Town Ontario, 1920-1960</t>
  </si>
  <si>
    <t>Studies in Gender and History</t>
  </si>
  <si>
    <t>HD6100.P47.S264 1995</t>
  </si>
  <si>
    <t>331.4/09713/680904</t>
  </si>
  <si>
    <t>http://public.eblib.com/choice/PublicFullRecord.aspx?p=4669708</t>
  </si>
  <si>
    <t>Dante's Tenzone with Forese Donati : The Reprehension of Vice</t>
  </si>
  <si>
    <t>Alfie, Fabian</t>
  </si>
  <si>
    <t>PQ4556.T317.A445 2011</t>
  </si>
  <si>
    <t>http://public.eblib.com/choice/PublicFullRecord.aspx?p=4669709</t>
  </si>
  <si>
    <t>Meaning and Textuality</t>
  </si>
  <si>
    <t>Rastier, François; Collins, Frank; Perron, Paul J.</t>
  </si>
  <si>
    <t>P325.R378 1997</t>
  </si>
  <si>
    <t>401/.43</t>
  </si>
  <si>
    <t>Semantics</t>
  </si>
  <si>
    <t>http://public.eblib.com/choice/PublicFullRecord.aspx?p=4669710</t>
  </si>
  <si>
    <t>'Terror to Evil-Doers' : Prisons and Punishments in Nineteenth-Century Ontario</t>
  </si>
  <si>
    <t>Oliver, Peter</t>
  </si>
  <si>
    <t>HV9509.O5.O458 1998</t>
  </si>
  <si>
    <t>365/.9713/09024</t>
  </si>
  <si>
    <t>http://public.eblib.com/choice/PublicFullRecord.aspx?p=4669711</t>
  </si>
  <si>
    <t>The Public Eye : Television and the Politics of Canadian Broadcasting, 1952-1968</t>
  </si>
  <si>
    <t>Peers, Frank W</t>
  </si>
  <si>
    <t>HE8700.9.C2.P447 1979</t>
  </si>
  <si>
    <t>384.55/4/0971</t>
  </si>
  <si>
    <t>http://public.eblib.com/choice/PublicFullRecord.aspx?p=4669715</t>
  </si>
  <si>
    <t>Creation and Recreation</t>
  </si>
  <si>
    <t>Frye, Northrop</t>
  </si>
  <si>
    <t>BL226.F794 1980</t>
  </si>
  <si>
    <t>231.7/65</t>
  </si>
  <si>
    <t>http://public.eblib.com/choice/PublicFullRecord.aspx?p=4669720</t>
  </si>
  <si>
    <t>The New England Knight : Sir William Phips, 1651-1695</t>
  </si>
  <si>
    <t>Baker, Emerson, W.; Reid, John, G.</t>
  </si>
  <si>
    <t>F67.B354 1998</t>
  </si>
  <si>
    <t>974.4/02/092</t>
  </si>
  <si>
    <t>http://public.eblib.com/choice/PublicFullRecord.aspx?p=4669721</t>
  </si>
  <si>
    <t>The Politics of Canadian Broadcasting, 1920-1951</t>
  </si>
  <si>
    <t>HE8699.C2.P447 1973</t>
  </si>
  <si>
    <t>http://public.eblib.com/choice/PublicFullRecord.aspx?p=4669723</t>
  </si>
  <si>
    <t>Lettura e Conversazione</t>
  </si>
  <si>
    <t>Bancheri, Salvatore; Colilli, Paul</t>
  </si>
  <si>
    <t>PC1117.L488 1995</t>
  </si>
  <si>
    <t>http://public.eblib.com/choice/PublicFullRecord.aspx?p=4669724</t>
  </si>
  <si>
    <t>Science and Ethics / La Science et l'Éthique</t>
  </si>
  <si>
    <t>Demers, Patricia, A.</t>
  </si>
  <si>
    <t>Science; Philosophy; Science: Biology/Natural History</t>
  </si>
  <si>
    <t>QH332.S354 2001</t>
  </si>
  <si>
    <t>174/.2</t>
  </si>
  <si>
    <t>Science - Moral and ethical aspects</t>
  </si>
  <si>
    <t>http://public.eblib.com/choice/PublicFullRecord.aspx?p=4669726</t>
  </si>
  <si>
    <t>Aeschylus : The Earlier Plays and Related Studies</t>
  </si>
  <si>
    <t>Conacher, D.J.</t>
  </si>
  <si>
    <t>PA3829.C663 1996</t>
  </si>
  <si>
    <t>882/.01</t>
  </si>
  <si>
    <t>http://public.eblib.com/choice/PublicFullRecord.aspx?p=4669728</t>
  </si>
  <si>
    <t>Erasmus in the  Footsteps of  Paul</t>
  </si>
  <si>
    <t>Erasmus Studies</t>
  </si>
  <si>
    <t>Kroeker, Greta</t>
  </si>
  <si>
    <t>http://public.eblib.com/choice/PublicFullRecord.aspx?p=4669732</t>
  </si>
  <si>
    <t>Reshaping Toronto's Waterfront</t>
  </si>
  <si>
    <t>Desfor, Gene; Laidley, Jennefer; Laidley, Jennefer</t>
  </si>
  <si>
    <t>HT178.C22.R474 2011</t>
  </si>
  <si>
    <t>Waterfronts - Ontario - Toronto - History</t>
  </si>
  <si>
    <t>http://public.eblib.com/choice/PublicFullRecord.aspx?p=4669748</t>
  </si>
  <si>
    <t>Index to the Collected Works of Northrop Frye - Vol. 30</t>
  </si>
  <si>
    <t>Collected Works of Northrop Frye</t>
  </si>
  <si>
    <t>O';Grady, Jean</t>
  </si>
  <si>
    <t>PN75.F7.I534 2012</t>
  </si>
  <si>
    <t>http://public.eblib.com/choice/PublicFullRecord.aspx?p=4669752</t>
  </si>
  <si>
    <t>Human Welfare, Rights, and Social Activism : Rethinking the Legacy of J.S. Woodsworth</t>
  </si>
  <si>
    <t>Pulkingham, Jane</t>
  </si>
  <si>
    <t>JC599.C3H86 2010</t>
  </si>
  <si>
    <t>http://public.eblib.com/choice/PublicFullRecord.aspx?p=4669755</t>
  </si>
  <si>
    <t>Lonergan's Early Economic Research : Texts and Commentary</t>
  </si>
  <si>
    <t>Lonergan Studies</t>
  </si>
  <si>
    <t>Shute, Michael</t>
  </si>
  <si>
    <t>http://public.eblib.com/choice/PublicFullRecord.aspx?p=4669756</t>
  </si>
  <si>
    <t>Dependent America? : How Canada and Mexico Construct and Constrain US Power</t>
  </si>
  <si>
    <t>Mildenberger, Matto</t>
  </si>
  <si>
    <t>http://public.eblib.com/choice/PublicFullRecord.aspx?p=4669768</t>
  </si>
  <si>
    <t>Roman Literary Cultures : Domestic Politics, Revolutionary Poetics, Civic Spectacle</t>
  </si>
  <si>
    <t>Keith, Alison; Edmondson, Jonathan</t>
  </si>
  <si>
    <t>http://public.eblib.com/choice/PublicFullRecord.aspx?p=4669788</t>
  </si>
  <si>
    <t>Power and Legitimacy : Law, Culture, and Literature</t>
  </si>
  <si>
    <t>Quéma, Anne</t>
  </si>
  <si>
    <t>Law and literature</t>
  </si>
  <si>
    <t>http://public.eblib.com/choice/PublicFullRecord.aspx?p=4669795</t>
  </si>
  <si>
    <t>Skepticism and Political Thought in the Seventeenth and Eighteenth Centuries</t>
  </si>
  <si>
    <t>UCLA Clark Memorial Library Series</t>
  </si>
  <si>
    <t>Laursen, John Christian; Paganini, Gianni</t>
  </si>
  <si>
    <t>http://public.eblib.com/choice/PublicFullRecord.aspx?p=4669797</t>
  </si>
  <si>
    <t>The Crisis-Woman : Body Politics and the Modern Woman in Fascist Italy</t>
  </si>
  <si>
    <t>Chang, Natasha V.</t>
  </si>
  <si>
    <t>http://public.eblib.com/choice/PublicFullRecord.aspx?p=4669804</t>
  </si>
  <si>
    <t>Automatic for the Masses : The Death of the Author and the Birth of Socialist Realism</t>
  </si>
  <si>
    <t>Petrov, Petre M.</t>
  </si>
  <si>
    <t>http://public.eblib.com/choice/PublicFullRecord.aspx?p=4669806</t>
  </si>
  <si>
    <t>Topographies of Fascism : Habitus, Space, and Writing in Twentieth-Century Spain</t>
  </si>
  <si>
    <t>Santianez, Nil</t>
  </si>
  <si>
    <t>PQ6073.F36.S26 2013</t>
  </si>
  <si>
    <t>860.9/3580904</t>
  </si>
  <si>
    <t>http://public.eblib.com/choice/PublicFullRecord.aspx?p=4669811</t>
  </si>
  <si>
    <t>The Correspondence of Erasmus : Letters 2204-2356 (August 1529-July 1530)</t>
  </si>
  <si>
    <t>Erasmus, Desiderius; Estes, James M.; Dalzell, Alexander</t>
  </si>
  <si>
    <t>http://public.eblib.com/choice/PublicFullRecord.aspx?p=4669819</t>
  </si>
  <si>
    <t>Medieval 'Artes Praedicandi' : A Synthesis of Scholastic Sermon Structure</t>
  </si>
  <si>
    <t>Medieval Academy Books</t>
  </si>
  <si>
    <t>Wenzel, Siegfried</t>
  </si>
  <si>
    <t>http://public.eblib.com/choice/PublicFullRecord.aspx?p=4669824</t>
  </si>
  <si>
    <t>Representing Imperial Rivalry in the Early Modern Mediterranean</t>
  </si>
  <si>
    <t>Fuchs, Barbara; Weissbourd, Emily</t>
  </si>
  <si>
    <t>http://public.eblib.com/choice/PublicFullRecord.aspx?p=4669826</t>
  </si>
  <si>
    <t>Metropolitan Tragedy : Genre, Justice, and the City in Early Modern England</t>
  </si>
  <si>
    <t>Greenberg, Marissa</t>
  </si>
  <si>
    <t>http://public.eblib.com/choice/PublicFullRecord.aspx?p=4669829</t>
  </si>
  <si>
    <t>In the Power of the Government : The Rise and Fall of Newsprint in Ontario, 1894-1932</t>
  </si>
  <si>
    <t>Kuhlberg, Mark</t>
  </si>
  <si>
    <t>http://public.eblib.com/choice/PublicFullRecord.aspx?p=4669835</t>
  </si>
  <si>
    <t>The Decameron Third Day in Perspective</t>
  </si>
  <si>
    <t>Ciabattoni, Francesco; Forni, Pier Massimo</t>
  </si>
  <si>
    <t>PQ4287.D435 2014</t>
  </si>
  <si>
    <t>http://public.eblib.com/choice/PublicFullRecord.aspx?p=4669850</t>
  </si>
  <si>
    <t>Spanish Female Writers and the Freethinking Press, 1879-1926</t>
  </si>
  <si>
    <t>Arkinstall, Christine</t>
  </si>
  <si>
    <t>PN5317.W58A75 2014</t>
  </si>
  <si>
    <t>070.4/4930540946</t>
  </si>
  <si>
    <t>http://public.eblib.com/choice/PublicFullRecord.aspx?p=4669851</t>
  </si>
  <si>
    <t>Benedict XIV and the Enlightenment : Art, Science, and Spirituality</t>
  </si>
  <si>
    <t>Messbarger, Rebecca; Johns, Christopher; Gavitt, Philip</t>
  </si>
  <si>
    <t>http://public.eblib.com/choice/PublicFullRecord.aspx?p=4669875</t>
  </si>
  <si>
    <t>Orality and Literacy : Reflections across Disciplines</t>
  </si>
  <si>
    <t>Carlson, Keith Thor; Fagan, Kristina; Khanenko-Friesen, Natalia</t>
  </si>
  <si>
    <t>P40.5.L58.O73 2010</t>
  </si>
  <si>
    <t>Oral tradition</t>
  </si>
  <si>
    <t>http://public.eblib.com/choice/PublicFullRecord.aspx?p=4669878</t>
  </si>
  <si>
    <t>Historical Essay on the Neapolitan Revolution of 1799</t>
  </si>
  <si>
    <t>Cuoco, Vincenzo; Gibbons, David; Haddock, Bruce; Sabetti, Filippo; Haddock, Bruce; Sabetti, Filippo; Gibbons, David</t>
  </si>
  <si>
    <t>http://public.eblib.com/choice/PublicFullRecord.aspx?p=4669893</t>
  </si>
  <si>
    <t>Canadian Annual Review of Politics and Public Affairs 2009</t>
  </si>
  <si>
    <t>Canadian Annual Review of Politics and Public Affairs</t>
  </si>
  <si>
    <t>Mutimer, David</t>
  </si>
  <si>
    <t>http://public.eblib.com/choice/PublicFullRecord.aspx?p=4669897</t>
  </si>
  <si>
    <t>The Letterbooks of John Evelyn</t>
  </si>
  <si>
    <t>Chambers, Douglas D.C.; Galbraith, David; Galbraith, David Ian; British Library Staff</t>
  </si>
  <si>
    <t>http://public.eblib.com/choice/PublicFullRecord.aspx?p=4669898</t>
  </si>
  <si>
    <t>Imagining the British Atlantic after the American Revolution</t>
  </si>
  <si>
    <t>Meranze, Michael; Makdisi, Saree</t>
  </si>
  <si>
    <t>http://public.eblib.com/choice/PublicFullRecord.aspx?p=4669903</t>
  </si>
  <si>
    <t>Transformation on the Southern Ukrainian Steppe : Letters and Papers of Johann Cornies, Volume I: 1812-1835</t>
  </si>
  <si>
    <t>Tsarist and Soviet Mennonite Studies</t>
  </si>
  <si>
    <t>Dyck, Harvey L.; Staples, John R.; Epp, Ingrid I.</t>
  </si>
  <si>
    <t>Mennonites - Ukraine, Southern - History - 19th century</t>
  </si>
  <si>
    <t>http://public.eblib.com/choice/PublicFullRecord.aspx?p=4669905</t>
  </si>
  <si>
    <t>Modern Italian Poets : Translators of the Impossible</t>
  </si>
  <si>
    <t>Blakesley, Jacob</t>
  </si>
  <si>
    <t>418/.041</t>
  </si>
  <si>
    <t>http://public.eblib.com/choice/PublicFullRecord.aspx?p=4669910</t>
  </si>
  <si>
    <t>Landscapes in Between : Environmental Change in Modern Italian Literature and Film</t>
  </si>
  <si>
    <t>Seger, Monica</t>
  </si>
  <si>
    <t>http://public.eblib.com/choice/PublicFullRecord.aspx?p=4669919</t>
  </si>
  <si>
    <t>Scotland's Pariah : The Life and Work of John Pinkerton, 1758-1826</t>
  </si>
  <si>
    <t>O'Flaherty, Patrick</t>
  </si>
  <si>
    <t>http://public.eblib.com/choice/PublicFullRecord.aspx?p=4669920</t>
  </si>
  <si>
    <t>Canadian Annual Review of Politics and Public Affairs 2008</t>
  </si>
  <si>
    <t>http://public.eblib.com/choice/PublicFullRecord.aspx?p=4669921</t>
  </si>
  <si>
    <t>Canadian Annual Review of Politics and Public Affairs 2007</t>
  </si>
  <si>
    <t>http://public.eblib.com/choice/PublicFullRecord.aspx?p=4669930</t>
  </si>
  <si>
    <t>Exchanges in Exoticism : Cross-Cultural Marriage and the Making of the Mediterranean in Old French Romance</t>
  </si>
  <si>
    <t>Moore, Megan</t>
  </si>
  <si>
    <t>840.9/35837</t>
  </si>
  <si>
    <t>http://public.eblib.com/choice/PublicFullRecord.aspx?p=4669931</t>
  </si>
  <si>
    <t>Fair Copies : Reproducing the English Lyric from Tottel to Shakespeare</t>
  </si>
  <si>
    <t>Zarnowiecki, Matthew</t>
  </si>
  <si>
    <t>821/.040903</t>
  </si>
  <si>
    <t>http://public.eblib.com/choice/PublicFullRecord.aspx?p=4669935</t>
  </si>
  <si>
    <t>Better Britons : Reproduction, National Identity, and the Afterlife  of Empire</t>
  </si>
  <si>
    <t>Attewell, Nadine</t>
  </si>
  <si>
    <t>304.6094109/04</t>
  </si>
  <si>
    <t>http://public.eblib.com/choice/PublicFullRecord.aspx?p=4669939</t>
  </si>
  <si>
    <t>Lorca in Tune with Falla : Literary and Musical Interludes</t>
  </si>
  <si>
    <t>Orringer, Nelson R.</t>
  </si>
  <si>
    <t>PQ6613.A763.O775 2014</t>
  </si>
  <si>
    <t>http://public.eblib.com/choice/PublicFullRecord.aspx?p=4669940</t>
  </si>
  <si>
    <t>Philanthropy and the Construction of Victorian Women's Citizenship : Lady Frederick Cavendish and Miss Emma Cons</t>
  </si>
  <si>
    <t>Geddes Poole, Andrea</t>
  </si>
  <si>
    <t>http://public.eblib.com/choice/PublicFullRecord.aspx?p=4669941</t>
  </si>
  <si>
    <t>An Introduction to the Philosophy of Bernard Lonergan</t>
  </si>
  <si>
    <t>Meynell, Hugo A.</t>
  </si>
  <si>
    <t>BX4705.L7133.M496 1991</t>
  </si>
  <si>
    <t>http://public.eblib.com/choice/PublicFullRecord.aspx?p=4669944</t>
  </si>
  <si>
    <t>Ethnicity and Aboriginality : Case Studies in Ethnonationalism</t>
  </si>
  <si>
    <t>Levin, Michael, D.; Levin, Michael D.</t>
  </si>
  <si>
    <t>GN495.6.E877 1993</t>
  </si>
  <si>
    <t>http://public.eblib.com/choice/PublicFullRecord.aspx?p=4669945</t>
  </si>
  <si>
    <t>Chaucer : A Select Bibliography</t>
  </si>
  <si>
    <t>Toronto Medieval Texts and Translations</t>
  </si>
  <si>
    <t>Leyerle, John; Quick, Anne</t>
  </si>
  <si>
    <t>Z8164.L49 1986</t>
  </si>
  <si>
    <t>016.821/1</t>
  </si>
  <si>
    <t>Bibliography</t>
  </si>
  <si>
    <t>http://public.eblib.com/choice/PublicFullRecord.aspx?p=4669946</t>
  </si>
  <si>
    <t>Selected Letters of Margaret Laurence and Adele Wiseman</t>
  </si>
  <si>
    <t>Lennox, John; Panofsky, Ruth; Panofsky, Ruth</t>
  </si>
  <si>
    <t>PR9199.3.L33.S454 1997</t>
  </si>
  <si>
    <t>http://public.eblib.com/choice/PublicFullRecord.aspx?p=4669947</t>
  </si>
  <si>
    <t>Politics in Britain : From Labourism to Thatcherism</t>
  </si>
  <si>
    <t>Leys, Colin; Leys, Colin</t>
  </si>
  <si>
    <t>HN400.S6.L497 1989</t>
  </si>
  <si>
    <t>http://public.eblib.com/choice/PublicFullRecord.aspx?p=4669948</t>
  </si>
  <si>
    <t>Contours of  Canadian Thought</t>
  </si>
  <si>
    <t>F1021.M355 1987</t>
  </si>
  <si>
    <t>http://public.eblib.com/choice/PublicFullRecord.aspx?p=4669949</t>
  </si>
  <si>
    <t>Feminism in Women's Detective Fiction</t>
  </si>
  <si>
    <t>Irons, Glenwood</t>
  </si>
  <si>
    <t>PR830.D4.F465 1995</t>
  </si>
  <si>
    <t>http://public.eblib.com/choice/PublicFullRecord.aspx?p=4669950</t>
  </si>
  <si>
    <t>Schoolteaching in Canada</t>
  </si>
  <si>
    <t>Lockhart, Alexander</t>
  </si>
  <si>
    <t>LB2832.4.C2.L635 1991</t>
  </si>
  <si>
    <t>http://public.eblib.com/choice/PublicFullRecord.aspx?p=4669952</t>
  </si>
  <si>
    <t>The Economic and Social Environment for Tax Reform</t>
  </si>
  <si>
    <t>Maslove, Allan, M.</t>
  </si>
  <si>
    <t>HJ2323.C2.E266 1995</t>
  </si>
  <si>
    <t>http://public.eblib.com/choice/PublicFullRecord.aspx?p=4669953</t>
  </si>
  <si>
    <t>The Practice of Field Instruction in Social Work : Theory and Process</t>
  </si>
  <si>
    <t>Bogo, Marion; Vayda, Elaine</t>
  </si>
  <si>
    <t>HV11.P733 1998</t>
  </si>
  <si>
    <t>http://public.eblib.com/choice/PublicFullRecord.aspx?p=4669954</t>
  </si>
  <si>
    <t>The Cultural World in Beowulf</t>
  </si>
  <si>
    <t>Hill, John, M.</t>
  </si>
  <si>
    <t>PR1585.H555 1995</t>
  </si>
  <si>
    <t>http://public.eblib.com/choice/PublicFullRecord.aspx?p=4669955</t>
  </si>
  <si>
    <t>Doing Good : The Life of Toronto's General Hospital</t>
  </si>
  <si>
    <t>Connor, J.T.H.</t>
  </si>
  <si>
    <t>RA983.T62.C666 2000</t>
  </si>
  <si>
    <t>http://public.eblib.com/choice/PublicFullRecord.aspx?p=4669956</t>
  </si>
  <si>
    <t>Domination</t>
  </si>
  <si>
    <t>Kontos, Alkis</t>
  </si>
  <si>
    <t>HM271.D665 1975</t>
  </si>
  <si>
    <t>http://public.eblib.com/choice/PublicFullRecord.aspx?p=4669957</t>
  </si>
  <si>
    <t>Notebooks : Selections from the A.M. Klein Papers</t>
  </si>
  <si>
    <t>Klein, A.M.; Caplan, Usher; Pollock, Zailig</t>
  </si>
  <si>
    <t>http://public.eblib.com/choice/PublicFullRecord.aspx?p=4669958</t>
  </si>
  <si>
    <t>Plateaus of Freedom : Nationality, Culture, and State Security in Canada, 1940-1960</t>
  </si>
  <si>
    <t>Canadian Social History Series</t>
  </si>
  <si>
    <t>Kristmanson, Mark</t>
  </si>
  <si>
    <t>F1021.2.K757 2014</t>
  </si>
  <si>
    <t>http://public.eblib.com/choice/PublicFullRecord.aspx?p=4669959</t>
  </si>
  <si>
    <t>'Household Business' : Domestic Plays of Early Modern England</t>
  </si>
  <si>
    <t>Comensoli, Viviana</t>
  </si>
  <si>
    <t>PR658.D65.C664 1999</t>
  </si>
  <si>
    <t>http://public.eblib.com/choice/PublicFullRecord.aspx?p=4669960</t>
  </si>
  <si>
    <t>Antimodernism and Artistic Experience : Policing the Boundaries of Modernity</t>
  </si>
  <si>
    <t>Jessup, Lynda Lee</t>
  </si>
  <si>
    <t>N6465.P74A57 2000</t>
  </si>
  <si>
    <t>http://public.eblib.com/choice/PublicFullRecord.aspx?p=4669961</t>
  </si>
  <si>
    <t>Contracting Masculinity : Gender, Class, and Race in a White-Collar Union, 1944-1994</t>
  </si>
  <si>
    <t>Creese, Gillian</t>
  </si>
  <si>
    <t>HD6528.M392.C744 2014</t>
  </si>
  <si>
    <t>http://public.eblib.com/choice/PublicFullRecord.aspx?p=4669962</t>
  </si>
  <si>
    <t>The Calling of the Nations : Exegesis, Ethnography, and Empire in a Biblical-Historic Present</t>
  </si>
  <si>
    <t>Green College Thematic Lecture</t>
  </si>
  <si>
    <t>Vessey, Mark; Betcher, Sharon; Daum, Robert; Maier, Harry O.; Vessey, Mark</t>
  </si>
  <si>
    <t>BL65.N3.C355 2011</t>
  </si>
  <si>
    <t>Nationalisme - Enseignement biblique</t>
  </si>
  <si>
    <t>http://public.eblib.com/choice/PublicFullRecord.aspx?p=4669963</t>
  </si>
  <si>
    <t>War Crimes and the Culture of Peace</t>
  </si>
  <si>
    <t>Senator Keith Davey Lectures</t>
  </si>
  <si>
    <t>Arbour, Louise</t>
  </si>
  <si>
    <t>KZ7230.A736 2002</t>
  </si>
  <si>
    <t>http://public.eblib.com/choice/PublicFullRecord.aspx?p=4669964</t>
  </si>
  <si>
    <t>L'Italiano si impara in due</t>
  </si>
  <si>
    <t>Barsacchi, Marco; Gatto, Vincenzo</t>
  </si>
  <si>
    <t>PC1128.B377 1993</t>
  </si>
  <si>
    <t>http://public.eblib.com/choice/PublicFullRecord.aspx?p=4669966</t>
  </si>
  <si>
    <t>In the Belly of a Laughing God : Humour and Irony in Native Women's Poetry</t>
  </si>
  <si>
    <t>Andrews, Jennifer</t>
  </si>
  <si>
    <t>PS153.I52.A537 2011</t>
  </si>
  <si>
    <t>C811.540917</t>
  </si>
  <si>
    <t>American poetry - Indian authors - History and criticism</t>
  </si>
  <si>
    <t>http://public.eblib.com/choice/PublicFullRecord.aspx?p=4669967</t>
  </si>
  <si>
    <t>The Educated Imagination and Other Writings on Critical Theory 1933-1963</t>
  </si>
  <si>
    <t>Frye, Northrop; Warkentin, Germaine</t>
  </si>
  <si>
    <t>PN75.F7.E383 2006</t>
  </si>
  <si>
    <t>http://public.eblib.com/choice/PublicFullRecord.aspx?p=4669969</t>
  </si>
  <si>
    <t>Northrop Frye's Notebooks on Renaissance Literature</t>
  </si>
  <si>
    <t>Dolzani, Michael</t>
  </si>
  <si>
    <t>PR2364</t>
  </si>
  <si>
    <t>http://public.eblib.com/choice/PublicFullRecord.aspx?p=4669970</t>
  </si>
  <si>
    <t>Can Canada Survive? : Under What Terms and Conditions?</t>
  </si>
  <si>
    <t>Hayne, David M.</t>
  </si>
  <si>
    <t>F1053.2.L4 1997</t>
  </si>
  <si>
    <t>http://public.eblib.com/choice/PublicFullRecord.aspx?p=4669971</t>
  </si>
  <si>
    <t>Thomas Hardy Reappraised : Essays in Honour of Michael Millgate</t>
  </si>
  <si>
    <t>Wilson, Keith</t>
  </si>
  <si>
    <t>PR4754.T466 2006</t>
  </si>
  <si>
    <t>http://public.eblib.com/choice/PublicFullRecord.aspx?p=4669972</t>
  </si>
  <si>
    <t>Writing and Colonialism in Northern Ghana : The Encounter between the LoDagaa and 'the World on Paper'</t>
  </si>
  <si>
    <t>Hawkins, Sean</t>
  </si>
  <si>
    <t>DT510.43.D33.H395 2002</t>
  </si>
  <si>
    <t>http://public.eblib.com/choice/PublicFullRecord.aspx?p=4669974</t>
  </si>
  <si>
    <t>Women's Lives : The View from the Threshold</t>
  </si>
  <si>
    <t>Heilbrun, Carolyn, G.</t>
  </si>
  <si>
    <t>PR756.A9.H455 1999</t>
  </si>
  <si>
    <t>http://public.eblib.com/choice/PublicFullRecord.aspx?p=4669975</t>
  </si>
  <si>
    <t>The Old Stones of Kingston : Its Buildings Before 1867</t>
  </si>
  <si>
    <t>F1059.5.K5.A548 1999</t>
  </si>
  <si>
    <t>http://public.eblib.com/choice/PublicFullRecord.aspx?p=4669976</t>
  </si>
  <si>
    <t>The Filled Pen : Selected Non-Fiction of P.K. Page</t>
  </si>
  <si>
    <t>Page, P.K.; Pollock, Zailig</t>
  </si>
  <si>
    <t>PN6142.P344 2007</t>
  </si>
  <si>
    <t>http://public.eblib.com/choice/PublicFullRecord.aspx?p=4669978</t>
  </si>
  <si>
    <t>Living With Brain Injury : A Guide for Families and Caregivers</t>
  </si>
  <si>
    <t>Acorn, Sonia; Offer, Penny</t>
  </si>
  <si>
    <t>RC387.5.L585 1998</t>
  </si>
  <si>
    <t>http://public.eblib.com/choice/PublicFullRecord.aspx?p=4669979</t>
  </si>
  <si>
    <t>Dictionary of Basilian Biography : Lives of Members of the Congregation of Priests of Saint Basil from Its Origins in 1822 to 2002</t>
  </si>
  <si>
    <t>Platt, P. Wallace</t>
  </si>
  <si>
    <t>BX2970.Z7.P538 2005</t>
  </si>
  <si>
    <t>Basilian Fathers</t>
  </si>
  <si>
    <t>http://public.eblib.com/choice/PublicFullRecord.aspx?p=4669981</t>
  </si>
  <si>
    <t>Angels of the Workplace : Women and the Construction of Gender Relations in the Canadian Clothing Industry, 1890-1940</t>
  </si>
  <si>
    <t>Steedman, Mercedes</t>
  </si>
  <si>
    <t>HD6524.S744 1997</t>
  </si>
  <si>
    <t>http://public.eblib.com/choice/PublicFullRecord.aspx?p=4669982</t>
  </si>
  <si>
    <t>The Finance Crisis and Rescue : What Went Wrong? Why? What Lessons Can Be Learned?</t>
  </si>
  <si>
    <t>Rotman School of Management; Beatty, David; Booth, Lawrence; University of Toronto Press Staff; Martin, Roger</t>
  </si>
  <si>
    <t>HB3722.456 2008</t>
  </si>
  <si>
    <t>http://public.eblib.com/choice/PublicFullRecord.aspx?p=4669983</t>
  </si>
  <si>
    <t>The German Right, 1860-1920 : Political Limits of the Authoritarian Imagination</t>
  </si>
  <si>
    <t>Retallack, James; Retallack, James</t>
  </si>
  <si>
    <t>DD221.R483 2006</t>
  </si>
  <si>
    <t>http://public.eblib.com/choice/PublicFullRecord.aspx?p=4669984</t>
  </si>
  <si>
    <t>As For Sinclair Ross</t>
  </si>
  <si>
    <t>PR9199.3.R599.S768 2005</t>
  </si>
  <si>
    <t>C813.54</t>
  </si>
  <si>
    <t>http://public.eblib.com/choice/PublicFullRecord.aspx?p=4669985</t>
  </si>
  <si>
    <t>Descartes's Legacy : Mind and Meaning in Early Modern Philosophy</t>
  </si>
  <si>
    <t>Toronto Studies in Philosophy</t>
  </si>
  <si>
    <t>Hausman, David; Hausman, Alan; Hausman, David</t>
  </si>
  <si>
    <t>B822.H387 1997</t>
  </si>
  <si>
    <t>http://public.eblib.com/choice/PublicFullRecord.aspx?p=4669989</t>
  </si>
  <si>
    <t>On Location : Canada's Television Industry in a Global Market</t>
  </si>
  <si>
    <t>Cultural Spaces</t>
  </si>
  <si>
    <t>Tinic, Serra</t>
  </si>
  <si>
    <t>HE8700.9.C2.T565 2005</t>
  </si>
  <si>
    <t>http://public.eblib.com/choice/PublicFullRecord.aspx?p=4669992</t>
  </si>
  <si>
    <t>Sounding Objects : Musical Instruments, Poetry, and Art in Renaissance France</t>
  </si>
  <si>
    <t>Zecher, Carla</t>
  </si>
  <si>
    <t>PQ231.Z434 2007</t>
  </si>
  <si>
    <t>http://public.eblib.com/choice/PublicFullRecord.aspx?p=4669993</t>
  </si>
  <si>
    <t>Continuity and Change in Canadian Politics : Essays in Honour of David E. Smith</t>
  </si>
  <si>
    <t>Michelmann, Hans J.; de Clercy, Cristine</t>
  </si>
  <si>
    <t>JL65.C68 2006</t>
  </si>
  <si>
    <t>http://public.eblib.com/choice/PublicFullRecord.aspx?p=4669994</t>
  </si>
  <si>
    <t>Essays in the History of Canadian Law : Two Islands, Newfoundland and Prince Edward Island</t>
  </si>
  <si>
    <t>Essays in the History of Canadian Law</t>
  </si>
  <si>
    <t>English, Christopher</t>
  </si>
  <si>
    <t>DA591.A45.E873 2005</t>
  </si>
  <si>
    <t>http://public.eblib.com/choice/PublicFullRecord.aspx?p=4669995</t>
  </si>
  <si>
    <t>Milton and the Climates of Reading : Essays by Balachandra Rajan</t>
  </si>
  <si>
    <t>Rajan, Balachandra; Wittreich, Joseph A.; Sauer, Elizabeth</t>
  </si>
  <si>
    <t>PR3588.M558 2006</t>
  </si>
  <si>
    <t>http://public.eblib.com/choice/PublicFullRecord.aspx?p=4669996</t>
  </si>
  <si>
    <t>Semiotics Unbounded : Interpretive Routes through the Open Network of Signs</t>
  </si>
  <si>
    <t>Toronto Studies in Semiotics and Communication</t>
  </si>
  <si>
    <t>Petrilli, Susan; Ponzio, Augusto</t>
  </si>
  <si>
    <t>P4685.P487 2005</t>
  </si>
  <si>
    <t>http://public.eblib.com/choice/PublicFullRecord.aspx?p=4669997</t>
  </si>
  <si>
    <t>A History of Canadian Legal Thought : Collected Essays</t>
  </si>
  <si>
    <t>Risk, R.C.B.; Baker, George Blain; Phillips, J.</t>
  </si>
  <si>
    <t>KE394.Z85.R575 2006</t>
  </si>
  <si>
    <t>http://public.eblib.com/choice/PublicFullRecord.aspx?p=4670001</t>
  </si>
  <si>
    <t>Baby Boomer Health Dynamics : How Are We Aging?</t>
  </si>
  <si>
    <t>Wister, Andrew V.</t>
  </si>
  <si>
    <t>RA408.B33.W578 2005</t>
  </si>
  <si>
    <t>http://public.eblib.com/choice/PublicFullRecord.aspx?p=4670002</t>
  </si>
  <si>
    <t>Mortuary Landscapes of North Africa</t>
  </si>
  <si>
    <t>Phoenix Presocractic Series</t>
  </si>
  <si>
    <t>Stone, David L.; Stirling, Lea</t>
  </si>
  <si>
    <t>DT191.M67 2007</t>
  </si>
  <si>
    <t>http://public.eblib.com/choice/PublicFullRecord.aspx?p=4670005</t>
  </si>
  <si>
    <t>The Moral Economy of Cities : Shaping Good Citizens</t>
  </si>
  <si>
    <t>Ruppert, Evelyn S.; Ruppert, Evelyn S.</t>
  </si>
  <si>
    <t>HT251.R877 2006</t>
  </si>
  <si>
    <t>http://public.eblib.com/choice/PublicFullRecord.aspx?p=4670007</t>
  </si>
  <si>
    <t>Viola Florence Barnes, 1885-1979 : A Historian's Biography</t>
  </si>
  <si>
    <t>Reid, John G.</t>
  </si>
  <si>
    <t>E175.5.B34.R453 2005</t>
  </si>
  <si>
    <t>http://public.eblib.com/choice/PublicFullRecord.aspx?p=4670010</t>
  </si>
  <si>
    <t>A Tournament of Misfits : Tall Tales and Short</t>
  </si>
  <si>
    <t>Palazzeschi, Aldo; Perella, Nicolas J.</t>
  </si>
  <si>
    <t>PQ4257.E5.P353 2005</t>
  </si>
  <si>
    <t>http://public.eblib.com/choice/PublicFullRecord.aspx?p=4670012</t>
  </si>
  <si>
    <t>Historical Identities : The Professoriate in Canada</t>
  </si>
  <si>
    <t>Panayotidis, E. Lisa; Stortz, Paul</t>
  </si>
  <si>
    <t>LB2331.H567 2006</t>
  </si>
  <si>
    <t>http://public.eblib.com/choice/PublicFullRecord.aspx?p=4670014</t>
  </si>
  <si>
    <t>Bedside Matters : The Transformation of Canadian Nursing, 1900-1990</t>
  </si>
  <si>
    <t>McPherson, Kathryn</t>
  </si>
  <si>
    <t>RT6.A1.M374 2012</t>
  </si>
  <si>
    <t>610.73/0971</t>
  </si>
  <si>
    <t>http://public.eblib.com/choice/PublicFullRecord.aspx?p=4670016</t>
  </si>
  <si>
    <t>Civic Capitalism : The State of Childhood</t>
  </si>
  <si>
    <t>O'Neill, John</t>
  </si>
  <si>
    <t>HQ767.9.O645 2009</t>
  </si>
  <si>
    <t>http://public.eblib.com/choice/PublicFullRecord.aspx?p=4670018</t>
  </si>
  <si>
    <t>Not This Time : Canadians, Public Policy, and the Marijuana Question, 1961-1975</t>
  </si>
  <si>
    <t>Martel, Marcel</t>
  </si>
  <si>
    <t>HV5822.M3.M378 2006</t>
  </si>
  <si>
    <t>362.29/5/097109046</t>
  </si>
  <si>
    <t>http://public.eblib.com/choice/PublicFullRecord.aspx?p=4670022</t>
  </si>
  <si>
    <t>Plato's Sun : An Introduction to Philosophy</t>
  </si>
  <si>
    <t>Lawless, Andrew</t>
  </si>
  <si>
    <t>BD21.L395 2005</t>
  </si>
  <si>
    <t>http://public.eblib.com/choice/PublicFullRecord.aspx?p=4670028</t>
  </si>
  <si>
    <t>The Other Quebec : Microhistorical Essays on Nineteenth-Century Religion and Society</t>
  </si>
  <si>
    <t>http://public.eblib.com/choice/PublicFullRecord.aspx?p=4670029</t>
  </si>
  <si>
    <t>Embodying Pessoa : Corporeality, Gender, Sexuality</t>
  </si>
  <si>
    <t>Klobucka, Anna; Sabine, Mark</t>
  </si>
  <si>
    <t>PQ9261.P417.E436 2007</t>
  </si>
  <si>
    <t>869.1/41</t>
  </si>
  <si>
    <t>http://public.eblib.com/choice/PublicFullRecord.aspx?p=4670031</t>
  </si>
  <si>
    <t>Diaspora in the Countryside : Two Mennonite Communities and Mid-Twentieth Century Rural Disjuncture</t>
  </si>
  <si>
    <t>Loewen, Royden</t>
  </si>
  <si>
    <t>F1064.5.H26.L649 2006</t>
  </si>
  <si>
    <t>304.8088/2897127</t>
  </si>
  <si>
    <t>http://public.eblib.com/choice/PublicFullRecord.aspx?p=4670035</t>
  </si>
  <si>
    <t>The Sleep of Others and the Transformation of Sleep Research</t>
  </si>
  <si>
    <t>Kroker, Kenton</t>
  </si>
  <si>
    <t>RC547.K765 2007</t>
  </si>
  <si>
    <t>http://public.eblib.com/choice/PublicFullRecord.aspx?p=4670036</t>
  </si>
  <si>
    <t>Between Caring &amp; Counting : Teachers Take on Education Reform</t>
  </si>
  <si>
    <t>Kerr, Lindsay</t>
  </si>
  <si>
    <t>LA418.O6.K477 2006</t>
  </si>
  <si>
    <t>http://public.eblib.com/choice/PublicFullRecord.aspx?p=4670038</t>
  </si>
  <si>
    <t>Negotiating Demands : Politics of Skid Row Policing in Edinburgh, San Francisco, and Vancouver</t>
  </si>
  <si>
    <t>Huey, Laura</t>
  </si>
  <si>
    <t>HV7936.P8.H849 2007</t>
  </si>
  <si>
    <t>363.2/3</t>
  </si>
  <si>
    <t>http://public.eblib.com/choice/PublicFullRecord.aspx?p=4670039</t>
  </si>
  <si>
    <t>Consensual Fictions : Women, Liberalism, and the English Novel</t>
  </si>
  <si>
    <t>Jones, Wendy S.</t>
  </si>
  <si>
    <t>PR868.M36.J664 2005</t>
  </si>
  <si>
    <t>823/.8093522</t>
  </si>
  <si>
    <t>http://public.eblib.com/choice/PublicFullRecord.aspx?p=4670041</t>
  </si>
  <si>
    <t>Philippe de Commynes : Memory, Betrayal, Text</t>
  </si>
  <si>
    <t>Kleiman, Irit Ruth</t>
  </si>
  <si>
    <t>DC106.9.C8.K545 2013</t>
  </si>
  <si>
    <t>http://public.eblib.com/choice/PublicFullRecord.aspx?p=4670045</t>
  </si>
  <si>
    <t>The Secular Scripture and Other Writings on Critical Theory, 1976–1991</t>
  </si>
  <si>
    <t>Frye, Northrop; Adamson, Joseph; Wilson, Jean</t>
  </si>
  <si>
    <t>PN511.F794 2006</t>
  </si>
  <si>
    <t>801/.95</t>
  </si>
  <si>
    <t>http://public.eblib.com/choice/PublicFullRecord.aspx?p=4670048</t>
  </si>
  <si>
    <t>The Writing on the Wall : Chinese and Japanese Immigration to BC, 1920</t>
  </si>
  <si>
    <t>Glynn-Ward, Hilda</t>
  </si>
  <si>
    <t>F1089.7.A1.G596 2010</t>
  </si>
  <si>
    <t>http://public.eblib.com/choice/PublicFullRecord.aspx?p=4670049</t>
  </si>
  <si>
    <t>Northrop Frye's Notebooks for Anatomy of Critcism</t>
  </si>
  <si>
    <t>PN81.F753.F794 2007</t>
  </si>
  <si>
    <t>http://public.eblib.com/choice/PublicFullRecord.aspx?p=4670050</t>
  </si>
  <si>
    <t>Northrop Frye and the Phenomenology of Myth</t>
  </si>
  <si>
    <t>Frye Studies</t>
  </si>
  <si>
    <t>Gill, Glen Robert</t>
  </si>
  <si>
    <t>PN75.F7.G555 2006</t>
  </si>
  <si>
    <t>801/.95/092</t>
  </si>
  <si>
    <t>http://public.eblib.com/choice/PublicFullRecord.aspx?p=4670051</t>
  </si>
  <si>
    <t>Household Politics : Montreal Families and Postwar Reconstruction</t>
  </si>
  <si>
    <t>Fahrni, Magda</t>
  </si>
  <si>
    <t>HN110.M63.F347 2005</t>
  </si>
  <si>
    <t>306.8509714/2809045</t>
  </si>
  <si>
    <t>http://public.eblib.com/choice/PublicFullRecord.aspx?p=4670053</t>
  </si>
  <si>
    <t>Mothers of the Municipality : Women, Work, and Social Policy in Post-1945 Halifax</t>
  </si>
  <si>
    <t>Fingard, Judith; Guildford, Janet</t>
  </si>
  <si>
    <t>HQ1460 .H35.M684 2005</t>
  </si>
  <si>
    <t>362.83/525/0820971622</t>
  </si>
  <si>
    <t>http://public.eblib.com/choice/PublicFullRecord.aspx?p=4670061</t>
  </si>
  <si>
    <t>In Translation : The Gabrielle Roy-Joyce Marshall Correspondence</t>
  </si>
  <si>
    <t>Marshall, Joyce; Roy, Gabrielle; Everett, Jane</t>
  </si>
  <si>
    <t>PQ3919.R74.R69 2005</t>
  </si>
  <si>
    <t>http://public.eblib.com/choice/PublicFullRecord.aspx?p=4670063</t>
  </si>
  <si>
    <t>The Ends of the Body : Identity and Community in Medieval Culture</t>
  </si>
  <si>
    <t>Akbari, Suzanne Conklin; Ross, Jill</t>
  </si>
  <si>
    <t>CB353.E537 2013</t>
  </si>
  <si>
    <t>http://public.eblib.com/choice/PublicFullRecord.aspx?p=4670064</t>
  </si>
  <si>
    <t>Insurgency Online : Web Activism and Global Conflict</t>
  </si>
  <si>
    <t>Digital Futures</t>
  </si>
  <si>
    <t>Dartnell, Michael Y.; Kroker, Arthur</t>
  </si>
  <si>
    <t>HM851.D37 2006</t>
  </si>
  <si>
    <t>http://public.eblib.com/choice/PublicFullRecord.aspx?p=4670067</t>
  </si>
  <si>
    <t>Inventing Sam Slick : A Biography of Thomas Chandler Haliburton</t>
  </si>
  <si>
    <t>Davies, Richard A.</t>
  </si>
  <si>
    <t>PR9199.2.H34.D385 2005</t>
  </si>
  <si>
    <t>C818/.309</t>
  </si>
  <si>
    <t>http://public.eblib.com/choice/PublicFullRecord.aspx?p=4670068</t>
  </si>
  <si>
    <t>REED in Review : Essays in Celebration of the First Twenty-Five Years</t>
  </si>
  <si>
    <t>Studies in Early English Drama</t>
  </si>
  <si>
    <t>Douglas, Audrey</t>
  </si>
  <si>
    <t>PN2583.R443 2006</t>
  </si>
  <si>
    <t>790.2/072</t>
  </si>
  <si>
    <t>http://public.eblib.com/choice/PublicFullRecord.aspx?p=4670069</t>
  </si>
  <si>
    <t>Women's Writing in English : Early Modern England</t>
  </si>
  <si>
    <t>Women's Writing in English</t>
  </si>
  <si>
    <t>Demers, Patricia; Demers, Patricia A.</t>
  </si>
  <si>
    <t>PR418.W65</t>
  </si>
  <si>
    <t>http://public.eblib.com/choice/PublicFullRecord.aspx?p=4670072</t>
  </si>
  <si>
    <t>Bringing in the Sheaves : Economy and Metaphor in the Roman World</t>
  </si>
  <si>
    <t>Shaw, Brent</t>
  </si>
  <si>
    <t>Romans - Agriculture - Africa, North</t>
  </si>
  <si>
    <t>http://public.eblib.com/choice/PublicFullRecord.aspx?p=4670073</t>
  </si>
  <si>
    <t>Early English Metre</t>
  </si>
  <si>
    <t>Toronto Old English Studies</t>
  </si>
  <si>
    <t>Bredehoft, Thomas A.</t>
  </si>
  <si>
    <t>PE257.B743 2005</t>
  </si>
  <si>
    <t>829.1/009</t>
  </si>
  <si>
    <t>http://public.eblib.com/choice/PublicFullRecord.aspx?p=4670075</t>
  </si>
  <si>
    <t>Civilization and Democracy : The Salvernini Anthology of Cattaneo's Writings</t>
  </si>
  <si>
    <t>Cattaneo, Carlo; Sabetti, Filippo; Lacaita, Carlo; Sabetti, Filippo</t>
  </si>
  <si>
    <t>DG450.C388 2006</t>
  </si>
  <si>
    <t>http://public.eblib.com/choice/PublicFullRecord.aspx?p=4670076</t>
  </si>
  <si>
    <t>Against the Draft : Essays on Conscientious Objection from the Radical Reformation to the Second World War</t>
  </si>
  <si>
    <t>UB341.B763 2006</t>
  </si>
  <si>
    <t>355.2/2409</t>
  </si>
  <si>
    <t>http://public.eblib.com/choice/PublicFullRecord.aspx?p=4670077</t>
  </si>
  <si>
    <t>World's Fairs Italian-Style : The Great Expositions in Turin and their Narratives, 1860-1915</t>
  </si>
  <si>
    <t>Della Coletta, Cristina</t>
  </si>
  <si>
    <t>http://public.eblib.com/choice/PublicFullRecord.aspx?p=4670078</t>
  </si>
  <si>
    <t>Manliness and Militarism : Educating Young Boys in Ontario for War</t>
  </si>
  <si>
    <t>Moss, Mark</t>
  </si>
  <si>
    <t>U433.O54.M677 2014</t>
  </si>
  <si>
    <t>306.2/7/09713</t>
  </si>
  <si>
    <t>http://public.eblib.com/choice/PublicFullRecord.aspx?p=4670080</t>
  </si>
  <si>
    <t>Regulating Girls and Women : Sexuality, Family, and the Law in Ontario, 1920-1960</t>
  </si>
  <si>
    <t>HQ777.S264 2014</t>
  </si>
  <si>
    <t>http://public.eblib.com/choice/PublicFullRecord.aspx?p=4670083</t>
  </si>
  <si>
    <t>Critical Issues Editing Exploration Text</t>
  </si>
  <si>
    <t>Geography/Travel; Literature</t>
  </si>
  <si>
    <t>G80.C664 1995</t>
  </si>
  <si>
    <t>http://public.eblib.com/choice/PublicFullRecord.aspx?p=4670084</t>
  </si>
  <si>
    <t>Nation and History : Polish Historians from the Enlightenment to the Second World War</t>
  </si>
  <si>
    <t>Brock, Peter; Stanley, John; Wróbel, Piotr J.</t>
  </si>
  <si>
    <t>DK4139.2.N38 2006</t>
  </si>
  <si>
    <t>907/.2/022438</t>
  </si>
  <si>
    <t>Pologne - Vie intellectuelle</t>
  </si>
  <si>
    <t>http://public.eblib.com/choice/PublicFullRecord.aspx?p=4670085</t>
  </si>
  <si>
    <t>Living and Working with Schizophrenia : Information and support for patients, and their families, friends, employers, and teachers</t>
  </si>
  <si>
    <t>Jeffries, Joel, J.; Plummer, E.; Seeman, Mary, V.; Thornton, J. F.</t>
  </si>
  <si>
    <t>RC514.L585 1990</t>
  </si>
  <si>
    <t>http://public.eblib.com/choice/PublicFullRecord.aspx?p=4670086</t>
  </si>
  <si>
    <t>Revitalizing Liberal Values in a Globalizing World</t>
  </si>
  <si>
    <t>Lubbers, Ruud</t>
  </si>
  <si>
    <t>JC574.L83 1999</t>
  </si>
  <si>
    <t>http://public.eblib.com/choice/PublicFullRecord.aspx?p=4670087</t>
  </si>
  <si>
    <t>Voices From Within : Women Who Have Broken the Law</t>
  </si>
  <si>
    <t>Sommers, Evelyn, K.; Caplan, Paula, J.</t>
  </si>
  <si>
    <t>HV6046.S65 1995</t>
  </si>
  <si>
    <t>364.3/74</t>
  </si>
  <si>
    <t>http://public.eblib.com/choice/PublicFullRecord.aspx?p=4670088</t>
  </si>
  <si>
    <t>Dream No Little Dreams : A Biography of the Douglas Government of Saskatchewan, 1944-1961</t>
  </si>
  <si>
    <t>IPAC Series in Public Management and Governance</t>
  </si>
  <si>
    <t>Johnson, A.W.; Proctor, Rosemary</t>
  </si>
  <si>
    <t>F1072.J64 2004</t>
  </si>
  <si>
    <t>http://public.eblib.com/choice/PublicFullRecord.aspx?p=4670089</t>
  </si>
  <si>
    <t>Modern Drama : Defining the Field</t>
  </si>
  <si>
    <t>Knowles, Ric; Tompkins, Joanne Elizabeth; Worthen, W.B.</t>
  </si>
  <si>
    <t>PN1861M553 2003</t>
  </si>
  <si>
    <t>http://public.eblib.com/choice/PublicFullRecord.aspx?p=4670090</t>
  </si>
  <si>
    <t>Public Attitudes Towards Education in Ontario 1998 : The Twelfth OISE/UT Survey</t>
  </si>
  <si>
    <t>Livingstone, D. W.; Hart, D.; Davie, Lynn, E.</t>
  </si>
  <si>
    <t>LA418.O6.L585 1999</t>
  </si>
  <si>
    <t>http://public.eblib.com/choice/PublicFullRecord.aspx?p=4670091</t>
  </si>
  <si>
    <t>No Trespassing : Authorship, Intellectual Property Rights, and the Boundaries of Globalization</t>
  </si>
  <si>
    <t>Studies in Book and Print Culture</t>
  </si>
  <si>
    <t>Hemmungs Wirtén, Eva</t>
  </si>
  <si>
    <t>Law; General Works/Reference</t>
  </si>
  <si>
    <t>Z552.H46 2004</t>
  </si>
  <si>
    <t>346.04/82</t>
  </si>
  <si>
    <t>Globalization</t>
  </si>
  <si>
    <t>http://public.eblib.com/choice/PublicFullRecord.aspx?p=4670092</t>
  </si>
  <si>
    <t>Fairness in Taxation : Exploring the Principles</t>
  </si>
  <si>
    <t>HJ2321.F3 1993</t>
  </si>
  <si>
    <t>http://public.eblib.com/choice/PublicFullRecord.aspx?p=4670095</t>
  </si>
  <si>
    <t>Father Lee's Opera Quiz Book</t>
  </si>
  <si>
    <t>Lee, M. Owen</t>
  </si>
  <si>
    <t>ML1700.L44F38 2000</t>
  </si>
  <si>
    <t>http://public.eblib.com/choice/PublicFullRecord.aspx?p=4670097</t>
  </si>
  <si>
    <t>The Unfinished Mechanics of Giuseppe Moletti : An Edition and English Translation of His Dialogue on Mechanics, 1576</t>
  </si>
  <si>
    <t>Laird, Walter, R.</t>
  </si>
  <si>
    <t>Science; Science: Physics; Mathematics</t>
  </si>
  <si>
    <t>QA804.M6513 2000</t>
  </si>
  <si>
    <t>http://public.eblib.com/choice/PublicFullRecord.aspx?p=4670098</t>
  </si>
  <si>
    <t>Rationality and Cognition : Against Relativism-Pragmatism</t>
  </si>
  <si>
    <t>Miscevic, Nenad</t>
  </si>
  <si>
    <t>B833.M573 2000</t>
  </si>
  <si>
    <t>http://public.eblib.com/choice/PublicFullRecord.aspx?p=4670099</t>
  </si>
  <si>
    <t>At Odds : Gambling and Canadians, 1919-1969</t>
  </si>
  <si>
    <t>Morton, Suzanne</t>
  </si>
  <si>
    <t>HV6722.C2.M67 2003</t>
  </si>
  <si>
    <t>363.4/2/0971</t>
  </si>
  <si>
    <t>http://public.eblib.com/choice/PublicFullRecord.aspx?p=4670100</t>
  </si>
  <si>
    <t>Past Futures : The Impossible Necessity of History</t>
  </si>
  <si>
    <t>D16.M382 2004</t>
  </si>
  <si>
    <t>http://public.eblib.com/choice/PublicFullRecord.aspx?p=4670101</t>
  </si>
  <si>
    <t>The Convergence of Civilizations : Constructing a Mediterranean Region</t>
  </si>
  <si>
    <t>Adler, Emanuel; Bicchi, Federica; Crawford, Beverly; Del Sarto, Raffaella A</t>
  </si>
  <si>
    <t>DE100.C675 2006</t>
  </si>
  <si>
    <t>http://public.eblib.com/choice/PublicFullRecord.aspx?p=4670103</t>
  </si>
  <si>
    <t>Legitimizing the Artist : Manifesto Writing and European Modernism 1885-1915</t>
  </si>
  <si>
    <t>Somigli, Luca</t>
  </si>
  <si>
    <t>PN761.S69 2003</t>
  </si>
  <si>
    <t>700/.94/09041</t>
  </si>
  <si>
    <t>http://public.eblib.com/choice/PublicFullRecord.aspx?p=4670104</t>
  </si>
  <si>
    <t>These Strange Criminals : An Anthology of Prison Memoirs by Conscientious Objectors from the Great War to the Cold War</t>
  </si>
  <si>
    <t>Brock, Peter; Brock, Peter</t>
  </si>
  <si>
    <t>UB341.T49 2004</t>
  </si>
  <si>
    <t>355.2/24/0922</t>
  </si>
  <si>
    <t>http://public.eblib.com/choice/PublicFullRecord.aspx?p=4670105</t>
  </si>
  <si>
    <t>Courted and Abandoned : Seduction in Canadian Law</t>
  </si>
  <si>
    <t>KE8928.B763 2002</t>
  </si>
  <si>
    <t>http://public.eblib.com/choice/PublicFullRecord.aspx?p=4670107</t>
  </si>
  <si>
    <t>Judging Bertha Wilson : Law as Large as Life</t>
  </si>
  <si>
    <t>Anderson, Ellen; Osgoode Society for Canadian Legal History Staff</t>
  </si>
  <si>
    <t>KE8248.W55.A53 2001</t>
  </si>
  <si>
    <t>http://public.eblib.com/choice/PublicFullRecord.aspx?p=4670109</t>
  </si>
  <si>
    <t>Northrop Frye and the Poetics of Process</t>
  </si>
  <si>
    <t>Cotrupi, Nella</t>
  </si>
  <si>
    <t>PN75.F7.C68 2000</t>
  </si>
  <si>
    <t>http://public.eblib.com/choice/PublicFullRecord.aspx?p=4670111</t>
  </si>
  <si>
    <t>The Force of Culture : Vincent Massey and Canadian Sovereignty</t>
  </si>
  <si>
    <t>Finlay, Karen</t>
  </si>
  <si>
    <t>F1034.M35.F56 2004</t>
  </si>
  <si>
    <t>971.063/092</t>
  </si>
  <si>
    <t>http://public.eblib.com/choice/PublicFullRecord.aspx?p=4670112</t>
  </si>
  <si>
    <t>Canadian State Trials, Volume II : Rebellion and Invasion in the Canadas, 1837-1839</t>
  </si>
  <si>
    <t>Canadian State Trials</t>
  </si>
  <si>
    <t>Greenwood, F. Murray; Wright, Barry</t>
  </si>
  <si>
    <t>K543.P6.C363 2002</t>
  </si>
  <si>
    <t>http://public.eblib.com/choice/PublicFullRecord.aspx?p=4670113</t>
  </si>
  <si>
    <t>Essays in the History of Canadian Law : In Honour of R.C.B. Risk</t>
  </si>
  <si>
    <t>Baker, George Blaine; Phillips, Jim</t>
  </si>
  <si>
    <t>KE44.E873 1999</t>
  </si>
  <si>
    <t>http://public.eblib.com/choice/PublicFullRecord.aspx?p=4670114</t>
  </si>
  <si>
    <t>Littere Baronum : The Earliest Cartulary of the Counts of Champagne</t>
  </si>
  <si>
    <t>Evergates, Theodore</t>
  </si>
  <si>
    <t>DC611.C446.L58 2003</t>
  </si>
  <si>
    <t>944/.31</t>
  </si>
  <si>
    <t>http://public.eblib.com/choice/PublicFullRecord.aspx?p=4670115</t>
  </si>
  <si>
    <t>Daniel Defoe, Contrarian</t>
  </si>
  <si>
    <t>Merrett, Robert James</t>
  </si>
  <si>
    <t>PR3407.M47 2013</t>
  </si>
  <si>
    <t>http://public.eblib.com/choice/PublicFullRecord.aspx?p=4670117</t>
  </si>
  <si>
    <t>Essays in the History of Canadian Law : The Legal History of British Columbia and the Yukon</t>
  </si>
  <si>
    <t>Foster, Hamar; McLaren, John</t>
  </si>
  <si>
    <t>KE44.E873 1995</t>
  </si>
  <si>
    <t>http://public.eblib.com/choice/PublicFullRecord.aspx?p=4670125</t>
  </si>
  <si>
    <t>The Atlantic Provinces in Confederation</t>
  </si>
  <si>
    <t>Forbes, Ernest, R.; Muise, Delphin, A.</t>
  </si>
  <si>
    <t>F1035.8.A765 1993</t>
  </si>
  <si>
    <t>http://public.eblib.com/choice/PublicFullRecord.aspx?p=4670126</t>
  </si>
  <si>
    <t>The Problem of Difference : Phenomenology and Poststructuralism</t>
  </si>
  <si>
    <t>Bell, Jeffrey, A.</t>
  </si>
  <si>
    <t>B809.9.B43 1998</t>
  </si>
  <si>
    <t>190/.9/04</t>
  </si>
  <si>
    <t>http://public.eblib.com/choice/PublicFullRecord.aspx?p=4670127</t>
  </si>
  <si>
    <t>The Supreme Court of Nova Scotia, 1754-2004 : From Imperial Bastion to Provincial Oracle</t>
  </si>
  <si>
    <t>Cahill, Barry; Girard, Philip; Phillips, Jim</t>
  </si>
  <si>
    <t>KEN7935.4.S86 2004</t>
  </si>
  <si>
    <t>http://public.eblib.com/choice/PublicFullRecord.aspx?p=4670128</t>
  </si>
  <si>
    <t>The Legacies of Fear : Law and Politics in Quebec in the Era of the French Revolution</t>
  </si>
  <si>
    <t>Greenwood, Frank, M.</t>
  </si>
  <si>
    <t>KEQ189.G74 1993</t>
  </si>
  <si>
    <t>Canada</t>
  </si>
  <si>
    <t>http://public.eblib.com/choice/PublicFullRecord.aspx?p=4670129</t>
  </si>
  <si>
    <t>Allegories of Contamination : Pier Paolo Pasolini's Trilogy of Life</t>
  </si>
  <si>
    <t>Rumble, Patrick; Rumble, Patrick</t>
  </si>
  <si>
    <t>PN1998.3.P367R86</t>
  </si>
  <si>
    <t>http://public.eblib.com/choice/PublicFullRecord.aspx?p=4670131</t>
  </si>
  <si>
    <t>Essays in the History of Canadian Law : Volume II</t>
  </si>
  <si>
    <t>Flaherty, David H.</t>
  </si>
  <si>
    <t>KE394.E873 2012</t>
  </si>
  <si>
    <t>http://public.eblib.com/choice/PublicFullRecord.aspx?p=4670132</t>
  </si>
  <si>
    <t>Weapons of Mass Persuasion : Marketing the War Against Iraq</t>
  </si>
  <si>
    <t>Rutherford, Paul</t>
  </si>
  <si>
    <t>DS79.76.R87</t>
  </si>
  <si>
    <t>http://public.eblib.com/choice/PublicFullRecord.aspx?p=4670133</t>
  </si>
  <si>
    <t>Emblematic Structures in Renaissance French Culture</t>
  </si>
  <si>
    <t>Russell, Daniel</t>
  </si>
  <si>
    <t>PN6348.5.R88 1995</t>
  </si>
  <si>
    <t>704.9/46/0944</t>
  </si>
  <si>
    <t>http://public.eblib.com/choice/PublicFullRecord.aspx?p=4670135</t>
  </si>
  <si>
    <t>The French Tradition and the Literature of Medieval England</t>
  </si>
  <si>
    <t>Calin, William</t>
  </si>
  <si>
    <t>PR128.C35 1994</t>
  </si>
  <si>
    <t>http://public.eblib.com/choice/PublicFullRecord.aspx?p=4670136</t>
  </si>
  <si>
    <t>Russian Literature, 1988-1994 : The End of an Era</t>
  </si>
  <si>
    <t>Shneidman, Norman, N.</t>
  </si>
  <si>
    <t>PG3098.4.S47 1995</t>
  </si>
  <si>
    <t>891.73/4409</t>
  </si>
  <si>
    <t>http://public.eblib.com/choice/PublicFullRecord.aspx?p=4670137</t>
  </si>
  <si>
    <t>Ben Jonson and the Art of Secrecy</t>
  </si>
  <si>
    <t>Slights, William W. E.</t>
  </si>
  <si>
    <t>PR2642.S36.S59 1994</t>
  </si>
  <si>
    <t>822/.3</t>
  </si>
  <si>
    <t>http://public.eblib.com/choice/PublicFullRecord.aspx?p=4670139</t>
  </si>
  <si>
    <t>Philosophical Perspectives on Bioethics</t>
  </si>
  <si>
    <t>Boyle, Joseph; Sumner, Leonard, W.</t>
  </si>
  <si>
    <t>R724.P46 1996</t>
  </si>
  <si>
    <t>http://public.eblib.com/choice/PublicFullRecord.aspx?p=4670140</t>
  </si>
  <si>
    <t>Colonial Justice : Justice, Morality, and Crime in the Niagara District, 1791-1849</t>
  </si>
  <si>
    <t>Murray, David</t>
  </si>
  <si>
    <t>KEO176.M87 2002</t>
  </si>
  <si>
    <t>364/.09713/38</t>
  </si>
  <si>
    <t>http://public.eblib.com/choice/PublicFullRecord.aspx?p=4670142</t>
  </si>
  <si>
    <t>Dreams of Equality : Women on the Canadian Left, 1920-1950</t>
  </si>
  <si>
    <t>HQ1236.5.C2.S25 1989</t>
  </si>
  <si>
    <t>305.4/332/0971</t>
  </si>
  <si>
    <t>http://public.eblib.com/choice/PublicFullRecord.aspx?p=4670143</t>
  </si>
  <si>
    <t>Fool For Christ : The Intellectual Politics of J.S. Woodsworth</t>
  </si>
  <si>
    <t>Mills, Allen</t>
  </si>
  <si>
    <t>F1034.W6.M55 1991</t>
  </si>
  <si>
    <t>971.06/092</t>
  </si>
  <si>
    <t>http://public.eblib.com/choice/PublicFullRecord.aspx?p=4670144</t>
  </si>
  <si>
    <t>Social Working : An Ethnography of Front-line Practice</t>
  </si>
  <si>
    <t>de Montigny, Gerald, A.J.</t>
  </si>
  <si>
    <t>HV40.D454 1995</t>
  </si>
  <si>
    <t>http://public.eblib.com/choice/PublicFullRecord.aspx?p=4670145</t>
  </si>
  <si>
    <t>Our Own Master Race : Eugenics in Canada, 1885-1945</t>
  </si>
  <si>
    <t>McLaren, Angus</t>
  </si>
  <si>
    <t>HQ755.5.C2.M353 2014</t>
  </si>
  <si>
    <t>363.9/2/0971</t>
  </si>
  <si>
    <t>http://public.eblib.com/choice/PublicFullRecord.aspx?p=4670146</t>
  </si>
  <si>
    <t>The praier and complaynte of the ploweman vnto Christe</t>
  </si>
  <si>
    <t>Parker, Douglas, H.</t>
  </si>
  <si>
    <t>BR303.P735 1997</t>
  </si>
  <si>
    <t>http://public.eblib.com/choice/PublicFullRecord.aspx?p=4670147</t>
  </si>
  <si>
    <t>By Great Waters : A Newfoundland and Labrador Anthology</t>
  </si>
  <si>
    <t>O'Flaherty, Patrick; O'Flaherty, Patrick</t>
  </si>
  <si>
    <t>F1123.B947 1974</t>
  </si>
  <si>
    <t>http://public.eblib.com/choice/PublicFullRecord.aspx?p=4670148</t>
  </si>
  <si>
    <t>Workplace Democracy : An Inquiry into Employee Participation in Canadian Work Organizations</t>
  </si>
  <si>
    <t>Nightingale, Donald, V.; Clarkson, Max, B.E.</t>
  </si>
  <si>
    <t>HD5660.C3.N544 1982</t>
  </si>
  <si>
    <t>658.3/152/0971</t>
  </si>
  <si>
    <t>http://public.eblib.com/choice/PublicFullRecord.aspx?p=4670149</t>
  </si>
  <si>
    <t>Hopkins, the Self, and God</t>
  </si>
  <si>
    <t>Ong,  Walter, J.</t>
  </si>
  <si>
    <t>http://public.eblib.com/choice/PublicFullRecord.aspx?p=4670150</t>
  </si>
  <si>
    <t>Re-imagining Policing in Canada</t>
  </si>
  <si>
    <t>Cooley, Dennis</t>
  </si>
  <si>
    <t>HV8157.R456 2012</t>
  </si>
  <si>
    <t>363.2/0971</t>
  </si>
  <si>
    <t>http://public.eblib.com/choice/PublicFullRecord.aspx?p=4670153</t>
  </si>
  <si>
    <t>Working in Steel : The Early Years in Canada, 1883-1935</t>
  </si>
  <si>
    <t>Heron, Craig</t>
  </si>
  <si>
    <t>HD9524.C22.H476 2008</t>
  </si>
  <si>
    <t>http://public.eblib.com/choice/PublicFullRecord.aspx?p=4670155</t>
  </si>
  <si>
    <t>Peasant, Lord, and Merchant : Rural Society in Three Quebec Parishes 1740-1840</t>
  </si>
  <si>
    <t>Greer, Allan</t>
  </si>
  <si>
    <t>HN110.R53.G744 2002</t>
  </si>
  <si>
    <t>971.4/5102</t>
  </si>
  <si>
    <t>http://public.eblib.com/choice/PublicFullRecord.aspx?p=4670156</t>
  </si>
  <si>
    <t>Take One's Essential Guide to Canadian Film</t>
  </si>
  <si>
    <t>Wise, Wyndham</t>
  </si>
  <si>
    <t>PN1993.5.C2.T354 2001</t>
  </si>
  <si>
    <t>791.43/0971/03</t>
  </si>
  <si>
    <t>http://public.eblib.com/choice/PublicFullRecord.aspx?p=4670157</t>
  </si>
  <si>
    <t>Impulse Archaeology</t>
  </si>
  <si>
    <t>Garnet, Eldon</t>
  </si>
  <si>
    <t>NX513.A1.G376 2005</t>
  </si>
  <si>
    <t>700/.971</t>
  </si>
  <si>
    <t>http://public.eblib.com/choice/PublicFullRecord.aspx?p=4670159</t>
  </si>
  <si>
    <t>The Court of Queen's Bench of Manitoba, 1870-1950 : A Biographical History</t>
  </si>
  <si>
    <t>Brawn, Dale</t>
  </si>
  <si>
    <t>KE396.M3.B739 2006</t>
  </si>
  <si>
    <t>347.7127/02340922</t>
  </si>
  <si>
    <t>http://public.eblib.com/choice/PublicFullRecord.aspx?p=4670164</t>
  </si>
  <si>
    <t>The Library of  the  Sidneys of  Penshurst Place circa 1665</t>
  </si>
  <si>
    <t>Warkentin, Germaine; Black, Joseph; Bowen, William</t>
  </si>
  <si>
    <t>General Works/Reference; Library Science</t>
  </si>
  <si>
    <t>Z997.S53.L537 2013</t>
  </si>
  <si>
    <t>017/.209422372</t>
  </si>
  <si>
    <t>http://public.eblib.com/choice/PublicFullRecord.aspx?p=4670165</t>
  </si>
  <si>
    <t>Gendered Pasts : Historical Essays in Femininity and Masculinity in Canada</t>
  </si>
  <si>
    <t>Morgan, Cecilia; McPherson, Kathryn; Morgan, Cecilia; Forestell, Nancy</t>
  </si>
  <si>
    <t>HQ1075.5</t>
  </si>
  <si>
    <t>http://public.eblib.com/choice/PublicFullRecord.aspx?p=4670167</t>
  </si>
  <si>
    <t>A Path Not Strewn With Roses : One Hundred Years of Women at the University of Toronto 1884-1984</t>
  </si>
  <si>
    <t>Ford, Anne Rochon</t>
  </si>
  <si>
    <t>LE3.T52.F673 1985</t>
  </si>
  <si>
    <t>376/.65/09713541</t>
  </si>
  <si>
    <t>http://public.eblib.com/choice/PublicFullRecord.aspx?p=4670170</t>
  </si>
  <si>
    <t>Atlantic Canadian Imprints : A Bibliography, 1801-1820</t>
  </si>
  <si>
    <t>Fleming, Patricia Lockhart</t>
  </si>
  <si>
    <t>Library Science; General Works/Reference</t>
  </si>
  <si>
    <t>Z693.3.U53.F546 1991</t>
  </si>
  <si>
    <t>http://public.eblib.com/choice/PublicFullRecord.aspx?p=4670173</t>
  </si>
  <si>
    <t>The Family Squeeze : Surviving the Sandwich Generation</t>
  </si>
  <si>
    <t>Kingsmill, Suzanne; Schlesinger, Benjamin</t>
  </si>
  <si>
    <t>HQ1059.5.C2K55 1998</t>
  </si>
  <si>
    <t>http://public.eblib.com/choice/PublicFullRecord.aspx?p=4670174</t>
  </si>
  <si>
    <t>Rideau Waterway</t>
  </si>
  <si>
    <t>Legget, Robert</t>
  </si>
  <si>
    <t>HE401.R5</t>
  </si>
  <si>
    <t>http://public.eblib.com/choice/PublicFullRecord.aspx?p=4670178</t>
  </si>
  <si>
    <t>Making and Breaking the Rules : Women in Quebec, 1919-1939</t>
  </si>
  <si>
    <t>Levesque, Andree</t>
  </si>
  <si>
    <t>http://public.eblib.com/choice/PublicFullRecord.aspx?p=4670182</t>
  </si>
  <si>
    <t>The Canadian Fur Trade in the Industrial Age</t>
  </si>
  <si>
    <t>Ray, Arthur</t>
  </si>
  <si>
    <t>HD9944.C22.R39 1990</t>
  </si>
  <si>
    <t>Indians of North America - Canada - Economic conditions</t>
  </si>
  <si>
    <t>http://public.eblib.com/choice/PublicFullRecord.aspx?p=4670184</t>
  </si>
  <si>
    <t>The Myth of Green Marketing : Tending Our Goats at the Edge of Apocalypse</t>
  </si>
  <si>
    <t>Smith, Toby, M.</t>
  </si>
  <si>
    <t>HF5413.S658 1998</t>
  </si>
  <si>
    <t>http://public.eblib.com/choice/PublicFullRecord.aspx?p=4670185</t>
  </si>
  <si>
    <t>Knowledge, Experience, and Ruling : Studies in the Social Organization of Knowledge</t>
  </si>
  <si>
    <t>Campbell, Marie; Manicom, Ann</t>
  </si>
  <si>
    <t>HM24.K569 1995</t>
  </si>
  <si>
    <t>301/.01</t>
  </si>
  <si>
    <t>http://public.eblib.com/choice/PublicFullRecord.aspx?p=4670186</t>
  </si>
  <si>
    <t>The Dating of Beowulf</t>
  </si>
  <si>
    <t>Chase, Colin</t>
  </si>
  <si>
    <t>PR1585.D385 1997</t>
  </si>
  <si>
    <t>829/.3</t>
  </si>
  <si>
    <t>http://public.eblib.com/choice/PublicFullRecord.aspx?p=4670187</t>
  </si>
  <si>
    <t>Women's Work, Markets and Economic Development in Nineteenth-Century Ontario</t>
  </si>
  <si>
    <t>HD6100.O6.C644 1988</t>
  </si>
  <si>
    <t>331.4/09713</t>
  </si>
  <si>
    <t>http://public.eblib.com/choice/PublicFullRecord.aspx?p=4670188</t>
  </si>
  <si>
    <t>Governance in the 21st Century / Gouvernance Au 21e Siècle</t>
  </si>
  <si>
    <t>Transactions of the Royal Society of Canada / Mémoires de la Société royale du Canada</t>
  </si>
  <si>
    <t>JL86.P4.G684 2000</t>
  </si>
  <si>
    <t>320/.6/0971</t>
  </si>
  <si>
    <t>http://public.eblib.com/choice/PublicFullRecord.aspx?p=4670189</t>
  </si>
  <si>
    <t>Harm Reduction : A New Direction for Drug Policies and Programs</t>
  </si>
  <si>
    <t>Erickson, Patricia G.; Riley, Diane M.; Cheung, Yuet W.; O'Hare, Pat A.; Erickson, Patricia G.</t>
  </si>
  <si>
    <t>HV5801.H376 1997</t>
  </si>
  <si>
    <t>362.29/17</t>
  </si>
  <si>
    <t>http://public.eblib.com/choice/PublicFullRecord.aspx?p=4670190</t>
  </si>
  <si>
    <t>Street Kids : The Tragedy of Canada's Runaways</t>
  </si>
  <si>
    <t>Webber, Marlene</t>
  </si>
  <si>
    <t>HV1441.C3.W433 2013</t>
  </si>
  <si>
    <t>362.7/4</t>
  </si>
  <si>
    <t>http://public.eblib.com/choice/PublicFullRecord.aspx?p=4670196</t>
  </si>
  <si>
    <t>The French-Canadian Idea of Confederation, 1864-1900</t>
  </si>
  <si>
    <t>Silver, A.I.</t>
  </si>
  <si>
    <t>F1027.S562 1997</t>
  </si>
  <si>
    <t>http://public.eblib.com/choice/PublicFullRecord.aspx?p=4670197</t>
  </si>
  <si>
    <t>A Fatherly Eye : Indian Agents, Government Power, and Aboriginal Resistance in Ontario, 1918-1939</t>
  </si>
  <si>
    <t>Brownlie, Robin</t>
  </si>
  <si>
    <t>E78.O5.B769 2003</t>
  </si>
  <si>
    <t>323.11/97071/09041</t>
  </si>
  <si>
    <t>http://public.eblib.com/choice/PublicFullRecord.aspx?p=4670198</t>
  </si>
  <si>
    <t>The Workers' Festival : A History of Labour Day in Canada</t>
  </si>
  <si>
    <t>Heron, Craig; Penfold, Steve; Penfold, Steve</t>
  </si>
  <si>
    <t>HD7791.H477 2005</t>
  </si>
  <si>
    <t>http://public.eblib.com/choice/PublicFullRecord.aspx?p=4670199</t>
  </si>
  <si>
    <t>Sir John Beverley Robinson : Bone and Sinew of the Compact</t>
  </si>
  <si>
    <t>KE406.R63.B763 1984</t>
  </si>
  <si>
    <t>971.3/02/0924</t>
  </si>
  <si>
    <t>http://public.eblib.com/choice/PublicFullRecord.aspx?p=4670200</t>
  </si>
  <si>
    <t>Canadians at Last : The Integration of Newfoundland as a Province</t>
  </si>
  <si>
    <t>Blake, Raymond, B.</t>
  </si>
  <si>
    <t>F1123.B535 2004</t>
  </si>
  <si>
    <t>971.8/04</t>
  </si>
  <si>
    <t>http://public.eblib.com/choice/PublicFullRecord.aspx?p=4670201</t>
  </si>
  <si>
    <t>The Making of Sir Philip Sidney</t>
  </si>
  <si>
    <t>Berry, Edward</t>
  </si>
  <si>
    <t>PR2343.B477 1998</t>
  </si>
  <si>
    <t>http://public.eblib.com/choice/PublicFullRecord.aspx?p=4670202</t>
  </si>
  <si>
    <t>Constitutional Law in Theory and Practice</t>
  </si>
  <si>
    <t>Beatty, David, M.</t>
  </si>
  <si>
    <t>KE4219.B438 1995</t>
  </si>
  <si>
    <t>http://public.eblib.com/choice/PublicFullRecord.aspx?p=4670203</t>
  </si>
  <si>
    <t>Wheat and Woman</t>
  </si>
  <si>
    <t>Binnie-Clark, Georgina; Carter, Sarah, A.</t>
  </si>
  <si>
    <t>S417.B5.B566 2007</t>
  </si>
  <si>
    <t>http://public.eblib.com/choice/PublicFullRecord.aspx?p=4670204</t>
  </si>
  <si>
    <t>Cargo of Lies : The True Story of a Nazi Double Agent in Canada</t>
  </si>
  <si>
    <t>Beeby, Dean</t>
  </si>
  <si>
    <t>D810.S8.B443 1996</t>
  </si>
  <si>
    <t>940.54/8743/092</t>
  </si>
  <si>
    <t>http://public.eblib.com/choice/PublicFullRecord.aspx?p=4670206</t>
  </si>
  <si>
    <t>The State, Business, and Industrial Change in Canada</t>
  </si>
  <si>
    <t>Atkinson, Michael M.; Coleman, William D.</t>
  </si>
  <si>
    <t>HD3616.C23.A855 1989</t>
  </si>
  <si>
    <t>http://public.eblib.com/choice/PublicFullRecord.aspx?p=4670207</t>
  </si>
  <si>
    <t>Tennyson's Language</t>
  </si>
  <si>
    <t>Hair, Donald, S.</t>
  </si>
  <si>
    <t>PR5594.H357 1991</t>
  </si>
  <si>
    <t>http://public.eblib.com/choice/PublicFullRecord.aspx?p=4670208</t>
  </si>
  <si>
    <t>Saint John : The Making of a Colonial Urban Community</t>
  </si>
  <si>
    <t>Acheson, Thomas, W.</t>
  </si>
  <si>
    <t>F1044.5.S14.A244 1985</t>
  </si>
  <si>
    <t>971.5/32</t>
  </si>
  <si>
    <t>http://public.eblib.com/choice/PublicFullRecord.aspx?p=4670209</t>
  </si>
  <si>
    <t>Is God a Racist? : The Right Wing in Canada</t>
  </si>
  <si>
    <t>F1035.A1.B377 1987</t>
  </si>
  <si>
    <t>http://public.eblib.com/choice/PublicFullRecord.aspx?p=4670210</t>
  </si>
  <si>
    <t>The Quest for Justice : Aboriginal Peoples and Aboriginal Rights</t>
  </si>
  <si>
    <t>Boldt, Menno; Long, Anthony; Long, J. Anthony</t>
  </si>
  <si>
    <t>KE7709.Q47 2013</t>
  </si>
  <si>
    <t>http://public.eblib.com/choice/PublicFullRecord.aspx?p=4670211</t>
  </si>
  <si>
    <t>Notes to the University of Toronto : A History</t>
  </si>
  <si>
    <t>Friedland, Martin, L.</t>
  </si>
  <si>
    <t>LE3.T52.F754 2002</t>
  </si>
  <si>
    <t>http://public.eblib.com/choice/PublicFullRecord.aspx?p=4670212</t>
  </si>
  <si>
    <t>Essays in the History of Canadian Law : Nova Scotia</t>
  </si>
  <si>
    <t>Girard, Philip; Phillips, J.</t>
  </si>
  <si>
    <t>KEN7565.E873 2012</t>
  </si>
  <si>
    <t>http://public.eblib.com/choice/PublicFullRecord.aspx?p=4670214</t>
  </si>
  <si>
    <t>Just Bats</t>
  </si>
  <si>
    <t>Fenton, M. Brock</t>
  </si>
  <si>
    <t>QL737.C5.F468 1983</t>
  </si>
  <si>
    <t>http://public.eblib.com/choice/PublicFullRecord.aspx?p=4670215</t>
  </si>
  <si>
    <t>Studies in Hellenistic Architecture</t>
  </si>
  <si>
    <t>Winter, Frederick E.; Fedak, Janos</t>
  </si>
  <si>
    <t>NA270.W568 2006</t>
  </si>
  <si>
    <t>http://public.eblib.com/choice/PublicFullRecord.aspx?p=4670216</t>
  </si>
  <si>
    <t>The Gold Crusades : A Social History of Gold Rushes, 1849-1929</t>
  </si>
  <si>
    <t>Fetherling, Douglas</t>
  </si>
  <si>
    <t>Engineering; Engineering: Mining; Economics; Business/Management</t>
  </si>
  <si>
    <t>TN420.F484 1997</t>
  </si>
  <si>
    <t>338.2/741/09</t>
  </si>
  <si>
    <t>http://public.eblib.com/choice/PublicFullRecord.aspx?p=4670217</t>
  </si>
  <si>
    <t>Playing God : Medieval Mysteries on the Modern Stage</t>
  </si>
  <si>
    <t>Elliott Jr., John, R.</t>
  </si>
  <si>
    <t>PN2595.E455 1989</t>
  </si>
  <si>
    <t>http://public.eblib.com/choice/PublicFullRecord.aspx?p=4670218</t>
  </si>
  <si>
    <t>Prions en Chantant : Devotional Songs of the Trouvères</t>
  </si>
  <si>
    <t>Epstein, Marcia J.</t>
  </si>
  <si>
    <t>Fine Arts; Religion</t>
  </si>
  <si>
    <t>M2110.P756 1997</t>
  </si>
  <si>
    <t>http://public.eblib.com/choice/PublicFullRecord.aspx?p=4670219</t>
  </si>
  <si>
    <t>The Book Unbound : Editing and Reading Medieval Manuscripts and Texts</t>
  </si>
  <si>
    <t>Echard, Siân; Partridge, Stephen</t>
  </si>
  <si>
    <t>PN162.B665 2004</t>
  </si>
  <si>
    <t>http://public.eblib.com/choice/PublicFullRecord.aspx?p=4670221</t>
  </si>
  <si>
    <t>Hired Hands : Labour and the Development of Prarie Agriculture, 1880-1930</t>
  </si>
  <si>
    <t>Danysk, Cecilia</t>
  </si>
  <si>
    <t>HD1530.P73.D369 2014</t>
  </si>
  <si>
    <t>http://public.eblib.com/choice/PublicFullRecord.aspx?p=4670222</t>
  </si>
  <si>
    <t>A Frenchman in Search of Franklin : De Bray's Arctic Journal, 1852-54</t>
  </si>
  <si>
    <t>de Bray, Emile FrÃ©dÃ©ric; Barr, William</t>
  </si>
  <si>
    <t>G665 1852.B739 1992</t>
  </si>
  <si>
    <t>http://public.eblib.com/choice/PublicFullRecord.aspx?p=4670224</t>
  </si>
  <si>
    <t>The Mirroure of the Worlde : A Middle English Translation of the Miroir de Monde</t>
  </si>
  <si>
    <t>Raymo, Robert R.; Sternglantz, Ruth E.; Whitaker, Elaine E.</t>
  </si>
  <si>
    <t>BJ1249.M576 2003</t>
  </si>
  <si>
    <t>http://public.eblib.com/choice/PublicFullRecord.aspx?p=4670230</t>
  </si>
  <si>
    <t>Essays in the History of Canadian Law : Crime and Criminal Justice in Canadian History</t>
  </si>
  <si>
    <t>Lewthwaite, Susan; Loo, Tina; Phillips, J.</t>
  </si>
  <si>
    <t>KE394.E873 1994</t>
  </si>
  <si>
    <t>http://public.eblib.com/choice/PublicFullRecord.aspx?p=4670232</t>
  </si>
  <si>
    <t>An Examination of Sir William Hamilton's Philosophy : Volume IX</t>
  </si>
  <si>
    <t>Collected Works of John Stuart Mill</t>
  </si>
  <si>
    <t>Mill, John Stuart; Robson, John, M.; Ryan, Alan</t>
  </si>
  <si>
    <t>B1427.M555 1979</t>
  </si>
  <si>
    <t>http://public.eblib.com/choice/PublicFullRecord.aspx?p=4670236</t>
  </si>
  <si>
    <t>Print Culture and the Blackwood Tradition</t>
  </si>
  <si>
    <t>Finkelstein, David</t>
  </si>
  <si>
    <t>Z325.W58.P756 2006</t>
  </si>
  <si>
    <t>http://public.eblib.com/choice/PublicFullRecord.aspx?p=4670237</t>
  </si>
  <si>
    <t>Interferenze lessicali : Italiano-inglese</t>
  </si>
  <si>
    <t>Frescura, Marina Sassu; Frescura, Marina Sassu</t>
  </si>
  <si>
    <t>http://public.eblib.com/choice/PublicFullRecord.aspx?p=4670240</t>
  </si>
  <si>
    <t>Inroads : Paths in Ancient and Modern Western Philosophy</t>
  </si>
  <si>
    <t>Miles, Murray</t>
  </si>
  <si>
    <t>BD21.M554 2003</t>
  </si>
  <si>
    <t>http://public.eblib.com/choice/PublicFullRecord.aspx?p=4670241</t>
  </si>
  <si>
    <t>Boundaries of  the  City : The Architecture of Western Urbanism</t>
  </si>
  <si>
    <t>Waterhouse, Alan</t>
  </si>
  <si>
    <t>NA9183.W384 1993</t>
  </si>
  <si>
    <t>http://public.eblib.com/choice/PublicFullRecord.aspx?p=4670242</t>
  </si>
  <si>
    <t>Miscellaneous Writings : Volume XXXI</t>
  </si>
  <si>
    <t>Mill, John Stuart; Robson, John, M.</t>
  </si>
  <si>
    <t>BD418.3.M555 1989</t>
  </si>
  <si>
    <t>http://public.eblib.com/choice/PublicFullRecord.aspx?p=4670244</t>
  </si>
  <si>
    <t>The Spanish Arcadia : Sheep Herding, Pastoral Discourse, and Ethnicity in Early Modern Spain</t>
  </si>
  <si>
    <t>Irigoyen-Garcia, Javier</t>
  </si>
  <si>
    <t>GN585.S7.I754 2014</t>
  </si>
  <si>
    <t>http://public.eblib.com/choice/PublicFullRecord.aspx?p=4670245</t>
  </si>
  <si>
    <t>Reflections on Native-Newcomer Relations : Selected Essays</t>
  </si>
  <si>
    <t>Miller, J.R.</t>
  </si>
  <si>
    <t>E78.C2M484 2004</t>
  </si>
  <si>
    <t>http://public.eblib.com/choice/PublicFullRecord.aspx?p=4670246</t>
  </si>
  <si>
    <t>The Law Society of Upper Canada and Ontario's Lawyers, 1797-1997</t>
  </si>
  <si>
    <t>Moore, Christopher</t>
  </si>
  <si>
    <t>KE361.O6.M667 1997</t>
  </si>
  <si>
    <t>http://public.eblib.com/choice/PublicFullRecord.aspx?p=4670248</t>
  </si>
  <si>
    <t>Kegan Paul â A Victorian Imprint : Publishers, Books, and Cultural History</t>
  </si>
  <si>
    <t>Howsam, Leslie</t>
  </si>
  <si>
    <t>Z325.K35.H697 1998</t>
  </si>
  <si>
    <t>http://public.eblib.com/choice/PublicFullRecord.aspx?p=4670250</t>
  </si>
  <si>
    <t>The Thousandth Man : A Biography of James McGregor Stewart</t>
  </si>
  <si>
    <t>KE416.S74.C345 2000</t>
  </si>
  <si>
    <t>http://public.eblib.com/choice/PublicFullRecord.aspx?p=4670251</t>
  </si>
  <si>
    <t>Continuities and Discontinuities : The Political Economy of Social Welfare and Labour Market Policy in Canada</t>
  </si>
  <si>
    <t>Smith, Patrick J.; Johnson, Andrew, F.; McBride, Stephen; Smith, Patrick, J.; McBride, Stephen</t>
  </si>
  <si>
    <t>HV108.C668 1994</t>
  </si>
  <si>
    <t>http://public.eblib.com/choice/PublicFullRecord.aspx?p=4670253</t>
  </si>
  <si>
    <t>The Lily and the Thistle : The French Tradition and the Older Literature of Scotland</t>
  </si>
  <si>
    <t>PR8538.C355 2014</t>
  </si>
  <si>
    <t>http://public.eblib.com/choice/PublicFullRecord.aspx?p=4670254</t>
  </si>
  <si>
    <t>Moose Pastures and Mergers : The Ontario Securities Commission and the Regulation of Share Markets in Canada, 1940-1980</t>
  </si>
  <si>
    <t>KEO407.5.A767 2001</t>
  </si>
  <si>
    <t>http://public.eblib.com/choice/PublicFullRecord.aspx?p=4670257</t>
  </si>
  <si>
    <t>The Order of Canada : Its Origins, History, and Developments</t>
  </si>
  <si>
    <t>McCreery, Christopher P.</t>
  </si>
  <si>
    <t>CR6257.M337 2005</t>
  </si>
  <si>
    <t>http://public.eblib.com/choice/PublicFullRecord.aspx?p=4670266</t>
  </si>
  <si>
    <t>Rulers of  Babylonia : From the Second Dynasty of Isin to the End of Assyrian Domination (1157-612 BC)</t>
  </si>
  <si>
    <t>RIM The Royal Inscriptions of Mesopotamia</t>
  </si>
  <si>
    <t>Frame, Grant</t>
  </si>
  <si>
    <t>PJ3824.F736 2002</t>
  </si>
  <si>
    <t>http://public.eblib.com/choice/PublicFullRecord.aspx?p=4670267</t>
  </si>
  <si>
    <t>Foregrounded Description in Prose Fiction : Five Cross-Literary Studies</t>
  </si>
  <si>
    <t>Theory / Culture</t>
  </si>
  <si>
    <t>Lopes, José, M.</t>
  </si>
  <si>
    <t>http://public.eblib.com/choice/PublicFullRecord.aspx?p=4670269</t>
  </si>
  <si>
    <t>Sargonic and Gutian Periods (2234-2113 BC)</t>
  </si>
  <si>
    <t>Frayne, Douglas</t>
  </si>
  <si>
    <t>PJ4070.F739 1993</t>
  </si>
  <si>
    <t>http://public.eblib.com/choice/PublicFullRecord.aspx?p=4670271</t>
  </si>
  <si>
    <t>Textual Agency : Writing Culture and Social Networks in Fifteenth-Century Spain</t>
  </si>
  <si>
    <t>Gomez-Bravo, Ann M.</t>
  </si>
  <si>
    <t>Engineering; Engineering: Manufacturing; General Works/Reference</t>
  </si>
  <si>
    <t>Z173.G66 2013</t>
  </si>
  <si>
    <t>http://public.eblib.com/choice/PublicFullRecord.aspx?p=4670272</t>
  </si>
  <si>
    <t>The Natural History of Canadian Mammals</t>
  </si>
  <si>
    <t>Naughton, Donna; Canadian Museum of Nature</t>
  </si>
  <si>
    <t>QL721.N384 2012</t>
  </si>
  <si>
    <t>Mammifaeres - Canada</t>
  </si>
  <si>
    <t>http://public.eblib.com/choice/PublicFullRecord.aspx?p=4670273</t>
  </si>
  <si>
    <t>W.L. Mackenzie King : A Bibliography and Research Guide</t>
  </si>
  <si>
    <t>Henderson, George, F.</t>
  </si>
  <si>
    <t>F1033.K53.H463 1998</t>
  </si>
  <si>
    <t>http://public.eblib.com/choice/PublicFullRecord.aspx?p=4670274</t>
  </si>
  <si>
    <t>Ur III Period (2112-2004 BC)</t>
  </si>
  <si>
    <t>PJ4070.F739 1997</t>
  </si>
  <si>
    <t>http://public.eblib.com/choice/PublicFullRecord.aspx?p=4670277</t>
  </si>
  <si>
    <t>Colloquies</t>
  </si>
  <si>
    <t>Erasmus, Desiderius; Thompson, Craig, R.</t>
  </si>
  <si>
    <t>PA8508.E5.E737 1997</t>
  </si>
  <si>
    <t>http://public.eblib.com/choice/PublicFullRecord.aspx?p=4670282</t>
  </si>
  <si>
    <t>Apophthegmata</t>
  </si>
  <si>
    <t>Erasmus, Desiderius; Knott-Sharpe, Betty I.; Fantham, Elaine</t>
  </si>
  <si>
    <t>Early works</t>
  </si>
  <si>
    <t>http://public.eblib.com/choice/PublicFullRecord.aspx?p=4670289</t>
  </si>
  <si>
    <t>Human Expeditions : Inspired by Bruce Trigger</t>
  </si>
  <si>
    <t>Chrisomalis, Stephen; Costopoulos, André; Bernal, Martin; Bintliff, John</t>
  </si>
  <si>
    <t>CC115.T74H84 2013</t>
  </si>
  <si>
    <t>http://public.eblib.com/choice/PublicFullRecord.aspx?p=4670292</t>
  </si>
  <si>
    <t>Canadian Annual Review of Politics and Public Affairs 2006</t>
  </si>
  <si>
    <t>F1001.M885 2013</t>
  </si>
  <si>
    <t>http://public.eblib.com/choice/PublicFullRecord.aspx?p=4670294</t>
  </si>
  <si>
    <t>Shaping Academia for the Public Good : Critical Reflections on the CHSRF/CIHR Chair Program</t>
  </si>
  <si>
    <t>Potvin, Louise; Armstrong, Pat</t>
  </si>
  <si>
    <t>RA440.87.C2S53 2013</t>
  </si>
  <si>
    <t>http://public.eblib.com/choice/PublicFullRecord.aspx?p=4670296</t>
  </si>
  <si>
    <t>First Peoples of Canada : Masterworks from the Canadian Museum of Civilization</t>
  </si>
  <si>
    <t>Pilon, Jean-Luc; Prince, Nicholette</t>
  </si>
  <si>
    <t>E78.C2.P556 2013</t>
  </si>
  <si>
    <t>971.004/97074</t>
  </si>
  <si>
    <t>http://public.eblib.com/choice/PublicFullRecord.aspx?p=4670309</t>
  </si>
  <si>
    <t>Enlightening Encounters : Photography in Italian Literature</t>
  </si>
  <si>
    <t>Alu, Giorgia; Pedri, Nancy</t>
  </si>
  <si>
    <t>Literature and photography - Italy - History</t>
  </si>
  <si>
    <t>http://public.eblib.com/choice/PublicFullRecord.aspx?p=4671114</t>
  </si>
  <si>
    <t>Essays in the History of Canadian Law : Quebec and the Canadas</t>
  </si>
  <si>
    <t>Baker, George Blaine; Fyson, Donald</t>
  </si>
  <si>
    <t>KEQ64.E873 2013</t>
  </si>
  <si>
    <t>http://public.eblib.com/choice/PublicFullRecord.aspx?p=4671120</t>
  </si>
  <si>
    <t>Transnational &amp; Immigrant Entrepreneurship in a Globalized World</t>
  </si>
  <si>
    <t>Honig, Benson; Carmichael, Barbara; Honig, Benson</t>
  </si>
  <si>
    <t>HB615.T736 2010</t>
  </si>
  <si>
    <t>338/.04086912</t>
  </si>
  <si>
    <t>Entrepreneuriat</t>
  </si>
  <si>
    <t>http://public.eblib.com/choice/PublicFullRecord.aspx?p=4671121</t>
  </si>
  <si>
    <t>Myth of the Silent Woman : Moroccan Women Writers</t>
  </si>
  <si>
    <t>Diaconoff, Suellen</t>
  </si>
  <si>
    <t>PQ3988.5.M6.D53 2009</t>
  </si>
  <si>
    <t>840.9/9287096409049</t>
  </si>
  <si>
    <t>Literature and society - Morocco - History - 21st century</t>
  </si>
  <si>
    <t>http://public.eblib.com/choice/PublicFullRecord.aspx?p=4671123</t>
  </si>
  <si>
    <t>Hermeneutics and Reflection : Heidegger and Husserl on the Concept of Phenomenology</t>
  </si>
  <si>
    <t>New Studies in Phenomenology and Hermeneutics</t>
  </si>
  <si>
    <t>von Herrmann, Friedrich-Wilhelm; Maly, Kenneth</t>
  </si>
  <si>
    <t>B829.5.H4513 2000</t>
  </si>
  <si>
    <t>http://public.eblib.com/choice/PublicFullRecord.aspx?p=4671126</t>
  </si>
  <si>
    <t>Transforming Rights : Reflections from the Front Lines</t>
  </si>
  <si>
    <t>Yalden, Maxwell</t>
  </si>
  <si>
    <t>http://public.eblib.com/choice/PublicFullRecord.aspx?p=4671127</t>
  </si>
  <si>
    <t>Race under Reconstruction in German Cinema : Robert Stemmle's Toxi</t>
  </si>
  <si>
    <t>Fenner, Angelica; Fenner, Angelica</t>
  </si>
  <si>
    <t>PN1997.T653.F45 2011</t>
  </si>
  <si>
    <t>http://public.eblib.com/choice/PublicFullRecord.aspx?p=4671128</t>
  </si>
  <si>
    <t>Indy Dreams and Urban Nightmares : Speed Merchants, Spectacle, and the Struggle over Public Space in The World Class City</t>
  </si>
  <si>
    <t>Lowes, Mark Douglas</t>
  </si>
  <si>
    <t>GV1034.15.A1.L69 2002</t>
  </si>
  <si>
    <t>307.76/0971133</t>
  </si>
  <si>
    <t>Hastings Park (Vancouver, B.C.)</t>
  </si>
  <si>
    <t>http://public.eblib.com/choice/PublicFullRecord.aspx?p=4671131</t>
  </si>
  <si>
    <t>The World in a City</t>
  </si>
  <si>
    <t>Anisef, Paul; Lanphier, Michael</t>
  </si>
  <si>
    <t>JV7295.T67W67 2003</t>
  </si>
  <si>
    <t>http://public.eblib.com/choice/PublicFullRecord.aspx?p=4671133</t>
  </si>
  <si>
    <t>A Bibliography of Canadian Imprints, 1751-1800</t>
  </si>
  <si>
    <t>Tremaine, Marie; Tremaine, Marie</t>
  </si>
  <si>
    <t>Z1365.T7 1999</t>
  </si>
  <si>
    <t>http://public.eblib.com/choice/PublicFullRecord.aspx?p=4671134</t>
  </si>
  <si>
    <t>A Brefe Dialoge bitwene a Christen Father and his stobborne Sonne</t>
  </si>
  <si>
    <t>Roye, William; Krajewski, Bruce; Parker, Douglas H.</t>
  </si>
  <si>
    <t>BX8070.R69 1999</t>
  </si>
  <si>
    <t>238/.41</t>
  </si>
  <si>
    <t>http://public.eblib.com/choice/PublicFullRecord.aspx?p=4671135</t>
  </si>
  <si>
    <t>A Compendium of Effective, Evidence-Based Best Practices in the Prevention of Neurotrauma</t>
  </si>
  <si>
    <t>Volpe, Richard; Lewko, John H.; Batra, Angela</t>
  </si>
  <si>
    <t>RA645.T73.V64 2002</t>
  </si>
  <si>
    <t>617.4/804452</t>
  </si>
  <si>
    <t>Systeme nerveux - Lesions et blessures - Prevention</t>
  </si>
  <si>
    <t>http://public.eblib.com/choice/PublicFullRecord.aspx?p=4671136</t>
  </si>
  <si>
    <t>A Dentist and a Gentleman : Gender and the Rise of Dentistry in Ontario</t>
  </si>
  <si>
    <t>Adams, Tracey L; Adams, Tracey L.</t>
  </si>
  <si>
    <t>RK60.A33 2000</t>
  </si>
  <si>
    <t>617.6/009713</t>
  </si>
  <si>
    <t>Women dentists - Ontario - History</t>
  </si>
  <si>
    <t>http://public.eblib.com/choice/PublicFullRecord.aspx?p=4671137</t>
  </si>
  <si>
    <t>A Dictionary of Literary Devices : Gradus, A-Z</t>
  </si>
  <si>
    <t>Dupriez, Bernard; Halsall, Albert, W.</t>
  </si>
  <si>
    <t>PN172.D813 1991</t>
  </si>
  <si>
    <t>http://public.eblib.com/choice/PublicFullRecord.aspx?p=4671138</t>
  </si>
  <si>
    <t>A Diversity of Women : Women in Ontario since 1945</t>
  </si>
  <si>
    <t>Parr, Joy</t>
  </si>
  <si>
    <t>HQ1459.O57.D58 1995</t>
  </si>
  <si>
    <t>305.4/09713</t>
  </si>
  <si>
    <t>http://public.eblib.com/choice/PublicFullRecord.aspx?p=4671139</t>
  </si>
  <si>
    <t>'A Great Effusion of Blood'? : Interpreting Medieval Violence</t>
  </si>
  <si>
    <t>Meyerson, Mark D.; Thiery, Daniel; Falk, Oren</t>
  </si>
  <si>
    <t>http://public.eblib.com/choice/PublicFullRecord.aspx?p=4671140</t>
  </si>
  <si>
    <t>A Handbook of Economic Indicators</t>
  </si>
  <si>
    <t>Grant, John; Grant, John A. G.</t>
  </si>
  <si>
    <t>HC113.G72 1999</t>
  </si>
  <si>
    <t>http://public.eblib.com/choice/PublicFullRecord.aspx?p=4671142</t>
  </si>
  <si>
    <t>A Heritage of Light : Lamps and Lighting in the Early Canadian Home</t>
  </si>
  <si>
    <t>RICH: Reprints in Canadian History</t>
  </si>
  <si>
    <t>Russell, Loris; Holmes, Janet</t>
  </si>
  <si>
    <t>NK8438.R87 2003</t>
  </si>
  <si>
    <t>749/.63</t>
  </si>
  <si>
    <t>Lighting - Canada - History</t>
  </si>
  <si>
    <t>http://public.eblib.com/choice/PublicFullRecord.aspx?p=4671143</t>
  </si>
  <si>
    <t>A Law Unto Itself : How the Ontario Municipal Board Has Developed and Applied Land-Use Planning Policy</t>
  </si>
  <si>
    <t>Chipman, John G.; Chipman, John G.; Institute of Public Administration of Canada Staff</t>
  </si>
  <si>
    <t>HD319.O5.C45 2002</t>
  </si>
  <si>
    <t>333.77/09713</t>
  </si>
  <si>
    <t>http://public.eblib.com/choice/PublicFullRecord.aspx?p=4671145</t>
  </si>
  <si>
    <t>A Mirror for Magistrates and the De Casibus Tradition</t>
  </si>
  <si>
    <t>Mental and Cultural World of Tudor and Stuart England</t>
  </si>
  <si>
    <t>Budra, Paul</t>
  </si>
  <si>
    <t>PR2199.M53.B83 2000</t>
  </si>
  <si>
    <t>http://public.eblib.com/choice/PublicFullRecord.aspx?p=4671146</t>
  </si>
  <si>
    <t>A Poetics of Social Work : Personal Agency and Social Transformation in Canada, 1920-1939</t>
  </si>
  <si>
    <t>Moffatt, Ken; Moffatt, Ken</t>
  </si>
  <si>
    <t>HV105.M64 2001</t>
  </si>
  <si>
    <t>361.3/01</t>
  </si>
  <si>
    <t>http://public.eblib.com/choice/PublicFullRecord.aspx?p=4671147</t>
  </si>
  <si>
    <t>A Profusion of  Spires : Religion in Nineteenth-Century Ontario</t>
  </si>
  <si>
    <t>Grant, John</t>
  </si>
  <si>
    <t>HN110.O5.G736 1988</t>
  </si>
  <si>
    <t>http://public.eblib.com/choice/PublicFullRecord.aspx?p=4671148</t>
  </si>
  <si>
    <t>A Prophet in Politics : A Biography of J.S. Woodsworth</t>
  </si>
  <si>
    <t>F1034.W6.M23 2001</t>
  </si>
  <si>
    <t>971.062/092</t>
  </si>
  <si>
    <t>http://public.eblib.com/choice/PublicFullRecord.aspx?p=4671149</t>
  </si>
  <si>
    <t>A Razor for a Goat : Problems in the History of Witchcraft and Diabolism</t>
  </si>
  <si>
    <t>Rose, Elliot; Kieckhefer, Richard</t>
  </si>
  <si>
    <t>BF1566.R674 1989</t>
  </si>
  <si>
    <t>http://public.eblib.com/choice/PublicFullRecord.aspx?p=4671150</t>
  </si>
  <si>
    <t>A Rhetoric of the Decameron</t>
  </si>
  <si>
    <t>PQ4293.W65.M54 2003</t>
  </si>
  <si>
    <t>853/.1</t>
  </si>
  <si>
    <t>http://public.eblib.com/choice/PublicFullRecord.aspx?p=4671152</t>
  </si>
  <si>
    <t>A Science on the Scales : The Rise of Canadian Atlantic Fisheries Biology, 1898-1939</t>
  </si>
  <si>
    <t>Hubbard, Jennifer M.</t>
  </si>
  <si>
    <t>QL618.3.H83 2006</t>
  </si>
  <si>
    <t>597.1788/072/0715</t>
  </si>
  <si>
    <t>http://public.eblib.com/choice/PublicFullRecord.aspx?p=4671153</t>
  </si>
  <si>
    <t>A Season of Opera : From Orpheus to Ariadne</t>
  </si>
  <si>
    <t>http://public.eblib.com/choice/PublicFullRecord.aspx?p=4671154</t>
  </si>
  <si>
    <t>A Smile in His Mind's Eye : A Study of the Early Works of Lawrence Durrell</t>
  </si>
  <si>
    <t>Morrison, Ray</t>
  </si>
  <si>
    <t>PR6007.U76.M677 2005</t>
  </si>
  <si>
    <t>828/.91209</t>
  </si>
  <si>
    <t>http://public.eblib.com/choice/PublicFullRecord.aspx?p=4671155</t>
  </si>
  <si>
    <t>A Stubble-Jumper in Striped Pants : Memoirs of a Prairie Diplomat</t>
  </si>
  <si>
    <t>Drake, Earl G.</t>
  </si>
  <si>
    <t>F1034.3.D73.D735 1999</t>
  </si>
  <si>
    <t>327.71/0092</t>
  </si>
  <si>
    <t>Asia - Foreign relations - Canada</t>
  </si>
  <si>
    <t>http://public.eblib.com/choice/PublicFullRecord.aspx?p=4671156</t>
  </si>
  <si>
    <t>A Theory of Physical Probability</t>
  </si>
  <si>
    <t>Johns, Richard</t>
  </si>
  <si>
    <t>BC141.J64 2002</t>
  </si>
  <si>
    <t>123/.3</t>
  </si>
  <si>
    <t>http://public.eblib.com/choice/PublicFullRecord.aspx?p=4671157</t>
  </si>
  <si>
    <t>A Vision of the Orient : Texts, Intertexts, and Contexts of Madame Butterfly</t>
  </si>
  <si>
    <t>Boyd, Melinda; Grace, Sherrill E.; Wisenthal, Jonathan</t>
  </si>
  <si>
    <t>http://public.eblib.com/choice/PublicFullRecord.aspx?p=4671158</t>
  </si>
  <si>
    <t>A Woman's Words : Emer and Female Speech in the Ulster Cycle</t>
  </si>
  <si>
    <t>PB1397.C8.F56 1997</t>
  </si>
  <si>
    <t>891.6/210309352042</t>
  </si>
  <si>
    <t>http://public.eblib.com/choice/PublicFullRecord.aspx?p=4671159</t>
  </si>
  <si>
    <t>A.M. Klein: Complete Poems</t>
  </si>
  <si>
    <t>Klein, A.M.; Pollock, Zailig</t>
  </si>
  <si>
    <t>PR1225.A4 1990</t>
  </si>
  <si>
    <t>http://public.eblib.com/choice/PublicFullRecord.aspx?p=4671161</t>
  </si>
  <si>
    <t>Academic Freedom in Canada : A History</t>
  </si>
  <si>
    <t>LC72.5.C2.H67 1999</t>
  </si>
  <si>
    <t>http://public.eblib.com/choice/PublicFullRecord.aspx?p=4671162</t>
  </si>
  <si>
    <t>Access to Care, Access to Justice : The Legal Debate Over Private Health Insurance in Canada</t>
  </si>
  <si>
    <t>Flood, Colleen  M,; Sossin, Lorne; Flood, Colleen</t>
  </si>
  <si>
    <t>KE3404.A83 2005</t>
  </si>
  <si>
    <t>http://public.eblib.com/choice/PublicFullRecord.aspx?p=4671163</t>
  </si>
  <si>
    <t>Accountability for Criminal Justice : Selected Essays</t>
  </si>
  <si>
    <t>Stenning, Philip</t>
  </si>
  <si>
    <t>HV9960.C2.A33 1995</t>
  </si>
  <si>
    <t>http://public.eblib.com/choice/PublicFullRecord.aspx?p=4671164</t>
  </si>
  <si>
    <t>Acts of Narrative : Textual Strategies in Modern German Fiction</t>
  </si>
  <si>
    <t>O'Neill, Patrick</t>
  </si>
  <si>
    <t>PT772.O54 1996</t>
  </si>
  <si>
    <t>833/.910923</t>
  </si>
  <si>
    <t>http://public.eblib.com/choice/PublicFullRecord.aspx?p=4671165</t>
  </si>
  <si>
    <t>Aeschylus' Oresteia</t>
  </si>
  <si>
    <t>Conacher, D. J.</t>
  </si>
  <si>
    <t>PA3825.A6.C66 1987</t>
  </si>
  <si>
    <t>http://public.eblib.com/choice/PublicFullRecord.aspx?p=4671171</t>
  </si>
  <si>
    <t>After Poststructuralism : Writing the Intellectual History of Theory</t>
  </si>
  <si>
    <t>Rajan, Tilottama; O'Driscoll, Michael</t>
  </si>
  <si>
    <t>Philosophy; Geography/Travel</t>
  </si>
  <si>
    <t>B842.A48 2002</t>
  </si>
  <si>
    <t>http://public.eblib.com/choice/PublicFullRecord.aspx?p=4671172</t>
  </si>
  <si>
    <t>Against the  Odds : The Public Life and Times of Louis Rasminsky</t>
  </si>
  <si>
    <t>Muirhead, Bruce</t>
  </si>
  <si>
    <t>HG1552.R37.M85 1999</t>
  </si>
  <si>
    <t>http://public.eblib.com/choice/PublicFullRecord.aspx?p=4671173</t>
  </si>
  <si>
    <t>Against the Tide : Battling for Economic Renewal in Newfoundland and Labrador</t>
  </si>
  <si>
    <t>House, J. Douglas</t>
  </si>
  <si>
    <t>HC117.N4.H68 1999</t>
  </si>
  <si>
    <t>http://public.eblib.com/choice/PublicFullRecord.aspx?p=4671174</t>
  </si>
  <si>
    <t>Aggressive in Pursuit : The Life of Justice Emmett Hall</t>
  </si>
  <si>
    <t>KE8248.H35.V39 2004</t>
  </si>
  <si>
    <t>http://public.eblib.com/choice/PublicFullRecord.aspx?p=4671175</t>
  </si>
  <si>
    <t>Aging and Demographic Change in Canadian Context</t>
  </si>
  <si>
    <t>Trends Project</t>
  </si>
  <si>
    <t>Cheal, David; Cheal, David</t>
  </si>
  <si>
    <t>HB939</t>
  </si>
  <si>
    <t>http://public.eblib.com/choice/PublicFullRecord.aspx?p=4671176</t>
  </si>
  <si>
    <t>Alfred Valdmanis and the Politics of Survival</t>
  </si>
  <si>
    <t>F1123.V35.B37 2000</t>
  </si>
  <si>
    <t>971.063/3/092</t>
  </si>
  <si>
    <t>http://public.eblib.com/choice/PublicFullRecord.aspx?p=4671177</t>
  </si>
  <si>
    <t>Almost Home : Reforming Home and Community Care in Ontario</t>
  </si>
  <si>
    <t>Baranek, Patricia M.; Deber, Raisa; Williams, A. Paul</t>
  </si>
  <si>
    <t>RA645.37.C2B37 2004</t>
  </si>
  <si>
    <t>http://public.eblib.com/choice/PublicFullRecord.aspx?p=4671178</t>
  </si>
  <si>
    <t>An Audience of One : Dorothy Osborne's Letters to Sir William Temple, 1652-1654</t>
  </si>
  <si>
    <t>Hintz, Carrie; Hintz, Carrie</t>
  </si>
  <si>
    <t>DA429.T2</t>
  </si>
  <si>
    <t>http://public.eblib.com/choice/PublicFullRecord.aspx?p=4671180</t>
  </si>
  <si>
    <t>An exhortation to the diligent studye of scripture and An exposition into the seventh chaptre of the pistle to the Corinthians</t>
  </si>
  <si>
    <t>Parker, Douglas H.</t>
  </si>
  <si>
    <t>BS600.2.E946 2000</t>
  </si>
  <si>
    <t>http://public.eblib.com/choice/PublicFullRecord.aspx?p=4671181</t>
  </si>
  <si>
    <t>An Irish Working Class : Explorations in Political Economy and Hegemony, 1800-1950</t>
  </si>
  <si>
    <t>HD8400.3.S55 2001</t>
  </si>
  <si>
    <t>305.5/62/094189</t>
  </si>
  <si>
    <t>http://public.eblib.com/choice/PublicFullRecord.aspx?p=4671182</t>
  </si>
  <si>
    <t>Andreas and the Ambiguity of Courtly Love</t>
  </si>
  <si>
    <t>Cherchi, Paolo</t>
  </si>
  <si>
    <t>PC3308.C48 1994</t>
  </si>
  <si>
    <t>849/.1209354</t>
  </si>
  <si>
    <t>http://public.eblib.com/choice/PublicFullRecord.aspx?p=4671184</t>
  </si>
  <si>
    <t>Andrés González de Barcia and the Creation of the Colonial Spanish American Library</t>
  </si>
  <si>
    <t>Carlyon, Jonathan</t>
  </si>
  <si>
    <t>Z2682.5.C37 2005</t>
  </si>
  <si>
    <t>Bibliography - Spain - History - 18th century</t>
  </si>
  <si>
    <t>http://public.eblib.com/choice/PublicFullRecord.aspx?p=4671185</t>
  </si>
  <si>
    <t>Angelic Echoes : Hervé Guibert and Company</t>
  </si>
  <si>
    <t>Sarkonak, Ralph</t>
  </si>
  <si>
    <t>PQ2667.U4612.S275 2000</t>
  </si>
  <si>
    <t>43/.914</t>
  </si>
  <si>
    <t>http://public.eblib.com/choice/PublicFullRecord.aspx?p=4671186</t>
  </si>
  <si>
    <t>Anglo-Saxon England in Icelandic Medieval Texts</t>
  </si>
  <si>
    <t>Fjalldal, Magnus</t>
  </si>
  <si>
    <t>PT7162.E54.F53 2005</t>
  </si>
  <si>
    <t>839/.6093241</t>
  </si>
  <si>
    <t>http://public.eblib.com/choice/PublicFullRecord.aspx?p=4671187</t>
  </si>
  <si>
    <t>Anti-Italianism in Sixteenth-Century France</t>
  </si>
  <si>
    <t>DC111.3.H45 2003</t>
  </si>
  <si>
    <t>305.85/1044/09031</t>
  </si>
  <si>
    <t>http://public.eblib.com/choice/PublicFullRecord.aspx?p=4671189</t>
  </si>
  <si>
    <t>Apostle to the Inuit : The Journals and Ethnographic Notes of Edmund James Peck - The Baffin Years, 1894-1905</t>
  </si>
  <si>
    <t>Laugrand, Frédéric; Oosten, Jarich; Trudel, Francois</t>
  </si>
  <si>
    <t>BV2813.P42A3 2006</t>
  </si>
  <si>
    <t>http://public.eblib.com/choice/PublicFullRecord.aspx?p=4671191</t>
  </si>
  <si>
    <t>Appropriating the  Lonergan Idea</t>
  </si>
  <si>
    <t>Crowe, S.J., Frederick E.; Vertin, Michael</t>
  </si>
  <si>
    <t>BX4705.L7133.C769 2006</t>
  </si>
  <si>
    <t>230/.2092</t>
  </si>
  <si>
    <t>http://public.eblib.com/choice/PublicFullRecord.aspx?p=4671192</t>
  </si>
  <si>
    <t>Architectonics of Imitation in Spenser, Daniel, and Drayton</t>
  </si>
  <si>
    <t>Galbraith, David</t>
  </si>
  <si>
    <t>PR535.H5.G35 2000</t>
  </si>
  <si>
    <t>821/.03209358</t>
  </si>
  <si>
    <t>http://public.eblib.com/choice/PublicFullRecord.aspx?p=4671193</t>
  </si>
  <si>
    <t>Are We 'Persons' Yet? : Law and Sexuality in Canada</t>
  </si>
  <si>
    <t>Lahey, Kathleen A.</t>
  </si>
  <si>
    <t>KE4399.L34 1999</t>
  </si>
  <si>
    <t>342.71/087</t>
  </si>
  <si>
    <t>http://public.eblib.com/choice/PublicFullRecord.aspx?p=4671194</t>
  </si>
  <si>
    <t>Aretino's Satyr : Sexuality, Satire, and Self-Projection in Sixteenth-Century Literature and Art</t>
  </si>
  <si>
    <t>Waddington, Raymond</t>
  </si>
  <si>
    <t>PQ4564</t>
  </si>
  <si>
    <t>http://public.eblib.com/choice/PublicFullRecord.aspx?p=4671196</t>
  </si>
  <si>
    <t>Ariosto Today : Contemporary Perspectives</t>
  </si>
  <si>
    <t>Fedi, Roberto; Beecher, Don; Ciavolella, Massimo; Fedi, Roberto; Ciavolella, Massimo</t>
  </si>
  <si>
    <t>PQ4587.A75 2003</t>
  </si>
  <si>
    <t>851/.3</t>
  </si>
  <si>
    <t>http://public.eblib.com/choice/PublicFullRecord.aspx?p=4671197</t>
  </si>
  <si>
    <t>Aristotle's Theory of the Unity of Science</t>
  </si>
  <si>
    <t>Wilson, Malcolm</t>
  </si>
  <si>
    <t>B485.W53 2000</t>
  </si>
  <si>
    <t>http://public.eblib.com/choice/PublicFullRecord.aspx?p=4671198</t>
  </si>
  <si>
    <t>Art and Architecture in Canada : A Bibliography and Guide to the Literature</t>
  </si>
  <si>
    <t>Lerner, Loren; Williamson, Mary F.</t>
  </si>
  <si>
    <t>Fine Arts; General Works/Reference</t>
  </si>
  <si>
    <t>N6540.L476 1991</t>
  </si>
  <si>
    <t>http://public.eblib.com/choice/PublicFullRecord.aspx?p=4671200</t>
  </si>
  <si>
    <t>Art and the German Bourgeoisie : Alfred Lichtwark and Modern Painting in Hamburg, 1886-1914</t>
  </si>
  <si>
    <t>Kay, Carolyn</t>
  </si>
  <si>
    <t>ND567.K37 2002</t>
  </si>
  <si>
    <t>759.3/515</t>
  </si>
  <si>
    <t>http://public.eblib.com/choice/PublicFullRecord.aspx?p=4671201</t>
  </si>
  <si>
    <t>Art History : Its Use and Abuse</t>
  </si>
  <si>
    <t>Johnson, W. McAllister; Johnson, W. McAllister</t>
  </si>
  <si>
    <t>N7480.J646 1990</t>
  </si>
  <si>
    <t>http://public.eblib.com/choice/PublicFullRecord.aspx?p=4671202</t>
  </si>
  <si>
    <t>Assyrian Rulers 3Rd and 2Nd Millenium</t>
  </si>
  <si>
    <t>Grayson, A. Kirk</t>
  </si>
  <si>
    <t>PJ3815.G74 2002</t>
  </si>
  <si>
    <t>492/.1</t>
  </si>
  <si>
    <t>http://public.eblib.com/choice/PublicFullRecord.aspx?p=4671203</t>
  </si>
  <si>
    <t>The Atomists: Leucippus and Democritus</t>
  </si>
  <si>
    <t>Democritus; Taylor, C.C.W.; Taylor, C. C. W.</t>
  </si>
  <si>
    <t>B298.A866 1999</t>
  </si>
  <si>
    <t>182/.7</t>
  </si>
  <si>
    <t>http://public.eblib.com/choice/PublicFullRecord.aspx?p=4671207</t>
  </si>
  <si>
    <t>Aural Images of  Lost Tradition</t>
  </si>
  <si>
    <t>Toft, Robert</t>
  </si>
  <si>
    <t>ML174.T648 1992</t>
  </si>
  <si>
    <t>782.02/32/0931</t>
  </si>
  <si>
    <t>http://public.eblib.com/choice/PublicFullRecord.aspx?p=4671208</t>
  </si>
  <si>
    <t>Awaiting the Millennium : The Children of Peace and the Village of Hope, 1812-1889</t>
  </si>
  <si>
    <t>Schrauwers, Albert</t>
  </si>
  <si>
    <t>BT891.S37 1993</t>
  </si>
  <si>
    <t>http://public.eblib.com/choice/PublicFullRecord.aspx?p=4671209</t>
  </si>
  <si>
    <t>Babel and the Ivory Tower : The Scholar in the Age of Science</t>
  </si>
  <si>
    <t>Shaw, W. David; Shaw, W. David</t>
  </si>
  <si>
    <t>General Works/Reference; Philosophy</t>
  </si>
  <si>
    <t>BD161.S43 2005</t>
  </si>
  <si>
    <t>http://public.eblib.com/choice/PublicFullRecord.aspx?p=4671210</t>
  </si>
  <si>
    <t>Baby's First Picture : Ultrasound and the Politics of Fetal Subjects</t>
  </si>
  <si>
    <t>Mitchell, Lisa M.; Mitchell, Lisa M.</t>
  </si>
  <si>
    <t>RG527.5.U48.M55 2001</t>
  </si>
  <si>
    <t>618.3/207543</t>
  </si>
  <si>
    <t>http://public.eblib.com/choice/PublicFullRecord.aspx?p=4671211</t>
  </si>
  <si>
    <t>Bad Attitude/s on Trial : Pornography, Feminism, and the Butler Decision</t>
  </si>
  <si>
    <t>Bell, Shannon; Cossman, Brenda; Gotell, Lise; Ross, Becki</t>
  </si>
  <si>
    <t>HQ472.C2.B34 1997</t>
  </si>
  <si>
    <t>363.4/7/0971</t>
  </si>
  <si>
    <t>http://public.eblib.com/choice/PublicFullRecord.aspx?p=4671212</t>
  </si>
  <si>
    <t>Balzacian Montage Configuring</t>
  </si>
  <si>
    <t>Pasco, Allen H.</t>
  </si>
  <si>
    <t>PQ2178.P373 1991</t>
  </si>
  <si>
    <t>http://public.eblib.com/choice/PublicFullRecord.aspx?p=4671213</t>
  </si>
  <si>
    <t>Barbarian Play:Plautus' Roman Comedy</t>
  </si>
  <si>
    <t>Anderson, William S.</t>
  </si>
  <si>
    <t>PA6585.A534 1993</t>
  </si>
  <si>
    <t>http://public.eblib.com/choice/PublicFullRecord.aspx?p=4671214</t>
  </si>
  <si>
    <t>The Barbarism of  Reason : Max Weber and the Twilight of Enlightenment</t>
  </si>
  <si>
    <t>Horowitz, Asher; Maley, Terry</t>
  </si>
  <si>
    <t>B3361.Z7.B37 1994</t>
  </si>
  <si>
    <t>301/.092</t>
  </si>
  <si>
    <t>http://public.eblib.com/choice/PublicFullRecord.aspx?p=4671215</t>
  </si>
  <si>
    <t>Beasts of Love : Richard de Fournival's Bestiaire d'amour and the Response</t>
  </si>
  <si>
    <t>Beer, Jeanette; Beer, Jeannette</t>
  </si>
  <si>
    <t>PQ1461 F64.B432 2003</t>
  </si>
  <si>
    <t>844/.1</t>
  </si>
  <si>
    <t>http://public.eblib.com/choice/PublicFullRecord.aspx?p=4671216</t>
  </si>
  <si>
    <t>Becoming Canadian : Memoirs of an Invisible Immigrant</t>
  </si>
  <si>
    <t>F1035.D8.H67 1997</t>
  </si>
  <si>
    <t>971.0043931/0092</t>
  </si>
  <si>
    <t>http://public.eblib.com/choice/PublicFullRecord.aspx?p=4671217</t>
  </si>
  <si>
    <t>Before Malory : Reading Arthur in Later Medieval England</t>
  </si>
  <si>
    <t>Moll, Richard J.</t>
  </si>
  <si>
    <t>DA152.5.A7.M65 2003</t>
  </si>
  <si>
    <t>820.9/351</t>
  </si>
  <si>
    <t>http://public.eblib.com/choice/PublicFullRecord.aspx?p=4671219</t>
  </si>
  <si>
    <t>Begins with the Oboe : A History of the Toronto Symphony Orchestra</t>
  </si>
  <si>
    <t>Warren, Richard; Davis, Andrew</t>
  </si>
  <si>
    <t>ML205.8.T72.W377 2002</t>
  </si>
  <si>
    <t>784.2/06/0713541</t>
  </si>
  <si>
    <t>http://public.eblib.com/choice/PublicFullRecord.aspx?p=4671220</t>
  </si>
  <si>
    <t>Benchmarking the Canadian Business Presence in East Asia</t>
  </si>
  <si>
    <t>HSBC Bank Canada Papers on Asia</t>
  </si>
  <si>
    <t>Dobson, Wendy; Safarian, A.E.</t>
  </si>
  <si>
    <t>http://public.eblib.com/choice/PublicFullRecord.aspx?p=4671221</t>
  </si>
  <si>
    <t>Benedetto Croce and Italian Fascism</t>
  </si>
  <si>
    <t>Rizi, Fabio</t>
  </si>
  <si>
    <t>B3614.C74.R595 2003</t>
  </si>
  <si>
    <t>http://public.eblib.com/choice/PublicFullRecord.aspx?p=4671222</t>
  </si>
  <si>
    <t>Benjamin Disraeli Letters : 1838-1841, Volume 3</t>
  </si>
  <si>
    <t>Disraeli, Benjamin; Conacher, J.B.; Wiebe, M.G.</t>
  </si>
  <si>
    <t>DA28.4.D577 1987</t>
  </si>
  <si>
    <t>941.081/092/4</t>
  </si>
  <si>
    <t>http://public.eblib.com/choice/PublicFullRecord.aspx?p=4671223</t>
  </si>
  <si>
    <t>Benjamin Disraeli Letters : 1842-1847</t>
  </si>
  <si>
    <t>Disraeli, Benjamin; Disraeli, Benjamin; Conacher, J.B.; Wiebe, M.G.; Millar, Mary S.</t>
  </si>
  <si>
    <t>DA28.4</t>
  </si>
  <si>
    <t>http://public.eblib.com/choice/PublicFullRecord.aspx?p=4671224</t>
  </si>
  <si>
    <t>Benjamin Disraeli Letters : 1848-1851, Volume 5</t>
  </si>
  <si>
    <t>Disraeli, Benjamin; Disraeli, Benjamin; Wiebe, M. G.; Conacher, J.B.; Wiebe, M.G.</t>
  </si>
  <si>
    <t>DA564.B3.B465 1993</t>
  </si>
  <si>
    <t>http://public.eblib.com/choice/PublicFullRecord.aspx?p=4671225</t>
  </si>
  <si>
    <t>Benjamin Disraeli Letters : 1852-1856, Volume 6</t>
  </si>
  <si>
    <t>Disraeli, Benjamin; Gunn, J.A.W.; Millar, Mary S.; Wiebe, M.G.; Robson, Ann P.</t>
  </si>
  <si>
    <t>DA564.B3.B465 1997</t>
  </si>
  <si>
    <t>http://public.eblib.com/choice/PublicFullRecord.aspx?p=4671226</t>
  </si>
  <si>
    <t>Benjamin Disraeli Letters : 1857-1859, Volume 7</t>
  </si>
  <si>
    <t>Disraeli, Benjamin; Millar, Mary S.; Robson, Ann P.; Robson, Ann P; Robinson, Ann P</t>
  </si>
  <si>
    <t>DA564.B3A4 1982</t>
  </si>
  <si>
    <t>http://public.eblib.com/choice/PublicFullRecord.aspx?p=4671227</t>
  </si>
  <si>
    <t>Between Colliding Worlds : The Ambiguous Existence of Government Agencies for Aboriginal and Women's Policy</t>
  </si>
  <si>
    <t>Malloy, Jonathan</t>
  </si>
  <si>
    <t>E98.W8.M24 2003</t>
  </si>
  <si>
    <t>http://public.eblib.com/choice/PublicFullRecord.aspx?p=4671228</t>
  </si>
  <si>
    <t>Between History and Histories : The Making of Silences and Commemorations</t>
  </si>
  <si>
    <t>Sider, Gerald; Smith, Gavin; Smith, Gavin</t>
  </si>
  <si>
    <t>D21.3.B48 1997</t>
  </si>
  <si>
    <t>Public history - Congresses</t>
  </si>
  <si>
    <t>http://public.eblib.com/choice/PublicFullRecord.aspx?p=4671229</t>
  </si>
  <si>
    <t>Between Reason and Irrationality</t>
  </si>
  <si>
    <t>PG3948.P49.T376 1994</t>
  </si>
  <si>
    <t>891.7/933</t>
  </si>
  <si>
    <t>http://public.eblib.com/choice/PublicFullRecord.aspx?p=4671230</t>
  </si>
  <si>
    <t>Beyond Poverty and Affluence : Toward a Canadian Economy of Care</t>
  </si>
  <si>
    <t>Goudzwaard, Bob; de Lange, Harry; Vennen, Mark Vander</t>
  </si>
  <si>
    <t>HD87.G683 1995</t>
  </si>
  <si>
    <t>1991-</t>
  </si>
  <si>
    <t>http://public.eblib.com/choice/PublicFullRecord.aspx?p=4671231</t>
  </si>
  <si>
    <t>Beyond Sambation : Selected Essays and Editorials 1928-1955</t>
  </si>
  <si>
    <t>Klein, A.M.; Caplan, Usher; Steinberg, M.W.</t>
  </si>
  <si>
    <t>DS140.K545 1982</t>
  </si>
  <si>
    <t>http://public.eblib.com/choice/PublicFullRecord.aspx?p=4671232</t>
  </si>
  <si>
    <t>Beyond Service : State Workers, Public Policy, and the Prospects for Democratic Administration</t>
  </si>
  <si>
    <t>McElligott, Greg</t>
  </si>
  <si>
    <t>HD8005.2.C2.M33 2001</t>
  </si>
  <si>
    <t>331/.04135171</t>
  </si>
  <si>
    <t>http://public.eblib.com/choice/PublicFullRecord.aspx?p=4671233</t>
  </si>
  <si>
    <t>Beyond Spectacle : Eliza Haywood's Female Spectators</t>
  </si>
  <si>
    <t>Merritt, Juliette</t>
  </si>
  <si>
    <t>PR3506.H94.M477 2004</t>
  </si>
  <si>
    <t>http://public.eblib.com/choice/PublicFullRecord.aspx?p=4671234</t>
  </si>
  <si>
    <t>Beyond the Vote : Canadian Women and Politics</t>
  </si>
  <si>
    <t>Kealey, Linda</t>
  </si>
  <si>
    <t>HQ1236.5.C2.B496 1989</t>
  </si>
  <si>
    <t>324/.082</t>
  </si>
  <si>
    <t>http://public.eblib.com/choice/PublicFullRecord.aspx?p=4671235</t>
  </si>
  <si>
    <t>Bibliography of Canadian Bibliographies</t>
  </si>
  <si>
    <t>Ingles, Ernest B.</t>
  </si>
  <si>
    <t>Z1365.A1.B535 1994</t>
  </si>
  <si>
    <t>http://public.eblib.com/choice/PublicFullRecord.aspx?p=4671237</t>
  </si>
  <si>
    <t>Biographical Index of Artists in Canada</t>
  </si>
  <si>
    <t>McMann, Evelyn de R.</t>
  </si>
  <si>
    <t>N6548.M33 2003</t>
  </si>
  <si>
    <t>709/.2/271</t>
  </si>
  <si>
    <t>http://public.eblib.com/choice/PublicFullRecord.aspx?p=4671238</t>
  </si>
  <si>
    <t>A Bird-Finding Guide to Ontario</t>
  </si>
  <si>
    <t>Goodwin, Clive E.</t>
  </si>
  <si>
    <t>QL685.5.O6.G66 1995</t>
  </si>
  <si>
    <t>598/.07234713</t>
  </si>
  <si>
    <t>http://public.eblib.com/choice/PublicFullRecord.aspx?p=4671239</t>
  </si>
  <si>
    <t>Blood on the Hills : The Canadian Army in the Korean War</t>
  </si>
  <si>
    <t>Bercuson, David Jay</t>
  </si>
  <si>
    <t>U600.B473 2002</t>
  </si>
  <si>
    <t>951.904/242</t>
  </si>
  <si>
    <t>http://public.eblib.com/choice/PublicFullRecord.aspx?p=4671242</t>
  </si>
  <si>
    <t>Blue Politics : Pornography and the Law in the Age of Feminism</t>
  </si>
  <si>
    <t>Lacombe, Dany</t>
  </si>
  <si>
    <t>KE9070.L33 1994</t>
  </si>
  <si>
    <t>http://public.eblib.com/choice/PublicFullRecord.aspx?p=4671243</t>
  </si>
  <si>
    <t>Body Language in Literature</t>
  </si>
  <si>
    <t>Korte, Barbara</t>
  </si>
  <si>
    <t>PR830.N65.K671 1997</t>
  </si>
  <si>
    <t>823.009/353</t>
  </si>
  <si>
    <t>http://public.eblib.com/choice/PublicFullRecord.aspx?p=4671245</t>
  </si>
  <si>
    <t>Bone-Bio Material Interface</t>
  </si>
  <si>
    <t>Davies, J.E.</t>
  </si>
  <si>
    <t>RD755.5.B664 1991</t>
  </si>
  <si>
    <t>http://public.eblib.com/choice/PublicFullRecord.aspx?p=4671246</t>
  </si>
  <si>
    <t>Bora Laskin : Bringing Law to Life</t>
  </si>
  <si>
    <t>Girard, Philip; Osgoode Society for Canadian Legal History Staff</t>
  </si>
  <si>
    <t>http://public.eblib.com/choice/PublicFullRecord.aspx?p=4671247</t>
  </si>
  <si>
    <t>Border Crossings : Thomas King's Cultural Inversions</t>
  </si>
  <si>
    <t>Andrews, Jennifer; Davidson, Arnold E.; Walton, Priscilla</t>
  </si>
  <si>
    <t>PR9199.3.K4422.D385 2003</t>
  </si>
  <si>
    <t>Indians in literature</t>
  </si>
  <si>
    <t>http://public.eblib.com/choice/PublicFullRecord.aspx?p=4671248</t>
  </si>
  <si>
    <t>Borderland Religion : The Emergence of an English-Canadian Identity, 1792-1852</t>
  </si>
  <si>
    <t>Little, John; Little, John</t>
  </si>
  <si>
    <t>BR575.Q3L58 2004</t>
  </si>
  <si>
    <t>http://public.eblib.com/choice/PublicFullRecord.aspx?p=4671249</t>
  </si>
  <si>
    <t>Boyle on Atheism</t>
  </si>
  <si>
    <t>MacIntosh, J.J.</t>
  </si>
  <si>
    <t>BL2747.3B69 2005</t>
  </si>
  <si>
    <t>http://public.eblib.com/choice/PublicFullRecord.aspx?p=4671250</t>
  </si>
  <si>
    <t>The Boys of the Archangel Raphael : A Youth Confraternity in Florence, 1411-1785</t>
  </si>
  <si>
    <t>Eisenbichler, Konrad</t>
  </si>
  <si>
    <t>BX1548.F55.E374 1998</t>
  </si>
  <si>
    <t>http://public.eblib.com/choice/PublicFullRecord.aspx?p=4671251</t>
  </si>
  <si>
    <t>Bridling of  Desire</t>
  </si>
  <si>
    <t>Payer, Pierre</t>
  </si>
  <si>
    <t>BT708.P39 1993</t>
  </si>
  <si>
    <t>241/.66/0902</t>
  </si>
  <si>
    <t>http://public.eblib.com/choice/PublicFullRecord.aspx?p=4671252</t>
  </si>
  <si>
    <t>Broken Time, Fragmented Space : A Cultural Map of Postwar Italy</t>
  </si>
  <si>
    <t>Torriglia, Anna Maria</t>
  </si>
  <si>
    <t>DG451.T63 2002</t>
  </si>
  <si>
    <t>http://public.eblib.com/choice/PublicFullRecord.aspx?p=4671253</t>
  </si>
  <si>
    <t>Brothers and Sisters in India : A Study of Urban Adult Siblings</t>
  </si>
  <si>
    <t>Ramu, G.N.</t>
  </si>
  <si>
    <t>HQ759.96.R36 2006</t>
  </si>
  <si>
    <t>http://public.eblib.com/choice/PublicFullRecord.aspx?p=4671254</t>
  </si>
  <si>
    <t>Browsing Science Research at the Federal Level in Canada : History, Research Activities, and Publications</t>
  </si>
  <si>
    <t>Wilks, Brian</t>
  </si>
  <si>
    <t>Q180</t>
  </si>
  <si>
    <t>http://public.eblib.com/choice/PublicFullRecord.aspx?p=4671255</t>
  </si>
  <si>
    <t>Building a Community-Controlled Economy : The Evangeline Co-operative Experience</t>
  </si>
  <si>
    <t>Quarter, Jack; Wilkinson, Paul</t>
  </si>
  <si>
    <t>HD3450.P75.W55 1996</t>
  </si>
  <si>
    <t>http://public.eblib.com/choice/PublicFullRecord.aspx?p=4671256</t>
  </si>
  <si>
    <t>Building Canada : A History of Public Works</t>
  </si>
  <si>
    <t>Ball, Norman</t>
  </si>
  <si>
    <t>HD4008.B855 1991</t>
  </si>
  <si>
    <t>http://public.eblib.com/choice/PublicFullRecord.aspx?p=4671257</t>
  </si>
  <si>
    <t>Building New Democracies : Economic and Social Reform in Brazil, Chile, and Mexico</t>
  </si>
  <si>
    <t>Studies in Comparative Political Economy and Public Policy</t>
  </si>
  <si>
    <t>Duquette, Michel</t>
  </si>
  <si>
    <t>HC187.D878 1999</t>
  </si>
  <si>
    <t>http://public.eblib.com/choice/PublicFullRecord.aspx?p=4671258</t>
  </si>
  <si>
    <t>Buller Men and Batty Bwoys : Hidden Men in Toronto and Halifax Black Communities</t>
  </si>
  <si>
    <t>Crichlow, Wesley</t>
  </si>
  <si>
    <t>HQ76.25</t>
  </si>
  <si>
    <t>http://public.eblib.com/choice/PublicFullRecord.aspx?p=4671259</t>
  </si>
  <si>
    <t>Calling Power to Account : Law, Reparations, and the Chinese Canadian Head tax</t>
  </si>
  <si>
    <t>Dyzenhaus, David; Moran, Mayo</t>
  </si>
  <si>
    <t>KE4479.A66.C3555 2005</t>
  </si>
  <si>
    <t>342.7108/73</t>
  </si>
  <si>
    <t>http://public.eblib.com/choice/PublicFullRecord.aspx?p=4671260</t>
  </si>
  <si>
    <t>Canada's Changing Families : Implications for Individuals and Society</t>
  </si>
  <si>
    <t>McQuillan, Kevin; Ravanera, Zenaida R</t>
  </si>
  <si>
    <t>HQ560.C324 2006</t>
  </si>
  <si>
    <t>http://public.eblib.com/choice/PublicFullRecord.aspx?p=4671262</t>
  </si>
  <si>
    <t>Canada's Flying Heritage</t>
  </si>
  <si>
    <t>Ellis, Frank, H.</t>
  </si>
  <si>
    <t>TL523.E455 1981</t>
  </si>
  <si>
    <t>629.13/0971</t>
  </si>
  <si>
    <t>http://public.eblib.com/choice/PublicFullRecord.aspx?p=4671263</t>
  </si>
  <si>
    <t>Canada's Governors General, 1847-1878 : Biography and Constitutional Evolution</t>
  </si>
  <si>
    <t>F1005.M47 2006</t>
  </si>
  <si>
    <t>http://public.eblib.com/choice/PublicFullRecord.aspx?p=4671265</t>
  </si>
  <si>
    <t>Canada's Ukrainians : Changing Perspectives, 1891-1991</t>
  </si>
  <si>
    <t>Hryniuk, Stella; Luciuk, Lubomyr Y.</t>
  </si>
  <si>
    <t>F1035.U5.C363 1991</t>
  </si>
  <si>
    <t>971/.00491791</t>
  </si>
  <si>
    <t>http://public.eblib.com/choice/PublicFullRecord.aspx?p=4671267</t>
  </si>
  <si>
    <t>Canadian Annual Review of Politics and Public Affairs 1961</t>
  </si>
  <si>
    <t>Saywell, John</t>
  </si>
  <si>
    <t>F1034.2.C363 1962</t>
  </si>
  <si>
    <t>http://public.eblib.com/choice/PublicFullRecord.aspx?p=4671268</t>
  </si>
  <si>
    <t>Canadian Annual Review of Politics and Public Affairs 1962</t>
  </si>
  <si>
    <t>F1034.2.C363 1963</t>
  </si>
  <si>
    <t>http://public.eblib.com/choice/PublicFullRecord.aspx?p=4671269</t>
  </si>
  <si>
    <t>Canadian Annual Review of Politics and Public Affairs 1963</t>
  </si>
  <si>
    <t>F1034.2.C363 1964</t>
  </si>
  <si>
    <t>http://public.eblib.com/choice/PublicFullRecord.aspx?p=4671270</t>
  </si>
  <si>
    <t>Canadian Annual Review of Politics and Public Affairs 1964</t>
  </si>
  <si>
    <t>F1034.2.C363 1965</t>
  </si>
  <si>
    <t>http://public.eblib.com/choice/PublicFullRecord.aspx?p=4671271</t>
  </si>
  <si>
    <t>Canadian Annual Review of Politics and Public Affairs 1965</t>
  </si>
  <si>
    <t>F1034.2.C363 1966</t>
  </si>
  <si>
    <t>http://public.eblib.com/choice/PublicFullRecord.aspx?p=4671272</t>
  </si>
  <si>
    <t>Canadian Annual Review of Politics and Public Affairs 1966</t>
  </si>
  <si>
    <t>F1034.2.C363 1967</t>
  </si>
  <si>
    <t>http://public.eblib.com/choice/PublicFullRecord.aspx?p=4671273</t>
  </si>
  <si>
    <t>Canadian Annual Review of Politics and Public Affairs 1967</t>
  </si>
  <si>
    <t>F1034.2.C363 1968</t>
  </si>
  <si>
    <t>http://public.eblib.com/choice/PublicFullRecord.aspx?p=4671274</t>
  </si>
  <si>
    <t>Canadian Annual Review of Politics and Public Affairs 1968</t>
  </si>
  <si>
    <t>F1034.2.C363 1969</t>
  </si>
  <si>
    <t>http://public.eblib.com/choice/PublicFullRecord.aspx?p=4671275</t>
  </si>
  <si>
    <t>Canadian Annual Review of Politics and Public Affairs 1969</t>
  </si>
  <si>
    <t>Saywell, John; Forster, Donald F.</t>
  </si>
  <si>
    <t>F1034.2.C363 1970</t>
  </si>
  <si>
    <t>http://public.eblib.com/choice/PublicFullRecord.aspx?p=4671276</t>
  </si>
  <si>
    <t>Canadian Annual Review of Politics and Public Affairs 1970</t>
  </si>
  <si>
    <t>F1034.2.C363 1971</t>
  </si>
  <si>
    <t>http://public.eblib.com/choice/PublicFullRecord.aspx?p=4671277</t>
  </si>
  <si>
    <t>Canadian Annual Review of Politics and Public Affairs 1971</t>
  </si>
  <si>
    <t>F1034.2.C363 1972</t>
  </si>
  <si>
    <t>http://public.eblib.com/choice/PublicFullRecord.aspx?p=4671278</t>
  </si>
  <si>
    <t>Canadian Annual Review of Politics and Public Affairs 1972</t>
  </si>
  <si>
    <t>F1034.2.C363 1974</t>
  </si>
  <si>
    <t>http://public.eblib.com/choice/PublicFullRecord.aspx?p=4671279</t>
  </si>
  <si>
    <t>Canadian Annual Review of Politics and Public Affairs 1973</t>
  </si>
  <si>
    <t>http://public.eblib.com/choice/PublicFullRecord.aspx?p=4671280</t>
  </si>
  <si>
    <t>Canadian Annual Review of Politics and Public Affairs 1974</t>
  </si>
  <si>
    <t>http://public.eblib.com/choice/PublicFullRecord.aspx?p=4671281</t>
  </si>
  <si>
    <t>Canadian Annual Review of Politics and Public Affairs 1975</t>
  </si>
  <si>
    <t>F1034.2.C363 1976</t>
  </si>
  <si>
    <t>http://public.eblib.com/choice/PublicFullRecord.aspx?p=4671282</t>
  </si>
  <si>
    <t>Canadian Annual Review of Politics and Public Affairs 1976</t>
  </si>
  <si>
    <t>F1034.2.C363 1977</t>
  </si>
  <si>
    <t>http://public.eblib.com/choice/PublicFullRecord.aspx?p=4671283</t>
  </si>
  <si>
    <t>Canadian Annual Review of Politics and Public Affairs 1977</t>
  </si>
  <si>
    <t>F1034.2.C363 1979</t>
  </si>
  <si>
    <t>http://public.eblib.com/choice/PublicFullRecord.aspx?p=4671284</t>
  </si>
  <si>
    <t>Canadian Annual Review of Politics and Public Affairs 1978</t>
  </si>
  <si>
    <t>F1034.2.C363 1980</t>
  </si>
  <si>
    <t>http://public.eblib.com/choice/PublicFullRecord.aspx?p=4671285</t>
  </si>
  <si>
    <t>Canadian Annual Review of Politics and Public Affairs 1979</t>
  </si>
  <si>
    <t>Byers, R.B.</t>
  </si>
  <si>
    <t>F1034.2.C363 1981</t>
  </si>
  <si>
    <t>http://public.eblib.com/choice/PublicFullRecord.aspx?p=4671286</t>
  </si>
  <si>
    <t>Canadian Annual Review of Politics and Public Affairs 1980</t>
  </si>
  <si>
    <t>F1034.2.C363 1982</t>
  </si>
  <si>
    <t>http://public.eblib.com/choice/PublicFullRecord.aspx?p=4671287</t>
  </si>
  <si>
    <t>Canadian Annual Review of Politics and Public Affairs 1981</t>
  </si>
  <si>
    <t>F1034.2.C363 1984</t>
  </si>
  <si>
    <t>http://public.eblib.com/choice/PublicFullRecord.aspx?p=4671288</t>
  </si>
  <si>
    <t>Canadian Annual Review of Politics and Public Affairs 1982</t>
  </si>
  <si>
    <t>http://public.eblib.com/choice/PublicFullRecord.aspx?p=4671289</t>
  </si>
  <si>
    <t>Canadian Annual Review of Politics and Public Affairs 1984</t>
  </si>
  <si>
    <t>F1034.2.C363 1987</t>
  </si>
  <si>
    <t>http://public.eblib.com/choice/PublicFullRecord.aspx?p=4671290</t>
  </si>
  <si>
    <t>Canadian Annual Review of Politics and Public Affairs 1985</t>
  </si>
  <si>
    <t>HC115.C363 1988</t>
  </si>
  <si>
    <t>http://public.eblib.com/choice/PublicFullRecord.aspx?p=4671291</t>
  </si>
  <si>
    <t>Canadian Annual Review of Politics and Public Affairs 1986</t>
  </si>
  <si>
    <t>F1034.2.C363 1990</t>
  </si>
  <si>
    <t>http://public.eblib.com/choice/PublicFullRecord.aspx?p=4671292</t>
  </si>
  <si>
    <t>Canadian Annual Review of Politics and Public Affairs 1987</t>
  </si>
  <si>
    <t>HC115.C363 1991</t>
  </si>
  <si>
    <t>http://public.eblib.com/choice/PublicFullRecord.aspx?p=4671293</t>
  </si>
  <si>
    <t>Canadian Annual Review of  Politics and Public Affairs : 1988</t>
  </si>
  <si>
    <t>David, Leyton-Brown</t>
  </si>
  <si>
    <t>F1034.C363 1995</t>
  </si>
  <si>
    <t>http://public.eblib.com/choice/PublicFullRecord.aspx?p=4671294</t>
  </si>
  <si>
    <t>Canadian Annual Review of  Politics and Public Affairs : 1990</t>
  </si>
  <si>
    <t>F1034.2.C363 1997</t>
  </si>
  <si>
    <t>http://public.eblib.com/choice/PublicFullRecord.aspx?p=4671295</t>
  </si>
  <si>
    <t>Canadian Annual Review of Politics and Public Affairs : 1991</t>
  </si>
  <si>
    <t>F1034.2.C363 1998</t>
  </si>
  <si>
    <t>http://public.eblib.com/choice/PublicFullRecord.aspx?p=4671296</t>
  </si>
  <si>
    <t>Canadian Annual Review of Politics and Public Affairs : 1992</t>
  </si>
  <si>
    <t>http://public.eblib.com/choice/PublicFullRecord.aspx?p=4671297</t>
  </si>
  <si>
    <t>Canadian Annual Review of Politics and Public Affairs : 1993</t>
  </si>
  <si>
    <t>HC115.C363 1999</t>
  </si>
  <si>
    <t>http://public.eblib.com/choice/PublicFullRecord.aspx?p=4671298</t>
  </si>
  <si>
    <t>Canadian Annual Review of Politics and Public Affairs : 1994</t>
  </si>
  <si>
    <t>HC115.C363 2000</t>
  </si>
  <si>
    <t>http://public.eblib.com/choice/PublicFullRecord.aspx?p=4671299</t>
  </si>
  <si>
    <t>Canadian Annual Review of Politics and Public Affairs : 1995</t>
  </si>
  <si>
    <t>HC115.C363 2002</t>
  </si>
  <si>
    <t>http://public.eblib.com/choice/PublicFullRecord.aspx?p=4671300</t>
  </si>
  <si>
    <t>Canadian Annual Review of Politics and Public Affairs : 1996</t>
  </si>
  <si>
    <t>http://public.eblib.com/choice/PublicFullRecord.aspx?p=4671301</t>
  </si>
  <si>
    <t>Canadian Annual Review of Politics and Public Affairs : 1997</t>
  </si>
  <si>
    <t>HC115.C363 2003</t>
  </si>
  <si>
    <t>http://public.eblib.com/choice/PublicFullRecord.aspx?p=4671302</t>
  </si>
  <si>
    <t>Canadian Annual Review of Politics and Public Affairs : 1998</t>
  </si>
  <si>
    <t>HC115.C363 2005</t>
  </si>
  <si>
    <t>http://public.eblib.com/choice/PublicFullRecord.aspx?p=4671303</t>
  </si>
  <si>
    <t>Canadian Annual Review of Politics and Public Affairs 1999</t>
  </si>
  <si>
    <t>F1034.2.C363 2005</t>
  </si>
  <si>
    <t>http://public.eblib.com/choice/PublicFullRecord.aspx?p=4671304</t>
  </si>
  <si>
    <t>Canadian Annual Review of Politics and Public Affairs 2000</t>
  </si>
  <si>
    <t>Mutimer, David; Mutimer, David</t>
  </si>
  <si>
    <t>F1034.C363 2006</t>
  </si>
  <si>
    <t>http://public.eblib.com/choice/PublicFullRecord.aspx?p=4671305</t>
  </si>
  <si>
    <t>Canadian Family Policies : Cross-National Comparisons</t>
  </si>
  <si>
    <t>HQ560.B354 1995</t>
  </si>
  <si>
    <t>362.82/56/0971</t>
  </si>
  <si>
    <t>http://public.eblib.com/choice/PublicFullRecord.aspx?p=4671307</t>
  </si>
  <si>
    <t>Canadian Film and Video : A Bibliography and Guide to the Literature</t>
  </si>
  <si>
    <t>Z5784.M9.L476 1997</t>
  </si>
  <si>
    <t>016.79143/75/0971</t>
  </si>
  <si>
    <t>http://public.eblib.com/choice/PublicFullRecord.aspx?p=4671308</t>
  </si>
  <si>
    <t>Canadian Forest Policy : Adapting to Change</t>
  </si>
  <si>
    <t>Howlett, Michael</t>
  </si>
  <si>
    <t>SD567.C363 2001</t>
  </si>
  <si>
    <t>333.75/0971</t>
  </si>
  <si>
    <t>http://public.eblib.com/choice/PublicFullRecord.aspx?p=4671309</t>
  </si>
  <si>
    <t>Canadian Historical Review Index 1950-70</t>
  </si>
  <si>
    <t>Douglas, Audrey; Douglas, Audrey</t>
  </si>
  <si>
    <t>F1001.C363 1974</t>
  </si>
  <si>
    <t>http://public.eblib.com/choice/PublicFullRecord.aspx?p=4671310</t>
  </si>
  <si>
    <t>The Canadian Historical Review Index, 19 : Volumes LII-XC</t>
  </si>
  <si>
    <t>Macleod, Laura; Macleod, Laura</t>
  </si>
  <si>
    <t>F1001.C363 1993</t>
  </si>
  <si>
    <t>http://public.eblib.com/choice/PublicFullRecord.aspx?p=4671311</t>
  </si>
  <si>
    <t>Canadian History: A Reader's Guide</t>
  </si>
  <si>
    <t>Owram, Doug; Owram, Doug</t>
  </si>
  <si>
    <t>F1026.C363 1994</t>
  </si>
  <si>
    <t>http://public.eblib.com/choice/PublicFullRecord.aspx?p=4671312</t>
  </si>
  <si>
    <t>Canadian History: a Reader's Guide</t>
  </si>
  <si>
    <t>Owram, Doug; Taylor, M. Brook</t>
  </si>
  <si>
    <t>F1030.C363 1994</t>
  </si>
  <si>
    <t>http://public.eblib.com/choice/PublicFullRecord.aspx?p=4671313</t>
  </si>
  <si>
    <t>Canadian Intellectuals, the Tory Tradition, and the Challenge of Modernity, 1939-1970</t>
  </si>
  <si>
    <t>Massolin, Philip</t>
  </si>
  <si>
    <t>http://public.eblib.com/choice/PublicFullRecord.aspx?p=4671314</t>
  </si>
  <si>
    <t>Canadian Missionaries, Indigenous Peoples : Representing Religion at Home and Abroad</t>
  </si>
  <si>
    <t>Austin, Alvyn J.; Scott, Jamie S</t>
  </si>
  <si>
    <t>BV2121.C2.C363 2005</t>
  </si>
  <si>
    <t>266/.02371</t>
  </si>
  <si>
    <t>Missionaries - Canada - History</t>
  </si>
  <si>
    <t>http://public.eblib.com/choice/PublicFullRecord.aspx?p=4671315</t>
  </si>
  <si>
    <t>Canadian Nuclear Energy Policy : Changing Ideas, Institutions, and Interests</t>
  </si>
  <si>
    <t>Doern, G. Bruce; Dorman, Arslan; Morrison, Robert W.</t>
  </si>
  <si>
    <t>HD9698.C22.C363 2001</t>
  </si>
  <si>
    <t>333.792/4/0971</t>
  </si>
  <si>
    <t>Nuclear energy - Government policy - Ontario</t>
  </si>
  <si>
    <t>http://public.eblib.com/choice/PublicFullRecord.aspx?p=4671316</t>
  </si>
  <si>
    <t>Canadian Woods : Their Properties and Uses</t>
  </si>
  <si>
    <t>McKnight, T.S.; Mullins, E.J.</t>
  </si>
  <si>
    <t>Engineering: Manufacturing; Engineering: Civil; Engineering</t>
  </si>
  <si>
    <t>TA419.C363 1981</t>
  </si>
  <si>
    <t>http://public.eblib.com/choice/PublicFullRecord.aspx?p=4671317</t>
  </si>
  <si>
    <t>Capacity for Choice : Canada in a New North America</t>
  </si>
  <si>
    <t>Hoberg, George</t>
  </si>
  <si>
    <t>HC115.C373 2002</t>
  </si>
  <si>
    <t>337.1/7</t>
  </si>
  <si>
    <t>http://public.eblib.com/choice/PublicFullRecord.aspx?p=4671318</t>
  </si>
  <si>
    <t>Cape Bretoniana : An Annotated Bibliography</t>
  </si>
  <si>
    <t>Tennyson, Brian</t>
  </si>
  <si>
    <t>Z1392.C26T47 2005</t>
  </si>
  <si>
    <t>http://public.eblib.com/choice/PublicFullRecord.aspx?p=4671319</t>
  </si>
  <si>
    <t>Capitalizing Knowledge : Essays on the History of Business  Education in Canada</t>
  </si>
  <si>
    <t>Austin, Barbara</t>
  </si>
  <si>
    <t>HF1131.C375 2000</t>
  </si>
  <si>
    <t>http://public.eblib.com/choice/PublicFullRecord.aspx?p=4671320</t>
  </si>
  <si>
    <t>Capitalizing on Culture : Critical Theory for Cultural Studies</t>
  </si>
  <si>
    <t>Gunster, Shane</t>
  </si>
  <si>
    <t>CB427.G867 2004</t>
  </si>
  <si>
    <t>http://public.eblib.com/choice/PublicFullRecord.aspx?p=4671322</t>
  </si>
  <si>
    <t>Captivating Subjects : Writing Confinement, Citizenship, and Nationhood in the Nineteenth Century</t>
  </si>
  <si>
    <t>Haslam, Jason; Wright, Julia M.</t>
  </si>
  <si>
    <t>HV8706.C36 2005</t>
  </si>
  <si>
    <t>http://public.eblib.com/choice/PublicFullRecord.aspx?p=4671323</t>
  </si>
  <si>
    <t>Caring for Lesbian and Gay People : A Clinical Guide</t>
  </si>
  <si>
    <t>Peterkin, Allan D.; Risdon, Cathy</t>
  </si>
  <si>
    <t>RA564.9.H65.P484 2003</t>
  </si>
  <si>
    <t>362.1/086/64</t>
  </si>
  <si>
    <t>http://public.eblib.com/choice/PublicFullRecord.aspx?p=4671324</t>
  </si>
  <si>
    <t>Carol Shields, Narrative Hunger, and the Possibilities of Fiction</t>
  </si>
  <si>
    <t>Eden, Edward; Goertz, Dee; Eden, Edward</t>
  </si>
  <si>
    <t>PR9199.3.S514.C376 2003</t>
  </si>
  <si>
    <t>http://public.eblib.com/choice/PublicFullRecord.aspx?p=4671325</t>
  </si>
  <si>
    <t>Carved in Stone : Holocaust Years - a Boy's Tale</t>
  </si>
  <si>
    <t>Drukier, Manny</t>
  </si>
  <si>
    <t>DS135.P63.D785 1996</t>
  </si>
  <si>
    <t>http://public.eblib.com/choice/PublicFullRecord.aspx?p=4671326</t>
  </si>
  <si>
    <t>Cases and Materials on Criminal Law And</t>
  </si>
  <si>
    <t>Friedland, Martin</t>
  </si>
  <si>
    <t>KE8808.5.C374 1978</t>
  </si>
  <si>
    <t>http://public.eblib.com/choice/PublicFullRecord.aspx?p=4671327</t>
  </si>
  <si>
    <t>Challenge to Mars : Pacifism from 1918 to 1945</t>
  </si>
  <si>
    <t>Brock, Peter; Socknat, Thomas P.</t>
  </si>
  <si>
    <t>JZ5560.C435 1999</t>
  </si>
  <si>
    <t>http://public.eblib.com/choice/PublicFullRecord.aspx?p=4671329</t>
  </si>
  <si>
    <t>Challenging Racism in the Arts : Case Studies of Controversy and Conflict</t>
  </si>
  <si>
    <t>Henry, Frances; Matthis, Winston; Tator, Carol</t>
  </si>
  <si>
    <t>NX180.R3.T386 1998</t>
  </si>
  <si>
    <t>http://public.eblib.com/choice/PublicFullRecord.aspx?p=4671330</t>
  </si>
  <si>
    <t>Challenging the Public/Private Divide : Feminism, Law, and Public Policy</t>
  </si>
  <si>
    <t>Boyd, Susan B.</t>
  </si>
  <si>
    <t>HQ1236.5.C2.C435 1997</t>
  </si>
  <si>
    <t>http://public.eblib.com/choice/PublicFullRecord.aspx?p=4671331</t>
  </si>
  <si>
    <t>Chamber Music : Elizabethan Sonnet-Sequences and the Pleasure of Criticism</t>
  </si>
  <si>
    <t>Kuin, Roger</t>
  </si>
  <si>
    <t>PR539.S7.K856 1998</t>
  </si>
  <si>
    <t>http://public.eblib.com/choice/PublicFullRecord.aspx?p=4671333</t>
  </si>
  <si>
    <t>Changing Health Care in Canada : The Romanow Papers, Volume 2</t>
  </si>
  <si>
    <t>Forest, Pierre-Gerlier; Marchildon, Gregory; McIntosh, Tom</t>
  </si>
  <si>
    <t>RA395.C2R65 2004</t>
  </si>
  <si>
    <t>http://public.eblib.com/choice/PublicFullRecord.aspx?p=4671334</t>
  </si>
  <si>
    <t>Chasing Reality : Strife over Realism</t>
  </si>
  <si>
    <t>Bunge, Mario</t>
  </si>
  <si>
    <t>B835.B864 2006</t>
  </si>
  <si>
    <t>http://public.eblib.com/choice/PublicFullRecord.aspx?p=4671336</t>
  </si>
  <si>
    <t>Chaucer &amp; His French Contemporaries</t>
  </si>
  <si>
    <t>Wimsatt, James I.</t>
  </si>
  <si>
    <t>PR1912.A3.W567 1991</t>
  </si>
  <si>
    <t>http://public.eblib.com/choice/PublicFullRecord.aspx?p=4671337</t>
  </si>
  <si>
    <t>Chaucer's General Prologue to the Canterbury Tales : An Annotated Bibliography 1900-1984</t>
  </si>
  <si>
    <t>Chaucer Bibliographies</t>
  </si>
  <si>
    <t>Eckhardt, Caroline D.</t>
  </si>
  <si>
    <t>Z8164 PR1868.P9.E254 1990</t>
  </si>
  <si>
    <t>http://public.eblib.com/choice/PublicFullRecord.aspx?p=4671338</t>
  </si>
  <si>
    <t>Chaucer's Knight's Tale : An Annotated Bibliography 1900-1985</t>
  </si>
  <si>
    <t>McAlpine, Monica E.</t>
  </si>
  <si>
    <t>Z8164 PR1868.M335 1991</t>
  </si>
  <si>
    <t>http://public.eblib.com/choice/PublicFullRecord.aspx?p=4671339</t>
  </si>
  <si>
    <t>Chaucer's Miller's, Reeve's, and Cook's Tales : An Annotated Bibliography 1900-1992</t>
  </si>
  <si>
    <t>Burton, T. L.; Greentree, Rosemary</t>
  </si>
  <si>
    <t>Z8164 PR1868.M6.C438 1997</t>
  </si>
  <si>
    <t>http://public.eblib.com/choice/PublicFullRecord.aspx?p=4671340</t>
  </si>
  <si>
    <t>Chaucer's Pardoner's Prologue and Tale : An Annotated Bibliography, 1900-1995</t>
  </si>
  <si>
    <t>Sutton, Marilyn</t>
  </si>
  <si>
    <t>Z8164 PR1868.P3.C438 2000</t>
  </si>
  <si>
    <t>http://public.eblib.com/choice/PublicFullRecord.aspx?p=4671341</t>
  </si>
  <si>
    <t>Chaucer's Queer Poetics : Rereading the Dream Trio</t>
  </si>
  <si>
    <t>Schibanoff, Susan</t>
  </si>
  <si>
    <t>PR1933.S35S35 2006</t>
  </si>
  <si>
    <t>http://public.eblib.com/choice/PublicFullRecord.aspx?p=4671342</t>
  </si>
  <si>
    <t>Childhood Abuse and Chronic Pain : A Curious Relationship?</t>
  </si>
  <si>
    <t>Roy, Ranjan</t>
  </si>
  <si>
    <t>RC569.5.C55.R69 1998</t>
  </si>
  <si>
    <t>http://public.eblib.com/choice/PublicFullRecord.aspx?p=4671343</t>
  </si>
  <si>
    <t>Chronic Pain, Loss, and Suffering : A Clinical Perspective</t>
  </si>
  <si>
    <t>R726.5.R69 2004</t>
  </si>
  <si>
    <t>http://public.eblib.com/choice/PublicFullRecord.aspx?p=4671344</t>
  </si>
  <si>
    <t>Cinema and Semiotic : Peirce and Film Aesthetics, Narration, and Representation</t>
  </si>
  <si>
    <t>Ehrat, SJ, P. Johannes</t>
  </si>
  <si>
    <t>PN1995.E373 2005</t>
  </si>
  <si>
    <t>Motion pictures - Semiotics</t>
  </si>
  <si>
    <t>http://public.eblib.com/choice/PublicFullRecord.aspx?p=4671345</t>
  </si>
  <si>
    <t>Citizenship in Transformation in Canada</t>
  </si>
  <si>
    <t>Hébert, Yvonne</t>
  </si>
  <si>
    <t>JL187.C585 2002</t>
  </si>
  <si>
    <t>http://public.eblib.com/choice/PublicFullRecord.aspx?p=4671346</t>
  </si>
  <si>
    <t>City Form and Everyday Life : Toronto's Gentrification and Critical Social Practice</t>
  </si>
  <si>
    <t>Caulfield, Jon</t>
  </si>
  <si>
    <t>HT178.C22.C385 1994</t>
  </si>
  <si>
    <t>http://public.eblib.com/choice/PublicFullRecord.aspx?p=4671347</t>
  </si>
  <si>
    <t>City Lives and City Forms : Critical Research and Canadian Urbanism</t>
  </si>
  <si>
    <t>Caulfield, Jon; Peake, Linda</t>
  </si>
  <si>
    <t>HT127.C589 1996</t>
  </si>
  <si>
    <t>http://public.eblib.com/choice/PublicFullRecord.aspx?p=4671348</t>
  </si>
  <si>
    <t>Classical Economics</t>
  </si>
  <si>
    <t>Hollander, Samuel</t>
  </si>
  <si>
    <t>HB94.H655 1987</t>
  </si>
  <si>
    <t>http://public.eblib.com/choice/PublicFullRecord.aspx?p=4671349</t>
  </si>
  <si>
    <t>Classical Tradition in Operation</t>
  </si>
  <si>
    <t>Robson Classical Lectures</t>
  </si>
  <si>
    <t>Rudd, Niall</t>
  </si>
  <si>
    <t>PR127.R833 1994</t>
  </si>
  <si>
    <t>http://public.eblib.com/choice/PublicFullRecord.aspx?p=4671350</t>
  </si>
  <si>
    <t>Clio in the Clinic : History in Medical Practice</t>
  </si>
  <si>
    <t>R133.C556 2005</t>
  </si>
  <si>
    <t>http://public.eblib.com/choice/PublicFullRecord.aspx?p=4671351</t>
  </si>
  <si>
    <t>Closely Guarded : A Life in Canadian Security and Intelligence</t>
  </si>
  <si>
    <t>Starnes, John</t>
  </si>
  <si>
    <t>HV7911.S75.S737 1998</t>
  </si>
  <si>
    <t>http://public.eblib.com/choice/PublicFullRecord.aspx?p=4671352</t>
  </si>
  <si>
    <t>Cold Comfort : Mothers, Professionals, and Attention Deficit (Hyperactivity) Disorder</t>
  </si>
  <si>
    <t>Malacrida, Claudia</t>
  </si>
  <si>
    <t>RJ506.H9M34 2003</t>
  </si>
  <si>
    <t>http://public.eblib.com/choice/PublicFullRecord.aspx?p=4671353</t>
  </si>
  <si>
    <t>Collected Works of George Grant : Volume 1 (1933-1950)</t>
  </si>
  <si>
    <t>Collected Works of George Grant</t>
  </si>
  <si>
    <t>Grant, George; Davis, Arthur; Emberley, Peter C.</t>
  </si>
  <si>
    <t>B995.G724.C655 2000</t>
  </si>
  <si>
    <t>http://public.eblib.com/choice/PublicFullRecord.aspx?p=4671355</t>
  </si>
  <si>
    <t>Collected Works of George Grant : Volume 2 (1951-1959)</t>
  </si>
  <si>
    <t>B995.C655 2002</t>
  </si>
  <si>
    <t>http://public.eblib.com/choice/PublicFullRecord.aspx?p=4671356</t>
  </si>
  <si>
    <t>Collected Works of George Grant : Volume 3 (1960-1969)</t>
  </si>
  <si>
    <t>Davis, Arthur; Roper, Henry Roper; Emberley, Peter C.; Roper, Henry Roper</t>
  </si>
  <si>
    <t>B995.G724.C655 2005</t>
  </si>
  <si>
    <t>http://public.eblib.com/choice/PublicFullRecord.aspx?p=4671357</t>
  </si>
  <si>
    <t>Colonial 'Reformation' in the Highlands of Central Sulawesi Indonesia,1892-1995</t>
  </si>
  <si>
    <t>BV3350.S373 2000</t>
  </si>
  <si>
    <t>http://public.eblib.com/choice/PublicFullRecord.aspx?p=4671359</t>
  </si>
  <si>
    <t>Come, bright Improvement! : The Literary Societies of Nineteenth-Century Ontario</t>
  </si>
  <si>
    <t>Murray, Heather</t>
  </si>
  <si>
    <t>PR129.C36.M877 2002</t>
  </si>
  <si>
    <t>http://public.eblib.com/choice/PublicFullRecord.aspx?p=4671361</t>
  </si>
  <si>
    <t>Community, State, and Market on the North Atlantic Rim : Challenges to Modernity in the Fisheries</t>
  </si>
  <si>
    <t>Apostle, Richard; Barrett, Gene; Holm, Petter</t>
  </si>
  <si>
    <t>SH224.A88.C666 1998</t>
  </si>
  <si>
    <t>http://public.eblib.com/choice/PublicFullRecord.aspx?p=4671362</t>
  </si>
  <si>
    <t>Companions of the Peace : Diaries and Letters of Monica Storrs, 1931-1939</t>
  </si>
  <si>
    <t>Storrs, Monica; Storrs, Monica; Fast, Vera K.</t>
  </si>
  <si>
    <t>F1089.P3.C667 1999</t>
  </si>
  <si>
    <t>http://public.eblib.com/choice/PublicFullRecord.aspx?p=4671363</t>
  </si>
  <si>
    <t>A Comparative Study of  Old English Metre</t>
  </si>
  <si>
    <t>Whitman, Frank</t>
  </si>
  <si>
    <t>PE257.W458 1993</t>
  </si>
  <si>
    <t>http://public.eblib.com/choice/PublicFullRecord.aspx?p=4671364</t>
  </si>
  <si>
    <t>Compassionate Canadians : Civic Leaders Discuss Human Rights</t>
  </si>
  <si>
    <t>Howard-Hassmann, Rhoda E.</t>
  </si>
  <si>
    <t>JC599.C2.H693 2003</t>
  </si>
  <si>
    <t>http://public.eblib.com/choice/PublicFullRecord.aspx?p=4671365</t>
  </si>
  <si>
    <t>Concise Encyclopedia Ukraine</t>
  </si>
  <si>
    <t>Kubijovyc, Volodymr</t>
  </si>
  <si>
    <t>AG60.U4.U373 1988</t>
  </si>
  <si>
    <t>http://public.eblib.com/choice/PublicFullRecord.aspx?p=4671366</t>
  </si>
  <si>
    <t>Concise Historical Atlas of Canada</t>
  </si>
  <si>
    <t>Moldofsky, Byron; Matthews, Geoffrey J.; Dean, William G.; Matthews, Geoffrey J.; Warkentin, John</t>
  </si>
  <si>
    <t>G1116.S1.C663 1998</t>
  </si>
  <si>
    <t>http://public.eblib.com/choice/PublicFullRecord.aspx?p=4671367</t>
  </si>
  <si>
    <t>A Conjunction of  Interests : Business, Politics, and Tariffs, 1825-1879</t>
  </si>
  <si>
    <t>State and Economic Life</t>
  </si>
  <si>
    <t>Forster, J.B.B.</t>
  </si>
  <si>
    <t>HF1765.F677 1986</t>
  </si>
  <si>
    <t>http://public.eblib.com/choice/PublicFullRecord.aspx?p=4671369</t>
  </si>
  <si>
    <t>Conscience and History : A Memoir</t>
  </si>
  <si>
    <t>Bliss, Michael; Granatstein, J.L.</t>
  </si>
  <si>
    <t>F1024.6.M37.M363 1999</t>
  </si>
  <si>
    <t>http://public.eblib.com/choice/PublicFullRecord.aspx?p=4671370</t>
  </si>
  <si>
    <t>Conscience and Its Critics : Protestant Conscience, Enlightenment Reason, and Modern Subjectivity</t>
  </si>
  <si>
    <t>Andrew, Edward</t>
  </si>
  <si>
    <t>BJ1471.A537 2001</t>
  </si>
  <si>
    <t>http://public.eblib.com/choice/PublicFullRecord.aspx?p=4671371</t>
  </si>
  <si>
    <t>Consequences : The Impact of Law and Its Complexity</t>
  </si>
  <si>
    <t>Bogart, W.A.</t>
  </si>
  <si>
    <t>K237.B643 2002</t>
  </si>
  <si>
    <t>Law - Philosophy</t>
  </si>
  <si>
    <t>http://public.eblib.com/choice/PublicFullRecord.aspx?p=4671372</t>
  </si>
  <si>
    <t>Constance Lindsay Skinner : Writing on the Frontier</t>
  </si>
  <si>
    <t>PR9199.3.S539.B376 2002</t>
  </si>
  <si>
    <t>Authors, American</t>
  </si>
  <si>
    <t>http://public.eblib.com/choice/PublicFullRecord.aspx?p=4671373</t>
  </si>
  <si>
    <t>Constant Minds : Political Virtue and the Lipsian Paradigm in England, 1584-1650</t>
  </si>
  <si>
    <t>McCrea, Adriana</t>
  </si>
  <si>
    <t>B785.L4.M337 1997</t>
  </si>
  <si>
    <t>http://public.eblib.com/choice/PublicFullRecord.aspx?p=4671374</t>
  </si>
  <si>
    <t>Contacts, Opportunities, and Criminal Enterprise</t>
  </si>
  <si>
    <t>Morselli, Carlo</t>
  </si>
  <si>
    <t>HV6035.M677 2005</t>
  </si>
  <si>
    <t>http://public.eblib.com/choice/PublicFullRecord.aspx?p=4671375</t>
  </si>
  <si>
    <t>Contemporaries of Erasmus : A Biographical Register of the Renaissance and Reformation</t>
  </si>
  <si>
    <t>Bietenholz, P.G.; Deutscher, Thomas B.</t>
  </si>
  <si>
    <t>PA8500.C668 1986</t>
  </si>
  <si>
    <t>http://public.eblib.com/choice/PublicFullRecord.aspx?p=4671376</t>
  </si>
  <si>
    <t>Contemporaries of Erasmus : A Biographical Register of the Renaissance and Reformation, Volume 1 - A-E</t>
  </si>
  <si>
    <t>Erasmus, Desiderius; Bietenholz, P.G.; Deutscher, Thomas B.</t>
  </si>
  <si>
    <t>PA8500.C668 1995</t>
  </si>
  <si>
    <t>Indexes</t>
  </si>
  <si>
    <t>http://public.eblib.com/choice/PublicFullRecord.aspx?p=4671377</t>
  </si>
  <si>
    <t>Contemporaries of Erasmus : A Biographical Register of the Renaissance and Reformation, Volume 3 - N-Z</t>
  </si>
  <si>
    <t>PA8500.C668 1987</t>
  </si>
  <si>
    <t>http://public.eblib.com/choice/PublicFullRecord.aspx?p=4671378</t>
  </si>
  <si>
    <t>Contemporary Antisemitism : Canada and the World</t>
  </si>
  <si>
    <t>Marrus, Michael R.; Penslar, Derek J.; Gross Stein, Janice</t>
  </si>
  <si>
    <t>DS146.C2.C668 2005</t>
  </si>
  <si>
    <t>Antisemitism - Canada</t>
  </si>
  <si>
    <t>http://public.eblib.com/choice/PublicFullRecord.aspx?p=4671379</t>
  </si>
  <si>
    <t>Continentalizing Canada : The Politics and Legacy of the Macdonald Royal Commission</t>
  </si>
  <si>
    <t>HF1766.I596 2005</t>
  </si>
  <si>
    <t>http://public.eblib.com/choice/PublicFullRecord.aspx?p=4671381</t>
  </si>
  <si>
    <t>Controversies with Alberto Pio : Collected Works of Erasmus</t>
  </si>
  <si>
    <t>Erasmus, Desiderius; Minnich, Nelson; Minnich, Nelson H; Minnich, Nelson H; Minnich, Nelson</t>
  </si>
  <si>
    <t>PA8502.E5.C668 2005</t>
  </si>
  <si>
    <t>http://public.eblib.com/choice/PublicFullRecord.aspx?p=4671383</t>
  </si>
  <si>
    <t>Conversations with Lotman : The Implications of Cultural Semiotics in Language, Literature, and Cognition</t>
  </si>
  <si>
    <t>Andrews, Edna</t>
  </si>
  <si>
    <t>P85.L68.A537 2003</t>
  </si>
  <si>
    <t>http://public.eblib.com/choice/PublicFullRecord.aspx?p=4671387</t>
  </si>
  <si>
    <t>Conversing with God : Prayer in Erasmus' Pastoral Writing</t>
  </si>
  <si>
    <t>Pabel, Hilmar; Pabel, Hilmar M.</t>
  </si>
  <si>
    <t>BV207.P334 1997</t>
  </si>
  <si>
    <t>Prayer - Christianity - History - 16th century</t>
  </si>
  <si>
    <t>http://public.eblib.com/choice/PublicFullRecord.aspx?p=4671388</t>
  </si>
  <si>
    <t>Cool : The Signs and Meanings of Adolescence</t>
  </si>
  <si>
    <t>Danesi, Marcel</t>
  </si>
  <si>
    <t>HQ796.D364 1994</t>
  </si>
  <si>
    <t>Adolescence</t>
  </si>
  <si>
    <t>http://public.eblib.com/choice/PublicFullRecord.aspx?p=4671389</t>
  </si>
  <si>
    <t>Corporate Crime : Contemporary Debates</t>
  </si>
  <si>
    <t>Pearce, Frank; Snider, Laureen</t>
  </si>
  <si>
    <t>HV6768.C67 1995</t>
  </si>
  <si>
    <t>http://public.eblib.com/choice/PublicFullRecord.aspx?p=4671390</t>
  </si>
  <si>
    <t>The Corporation and Its Stakeholders : Classic and Contemporary Readings</t>
  </si>
  <si>
    <t>Clarkson, Max</t>
  </si>
  <si>
    <t>HD2731.C643 1998</t>
  </si>
  <si>
    <t>http://public.eblib.com/choice/PublicFullRecord.aspx?p=4671391</t>
  </si>
  <si>
    <t>Correspondance gÃ©nÃ©rale d'HelvÃ©tius : 1757-1760 / Lettres 250 - 464</t>
  </si>
  <si>
    <t>Correspondance gÃ©nÃ©rale d'HelvÃ©tius</t>
  </si>
  <si>
    <t>Smith, David; Allan, Peter; Dainard, Alan</t>
  </si>
  <si>
    <t>B2047.C677 1984</t>
  </si>
  <si>
    <t>http://public.eblib.com/choice/PublicFullRecord.aspx?p=4671392</t>
  </si>
  <si>
    <t>Correspondance gÃ©nÃ©rale d'HelvÃ©tius : 1774-1800 / Lettres 721-855</t>
  </si>
  <si>
    <t>Smith, David; Allan, Peter; Dainard, Alan; Inguenaud, Marie-Therese; Orsoni, Jean</t>
  </si>
  <si>
    <t>B1873.C677 1998</t>
  </si>
  <si>
    <t>http://public.eblib.com/choice/PublicFullRecord.aspx?p=4671393</t>
  </si>
  <si>
    <t>Correspondance gÃ©nÃ©rale d'HelvÃ©tius : Index</t>
  </si>
  <si>
    <t>Smith, David; Allan, Peter; Dainard, Alan; Inguenaud, Marie-Therese; Orsoni, Jean; Steffen, Jonas</t>
  </si>
  <si>
    <t>B1873.C677 2004</t>
  </si>
  <si>
    <t>http://public.eblib.com/choice/PublicFullRecord.aspx?p=4671394</t>
  </si>
  <si>
    <t>Corresponding Influence : Selected Letters of Emily Carr and Ira Dilworth</t>
  </si>
  <si>
    <t>Morra, Linda</t>
  </si>
  <si>
    <t>ND249.C3.C677 2006</t>
  </si>
  <si>
    <t>http://public.eblib.com/choice/PublicFullRecord.aspx?p=4671395</t>
  </si>
  <si>
    <t>Court Revels 1485-1559</t>
  </si>
  <si>
    <t>Streitberger, W.R.</t>
  </si>
  <si>
    <t>PN1590.P74.S774 1994</t>
  </si>
  <si>
    <t>http://public.eblib.com/choice/PublicFullRecord.aspx?p=4671397</t>
  </si>
  <si>
    <t>Creating Knowledge, Strengthening Nations : The Changing Role of Higher Education</t>
  </si>
  <si>
    <t>Jones, Glen, A.; McCarney, Patricia, L.; Skolnik, Michael, L.</t>
  </si>
  <si>
    <t>LB2322.2.C743 2005</t>
  </si>
  <si>
    <t>http://public.eblib.com/choice/PublicFullRecord.aspx?p=4671398</t>
  </si>
  <si>
    <t>Creating States : Studies in the Performative Language of John Milton and William Blake</t>
  </si>
  <si>
    <t>Esterhammer, Angela</t>
  </si>
  <si>
    <t>PR3596.E83 1994</t>
  </si>
  <si>
    <t>http://public.eblib.com/choice/PublicFullRecord.aspx?p=4671399</t>
  </si>
  <si>
    <t>Creative Entanglements : Gadda and the Baroque</t>
  </si>
  <si>
    <t>Dombroski, Robert S</t>
  </si>
  <si>
    <t>PQ4817.A33.D663 1999</t>
  </si>
  <si>
    <t>853/.912</t>
  </si>
  <si>
    <t>Italian literature - 17th century - Influence</t>
  </si>
  <si>
    <t>http://public.eblib.com/choice/PublicFullRecord.aspx?p=4671400</t>
  </si>
  <si>
    <t>Creditor Rights and the Public Interest : Restructuring Insolvent Corporations</t>
  </si>
  <si>
    <t>KE1485.S273 2003</t>
  </si>
  <si>
    <t>346.7107/8</t>
  </si>
  <si>
    <t>http://public.eblib.com/choice/PublicFullRecord.aspx?p=4671401</t>
  </si>
  <si>
    <t>The Criticism of Didactic Poetry : Essays on Lucretius, Virgil, and Ovid</t>
  </si>
  <si>
    <t>Dalzell, Alexander</t>
  </si>
  <si>
    <t>PN1421.D359 1996</t>
  </si>
  <si>
    <t>http://public.eblib.com/choice/PublicFullRecord.aspx?p=4671402</t>
  </si>
  <si>
    <t>Cross Culture and Faith : The Life and Work of James Mellon Menzies</t>
  </si>
  <si>
    <t>Dong, Linfu</t>
  </si>
  <si>
    <t>DS734.9.M45.D65 2005</t>
  </si>
  <si>
    <t>http://public.eblib.com/choice/PublicFullRecord.aspx?p=4671403</t>
  </si>
  <si>
    <t>Cross-Cultural Encounters on the Ukrainian Steppe : Settling the Molochna Basin, 1784-1861</t>
  </si>
  <si>
    <t>Staples, John R.</t>
  </si>
  <si>
    <t>DK508.9.M65.S73 2003</t>
  </si>
  <si>
    <t>947.7/3</t>
  </si>
  <si>
    <t>http://public.eblib.com/choice/PublicFullRecord.aspx?p=4671404</t>
  </si>
  <si>
    <t>Crossword Italian! : Have Fun Learning Italian by Solving Crossword Puzzles</t>
  </si>
  <si>
    <t>GV1507.C7.D364 1999</t>
  </si>
  <si>
    <t>http://public.eblib.com/choice/PublicFullRecord.aspx?p=4671405</t>
  </si>
  <si>
    <t>Crown and Ritual : The Royal Insignia of Ngoyo</t>
  </si>
  <si>
    <t>Volavka, Zdenka; Kriger, Colleen E.</t>
  </si>
  <si>
    <t>CR920.N94.V65 1998</t>
  </si>
  <si>
    <t>http://public.eblib.com/choice/PublicFullRecord.aspx?p=4671406</t>
  </si>
  <si>
    <t>Culture, Communication and National Identity : The Case of Canadian Television</t>
  </si>
  <si>
    <t>Collins, Richard; Collins, Richard</t>
  </si>
  <si>
    <t>HE8700.9.C2.C655 1990</t>
  </si>
  <si>
    <t>http://public.eblib.com/choice/PublicFullRecord.aspx?p=4671407</t>
  </si>
  <si>
    <t>Cultures and Ecologies : A Native Fishing Conflict on the Saugeen-Bruce Peninsula</t>
  </si>
  <si>
    <t>Koenig, Edwin C.</t>
  </si>
  <si>
    <t>History; Economics; Environmental Studies</t>
  </si>
  <si>
    <t>E78.O5.K646 2005</t>
  </si>
  <si>
    <t>http://public.eblib.com/choice/PublicFullRecord.aspx?p=4671408</t>
  </si>
  <si>
    <t>Dante, Cinema, and Television</t>
  </si>
  <si>
    <t>Iannucci, Amilcare; Iannucci, Amilcare A.</t>
  </si>
  <si>
    <t>PN1993.5.I88D37 2004</t>
  </si>
  <si>
    <t>http://public.eblib.com/choice/PublicFullRecord.aspx?p=4671409</t>
  </si>
  <si>
    <t>Dante : Contemporary Perspectives</t>
  </si>
  <si>
    <t>Iannucci, Amilcare</t>
  </si>
  <si>
    <t>PQ4390.D368 1997</t>
  </si>
  <si>
    <t>Dante Alighieri - Criticism and interpretation</t>
  </si>
  <si>
    <t>http://public.eblib.com/choice/PublicFullRecord.aspx?p=4671410</t>
  </si>
  <si>
    <t>Darwin Sex Status</t>
  </si>
  <si>
    <t>Barkow, Jerome</t>
  </si>
  <si>
    <t>GN365.9.B375 1989</t>
  </si>
  <si>
    <t>http://public.eblib.com/choice/PublicFullRecord.aspx?p=4671411</t>
  </si>
  <si>
    <t>Deadbeat Dads : Subjectivity and Social Construction</t>
  </si>
  <si>
    <t>Mandell, Deena</t>
  </si>
  <si>
    <t>HQ756.M363 2002</t>
  </si>
  <si>
    <t>http://public.eblib.com/choice/PublicFullRecord.aspx?p=4671412</t>
  </si>
  <si>
    <t>Deafened People : Adjustment and Support</t>
  </si>
  <si>
    <t>Aguayo, Miguel; Woodcock, Kathryn; Woodcock, Kathryn</t>
  </si>
  <si>
    <t>HV2380.W663 2000</t>
  </si>
  <si>
    <t>http://public.eblib.com/choice/PublicFullRecord.aspx?p=4671413</t>
  </si>
  <si>
    <t>Death and the Adolescent : A Resource Handbook for Bereavement Support Groups in Schools</t>
  </si>
  <si>
    <t>Baxter, Grant; Stuart, Wendy</t>
  </si>
  <si>
    <t>BF724.3.D43.B398 1999</t>
  </si>
  <si>
    <t>http://public.eblib.com/choice/PublicFullRecord.aspx?p=4671414</t>
  </si>
  <si>
    <t>Defying Conventional Wisdom : Political Movements and Popular Contention Against North American Free Trade</t>
  </si>
  <si>
    <t>Ayres, Jeffrey; Ayres, Jeffrey</t>
  </si>
  <si>
    <t>JL186.5.A974 1998</t>
  </si>
  <si>
    <t>Commerce exterieur - Reglementation - Canada - Participation des citoyens</t>
  </si>
  <si>
    <t>http://public.eblib.com/choice/PublicFullRecord.aspx?p=4671416</t>
  </si>
  <si>
    <t>Democracy off Balance : Freedom of Expression and Hate Propaganda Law in Canada</t>
  </si>
  <si>
    <t>Braun, Stefan</t>
  </si>
  <si>
    <t>http://public.eblib.com/choice/PublicFullRecord.aspx?p=4671418</t>
  </si>
  <si>
    <t>Democracy, Power, and Legitimacy : The Critical Theory of Jürgen Habermas</t>
  </si>
  <si>
    <t>Shabani, Omid Payrow</t>
  </si>
  <si>
    <t>JC263.H14P38 2003</t>
  </si>
  <si>
    <t>http://public.eblib.com/choice/PublicFullRecord.aspx?p=4671419</t>
  </si>
  <si>
    <t>Democratic Equality : What Went Wrong?</t>
  </si>
  <si>
    <t>Broadbent, Edward</t>
  </si>
  <si>
    <t>JC575.D466 2001</t>
  </si>
  <si>
    <t>http://public.eblib.com/choice/PublicFullRecord.aspx?p=4671420</t>
  </si>
  <si>
    <t>Denaturalizing Ecological Politics : Alienation from Nature from Rousseau to the Frankfurt School and Beyond</t>
  </si>
  <si>
    <t>Biro, Andrew</t>
  </si>
  <si>
    <t>GF21.B576 2005</t>
  </si>
  <si>
    <t>304.2/01</t>
  </si>
  <si>
    <t>http://public.eblib.com/choice/PublicFullRecord.aspx?p=4671421</t>
  </si>
  <si>
    <t>Designing Women : Gender and the Architectural Profession</t>
  </si>
  <si>
    <t>Adams, Annmarie; Tancred, Peta</t>
  </si>
  <si>
    <t>NA1997.A336 2000</t>
  </si>
  <si>
    <t>720/.82/0971</t>
  </si>
  <si>
    <t>http://public.eblib.com/choice/PublicFullRecord.aspx?p=4671422</t>
  </si>
  <si>
    <t>Desire and Discipline : Sex and Sexuality in the Premodern West</t>
  </si>
  <si>
    <t>Eisenbichler, Konrad; Murray, Jacqueline</t>
  </si>
  <si>
    <t>HQ18.E8.D475 1996</t>
  </si>
  <si>
    <t>306.7/094/09</t>
  </si>
  <si>
    <t>http://public.eblib.com/choice/PublicFullRecord.aspx?p=4671423</t>
  </si>
  <si>
    <t>Developing the Lonergan Legacy : Historical, Theoretical, and Existential Issues</t>
  </si>
  <si>
    <t>Crowe, S.J., Frederick E.; Vertin, Michael; Vertin, Michael</t>
  </si>
  <si>
    <t>http://public.eblib.com/choice/PublicFullRecord.aspx?p=4671424</t>
  </si>
  <si>
    <t>Dictionary of Prince Edward Island English</t>
  </si>
  <si>
    <t>Pratt, T.K.</t>
  </si>
  <si>
    <t>PE3245.P75.D538 1996</t>
  </si>
  <si>
    <t>http://public.eblib.com/choice/PublicFullRecord.aspx?p=4671427</t>
  </si>
  <si>
    <t>Dilemmas of Solidarity : Rethinking Distribution in the Canadian Federation</t>
  </si>
  <si>
    <t>Choudhry, Sujit; Gaudreault-Desbiens, Jean-Francois; Sossin, Lorne</t>
  </si>
  <si>
    <t>HC120.I5D55 2006</t>
  </si>
  <si>
    <t>http://public.eblib.com/choice/PublicFullRecord.aspx?p=4671428</t>
  </si>
  <si>
    <t>Discourses of Domination : Racial Bias in the Canadian English-Language Press</t>
  </si>
  <si>
    <t>Henry, Frances; Tator, Carol</t>
  </si>
  <si>
    <t>PN4914.R29.H467 2002</t>
  </si>
  <si>
    <t>http://public.eblib.com/choice/PublicFullRecord.aspx?p=4671430</t>
  </si>
  <si>
    <t>Discourses of Poverty : Social Reform and the Picaresque Novel in Early Modern Spain</t>
  </si>
  <si>
    <t>Cruz, Anne</t>
  </si>
  <si>
    <t>PQ6147.P5.C789 1999</t>
  </si>
  <si>
    <t>860.9/355</t>
  </si>
  <si>
    <t>http://public.eblib.com/choice/PublicFullRecord.aspx?p=4671431</t>
  </si>
  <si>
    <t>Discrimination and Denial : Systemic Racism in Ontario's Legal and Criminal Justice System, 1892-1961</t>
  </si>
  <si>
    <t>Mosher, Clayton James; Mosher, Clayton James</t>
  </si>
  <si>
    <t>KEO1167.5.M674 1998</t>
  </si>
  <si>
    <t>364/.089/009713</t>
  </si>
  <si>
    <t>http://public.eblib.com/choice/PublicFullRecord.aspx?p=4671432</t>
  </si>
  <si>
    <t>Disraeli's Disciple : The Scandalous Life of George Smythe</t>
  </si>
  <si>
    <t>Millar, Mary S.</t>
  </si>
  <si>
    <t>DA565.S865M54 2006</t>
  </si>
  <si>
    <t>http://public.eblib.com/choice/PublicFullRecord.aspx?p=4671433</t>
  </si>
  <si>
    <t>Divine Dialectic : Dante's Incarnational Poetry</t>
  </si>
  <si>
    <t>Raffa, Guy P.</t>
  </si>
  <si>
    <t>PQ4390.R344 2000</t>
  </si>
  <si>
    <t>http://public.eblib.com/choice/PublicFullRecord.aspx?p=4671434</t>
  </si>
  <si>
    <t>Documenting a Province/Chronique d'une province : The Archives of Ontario at 100/le centenaire des Archives publiques d'Ontario</t>
  </si>
  <si>
    <t>Archivist of Ontario</t>
  </si>
  <si>
    <t>History; Library Science</t>
  </si>
  <si>
    <t>CD3647.T67T74 2003</t>
  </si>
  <si>
    <t>http://public.eblib.com/choice/PublicFullRecord.aspx?p=4671435</t>
  </si>
  <si>
    <t>Doing Medicine Together : Germany and Russia Between the Wars</t>
  </si>
  <si>
    <t>Solomon, Susan Gross</t>
  </si>
  <si>
    <t>R854.G3.D656 2006</t>
  </si>
  <si>
    <t>610.72/43</t>
  </si>
  <si>
    <t>http://public.eblib.com/choice/PublicFullRecord.aspx?p=4671436</t>
  </si>
  <si>
    <t>Doing Time on the Outside : Deconstructing the Benevolent Community</t>
  </si>
  <si>
    <t>Maidment, MaDonna  R.</t>
  </si>
  <si>
    <t>HV6046.M35  2006</t>
  </si>
  <si>
    <t>http://public.eblib.com/choice/PublicFullRecord.aspx?p=4671437</t>
  </si>
  <si>
    <t>Dolls of Canada : A Reference Guide</t>
  </si>
  <si>
    <t>Strahlendorf, Evelyn Robson</t>
  </si>
  <si>
    <t>Engineering: Manufacturing; Engineering; Fine Arts</t>
  </si>
  <si>
    <t>NK4894.C2.S773 1990</t>
  </si>
  <si>
    <t>688.7/221/0971</t>
  </si>
  <si>
    <t>http://public.eblib.com/choice/PublicFullRecord.aspx?p=4671438</t>
  </si>
  <si>
    <t>Downsizing in Academic Libraries : The Canadian Experience</t>
  </si>
  <si>
    <t>Auster, Ethel; Taylor, Shauna</t>
  </si>
  <si>
    <t>Z675.U5.A978 2004</t>
  </si>
  <si>
    <t>025.1/977/0971</t>
  </si>
  <si>
    <t>http://public.eblib.com/choice/PublicFullRecord.aspx?p=4671439</t>
  </si>
  <si>
    <t>Downtown Canada : Writing Canadian Cities</t>
  </si>
  <si>
    <t>Edwards, Justin D.; Ivison, Douglas</t>
  </si>
  <si>
    <t>PR9185.5.C57D69 2005</t>
  </si>
  <si>
    <t>http://public.eblib.com/choice/PublicFullRecord.aspx?p=4671440</t>
  </si>
  <si>
    <t>Drama Education in the Lives of Girls : Imagining Possibilities</t>
  </si>
  <si>
    <t>Gallagher, Kathleen</t>
  </si>
  <si>
    <t>N1701.G355 2001</t>
  </si>
  <si>
    <t>792/.071/2</t>
  </si>
  <si>
    <t>http://public.eblib.com/choice/PublicFullRecord.aspx?p=4671441</t>
  </si>
  <si>
    <t>The Drama of  Democracy : Contention and Dispute in Community Planning</t>
  </si>
  <si>
    <t>Grant, Jill</t>
  </si>
  <si>
    <t>HT166.G736 1994</t>
  </si>
  <si>
    <t>307.1/216/09716225</t>
  </si>
  <si>
    <t>http://public.eblib.com/choice/PublicFullRecord.aspx?p=4671442</t>
  </si>
  <si>
    <t>Drama, Performance, and Polity in Pre-Cromwellian Ireland</t>
  </si>
  <si>
    <t>Fletcher, Alan J.</t>
  </si>
  <si>
    <t>PN2601.F548 2000</t>
  </si>
  <si>
    <t>792/.09417</t>
  </si>
  <si>
    <t>http://public.eblib.com/choice/PublicFullRecord.aspx?p=4671443</t>
  </si>
  <si>
    <t>Dramatic Texts and Records of Britain : A Chronological Topography</t>
  </si>
  <si>
    <t>Lancashire, Ian</t>
  </si>
  <si>
    <t>PN2587.L363 1984</t>
  </si>
  <si>
    <t>792/.0941</t>
  </si>
  <si>
    <t>http://public.eblib.com/choice/PublicFullRecord.aspx?p=4671444</t>
  </si>
  <si>
    <t>Drawn from Life : Science and Art in the Portrayal of the New World</t>
  </si>
  <si>
    <t>Dickenson, Victoria</t>
  </si>
  <si>
    <t>Q222.D535 1998</t>
  </si>
  <si>
    <t>508/.022/2</t>
  </si>
  <si>
    <t>http://public.eblib.com/choice/PublicFullRecord.aspx?p=4671445</t>
  </si>
  <si>
    <t>Due Process and Victims' Rights : The New Law and Politics of Criminal Justice</t>
  </si>
  <si>
    <t>KE9443.R633 1999</t>
  </si>
  <si>
    <t>344.71/03288</t>
  </si>
  <si>
    <t>http://public.eblib.com/choice/PublicFullRecord.aspx?p=4671446</t>
  </si>
  <si>
    <t>Durable Peace : Challenges for Peacebuilding in Africa</t>
  </si>
  <si>
    <t>Ali, Taisier, M.; Matthews, Robert, O.; Matthews, Robert O.; Ali, Taisier M.</t>
  </si>
  <si>
    <t>DT30.5.D873 2004</t>
  </si>
  <si>
    <t>327.1/72/096</t>
  </si>
  <si>
    <t>http://public.eblib.com/choice/PublicFullRecord.aspx?p=4671447</t>
  </si>
  <si>
    <t>E.J. Pratt : Complete Poems</t>
  </si>
  <si>
    <t>Collected Works of E.J.Pratt</t>
  </si>
  <si>
    <t>Pratt, E.J.; Djwa, Sandra; Moyles, R.G.</t>
  </si>
  <si>
    <t>PR9199.3.P7.P738 1989</t>
  </si>
  <si>
    <t>http://public.eblib.com/choice/PublicFullRecord.aspx?p=4671449</t>
  </si>
  <si>
    <t>Early Canadian Printing : A Supplement to Marie Tremaine's 'A Bibliography of Canadian Imprints, 1751 - 1800'</t>
  </si>
  <si>
    <t>Fleming, Patricia Lockhart; Alston, Sandra</t>
  </si>
  <si>
    <t>Z1365.T74 1999</t>
  </si>
  <si>
    <t>http://public.eblib.com/choice/PublicFullRecord.aspx?p=4671450</t>
  </si>
  <si>
    <t>Early Christian Chapels in the West : Decoration, Function, and Patronage</t>
  </si>
  <si>
    <t>Mackie, Gillian; Mackie, Gillian</t>
  </si>
  <si>
    <t>NA5613.M32 2003</t>
  </si>
  <si>
    <t>http://public.eblib.com/choice/PublicFullRecord.aspx?p=4671451</t>
  </si>
  <si>
    <t>Early Modern Catholicism : Essays in Honour of John W. O'Malley, S.J.</t>
  </si>
  <si>
    <t>Comerford, Kathleen M.; Pabel, Hilmar; Comerford, Kathleen M.</t>
  </si>
  <si>
    <t>BX1305.E275 2001</t>
  </si>
  <si>
    <t>282/.09/03</t>
  </si>
  <si>
    <t>http://public.eblib.com/choice/PublicFullRecord.aspx?p=4671452</t>
  </si>
  <si>
    <t>East Asia in Transition : Economic and Security Challenges</t>
  </si>
  <si>
    <t>Safarian, A. E.; Dobson, Wendy; Safarian, A.E.; Safarian, A. E.</t>
  </si>
  <si>
    <t>HC460.5.E278 2002</t>
  </si>
  <si>
    <t>Financial institutions - East Asia</t>
  </si>
  <si>
    <t>http://public.eblib.com/choice/PublicFullRecord.aspx?p=4671453</t>
  </si>
  <si>
    <t>East Asian Capitalism : Diversity and Dynamism</t>
  </si>
  <si>
    <t>HD70.E22.E278 1996</t>
  </si>
  <si>
    <t>Industrial organization - East Asia</t>
  </si>
  <si>
    <t>http://public.eblib.com/choice/PublicFullRecord.aspx?p=4671454</t>
  </si>
  <si>
    <t>Ecological Education in Everyday Life : ALPHA 2000</t>
  </si>
  <si>
    <t>Hautecoeur, Jean-Paul; Canadian Commission for UNESCO Staff; UNESCO, Institute for Education Staff</t>
  </si>
  <si>
    <t>GE70  |b .E265 2002</t>
  </si>
  <si>
    <t>http://public.eblib.com/choice/PublicFullRecord.aspx?p=4671455</t>
  </si>
  <si>
    <t>Economics of  J S Mill</t>
  </si>
  <si>
    <t>HB103.M7.H655 1985</t>
  </si>
  <si>
    <t>330.15/3</t>
  </si>
  <si>
    <t>http://public.eblib.com/choice/PublicFullRecord.aspx?p=4671456</t>
  </si>
  <si>
    <t>Eco's Chaosmos : From the Middle Ages to Postmodernity</t>
  </si>
  <si>
    <t>Farronato, Cristina</t>
  </si>
  <si>
    <t>PQ4865.C6.S783 2003</t>
  </si>
  <si>
    <t>853/.914</t>
  </si>
  <si>
    <t>http://public.eblib.com/choice/PublicFullRecord.aspx?p=4671457</t>
  </si>
  <si>
    <t>Editing Early and Historical Atlases</t>
  </si>
  <si>
    <t>Conference on Editorial Problems</t>
  </si>
  <si>
    <t>Winearls, Joan</t>
  </si>
  <si>
    <t>GA308.C664 1995</t>
  </si>
  <si>
    <t>912.01/4</t>
  </si>
  <si>
    <t>http://public.eblib.com/choice/PublicFullRecord.aspx?p=4671458</t>
  </si>
  <si>
    <t>Editing Robert Grosseteste</t>
  </si>
  <si>
    <t>Goering, Joseph; Mackie, Evelyn</t>
  </si>
  <si>
    <t>B765.G7</t>
  </si>
  <si>
    <t>http://public.eblib.com/choice/PublicFullRecord.aspx?p=4671459</t>
  </si>
  <si>
    <t>Editing Texts from the Age of Erasmus</t>
  </si>
  <si>
    <t>Rummel, Erika</t>
  </si>
  <si>
    <t>PN162.C664 1996</t>
  </si>
  <si>
    <t>808/.027</t>
  </si>
  <si>
    <t>http://public.eblib.com/choice/PublicFullRecord.aspx?p=4671460</t>
  </si>
  <si>
    <t>Educational Outcomes for the Canadian Workplace : New Frameworks for Policy and Research</t>
  </si>
  <si>
    <t>Gaskell, Jane; Rubenson, Kjell</t>
  </si>
  <si>
    <t>HC120.E47.E383 2004</t>
  </si>
  <si>
    <t>331.12/0971</t>
  </si>
  <si>
    <t>http://public.eblib.com/choice/PublicFullRecord.aspx?p=4671461</t>
  </si>
  <si>
    <t>Educational Regimes and Anglo-American Democracy</t>
  </si>
  <si>
    <t>Manzer, Ronald; Manzer, Ronald</t>
  </si>
  <si>
    <t>LC71.M369 2003</t>
  </si>
  <si>
    <t>http://public.eblib.com/choice/PublicFullRecord.aspx?p=4671462</t>
  </si>
  <si>
    <t>Einarr Skúlason's Geisli : A Critical Edition</t>
  </si>
  <si>
    <t>Chase, Martin; Chase, Martin</t>
  </si>
  <si>
    <t>PT7328.E47.E363 2005</t>
  </si>
  <si>
    <t>839/.61</t>
  </si>
  <si>
    <t>http://public.eblib.com/choice/PublicFullRecord.aspx?p=4671463</t>
  </si>
  <si>
    <t>Eldorado : Canada's National Uranium Company</t>
  </si>
  <si>
    <t>HD9539.U73.B684 1984</t>
  </si>
  <si>
    <t>338.7/6223492/0971</t>
  </si>
  <si>
    <t>http://public.eblib.com/choice/PublicFullRecord.aspx?p=4671464</t>
  </si>
  <si>
    <t>Elizabeth Jane Weston : Collected Writings</t>
  </si>
  <si>
    <t>Weston, Elizabeth Jane; Cheney, Donald; Hosington, Brenda; Cheney, Donald</t>
  </si>
  <si>
    <t>PA8595.W454.E459 2000</t>
  </si>
  <si>
    <t>871/.04</t>
  </si>
  <si>
    <t>Prague (Czech Republic) - Intellectual life</t>
  </si>
  <si>
    <t>http://public.eblib.com/choice/PublicFullRecord.aspx?p=4671465</t>
  </si>
  <si>
    <t>Emergence and Convergence : Qualitative Novelty and the Unity of Knowledge</t>
  </si>
  <si>
    <t>Q175.B864 2003</t>
  </si>
  <si>
    <t>001/.01</t>
  </si>
  <si>
    <t>http://public.eblib.com/choice/PublicFullRecord.aspx?p=4671466</t>
  </si>
  <si>
    <t>Emigre Feminism : Transnational Perspectives</t>
  </si>
  <si>
    <t>HQ1106.E654 1999</t>
  </si>
  <si>
    <t>http://public.eblib.com/choice/PublicFullRecord.aspx?p=4671467</t>
  </si>
  <si>
    <t>Empowering Children : Children's Rights Education as a Pathway to Citizenship</t>
  </si>
  <si>
    <t>HQ789.H694 2005</t>
  </si>
  <si>
    <t>323.3/520971</t>
  </si>
  <si>
    <t>http://public.eblib.com/choice/PublicFullRecord.aspx?p=4671468</t>
  </si>
  <si>
    <t>Empowering the Feminine : The Narratives of Mary Robinson, Jane West, and Amelia Opie, 1796-1812</t>
  </si>
  <si>
    <t>Ty, Eleanor</t>
  </si>
  <si>
    <t>PR858.W6.T93 1998</t>
  </si>
  <si>
    <t>http://public.eblib.com/choice/PublicFullRecord.aspx?p=4671469</t>
  </si>
  <si>
    <t>Enchanted Ground : Reimagining John Dryden</t>
  </si>
  <si>
    <t>Lewis, Jayne Elizabeth; Lewis, Jayne; Novak, Maximillian E.; William Andrews Clark Memorial Library Staff; University of California, Los Angeles, Center for 17th- &amp; 18th- Century Studies Staff</t>
  </si>
  <si>
    <t>PR3424.E55 2004</t>
  </si>
  <si>
    <t>821/.4</t>
  </si>
  <si>
    <t>http://public.eblib.com/choice/PublicFullRecord.aspx?p=4671470</t>
  </si>
  <si>
    <t>Enemies Within : Italian and Other Internees in Canada and Abroad</t>
  </si>
  <si>
    <t>Iacovetta, Franca; Perin, Roberto; Principe, Angelo; Principe, Angelo</t>
  </si>
  <si>
    <t>D805.C2.E546 2000</t>
  </si>
  <si>
    <t>Italians - Canada - History</t>
  </si>
  <si>
    <t>http://public.eblib.com/choice/PublicFullRecord.aspx?p=4671474</t>
  </si>
  <si>
    <t>Engendering The State : Family, Work, and Welfare in Canada</t>
  </si>
  <si>
    <t>HV108.C475 2000</t>
  </si>
  <si>
    <t>Aide sociale - Canada - Histoire - 20e siecle</t>
  </si>
  <si>
    <t>http://public.eblib.com/choice/PublicFullRecord.aspx?p=4671475</t>
  </si>
  <si>
    <t>England's Disgrace : J.S. Mill and the Irish Question</t>
  </si>
  <si>
    <t>Kinzer, Bruce L.</t>
  </si>
  <si>
    <t>DA950.K569 2001</t>
  </si>
  <si>
    <t>http://public.eblib.com/choice/PublicFullRecord.aspx?p=4671476</t>
  </si>
  <si>
    <t>The English Emblem Tradition</t>
  </si>
  <si>
    <t>Index Emblematicus</t>
  </si>
  <si>
    <t>Daly, Peter; Duer, Lesley T.; Raspa, Anthony</t>
  </si>
  <si>
    <t>PR531.E545 1988</t>
  </si>
  <si>
    <t>http://public.eblib.com/choice/PublicFullRecord.aspx?p=4671477</t>
  </si>
  <si>
    <t>Equal at the Creation : Sexism, Society, and Christian Thought</t>
  </si>
  <si>
    <t>Hegy, Pierre; Martos, Joseph; H?gy, Pierre</t>
  </si>
  <si>
    <t>BV639.W7.E683 1998</t>
  </si>
  <si>
    <t>261.8/34</t>
  </si>
  <si>
    <t>http://public.eblib.com/choice/PublicFullRecord.aspx?p=4671478</t>
  </si>
  <si>
    <t>Erasmus' Annotations on the  New Testamen</t>
  </si>
  <si>
    <t>PA8518.R866 1986</t>
  </si>
  <si>
    <t>http://public.eblib.com/choice/PublicFullRecord.aspx?p=4671479</t>
  </si>
  <si>
    <t>Erasmus as a Translator of the Classics</t>
  </si>
  <si>
    <t>PA8518.R866 1985</t>
  </si>
  <si>
    <t>http://public.eblib.com/choice/PublicFullRecord.aspx?p=4671480</t>
  </si>
  <si>
    <t>Erasmus in the Twentieth Century : Interpretations 1920-2000</t>
  </si>
  <si>
    <t>Mansfield, Bruce</t>
  </si>
  <si>
    <t>PA8518.M367 2003</t>
  </si>
  <si>
    <t>878/.0409</t>
  </si>
  <si>
    <t>http://public.eblib.com/choice/PublicFullRecord.aspx?p=4671481</t>
  </si>
  <si>
    <t>Erasmus on Women</t>
  </si>
  <si>
    <t>B785.E62.E737 1996</t>
  </si>
  <si>
    <t>http://public.eblib.com/choice/PublicFullRecord.aspx?p=4671482</t>
  </si>
  <si>
    <t>Erasmus : His Life, Works, and Influence</t>
  </si>
  <si>
    <t>Augustijn, Cornelis; Grayson, J.C.; Grayson, J. C.</t>
  </si>
  <si>
    <t>PA8518.A948 1995</t>
  </si>
  <si>
    <t>http://public.eblib.com/choice/PublicFullRecord.aspx?p=4671483</t>
  </si>
  <si>
    <t>Ernest Lapointe and Quebec's Influence on Canada's Foreign Policy</t>
  </si>
  <si>
    <t>F1034.L34.M334 1999</t>
  </si>
  <si>
    <t>http://public.eblib.com/choice/PublicFullRecord.aspx?p=4671484</t>
  </si>
  <si>
    <t>Ernest Lapointe : Mackenzie King's Great Quebec Lieutenant</t>
  </si>
  <si>
    <t>Betcherman, Lita-Rose</t>
  </si>
  <si>
    <t>F1034.L34.B483 2002</t>
  </si>
  <si>
    <t>971.063/2/092</t>
  </si>
  <si>
    <t>http://public.eblib.com/choice/PublicFullRecord.aspx?p=4671485</t>
  </si>
  <si>
    <t>Essays on Life Writing : From Genre to Critical Practice</t>
  </si>
  <si>
    <t>Kadar, Marlene</t>
  </si>
  <si>
    <t>CT25.E873 1992</t>
  </si>
  <si>
    <t>http://public.eblib.com/choice/PublicFullRecord.aspx?p=4671486</t>
  </si>
  <si>
    <t>Establishing Our Boundaries : English-Canadian Theatre Criticism</t>
  </si>
  <si>
    <t>Wagner, Anton; Wagner, Anton</t>
  </si>
  <si>
    <t>PN1707.E883 1999</t>
  </si>
  <si>
    <t>792.9/5/0971</t>
  </si>
  <si>
    <t>http://public.eblib.com/choice/PublicFullRecord.aspx?p=4671487</t>
  </si>
  <si>
    <t>Ethel Wilson : A Critical Biography</t>
  </si>
  <si>
    <t>PR9199.3.W4984.S768 2003</t>
  </si>
  <si>
    <t>http://public.eblib.com/choice/PublicFullRecord.aspx?p=4671489</t>
  </si>
  <si>
    <t>Ethics and Capitalism</t>
  </si>
  <si>
    <t>Bishop, John Douglas</t>
  </si>
  <si>
    <t>HB501.E845 2000</t>
  </si>
  <si>
    <t>http://public.eblib.com/choice/PublicFullRecord.aspx?p=4671490</t>
  </si>
  <si>
    <t>Ethnicity, Politics, and Public Policy : Case Studies in Canadian Diversity</t>
  </si>
  <si>
    <t>Troper, Harold; Weinfeld, Morton</t>
  </si>
  <si>
    <t>F1035.A1.E846 1999</t>
  </si>
  <si>
    <t>Ethnic attitudes - Canada</t>
  </si>
  <si>
    <t>http://public.eblib.com/choice/PublicFullRecord.aspx?p=4671491</t>
  </si>
  <si>
    <t>European Literary Careers : The Author from Antiquity to the Renaissance</t>
  </si>
  <si>
    <t>Cheney, Patrick; de Armas, Frederick A.</t>
  </si>
  <si>
    <t>PN501.E976 2002</t>
  </si>
  <si>
    <t>809/.894</t>
  </si>
  <si>
    <t>http://public.eblib.com/choice/PublicFullRecord.aspx?p=4671492</t>
  </si>
  <si>
    <t>Everybody Does It! : Crime by the Public</t>
  </si>
  <si>
    <t>Gabor, Thomas</t>
  </si>
  <si>
    <t>HV6080.G336 1998</t>
  </si>
  <si>
    <t>http://public.eblib.com/choice/PublicFullRecord.aspx?p=4671493</t>
  </si>
  <si>
    <t>Executive Styles in Canada : Cabinet Structures and Leadership Practices in Canadian Government</t>
  </si>
  <si>
    <t>Bernier, Luc; Brownsey, Keith; Howlett, Michael; Institute of Public Administration of Canada Staff</t>
  </si>
  <si>
    <t>JL97.E943 2005</t>
  </si>
  <si>
    <t>352.23/0971</t>
  </si>
  <si>
    <t>http://public.eblib.com/choice/PublicFullRecord.aspx?p=4671494</t>
  </si>
  <si>
    <t>Exiled From Light : Divine Law, Morality, and Violence in Milton's Samson Agonistes</t>
  </si>
  <si>
    <t>Wood, Derek N.C.</t>
  </si>
  <si>
    <t>PR3566.W663 2001</t>
  </si>
  <si>
    <t>822/.4</t>
  </si>
  <si>
    <t>http://public.eblib.com/choice/PublicFullRecord.aspx?p=4671495</t>
  </si>
  <si>
    <t>Exorcism and Its Texts : Subjectivity in Early Modern Literature of England and Spain</t>
  </si>
  <si>
    <t>Kallendorf, Hilaire</t>
  </si>
  <si>
    <t>PR408.E</t>
  </si>
  <si>
    <t>http://public.eblib.com/choice/PublicFullRecord.aspx?p=4671496</t>
  </si>
  <si>
    <t>Expositions of  the  Psalms : Collected Works of Erasmus, Vol. 63</t>
  </si>
  <si>
    <t>Erasmus, Desiderius; Baker-Smith, Dominic; Heath, Michael</t>
  </si>
  <si>
    <t>BS1429.E976 1997</t>
  </si>
  <si>
    <t>http://public.eblib.com/choice/PublicFullRecord.aspx?p=4671498</t>
  </si>
  <si>
    <t>Eye of the Heart : Knowing the Human Good in the Euthanasia Debate</t>
  </si>
  <si>
    <t>Sullivan, William F.</t>
  </si>
  <si>
    <t>R726.S855 2005</t>
  </si>
  <si>
    <t>http://public.eblib.com/choice/PublicFullRecord.aspx?p=4671500</t>
  </si>
  <si>
    <t>Ezra Pound and Confucianism : Remaking Humanism in the Face of Modernity</t>
  </si>
  <si>
    <t>Lan, Feng</t>
  </si>
  <si>
    <t>http://public.eblib.com/choice/PublicFullRecord.aspx?p=4671501</t>
  </si>
  <si>
    <t>Families of the King : Writing Identity in the Anglo-Saxon Chronicle</t>
  </si>
  <si>
    <t>Sheppard, Alice</t>
  </si>
  <si>
    <t>DA150.S54 2004</t>
  </si>
  <si>
    <t>http://public.eblib.com/choice/PublicFullRecord.aspx?p=4671502</t>
  </si>
  <si>
    <t>Fashion : A Canadian Perspective</t>
  </si>
  <si>
    <t>Royal Ontario Museum; Royal Ontario Museum</t>
  </si>
  <si>
    <t>GT620.F374 2004</t>
  </si>
  <si>
    <t>Vetements - Industrie et commerce - Canada - Histoire</t>
  </si>
  <si>
    <t>http://public.eblib.com/choice/PublicFullRecord.aspx?p=4671503</t>
  </si>
  <si>
    <t>Federal-Provincial Diplomacy : The Making of Recent Policy in Canada</t>
  </si>
  <si>
    <t>Simeon, Richard</t>
  </si>
  <si>
    <t>http://public.eblib.com/choice/PublicFullRecord.aspx?p=4671506</t>
  </si>
  <si>
    <t>Federico Fellini : Contemporary Perspectives</t>
  </si>
  <si>
    <t>Burke, Francis; Waller, Marguerite  R.</t>
  </si>
  <si>
    <t>PN1998.3.F45.F434 2002</t>
  </si>
  <si>
    <t>791.43/0233/092</t>
  </si>
  <si>
    <t>http://public.eblib.com/choice/PublicFullRecord.aspx?p=4671507</t>
  </si>
  <si>
    <t>Female Enterprise in the New Economy</t>
  </si>
  <si>
    <t>Hughes, Karen</t>
  </si>
  <si>
    <t>HD6072.6.C2H84 2005</t>
  </si>
  <si>
    <t>http://public.eblib.com/choice/PublicFullRecord.aspx?p=4671508</t>
  </si>
  <si>
    <t>Festivals and Legends</t>
  </si>
  <si>
    <t>Robertson, Noel</t>
  </si>
  <si>
    <t>DF78.R634 1996</t>
  </si>
  <si>
    <t>http://public.eblib.com/choice/PublicFullRecord.aspx?p=4671509</t>
  </si>
  <si>
    <t>Figured Worlds : Ontological Obstacles in Intercultural Relations</t>
  </si>
  <si>
    <t>Clammer, John; Poirier, Sylvie; Schwimmer, Eric</t>
  </si>
  <si>
    <t>GN496</t>
  </si>
  <si>
    <t>http://public.eblib.com/choice/PublicFullRecord.aspx?p=4671513</t>
  </si>
  <si>
    <t>Fiscal Frameworks and Financial Systems in East Asia : How Much Do They Matter?</t>
  </si>
  <si>
    <t>Dobson, Wendy; Dobson, Wendy</t>
  </si>
  <si>
    <t>HG187.E37.F573 1998</t>
  </si>
  <si>
    <t>http://public.eblib.com/choice/PublicFullRecord.aspx?p=4671514</t>
  </si>
  <si>
    <t>Fish, Law, and Colonialism : The Legal Capture of Salmon in British Columbia</t>
  </si>
  <si>
    <t>KF26.5.H377 2001</t>
  </si>
  <si>
    <t>20th century</t>
  </si>
  <si>
    <t>http://public.eblib.com/choice/PublicFullRecord.aspx?p=4671515</t>
  </si>
  <si>
    <t>Fishers' Craft and Lettered Art : Tracts on Fishing from the End of the Middle Ages</t>
  </si>
  <si>
    <t>Hoffmann, Richard C.</t>
  </si>
  <si>
    <t>SH603.H644 1997</t>
  </si>
  <si>
    <t>http://public.eblib.com/choice/PublicFullRecord.aspx?p=4671516</t>
  </si>
  <si>
    <t>Fishing Places, Fishing People : Traditions and Issues in Canadian Small-Scale Fisheries</t>
  </si>
  <si>
    <t>Newell, Dianne; Ommer, Rosemary; Newell, Dianne</t>
  </si>
  <si>
    <t>SH223.F574 1999</t>
  </si>
  <si>
    <t>338.3/727/0971</t>
  </si>
  <si>
    <t>Fishery management - Canada - History</t>
  </si>
  <si>
    <t>http://public.eblib.com/choice/PublicFullRecord.aspx?p=4671517</t>
  </si>
  <si>
    <t>Fitting Sentences : Identity in Nineteenth- and Twentieth-Century Prison Narratives</t>
  </si>
  <si>
    <t>Haslam, Jason; Haslam, Jason</t>
  </si>
  <si>
    <t>PN6069.P7.H375 2005</t>
  </si>
  <si>
    <t>828/.08</t>
  </si>
  <si>
    <t>http://public.eblib.com/choice/PublicFullRecord.aspx?p=4671518</t>
  </si>
  <si>
    <t>Five-Part Invention : A History of Literary History in Canada</t>
  </si>
  <si>
    <t>http://public.eblib.com/choice/PublicFullRecord.aspx?p=4671519</t>
  </si>
  <si>
    <t>Forging Business-Labour Partnerships : The Emergence of Sector Councils in Canada</t>
  </si>
  <si>
    <t>Gunderson, Morley; Sharpe, Andrew</t>
  </si>
  <si>
    <t>HD8102.F674 1998</t>
  </si>
  <si>
    <t>http://public.eblib.com/choice/PublicFullRecord.aspx?p=4671524</t>
  </si>
  <si>
    <t>Founding Fathers : The Celebration of Champlain and Laval in the Streets of Quebec, 1878-1908</t>
  </si>
  <si>
    <t>F1054.5.Q3.R835 2003</t>
  </si>
  <si>
    <t>971.4/47103</t>
  </si>
  <si>
    <t>http://public.eblib.com/choice/PublicFullRecord.aspx?p=4671525</t>
  </si>
  <si>
    <t>Four Ages of Understanding : The First Postmodern Survey of Philosophy from Ancient Times to the Turn of the Twenty-First Century</t>
  </si>
  <si>
    <t>Deely, John</t>
  </si>
  <si>
    <t>B72.D445 2001</t>
  </si>
  <si>
    <t>http://public.eblib.com/choice/PublicFullRecord.aspx?p=4671526</t>
  </si>
  <si>
    <t>Fred Cumberland : Building the Victorian Dream</t>
  </si>
  <si>
    <t>Simmins, Geoffrey</t>
  </si>
  <si>
    <t>NA40.S566 1997</t>
  </si>
  <si>
    <t>http://public.eblib.com/choice/PublicFullRecord.aspx?p=4671528</t>
  </si>
  <si>
    <t>Friends, Citizens, Strangers : Essays on Where We Belong</t>
  </si>
  <si>
    <t>HM771.V476 2005</t>
  </si>
  <si>
    <t>http://public.eblib.com/choice/PublicFullRecord.aspx?p=4671529</t>
  </si>
  <si>
    <t>From Fascism to Democracy : Culture and Politics in the Italian Election of 1948</t>
  </si>
  <si>
    <t>Ventresca, Robert</t>
  </si>
  <si>
    <t>DG577.5.V46 2004</t>
  </si>
  <si>
    <t>http://public.eblib.com/choice/PublicFullRecord.aspx?p=4671530</t>
  </si>
  <si>
    <t>Frontier and Metropolis : Regions, Cities, and Identities in Canada before 1914</t>
  </si>
  <si>
    <t>Careless, J.M.S.</t>
  </si>
  <si>
    <t>HT127.C3.C374 1989</t>
  </si>
  <si>
    <t>http://public.eblib.com/choice/PublicFullRecord.aspx?p=4671532</t>
  </si>
  <si>
    <t>Frye and the Word : Religious Contexts in the Writings of Northrop Frye</t>
  </si>
  <si>
    <t>Donaldson, Jeffery; Mendelson, Alan</t>
  </si>
  <si>
    <t>PN75.F7.F794 2004</t>
  </si>
  <si>
    <t>http://public.eblib.com/choice/PublicFullRecord.aspx?p=4671533</t>
  </si>
  <si>
    <t>'Full of all knowledg' : George Herbert's Country Parson and Early Modern Social Discourse</t>
  </si>
  <si>
    <t>Cooley, Ronald W.</t>
  </si>
  <si>
    <t>PR3508.C665 2004</t>
  </si>
  <si>
    <t>http://public.eblib.com/choice/PublicFullRecord.aspx?p=4671534</t>
  </si>
  <si>
    <t>Galicia : A Historical Survey and Bibliographic Guide</t>
  </si>
  <si>
    <t>Magocsi, Paul Robert</t>
  </si>
  <si>
    <t>DK511.G14.M346 1990</t>
  </si>
  <si>
    <t>943.8/6</t>
  </si>
  <si>
    <t>http://public.eblib.com/choice/PublicFullRecord.aspx?p=4671535</t>
  </si>
  <si>
    <t>Gender and Community : Muslim Women's Rights in India</t>
  </si>
  <si>
    <t>Narain, Vrinda</t>
  </si>
  <si>
    <t>HQ1236.5 I4.N373 2001</t>
  </si>
  <si>
    <t>Droit islamique - Inde</t>
  </si>
  <si>
    <t>http://public.eblib.com/choice/PublicFullRecord.aspx?p=4671538</t>
  </si>
  <si>
    <t>Gender Conflicts : New Essays in Women's History</t>
  </si>
  <si>
    <t>Iacovetta, Franca; Valverde, Mariana; Iacovetta, Franca; Valverde, Mariana</t>
  </si>
  <si>
    <t>HQ1453.G463 1992</t>
  </si>
  <si>
    <t>Ontario</t>
  </si>
  <si>
    <t>http://public.eblib.com/choice/PublicFullRecord.aspx?p=4671539</t>
  </si>
  <si>
    <t>Gender, Race, and Nation : A Global Perspective</t>
  </si>
  <si>
    <t>Dhruvarajan, Vanaja; Vickers, Jill</t>
  </si>
  <si>
    <t>HQ1161.D478 2002</t>
  </si>
  <si>
    <t>Femmes issues des minorites</t>
  </si>
  <si>
    <t>http://public.eblib.com/choice/PublicFullRecord.aspx?p=4671540</t>
  </si>
  <si>
    <t>Gender, the State, and Social Reproduction : Household Insecurity in Neo-Liberal Times</t>
  </si>
  <si>
    <t>HC117.O6B49 2006</t>
  </si>
  <si>
    <t>http://public.eblib.com/choice/PublicFullRecord.aspx?p=4671541</t>
  </si>
  <si>
    <t>Gendered States : Women, Unemployment Insurance, and the Political Economy of the Welfare State in Canada, 1945-1997</t>
  </si>
  <si>
    <t>Porter, Ann</t>
  </si>
  <si>
    <t>HD7096.C2.P678 2003</t>
  </si>
  <si>
    <t>368.4/4/00820971</t>
  </si>
  <si>
    <t>http://public.eblib.com/choice/PublicFullRecord.aspx?p=4671542</t>
  </si>
  <si>
    <t>Gendering the Nation : Canadian Women's Cinema</t>
  </si>
  <si>
    <t>Armatage, Kay; Banning, Kass; Longfellow, Brenda</t>
  </si>
  <si>
    <t>PN1998.2.G463 1999</t>
  </si>
  <si>
    <t>791.43/082/0971</t>
  </si>
  <si>
    <t>http://public.eblib.com/choice/PublicFullRecord.aspx?p=4671543</t>
  </si>
  <si>
    <t>Genre and Generic Change in English Comedy 1660-1710</t>
  </si>
  <si>
    <t>Corman, Brian</t>
  </si>
  <si>
    <t>PR698.C6.C676 1993</t>
  </si>
  <si>
    <t>822/.05230904</t>
  </si>
  <si>
    <t>http://public.eblib.com/choice/PublicFullRecord.aspx?p=4671544</t>
  </si>
  <si>
    <t>Gentlemen Engineers : The Careers of Frank and Walter Shanly</t>
  </si>
  <si>
    <t>White, Richard</t>
  </si>
  <si>
    <t>TA139.W458 1999</t>
  </si>
  <si>
    <t>624/.092/2713</t>
  </si>
  <si>
    <t>http://public.eblib.com/choice/PublicFullRecord.aspx?p=4671545</t>
  </si>
  <si>
    <t>George Bentham : Autobiography, 1800-1834</t>
  </si>
  <si>
    <t>Bentham, George; Filipiuk, Marion</t>
  </si>
  <si>
    <t>QK31.B5.G467 1997</t>
  </si>
  <si>
    <t>580/.92</t>
  </si>
  <si>
    <t>http://public.eblib.com/choice/PublicFullRecord.aspx?p=4671546</t>
  </si>
  <si>
    <t>George Grant and the Subversion of Modernity : Art, Philosophy, Religion, Politics and Education</t>
  </si>
  <si>
    <t>Davis, Arthur</t>
  </si>
  <si>
    <t>B995.G724.G467 1996</t>
  </si>
  <si>
    <t>http://public.eblib.com/choice/PublicFullRecord.aspx?p=4671547</t>
  </si>
  <si>
    <t>George Grant and the Theology of the Cross : The Christian Foundations of His Thought</t>
  </si>
  <si>
    <t>Athanasiadis, Harris</t>
  </si>
  <si>
    <t>B995.G724.A843 2001</t>
  </si>
  <si>
    <t>http://public.eblib.com/choice/PublicFullRecord.aspx?p=4671548</t>
  </si>
  <si>
    <t>George Grant : A Biography</t>
  </si>
  <si>
    <t>Christian, William</t>
  </si>
  <si>
    <t>B995.G724.C475 1994</t>
  </si>
  <si>
    <t>http://public.eblib.com/choice/PublicFullRecord.aspx?p=4671549</t>
  </si>
  <si>
    <t>George Grant : Selected Letters</t>
  </si>
  <si>
    <t>Grant, George; Christian, William</t>
  </si>
  <si>
    <t>http://public.eblib.com/choice/PublicFullRecord.aspx?p=4671550</t>
  </si>
  <si>
    <t>German Nachspiel in 18 Century</t>
  </si>
  <si>
    <t>PT643.J646 1991</t>
  </si>
  <si>
    <t>832/.05230906</t>
  </si>
  <si>
    <t>http://public.eblib.com/choice/PublicFullRecord.aspx?p=4671551</t>
  </si>
  <si>
    <t>Getting it Wrong : How Canadians Forgot Their Past and Imperilled Confederation</t>
  </si>
  <si>
    <t>Romney, Paul</t>
  </si>
  <si>
    <t>JL27.R666 1999</t>
  </si>
  <si>
    <t>http://public.eblib.com/choice/PublicFullRecord.aspx?p=4671552</t>
  </si>
  <si>
    <t>Ghosts and Shadows : Construction of Identity and Community in an African Diaspora</t>
  </si>
  <si>
    <t>Matsuoka, Atsuko; Sorenson, John; Matsuoka, Atsuko</t>
  </si>
  <si>
    <t>F1035.E89.M387 2001</t>
  </si>
  <si>
    <t>305.892/8071</t>
  </si>
  <si>
    <t>http://public.eblib.com/choice/PublicFullRecord.aspx?p=4671553</t>
  </si>
  <si>
    <t>Gianni Celati : The Craft of Everyday Storytelling</t>
  </si>
  <si>
    <t>West, Rebecca J.</t>
  </si>
  <si>
    <t>PQ4853.E36.W478 2000</t>
  </si>
  <si>
    <t>http://public.eblib.com/choice/PublicFullRecord.aspx?p=4671554</t>
  </si>
  <si>
    <t>Girl Talk : Adolescent Magazines and Their Readers</t>
  </si>
  <si>
    <t>Currie, Dawn H.</t>
  </si>
  <si>
    <t>Journalism; General Works/Reference</t>
  </si>
  <si>
    <t>PN4878.C877 1999</t>
  </si>
  <si>
    <t>051/.0835/2</t>
  </si>
  <si>
    <t>http://public.eblib.com/choice/PublicFullRecord.aspx?p=4671555</t>
  </si>
  <si>
    <t>Giuseppe De Santis</t>
  </si>
  <si>
    <t>Vitti, Antonio; Lawton, Ben</t>
  </si>
  <si>
    <t>PN1998.3.D417.V588 1996</t>
  </si>
  <si>
    <t>http://public.eblib.com/choice/PublicFullRecord.aspx?p=4671556</t>
  </si>
  <si>
    <t>Global Health Governance : International Law and Public Health in a Divided World</t>
  </si>
  <si>
    <t>Aginam, Obijiofor</t>
  </si>
  <si>
    <t>K3570.A356 2005</t>
  </si>
  <si>
    <t>http://public.eblib.com/choice/PublicFullRecord.aspx?p=4671558</t>
  </si>
  <si>
    <t>Globalization and the Meaning of Canadian Life</t>
  </si>
  <si>
    <t>Watson, William</t>
  </si>
  <si>
    <t>F1021.2.W387 2000</t>
  </si>
  <si>
    <t>http://public.eblib.com/choice/PublicFullRecord.aspx?p=4671559</t>
  </si>
  <si>
    <t>Globalization Unplugged : Sovereignty and the Canadian State in the Twenty-First Century</t>
  </si>
  <si>
    <t>Urmetzer, Peter</t>
  </si>
  <si>
    <t>HC115.U764 2005</t>
  </si>
  <si>
    <t>Globalization - Economic aspects - Canada</t>
  </si>
  <si>
    <t>http://public.eblib.com/choice/PublicFullRecord.aspx?p=4671560</t>
  </si>
  <si>
    <t>Good Intentions OverRuled : A Critique of Empowerment in the Routine Organization of Mental Health Services</t>
  </si>
  <si>
    <t>Townsend, Elizabeth</t>
  </si>
  <si>
    <t>RC439.5.T696 1998</t>
  </si>
  <si>
    <t>http://public.eblib.com/choice/PublicFullRecord.aspx?p=4671561</t>
  </si>
  <si>
    <t>Gospels and Grit : Work and Labour in Carlyle, Conrad, and Orwell</t>
  </si>
  <si>
    <t>Breton, Rob</t>
  </si>
  <si>
    <t>PR830.W63.B748 2005</t>
  </si>
  <si>
    <t>http://public.eblib.com/choice/PublicFullRecord.aspx?p=4671562</t>
  </si>
  <si>
    <t>Governing Education</t>
  </si>
  <si>
    <t>Levin, Benjamin; Levin, Benjamin</t>
  </si>
  <si>
    <t>LC91.L48 2005</t>
  </si>
  <si>
    <t>http://public.eblib.com/choice/PublicFullRecord.aspx?p=4671563</t>
  </si>
  <si>
    <t>Governing Modern Societies</t>
  </si>
  <si>
    <t>Ericson, Richard V.; Stehr, Nico</t>
  </si>
  <si>
    <t>JA66.G684 2000</t>
  </si>
  <si>
    <t>http://public.eblib.com/choice/PublicFullRecord.aspx?p=4671565</t>
  </si>
  <si>
    <t>Governing the Environment : Persistent Challenges, Uncertain Innovations</t>
  </si>
  <si>
    <t>Parson, Edward A.; Parson, Edward A.</t>
  </si>
  <si>
    <t>GE190.C2.G684 2001</t>
  </si>
  <si>
    <t>http://public.eblib.com/choice/PublicFullRecord.aspx?p=4671566</t>
  </si>
  <si>
    <t>Gramsci's Democratic Theory : Contributions to a Post-Liberal Democracy</t>
  </si>
  <si>
    <t>Golding, Sue</t>
  </si>
  <si>
    <t>JC265.G68.G653 1992</t>
  </si>
  <si>
    <t>http://public.eblib.com/choice/PublicFullRecord.aspx?p=4671567</t>
  </si>
  <si>
    <t>Great Dames</t>
  </si>
  <si>
    <t>Dickin, Janice; Cameron, Elspeth; Dickin, Janice</t>
  </si>
  <si>
    <t>CT3270.G743 1997</t>
  </si>
  <si>
    <t>Women - Canada - Biography</t>
  </si>
  <si>
    <t>http://public.eblib.com/choice/PublicFullRecord.aspx?p=4671569</t>
  </si>
  <si>
    <t>Growing Up : Childhood in English Canada from the Great War to the Age of Television</t>
  </si>
  <si>
    <t>HQ792.C3.S884 2002</t>
  </si>
  <si>
    <t>http://public.eblib.com/choice/PublicFullRecord.aspx?p=4671571</t>
  </si>
  <si>
    <t>Guardian of the Gulf : Sydney, Cape Breton, and the Atlantic Wars</t>
  </si>
  <si>
    <t>Tennyson, Brian; Sarty, Roger</t>
  </si>
  <si>
    <t>http://public.eblib.com/choice/PublicFullRecord.aspx?p=4671572</t>
  </si>
  <si>
    <t>Gudea and his Dynasty</t>
  </si>
  <si>
    <t>Edzard, Sibylle</t>
  </si>
  <si>
    <t>PJ4070.E393 1997</t>
  </si>
  <si>
    <t>http://public.eblib.com/choice/PublicFullRecord.aspx?p=4671574</t>
  </si>
  <si>
    <t>Guido Cavalcanti : The Other Middle Ages</t>
  </si>
  <si>
    <t>Ardizzone, Maria Luisa</t>
  </si>
  <si>
    <t>PQ4299.C2.A735 2002</t>
  </si>
  <si>
    <t>http://public.eblib.com/choice/PublicFullRecord.aspx?p=4671575</t>
  </si>
  <si>
    <t>Guise and Disguise : Rhetoric and Characterization in the English Renaissance</t>
  </si>
  <si>
    <t>Davis, Lloyd</t>
  </si>
  <si>
    <t>PR428.D57.D385 1993</t>
  </si>
  <si>
    <t>http://public.eblib.com/choice/PublicFullRecord.aspx?p=4671576</t>
  </si>
  <si>
    <t>Hang on to These Words : Johnny David’s Delgamuukw Testimony</t>
  </si>
  <si>
    <t>E99.W56.H364 2005</t>
  </si>
  <si>
    <t>http://public.eblib.com/choice/PublicFullRecord.aspx?p=4671577</t>
  </si>
  <si>
    <t>Harnessing Labour Confrontation : Shaping the Postwar Settlement in Canada, 1943-1950</t>
  </si>
  <si>
    <t>McInnis, Peter S.</t>
  </si>
  <si>
    <t>HD8104.M356 2002</t>
  </si>
  <si>
    <t>Industrial relations</t>
  </si>
  <si>
    <t>http://public.eblib.com/choice/PublicFullRecord.aspx?p=4671579</t>
  </si>
  <si>
    <t>Harold Pinter and the Twilight of Modernism</t>
  </si>
  <si>
    <t>Begley, Varun</t>
  </si>
  <si>
    <t>PR6066.I53.B445 2005</t>
  </si>
  <si>
    <t>http://public.eblib.com/choice/PublicFullRecord.aspx?p=4671580</t>
  </si>
  <si>
    <t>Healey Willan : Life and Music</t>
  </si>
  <si>
    <t>Clarke, F.R.C.</t>
  </si>
  <si>
    <t>ML410.W712.C537 1997</t>
  </si>
  <si>
    <t>http://public.eblib.com/choice/PublicFullRecord.aspx?p=4671581</t>
  </si>
  <si>
    <t>Health Care Practitioners : An Ontario Case Study in Policy Making</t>
  </si>
  <si>
    <t>O Reilly, Patricia</t>
  </si>
  <si>
    <t>RA399.C28.O745 2000</t>
  </si>
  <si>
    <t>362.1/09713</t>
  </si>
  <si>
    <t>Medecine - Droit - Ontario</t>
  </si>
  <si>
    <t>http://public.eblib.com/choice/PublicFullRecord.aspx?p=4671582</t>
  </si>
  <si>
    <t>Health Care, Entitlement, and Citizenship</t>
  </si>
  <si>
    <t>Redden, Candace  Johnson; Institute of Public Administration of Canada Staff</t>
  </si>
  <si>
    <t>RA395 C3.R433 2002</t>
  </si>
  <si>
    <t>http://public.eblib.com/choice/PublicFullRecord.aspx?p=4671583</t>
  </si>
  <si>
    <t>Hegel and the Tradition : Essays in Honour of H.S. Harris</t>
  </si>
  <si>
    <t>Baur, Michael; Russon, John</t>
  </si>
  <si>
    <t>B2948.H444 1997</t>
  </si>
  <si>
    <t>http://public.eblib.com/choice/PublicFullRecord.aspx?p=4671584</t>
  </si>
  <si>
    <t>Hegel Marx &amp; the  English State</t>
  </si>
  <si>
    <t>MacGregor, David</t>
  </si>
  <si>
    <t>DA530.M334 1996</t>
  </si>
  <si>
    <t>http://public.eblib.com/choice/PublicFullRecord.aspx?p=4671585</t>
  </si>
  <si>
    <t>Hermes' Lyre : Italian Poetic Self-Commentary from Dante to Tommaso Campanella</t>
  </si>
  <si>
    <t>PQ4066.R687 2002</t>
  </si>
  <si>
    <t>http://public.eblib.com/choice/PublicFullRecord.aspx?p=4671586</t>
  </si>
  <si>
    <t>Hidden Academics : Contract Faculty in Canadian Universities</t>
  </si>
  <si>
    <t>Rajagopal, Indhu</t>
  </si>
  <si>
    <t>LB2331.74.C2.R353 2002</t>
  </si>
  <si>
    <t>378.1/22</t>
  </si>
  <si>
    <t>Part-time employment</t>
  </si>
  <si>
    <t>http://public.eblib.com/choice/PublicFullRecord.aspx?p=4671588</t>
  </si>
  <si>
    <t>Historical Atlas of Canada : Volume I: From the Beginning to 1800</t>
  </si>
  <si>
    <t>Harris, R. Cole; Matthews, Geoffrey J.</t>
  </si>
  <si>
    <t>G1116.S1.H578 1987</t>
  </si>
  <si>
    <t>Maps</t>
  </si>
  <si>
    <t>http://public.eblib.com/choice/PublicFullRecord.aspx?p=4671589</t>
  </si>
  <si>
    <t>Historical Atlas of Canada : Volume II: The Land Transformed, 1800-1891</t>
  </si>
  <si>
    <t>Gentilcore, R. Louis; Moldofsky, Byron; Matthews, Geoffrey J.; Measner, Don; Walder, Ronald H.</t>
  </si>
  <si>
    <t>G1116.S1.H578 1993</t>
  </si>
  <si>
    <t>http://public.eblib.com/choice/PublicFullRecord.aspx?p=4671590</t>
  </si>
  <si>
    <t>Historical Atlas of Canada : Volume III: Addressing the Twentieth Century</t>
  </si>
  <si>
    <t>Holdsworth, Deryck W.; Kerr, Donald; Matthews, Geoffrey J.</t>
  </si>
  <si>
    <t>G1116.S1.H578 1990</t>
  </si>
  <si>
    <t>http://public.eblib.com/choice/PublicFullRecord.aspx?p=4671591</t>
  </si>
  <si>
    <t>History and Reading : Tocqueville, Foucault, French Studies</t>
  </si>
  <si>
    <t>Green College Lecture Series</t>
  </si>
  <si>
    <t>DC36.9.L333 2000</t>
  </si>
  <si>
    <t>944/.007/2</t>
  </si>
  <si>
    <t>Histoire - Methodologie</t>
  </si>
  <si>
    <t>http://public.eblib.com/choice/PublicFullRecord.aspx?p=4671592</t>
  </si>
  <si>
    <t>History, Literature, and Music in Scotland, 700-1560</t>
  </si>
  <si>
    <t>McDonald, R. Andrew</t>
  </si>
  <si>
    <t>DA775.H578 2002</t>
  </si>
  <si>
    <t>http://public.eblib.com/choice/PublicFullRecord.aspx?p=4671593</t>
  </si>
  <si>
    <t>Holy Scripture Speaks : The Production and Reception of Erasmus' Paraphrases on the New Testament</t>
  </si>
  <si>
    <t>Pabel, Hilmar; Vessey, Mark</t>
  </si>
  <si>
    <t>BS2335.52.E73.H659 2002</t>
  </si>
  <si>
    <t>225.4/7</t>
  </si>
  <si>
    <t>http://public.eblib.com/choice/PublicFullRecord.aspx?p=4671594</t>
  </si>
  <si>
    <t>Homeplace : The Making of the Canadian Dwelling over Three Centuries</t>
  </si>
  <si>
    <t>Ennals, Peter; Holdsworth, Deryck, W.; Ennals, Peter Morley; Holdsworth, Deryck William</t>
  </si>
  <si>
    <t>NA7241.E563 1998</t>
  </si>
  <si>
    <t>728/.0971</t>
  </si>
  <si>
    <t>Architecture et societe - Canada</t>
  </si>
  <si>
    <t>http://public.eblib.com/choice/PublicFullRecord.aspx?p=4671597</t>
  </si>
  <si>
    <t>Homoerotic Space : The Poetics of Loss in Renaissance Literature</t>
  </si>
  <si>
    <t>Guy-Bray, Stephen</t>
  </si>
  <si>
    <t>PR428.H66.G89 2002</t>
  </si>
  <si>
    <t>820.9/353</t>
  </si>
  <si>
    <t>16th century</t>
  </si>
  <si>
    <t>http://public.eblib.com/choice/PublicFullRecord.aspx?p=4671598</t>
  </si>
  <si>
    <t>Hope and Deception in Conception Bay</t>
  </si>
  <si>
    <t>Cadigan, Sean</t>
  </si>
  <si>
    <t>HD9464.C22.C335 1995</t>
  </si>
  <si>
    <t>338.3/727/09718</t>
  </si>
  <si>
    <t>http://public.eblib.com/choice/PublicFullRecord.aspx?p=4671599</t>
  </si>
  <si>
    <t>Hopkins's Poetics of Speech Sound : Sprung Rhythm, Lettering, Inscape</t>
  </si>
  <si>
    <t>PR4803.H44Z927 2006</t>
  </si>
  <si>
    <t>http://public.eblib.com/choice/PublicFullRecord.aspx?p=4671600</t>
  </si>
  <si>
    <t>Housing the  Homeless and Poor : New Partnerships among the Private, Public, and Third Sectors</t>
  </si>
  <si>
    <t>Fallis, George; Murphy, Alex</t>
  </si>
  <si>
    <t>HD7287.96.C2.H687 1990</t>
  </si>
  <si>
    <t>363.5/8/0971</t>
  </si>
  <si>
    <t>http://public.eblib.com/choice/PublicFullRecord.aspx?p=4671601</t>
  </si>
  <si>
    <t>How Should I Read These? : Native Women Writers in Canada</t>
  </si>
  <si>
    <t>Hoy, Helen</t>
  </si>
  <si>
    <t>PR9188.H69 2001</t>
  </si>
  <si>
    <t>813/.50897071</t>
  </si>
  <si>
    <t>http://public.eblib.com/choice/PublicFullRecord.aspx?p=4671602</t>
  </si>
  <si>
    <t>Hrotsvit of Gandersheim : Contexts, Identities, Affinities, and Performances</t>
  </si>
  <si>
    <t>Brown, Phyllis; McMillin, Linda A.; Wilson, Katharina; Brown, Phyllis R.</t>
  </si>
  <si>
    <t>PA8340.H768 2004</t>
  </si>
  <si>
    <t>872/.03</t>
  </si>
  <si>
    <t>http://public.eblib.com/choice/PublicFullRecord.aspx?p=4671603</t>
  </si>
  <si>
    <t>Human and Global Security : An Exploration of Terms</t>
  </si>
  <si>
    <t>Stoett, Peter</t>
  </si>
  <si>
    <t>JZ5588.S764 1999</t>
  </si>
  <si>
    <t>http://public.eblib.com/choice/PublicFullRecord.aspx?p=4671604</t>
  </si>
  <si>
    <t>Human Rights in an Information Age : A Philosophical Analysis</t>
  </si>
  <si>
    <t>Walters, Gregory J.</t>
  </si>
  <si>
    <t>HM851.H863 2001</t>
  </si>
  <si>
    <t>http://public.eblib.com/choice/PublicFullRecord.aspx?p=4671605</t>
  </si>
  <si>
    <t>Humanizing Our Global Order : Essays in Honour of Ivan Head</t>
  </si>
  <si>
    <t>Okafor, Obiora; Aginam, Obijiofor</t>
  </si>
  <si>
    <t>JC362</t>
  </si>
  <si>
    <t>http://public.eblib.com/choice/PublicFullRecord.aspx?p=4671606</t>
  </si>
  <si>
    <t>I Have Been Waiting : Race and U.S. Higher Education</t>
  </si>
  <si>
    <t>Simpson, Jennifer S.</t>
  </si>
  <si>
    <t>LC212.42.S567 2003</t>
  </si>
  <si>
    <t>http://public.eblib.com/choice/PublicFullRecord.aspx?p=4671607</t>
  </si>
  <si>
    <t>The Idea of Enlightenment : A Postmortem Study</t>
  </si>
  <si>
    <t>Bartlett, Robert, C.</t>
  </si>
  <si>
    <t>JC251.S8.B378 2001</t>
  </si>
  <si>
    <t>http://public.eblib.com/choice/PublicFullRecord.aspx?p=4671608</t>
  </si>
  <si>
    <t>Ideology and Community in the First Wave of Critical Legal Studies</t>
  </si>
  <si>
    <t>Bauman, Richard</t>
  </si>
  <si>
    <t>KF380.B386 2002</t>
  </si>
  <si>
    <t>http://public.eblib.com/choice/PublicFullRecord.aspx?p=4671609</t>
  </si>
  <si>
    <t>Idleness, Water, and a Canoe : Reflections on Paddling for Pleasure</t>
  </si>
  <si>
    <t>Benedickson, Jamie</t>
  </si>
  <si>
    <t>GV776.15.C2.B465 1999</t>
  </si>
  <si>
    <t>797.1/22/0971</t>
  </si>
  <si>
    <t>Canoes and canoeing - Great Britain</t>
  </si>
  <si>
    <t>http://public.eblib.com/choice/PublicFullRecord.aspx?p=4671610</t>
  </si>
  <si>
    <t>Ignazio Silone : Beyond the Tragic Vision</t>
  </si>
  <si>
    <t>Paynter, Maria Nicolai</t>
  </si>
  <si>
    <t>PQ4841.I4.P396 2000</t>
  </si>
  <si>
    <t>http://public.eblib.com/choice/PublicFullRecord.aspx?p=4671611</t>
  </si>
  <si>
    <t>Imagination of a Monarchy : Studies in Ptolemaic Propaganda</t>
  </si>
  <si>
    <t>Hazzard, R.A.</t>
  </si>
  <si>
    <t>DT92.H399 2000</t>
  </si>
  <si>
    <t>932/.021</t>
  </si>
  <si>
    <t>http://public.eblib.com/choice/PublicFullRecord.aspx?p=4671612</t>
  </si>
  <si>
    <t>Imagining London : Postcolonial Fiction and the Transnational Metropolis</t>
  </si>
  <si>
    <t>Ball, John Clement</t>
  </si>
  <si>
    <t>PR8478.B355 2004</t>
  </si>
  <si>
    <t>823.009/32421</t>
  </si>
  <si>
    <t>http://public.eblib.com/choice/PublicFullRecord.aspx?p=4671613</t>
  </si>
  <si>
    <t>Immigrant Canada : Demographic, Economic, and Social Challenges</t>
  </si>
  <si>
    <t>Driedger, Leo; Halli, Shiva</t>
  </si>
  <si>
    <t>F1035.A1.I465 1999</t>
  </si>
  <si>
    <t>http://public.eblib.com/choice/PublicFullRecord.aspx?p=4671614</t>
  </si>
  <si>
    <t>Improved Earth : Prairie Space as Modern Artefact, 1869-1944</t>
  </si>
  <si>
    <t>Bantjes, Rod</t>
  </si>
  <si>
    <t>HN110.S25.B368 2005</t>
  </si>
  <si>
    <t>http://public.eblib.com/choice/PublicFullRecord.aspx?p=4671615</t>
  </si>
  <si>
    <t>In Love with a Handsome Sailor : The Emergence of Gay Identity and the Novels of Pierre Loti</t>
  </si>
  <si>
    <t>Berrong, Richard M.</t>
  </si>
  <si>
    <t>PQ2472.Z8.B477 2003</t>
  </si>
  <si>
    <t>http://public.eblib.com/choice/PublicFullRecord.aspx?p=4671616</t>
  </si>
  <si>
    <t>In Search of a Safe Place : Abused Women and Culturally Sensitive Services</t>
  </si>
  <si>
    <t>HV6626.54.C2.A364 1998</t>
  </si>
  <si>
    <t>362.82/92/08900971</t>
  </si>
  <si>
    <t>http://public.eblib.com/choice/PublicFullRecord.aspx?p=4671617</t>
  </si>
  <si>
    <t>In the  Shadow of  the  Law : Divorce in Canada 1900-1939</t>
  </si>
  <si>
    <t>Snell, James G.</t>
  </si>
  <si>
    <t>HQ838.S645 1991</t>
  </si>
  <si>
    <t>http://public.eblib.com/choice/PublicFullRecord.aspx?p=4671618</t>
  </si>
  <si>
    <t>In the National Interest : A Chronicle of the National Film Board of Canada from 1949 to 1989</t>
  </si>
  <si>
    <t>Fine Arts; Political Science</t>
  </si>
  <si>
    <t>PN1999.N26.E936 2001</t>
  </si>
  <si>
    <t>http://public.eblib.com/choice/PublicFullRecord.aspx?p=4671619</t>
  </si>
  <si>
    <t>In the Shadow of the Mammoth : Italo Svevo and the Emergence of Modernism</t>
  </si>
  <si>
    <t>Minghelli, Giuliana</t>
  </si>
  <si>
    <t>PQ4841.C482.M564 2002</t>
  </si>
  <si>
    <t>853/.8</t>
  </si>
  <si>
    <t>http://public.eblib.com/choice/PublicFullRecord.aspx?p=4671620</t>
  </si>
  <si>
    <t>Andreas Alciatus : Volume I: The Latin Emblems; Volume II: Emblems in Translation</t>
  </si>
  <si>
    <t>N7740.A435 1985</t>
  </si>
  <si>
    <t>http://public.eblib.com/choice/PublicFullRecord.aspx?p=4671623</t>
  </si>
  <si>
    <t>Indexes to the Collected Works of John Stuart Mill</t>
  </si>
  <si>
    <t>O'Grady, Jean; O'Grady, Jean</t>
  </si>
  <si>
    <t>B29.I534 1991</t>
  </si>
  <si>
    <t>http://public.eblib.com/choice/PublicFullRecord.aspx?p=4671624</t>
  </si>
  <si>
    <t>Inside and Outside Canadian Administrative Law : Essays in Honour of David Mullan</t>
  </si>
  <si>
    <t>Huscroft, Grant; Taggart, Michael; Huscroft, Grant</t>
  </si>
  <si>
    <t>K3400.I575 2006</t>
  </si>
  <si>
    <t>342.71/06</t>
  </si>
  <si>
    <t>http://public.eblib.com/choice/PublicFullRecord.aspx?p=4671626</t>
  </si>
  <si>
    <t>Inside the Mosaic</t>
  </si>
  <si>
    <t>Fong, Eric</t>
  </si>
  <si>
    <t>JV7295.T67.I575 2006</t>
  </si>
  <si>
    <t>305.9/0691209713541</t>
  </si>
  <si>
    <t>http://public.eblib.com/choice/PublicFullRecord.aspx?p=4671627</t>
  </si>
  <si>
    <t>Inside the Sports Pages : Work Routines, Professional Ideologies, and the Manufacture of Sports News</t>
  </si>
  <si>
    <t>Lowes, Mark Douglas; Lowes, Mark Douglas; Stebbins, Robert A.</t>
  </si>
  <si>
    <t>PN4914.S65.L694 1999</t>
  </si>
  <si>
    <t>070.4/49796</t>
  </si>
  <si>
    <t>Sports journalism - Canada</t>
  </si>
  <si>
    <t>http://public.eblib.com/choice/PublicFullRecord.aspx?p=4671628</t>
  </si>
  <si>
    <t>Insight and Inference : Descartes's Founding Principle and Modern Philosophy</t>
  </si>
  <si>
    <t>B1878.M5.M554 1999</t>
  </si>
  <si>
    <t>http://public.eblib.com/choice/PublicFullRecord.aspx?p=4671629</t>
  </si>
  <si>
    <t>Instinct and Intimacy : Political Philosophy and Autobiography in Rousseau</t>
  </si>
  <si>
    <t>Ogrodnick, Margaret</t>
  </si>
  <si>
    <t>JC179.R9.O376 1999</t>
  </si>
  <si>
    <t>320/.092</t>
  </si>
  <si>
    <t>http://public.eblib.com/choice/PublicFullRecord.aspx?p=4671630</t>
  </si>
  <si>
    <t>Insurance as Governance</t>
  </si>
  <si>
    <t>Barry, Dean; Doyle, Aaron; Ericson, Diana; Ericson, Diana</t>
  </si>
  <si>
    <t>HG8026.E753 2003</t>
  </si>
  <si>
    <t>http://public.eblib.com/choice/PublicFullRecord.aspx?p=4671631</t>
  </si>
  <si>
    <t>Integrative Antiracism : South Asians in Canadian Academe</t>
  </si>
  <si>
    <t>Samuel, Edith</t>
  </si>
  <si>
    <t>LC3479.S268 2005</t>
  </si>
  <si>
    <t>378.1/9829914071</t>
  </si>
  <si>
    <t>http://public.eblib.com/choice/PublicFullRecord.aspx?p=4671632</t>
  </si>
  <si>
    <t>International Law and Indigenous Knowledge : Intellectual Property, Plant Biodiversity, and Traditional Medicine</t>
  </si>
  <si>
    <t>Oguamanam, Chidi</t>
  </si>
  <si>
    <t>K1401.O383 2006</t>
  </si>
  <si>
    <t>http://public.eblib.com/choice/PublicFullRecord.aspx?p=4671633</t>
  </si>
  <si>
    <t>Interpreting Censorship in Canada</t>
  </si>
  <si>
    <t>Hutchinson, Allan; Petersen, Klaus</t>
  </si>
  <si>
    <t>Z658.C2.I584 1999</t>
  </si>
  <si>
    <t>363.3/1/0971</t>
  </si>
  <si>
    <t>http://public.eblib.com/choice/PublicFullRecord.aspx?p=4671634</t>
  </si>
  <si>
    <t>Interstices : Studies in Late Middle English and Anglo-Latin Texts in Honour of A.G. Rigg</t>
  </si>
  <si>
    <t>Green, Richard Firth; Mooney, Linne R.</t>
  </si>
  <si>
    <t>PR275.T45I58 2004</t>
  </si>
  <si>
    <t>http://public.eblib.com/choice/PublicFullRecord.aspx?p=4671635</t>
  </si>
  <si>
    <t>Inventing the Loyalists : The Ontario Loyalist Tradition and the Creation of Usable Pasts</t>
  </si>
  <si>
    <t>Knowles, Norman</t>
  </si>
  <si>
    <t>F1058.K569 1997</t>
  </si>
  <si>
    <t>http://public.eblib.com/choice/PublicFullRecord.aspx?p=4671637</t>
  </si>
  <si>
    <t>Invisible Crown</t>
  </si>
  <si>
    <t>Smith, David E.</t>
  </si>
  <si>
    <t>JL88.S658 1995</t>
  </si>
  <si>
    <t>http://public.eblib.com/choice/PublicFullRecord.aspx?p=4671638</t>
  </si>
  <si>
    <t>Israel, Diaspora, and the Routes of National Belonging</t>
  </si>
  <si>
    <t>Habib, Jasmin</t>
  </si>
  <si>
    <t>DS132.H335 2004</t>
  </si>
  <si>
    <t>305.892/4071</t>
  </si>
  <si>
    <t>http://public.eblib.com/choice/PublicFullRecord.aspx?p=4671641</t>
  </si>
  <si>
    <t>Italian Futurist Poetry</t>
  </si>
  <si>
    <t>Bohn, Willard</t>
  </si>
  <si>
    <t>PQ4225.E8.I835 2005</t>
  </si>
  <si>
    <t>851/.912080114</t>
  </si>
  <si>
    <t>http://public.eblib.com/choice/PublicFullRecord.aspx?p=4671642</t>
  </si>
  <si>
    <t>Italo Calvino and the Compass of Literature</t>
  </si>
  <si>
    <t>Bolongaro, Eugenio</t>
  </si>
  <si>
    <t>PQ4809.A45Z647 2003</t>
  </si>
  <si>
    <t>http://public.eblib.com/choice/PublicFullRecord.aspx?p=4671643</t>
  </si>
  <si>
    <t>J.S. Mill's Encounter with India</t>
  </si>
  <si>
    <t>Moir, Martin I.; Peers, Douglas M.; Zastoupil, Lynn</t>
  </si>
  <si>
    <t>DS475.J646 1999</t>
  </si>
  <si>
    <t>http://public.eblib.com/choice/PublicFullRecord.aspx?p=4671644</t>
  </si>
  <si>
    <t>James Joyce's Techno-Poetics</t>
  </si>
  <si>
    <t>Theall, Donald; Theall, Donald E.</t>
  </si>
  <si>
    <t>PR6019.O9.T443 1997</t>
  </si>
  <si>
    <t>http://public.eblib.com/choice/PublicFullRecord.aspx?p=4671645</t>
  </si>
  <si>
    <t>Langstaff : A Nineteenth-Century Medical Life</t>
  </si>
  <si>
    <t>Duffin, Jacalyn; Duffin, Jacalyn</t>
  </si>
  <si>
    <t>R464.L36.D844 1993</t>
  </si>
  <si>
    <t>610/.92</t>
  </si>
  <si>
    <t>http://public.eblib.com/choice/PublicFullRecord.aspx?p=4671646</t>
  </si>
  <si>
    <t>Jazz Age Catholicism : Mystic Modernism in Postwar Paris, 1919-1933</t>
  </si>
  <si>
    <t>Schloesser, Stephen</t>
  </si>
  <si>
    <t>BX1530.2.S35 2005</t>
  </si>
  <si>
    <t>282/.443609041</t>
  </si>
  <si>
    <t>http://public.eblib.com/choice/PublicFullRecord.aspx?p=4671647</t>
  </si>
  <si>
    <t>Jimmy Gardiner : Relentless Liberal</t>
  </si>
  <si>
    <t>Smith, David E.; Ward, Norman</t>
  </si>
  <si>
    <t>F1034.G28.W373 1990</t>
  </si>
  <si>
    <t>971.24/02/092</t>
  </si>
  <si>
    <t>http://public.eblib.com/choice/PublicFullRecord.aspx?p=4671648</t>
  </si>
  <si>
    <t>John A. Macdonald : The Young Politician. The Old Chieftain</t>
  </si>
  <si>
    <t>Estate of Donald Creighton; Waite, P.B.</t>
  </si>
  <si>
    <t>F1033.M126.C745 1998</t>
  </si>
  <si>
    <t>971.05/092</t>
  </si>
  <si>
    <t>http://public.eblib.com/choice/PublicFullRecord.aspx?p=4671649</t>
  </si>
  <si>
    <t>John Selden : Measures of the Holy Commonwealth in Seventeenth-Century England</t>
  </si>
  <si>
    <t>Barbour, Reid</t>
  </si>
  <si>
    <t>DA390.1.S4.B373 2003</t>
  </si>
  <si>
    <t>942.06/092</t>
  </si>
  <si>
    <t>http://public.eblib.com/choice/PublicFullRecord.aspx?p=4671650</t>
  </si>
  <si>
    <t>Joyces Mistakes : Problems of Intention, Irony, and Interpretation</t>
  </si>
  <si>
    <t>Conley, Tim</t>
  </si>
  <si>
    <t>PR6019.O9.C665 2003</t>
  </si>
  <si>
    <t>http://public.eblib.com/choice/PublicFullRecord.aspx?p=4671651</t>
  </si>
  <si>
    <t>Just Medicare : What's In, What's Out, How We Decide</t>
  </si>
  <si>
    <t>Flood, Colleen  M,</t>
  </si>
  <si>
    <t>KE3404.J878 2006</t>
  </si>
  <si>
    <t>344.7104/1</t>
  </si>
  <si>
    <t>http://public.eblib.com/choice/PublicFullRecord.aspx?p=4671652</t>
  </si>
  <si>
    <t>Just Words : Constitutional Rights and Social Wrongs</t>
  </si>
  <si>
    <t>Bakan, Joel</t>
  </si>
  <si>
    <t>KE4381.5.B353 1997</t>
  </si>
  <si>
    <t>http://public.eblib.com/choice/PublicFullRecord.aspx?p=4671653</t>
  </si>
  <si>
    <t>Justin and Pompeius Trogus : A Study of the Language of Justin's "Epitome" of Trogus</t>
  </si>
  <si>
    <t>Yardley, J.C.</t>
  </si>
  <si>
    <t>PA6445.J8Y37 2003</t>
  </si>
  <si>
    <t>http://public.eblib.com/choice/PublicFullRecord.aspx?p=4671654</t>
  </si>
  <si>
    <t>Keeping the Lakes' Way : Reburial and Re-creation of a Moral World among an Invisible People</t>
  </si>
  <si>
    <t>Pryce, Paula</t>
  </si>
  <si>
    <t>E78.B9.P793 1999</t>
  </si>
  <si>
    <t>http://public.eblib.com/choice/PublicFullRecord.aspx?p=4671656</t>
  </si>
  <si>
    <t>Kill and Chill : Restructuring Canada's Beef Commodity Chain</t>
  </si>
  <si>
    <t>HD9433.C2.M335 2001</t>
  </si>
  <si>
    <t>381/.416213/0971</t>
  </si>
  <si>
    <t>http://public.eblib.com/choice/PublicFullRecord.aspx?p=4671657</t>
  </si>
  <si>
    <t>Klein: Story of a Poet</t>
  </si>
  <si>
    <t>Pollock, Zailig</t>
  </si>
  <si>
    <t>PR9199.3.K48.P655 1994</t>
  </si>
  <si>
    <t>http://public.eblib.com/choice/PublicFullRecord.aspx?p=4671658</t>
  </si>
  <si>
    <t>Knowledge and Economic Conduct : The Social Foundations of the Modern Economy</t>
  </si>
  <si>
    <t>Stehr, Nico</t>
  </si>
  <si>
    <t>HC79.I55.S744 2002</t>
  </si>
  <si>
    <t>330.9/049</t>
  </si>
  <si>
    <t>http://public.eblib.com/choice/PublicFullRecord.aspx?p=4671659</t>
  </si>
  <si>
    <t>Knowledge and Practice in Mayotte : Local Discourses of Islam, Sorcery and Spirit Possession</t>
  </si>
  <si>
    <t>Lambek, Michael</t>
  </si>
  <si>
    <t>BP64.M35.L363 1993</t>
  </si>
  <si>
    <t>306.6/09694</t>
  </si>
  <si>
    <t>http://public.eblib.com/choice/PublicFullRecord.aspx?p=4671660</t>
  </si>
  <si>
    <t>Labour's Dilemma : The Gender Politics of Auto Workers in Canada, 1937-79</t>
  </si>
  <si>
    <t>Sugiman, Pamela</t>
  </si>
  <si>
    <t>HD6073.A82.S845 1997</t>
  </si>
  <si>
    <t>331.4/78129222/09713</t>
  </si>
  <si>
    <t>http://public.eblib.com/choice/PublicFullRecord.aspx?p=4671662</t>
  </si>
  <si>
    <t>Land Sliding : Imagining Space, Presence, and Power in Canadian Writing</t>
  </si>
  <si>
    <t>New, W.H.; New, W. H.</t>
  </si>
  <si>
    <t>PR9185.5.L35.N49 1997</t>
  </si>
  <si>
    <t>Canada - In literature</t>
  </si>
  <si>
    <t>http://public.eblib.com/choice/PublicFullRecord.aspx?p=4671663</t>
  </si>
  <si>
    <t>Latin Learning and English Lore (Volumes I &amp; II) : Studies in Anglo-Saxon Literature for Michael Lapidge</t>
  </si>
  <si>
    <t>O'Brien O'Keeffe, Katherine; Orchard, Andy; Orchard, Andy</t>
  </si>
  <si>
    <t>PR176</t>
  </si>
  <si>
    <t>http://public.eblib.com/choice/PublicFullRecord.aspx?p=4671664</t>
  </si>
  <si>
    <t>Law and Ethics in Biomedical Research : Regulation, Conflict of Interest and Liability</t>
  </si>
  <si>
    <t>Lemmens, Trudo; Waring, Duff</t>
  </si>
  <si>
    <t>KE3663.M38L39 2006</t>
  </si>
  <si>
    <t>http://public.eblib.com/choice/PublicFullRecord.aspx?p=4671665</t>
  </si>
  <si>
    <t>Law, Rhetoric, and Irony in the Formation of Canadian Civil Culture</t>
  </si>
  <si>
    <t>Charland, Maurice; Dorland, Michael</t>
  </si>
  <si>
    <t>JL186.5.D675 2002</t>
  </si>
  <si>
    <t>Civil society</t>
  </si>
  <si>
    <t>http://public.eblib.com/choice/PublicFullRecord.aspx?p=4671666</t>
  </si>
  <si>
    <t>Leacock on Life</t>
  </si>
  <si>
    <t>Estate of Stephen Leacock; Lynch, Gerald; Lynch, Gerald</t>
  </si>
  <si>
    <t>PR9199.3.L367.L433 2002</t>
  </si>
  <si>
    <t>http://public.eblib.com/choice/PublicFullRecord.aspx?p=4671667</t>
  </si>
  <si>
    <t>The Least Detrimental Alternative : A Systematic Guide to Case Planning and Decision Making for Children in Care</t>
  </si>
  <si>
    <t>Steinhauer, Paul D.</t>
  </si>
  <si>
    <t>HV887.C3.S745 1991</t>
  </si>
  <si>
    <t>Child welfare</t>
  </si>
  <si>
    <t>http://public.eblib.com/choice/PublicFullRecord.aspx?p=4671668</t>
  </si>
  <si>
    <t>Lesbian and Gay Rights in Canada : Social Movements and Equality-Seeking, 1971-1995</t>
  </si>
  <si>
    <t>Smith, Miriam</t>
  </si>
  <si>
    <t>HQ76.8.C3.S658 1999</t>
  </si>
  <si>
    <t>305.9/0664/0971</t>
  </si>
  <si>
    <t>http://public.eblib.com/choice/PublicFullRecord.aspx?p=4671669</t>
  </si>
  <si>
    <t>Letters from Heaven : Popular Religion in Russia and Ukraine</t>
  </si>
  <si>
    <t>Himka, John-Paul; Zayarnyuk, Andriy</t>
  </si>
  <si>
    <t>BX485</t>
  </si>
  <si>
    <t>http://public.eblib.com/choice/PublicFullRecord.aspx?p=4671670</t>
  </si>
  <si>
    <t>Liberals at the Border : We Stand on Guard for Whom?</t>
  </si>
  <si>
    <t>Axworthy, Lloyd</t>
  </si>
  <si>
    <t>F1034.2.A92 2004</t>
  </si>
  <si>
    <t>http://public.eblib.com/choice/PublicFullRecord.aspx?p=4671671</t>
  </si>
  <si>
    <t>Liberation Deferred? : The Ideas of the English-Canadian Suffragists</t>
  </si>
  <si>
    <t>Bacchi, Carol Lee</t>
  </si>
  <si>
    <t>JL192.B32 1983</t>
  </si>
  <si>
    <t>324.6/23/0971</t>
  </si>
  <si>
    <t>http://public.eblib.com/choice/PublicFullRecord.aspx?p=4671672</t>
  </si>
  <si>
    <t>L'Italia verso il Duemila</t>
  </si>
  <si>
    <t>Skubikowski, Ugo</t>
  </si>
  <si>
    <t>PC1127.I85.S55 1997</t>
  </si>
  <si>
    <t>458.6/421</t>
  </si>
  <si>
    <t>Italian language - Readers - Italy - Civilization</t>
  </si>
  <si>
    <t>http://public.eblib.com/choice/PublicFullRecord.aspx?p=4671673</t>
  </si>
  <si>
    <t>Literary and Educational Writings 7 : Volume 7: De virtute / Oratio funebris / Encomium medicinae / De puero / Tyrannicida / Ovid / Prudentis / Galen / Lingua</t>
  </si>
  <si>
    <t>Erasmus, Desiderius; Rummel, Erika; Fantham, Elaine; Fatham, Elaine; Rummel, Erika</t>
  </si>
  <si>
    <t>B785.E64.C655 1989</t>
  </si>
  <si>
    <t>http://public.eblib.com/choice/PublicFullRecord.aspx?p=4671674</t>
  </si>
  <si>
    <t>Literary Discourse : A Semiotic-Pragmatic Approach to Literature</t>
  </si>
  <si>
    <t>Johansen, Jørgen Dines</t>
  </si>
  <si>
    <t>P302.5.J64 2002</t>
  </si>
  <si>
    <t>Litterature - Philosophie</t>
  </si>
  <si>
    <t>http://public.eblib.com/choice/PublicFullRecord.aspx?p=4671677</t>
  </si>
  <si>
    <t>Literature in the Light of the Emblem</t>
  </si>
  <si>
    <t>PN6348.5.D359 1998</t>
  </si>
  <si>
    <t>http://public.eblib.com/choice/PublicFullRecord.aspx?p=4671678</t>
  </si>
  <si>
    <t>Liturgies in Honour of Thomas Becket</t>
  </si>
  <si>
    <t>Slocum, Kay Brainerd</t>
  </si>
  <si>
    <t>BX2167.T55.S56 2004</t>
  </si>
  <si>
    <t>263/.98</t>
  </si>
  <si>
    <t>http://public.eblib.com/choice/PublicFullRecord.aspx?p=4671679</t>
  </si>
  <si>
    <t>The Local Magistrates of  Roman Spain</t>
  </si>
  <si>
    <t>Curchin, Leonard A.</t>
  </si>
  <si>
    <t>KJA3045.C873 1990</t>
  </si>
  <si>
    <t>http://public.eblib.com/choice/PublicFullRecord.aspx?p=4671680</t>
  </si>
  <si>
    <t>Lodovico Dolce : Renaissance Man of Letters</t>
  </si>
  <si>
    <t>Terpening, Ronnie H.</t>
  </si>
  <si>
    <t>PQ4621.D3.T477 1997</t>
  </si>
  <si>
    <t>858/.409</t>
  </si>
  <si>
    <t>http://public.eblib.com/choice/PublicFullRecord.aspx?p=4671681</t>
  </si>
  <si>
    <t>Lonergan's Quest : A Study of Desire in the Authoring of Insight</t>
  </si>
  <si>
    <t>Mathews, William A.</t>
  </si>
  <si>
    <t>B995.L654.M38 2005</t>
  </si>
  <si>
    <t>http://public.eblib.com/choice/PublicFullRecord.aspx?p=4671682</t>
  </si>
  <si>
    <t>The Long Arm of  Coincidence : The Frustrated Connection Between 'Beowulf' and 'Grettis saga'</t>
  </si>
  <si>
    <t>PR1585.F53 1998</t>
  </si>
  <si>
    <t>http://public.eblib.com/choice/PublicFullRecord.aspx?p=4671683</t>
  </si>
  <si>
    <t>Looking for Old Ontario</t>
  </si>
  <si>
    <t>McIlwraith, Thomas</t>
  </si>
  <si>
    <t>GF512.O57.M35 1997</t>
  </si>
  <si>
    <t>http://public.eblib.com/choice/PublicFullRecord.aspx?p=4671684</t>
  </si>
  <si>
    <t>Loving in Verse : Poetic Influence as Erotic</t>
  </si>
  <si>
    <t>PN1083.H66G89 2006</t>
  </si>
  <si>
    <t>http://public.eblib.com/choice/PublicFullRecord.aspx?p=4671687</t>
  </si>
  <si>
    <t>Luigi Pirandello : Contemporary Perspectives</t>
  </si>
  <si>
    <t>Biasin, Gianpaolo; Gieri, Manuela</t>
  </si>
  <si>
    <t>PQ4835.I7.L854 1999</t>
  </si>
  <si>
    <t>852/.912</t>
  </si>
  <si>
    <t>http://public.eblib.com/choice/PublicFullRecord.aspx?p=4671688</t>
  </si>
  <si>
    <t>Mackenzie King and the Prairie West</t>
  </si>
  <si>
    <t>Wardhaugh, Robert A.</t>
  </si>
  <si>
    <t>F1060.9.W373 2000</t>
  </si>
  <si>
    <t>971.2/02</t>
  </si>
  <si>
    <t>http://public.eblib.com/choice/PublicFullRecord.aspx?p=4671689</t>
  </si>
  <si>
    <t>Madonna, Bawdy &amp; Soul</t>
  </si>
  <si>
    <t>ML420.M1387.F35 1997</t>
  </si>
  <si>
    <t>782.42166/092</t>
  </si>
  <si>
    <t>http://public.eblib.com/choice/PublicFullRecord.aspx?p=4671690</t>
  </si>
  <si>
    <t>Making Crime Count</t>
  </si>
  <si>
    <t>Haggerty, Kevin D.</t>
  </si>
  <si>
    <t>HV6806.H35 2001</t>
  </si>
  <si>
    <t>http://public.eblib.com/choice/PublicFullRecord.aspx?p=4671692</t>
  </si>
  <si>
    <t>Making Good : Law and Moral Regulation in Canada, 1867-1939.</t>
  </si>
  <si>
    <t>Themes in Canadian History</t>
  </si>
  <si>
    <t>Strange, Carolyn; Loo, Tina</t>
  </si>
  <si>
    <t>KE409.S773 1997</t>
  </si>
  <si>
    <t>340/.112/0971</t>
  </si>
  <si>
    <t>http://public.eblib.com/choice/PublicFullRecord.aspx?p=4671693</t>
  </si>
  <si>
    <t>Making Sense of Sentencing</t>
  </si>
  <si>
    <t>Cole, David P.; Roberts, Julian</t>
  </si>
  <si>
    <t>KE9355.M355 1999</t>
  </si>
  <si>
    <t>345.71/0772</t>
  </si>
  <si>
    <t>http://public.eblib.com/choice/PublicFullRecord.aspx?p=4671695</t>
  </si>
  <si>
    <t>Man On His Own : Interpretations of Erasmus, c1750-1920</t>
  </si>
  <si>
    <t>PA8518.M354 1992</t>
  </si>
  <si>
    <t>http://public.eblib.com/choice/PublicFullRecord.aspx?p=4671698</t>
  </si>
  <si>
    <t>Mandel'shtam's Poetics : A Challenge to Postmodernism</t>
  </si>
  <si>
    <t>Glazov-Corrigan, Elena</t>
  </si>
  <si>
    <t>PG3476.M355.C677 2000</t>
  </si>
  <si>
    <t>891.71/3</t>
  </si>
  <si>
    <t>http://public.eblib.com/choice/PublicFullRecord.aspx?p=4671699</t>
  </si>
  <si>
    <t>Manuscript Diversity, Meaning, and Variance in Juan Manuel's El Conde Lucanor</t>
  </si>
  <si>
    <t>de Looze, Laurence N</t>
  </si>
  <si>
    <t>PQ6401.A1C633 2006</t>
  </si>
  <si>
    <t>http://public.eblib.com/choice/PublicFullRecord.aspx?p=4671702</t>
  </si>
  <si>
    <t>Many Petals of the Lotus : Five Asian Buddhist Communities in Toronto</t>
  </si>
  <si>
    <t>McLellan, Janet</t>
  </si>
  <si>
    <t>F1054.5.O66 1999</t>
  </si>
  <si>
    <t>http://public.eblib.com/choice/PublicFullRecord.aspx?p=4671703</t>
  </si>
  <si>
    <t>Maps of Experience : The Anchoring of Land to Story in Secwepemc Discourse</t>
  </si>
  <si>
    <t>Palmer, Andie Diane; Palmer, Andie Diane</t>
  </si>
  <si>
    <t>E99.S45.P356 2005</t>
  </si>
  <si>
    <t>http://public.eblib.com/choice/PublicFullRecord.aspx?p=4671704</t>
  </si>
  <si>
    <t>Mapping Upper Canada, 1780-1867 : An Annotated Bibliography of Manuscript and Printed Maps</t>
  </si>
  <si>
    <t>Z6027.C22.O68 1991</t>
  </si>
  <si>
    <t>http://public.eblib.com/choice/PublicFullRecord.aspx?p=4671705</t>
  </si>
  <si>
    <t>Marian Devotion in Thirteenth-Century French Lyric</t>
  </si>
  <si>
    <t>O'Sullivan, Daniel E.</t>
  </si>
  <si>
    <t>PQ155.M3.O88 2005</t>
  </si>
  <si>
    <t>841/.109382</t>
  </si>
  <si>
    <t>http://public.eblib.com/choice/PublicFullRecord.aspx?p=4671706</t>
  </si>
  <si>
    <t>Marian Engel : Life in Letters</t>
  </si>
  <si>
    <t>Engel, Marian; Garay, Kathleen; Verduyn, Christl; Verduyn, Christl</t>
  </si>
  <si>
    <t>PR9199.3.E5.M375 2004</t>
  </si>
  <si>
    <t>http://public.eblib.com/choice/PublicFullRecord.aspx?p=4671707</t>
  </si>
  <si>
    <t>Marlowe's Counterfeit Profession : Ovid, Spenser, Counter-Nationhood</t>
  </si>
  <si>
    <t>Cheney, Patrick</t>
  </si>
  <si>
    <t>PR2673.C446 1997</t>
  </si>
  <si>
    <t>http://public.eblib.com/choice/PublicFullRecord.aspx?p=4671708</t>
  </si>
  <si>
    <t>Marriage of Minds : Isabel and Oscar Skelton Reinventing Canada</t>
  </si>
  <si>
    <t>Crowley, Terry</t>
  </si>
  <si>
    <t>F1034.S56.C76 2003</t>
  </si>
  <si>
    <t>971.062/0922</t>
  </si>
  <si>
    <t>http://public.eblib.com/choice/PublicFullRecord.aspx?p=4671709</t>
  </si>
  <si>
    <t>Marriage or Celibacy? : The Daily Telegraph on a Victorian Dilemma</t>
  </si>
  <si>
    <t>PN5129.L7.D487 1995</t>
  </si>
  <si>
    <t>070.4/4930681/0942</t>
  </si>
  <si>
    <t>http://public.eblib.com/choice/PublicFullRecord.aspx?p=4671710</t>
  </si>
  <si>
    <t>Married Women and the Law of Property in Victorian Ontario</t>
  </si>
  <si>
    <t>Chambers, Lori</t>
  </si>
  <si>
    <t>KEO207.W6.C52 1997</t>
  </si>
  <si>
    <t>http://public.eblib.com/choice/PublicFullRecord.aspx?p=4671711</t>
  </si>
  <si>
    <t>Masculine Migrations : Reading the Postcolonial Male in New Canadian Narratives</t>
  </si>
  <si>
    <t>Coleman, Daniel</t>
  </si>
  <si>
    <t>PR9188.2.M44.C65 1998</t>
  </si>
  <si>
    <t>813/.5409353</t>
  </si>
  <si>
    <t>http://public.eblib.com/choice/PublicFullRecord.aspx?p=4671712</t>
  </si>
  <si>
    <t>Masters of Two Arts : Re-creation of European Literatures in Italian Cinema</t>
  </si>
  <si>
    <t>Testa, Carlo</t>
  </si>
  <si>
    <t>PN1995.3.T47 2002</t>
  </si>
  <si>
    <t>791.43/6</t>
  </si>
  <si>
    <t>http://public.eblib.com/choice/PublicFullRecord.aspx?p=4671713</t>
  </si>
  <si>
    <t>Mayhem and Murder : Narative and Moral Issues in the Detective Story</t>
  </si>
  <si>
    <t>Pyrhönen, Heta</t>
  </si>
  <si>
    <t>PS374.D4.P96 1999</t>
  </si>
  <si>
    <t>823/.087209</t>
  </si>
  <si>
    <t>http://public.eblib.com/choice/PublicFullRecord.aspx?p=4671714</t>
  </si>
  <si>
    <t>McLuhan in Space : A Cultural Geography</t>
  </si>
  <si>
    <t>Cavell, Richard</t>
  </si>
  <si>
    <t>http://public.eblib.com/choice/PublicFullRecord.aspx?p=4671715</t>
  </si>
  <si>
    <t>McLuhan, or Modernism in Reverse</t>
  </si>
  <si>
    <t>P92.5.M3.W55 1996</t>
  </si>
  <si>
    <t>302.23/01</t>
  </si>
  <si>
    <t>http://public.eblib.com/choice/PublicFullRecord.aspx?p=4671716</t>
  </si>
  <si>
    <t>A Measured Pace : Toward a Philosophical Understanding of the Arts of Dance</t>
  </si>
  <si>
    <t>Sparshott, F.E.</t>
  </si>
  <si>
    <t>GV1588.S64 1995</t>
  </si>
  <si>
    <t>792.8/01</t>
  </si>
  <si>
    <t>http://public.eblib.com/choice/PublicFullRecord.aspx?p=4671717</t>
  </si>
  <si>
    <t>Medieval Latin Palaeography : A Bibliographic Introduction</t>
  </si>
  <si>
    <t>Boyle, Leonard E.</t>
  </si>
  <si>
    <t>Z106.B68 1984</t>
  </si>
  <si>
    <t>http://public.eblib.com/choice/PublicFullRecord.aspx?p=4671718</t>
  </si>
  <si>
    <t>Medieval Rhetoric : A Select Bibliography</t>
  </si>
  <si>
    <t>Murphy, James J.</t>
  </si>
  <si>
    <t>PN185.M877 1989</t>
  </si>
  <si>
    <t>http://public.eblib.com/choice/PublicFullRecord.aspx?p=4671720</t>
  </si>
  <si>
    <t>Memoirs of a Very Civil Servant : Mackenzie King to Pierre Trudeau</t>
  </si>
  <si>
    <t>Robertson, Gordon</t>
  </si>
  <si>
    <t>F1034.3.R627.R634 2000</t>
  </si>
  <si>
    <t>http://public.eblib.com/choice/PublicFullRecord.aspx?p=4671721</t>
  </si>
  <si>
    <t>A Mennonite Family in Tsarist Russia and the Soviet Union, 1789-1923</t>
  </si>
  <si>
    <t>Rempel, David G.; Carlson, Cornelia Rempel</t>
  </si>
  <si>
    <t>CT1225</t>
  </si>
  <si>
    <t>http://public.eblib.com/choice/PublicFullRecord.aspx?p=4671722</t>
  </si>
  <si>
    <t>Mennonites in Canada, 1939-1970 : A People Transformed</t>
  </si>
  <si>
    <t>Mennonites in Canada</t>
  </si>
  <si>
    <t>Regehr, T.D.</t>
  </si>
  <si>
    <t>F1035.M45.R444 1996</t>
  </si>
  <si>
    <t>http://public.eblib.com/choice/PublicFullRecord.aspx?p=4671723</t>
  </si>
  <si>
    <t>Mennonites in the Global Village</t>
  </si>
  <si>
    <t>Driedger, Leo</t>
  </si>
  <si>
    <t>BX8115.D75 2000</t>
  </si>
  <si>
    <t>305.6/87073</t>
  </si>
  <si>
    <t>http://public.eblib.com/choice/PublicFullRecord.aspx?p=4671724</t>
  </si>
  <si>
    <t>Mental Illness in the Family : Issues and Trends</t>
  </si>
  <si>
    <t>Abosh, Beverley; Collins, April</t>
  </si>
  <si>
    <t>RC455.4.F3.M468 1996</t>
  </si>
  <si>
    <t>362.2/0422</t>
  </si>
  <si>
    <t>http://public.eblib.com/choice/PublicFullRecord.aspx?p=4671725</t>
  </si>
  <si>
    <t>Mergers in Higher Education : Lessons from Theory and Experience</t>
  </si>
  <si>
    <t>Eastman, Julia; Lang, Daniel  W.</t>
  </si>
  <si>
    <t>LB2341.8.C2.E278 2001</t>
  </si>
  <si>
    <t>Universites - Fusion - Ontario - Toronto</t>
  </si>
  <si>
    <t>http://public.eblib.com/choice/PublicFullRecord.aspx?p=4671726</t>
  </si>
  <si>
    <t>Migration Italy : The Art of Talking Back in a Destination Culture</t>
  </si>
  <si>
    <t>Parati, Graziella</t>
  </si>
  <si>
    <t>PQ4049.P373 2005</t>
  </si>
  <si>
    <t>850.9/3552</t>
  </si>
  <si>
    <t>http://public.eblib.com/choice/PublicFullRecord.aspx?p=4671727</t>
  </si>
  <si>
    <t>Minerva's Aviary : Philosophy at Toronto, 1843-2003</t>
  </si>
  <si>
    <t>Slater, John G.</t>
  </si>
  <si>
    <t>B52.65.T67.S538 2005</t>
  </si>
  <si>
    <t>107.1/1713/541</t>
  </si>
  <si>
    <t>http://public.eblib.com/choice/PublicFullRecord.aspx?p=4671728</t>
  </si>
  <si>
    <t>Minority Literatures and Modernism : Scots, Breton, and Occitan, 1920-1990</t>
  </si>
  <si>
    <t>PN56.M54.C355 2000</t>
  </si>
  <si>
    <t>809/.9112</t>
  </si>
  <si>
    <t>http://public.eblib.com/choice/PublicFullRecord.aspx?p=4671729</t>
  </si>
  <si>
    <t>Mistakes of Reason : Essays in Honour of John Woods</t>
  </si>
  <si>
    <t>Irvine, Andrew D.; Peacock, Kent A.</t>
  </si>
  <si>
    <t>BC177.M58 2005</t>
  </si>
  <si>
    <t>http://public.eblib.com/choice/PublicFullRecord.aspx?p=4671730</t>
  </si>
  <si>
    <t>Misunderstanding Cults : Searching for Objectivity in a Controversial Field</t>
  </si>
  <si>
    <t>Zablocki, Benjamin; Robbins, Thomas; Robbins, Thomas</t>
  </si>
  <si>
    <t>BP603.M575 2001</t>
  </si>
  <si>
    <t>http://public.eblib.com/choice/PublicFullRecord.aspx?p=4671731</t>
  </si>
  <si>
    <t>Modernism in European Drama: Ibsen, Strindberg, Pirandello, Beckett</t>
  </si>
  <si>
    <t>Innes, Christopher; Marker, F.J.; Innes, Christopher; Marker, Frederick J.</t>
  </si>
  <si>
    <t>PN1851.M64 1998</t>
  </si>
  <si>
    <t>809.2/9/09409034</t>
  </si>
  <si>
    <t>Europe</t>
  </si>
  <si>
    <t>http://public.eblib.com/choice/PublicFullRecord.aspx?p=4671732</t>
  </si>
  <si>
    <t>Money in Their Own Name : The Feminist Voice in Poverty Debate in Canada, 1970-1995</t>
  </si>
  <si>
    <t>McKeen, Wendy</t>
  </si>
  <si>
    <t>HQ1236.5.C2M37 2004</t>
  </si>
  <si>
    <t>http://public.eblib.com/choice/PublicFullRecord.aspx?p=4671733</t>
  </si>
  <si>
    <t>Monk Lewis : A Critical Biography</t>
  </si>
  <si>
    <t>Macdonald, Doreen; Macdonald, D. L.</t>
  </si>
  <si>
    <t>PR4888.M27 2000</t>
  </si>
  <si>
    <t>823/.7</t>
  </si>
  <si>
    <t>http://public.eblib.com/choice/PublicFullRecord.aspx?p=4671735</t>
  </si>
  <si>
    <t>Monumental Tombs of the Hellenistic Age : A Study of Selected Tombs from the Pre-Classical to the Early Imperial Era</t>
  </si>
  <si>
    <t>Fedak, Janos</t>
  </si>
  <si>
    <t>NA6139.F433 1990</t>
  </si>
  <si>
    <t>726/.8/0938</t>
  </si>
  <si>
    <t>http://public.eblib.com/choice/PublicFullRecord.aspx?p=4671736</t>
  </si>
  <si>
    <t>Moral Objectives, Rules, and the Forms of Social Change</t>
  </si>
  <si>
    <t>Braybrooke, David</t>
  </si>
  <si>
    <t>BJ1012.B739 1998</t>
  </si>
  <si>
    <t>http://public.eblib.com/choice/PublicFullRecord.aspx?p=4671737</t>
  </si>
  <si>
    <t>Moral Selfhood in the Liberal Tradition</t>
  </si>
  <si>
    <t>Fairfield, Paul</t>
  </si>
  <si>
    <t>JC574.F357 2000</t>
  </si>
  <si>
    <t>Liberalism</t>
  </si>
  <si>
    <t>http://public.eblib.com/choice/PublicFullRecord.aspx?p=4671738</t>
  </si>
  <si>
    <t>More with Less : Work Reorganization in the Canadian Mining Industry</t>
  </si>
  <si>
    <t>Russell, Bob</t>
  </si>
  <si>
    <t>HD9506.C22.R877 1999</t>
  </si>
  <si>
    <t>http://public.eblib.com/choice/PublicFullRecord.aspx?p=4671739</t>
  </si>
  <si>
    <t>Mother Tongues and Other Reflections on the Italian Language</t>
  </si>
  <si>
    <t>Lepschy, Giulio; Lepschy, Giulio</t>
  </si>
  <si>
    <t>PC1711.L477 2002</t>
  </si>
  <si>
    <t>Italian philology</t>
  </si>
  <si>
    <t>http://public.eblib.com/choice/PublicFullRecord.aspx?p=4671740</t>
  </si>
  <si>
    <t>Multiple Lenses, Multiple Images : Perspectives on the Child Across Time, Space, and Disciplines</t>
  </si>
  <si>
    <t>Green College Thematic Lecture Series</t>
  </si>
  <si>
    <t>Goelman, Hillel; Marshall, Sheila K.; Ross, Sally</t>
  </si>
  <si>
    <t>HQ767.9.M858 2004</t>
  </si>
  <si>
    <t>http://public.eblib.com/choice/PublicFullRecord.aspx?p=4671742</t>
  </si>
  <si>
    <t>Music Discourse from Classical to Early Modern Times : Editing and Translating Texts</t>
  </si>
  <si>
    <t>Maniates, Maria Rika</t>
  </si>
  <si>
    <t>Language/Linguistics; Fine Arts</t>
  </si>
  <si>
    <t>ML3797.C664 1997</t>
  </si>
  <si>
    <t>http://public.eblib.com/choice/PublicFullRecord.aspx?p=4671743</t>
  </si>
  <si>
    <t>Muslims in the Diaspora : The Somali Communities of London and Toronto</t>
  </si>
  <si>
    <t>Berns-McGown, Rima</t>
  </si>
  <si>
    <t>RC455.4.S67.M346 1999</t>
  </si>
  <si>
    <t>http://public.eblib.com/choice/PublicFullRecord.aspx?p=4671744</t>
  </si>
  <si>
    <t>Mykhailo Hrushevsky Pol National</t>
  </si>
  <si>
    <t>Prymak, Thomas M.</t>
  </si>
  <si>
    <t>DK508.47.H7.P796 1987</t>
  </si>
  <si>
    <t>http://public.eblib.com/choice/PublicFullRecord.aspx?p=4671745</t>
  </si>
  <si>
    <t>Myth of  Women'S Masochism</t>
  </si>
  <si>
    <t>Caplan, Paula J.</t>
  </si>
  <si>
    <t>HQ1206.C375 1993</t>
  </si>
  <si>
    <t>http://public.eblib.com/choice/PublicFullRecord.aspx?p=4671746</t>
  </si>
  <si>
    <t>Narrative Perspective in Fiction : A Phenomenological Meditation of Reader, Text, and World</t>
  </si>
  <si>
    <t>Chamberlain, Daniel</t>
  </si>
  <si>
    <t>PN3383 P64.C436 1990</t>
  </si>
  <si>
    <t>http://public.eblib.com/choice/PublicFullRecord.aspx?p=4671747</t>
  </si>
  <si>
    <t>Narrative Settlements : Geographies of British Women's Fiction between the Wars</t>
  </si>
  <si>
    <t>Nesbitt, Jennifer Poulos</t>
  </si>
  <si>
    <t>PR888.W6N47 2005</t>
  </si>
  <si>
    <t>http://public.eblib.com/choice/PublicFullRecord.aspx?p=4671748</t>
  </si>
  <si>
    <t>Narratives in the Making : Teaching and Learning at Corktown Community High School</t>
  </si>
  <si>
    <t>Beattie, Mary</t>
  </si>
  <si>
    <t>LE5 T6.B438 2004</t>
  </si>
  <si>
    <t>http://public.eblib.com/choice/PublicFullRecord.aspx?p=4671749</t>
  </si>
  <si>
    <t>Narratology and Text : Subjectivity and Identity in New France and Québecois Literature</t>
  </si>
  <si>
    <t>Perron, Paul J.</t>
  </si>
  <si>
    <t>PQ3917.Q3.P477 2003</t>
  </si>
  <si>
    <t>http://public.eblib.com/choice/PublicFullRecord.aspx?p=4671750</t>
  </si>
  <si>
    <t>Natalia Ginzburg : A Voice of the Twentieth Century</t>
  </si>
  <si>
    <t>Jeannet, Angela M.; Katz, Giuliana  Sanfuinetti</t>
  </si>
  <si>
    <t>PQ4817.I5.N383 2000</t>
  </si>
  <si>
    <t>http://public.eblib.com/choice/PublicFullRecord.aspx?p=4671751</t>
  </si>
  <si>
    <t>Natural Law Modernized</t>
  </si>
  <si>
    <t>K468.B739 2001</t>
  </si>
  <si>
    <t>http://public.eblib.com/choice/PublicFullRecord.aspx?p=4671752</t>
  </si>
  <si>
    <t>Near Eastern Royalty and Rome, 100-30 Bc</t>
  </si>
  <si>
    <t>Phoenix Supplementary Volume</t>
  </si>
  <si>
    <t>Sullivan, Richard D.</t>
  </si>
  <si>
    <t>DT62.23.S855 1990</t>
  </si>
  <si>
    <t>http://public.eblib.com/choice/PublicFullRecord.aspx?p=4671753</t>
  </si>
  <si>
    <t>Networks of Knowledge : Collaborative Innovation in International Learning</t>
  </si>
  <si>
    <t>Fitzgibbon, Joy; Gross Stein, Janice; Stren, Richard; Maclean, Melissa</t>
  </si>
  <si>
    <t>ZA3159.C215.N489 2001</t>
  </si>
  <si>
    <t>http://public.eblib.com/choice/PublicFullRecord.aspx?p=4671754</t>
  </si>
  <si>
    <t>New Institutionalism : Theory and Analysis</t>
  </si>
  <si>
    <t>Lecours, André</t>
  </si>
  <si>
    <t>JA71.N49 2005</t>
  </si>
  <si>
    <t>Institutions sociales</t>
  </si>
  <si>
    <t>http://public.eblib.com/choice/PublicFullRecord.aspx?p=4671755</t>
  </si>
  <si>
    <t>Niki Goldschmidt : A Life in Canadian Music</t>
  </si>
  <si>
    <t>Setterfield, Gwenlyn</t>
  </si>
  <si>
    <t>ML429.G65.S488 2003</t>
  </si>
  <si>
    <t>http://public.eblib.com/choice/PublicFullRecord.aspx?p=4671761</t>
  </si>
  <si>
    <t>No Ordinary Academics : Economics and Political Science at the University of Saskatchewan,1910-1960</t>
  </si>
  <si>
    <t>Spafford, Shirley</t>
  </si>
  <si>
    <t>HB74.9.C2.S634 2000</t>
  </si>
  <si>
    <t>http://public.eblib.com/choice/PublicFullRecord.aspx?p=4671763</t>
  </si>
  <si>
    <t>Normalizing the Ideal : Psychology, Schooling, and the Family in Postwar Canada</t>
  </si>
  <si>
    <t>HQ560.G543 1999</t>
  </si>
  <si>
    <t>http://public.eblib.com/choice/PublicFullRecord.aspx?p=4671764</t>
  </si>
  <si>
    <t>North American Firms in East Asia : HSBC Bank Canada Papers on Asia, Volume 5</t>
  </si>
  <si>
    <t>Beamish, Paul; Safarian, A.E.; Beamish, Paul W.</t>
  </si>
  <si>
    <t>HD2809.N678 1999</t>
  </si>
  <si>
    <t>http://public.eblib.com/choice/PublicFullRecord.aspx?p=4671765</t>
  </si>
  <si>
    <t>Northern Sandlots : A Social History of Maritime Baseball</t>
  </si>
  <si>
    <t>Howell, Colin</t>
  </si>
  <si>
    <t>GV863.15.M37.H694 1995</t>
  </si>
  <si>
    <t>http://public.eblib.com/choice/PublicFullRecord.aspx?p=4671766</t>
  </si>
  <si>
    <t>Northrop Frye on Canada</t>
  </si>
  <si>
    <t>Estate of Northrop Frye; O'Grady, Jean; Staines, David</t>
  </si>
  <si>
    <t>F1021.N678 2003</t>
  </si>
  <si>
    <t>http://public.eblib.com/choice/PublicFullRecord.aspx?p=4671768</t>
  </si>
  <si>
    <t>Northrop Frye on Literature and Society, 1936-89</t>
  </si>
  <si>
    <t>PN37.F68.N678 2002</t>
  </si>
  <si>
    <t>http://public.eblib.com/choice/PublicFullRecord.aspx?p=4671769</t>
  </si>
  <si>
    <t>Northrop Frye on Milton and Blake</t>
  </si>
  <si>
    <t>Esterhammer, Angela; Esterhammer, Angela; Esterhammer, Angela</t>
  </si>
  <si>
    <t>PR3588.N678 2005</t>
  </si>
  <si>
    <t>http://public.eblib.com/choice/PublicFullRecord.aspx?p=4671770</t>
  </si>
  <si>
    <t>Northrop Frye on Modern Culture</t>
  </si>
  <si>
    <t>Estate of Northrop Frye; Gorak, Jan</t>
  </si>
  <si>
    <t>CB428.N678 2003</t>
  </si>
  <si>
    <t>http://public.eblib.com/choice/PublicFullRecord.aspx?p=4671771</t>
  </si>
  <si>
    <t>Northrop Frye on Religion</t>
  </si>
  <si>
    <t>Frye, Northrop; Lee, Alvin A.; O'Grady, Jean</t>
  </si>
  <si>
    <t>BR85.N678 2000</t>
  </si>
  <si>
    <t>http://public.eblib.com/choice/PublicFullRecord.aspx?p=4671773</t>
  </si>
  <si>
    <t>Northrop Frye : Eastern and Western Perspectives</t>
  </si>
  <si>
    <t>Ning, Wang; O'Grady, Jean</t>
  </si>
  <si>
    <t>PN75.F7.N678 2003</t>
  </si>
  <si>
    <t>http://public.eblib.com/choice/PublicFullRecord.aspx?p=4671774</t>
  </si>
  <si>
    <t>Northrop Frye's Late Notebooks,1982-1990</t>
  </si>
  <si>
    <t>PN75.F7.N678 2000</t>
  </si>
  <si>
    <t>http://public.eblib.com/choice/PublicFullRecord.aspx?p=4671775</t>
  </si>
  <si>
    <t>Northrop Frye's Notebooks and Lectures on the Bible and Other Religious Texts</t>
  </si>
  <si>
    <t>Estate of Northrop Frye; Denham, Robert D.</t>
  </si>
  <si>
    <t>PN45.N678 2003</t>
  </si>
  <si>
    <t>http://public.eblib.com/choice/PublicFullRecord.aspx?p=4671776</t>
  </si>
  <si>
    <t>Northrop Frye's Notebooks on Romance</t>
  </si>
  <si>
    <t>Estate of Northrop Frye; Dolzani, Michael; Dolzani, Michael</t>
  </si>
  <si>
    <t>PN75.F7.N678 2004</t>
  </si>
  <si>
    <t>Criticism - Canada - History - 20th century</t>
  </si>
  <si>
    <t>http://public.eblib.com/choice/PublicFullRecord.aspx?p=4671777</t>
  </si>
  <si>
    <t>Northrop Frye's Student Essays, 1932-1938</t>
  </si>
  <si>
    <t>BR121.N678 1997</t>
  </si>
  <si>
    <t>http://public.eblib.com/choice/PublicFullRecord.aspx?p=4671778</t>
  </si>
  <si>
    <t>Northrop Frye's Writings on Education</t>
  </si>
  <si>
    <t>French, Goldwin Sylvester; Estate of Northrop Frye; O'Grady, Jean</t>
  </si>
  <si>
    <t>http://public.eblib.com/choice/PublicFullRecord.aspx?p=4671779</t>
  </si>
  <si>
    <t>Northrop Frye's Writings on the Eighteenth and Nineteenth Centuries</t>
  </si>
  <si>
    <t>Salusinszky, Imre</t>
  </si>
  <si>
    <t>PR461.N678 2005</t>
  </si>
  <si>
    <t>http://public.eblib.com/choice/PublicFullRecord.aspx?p=4671780</t>
  </si>
  <si>
    <t>North, South, and the  Environmental Cris</t>
  </si>
  <si>
    <t>White, Rodney R.</t>
  </si>
  <si>
    <t>GE170.W458 1993</t>
  </si>
  <si>
    <t>http://public.eblib.com/choice/PublicFullRecord.aspx?p=4671781</t>
  </si>
  <si>
    <t>Not One of the Family : Foreign Domestic Workers in Canada</t>
  </si>
  <si>
    <t>Bakan, Abigail; Stasiulis, Daiva</t>
  </si>
  <si>
    <t>HD6072.2.C2.N68 1997</t>
  </si>
  <si>
    <t>http://public.eblib.com/choice/PublicFullRecord.aspx?p=4671782</t>
  </si>
  <si>
    <t>Notes from Exile</t>
  </si>
  <si>
    <t>Zola, Emile; Portebois, Yannick; Speirs, Dorothy E.; Speirs, Dorothy; Portebois, Yannick</t>
  </si>
  <si>
    <t>PQ2529.Z653 2003</t>
  </si>
  <si>
    <t>Exile (Punishment)</t>
  </si>
  <si>
    <t>http://public.eblib.com/choice/PublicFullRecord.aspx?p=4671783</t>
  </si>
  <si>
    <t>Notes of Me : The Autobiography of Roger North</t>
  </si>
  <si>
    <t>North, Roger; Millard, Peter</t>
  </si>
  <si>
    <t>DA437.N87.N684 2000</t>
  </si>
  <si>
    <t>http://public.eblib.com/choice/PublicFullRecord.aspx?p=4671784</t>
  </si>
  <si>
    <t>Ocean Bridge : The History of RAF Ferry Command</t>
  </si>
  <si>
    <t>Christie, Carl, A.</t>
  </si>
  <si>
    <t>D745.2.C475 1995</t>
  </si>
  <si>
    <t>http://public.eblib.com/choice/PublicFullRecord.aspx?p=4671786</t>
  </si>
  <si>
    <t>Of Philosophers and Kings : Political Philosophy in Shakespeare's Macbeth and King Lear</t>
  </si>
  <si>
    <t>Craig, Leon Harold</t>
  </si>
  <si>
    <t>PR2819.C735 2001</t>
  </si>
  <si>
    <t>http://public.eblib.com/choice/PublicFullRecord.aspx?p=4671787</t>
  </si>
  <si>
    <t>Of Property and Propriety : The Role of Gender and Class in Imperialism and Nationalism</t>
  </si>
  <si>
    <t>Bannerji, Himani; Mojab, Shahrzad; Whitehead, Judith; Whitehead, Judith</t>
  </si>
  <si>
    <t>HQ1236.O3 2001</t>
  </si>
  <si>
    <t>http://public.eblib.com/choice/PublicFullRecord.aspx?p=4671788</t>
  </si>
  <si>
    <t>Oil, the State, and Federalism : The Rise and Demise of Petro-Canada as a Statist Impulse</t>
  </si>
  <si>
    <t>Fossum, John Erik</t>
  </si>
  <si>
    <t>HD9574.C24.F677 1997</t>
  </si>
  <si>
    <t>http://public.eblib.com/choice/PublicFullRecord.aspx?p=4671789</t>
  </si>
  <si>
    <t>Old Babylonian Period (2003-1595 B.C.) : Early Periods, Volume 4</t>
  </si>
  <si>
    <t>PJ4070.F739 1990</t>
  </si>
  <si>
    <t>http://public.eblib.com/choice/PublicFullRecord.aspx?p=4671791</t>
  </si>
  <si>
    <t>Old English Glossed Psalters</t>
  </si>
  <si>
    <t>Pulsiano, Phillip</t>
  </si>
  <si>
    <t>BX2033.O43 2001</t>
  </si>
  <si>
    <t>Psaltiers - Angleterre</t>
  </si>
  <si>
    <t>http://public.eblib.com/choice/PublicFullRecord.aspx?p=4671792</t>
  </si>
  <si>
    <t>Old English Verse Saints Lives</t>
  </si>
  <si>
    <t>Bjork, Robert E.</t>
  </si>
  <si>
    <t>PR208.B567 1985</t>
  </si>
  <si>
    <t>http://public.eblib.com/choice/PublicFullRecord.aspx?p=4671793</t>
  </si>
  <si>
    <t>Olive-Tree Bed and Other Quests</t>
  </si>
  <si>
    <t>PN56.5.H45.L44 1997</t>
  </si>
  <si>
    <t>http://public.eblib.com/choice/PublicFullRecord.aspx?p=4671794</t>
  </si>
  <si>
    <t>On the Case : Explorations in Social History</t>
  </si>
  <si>
    <t>Iacovetta, Franca; Mitchinson, Wendy</t>
  </si>
  <si>
    <t>HM104.O5 1998</t>
  </si>
  <si>
    <t>Archives - Canada</t>
  </si>
  <si>
    <t>http://public.eblib.com/choice/PublicFullRecord.aspx?p=4671795</t>
  </si>
  <si>
    <t>Ontario's Cattle Kingdom : Purebred Breeders and Their World, 1870-1920</t>
  </si>
  <si>
    <t>Derry, Margaret</t>
  </si>
  <si>
    <t>SF196.C2.D477 2001</t>
  </si>
  <si>
    <t>http://public.eblib.com/choice/PublicFullRecord.aspx?p=4671796</t>
  </si>
  <si>
    <t>Opportunity and Uncertainty : Life Course Experiences of the Class of '73</t>
  </si>
  <si>
    <t>Anisef, Paul; Axelrod, Paul; Baichman-Anisef, Etta; James, Carl E.</t>
  </si>
  <si>
    <t>LB1695.8.C2.O676 2000</t>
  </si>
  <si>
    <t>http://public.eblib.com/choice/PublicFullRecord.aspx?p=4671797</t>
  </si>
  <si>
    <t>The Ordering of Justice : A Study of Accused Persons as Dependants in the Criminal Process</t>
  </si>
  <si>
    <t>Baranek, Patricia M.; Ericson, Richard V.; Friedenberg, Edgar</t>
  </si>
  <si>
    <t>KE9260.E753 1989</t>
  </si>
  <si>
    <t>http://public.eblib.com/choice/PublicFullRecord.aspx?p=4671798</t>
  </si>
  <si>
    <t>Origin and Authority in Seventeenth-Century England</t>
  </si>
  <si>
    <t>Snider, Alvin</t>
  </si>
  <si>
    <t>B1131.S653 1994</t>
  </si>
  <si>
    <t>http://public.eblib.com/choice/PublicFullRecord.aspx?p=4671799</t>
  </si>
  <si>
    <t>Origin Stories in Political Thought : Discourses on Gender, Power, and Citizenship</t>
  </si>
  <si>
    <t>Wright, Joanne H.</t>
  </si>
  <si>
    <t>JC336.W754 2004</t>
  </si>
  <si>
    <t>http://public.eblib.com/choice/PublicFullRecord.aspx?p=4671800</t>
  </si>
  <si>
    <t>Our Children's Future : Child Care Policy in Canada</t>
  </si>
  <si>
    <t>Cleveland, Gordon; Krashinsky, Michael</t>
  </si>
  <si>
    <t>HQ778.7.C2.O97 2001</t>
  </si>
  <si>
    <t>Garde des enfants - Politique gouvernementale - Canada</t>
  </si>
  <si>
    <t>http://public.eblib.com/choice/PublicFullRecord.aspx?p=4671801</t>
  </si>
  <si>
    <t>Our Glory and Our Grief : Torontonians and the Great War</t>
  </si>
  <si>
    <t>Miller, Ian</t>
  </si>
  <si>
    <t>F1059.5.T6857.M555 2002</t>
  </si>
  <si>
    <t>http://public.eblib.com/choice/PublicFullRecord.aspx?p=4671802</t>
  </si>
  <si>
    <t>Overland to Starvation Cove : With the Inuit in Search of Franklin, 1878-1880</t>
  </si>
  <si>
    <t>Klutschak, Heinrich; Barr, William</t>
  </si>
  <si>
    <t>G630.A5.K588 1987</t>
  </si>
  <si>
    <t>http://public.eblib.com/choice/PublicFullRecord.aspx?p=4671803</t>
  </si>
  <si>
    <t>Ovid and the Renaissance Body</t>
  </si>
  <si>
    <t>Stanivukovic, Goran</t>
  </si>
  <si>
    <t>PN721.O953 2001</t>
  </si>
  <si>
    <t>Human body in literature</t>
  </si>
  <si>
    <t>http://public.eblib.com/choice/PublicFullRecord.aspx?p=4671804</t>
  </si>
  <si>
    <t>Paddling Her Own Canoe : The Times and Texts of E. Pauline Johnson (Tekahionwake)</t>
  </si>
  <si>
    <t>Gerson, Carole; Strong-Boag, Veronica</t>
  </si>
  <si>
    <t>PR9199.2.J64.S776 2000</t>
  </si>
  <si>
    <t>http://public.eblib.com/choice/PublicFullRecord.aspx?p=4671805</t>
  </si>
  <si>
    <t>Padua and the Tudors : English Students in Italy, 1485-1603</t>
  </si>
  <si>
    <t>Woolfson, Jonathan</t>
  </si>
  <si>
    <t>LF3577.W665 1998</t>
  </si>
  <si>
    <t>http://public.eblib.com/choice/PublicFullRecord.aspx?p=4671806</t>
  </si>
  <si>
    <t>Painting with Words, Writing with Pictures : Word and Image Relations in the Work of Italo Calvino</t>
  </si>
  <si>
    <t>PQ4809.A45.R533 2001</t>
  </si>
  <si>
    <t>http://public.eblib.com/choice/PublicFullRecord.aspx?p=4671808</t>
  </si>
  <si>
    <t>'Paper-contestations' and Textual Communities in England, 1640-1675</t>
  </si>
  <si>
    <t>PR438.S63.S284 2005</t>
  </si>
  <si>
    <t>http://public.eblib.com/choice/PublicFullRecord.aspx?p=4671809</t>
  </si>
  <si>
    <t>The Parliament of Canada</t>
  </si>
  <si>
    <t>Franks, C.E.S.</t>
  </si>
  <si>
    <t>JL136.F736 1989</t>
  </si>
  <si>
    <t>Parliament</t>
  </si>
  <si>
    <t>http://public.eblib.com/choice/PublicFullRecord.aspx?p=4671811</t>
  </si>
  <si>
    <t>Partisanship, Globalization, and Canadian Labour Market Policy : Four Provinces in Comparative Perspective</t>
  </si>
  <si>
    <t>Haddow, Rodney; Klassen, Thomas</t>
  </si>
  <si>
    <t>HD5728.H33 2006</t>
  </si>
  <si>
    <t>http://public.eblib.com/choice/PublicFullRecord.aspx?p=4671812</t>
  </si>
  <si>
    <t>Passion and Virtue : Essays on the Novels of Samuel Richardson</t>
  </si>
  <si>
    <t>Blewett, David; Blewett, David</t>
  </si>
  <si>
    <t>PR3667.P377 2001</t>
  </si>
  <si>
    <t>http://public.eblib.com/choice/PublicFullRecord.aspx?p=4671813</t>
  </si>
  <si>
    <t>Patrons of Enlightenment</t>
  </si>
  <si>
    <t>B802.A537 2006</t>
  </si>
  <si>
    <t>http://public.eblib.com/choice/PublicFullRecord.aspx?p=4671814</t>
  </si>
  <si>
    <t>Peel's Bibliography of the Canadian Prairies to 1953</t>
  </si>
  <si>
    <t>Peel, Bruce Braden; Distad, N. Merrill; Ingles, Ernest B.</t>
  </si>
  <si>
    <t>Z1392.P7.P445 2003</t>
  </si>
  <si>
    <t>http://public.eblib.com/choice/PublicFullRecord.aspx?p=4671815</t>
  </si>
  <si>
    <t>Peirce, Signs, and Meaning</t>
  </si>
  <si>
    <t>Merrell, Floyd</t>
  </si>
  <si>
    <t>B945.P44.M477 1997</t>
  </si>
  <si>
    <t>http://public.eblib.com/choice/PublicFullRecord.aspx?p=4671816</t>
  </si>
  <si>
    <t>Pension Power : Unions, Pension Funds, and Social Investment in Canada</t>
  </si>
  <si>
    <t>Carmichael, Isla</t>
  </si>
  <si>
    <t>HD7105.45.C2.C376 2005</t>
  </si>
  <si>
    <t>http://public.eblib.com/choice/PublicFullRecord.aspx?p=4671817</t>
  </si>
  <si>
    <t>Performance Degree Zero : Roland Barthes and Theatre</t>
  </si>
  <si>
    <t>Scheie, Timothy</t>
  </si>
  <si>
    <t>PN1708.B27.S345 2006</t>
  </si>
  <si>
    <t>http://public.eblib.com/choice/PublicFullRecord.aspx?p=4671818</t>
  </si>
  <si>
    <t>Periodicals of Queen Victoria's Empire : An Exploration</t>
  </si>
  <si>
    <t>VanArsdel, Rosemary; Vann, J. Don</t>
  </si>
  <si>
    <t>PN5124.P4.P475 1996</t>
  </si>
  <si>
    <t>http://public.eblib.com/choice/PublicFullRecord.aspx?p=4671819</t>
  </si>
  <si>
    <t>Personal Liberty and Public Good : The Introduction of John Stuart Mill to Japan and China</t>
  </si>
  <si>
    <t>Howland, Douglas R.</t>
  </si>
  <si>
    <t>JC585.H78 2005</t>
  </si>
  <si>
    <t>http://public.eblib.com/choice/PublicFullRecord.aspx?p=4671820</t>
  </si>
  <si>
    <t>Perspectives on Racism and the Human Services Sector : A Case for Change</t>
  </si>
  <si>
    <t>James, Carl E.; James, Carl E.</t>
  </si>
  <si>
    <t>HV3176.P477 1996</t>
  </si>
  <si>
    <t>http://public.eblib.com/choice/PublicFullRecord.aspx?p=4671821</t>
  </si>
  <si>
    <t>Philosophical Encounters : Lonergan and the Analytic Tradition</t>
  </si>
  <si>
    <t>Fitzpatrick, Joseph</t>
  </si>
  <si>
    <t>B995.L654.F589 2005</t>
  </si>
  <si>
    <t>http://public.eblib.com/choice/PublicFullRecord.aspx?p=4671824</t>
  </si>
  <si>
    <t>Philosophy and Freedom : The Legacy of James Doull</t>
  </si>
  <si>
    <t>Peddle, David; Robertson, Neil G.; Robertson, Neil G.</t>
  </si>
  <si>
    <t>Philosophy; Library Science</t>
  </si>
  <si>
    <t>B824.4.P455 2003</t>
  </si>
  <si>
    <t>Liberty - Philosophy</t>
  </si>
  <si>
    <t>http://public.eblib.com/choice/PublicFullRecord.aspx?p=4671825</t>
  </si>
  <si>
    <t>Philosophy in a Time of Lost Spirit : Essays on Contemporary Theory</t>
  </si>
  <si>
    <t>Beiner, Ron</t>
  </si>
  <si>
    <t>JC574.B456 1997</t>
  </si>
  <si>
    <t>http://public.eblib.com/choice/PublicFullRecord.aspx?p=4671826</t>
  </si>
  <si>
    <t>The Philosophy of Railways : The Transcontinental Railway Idea in British North America</t>
  </si>
  <si>
    <t>Otter, A. A. den</t>
  </si>
  <si>
    <t>HE2810.C2.O884 1997</t>
  </si>
  <si>
    <t>http://public.eblib.com/choice/PublicFullRecord.aspx?p=4671828</t>
  </si>
  <si>
    <t>Picturing Knowledge : Historical and Philosophical Problems Concerning the Use of Art in Science</t>
  </si>
  <si>
    <t>Baigrie, Brian S.</t>
  </si>
  <si>
    <t>Q222.P538 1996</t>
  </si>
  <si>
    <t>http://public.eblib.com/choice/PublicFullRecord.aspx?p=4671829</t>
  </si>
  <si>
    <t>Pier Paolo Pasolini : Contemporary Perspectives</t>
  </si>
  <si>
    <t>Rumble, Patrick; Testa, Bart</t>
  </si>
  <si>
    <t>PQ4835.A48.P547 1994</t>
  </si>
  <si>
    <t>858/.91409</t>
  </si>
  <si>
    <t>Criticism and interpretation</t>
  </si>
  <si>
    <t>http://public.eblib.com/choice/PublicFullRecord.aspx?p=4671830</t>
  </si>
  <si>
    <t>Pink Blood : Homophobic Violence in Canada</t>
  </si>
  <si>
    <t>Janoff, Douglas Victor</t>
  </si>
  <si>
    <t>HV6250.4.H66</t>
  </si>
  <si>
    <t>http://public.eblib.com/choice/PublicFullRecord.aspx?p=4671831</t>
  </si>
  <si>
    <t>Place Names of Atlantic Canada</t>
  </si>
  <si>
    <t>Hamilton, William B.</t>
  </si>
  <si>
    <t>F1035.8.H365 1996</t>
  </si>
  <si>
    <t>917.15/003</t>
  </si>
  <si>
    <t>http://public.eblib.com/choice/PublicFullRecord.aspx?p=4671832</t>
  </si>
  <si>
    <t>Plato Baptized : Towards the Interpretation of Spenser's Mimetic Fictions</t>
  </si>
  <si>
    <t>Bieman, Elizabeth</t>
  </si>
  <si>
    <t>PR2367.R4.B546 1988</t>
  </si>
  <si>
    <t>http://public.eblib.com/choice/PublicFullRecord.aspx?p=4671833</t>
  </si>
  <si>
    <t>Play and the Picaresque : Lazarillo de Tormes, Libro de Manuel and Match Ball</t>
  </si>
  <si>
    <t>PQ6147.P5.Y683 1999</t>
  </si>
  <si>
    <t>http://public.eblib.com/choice/PublicFullRecord.aspx?p=4671834</t>
  </si>
  <si>
    <t>Playing with Desire : Christopher Marlowe and the Art of Tantalization</t>
  </si>
  <si>
    <t>Tromly, Fred B.</t>
  </si>
  <si>
    <t>PR2677.T37.T766 1998</t>
  </si>
  <si>
    <t>http://public.eblib.com/choice/PublicFullRecord.aspx?p=4671835</t>
  </si>
  <si>
    <t>Poiesis and Possible Worlds : A Study in Modality and Literary Theory</t>
  </si>
  <si>
    <t>Martin, Thomas L.</t>
  </si>
  <si>
    <t>PN54.M378 2004</t>
  </si>
  <si>
    <t>http://public.eblib.com/choice/PublicFullRecord.aspx?p=4671838</t>
  </si>
  <si>
    <t>Police Powers in Canada : The Evolution and Practice of Authority</t>
  </si>
  <si>
    <t>Macleod, R.C.; Schneiderman, David; Macleod, R. C.</t>
  </si>
  <si>
    <t>HV8157.P655 1994</t>
  </si>
  <si>
    <t>http://public.eblib.com/choice/PublicFullRecord.aspx?p=4671839</t>
  </si>
  <si>
    <t>The Politics of Nationalism in Canada : Cultural Conflict since 1760</t>
  </si>
  <si>
    <t>Chennells, David W.; Chennells, David</t>
  </si>
  <si>
    <t>F1026.C446 2001</t>
  </si>
  <si>
    <t>320.54/0971</t>
  </si>
  <si>
    <t>http://public.eblib.com/choice/PublicFullRecord.aspx?p=4671842</t>
  </si>
  <si>
    <t>Polyglot Joyce : Fictions of Translation</t>
  </si>
  <si>
    <t>PR6019.O9.O645 2005</t>
  </si>
  <si>
    <t>http://public.eblib.com/choice/PublicFullRecord.aspx?p=4671843</t>
  </si>
  <si>
    <t>Portuguese Women in Toronto : Gender, Immigration, and Nationalism</t>
  </si>
  <si>
    <t>Giles, Wenona</t>
  </si>
  <si>
    <t>HV4013.C2.G554 2002</t>
  </si>
  <si>
    <t>305.48/86910713541</t>
  </si>
  <si>
    <t>http://public.eblib.com/choice/PublicFullRecord.aspx?p=4671844</t>
  </si>
  <si>
    <t>A Postmodern Revelation : Signs of Astrology and the Apocalypse</t>
  </si>
  <si>
    <t>Chevalier, Jacques M.</t>
  </si>
  <si>
    <t>BS2825.2.C448 1997</t>
  </si>
  <si>
    <t>228/.068</t>
  </si>
  <si>
    <t>http://public.eblib.com/choice/PublicFullRecord.aspx?p=4671845</t>
  </si>
  <si>
    <t>Poverty, Social Assistance, and the  Empl : Restructuring Welfare States</t>
  </si>
  <si>
    <t>Baker, Maureen; Tippin, David</t>
  </si>
  <si>
    <t>HV697.B354 1999</t>
  </si>
  <si>
    <t>362.83/9</t>
  </si>
  <si>
    <t>http://public.eblib.com/choice/PublicFullRecord.aspx?p=4671846</t>
  </si>
  <si>
    <t>Power Switch : Energy Regulatory Governance in the Twenty-First Century</t>
  </si>
  <si>
    <t>Doern, G. Bruce; Gattinger, Monica</t>
  </si>
  <si>
    <t>HD9502.C32.D647 2003</t>
  </si>
  <si>
    <t>333.79/0971</t>
  </si>
  <si>
    <t>Politique energetique - Etats-Unis</t>
  </si>
  <si>
    <t>http://public.eblib.com/choice/PublicFullRecord.aspx?p=4671848</t>
  </si>
  <si>
    <t>Practical Judgments : Essays in Culture, Politics, and Interpretation</t>
  </si>
  <si>
    <t>Kingwell, Mark</t>
  </si>
  <si>
    <t>General Works/Reference; Political Science</t>
  </si>
  <si>
    <t>JA75.7.K564 2004</t>
  </si>
  <si>
    <t>http://public.eblib.com/choice/PublicFullRecord.aspx?p=4671849</t>
  </si>
  <si>
    <t>Practising Femininity : Domestic Realism and the Performance of Gender in Early Canadian Fiction</t>
  </si>
  <si>
    <t>PR9188.D436 1998</t>
  </si>
  <si>
    <t>813.009/352042</t>
  </si>
  <si>
    <t>http://public.eblib.com/choice/PublicFullRecord.aspx?p=4671850</t>
  </si>
  <si>
    <t>Pragmatic Plagiarism : Authorship, Profit, and Power</t>
  </si>
  <si>
    <t>Randall, Marilyn</t>
  </si>
  <si>
    <t>PN167.R363 2001</t>
  </si>
  <si>
    <t>http://public.eblib.com/choice/PublicFullRecord.aspx?p=4671852</t>
  </si>
  <si>
    <t>Printed Voices : The Renaissance Culture of Dialogue</t>
  </si>
  <si>
    <t>Heitsch, Dorothea; Vallee, Jean-Francois; Vall?e, Jean-Fran?ois</t>
  </si>
  <si>
    <t>PN1551.P75 2004</t>
  </si>
  <si>
    <t>http://public.eblib.com/choice/PublicFullRecord.aspx?p=4671853</t>
  </si>
  <si>
    <t>Prison Terms : Representing Confinement During and After Italian Fascism</t>
  </si>
  <si>
    <t>Nerenberg, Ellen; Nerenberg, Ellen</t>
  </si>
  <si>
    <t>PQ4053.P76.N474 2001</t>
  </si>
  <si>
    <t>850.9/355</t>
  </si>
  <si>
    <t>http://public.eblib.com/choice/PublicFullRecord.aspx?p=4671854</t>
  </si>
  <si>
    <t>Private Interests : Women, Portraiture, and the Visual Culture of the English Novel, 1709-1791</t>
  </si>
  <si>
    <t>Conway, Alison; Conway, Alison</t>
  </si>
  <si>
    <t>PR858.A74.C669 2001</t>
  </si>
  <si>
    <t>823/.509357</t>
  </si>
  <si>
    <t>http://public.eblib.com/choice/PublicFullRecord.aspx?p=4671855</t>
  </si>
  <si>
    <t>Privatization, Law, and the Challenge to Feminism</t>
  </si>
  <si>
    <t>Cossman, Brenda; Fudge, Judy</t>
  </si>
  <si>
    <t>HV1448.C2.P758 2002</t>
  </si>
  <si>
    <t>305.42/0971</t>
  </si>
  <si>
    <t>http://public.eblib.com/choice/PublicFullRecord.aspx?p=4671856</t>
  </si>
  <si>
    <t>Probability Theory and Probability Semantics</t>
  </si>
  <si>
    <t>Leblanc, Hughes; Roeper, Peter</t>
  </si>
  <si>
    <t>BC141.R647 1999</t>
  </si>
  <si>
    <t>121/.63</t>
  </si>
  <si>
    <t>http://public.eblib.com/choice/PublicFullRecord.aspx?p=4671857</t>
  </si>
  <si>
    <t>Professing English : A Life of Roy Daniells</t>
  </si>
  <si>
    <t>PR55.D36.D593 2002</t>
  </si>
  <si>
    <t>428/.0092</t>
  </si>
  <si>
    <t>Biography</t>
  </si>
  <si>
    <t>http://public.eblib.com/choice/PublicFullRecord.aspx?p=4671858</t>
  </si>
  <si>
    <t>Profits and Politics : Beaverbrook and the Gilded Age of Canadian Finance</t>
  </si>
  <si>
    <t>Marchildon, Gregory</t>
  </si>
  <si>
    <t>HD2746.55.C2.M373 1996</t>
  </si>
  <si>
    <t>http://public.eblib.com/choice/PublicFullRecord.aspx?p=4671859</t>
  </si>
  <si>
    <t>Promise of Eden : The Canadian Expansionist Movement and the Idea of the West, 1856-1900</t>
  </si>
  <si>
    <t>Owram, Doug</t>
  </si>
  <si>
    <t>F1060.9.O973 1992</t>
  </si>
  <si>
    <t>http://public.eblib.com/choice/PublicFullRecord.aspx?p=4671860</t>
  </si>
  <si>
    <t>Promoters, Patriots, and Partisans : Historiography in Nineteenth-Century English Canada</t>
  </si>
  <si>
    <t>Taylor, M. Brook</t>
  </si>
  <si>
    <t>F1024.T395 1989</t>
  </si>
  <si>
    <t>971/.0072</t>
  </si>
  <si>
    <t>Canada - Historiography</t>
  </si>
  <si>
    <t>http://public.eblib.com/choice/PublicFullRecord.aspx?p=4671861</t>
  </si>
  <si>
    <t>A Proper Dyaloge Betwene a Gentillman An</t>
  </si>
  <si>
    <t>BR304.P767 1996</t>
  </si>
  <si>
    <t>http://public.eblib.com/choice/PublicFullRecord.aspx?p=4671863</t>
  </si>
  <si>
    <t>Protecting Rights and Freedoms : Essays on the Charter's Place in Canada's Political, Legal, and Intellectual life</t>
  </si>
  <si>
    <t>Russell, John; Davis, Stephen; Bryden, Philip; Davis, Stephen A.</t>
  </si>
  <si>
    <t>KE4381.5.P768 1994</t>
  </si>
  <si>
    <t>323/.0971/09048</t>
  </si>
  <si>
    <t>1980-</t>
  </si>
  <si>
    <t>http://public.eblib.com/choice/PublicFullRecord.aspx?p=4671864</t>
  </si>
  <si>
    <t>Proust and Emotion : The Importance of Affect in "A la recherche du temps perdu"</t>
  </si>
  <si>
    <t>Wimmers, Inge  Crosman</t>
  </si>
  <si>
    <t>PQ2631.R63A9444 2003</t>
  </si>
  <si>
    <t>http://public.eblib.com/choice/PublicFullRecord.aspx?p=4671865</t>
  </si>
  <si>
    <t>Provincial and Teritorial Legislatures I</t>
  </si>
  <si>
    <t>Levy, Gary; White, Graham</t>
  </si>
  <si>
    <t>JL179.P768 1989</t>
  </si>
  <si>
    <t>http://public.eblib.com/choice/PublicFullRecord.aspx?p=4671866</t>
  </si>
  <si>
    <t>Provincial Justice : Upper Canadian Legal Portraits</t>
  </si>
  <si>
    <t>Fraser, Robert L.</t>
  </si>
  <si>
    <t>KE396.O67.P768 1992</t>
  </si>
  <si>
    <t>349.713/092/2</t>
  </si>
  <si>
    <t>http://public.eblib.com/choice/PublicFullRecord.aspx?p=4671867</t>
  </si>
  <si>
    <t>Public Science, Private Interests : Culture and Commerce in Canada's Networks of Centres of Excellence</t>
  </si>
  <si>
    <t>Atkinson-Grosjean, Janet</t>
  </si>
  <si>
    <t>Q180.C2.A855 2006</t>
  </si>
  <si>
    <t>507.2/071</t>
  </si>
  <si>
    <t>http://public.eblib.com/choice/PublicFullRecord.aspx?p=4671868</t>
  </si>
  <si>
    <t>Punishment in Disguise : Penal Governance and Canadian Women's Imprisonment</t>
  </si>
  <si>
    <t>Hannah-Moffat, Kelly</t>
  </si>
  <si>
    <t>HV9507.H366 2001</t>
  </si>
  <si>
    <t>http://public.eblib.com/choice/PublicFullRecord.aspx?p=4671869</t>
  </si>
  <si>
    <t>Putting Children First : A Guide for Parents Breaking Up</t>
  </si>
  <si>
    <t>Bartha, Christina; McDonough, Hanna</t>
  </si>
  <si>
    <t>HQ814.M336 1999</t>
  </si>
  <si>
    <t>http://public.eblib.com/choice/PublicFullRecord.aspx?p=4671870</t>
  </si>
  <si>
    <t>Puzzles for the Will</t>
  </si>
  <si>
    <t>Sobel, Jordan Howard</t>
  </si>
  <si>
    <t>BJ1461.S634 1998</t>
  </si>
  <si>
    <t>http://public.eblib.com/choice/PublicFullRecord.aspx?p=4671871</t>
  </si>
  <si>
    <t>Quaqtaq : Modernity and Identity in an Inuit Community</t>
  </si>
  <si>
    <t>E99.E7.D673 2001</t>
  </si>
  <si>
    <t>306/.089/9710714111</t>
  </si>
  <si>
    <t>http://public.eblib.com/choice/PublicFullRecord.aspx?p=4671873</t>
  </si>
  <si>
    <t>Queer Judgments : Homosexuality, Expression, and the Courts in Canada</t>
  </si>
  <si>
    <t>KE4399.M333 2000</t>
  </si>
  <si>
    <t>349.71/086/64</t>
  </si>
  <si>
    <t>Homosexuality - Law and legislation - Canada</t>
  </si>
  <si>
    <t>http://public.eblib.com/choice/PublicFullRecord.aspx?p=4671874</t>
  </si>
  <si>
    <t>Questions of Tradition</t>
  </si>
  <si>
    <t>Phillips, Mark; Schochet, Gordon</t>
  </si>
  <si>
    <t>B105.T7.Q478 2004</t>
  </si>
  <si>
    <t>http://public.eblib.com/choice/PublicFullRecord.aspx?p=4671875</t>
  </si>
  <si>
    <t>Racial Profiling in Canada : Challenging the Myth of ‘a Few Bad Apples’</t>
  </si>
  <si>
    <t>Henry, Frances; Tator, Carol; Smith, Charles; Brown, Maureen</t>
  </si>
  <si>
    <t>HV7936.R3T38 2006</t>
  </si>
  <si>
    <t>http://public.eblib.com/choice/PublicFullRecord.aspx?p=4671876</t>
  </si>
  <si>
    <t>Ragas of Longing : The Poetry of Michael Ondaatje</t>
  </si>
  <si>
    <t>PR9199.3.O5.S654 2003</t>
  </si>
  <si>
    <t>http://public.eblib.com/choice/PublicFullRecord.aspx?p=4671877</t>
  </si>
  <si>
    <t>Rapt in Plaid : Canadian Literature and Scottish Tradition</t>
  </si>
  <si>
    <t>Waterston, Elizabeth</t>
  </si>
  <si>
    <t>PR9185.3.W38 2001</t>
  </si>
  <si>
    <t>http://public.eblib.com/choice/PublicFullRecord.aspx?p=4671878</t>
  </si>
  <si>
    <t>Reading and Variant in Petronius : Studies in the French Humanists and their Manuscript Sources</t>
  </si>
  <si>
    <t>Richardson, Wade T.</t>
  </si>
  <si>
    <t>PA6559.R534 1993</t>
  </si>
  <si>
    <t>873/.01</t>
  </si>
  <si>
    <t>France</t>
  </si>
  <si>
    <t>http://public.eblib.com/choice/PublicFullRecord.aspx?p=4671879</t>
  </si>
  <si>
    <t>Reading Bayle</t>
  </si>
  <si>
    <t>Lennon, Thomas M.</t>
  </si>
  <si>
    <t>B1825.Z7.L466 1999</t>
  </si>
  <si>
    <t>http://public.eblib.com/choice/PublicFullRecord.aspx?p=4671880</t>
  </si>
  <si>
    <t>Reading Theatre</t>
  </si>
  <si>
    <t>Ubersfeld, Anne; Debbeche, Jean-Patrick; Perron, Paul J.; Collins, Frank H.</t>
  </si>
  <si>
    <t>PN2039.U247 1999</t>
  </si>
  <si>
    <t>792/.01/4</t>
  </si>
  <si>
    <t>Theater - Semiotics</t>
  </si>
  <si>
    <t>http://public.eblib.com/choice/PublicFullRecord.aspx?p=4671881</t>
  </si>
  <si>
    <t>Reality : Fundamental Topics in Metaphysics</t>
  </si>
  <si>
    <t>Loptson, Peter J.</t>
  </si>
  <si>
    <t>BD111.L678 2001</t>
  </si>
  <si>
    <t>Metaphysics</t>
  </si>
  <si>
    <t>http://public.eblib.com/choice/PublicFullRecord.aspx?p=4671882</t>
  </si>
  <si>
    <t>Reclaiming the Future : New Zealand and the Global Economy</t>
  </si>
  <si>
    <t>Kelsey, Elizabeth Jane</t>
  </si>
  <si>
    <t>HF1642.5.K457 1999</t>
  </si>
  <si>
    <t>http://public.eblib.com/choice/PublicFullRecord.aspx?p=4671883</t>
  </si>
  <si>
    <t>Reconstructing Architecture for the Twenty-first Century : An Inquiry into the Architect's World</t>
  </si>
  <si>
    <t>Jackson, Anthony</t>
  </si>
  <si>
    <t>NA2500.J335 1995</t>
  </si>
  <si>
    <t>http://public.eblib.com/choice/PublicFullRecord.aspx?p=4671884</t>
  </si>
  <si>
    <t>Reconstructing 'Dropout' : A Critical Ethnography of the Dynamics of Black Students' Disengagement from School</t>
  </si>
  <si>
    <t>Dei, George J. Sefa; Mazzuca, Josephine; McIsaac, Elizabeth; Zine, Jasmin; Ogbu, John</t>
  </si>
  <si>
    <t>LC145.8.C2.R436 1997</t>
  </si>
  <si>
    <t>371.2/913/089960713</t>
  </si>
  <si>
    <t>http://public.eblib.com/choice/PublicFullRecord.aspx?p=4671885</t>
  </si>
  <si>
    <t>Recycling the Cycle : The City of Chester and Its Whitsun Plays</t>
  </si>
  <si>
    <t>PR644.C4.M555 1998</t>
  </si>
  <si>
    <t>http://public.eblib.com/choice/PublicFullRecord.aspx?p=4671886</t>
  </si>
  <si>
    <t>Redirecting Philosophy : The Nature of Knowledge from Plato to Lonergan</t>
  </si>
  <si>
    <t>Meynell, Hugo A.; Meynell, Hugo</t>
  </si>
  <si>
    <t>BD161.M496 1998</t>
  </si>
  <si>
    <t>http://public.eblib.com/choice/PublicFullRecord.aspx?p=4671888</t>
  </si>
  <si>
    <t>Reformers On Stage : Popular Drama and Propaganda  in the Low Countries of Charles V, 1515-1556</t>
  </si>
  <si>
    <t>Waite, Gary K.; Waite, Gary K.</t>
  </si>
  <si>
    <t>PT5267.C5.W358 2000</t>
  </si>
  <si>
    <t>839.3/12209382</t>
  </si>
  <si>
    <t>http://public.eblib.com/choice/PublicFullRecord.aspx?p=4671889</t>
  </si>
  <si>
    <t>Reformers, Rebels, and Revolutionaries : The Western Canadian Radical Movement 1899-1919</t>
  </si>
  <si>
    <t>McCormack, A. Ross</t>
  </si>
  <si>
    <t>HX109.M336 1991</t>
  </si>
  <si>
    <t>320.5/315/0971</t>
  </si>
  <si>
    <t>http://public.eblib.com/choice/PublicFullRecord.aspx?p=4671890</t>
  </si>
  <si>
    <t>Regression and Apocalypse : Studies in North American Literary Expressionism</t>
  </si>
  <si>
    <t>PS351.G733 1989</t>
  </si>
  <si>
    <t>http://public.eblib.com/choice/PublicFullRecord.aspx?p=4671891</t>
  </si>
  <si>
    <t>Regulating Eden : The Nature of Order in North American Parks</t>
  </si>
  <si>
    <t>Hermer, Joe</t>
  </si>
  <si>
    <t>KDZ647.H476 2002</t>
  </si>
  <si>
    <t>346.7104/6783</t>
  </si>
  <si>
    <t>Management</t>
  </si>
  <si>
    <t>http://public.eblib.com/choice/PublicFullRecord.aspx?p=4671892</t>
  </si>
  <si>
    <t>Regulating Traffic Safety</t>
  </si>
  <si>
    <t>Friedland, Martin; Trebilcock, M.</t>
  </si>
  <si>
    <t>HE5614.F754 1990</t>
  </si>
  <si>
    <t>Traffic regulations</t>
  </si>
  <si>
    <t>http://public.eblib.com/choice/PublicFullRecord.aspx?p=4671893</t>
  </si>
  <si>
    <t>Regulatory Institutions in N.A.</t>
  </si>
  <si>
    <t>Doern, G. Bruce; Wilks, Stephen</t>
  </si>
  <si>
    <t>HD3616.G73.C436 1998</t>
  </si>
  <si>
    <t>http://public.eblib.com/choice/PublicFullRecord.aspx?p=4671894</t>
  </si>
  <si>
    <t>Religion and Public Life in Canada : Historical and Comparative Perspectives</t>
  </si>
  <si>
    <t>BR115.P7.R455 2001</t>
  </si>
  <si>
    <t>Christianity and politics - Canada</t>
  </si>
  <si>
    <t>http://public.eblib.com/choice/PublicFullRecord.aspx?p=4671895</t>
  </si>
  <si>
    <t>Remnants of Nation : On Poverty Narratives by Women</t>
  </si>
  <si>
    <t>Rimstead, Roxanne</t>
  </si>
  <si>
    <t>HQ1453.R567 2001</t>
  </si>
  <si>
    <t>305.5/69/0971</t>
  </si>
  <si>
    <t>Femmes pauvres - Canada</t>
  </si>
  <si>
    <t>http://public.eblib.com/choice/PublicFullRecord.aspx?p=4671896</t>
  </si>
  <si>
    <t>Renegade Lawyer : The Life of J.L. Cohen</t>
  </si>
  <si>
    <t>http://public.eblib.com/choice/PublicFullRecord.aspx?p=4671897</t>
  </si>
  <si>
    <t>Reordering the Natural World : Humans and Animals in the City</t>
  </si>
  <si>
    <t>Sabloff, Annabelle</t>
  </si>
  <si>
    <t>QL85.S235 2001</t>
  </si>
  <si>
    <t>304.2/7</t>
  </si>
  <si>
    <t>http://public.eblib.com/choice/PublicFullRecord.aspx?p=4671898</t>
  </si>
  <si>
    <t>Repression and Resistance : Canadian Human Rights Activists, 1930-1960</t>
  </si>
  <si>
    <t>Lambertson, Ross</t>
  </si>
  <si>
    <t>JC599.C2.L363 2005</t>
  </si>
  <si>
    <t>323/.092/271</t>
  </si>
  <si>
    <t>http://public.eblib.com/choice/PublicFullRecord.aspx?p=4671899</t>
  </si>
  <si>
    <t>Reproducing Order : A Study of Police Patrol Work</t>
  </si>
  <si>
    <t>Ericson, Richard V.</t>
  </si>
  <si>
    <t>HV8080.P2.E753 1991</t>
  </si>
  <si>
    <t>363.2/32/0971</t>
  </si>
  <si>
    <t>http://public.eblib.com/choice/PublicFullRecord.aspx?p=4671900</t>
  </si>
  <si>
    <t>Rereading Frye : The Published and the Unpublished Works</t>
  </si>
  <si>
    <t>Boyd, David V.; Salusinszky, Imre; Salusinszky, Imre</t>
  </si>
  <si>
    <t>PN75.F7</t>
  </si>
  <si>
    <t>http://public.eblib.com/choice/PublicFullRecord.aspx?p=4671901</t>
  </si>
  <si>
    <t>Rereading Power and Freedom in J.S. Mill</t>
  </si>
  <si>
    <t>Baum, Bruce</t>
  </si>
  <si>
    <t>JC585.B386 2000</t>
  </si>
  <si>
    <t>http://public.eblib.com/choice/PublicFullRecord.aspx?p=4671902</t>
  </si>
  <si>
    <t>Restraining Equality : Human Rights Commissions in Canada</t>
  </si>
  <si>
    <t>Howe, R. Brian; Johnson, David</t>
  </si>
  <si>
    <t>JC599.C3.H694 2000</t>
  </si>
  <si>
    <t>323/.0971</t>
  </si>
  <si>
    <t>http://public.eblib.com/choice/PublicFullRecord.aspx?p=4671903</t>
  </si>
  <si>
    <t>Restructuring Family Policies : Convergences and Divergences</t>
  </si>
  <si>
    <t>HV697.B354 2006</t>
  </si>
  <si>
    <t>http://public.eblib.com/choice/PublicFullRecord.aspx?p=4671904</t>
  </si>
  <si>
    <t>Restructuring Work and the Life Course</t>
  </si>
  <si>
    <t>Heinz, Walter R.; Krueger, Helga; Marshall, Victor W.; Verma, Anil</t>
  </si>
  <si>
    <t>HD4901.R478 2001</t>
  </si>
  <si>
    <t>http://public.eblib.com/choice/PublicFullRecord.aspx?p=4671905</t>
  </si>
  <si>
    <t>Rethinking Church, State, and Modernity : Canada Between Europe and the USA</t>
  </si>
  <si>
    <t>Lyon, David A.; Van Die, Marguerite</t>
  </si>
  <si>
    <t>BR570.R484 2000</t>
  </si>
  <si>
    <t>322/.1/0971</t>
  </si>
  <si>
    <t>Religion et Etat - Etats-Unis</t>
  </si>
  <si>
    <t>http://public.eblib.com/choice/PublicFullRecord.aspx?p=4671906</t>
  </si>
  <si>
    <t>Rethinking Women's Collaborative Writing : Power, Difference, Property</t>
  </si>
  <si>
    <t>York, Lorraine; York, Lorraine</t>
  </si>
  <si>
    <t>PR116.Y675 2002</t>
  </si>
  <si>
    <t>809/.89287</t>
  </si>
  <si>
    <t>Canadian literature - Women authors - History and criticism - Theory etc</t>
  </si>
  <si>
    <t>http://public.eblib.com/choice/PublicFullRecord.aspx?p=4671907</t>
  </si>
  <si>
    <t>Retrenchment and Regeneration in Rural Newfoundland</t>
  </si>
  <si>
    <t>Byron, Reginald</t>
  </si>
  <si>
    <t>HN110.N49.R487 2003</t>
  </si>
  <si>
    <t>307.72/09718</t>
  </si>
  <si>
    <t>http://public.eblib.com/choice/PublicFullRecord.aspx?p=4671908</t>
  </si>
  <si>
    <t>Revivals and Roller Rinks : Religion, Leisure, and Identity in Late-Nineteenth-Century Small-Town Ontario</t>
  </si>
  <si>
    <t>Marks, Lynne</t>
  </si>
  <si>
    <t>F1057.M375 1996</t>
  </si>
  <si>
    <t>http://public.eblib.com/choice/PublicFullRecord.aspx?p=4671909</t>
  </si>
  <si>
    <t>Ride to Modernity : The Bicycle in Canada, 1869-1900</t>
  </si>
  <si>
    <t>Norcliffe, Glen</t>
  </si>
  <si>
    <t>GV1046.C2.N673 2001</t>
  </si>
  <si>
    <t>796.6/0971</t>
  </si>
  <si>
    <t>http://public.eblib.com/choice/PublicFullRecord.aspx?p=4671910</t>
  </si>
  <si>
    <t>Rights and Responsibilities</t>
  </si>
  <si>
    <t>Trakman, Leon; Gatien, Sean</t>
  </si>
  <si>
    <t>JC571.T735 1999</t>
  </si>
  <si>
    <t>http://public.eblib.com/choice/PublicFullRecord.aspx?p=4671911</t>
  </si>
  <si>
    <t>Risky Business : Canada's Changing Science-Based Policy and Regulatory Regime</t>
  </si>
  <si>
    <t>Doern, G. Bruce; Reed, Ted; Reed, Ted</t>
  </si>
  <si>
    <t>Business/Management; Science; Economics</t>
  </si>
  <si>
    <t>Q127.C2.R575 2000</t>
  </si>
  <si>
    <t>338.971/06</t>
  </si>
  <si>
    <t>Administrative agencies - Canada</t>
  </si>
  <si>
    <t>http://public.eblib.com/choice/PublicFullRecord.aspx?p=4671913</t>
  </si>
  <si>
    <t>Ritual, Routine, and Regime : Repetition in Early Modern British and European Cultures</t>
  </si>
  <si>
    <t>Clymer, Lorna</t>
  </si>
  <si>
    <t>BH301.R46.R588 2006</t>
  </si>
  <si>
    <t>001.3/09/032</t>
  </si>
  <si>
    <t>http://public.eblib.com/choice/PublicFullRecord.aspx?p=4671914</t>
  </si>
  <si>
    <t>Robert Browning's Language</t>
  </si>
  <si>
    <t>PR4244.H357 1999</t>
  </si>
  <si>
    <t>http://public.eblib.com/choice/PublicFullRecord.aspx?p=4671915</t>
  </si>
  <si>
    <t>Robert Copland : Complete Poems</t>
  </si>
  <si>
    <t>Copland, Robert; Erler, Mary; Clark, Mary Carpenter</t>
  </si>
  <si>
    <t>Architecture; History</t>
  </si>
  <si>
    <t>DG14.C675 1993</t>
  </si>
  <si>
    <t>http://public.eblib.com/choice/PublicFullRecord.aspx?p=4671916</t>
  </si>
  <si>
    <t>Rochester Cathedral, 604-1540 : An Architectural History</t>
  </si>
  <si>
    <t>McAleer, J. Philip</t>
  </si>
  <si>
    <t>BX5195.R637.M335 1999</t>
  </si>
  <si>
    <t>http://public.eblib.com/choice/PublicFullRecord.aspx?p=4671917</t>
  </si>
  <si>
    <t>The Rock Where We Stand : An Ethnography of Women's Activism in Newfoundland</t>
  </si>
  <si>
    <t>George, Glynis; George, Glynis</t>
  </si>
  <si>
    <t>HQ1236.5.C2.G467 2000</t>
  </si>
  <si>
    <t>305.42/09718</t>
  </si>
  <si>
    <t>http://public.eblib.com/choice/PublicFullRecord.aspx?p=4671918</t>
  </si>
  <si>
    <t>Romances of the Archive in Contemporary British Fiction</t>
  </si>
  <si>
    <t>Keen, Suzanne</t>
  </si>
  <si>
    <t>PR888.H5.K446 2003</t>
  </si>
  <si>
    <t>823/.9109358</t>
  </si>
  <si>
    <t>http://public.eblib.com/choice/PublicFullRecord.aspx?p=4671919</t>
  </si>
  <si>
    <t>Romanticism and the Materiality of Nature</t>
  </si>
  <si>
    <t>Oerlemans, Onno; Rankin, Katharine Neilson</t>
  </si>
  <si>
    <t>PR447.O375 2004</t>
  </si>
  <si>
    <t>820.9/145</t>
  </si>
  <si>
    <t>http://public.eblib.com/choice/PublicFullRecord.aspx?p=4671920</t>
  </si>
  <si>
    <t>Rome in Canada : The Vatican and Canadian Affairs in the Late Victorian Age</t>
  </si>
  <si>
    <t>Perin, Roberto</t>
  </si>
  <si>
    <t>BX1793.P475 1990</t>
  </si>
  <si>
    <t>http://public.eblib.com/choice/PublicFullRecord.aspx?p=4671921</t>
  </si>
  <si>
    <t>Royal Inscriptions on Clay Cones from Ashur now in Istanbul</t>
  </si>
  <si>
    <t>Donbaz, Veysel; Grayson, A. Kirk</t>
  </si>
  <si>
    <t>PJ3721.A69.D663 1984</t>
  </si>
  <si>
    <t>http://public.eblib.com/choice/PublicFullRecord.aspx?p=4671922</t>
  </si>
  <si>
    <t>Rules, Rules, Rules, Rules : Multi-Level Regulatory Governance</t>
  </si>
  <si>
    <t>Doern, G.Bruce; Johnson, Robert</t>
  </si>
  <si>
    <t>KE5024.R854 2006</t>
  </si>
  <si>
    <t>http://public.eblib.com/choice/PublicFullRecord.aspx?p=4671924</t>
  </si>
  <si>
    <t>Rural Women's Leadership in Atlantic Canada : First-hand Perspectives on Local Public Life and Participation in Electoral Politics</t>
  </si>
  <si>
    <t>Carbert, Louise</t>
  </si>
  <si>
    <t>HQ1236.5.C2C373 2006</t>
  </si>
  <si>
    <t>http://public.eblib.com/choice/PublicFullRecord.aspx?p=4671925</t>
  </si>
  <si>
    <t>Safe Haven : The Story of a Shelter for Homeless Women</t>
  </si>
  <si>
    <t>Bridgman, Rae; Bridgman, Rae</t>
  </si>
  <si>
    <t>HV4510 .T6.B753 2003</t>
  </si>
  <si>
    <t>362.83/83/09713541</t>
  </si>
  <si>
    <t>http://public.eblib.com/choice/PublicFullRecord.aspx?p=4671926</t>
  </si>
  <si>
    <t>Saints and the Audience in Middle English Biblical Drama</t>
  </si>
  <si>
    <t>Scoville, Chester Norman</t>
  </si>
  <si>
    <t>PR643.M8S35 2004</t>
  </si>
  <si>
    <t>http://public.eblib.com/choice/PublicFullRecord.aspx?p=4671927</t>
  </si>
  <si>
    <t>Sanctions and Rewards in the Legal System : A Multidisciplinary Approach</t>
  </si>
  <si>
    <t>K258.S263 1989</t>
  </si>
  <si>
    <t>340/.1</t>
  </si>
  <si>
    <t>Reward (Law)</t>
  </si>
  <si>
    <t>http://public.eblib.com/choice/PublicFullRecord.aspx?p=4671928</t>
  </si>
  <si>
    <t>Scholars and Dollars : Politics, Economics, and the Universities of Ontario 1945-1980</t>
  </si>
  <si>
    <t>LA418.O6.A945 1986</t>
  </si>
  <si>
    <t>http://public.eblib.com/choice/PublicFullRecord.aspx?p=4671931</t>
  </si>
  <si>
    <t>Schooling and Difference in Africa : Democratic Challenges in a Contemporary Context</t>
  </si>
  <si>
    <t>Asgharzadeh, Alireza; Dei, George J. Sefa; Bahador, Sharon Eblaghie</t>
  </si>
  <si>
    <t>LC191.8.G4.S36 2006</t>
  </si>
  <si>
    <t>306.43/09667</t>
  </si>
  <si>
    <t>http://public.eblib.com/choice/PublicFullRecord.aspx?p=4671932</t>
  </si>
  <si>
    <t>Schooling and Scholars in Nineteenth-Century Ontario</t>
  </si>
  <si>
    <t>Houston, Susan; Prentice, Alison</t>
  </si>
  <si>
    <t>LA411.H687 1988</t>
  </si>
  <si>
    <t>http://public.eblib.com/choice/PublicFullRecord.aspx?p=4671933</t>
  </si>
  <si>
    <t>Science and the  Past</t>
  </si>
  <si>
    <t>Bowman, Sheridan; Bowman, Sheridan</t>
  </si>
  <si>
    <t>History; Science</t>
  </si>
  <si>
    <t>Q125.S354 1991</t>
  </si>
  <si>
    <t>930.1/028</t>
  </si>
  <si>
    <t>http://public.eblib.com/choice/PublicFullRecord.aspx?p=4671934</t>
  </si>
  <si>
    <t>Screening Gender, Framing Genre : Canadian Literature into Film</t>
  </si>
  <si>
    <t>Dickinson, Peter</t>
  </si>
  <si>
    <t>PN1995.3</t>
  </si>
  <si>
    <t>http://public.eblib.com/choice/PublicFullRecord.aspx?p=4671936</t>
  </si>
  <si>
    <t>Searching for Justice : An Autobiography</t>
  </si>
  <si>
    <t>Kaufman, Fred</t>
  </si>
  <si>
    <t>KE416.K38A3 2005</t>
  </si>
  <si>
    <t>http://public.eblib.com/choice/PublicFullRecord.aspx?p=4671937</t>
  </si>
  <si>
    <t>Searching For Place : Ukrainian Displaced Persons, Canada, and the Migration of Memory</t>
  </si>
  <si>
    <t>Luciuk, Lubomyr Y.</t>
  </si>
  <si>
    <t>F1035.U5.L835 2001</t>
  </si>
  <si>
    <t>http://public.eblib.com/choice/PublicFullRecord.aspx?p=4671938</t>
  </si>
  <si>
    <t>Searching Shakespeare : Studies in Culture and Authority</t>
  </si>
  <si>
    <t>Cohen, Derek</t>
  </si>
  <si>
    <t>PR2570</t>
  </si>
  <si>
    <t>http://public.eblib.com/choice/PublicFullRecord.aspx?p=4671939</t>
  </si>
  <si>
    <t>Securing Compliance : Seven Case Studies</t>
  </si>
  <si>
    <t>K258.S438 1990</t>
  </si>
  <si>
    <t>http://public.eblib.com/choice/PublicFullRecord.aspx?p=4671940</t>
  </si>
  <si>
    <t>Selected Poems : E.J. Pratt</t>
  </si>
  <si>
    <t>Djwa, Sandra; Keith, W.J.; Pollock, Zailig; Keith, W. J.; Pollock, Zailig</t>
  </si>
  <si>
    <t>PR9199.3.P7.P738 2000</t>
  </si>
  <si>
    <t>http://public.eblib.com/choice/PublicFullRecord.aspx?p=4671941</t>
  </si>
  <si>
    <t>Selling Themselves : The Emergence of Canadian Advertising</t>
  </si>
  <si>
    <t>Johnston, Russell</t>
  </si>
  <si>
    <t>HF5823.J646 2001</t>
  </si>
  <si>
    <t>http://public.eblib.com/choice/PublicFullRecord.aspx?p=4671942</t>
  </si>
  <si>
    <t>Semantic Challenges to Realism : Dummett and Putnam</t>
  </si>
  <si>
    <t>Gardiner, Mark Quentin</t>
  </si>
  <si>
    <t>B835.G373 2000</t>
  </si>
  <si>
    <t>149/.2</t>
  </si>
  <si>
    <t>http://public.eblib.com/choice/PublicFullRecord.aspx?p=4671943</t>
  </si>
  <si>
    <t>Semiotic Insights : The Data Do the Talking</t>
  </si>
  <si>
    <t>Rauch, Irmengard</t>
  </si>
  <si>
    <t>P99.R383 1999</t>
  </si>
  <si>
    <t>401/.41</t>
  </si>
  <si>
    <t>http://public.eblib.com/choice/PublicFullRecord.aspx?p=4671944</t>
  </si>
  <si>
    <t>Sensing Corporeally : Toward a Posthuman Understanding</t>
  </si>
  <si>
    <t>P99.M477 2003</t>
  </si>
  <si>
    <t>121/.68</t>
  </si>
  <si>
    <t>http://public.eblib.com/choice/PublicFullRecord.aspx?p=4671945</t>
  </si>
  <si>
    <t>Sentences : The Memoirs and Letters of Italian Political Prisoners from Benvenuto Cellini to Aldo Moro</t>
  </si>
  <si>
    <t>Klopp, Charles</t>
  </si>
  <si>
    <t>PQ4063.5.P64.K567 1999</t>
  </si>
  <si>
    <t>850.9/9206927</t>
  </si>
  <si>
    <t>http://public.eblib.com/choice/PublicFullRecord.aspx?p=4671946</t>
  </si>
  <si>
    <t>Set Adrift : Fishing Families</t>
  </si>
  <si>
    <t>HD8039.F652.B565 2002</t>
  </si>
  <si>
    <t>305.48/965/09716</t>
  </si>
  <si>
    <t>Pecheurs - Nouvelle-Ecosse - Relations familiales</t>
  </si>
  <si>
    <t>http://public.eblib.com/choice/PublicFullRecord.aspx?p=4671947</t>
  </si>
  <si>
    <t>Setting the Agenda : Jean Royce and the Shaping of Queen's University</t>
  </si>
  <si>
    <t>Hamilton, Roberta</t>
  </si>
  <si>
    <t>LE3.Q318.H365 2002</t>
  </si>
  <si>
    <t>378.713/72/092</t>
  </si>
  <si>
    <t>http://public.eblib.com/choice/PublicFullRecord.aspx?p=4671948</t>
  </si>
  <si>
    <t>Settler Feminism and Race Making in Canada</t>
  </si>
  <si>
    <t>Henderson, Jennifer</t>
  </si>
  <si>
    <t>F1005.H463 2003</t>
  </si>
  <si>
    <t>305.4/0971/0904</t>
  </si>
  <si>
    <t>http://public.eblib.com/choice/PublicFullRecord.aspx?p=4671949</t>
  </si>
  <si>
    <t>Sex Crimes, Honour, and the Law in Early Modern Spain : Vizcaya, 1528-1735</t>
  </si>
  <si>
    <t>Barahona, Renato; Archivo de la Real Chancilleria de Valladolid</t>
  </si>
  <si>
    <t>KKT9009.35.S49.B373 2003</t>
  </si>
  <si>
    <t>345.46/0253/0903</t>
  </si>
  <si>
    <t>http://public.eblib.com/choice/PublicFullRecord.aspx?p=4671950</t>
  </si>
  <si>
    <t>Sexual Equality a Mill-Taylor Reader</t>
  </si>
  <si>
    <t>Robson, Ann P.; Mill, John Stuart; Mill, Harriet Taylor; Taylor, Helen; Robson, John M.</t>
  </si>
  <si>
    <t>HQ1154.M555 1994</t>
  </si>
  <si>
    <t>305.4/09034</t>
  </si>
  <si>
    <t>http://public.eblib.com/choice/PublicFullRecord.aspx?p=4671952</t>
  </si>
  <si>
    <t>Sexual Slander in Nineteenth-Century England : Defamation in The Ecclesiastical Courts, 1815-1855</t>
  </si>
  <si>
    <t>Waddams, S.M.</t>
  </si>
  <si>
    <t>Law; Religion</t>
  </si>
  <si>
    <t>KD1960.W333 2000</t>
  </si>
  <si>
    <t>262.9/8342</t>
  </si>
  <si>
    <t>http://public.eblib.com/choice/PublicFullRecord.aspx?p=4671953</t>
  </si>
  <si>
    <t>Shakespeare in Canada : A World Elsewhere?</t>
  </si>
  <si>
    <t>Brydon, Diana; Makaryk, Irena</t>
  </si>
  <si>
    <t>PR3109.C3 .S535 2002</t>
  </si>
  <si>
    <t>Shakespeare, William - Appreciation - Canada</t>
  </si>
  <si>
    <t>http://public.eblib.com/choice/PublicFullRecord.aspx?p=4671954</t>
  </si>
  <si>
    <t>Shakespeare in the Undiscovered Bourn : Les Kurbas, Ukrainian Modernism, and Early Soviet Cultural Politics</t>
  </si>
  <si>
    <t>Makaryk, Irena</t>
  </si>
  <si>
    <t>PN2859.U476K877 2004</t>
  </si>
  <si>
    <t>http://public.eblib.com/choice/PublicFullRecord.aspx?p=4671955</t>
  </si>
  <si>
    <t>Shakespeare's Comic Commonwealths</t>
  </si>
  <si>
    <t>Slights, Camille Wells</t>
  </si>
  <si>
    <t>PR2981.S554 1993</t>
  </si>
  <si>
    <t>http://public.eblib.com/choice/PublicFullRecord.aspx?p=4671956</t>
  </si>
  <si>
    <t>Shifting the Paradigm in Community Mental Health : Toward Empowerment and Community</t>
  </si>
  <si>
    <t>Lord, John; Nelson, Geoffrey; Ochocka, Joanna; Nelson, Geoffrey</t>
  </si>
  <si>
    <t>RA790.7.C3.I53 2001</t>
  </si>
  <si>
    <t>362.2/2/0971345</t>
  </si>
  <si>
    <t>http://public.eblib.com/choice/PublicFullRecord.aspx?p=4671957</t>
  </si>
  <si>
    <t>Shocking Mother Russia : Democratization, Social Rights, and Pension Reform in Russia, 1990-2001</t>
  </si>
  <si>
    <t>HD7197.2.C52 2004</t>
  </si>
  <si>
    <t>http://public.eblib.com/choice/PublicFullRecord.aspx?p=4671958</t>
  </si>
  <si>
    <t>Should We Worry about Family Change?</t>
  </si>
  <si>
    <t>HQ518.L49 2003</t>
  </si>
  <si>
    <t>http://public.eblib.com/choice/PublicFullRecord.aspx?p=4671959</t>
  </si>
  <si>
    <t>Signs Grow : Semiosis and Life Processes</t>
  </si>
  <si>
    <t>B840.M477 1996</t>
  </si>
  <si>
    <t>http://public.eblib.com/choice/PublicFullRecord.aspx?p=4671960</t>
  </si>
  <si>
    <t>Sinclair Ross's "As for Me and My House" : Five Decades of Criticism</t>
  </si>
  <si>
    <t>PR9199.3.R599.S563 1991</t>
  </si>
  <si>
    <t>http://public.eblib.com/choice/PublicFullRecord.aspx?p=4671961</t>
  </si>
  <si>
    <t>Sir Ernest MacMillan : The Importance of Being Canadian</t>
  </si>
  <si>
    <t>Schabas, Ezra</t>
  </si>
  <si>
    <t>ML422.M125.I534 1994</t>
  </si>
  <si>
    <t>780/.92</t>
  </si>
  <si>
    <t>http://public.eblib.com/choice/PublicFullRecord.aspx?p=4671962</t>
  </si>
  <si>
    <t>Sir Robert Falconer : A Biography</t>
  </si>
  <si>
    <t>LE3.T517.G744 1988</t>
  </si>
  <si>
    <t>378.1/11</t>
  </si>
  <si>
    <t>http://public.eblib.com/choice/PublicFullRecord.aspx?p=4671963</t>
  </si>
  <si>
    <t>Sit Down and Drink Your Beer : Regulating Vancouver's Beer Parlours, 1925-1954</t>
  </si>
  <si>
    <t>HV5310.V35.I534 2001</t>
  </si>
  <si>
    <t>363.4/1/0971133</t>
  </si>
  <si>
    <t>http://public.eblib.com/choice/PublicFullRecord.aspx?p=4671964</t>
  </si>
  <si>
    <t>Sketches from a Young Country : The Images of Grip Magazine</t>
  </si>
  <si>
    <t>Cumming, Carman</t>
  </si>
  <si>
    <t>F1033.C866 1997</t>
  </si>
  <si>
    <t>971.05/02/07</t>
  </si>
  <si>
    <t>http://public.eblib.com/choice/PublicFullRecord.aspx?p=4671965</t>
  </si>
  <si>
    <t>So Close to the State/s : The Emergence of Canadian Feature Film Policy</t>
  </si>
  <si>
    <t>Dorland, Michael</t>
  </si>
  <si>
    <t>PN1993.5.C2.D675 1998</t>
  </si>
  <si>
    <t>Motion picture industry - Government policy - Canada</t>
  </si>
  <si>
    <t>http://public.eblib.com/choice/PublicFullRecord.aspx?p=4671966</t>
  </si>
  <si>
    <t>Social Differentiation : Patterns and Processes</t>
  </si>
  <si>
    <t>Juteau, Danielle</t>
  </si>
  <si>
    <t>HM821.S624 2003</t>
  </si>
  <si>
    <t>http://public.eblib.com/choice/PublicFullRecord.aspx?p=4671967</t>
  </si>
  <si>
    <t>Social Science under Debate : A Philosophical Perspective</t>
  </si>
  <si>
    <t>Bunge, Mario; Bunge, Mario</t>
  </si>
  <si>
    <t>H61.B794 1998</t>
  </si>
  <si>
    <t>Social sciences - Methodology</t>
  </si>
  <si>
    <t>http://public.eblib.com/choice/PublicFullRecord.aspx?p=4671968</t>
  </si>
  <si>
    <t>Sociology and the Sacred : An Introduction to Philip Rieff's Theory of Culture</t>
  </si>
  <si>
    <t>Zondervan, Antonius A.W. Zondervan</t>
  </si>
  <si>
    <t>B63.Z663 2005</t>
  </si>
  <si>
    <t>http://public.eblib.com/choice/PublicFullRecord.aspx?p=4671969</t>
  </si>
  <si>
    <t>Sojourners and Settlers : The Macedonian Community in Toronto to 1940</t>
  </si>
  <si>
    <t>Petroff, Lillian</t>
  </si>
  <si>
    <t>F1059.5.T689.P487 1995</t>
  </si>
  <si>
    <t>305.891/8190713541</t>
  </si>
  <si>
    <t>http://public.eblib.com/choice/PublicFullRecord.aspx?p=4671970</t>
  </si>
  <si>
    <t>Sojourning Sisters : The Lives and Letters of Jessie and Annie McQueen</t>
  </si>
  <si>
    <t>F1086.8.B376 2003</t>
  </si>
  <si>
    <t>971.1/0082</t>
  </si>
  <si>
    <t>http://public.eblib.com/choice/PublicFullRecord.aspx?p=4671972</t>
  </si>
  <si>
    <t>Soldiers of Diplomacy : The United Nations, Peacekeeping, and the New World Order</t>
  </si>
  <si>
    <t>Coulon, Jocelyn; Aronoff, Phyllis</t>
  </si>
  <si>
    <t>JZ6374.C685 1999</t>
  </si>
  <si>
    <t>341.5/23</t>
  </si>
  <si>
    <t>http://public.eblib.com/choice/PublicFullRecord.aspx?p=4671973</t>
  </si>
  <si>
    <t>Sons of the Empire : The Frontier and the Boy Scout Movement, 1890-1918</t>
  </si>
  <si>
    <t>Macdonald, Robert</t>
  </si>
  <si>
    <t>HS3312.M333 1993</t>
  </si>
  <si>
    <t>369.43/09</t>
  </si>
  <si>
    <t>http://public.eblib.com/choice/PublicFullRecord.aspx?p=4671974</t>
  </si>
  <si>
    <t>The Spenser Encyclopedia</t>
  </si>
  <si>
    <t>Cheney, Donald; Hamilton, A.C.; Richardson, David; Hamilton, A C; Barker, William W.</t>
  </si>
  <si>
    <t>http://public.eblib.com/choice/PublicFullRecord.aspx?p=4671975</t>
  </si>
  <si>
    <t>Spenser's Supreme Fiction : Platonic Natural History and The Faerie Queene</t>
  </si>
  <si>
    <t>Quitslund, Jon A.</t>
  </si>
  <si>
    <t>PR2358.Q58 2001</t>
  </si>
  <si>
    <t>http://public.eblib.com/choice/PublicFullRecord.aspx?p=4671976</t>
  </si>
  <si>
    <t>Spying 101 : The RCMP's Secret Activities at Canadian Universities, 1917-1997</t>
  </si>
  <si>
    <t>Hewitt, Steve</t>
  </si>
  <si>
    <t>HV8158.7.R69.H495 2002</t>
  </si>
  <si>
    <t>323.44/82/0971</t>
  </si>
  <si>
    <t>http://public.eblib.com/choice/PublicFullRecord.aspx?p=4671977</t>
  </si>
  <si>
    <t>Stalin's Empire of Memory : Russian-Ukrainian Relations in the Soviet Historical Imagination</t>
  </si>
  <si>
    <t>Yekelchyk, Serhy</t>
  </si>
  <si>
    <t>DK508.813.Y454 2004</t>
  </si>
  <si>
    <t>947.7/0842</t>
  </si>
  <si>
    <t>http://public.eblib.com/choice/PublicFullRecord.aspx?p=4671978</t>
  </si>
  <si>
    <t>Standards and Guidelines for the Psychotherapies</t>
  </si>
  <si>
    <t>Cameron, Paul M.; Deadman, John C.; Ennis, Jon</t>
  </si>
  <si>
    <t>RC480.5.S736 1998</t>
  </si>
  <si>
    <t>http://public.eblib.com/choice/PublicFullRecord.aspx?p=4671979</t>
  </si>
  <si>
    <t>Stateliest Measures : Tennyson and the Literature of Greece and Rome</t>
  </si>
  <si>
    <t>Markley, iv, Arnold A.</t>
  </si>
  <si>
    <t>PR5588.M37 2004</t>
  </si>
  <si>
    <t>http://public.eblib.com/choice/PublicFullRecord.aspx?p=4671980</t>
  </si>
  <si>
    <t>Steel at the  Sault : Francis H. Clergue, Sir James Dunn and the Algoma Steel Corporation, 1901-1956</t>
  </si>
  <si>
    <t>HD9524.C24.M336 1984</t>
  </si>
  <si>
    <t>338.4/7669142/097132</t>
  </si>
  <si>
    <t>http://public.eblib.com/choice/PublicFullRecord.aspx?p=4671981</t>
  </si>
  <si>
    <t>Stjepan Radic, The Croat Peasant Party, and the Politics of Mass Mobilization, 1904-1928</t>
  </si>
  <si>
    <t>Biondich, Mark</t>
  </si>
  <si>
    <t>DR1589.R33.B566 2000</t>
  </si>
  <si>
    <t>949.72/01/092</t>
  </si>
  <si>
    <t>http://public.eblib.com/choice/PublicFullRecord.aspx?p=4671982</t>
  </si>
  <si>
    <t>The Stories We Are : An Essay on Self-Creation</t>
  </si>
  <si>
    <t>Randall, William; Randall, William Lowell</t>
  </si>
  <si>
    <t>PN56.P93.R363 1995</t>
  </si>
  <si>
    <t>801/.92</t>
  </si>
  <si>
    <t>http://public.eblib.com/choice/PublicFullRecord.aspx?p=4671983</t>
  </si>
  <si>
    <t>Straddling Borders : Literature and Identity in Subcarpathian Rus'</t>
  </si>
  <si>
    <t>Rusinko, Elaine</t>
  </si>
  <si>
    <t>PG3990.5.R875 2003</t>
  </si>
  <si>
    <t>http://public.eblib.com/choice/PublicFullRecord.aspx?p=4671984</t>
  </si>
  <si>
    <t>Strangers at the Gate : The 'Boat People's' First Ten Years in Canada</t>
  </si>
  <si>
    <t>Beiser, Morton</t>
  </si>
  <si>
    <t>F1035.I55.B457 1999</t>
  </si>
  <si>
    <t>959.7/008691</t>
  </si>
  <si>
    <t>http://public.eblib.com/choice/PublicFullRecord.aspx?p=4671985</t>
  </si>
  <si>
    <t>Structures From the  Trivium in the  Canta</t>
  </si>
  <si>
    <t>Burke, James F.</t>
  </si>
  <si>
    <t>PQ6373.B875 1991</t>
  </si>
  <si>
    <t>861/.1</t>
  </si>
  <si>
    <t>http://public.eblib.com/choice/PublicFullRecord.aspx?p=4671986</t>
  </si>
  <si>
    <t>Suicide in Canada</t>
  </si>
  <si>
    <t>Leenaars, Antoon; Sakinofsky, Isaac; Wenckstern, Susanne; Dyck, Ron; Kral, Michael J.; Bland, Roger</t>
  </si>
  <si>
    <t>HV6548.C3.S853 1998</t>
  </si>
  <si>
    <t>362.28/0971  |2 21</t>
  </si>
  <si>
    <t>Suicide - Canada</t>
  </si>
  <si>
    <t>http://public.eblib.com/choice/PublicFullRecord.aspx?p=4671987</t>
  </si>
  <si>
    <t>Surgical Limits : The Life of Gordon Murray</t>
  </si>
  <si>
    <t>McKellar, Shelley</t>
  </si>
  <si>
    <t>RD27.35.M874.M354 2003</t>
  </si>
  <si>
    <t>617/.092</t>
  </si>
  <si>
    <t>http://public.eblib.com/choice/PublicFullRecord.aspx?p=4671988</t>
  </si>
  <si>
    <t>Susanna Moodie : Letters of a Lifetime</t>
  </si>
  <si>
    <t>Moodie, Susanna; Ballstadt, Carl; Hopkins, Elizabeth; Peterman, Michael</t>
  </si>
  <si>
    <t>PR9199.2.M65.M663 1985</t>
  </si>
  <si>
    <t>http://public.eblib.com/choice/PublicFullRecord.aspx?p=4671990</t>
  </si>
  <si>
    <t>Sweatshop Strife : Class, Ethnicity, and Gender in the Jewish Labour Movement of Toronto, 1900-1939</t>
  </si>
  <si>
    <t>Frager, Ruth A.</t>
  </si>
  <si>
    <t>HD6529.O5.F734 1992</t>
  </si>
  <si>
    <t>331.6/39240713541</t>
  </si>
  <si>
    <t>http://public.eblib.com/choice/PublicFullRecord.aspx?p=4671991</t>
  </si>
  <si>
    <t>Taking Life Seriously : A Study of the Argument of the Nicomachean Ethics</t>
  </si>
  <si>
    <t>B430.S637 1996</t>
  </si>
  <si>
    <t>171/.3</t>
  </si>
  <si>
    <t>http://public.eblib.com/choice/PublicFullRecord.aspx?p=4671992</t>
  </si>
  <si>
    <t>Taking Public Universities Seriously</t>
  </si>
  <si>
    <t>Iacobucci, Frank; Tuohy, Carolyn</t>
  </si>
  <si>
    <t>LC165.T355 2005</t>
  </si>
  <si>
    <t>379.1/18</t>
  </si>
  <si>
    <t>http://public.eblib.com/choice/PublicFullRecord.aspx?p=4671993</t>
  </si>
  <si>
    <t>Talking on the Page : Editing Aboriginal Oral Texts</t>
  </si>
  <si>
    <t>Murray, Laura J.; Rice, Keren D.</t>
  </si>
  <si>
    <t>PN162.C664 1999</t>
  </si>
  <si>
    <t>398/.097</t>
  </si>
  <si>
    <t>Oral history - Editing</t>
  </si>
  <si>
    <t>http://public.eblib.com/choice/PublicFullRecord.aspx?p=4671994</t>
  </si>
  <si>
    <t>Tangled Webs of History : Indians and the Law in Canada's Pacific Coast Fisheries</t>
  </si>
  <si>
    <t>KEB529.5.H8.N494 1993</t>
  </si>
  <si>
    <t>http://public.eblib.com/choice/PublicFullRecord.aspx?p=4671995</t>
  </si>
  <si>
    <t>Taxing Multinationals : Transfer Pricing and Corporate Income Taxation in North America</t>
  </si>
  <si>
    <t>Eden, Lorraine</t>
  </si>
  <si>
    <t>HD2753.N55.E346 1998</t>
  </si>
  <si>
    <t>Transfer pricing - Taxation - North America</t>
  </si>
  <si>
    <t>http://public.eblib.com/choice/PublicFullRecord.aspx?p=4671997</t>
  </si>
  <si>
    <t>Teachers in Trouble : An Exploration of the Normative Character of Teaching</t>
  </si>
  <si>
    <t>Piddocke, Stuart; Magsino, Romulo, F.; Manley-Casimir, Michael</t>
  </si>
  <si>
    <t>LB1779.P533 1997</t>
  </si>
  <si>
    <t>http://public.eblib.com/choice/PublicFullRecord.aspx?p=4671998</t>
  </si>
  <si>
    <t>Teaching in a Cold and Windy Place : Change in an Inuit School</t>
  </si>
  <si>
    <t>Tompkins, Joanne Elizabeth</t>
  </si>
  <si>
    <t>E99.E7.T667 1998</t>
  </si>
  <si>
    <t>371.829/9712407195</t>
  </si>
  <si>
    <t>http://public.eblib.com/choice/PublicFullRecord.aspx?p=4671999</t>
  </si>
  <si>
    <t>Teen Pregnancy and Parenting : Social and Ethical Issues</t>
  </si>
  <si>
    <t>Checkland, David A.; Wong, James</t>
  </si>
  <si>
    <t>HQ759.64.T446 1999</t>
  </si>
  <si>
    <t>Meres adolescentes, Services aux - Canada</t>
  </si>
  <si>
    <t>http://public.eblib.com/choice/PublicFullRecord.aspx?p=4672000</t>
  </si>
  <si>
    <t>Telecommunications in Canada</t>
  </si>
  <si>
    <t>Babe, Robert; Babe, Robert E.</t>
  </si>
  <si>
    <t>HE7814.B334 1993</t>
  </si>
  <si>
    <t>384/.0971</t>
  </si>
  <si>
    <t>http://public.eblib.com/choice/PublicFullRecord.aspx?p=4672001</t>
  </si>
  <si>
    <t>Temporary Work : The Gendered Rise of a Precarious Employment Relationship</t>
  </si>
  <si>
    <t>Vosko, Leah Faith</t>
  </si>
  <si>
    <t>HD5854.2.C2.V675 2000</t>
  </si>
  <si>
    <t>331.25/72</t>
  </si>
  <si>
    <t>Women - Employment - Canada - History - 20th century.</t>
  </si>
  <si>
    <t>http://public.eblib.com/choice/PublicFullRecord.aspx?p=4672002</t>
  </si>
  <si>
    <t>Temptations of Faust : The Logic of Fascism and Postmodern Archaeologies of Modernity</t>
  </si>
  <si>
    <t>Cobley, Evelyn; Cobley, Evelyn</t>
  </si>
  <si>
    <t>JC481.C635 2002</t>
  </si>
  <si>
    <t>320.53/3/0943</t>
  </si>
  <si>
    <t>http://public.eblib.com/choice/PublicFullRecord.aspx?p=4672003</t>
  </si>
  <si>
    <t>Tending the Gardens of Citizenship : Child Saving in Toronto, 1880s-1920s</t>
  </si>
  <si>
    <t>Chen, Xiaobei</t>
  </si>
  <si>
    <t>HV887.C32.C446 2005</t>
  </si>
  <si>
    <t>362.7/09713/541/09034</t>
  </si>
  <si>
    <t>http://public.eblib.com/choice/PublicFullRecord.aspx?p=4672004</t>
  </si>
  <si>
    <t>Textual Histories : Readings in the Anglo-Saxon Chronicle</t>
  </si>
  <si>
    <t>DA150.B743 2001</t>
  </si>
  <si>
    <t>http://public.eblib.com/choice/PublicFullRecord.aspx?p=4672005</t>
  </si>
  <si>
    <t>The Allegory of the Church : Romanesque Portals and Their Verse Inscriptions</t>
  </si>
  <si>
    <t>Kendall, Calvin, B.</t>
  </si>
  <si>
    <t>Architecture; Religion</t>
  </si>
  <si>
    <t>NA5453.K463 1998</t>
  </si>
  <si>
    <t>246/.951822/09409021</t>
  </si>
  <si>
    <t>http://public.eblib.com/choice/PublicFullRecord.aspx?p=4672007</t>
  </si>
  <si>
    <t>The Anatomy of High Performing Teams : A Leader's Handbook</t>
  </si>
  <si>
    <t>Laiken, Marilyn</t>
  </si>
  <si>
    <t>HD66.L355 1994</t>
  </si>
  <si>
    <t>http://public.eblib.com/choice/PublicFullRecord.aspx?p=4672008</t>
  </si>
  <si>
    <t>The Art of Compromise : The Life and Work of Leonid Leonov, 1899-1994</t>
  </si>
  <si>
    <t>Thomson, Boris</t>
  </si>
  <si>
    <t>PG3476.L5.T466 2001</t>
  </si>
  <si>
    <t>8991.73/42</t>
  </si>
  <si>
    <t>http://public.eblib.com/choice/PublicFullRecord.aspx?p=4672009</t>
  </si>
  <si>
    <t>The Autobiography of a Fisherman</t>
  </si>
  <si>
    <t>Day, Frank Parker</t>
  </si>
  <si>
    <t>SH415.D39A3 2005</t>
  </si>
  <si>
    <t>http://public.eblib.com/choice/PublicFullRecord.aspx?p=4672010</t>
  </si>
  <si>
    <t>The Barbershop Singer : Inside the Social World of a Musical Hobby</t>
  </si>
  <si>
    <t>ML3516.S743 1996</t>
  </si>
  <si>
    <t>306.4/84</t>
  </si>
  <si>
    <t>http://public.eblib.com/choice/PublicFullRecord.aspx?p=4672011</t>
  </si>
  <si>
    <t>The Birth of a New South Africa</t>
  </si>
  <si>
    <t>Davenport, T. R. H.</t>
  </si>
  <si>
    <t>DT1974.D384 1998</t>
  </si>
  <si>
    <t>968.06/5</t>
  </si>
  <si>
    <t>South Africa - Politics and government</t>
  </si>
  <si>
    <t>http://public.eblib.com/choice/PublicFullRecord.aspx?p=4672013</t>
  </si>
  <si>
    <t>The Book of Reykjaholar : The Last of the Great Medieval Legendaries</t>
  </si>
  <si>
    <t>PT7192.K355 1996</t>
  </si>
  <si>
    <t>839/.63</t>
  </si>
  <si>
    <t>http://public.eblib.com/choice/PublicFullRecord.aspx?p=4672014</t>
  </si>
  <si>
    <t>The British Liberal Tradition : From Gladstone Through to Young Churchill, Asquith, and Lloyd George - Is Blair Their Heir?</t>
  </si>
  <si>
    <t>Jenkins, Roy; Jenkins, Lord Roy</t>
  </si>
  <si>
    <t>JN1129 L45J46 2001</t>
  </si>
  <si>
    <t>http://public.eblib.com/choice/PublicFullRecord.aspx?p=4672015</t>
  </si>
  <si>
    <t>The Canadian Senate in Bicameral Perspective</t>
  </si>
  <si>
    <t>JL155.S658 2003</t>
  </si>
  <si>
    <t>http://public.eblib.com/choice/PublicFullRecord.aspx?p=4672017</t>
  </si>
  <si>
    <t>The Canadianization Movement : Emergence, Survival, and Success</t>
  </si>
  <si>
    <t>Cormier, Jeffrey</t>
  </si>
  <si>
    <t>F1021.2.C67 2004</t>
  </si>
  <si>
    <t>http://public.eblib.com/choice/PublicFullRecord.aspx?p=4672018</t>
  </si>
  <si>
    <t>The Caribbean Diaspora in Toronto : Learning to Live with Racism</t>
  </si>
  <si>
    <t>Henry, Frances</t>
  </si>
  <si>
    <t>F1059.5.T689.H467 1994</t>
  </si>
  <si>
    <t>305.896/97290713541</t>
  </si>
  <si>
    <t>http://public.eblib.com/choice/PublicFullRecord.aspx?p=4672020</t>
  </si>
  <si>
    <t>The Cartulary of Montier-en-Der, 666-1129</t>
  </si>
  <si>
    <t>Bouchard, Constance</t>
  </si>
  <si>
    <t>BX2615</t>
  </si>
  <si>
    <t>http://public.eblib.com/choice/PublicFullRecord.aspx?p=4672021</t>
  </si>
  <si>
    <t>The Century of Women : Representations of Women in Eighteenth-Century Italian Public Discourse</t>
  </si>
  <si>
    <t>Messbarger, Rebecca</t>
  </si>
  <si>
    <t>HQ1638.M477 2002</t>
  </si>
  <si>
    <t>305.42/0945/09033</t>
  </si>
  <si>
    <t>http://public.eblib.com/choice/PublicFullRecord.aspx?p=4672023</t>
  </si>
  <si>
    <t>Essays on French History &amp; Historians : Volume XX</t>
  </si>
  <si>
    <t>DC147.8.M555 1985</t>
  </si>
  <si>
    <t>http://public.eblib.com/choice/PublicFullRecord.aspx?p=4672024</t>
  </si>
  <si>
    <t>Newspaper Writings : Volumes XXII-XXV</t>
  </si>
  <si>
    <t>Mill, John Stuart; Robson, Ann P.; Robson, John</t>
  </si>
  <si>
    <t>B29.M555 1986</t>
  </si>
  <si>
    <t>http://public.eblib.com/choice/PublicFullRecord.aspx?p=4672025</t>
  </si>
  <si>
    <t>Journals and Debating Speeches : Volumes XXVI-XXVII</t>
  </si>
  <si>
    <t>Mill, John Stuart; Robson, John</t>
  </si>
  <si>
    <t>B1603.J68.M555 1988</t>
  </si>
  <si>
    <t>http://public.eblib.com/choice/PublicFullRecord.aspx?p=4672026</t>
  </si>
  <si>
    <t>Public and Parliamentary Speeches : Volumes XXVIII-XXIX</t>
  </si>
  <si>
    <t>Mill, John Stuart; Robson, John M.; Kinzer, Bruce L.; Robson, John M.; Kinzer, Bruce L.</t>
  </si>
  <si>
    <t>DA530.M555 1988</t>
  </si>
  <si>
    <t>http://public.eblib.com/choice/PublicFullRecord.aspx?p=4672027</t>
  </si>
  <si>
    <t>Writings on India : Volume XXX</t>
  </si>
  <si>
    <t>Mill, John Stuart; Moir, Martin I.; Robson, John</t>
  </si>
  <si>
    <t>B1602.M555 1990</t>
  </si>
  <si>
    <t>http://public.eblib.com/choice/PublicFullRecord.aspx?p=4672028</t>
  </si>
  <si>
    <t>Additional Letters : Volume XXXII</t>
  </si>
  <si>
    <t>Mill, John Stuart; Filipiuk, Marion; Laine, Michael; Laine, Michael; Robson, John M.</t>
  </si>
  <si>
    <t>B1602.A335 1991</t>
  </si>
  <si>
    <t>http://public.eblib.com/choice/PublicFullRecord.aspx?p=4672029</t>
  </si>
  <si>
    <t>The Company of Neighbours : Revitalizing Community Through Action Research</t>
  </si>
  <si>
    <t>Banks, C. Kenneth; Mangan, J. Marshall; Banks, C. Kenneth; Mangan, J. Marshall</t>
  </si>
  <si>
    <t>HN49.C6.B35 1999</t>
  </si>
  <si>
    <t>Hespeler (Ont.) - Social conditions</t>
  </si>
  <si>
    <t>http://public.eblib.com/choice/PublicFullRecord.aspx?p=4672030</t>
  </si>
  <si>
    <t>The Confederation Group of Canadian Poets, 1880-1897</t>
  </si>
  <si>
    <t>http://public.eblib.com/choice/PublicFullRecord.aspx?p=4672031</t>
  </si>
  <si>
    <t>The 'Conquest' of Acadia, 1710 : Imperial, Colonial, and Aboriginal Constructions</t>
  </si>
  <si>
    <t>Basque, Maurice; Mancke, Elizabeth; Reid, John G.; Moody, Barry; Plank, Geoffrey; Wicken, William C.</t>
  </si>
  <si>
    <t>F1038.C664 2004</t>
  </si>
  <si>
    <t>Great Britain - Colonies - America - Administration - History - 18th century</t>
  </si>
  <si>
    <t>http://public.eblib.com/choice/PublicFullRecord.aspx?p=4672032</t>
  </si>
  <si>
    <t>The Contested Past : Reading Canada's History - Selections from the Canadian Historical Review</t>
  </si>
  <si>
    <t>Shore, Marlene</t>
  </si>
  <si>
    <t>F1024.C66 2002</t>
  </si>
  <si>
    <t>http://public.eblib.com/choice/PublicFullRecord.aspx?p=4672034</t>
  </si>
  <si>
    <t>The Conventional Man : The Diaries of Ontario Chief Justice Robert A. Harrison, 1856-1878</t>
  </si>
  <si>
    <t>Oliver, Peter; Osgoode Society for Canadian Legal History Staff; Oliver, Peter</t>
  </si>
  <si>
    <t>KE416.H</t>
  </si>
  <si>
    <t>http://public.eblib.com/choice/PublicFullRecord.aspx?p=4672035</t>
  </si>
  <si>
    <t>The Correspondence of Erasmus : Letters 1252-1355 (1522-1523)</t>
  </si>
  <si>
    <t>Erasmus, Desiderius; Estes, James M.; Mynors, R.A.B.</t>
  </si>
  <si>
    <t>PA8511.A5.C677 1989</t>
  </si>
  <si>
    <t>http://public.eblib.com/choice/PublicFullRecord.aspx?p=4672036</t>
  </si>
  <si>
    <t>The Correspondence of Northrop Frye and Helen Kemp, 1932-1939 : Volume 2</t>
  </si>
  <si>
    <t>Frye, Northrop; Estate of Northrop Frye Staff; Denham, Robert D.; Denham, Robert D.</t>
  </si>
  <si>
    <t>PN75.F7.C677 1996</t>
  </si>
  <si>
    <t>http://public.eblib.com/choice/PublicFullRecord.aspx?p=4672039</t>
  </si>
  <si>
    <t>The Correspondence of Northrop Frye and Helen Kemp, 1932-1939 : Volume 1</t>
  </si>
  <si>
    <t>Frye, Northrop; Denham, Robert D.; Denham, Robert D.</t>
  </si>
  <si>
    <t>PN75.F7.C677 1998</t>
  </si>
  <si>
    <t>http://public.eblib.com/choice/PublicFullRecord.aspx?p=4672040</t>
  </si>
  <si>
    <t>The Culture of Profession in Late Renaissance Italy</t>
  </si>
  <si>
    <t>McClure, George W.</t>
  </si>
  <si>
    <t>DG445.M42 2004</t>
  </si>
  <si>
    <t>306.3/6/094509031</t>
  </si>
  <si>
    <t>http://public.eblib.com/choice/PublicFullRecord.aspx?p=4672042</t>
  </si>
  <si>
    <t>The Death of  Old Man Rice : A True Story of Criminal Justice in America</t>
  </si>
  <si>
    <t>HV6534.N5.F75 1994</t>
  </si>
  <si>
    <t>364.1/523/097471</t>
  </si>
  <si>
    <t>http://public.eblib.com/choice/PublicFullRecord.aspx?p=4672043</t>
  </si>
  <si>
    <t>The Decameron First Day in Perspective</t>
  </si>
  <si>
    <t>Weaver, Elissa B.</t>
  </si>
  <si>
    <t>PQ4287.D43 2004</t>
  </si>
  <si>
    <t>http://public.eblib.com/choice/PublicFullRecord.aspx?p=4672044</t>
  </si>
  <si>
    <t>The Detroit Tigers : Club and Community, 1945-1995</t>
  </si>
  <si>
    <t>Harrigan, Patrick; Harrigan, Patrick</t>
  </si>
  <si>
    <t>GV875.D6.H37 1997</t>
  </si>
  <si>
    <t>http://public.eblib.com/choice/PublicFullRecord.aspx?p=4672045</t>
  </si>
  <si>
    <t>The Diaries of Northrop Frye, 1942-1955</t>
  </si>
  <si>
    <t>Frye, Northrop; Estate of Northrop Frye Staff; Denham, Robert D.</t>
  </si>
  <si>
    <t>PN75.F7.D537 2001</t>
  </si>
  <si>
    <t>801/.95092</t>
  </si>
  <si>
    <t>http://public.eblib.com/choice/PublicFullRecord.aspx?p=4672046</t>
  </si>
  <si>
    <t>The Double Twist : From Ethnography to Morphodynamics</t>
  </si>
  <si>
    <t>Maranda, Pierre</t>
  </si>
  <si>
    <t>GN362.D68 2001</t>
  </si>
  <si>
    <t>http://public.eblib.com/choice/PublicFullRecord.aspx?p=4672047</t>
  </si>
  <si>
    <t>The Economic Implications of Social Cohesion</t>
  </si>
  <si>
    <t>Osberg, Lars; Osberg, Lars</t>
  </si>
  <si>
    <t>HM548.E26 2003</t>
  </si>
  <si>
    <t>http://public.eblib.com/choice/PublicFullRecord.aspx?p=4672049</t>
  </si>
  <si>
    <t>The Economics of Thomas Robert Malthus</t>
  </si>
  <si>
    <t>HB863.H56 1997</t>
  </si>
  <si>
    <t>http://public.eblib.com/choice/PublicFullRecord.aspx?p=4672050</t>
  </si>
  <si>
    <t>The English Emblem Tradition : Volume 2: P.S. (Paradin), P.S. (Simeoni), Willet, Combe</t>
  </si>
  <si>
    <t>Daly, Peter; Duer, Leslie T.; Silcox, Mary V.</t>
  </si>
  <si>
    <t>PR531.E545 1993</t>
  </si>
  <si>
    <t>http://public.eblib.com/choice/PublicFullRecord.aspx?p=4672051</t>
  </si>
  <si>
    <t>The English Emblem Tradition : Volume 3: Emblematic Flag Devices of the English Civil Wars, 1642-1660</t>
  </si>
  <si>
    <t>Young, Alan R.; Young, Alan R.</t>
  </si>
  <si>
    <t>PR531.E545 1995</t>
  </si>
  <si>
    <t>http://public.eblib.com/choice/PublicFullRecord.aspx?p=4672052</t>
  </si>
  <si>
    <t>The English Emblem Tradition : Volume 4: William Camden, H.G., and Otto van Veen</t>
  </si>
  <si>
    <t>Daly, Peter; Silcox, Mary V.</t>
  </si>
  <si>
    <t>PR2392.E545 1998</t>
  </si>
  <si>
    <t>http://public.eblib.com/choice/PublicFullRecord.aspx?p=4672053</t>
  </si>
  <si>
    <t>The English Emblem Tradition : Volume 5: Henry Peacham's Manuscript Emblem Books</t>
  </si>
  <si>
    <t>Young, Alan R.</t>
  </si>
  <si>
    <t>PR531.E545 1998</t>
  </si>
  <si>
    <t>http://public.eblib.com/choice/PublicFullRecord.aspx?p=4672054</t>
  </si>
  <si>
    <t>The Excavations of San Giovanni di Ruoti : Volume I: The Villas and their Environment</t>
  </si>
  <si>
    <t>Buck, Robert J.; Small, Alastair M.</t>
  </si>
  <si>
    <t>DG70.S238.S635 1994</t>
  </si>
  <si>
    <t>http://public.eblib.com/choice/PublicFullRecord.aspx?p=4672055</t>
  </si>
  <si>
    <t>The Excavations of San Giovanni di Ruoti : Volume II: The Small Finds</t>
  </si>
  <si>
    <t>Simpson, C.J.</t>
  </si>
  <si>
    <t>DG14.S567 1997</t>
  </si>
  <si>
    <t>http://public.eblib.com/choice/PublicFullRecord.aspx?p=4672056</t>
  </si>
  <si>
    <t>The Excavations of San Giovanni di Ruoti : Volume III: The Faunal and Plant Remains</t>
  </si>
  <si>
    <t>MacKinnon, Michael</t>
  </si>
  <si>
    <t>DG70.S238.M335 2002</t>
  </si>
  <si>
    <t>Ruoti (Italy) - Antiquities, Roman</t>
  </si>
  <si>
    <t>http://public.eblib.com/choice/PublicFullRecord.aspx?p=4672057</t>
  </si>
  <si>
    <t>The Federal Court of Canada : A History, 1875-1992</t>
  </si>
  <si>
    <t>KE8265.B87 1997</t>
  </si>
  <si>
    <t>347.71/04</t>
  </si>
  <si>
    <t>Canada - History</t>
  </si>
  <si>
    <t>http://public.eblib.com/choice/PublicFullRecord.aspx?p=4672059</t>
  </si>
  <si>
    <t>The Figino, or On the Purpose of Painting : Art Theory in the Late Renaissance</t>
  </si>
  <si>
    <t>Doyle-Anderson, Ann; Doyle-Anderson, Ann; Maiorino, Giancarlo; Doyle-Anderson, Ann; Maiorino, Giancarlo</t>
  </si>
  <si>
    <t>ND1130.C663 2001</t>
  </si>
  <si>
    <t>http://public.eblib.com/choice/PublicFullRecord.aspx?p=4672060</t>
  </si>
  <si>
    <t>The Fiscal Sustainability of Health Care in Canada : The Romanow Papers, Volume 1</t>
  </si>
  <si>
    <t>RA395.C2.F573 2004</t>
  </si>
  <si>
    <t>http://public.eblib.com/choice/PublicFullRecord.aspx?p=4672061</t>
  </si>
  <si>
    <t>The Future of Aesthetics</t>
  </si>
  <si>
    <t>BH39.S633 1998</t>
  </si>
  <si>
    <t>111/.85</t>
  </si>
  <si>
    <t>Aesthetics</t>
  </si>
  <si>
    <t>http://public.eblib.com/choice/PublicFullRecord.aspx?p=4672063</t>
  </si>
  <si>
    <t>The Genetic Imaginary : DNA in the Canadian Criminal Justice System</t>
  </si>
  <si>
    <t>Gerlach, Neil</t>
  </si>
  <si>
    <t>RA1057.55.G475 2004</t>
  </si>
  <si>
    <t>614/.1/0971</t>
  </si>
  <si>
    <t>http://public.eblib.com/choice/PublicFullRecord.aspx?p=4672066</t>
  </si>
  <si>
    <t>The Girl from God's Country : Nell Shipman and the Silent Cinema</t>
  </si>
  <si>
    <t>Armatage, Kay</t>
  </si>
  <si>
    <t>PN1998.3.S474.A763 2003</t>
  </si>
  <si>
    <t>http://public.eblib.com/choice/PublicFullRecord.aspx?p=4672068</t>
  </si>
  <si>
    <t>The Governance of Health Care in Canada : The Romanow Papers, Volume 3</t>
  </si>
  <si>
    <t>RA395.C2.G684 2004</t>
  </si>
  <si>
    <t>http://public.eblib.com/choice/PublicFullRecord.aspx?p=4672070</t>
  </si>
  <si>
    <t>The Growth of A  la recherche du temps perdu : A Chronological Examination of Proust's Manuscripts from 1909 to 1914</t>
  </si>
  <si>
    <t>Pugh, Anthony R.</t>
  </si>
  <si>
    <t>PQ2631.R63</t>
  </si>
  <si>
    <t>http://public.eblib.com/choice/PublicFullRecord.aspx?p=4672071</t>
  </si>
  <si>
    <t>The Half-Lives of Pat Lowther</t>
  </si>
  <si>
    <t>Wiesenthal, Christine</t>
  </si>
  <si>
    <t>PR9199.3.L66.W547 2005</t>
  </si>
  <si>
    <t>http://public.eblib.com/choice/PublicFullRecord.aspx?p=4672072</t>
  </si>
  <si>
    <t>The Historic Imaginary : Politics of History in Fascist Italy</t>
  </si>
  <si>
    <t>Fogu, Claudio</t>
  </si>
  <si>
    <t>DG571.F548 2003</t>
  </si>
  <si>
    <t>http://public.eblib.com/choice/PublicFullRecord.aspx?p=4672073</t>
  </si>
  <si>
    <t>The History of Morris Dancing, 1438-1750</t>
  </si>
  <si>
    <t>Forrest, John</t>
  </si>
  <si>
    <t>GV1796.M7.F677 1999</t>
  </si>
  <si>
    <t>793.3/1942</t>
  </si>
  <si>
    <t>http://public.eblib.com/choice/PublicFullRecord.aspx?p=4672074</t>
  </si>
  <si>
    <t>The Hot and the Cold : Ills of Humans and Maize in Native Mexico</t>
  </si>
  <si>
    <t>Bain, W. Andrés (Sánchez); Chevalier, Jacques M.</t>
  </si>
  <si>
    <t>F1221.N3.C448 2003</t>
  </si>
  <si>
    <t>306.4/61/08997452</t>
  </si>
  <si>
    <t>http://public.eblib.com/choice/PublicFullRecord.aspx?p=4672075</t>
  </si>
  <si>
    <t>The Illusive Trade-off : Intellectual Property Rights, Innovation Systems, and Egypt’s Pharmaceutical Industry</t>
  </si>
  <si>
    <t>Abdelgafar, Basma</t>
  </si>
  <si>
    <t>HD9673.E32.A234 2006</t>
  </si>
  <si>
    <t>338.4/761510962</t>
  </si>
  <si>
    <t>http://public.eblib.com/choice/PublicFullRecord.aspx?p=4672076</t>
  </si>
  <si>
    <t>The Inglorious Arts of Peace : Exhibitions in Canadian Society during the Nineteenth Century</t>
  </si>
  <si>
    <t>Heaman, Elsbeth</t>
  </si>
  <si>
    <t>Geography/Travel; Engineering: General; Engineering</t>
  </si>
  <si>
    <t>T395.5.C2.H436 1999</t>
  </si>
  <si>
    <t>907.4/71</t>
  </si>
  <si>
    <t>http://public.eblib.com/choice/PublicFullRecord.aspx?p=4672078</t>
  </si>
  <si>
    <t>The Jesuit Series Part Four (L-P)</t>
  </si>
  <si>
    <t>Daly, Peter; Dimler, S.J., G. Richard; Dimler S.J., G.Richard</t>
  </si>
  <si>
    <t>General Works/Reference; Religion</t>
  </si>
  <si>
    <t>BX3702.2.J478 2005</t>
  </si>
  <si>
    <t>Jesuites - Bibliographie</t>
  </si>
  <si>
    <t>http://public.eblib.com/choice/PublicFullRecord.aspx?p=4672080</t>
  </si>
  <si>
    <t>The Jesuit Series Part Three (F-L)</t>
  </si>
  <si>
    <t>Daly, Peter; Dimler, S.J., G. Richard; Daly, Peter M.; Dimmler, G. Richard</t>
  </si>
  <si>
    <t>General Works/Reference; Fine Arts</t>
  </si>
  <si>
    <t>Z1021.3.J478 2002</t>
  </si>
  <si>
    <t>http://public.eblib.com/choice/PublicFullRecord.aspx?p=4672081</t>
  </si>
  <si>
    <t>The Jesuit Series Part Two (D-E)</t>
  </si>
  <si>
    <t>Daly, Peter; Dimler, S.J., G. Richard</t>
  </si>
  <si>
    <t>Z1021.3.J478 2000</t>
  </si>
  <si>
    <t>http://public.eblib.com/choice/PublicFullRecord.aspx?p=4672082</t>
  </si>
  <si>
    <t>The Kantian Imperative : Humiliation, Common Sense, Politics</t>
  </si>
  <si>
    <t>Saurette, Paul</t>
  </si>
  <si>
    <t>B2798.S287 2005</t>
  </si>
  <si>
    <t>http://public.eblib.com/choice/PublicFullRecord.aspx?p=4672084</t>
  </si>
  <si>
    <t>The Labyrinth of Dangerous Hours : A Memoir of the Second World War</t>
  </si>
  <si>
    <t>Trzcinska-Croydon, Lilka; Davies, Norman; Davies, Norman</t>
  </si>
  <si>
    <t>D805.G3.T793 2004</t>
  </si>
  <si>
    <t>940.54/7243/092</t>
  </si>
  <si>
    <t>http://public.eblib.com/choice/PublicFullRecord.aspx?p=4672085</t>
  </si>
  <si>
    <t>The Last Canadian Poet : An Essay on Al Purdy</t>
  </si>
  <si>
    <t>PR9199.3.P8.S654 1999</t>
  </si>
  <si>
    <t>http://public.eblib.com/choice/PublicFullRecord.aspx?p=4672086</t>
  </si>
  <si>
    <t>The Law and Economics of Canadian Competition Policy</t>
  </si>
  <si>
    <t>Collins, Paul; Trebilcock, M.; Winter, Ralph A.; Iacobucci, Edward</t>
  </si>
  <si>
    <t>http://public.eblib.com/choice/PublicFullRecord.aspx?p=4672087</t>
  </si>
  <si>
    <t>The Lawmakers : Judicial Power and the Shaping of Canadian Federalism</t>
  </si>
  <si>
    <t>Saywell, John T.</t>
  </si>
  <si>
    <t>http://public.eblib.com/choice/PublicFullRecord.aspx?p=4672088</t>
  </si>
  <si>
    <t>The Legacy of Benedetto Croce : Contemporary Critical Views</t>
  </si>
  <si>
    <t>D'Amico, Jack; Trafton, Dain A.; Verdicchio, Massimo</t>
  </si>
  <si>
    <t>B3614.C74.L443 1999</t>
  </si>
  <si>
    <t>http://public.eblib.com/choice/PublicFullRecord.aspx?p=4672089</t>
  </si>
  <si>
    <t>The Limits of Rural Capitalism : Family, Culture, and Markets in Montcalm, Manitoba, 1870-1940</t>
  </si>
  <si>
    <t>Sylvester, Kenneth M.; Sylvester, Kenneth M.</t>
  </si>
  <si>
    <t>F1064.5.M66.S958 2001</t>
  </si>
  <si>
    <t>971.27/4</t>
  </si>
  <si>
    <t>Montcalm (Man.) - Conditions sociales</t>
  </si>
  <si>
    <t>http://public.eblib.com/choice/PublicFullRecord.aspx?p=4672091</t>
  </si>
  <si>
    <t>The Logic and Methodology of Science in Early Modern Thought : Seven Studies</t>
  </si>
  <si>
    <t>Wilson, Fred</t>
  </si>
  <si>
    <t>Q174.8.W557 1999</t>
  </si>
  <si>
    <t>http://public.eblib.com/choice/PublicFullRecord.aspx?p=4672092</t>
  </si>
  <si>
    <t>The Logic of Ecstasy : Canadian Mystical Painting, 1920-1940</t>
  </si>
  <si>
    <t>Davis, Ann</t>
  </si>
  <si>
    <t>ND1432.C196.D385 1992</t>
  </si>
  <si>
    <t>759.11/09/041</t>
  </si>
  <si>
    <t>http://public.eblib.com/choice/PublicFullRecord.aspx?p=4672093</t>
  </si>
  <si>
    <t>The Many Landfalls of John Cabot</t>
  </si>
  <si>
    <t>Pope, Peter</t>
  </si>
  <si>
    <t>E129.C1.P674 1997</t>
  </si>
  <si>
    <t>970.01/7/092</t>
  </si>
  <si>
    <t>http://public.eblib.com/choice/PublicFullRecord.aspx?p=4672096</t>
  </si>
  <si>
    <t>The Material, the Real, and the Fractured Self : Subjectivity and Representation from Rimbaud to Réda</t>
  </si>
  <si>
    <t>Harrow, Susan</t>
  </si>
  <si>
    <t>PQ441.H37 2004</t>
  </si>
  <si>
    <t>http://public.eblib.com/choice/PublicFullRecord.aspx?p=4672097</t>
  </si>
  <si>
    <t>The Measure of Democracy : Polling, Market Research, and Public Life, 1930-1945</t>
  </si>
  <si>
    <t>Robinson, Daniel J.</t>
  </si>
  <si>
    <t>HM261.R635 1999</t>
  </si>
  <si>
    <t>303.3/8/097109041</t>
  </si>
  <si>
    <t>http://public.eblib.com/choice/PublicFullRecord.aspx?p=4672098</t>
  </si>
  <si>
    <t>The Montreal Forties : Modernist Poetry in Transition</t>
  </si>
  <si>
    <t>PR9190.5.M6.T744 1999</t>
  </si>
  <si>
    <t>811/.5209971428</t>
  </si>
  <si>
    <t>http://public.eblib.com/choice/PublicFullRecord.aspx?p=4672099</t>
  </si>
  <si>
    <t>The Mothers Legacy to Her Vnborn Childe</t>
  </si>
  <si>
    <t>Joselin, Elizabeth; LeDrew Metcalfe, Jean</t>
  </si>
  <si>
    <t>BV4571.2.J634 2000</t>
  </si>
  <si>
    <t>248.8/2</t>
  </si>
  <si>
    <t>http://public.eblib.com/choice/PublicFullRecord.aspx?p=4672100</t>
  </si>
  <si>
    <t>The Museum Makers : The Story of the Royal Ontario Museum</t>
  </si>
  <si>
    <t>Dickson, Lovat</t>
  </si>
  <si>
    <t>AM101.T65.D535 1986</t>
  </si>
  <si>
    <t>069/.09713/541</t>
  </si>
  <si>
    <t>http://public.eblib.com/choice/PublicFullRecord.aspx?p=4672101</t>
  </si>
  <si>
    <t>The Music of Harry Freedman</t>
  </si>
  <si>
    <t>Dixon, Gail</t>
  </si>
  <si>
    <t>MT92.F74D59 2004</t>
  </si>
  <si>
    <t>http://public.eblib.com/choice/PublicFullRecord.aspx?p=4672102</t>
  </si>
  <si>
    <t>The Mysterious Barricades : Language and its Limits</t>
  </si>
  <si>
    <t>Berthoff, Ann E.</t>
  </si>
  <si>
    <t>P106.B478 1999</t>
  </si>
  <si>
    <t>http://public.eblib.com/choice/PublicFullRecord.aspx?p=4672103</t>
  </si>
  <si>
    <t>The Mystery of the Eye and the Shadow of Blindness</t>
  </si>
  <si>
    <t>Michalko, Rod</t>
  </si>
  <si>
    <t>HV1593.M534 1998</t>
  </si>
  <si>
    <t>362.4/1</t>
  </si>
  <si>
    <t>Cecite - Aspect social</t>
  </si>
  <si>
    <t>http://public.eblib.com/choice/PublicFullRecord.aspx?p=4672104</t>
  </si>
  <si>
    <t>The Myth of Print Culture : Essays on Evidence, Textuality, and Bibliographical Method</t>
  </si>
  <si>
    <t>Dane, Joseph A.</t>
  </si>
  <si>
    <t>Z4.D26 2003</t>
  </si>
  <si>
    <t>http://public.eblib.com/choice/PublicFullRecord.aspx?p=4672105</t>
  </si>
  <si>
    <t>The National Research Council in The Innovation Policy Era : Changing Hierarchies, Networks, and Markets</t>
  </si>
  <si>
    <t>Doern, G. Bruce; Levesque, Richard; Institute of Public Administration of Canada Staff</t>
  </si>
  <si>
    <t>Engineering; Engineering: General; Political Science</t>
  </si>
  <si>
    <t>T177.C2.D647 2002</t>
  </si>
  <si>
    <t>352.7/45</t>
  </si>
  <si>
    <t>http://public.eblib.com/choice/PublicFullRecord.aspx?p=4672106</t>
  </si>
  <si>
    <t>The Nature of their Bodies : Women and their Doctors in Victorian Canada</t>
  </si>
  <si>
    <t>Mitchinson, Wendy</t>
  </si>
  <si>
    <t>R462.M583 1994</t>
  </si>
  <si>
    <t>610/.82</t>
  </si>
  <si>
    <t>http://public.eblib.com/choice/PublicFullRecord.aspx?p=4672107</t>
  </si>
  <si>
    <t>The Neo-Primitivist Turn : Critical Reflections on Alterity, Culture, and Modernity</t>
  </si>
  <si>
    <t>Li, Victor</t>
  </si>
  <si>
    <t>CB281.L5 2006</t>
  </si>
  <si>
    <t>http://public.eblib.com/choice/PublicFullRecord.aspx?p=4672108</t>
  </si>
  <si>
    <t>The New Avant-Garde in Italy : Theoretical Debate and Poetic Practices</t>
  </si>
  <si>
    <t>Picchione, John</t>
  </si>
  <si>
    <t>PQ4113.P47 2004</t>
  </si>
  <si>
    <t>http://public.eblib.com/choice/PublicFullRecord.aspx?p=4672109</t>
  </si>
  <si>
    <t>The New Democracy : Challenging the Social Order in Industrial Ontario, 1914-1925</t>
  </si>
  <si>
    <t>Naylor, James</t>
  </si>
  <si>
    <t>HD4854.N395 1991</t>
  </si>
  <si>
    <t>http://public.eblib.com/choice/PublicFullRecord.aspx?p=4672110</t>
  </si>
  <si>
    <t>The New Icons? : The Art of Television Advertising</t>
  </si>
  <si>
    <t>HF6146.T42.R884 1995</t>
  </si>
  <si>
    <t>659.14/3</t>
  </si>
  <si>
    <t>Television advertising</t>
  </si>
  <si>
    <t>http://public.eblib.com/choice/PublicFullRecord.aspx?p=4672112</t>
  </si>
  <si>
    <t>The New Parapolice : Risk Markets and Commodified Social Control</t>
  </si>
  <si>
    <t>Rigakos, George S.; Rigakos, George S.</t>
  </si>
  <si>
    <t>HV8290.R54 2002</t>
  </si>
  <si>
    <t>363.28/9</t>
  </si>
  <si>
    <t>http://public.eblib.com/choice/PublicFullRecord.aspx?p=4672113</t>
  </si>
  <si>
    <t>The Next World War : Tribes, Cities, Nations, and Ecological Decline</t>
  </si>
  <si>
    <t>Woodbridge, Roy; Woodbridge, Roy</t>
  </si>
  <si>
    <t>GE140.W66 2004</t>
  </si>
  <si>
    <t>http://public.eblib.com/choice/PublicFullRecord.aspx?p=4672114</t>
  </si>
  <si>
    <t>The North Pacific Triangle : The United States, Japan, and Canada at Century's End</t>
  </si>
  <si>
    <t>Fry, Michael; Kirton, John; Kurosawa, Misturu; Kurosawa, Mitsuru</t>
  </si>
  <si>
    <t>JZ1242.N67 1998</t>
  </si>
  <si>
    <t>327.73052/09/045</t>
  </si>
  <si>
    <t>Japan - Foreign relations - Canada</t>
  </si>
  <si>
    <t>http://public.eblib.com/choice/PublicFullRecord.aspx?p=4672115</t>
  </si>
  <si>
    <t>The Novel as Investigation : Leonardo Sciascia, Dacia Maraini, and Antonio Tabucchi</t>
  </si>
  <si>
    <t>Cannon, JoAnn; Cannon, Jo-Ann</t>
  </si>
  <si>
    <t>PQ4181.D4C36 2006</t>
  </si>
  <si>
    <t>http://public.eblib.com/choice/PublicFullRecord.aspx?p=4672116</t>
  </si>
  <si>
    <t>The Odyssey of  John Anderson</t>
  </si>
  <si>
    <t>KE228.A53.B763 1989</t>
  </si>
  <si>
    <t>http://public.eblib.com/choice/PublicFullRecord.aspx?p=4672117</t>
  </si>
  <si>
    <t>The One and the Many : English-Canadian Short Story Cycles</t>
  </si>
  <si>
    <t>PR9192.52.L96 2001</t>
  </si>
  <si>
    <t>813/.010971/0904</t>
  </si>
  <si>
    <t>http://public.eblib.com/choice/PublicFullRecord.aspx?p=4672119</t>
  </si>
  <si>
    <t>The Other Futurism : Futurist Activity in Venice, Padua, and Verona</t>
  </si>
  <si>
    <t>NX552.A3.V4625 2004</t>
  </si>
  <si>
    <t>709/.45/09041</t>
  </si>
  <si>
    <t>http://public.eblib.com/choice/PublicFullRecord.aspx?p=4672122</t>
  </si>
  <si>
    <t>The Other Italy : The Literary Canon in Dialect</t>
  </si>
  <si>
    <t>Haller, Hermann W.</t>
  </si>
  <si>
    <t>PQ4053.D45.H35 1999</t>
  </si>
  <si>
    <t>850.9 |2 21</t>
  </si>
  <si>
    <t>http://public.eblib.com/choice/PublicFullRecord.aspx?p=4672124</t>
  </si>
  <si>
    <t>The Pacifist Impulse in Historical Perspective</t>
  </si>
  <si>
    <t>Dyck, Harvey L.</t>
  </si>
  <si>
    <t>JX1938.P33 1996</t>
  </si>
  <si>
    <t>303.6/6</t>
  </si>
  <si>
    <t>http://public.eblib.com/choice/PublicFullRecord.aspx?p=4672125</t>
  </si>
  <si>
    <t>The Parmenides and Plato's Late Philosophy : Translation of and Commentary on the Parmenides with Interpretative Chapters on the Timaeus, the Theaetetus, the Sophist, and the Philebus</t>
  </si>
  <si>
    <t>Turnbull, Robert G.; Turnbull, Robert G.</t>
  </si>
  <si>
    <t>B378.T87 1998</t>
  </si>
  <si>
    <t>http://public.eblib.com/choice/PublicFullRecord.aspx?p=4672126</t>
  </si>
  <si>
    <t>The Peter J. Braun Russian Mennonite Archive : A Research Guide</t>
  </si>
  <si>
    <t>Dyck, Harvey L.; Epp, Ingrid I.</t>
  </si>
  <si>
    <t>Z7845.M4.E65 1996</t>
  </si>
  <si>
    <t>016.2897/4773</t>
  </si>
  <si>
    <t>http://public.eblib.com/choice/PublicFullRecord.aspx?p=4672128</t>
  </si>
  <si>
    <t>The Poetry of Immanence : Sacrament in Donne and Herbert</t>
  </si>
  <si>
    <t>Whalen, Robert H.</t>
  </si>
  <si>
    <t>PR2248.W47 2002</t>
  </si>
  <si>
    <t>821/.3093823</t>
  </si>
  <si>
    <t>http://public.eblib.com/choice/PublicFullRecord.aspx?p=4672130</t>
  </si>
  <si>
    <t>The Politics of  Canadian Public Policy</t>
  </si>
  <si>
    <t>Atkinson, Michael M.; Chandler, Marsha A</t>
  </si>
  <si>
    <t>JL61.P68 1983</t>
  </si>
  <si>
    <t>http://public.eblib.com/choice/PublicFullRecord.aspx?p=4672131</t>
  </si>
  <si>
    <t>The Politics of CANDU Exports</t>
  </si>
  <si>
    <t>HD9698.C22.B73 2006</t>
  </si>
  <si>
    <t>382/.456214830971</t>
  </si>
  <si>
    <t>http://public.eblib.com/choice/PublicFullRecord.aspx?p=4672133</t>
  </si>
  <si>
    <t>The Politics of Educational Reform in Alberta</t>
  </si>
  <si>
    <t>Taylor, Alison</t>
  </si>
  <si>
    <t>LC1085 .4 C2 |b .T39 2001</t>
  </si>
  <si>
    <t>http://public.eblib.com/choice/PublicFullRecord.aspx?p=4672134</t>
  </si>
  <si>
    <t>The Politics of Passion : Norman Bethune's Writing and Art</t>
  </si>
  <si>
    <t>Bethune, Norman; Hannant, Larry; Hannant, Larry</t>
  </si>
  <si>
    <t>R464.B4.P655 1998</t>
  </si>
  <si>
    <t>http://public.eblib.com/choice/PublicFullRecord.aspx?p=4672135</t>
  </si>
  <si>
    <t>The Politics of the Past in an Argentine Working-Class Neighbourhood</t>
  </si>
  <si>
    <t>DuBois, Lindsay</t>
  </si>
  <si>
    <t>http://public.eblib.com/choice/PublicFullRecord.aspx?p=4672137</t>
  </si>
  <si>
    <t>The Politics of the Visible in Asian North American Narratives</t>
  </si>
  <si>
    <t>PR9188.2.A74.T9 2004</t>
  </si>
  <si>
    <t>818/.540809895071</t>
  </si>
  <si>
    <t>http://public.eblib.com/choice/PublicFullRecord.aspx?p=4672138</t>
  </si>
  <si>
    <t>The Primacy of Semiosis : An Ontology of Relations</t>
  </si>
  <si>
    <t>Bains, Paul</t>
  </si>
  <si>
    <t>http://public.eblib.com/choice/PublicFullRecord.aspx?p=4672139</t>
  </si>
  <si>
    <t>The Problem of Evil in Early Modern Philosophy</t>
  </si>
  <si>
    <t>Kremer, Elmar J.; Latzer, Michael  J.; Latzer, Michael J.</t>
  </si>
  <si>
    <t>BJ1401.P765 2001</t>
  </si>
  <si>
    <t>111/.84/09032</t>
  </si>
  <si>
    <t>Theodicy - History of doctrines - 17th century</t>
  </si>
  <si>
    <t>http://public.eblib.com/choice/PublicFullRecord.aspx?p=4672140</t>
  </si>
  <si>
    <t>The Quest for Epic : From Ariosto to Tasso</t>
  </si>
  <si>
    <t>Zatti, Sergio; Zatti, Sergio; Looney, Dennis; Ascoli, Albert Russell; Hill, Sally</t>
  </si>
  <si>
    <t>PQ4103.Z37 2006</t>
  </si>
  <si>
    <t>851/.409353</t>
  </si>
  <si>
    <t>http://public.eblib.com/choice/PublicFullRecord.aspx?p=4672142</t>
  </si>
  <si>
    <t>The Rebirth of Anthropological Theory</t>
  </si>
  <si>
    <t>Barrett, Stanley, R.</t>
  </si>
  <si>
    <t>GN345.B377 1964</t>
  </si>
  <si>
    <t>http://public.eblib.com/choice/PublicFullRecord.aspx?p=4672143</t>
  </si>
  <si>
    <t>The Reinvention of Ignazio Silone</t>
  </si>
  <si>
    <t>PQ4841.I4.Z655 2003</t>
  </si>
  <si>
    <t>http://public.eblib.com/choice/PublicFullRecord.aspx?p=4672144</t>
  </si>
  <si>
    <t>The Republican Option in Canada, Past and Present</t>
  </si>
  <si>
    <t>JL15.S658 1999</t>
  </si>
  <si>
    <t>http://public.eblib.com/choice/PublicFullRecord.aspx?p=4672145</t>
  </si>
  <si>
    <t>The Rites of Men : Manhood, Politics, and the Culture of Sport</t>
  </si>
  <si>
    <t>Burstyn, Varda</t>
  </si>
  <si>
    <t>GV706.5.B87 1999</t>
  </si>
  <si>
    <t>306.4/83</t>
  </si>
  <si>
    <t>http://public.eblib.com/choice/PublicFullRecord.aspx?p=4672147</t>
  </si>
  <si>
    <t>The Role of Thunder in Finnegans Wake</t>
  </si>
  <si>
    <t>McLuhan, Eric</t>
  </si>
  <si>
    <t>PR6019.O9.M358 1997</t>
  </si>
  <si>
    <t>http://public.eblib.com/choice/PublicFullRecord.aspx?p=4672148</t>
  </si>
  <si>
    <t>The Roles of Public Opinion Research in Canadian Government</t>
  </si>
  <si>
    <t>Page, Christopher</t>
  </si>
  <si>
    <t>JL86.P64.P34 2006</t>
  </si>
  <si>
    <t>http://public.eblib.com/choice/PublicFullRecord.aspx?p=4672149</t>
  </si>
  <si>
    <t>The Romance Epics of Boiardo, Ariosto, and Tasso : From Public Duty to Private Pleasure</t>
  </si>
  <si>
    <t>Cavallo, Jo Ann; Cavallo</t>
  </si>
  <si>
    <t>PQ4117.C383 2004</t>
  </si>
  <si>
    <t>http://public.eblib.com/choice/PublicFullRecord.aspx?p=4672150</t>
  </si>
  <si>
    <t>The Roots of Ukrainian Nationalism : Galicia as Ukraine's Piedmont</t>
  </si>
  <si>
    <t>DK508.9.G35.M346 2002</t>
  </si>
  <si>
    <t>http://public.eblib.com/choice/PublicFullRecord.aspx?p=4672151</t>
  </si>
  <si>
    <t>The Rule of Reason : The Philosophy of C.S. Peirce</t>
  </si>
  <si>
    <t>Brunning, Jacqueline; Forster, Paul; Brunning, Jacquline</t>
  </si>
  <si>
    <t>B945.P44.R854 1997</t>
  </si>
  <si>
    <t>http://public.eblib.com/choice/PublicFullRecord.aspx?p=4672153</t>
  </si>
  <si>
    <t>The Rule of the Admirals : Law, Custom, and Naval Government in Newfoundland, 1699-1832</t>
  </si>
  <si>
    <t>Bannister, Jerry</t>
  </si>
  <si>
    <t>http://public.eblib.com/choice/PublicFullRecord.aspx?p=4672154</t>
  </si>
  <si>
    <t>The Scales of Success : Constructions of Life-Career Success of Eminent Men and Women Lawyers</t>
  </si>
  <si>
    <t>O'Donovan-Polten, Sheelagh</t>
  </si>
  <si>
    <t>KE331.O33 2001</t>
  </si>
  <si>
    <t>http://public.eblib.com/choice/PublicFullRecord.aspx?p=4672155</t>
  </si>
  <si>
    <t>The Science of War : Canadian Scientists and Allied Military Technology during the Second World War</t>
  </si>
  <si>
    <t>Avery, Donald H.</t>
  </si>
  <si>
    <t>D810 S2.A947 1998</t>
  </si>
  <si>
    <t>http://public.eblib.com/choice/PublicFullRecord.aspx?p=4672157</t>
  </si>
  <si>
    <t>The Second Scroll</t>
  </si>
  <si>
    <t>Klein, A.M.; Pollock, Zailig; Popham, Elizabeth A.</t>
  </si>
  <si>
    <t>PR9199.3.K48.K545 2000</t>
  </si>
  <si>
    <t>http://public.eblib.com/choice/PublicFullRecord.aspx?p=4672158</t>
  </si>
  <si>
    <t>The Security of Freedom : Essays on Canada's Anti-Terrorism Bill</t>
  </si>
  <si>
    <t>Daniels, Ronald; Macklem, Patrick; University of Toronto, Faculty of Law Staff</t>
  </si>
  <si>
    <t>KE9007.S438 2002</t>
  </si>
  <si>
    <t>http://public.eblib.com/choice/PublicFullRecord.aspx?p=4672159</t>
  </si>
  <si>
    <t>The Self and its Body in Hegel's Phenomenology of Spirit</t>
  </si>
  <si>
    <t>Russon, John</t>
  </si>
  <si>
    <t>B2929.R877 1997</t>
  </si>
  <si>
    <t>http://public.eblib.com/choice/PublicFullRecord.aspx?p=4672160</t>
  </si>
  <si>
    <t>The Shifting Foundations of Modern Nation-States : Realignments of Belonging</t>
  </si>
  <si>
    <t>Godfrey, Sima; Unger, Frank; Unger, Frank</t>
  </si>
  <si>
    <t>JC311.S554 2004</t>
  </si>
  <si>
    <t>National state - History</t>
  </si>
  <si>
    <t>http://public.eblib.com/choice/PublicFullRecord.aspx?p=4672161</t>
  </si>
  <si>
    <t>The Small Details of Life : Twenty Diaries by Women in Canada, 1830-1996</t>
  </si>
  <si>
    <t>Carter, Kathryn</t>
  </si>
  <si>
    <t>CT3270.S635 2002</t>
  </si>
  <si>
    <t>http://public.eblib.com/choice/PublicFullRecord.aspx?p=4672163</t>
  </si>
  <si>
    <t>The Social Credit Phenomenon</t>
  </si>
  <si>
    <t>JL339.A52.F565 1989</t>
  </si>
  <si>
    <t>http://public.eblib.com/choice/PublicFullRecord.aspx?p=4672164</t>
  </si>
  <si>
    <t>The Sovereignty of Joy : Nietzsche's Vision of Grand Politics</t>
  </si>
  <si>
    <t>McIntyre, Alex</t>
  </si>
  <si>
    <t>JC233.N52.M356 1997</t>
  </si>
  <si>
    <t>http://public.eblib.com/choice/PublicFullRecord.aspx?p=4672167</t>
  </si>
  <si>
    <t>The Textual Society</t>
  </si>
  <si>
    <t>Taborsky, Edwina</t>
  </si>
  <si>
    <t>BF323.S63.T336 1997</t>
  </si>
  <si>
    <t>http://public.eblib.com/choice/PublicFullRecord.aspx?p=4672168</t>
  </si>
  <si>
    <t>The 'Third Book' Notebooks of Northrop Frye, 1964-1972: The Critical Comedy</t>
  </si>
  <si>
    <t>Frye, Northrop; Dolzani, Michael</t>
  </si>
  <si>
    <t>PN45.T457 2002</t>
  </si>
  <si>
    <t>http://public.eblib.com/choice/PublicFullRecord.aspx?p=4672169</t>
  </si>
  <si>
    <t>The Tightrope Walker : Autobiographical Writings of Anne Wilkinson</t>
  </si>
  <si>
    <t>Wilkinson, Anne; Coldwell, Joan</t>
  </si>
  <si>
    <t>PR9199.3.W487.T544 1992</t>
  </si>
  <si>
    <t>http://public.eblib.com/choice/PublicFullRecord.aspx?p=4672170</t>
  </si>
  <si>
    <t>The Triumphant Juan Rana : A Gay Actor of the Spanish Golden Age</t>
  </si>
  <si>
    <t>PQ6105.T46 2006</t>
  </si>
  <si>
    <t>http://public.eblib.com/choice/PublicFullRecord.aspx?p=4672171</t>
  </si>
  <si>
    <t>The Tumble of Reason : Alice Munro's Discourse of Absence</t>
  </si>
  <si>
    <t>Heble, Ajay</t>
  </si>
  <si>
    <t>PR9199.3.M8.H435 1994</t>
  </si>
  <si>
    <t>http://public.eblib.com/choice/PublicFullRecord.aspx?p=4672173</t>
  </si>
  <si>
    <t>The Ugly Woman : Transgressive Aesthetic Models in Italian Poetry from the Middle Ages to the Baroque</t>
  </si>
  <si>
    <t>Bettella, Patrizia</t>
  </si>
  <si>
    <t>PQ4055.W6.B488 2005</t>
  </si>
  <si>
    <t>http://public.eblib.com/choice/PublicFullRecord.aspx?p=4672174</t>
  </si>
  <si>
    <t>The Unsung Psychoanalyst : The Quiet Influence of Ruth Easser</t>
  </si>
  <si>
    <t>O'Neil, Mary Kay</t>
  </si>
  <si>
    <t>RC438.6.E18O54 2004</t>
  </si>
  <si>
    <t>http://public.eblib.com/choice/PublicFullRecord.aspx?p=4672176</t>
  </si>
  <si>
    <t>The Welland Canals and their Communities : Engineering, Industrial, and Urban Transformation</t>
  </si>
  <si>
    <t>Jackson, John</t>
  </si>
  <si>
    <t>HE401.W45.J335 1997</t>
  </si>
  <si>
    <t>http://public.eblib.com/choice/PublicFullRecord.aspx?p=4672178</t>
  </si>
  <si>
    <t>The Woman and the Hour : Harriet Martineau and Victorian Ideologies</t>
  </si>
  <si>
    <t>Roberts, Caroline</t>
  </si>
  <si>
    <t>PR4984.M5.R634 2002</t>
  </si>
  <si>
    <t>http://public.eblib.com/choice/PublicFullRecord.aspx?p=4672179</t>
  </si>
  <si>
    <t>The Workers' Revolt in Canada, 1917-1925</t>
  </si>
  <si>
    <t>Heron, Craig; Heron, Craig</t>
  </si>
  <si>
    <t>HD5328.W675 1998</t>
  </si>
  <si>
    <t>http://public.eblib.com/choice/PublicFullRecord.aspx?p=4672180</t>
  </si>
  <si>
    <t>Theatre of Estrangement : Theory, Practice, Ideology</t>
  </si>
  <si>
    <t>Jestrovic, Silvija</t>
  </si>
  <si>
    <t>PN2654.J478 2006</t>
  </si>
  <si>
    <t>http://public.eblib.com/choice/PublicFullRecord.aspx?p=4672182</t>
  </si>
  <si>
    <t>Theatre Semiotics : Text and Staging in Modern Theatre</t>
  </si>
  <si>
    <t>de Toro, Fernando; Valdes, Mario</t>
  </si>
  <si>
    <t>PN2041.S45.T676 1995</t>
  </si>
  <si>
    <t>http://public.eblib.com/choice/PublicFullRecord.aspx?p=4672183</t>
  </si>
  <si>
    <t>This Side of Heaven : Determining the Donnelly Murders, 1880</t>
  </si>
  <si>
    <t>Feltes, Norman N.</t>
  </si>
  <si>
    <t>HV6810.L8.F458 1999</t>
  </si>
  <si>
    <t>http://public.eblib.com/choice/PublicFullRecord.aspx?p=4672185</t>
  </si>
  <si>
    <t>Thomas Hardy, Monism, and the Carnival Tradition : The One and the Many in The Dynasts</t>
  </si>
  <si>
    <t>Wickens, Gordon Glen</t>
  </si>
  <si>
    <t>PR4750.D8.W535 2002</t>
  </si>
  <si>
    <t>http://public.eblib.com/choice/PublicFullRecord.aspx?p=4672186</t>
  </si>
  <si>
    <t>Thomas Usk's Testament of Love : A Critical Edition</t>
  </si>
  <si>
    <t>Shawver, Gary</t>
  </si>
  <si>
    <t>PR2148.U75.U85 2002</t>
  </si>
  <si>
    <t>http://public.eblib.com/choice/PublicFullRecord.aspx?p=4672187</t>
  </si>
  <si>
    <t>Tools of Literacy : The Role of Skaldic Verse in Icelandic Textual Culture of the Twelfth and Thirteenth Centuries</t>
  </si>
  <si>
    <t>Nordal, Guðrún</t>
  </si>
  <si>
    <t>PT7172.G837 2001</t>
  </si>
  <si>
    <t>http://public.eblib.com/choice/PublicFullRecord.aspx?p=4672189</t>
  </si>
  <si>
    <t>Toronto Workers Respond to Industrial Capitalism, 1867-1892</t>
  </si>
  <si>
    <t>Reprints in Canadian History</t>
  </si>
  <si>
    <t>HD8110.T62.K435 1991</t>
  </si>
  <si>
    <t>http://public.eblib.com/choice/PublicFullRecord.aspx?p=4672190</t>
  </si>
  <si>
    <t>Toronto's Girl Problem : The Perils and Pleasures of the City, 1880-1930</t>
  </si>
  <si>
    <t>HD6055.6.C22.S773 1995</t>
  </si>
  <si>
    <t>http://public.eblib.com/choice/PublicFullRecord.aspx?p=4672191</t>
  </si>
  <si>
    <t>Touch Monkeys : Nonsense Strategies for Reading Twentieth-Century Poetry</t>
  </si>
  <si>
    <t>Parsons, Marnie</t>
  </si>
  <si>
    <t>PS325.P377 1994</t>
  </si>
  <si>
    <t>http://public.eblib.com/choice/PublicFullRecord.aspx?p=4672192</t>
  </si>
  <si>
    <t>Towards a Sociology of Schizophrenia : Humanistic Reflections</t>
  </si>
  <si>
    <t>Doubt, Keith</t>
  </si>
  <si>
    <t>RC514.D683 1996</t>
  </si>
  <si>
    <t>http://public.eblib.com/choice/PublicFullRecord.aspx?p=4672193</t>
  </si>
  <si>
    <t>Transcendent Experiences : Phenomenology and Critique</t>
  </si>
  <si>
    <t>Roy, Louis P.</t>
  </si>
  <si>
    <t>BL53.R69 2001</t>
  </si>
  <si>
    <t>Transcendence (Philosophy)</t>
  </si>
  <si>
    <t>http://public.eblib.com/choice/PublicFullRecord.aspx?p=4672194</t>
  </si>
  <si>
    <t>Transforming Development : Foreign Aid for a Changing World</t>
  </si>
  <si>
    <t>Freedman, Jim</t>
  </si>
  <si>
    <t>HC60.T736 2000</t>
  </si>
  <si>
    <t>http://public.eblib.com/choice/PublicFullRecord.aspx?p=4672195</t>
  </si>
  <si>
    <t>Translating Orients : Between Ideology and Utopia</t>
  </si>
  <si>
    <t>Weiss, Timothy</t>
  </si>
  <si>
    <t>PR129.O75W43 2004</t>
  </si>
  <si>
    <t>http://public.eblib.com/choice/PublicFullRecord.aspx?p=4672196</t>
  </si>
  <si>
    <t>Tropics of Teaching : Productivity, Warfare, and Priesthood</t>
  </si>
  <si>
    <t>Tochon, François</t>
  </si>
  <si>
    <t>LB1707.T634 2002</t>
  </si>
  <si>
    <t>Teaching</t>
  </si>
  <si>
    <t>http://public.eblib.com/choice/PublicFullRecord.aspx?p=4672198</t>
  </si>
  <si>
    <t>Twentieth-Century Italian Literature in Translation : An Annotated Bibliography, 1929-1997</t>
  </si>
  <si>
    <t>Healey, Robin</t>
  </si>
  <si>
    <t>PQ4250.E5.H435 1998</t>
  </si>
  <si>
    <t>http://public.eblib.com/choice/PublicFullRecord.aspx?p=4672200</t>
  </si>
  <si>
    <t>Twisting in the Wind : The Murderess and the English Press</t>
  </si>
  <si>
    <t>Knelman, Judith</t>
  </si>
  <si>
    <t>HV6046.K545 1998</t>
  </si>
  <si>
    <t>http://public.eblib.com/choice/PublicFullRecord.aspx?p=4672202</t>
  </si>
  <si>
    <t>Unauthorized Entry : The Truth about Nazi War Criminals in Canada 1946-1956</t>
  </si>
  <si>
    <t>Margolian, Howard</t>
  </si>
  <si>
    <t>D803.M374 2000</t>
  </si>
  <si>
    <t>http://public.eblib.com/choice/PublicFullRecord.aspx?p=4672204</t>
  </si>
  <si>
    <t>Uncommon Readers : Denis Donoghue, Frank Kermode, George Steiner, and the Tradition of the Common Reader</t>
  </si>
  <si>
    <t>Knight, Christopher J.</t>
  </si>
  <si>
    <t>PN74.K554 2003</t>
  </si>
  <si>
    <t>http://public.eblib.com/choice/PublicFullRecord.aspx?p=4672205</t>
  </si>
  <si>
    <t>Under the Radiant Sun and the Crescent Moon : Italo Calvino's Storytelling</t>
  </si>
  <si>
    <t>Jeannet, Angela M.</t>
  </si>
  <si>
    <t>PQ4809.A45.J436 2000</t>
  </si>
  <si>
    <t>http://public.eblib.com/choice/PublicFullRecord.aspx?p=4672206</t>
  </si>
  <si>
    <t>Understanding Abuse : Partnering for Change</t>
  </si>
  <si>
    <t>Cameron, Catherine Ann; Nason-Clark, Nancy; Stirling, Mary Lou; Miedema, Baukje</t>
  </si>
  <si>
    <t>HV6626.23.C2.U534 2004</t>
  </si>
  <si>
    <t>http://public.eblib.com/choice/PublicFullRecord.aspx?p=4672207</t>
  </si>
  <si>
    <t>Unequal Beginnings : Agriculture and Economic Development in Quebec and Ontario until 1870</t>
  </si>
  <si>
    <t>McCallum, John</t>
  </si>
  <si>
    <t>HD1790.O6.M333 1987</t>
  </si>
  <si>
    <t>http://public.eblib.com/choice/PublicFullRecord.aspx?p=4672208</t>
  </si>
  <si>
    <t>Unforeseen Legacies : Reuben Wells Leonard and the Leonard Foundation Trust</t>
  </si>
  <si>
    <t>Ziff, Bruce</t>
  </si>
  <si>
    <t>KE237.L46.Z544 2000</t>
  </si>
  <si>
    <t>http://public.eblib.com/choice/PublicFullRecord.aspx?p=4672212</t>
  </si>
  <si>
    <t>Unions in the Time of Revolutions : Government Restructuring in Alberta and Ontario</t>
  </si>
  <si>
    <t>Raston, Sandra; Reshef, Yonatan</t>
  </si>
  <si>
    <t>HD6529.A4</t>
  </si>
  <si>
    <t>http://public.eblib.com/choice/PublicFullRecord.aspx?p=4672213</t>
  </si>
  <si>
    <t>Unlocking the Wordhord : Anglo-Saxon Studies in Memory of Edward B. Irving, Jr.</t>
  </si>
  <si>
    <t>Amodio, Mark C.; O'Brien O'Keeffe, Katherine; Amodio, Mark C.</t>
  </si>
  <si>
    <t>PE108.I78.U556 2003</t>
  </si>
  <si>
    <t>English literature - Old English, ca. 450-1100 - History and criticism</t>
  </si>
  <si>
    <t>http://public.eblib.com/choice/PublicFullRecord.aspx?p=4672215</t>
  </si>
  <si>
    <t>Unmaking Imperial Russia : Mykhailo Hrushevsky and the Writing of Ukrainian History</t>
  </si>
  <si>
    <t>Plokhii, Serhii</t>
  </si>
  <si>
    <t>http://public.eblib.com/choice/PublicFullRecord.aspx?p=4672216</t>
  </si>
  <si>
    <t>Unsex'd Revolutionaries : Five Women Novelists of the 1790's</t>
  </si>
  <si>
    <t>PR858.W6.T9 1993</t>
  </si>
  <si>
    <t>http://public.eblib.com/choice/PublicFullRecord.aspx?p=4672217</t>
  </si>
  <si>
    <t>Using Knowledge and Evidence in Health Care : Multidisciplinary Perspectives</t>
  </si>
  <si>
    <t>Champagne, Francois; Lemieux-Charles, Louise; Lemieux-Charles, Louise; Champagne, Francois</t>
  </si>
  <si>
    <t>R723.7.U85 2008</t>
  </si>
  <si>
    <t>http://public.eblib.com/choice/PublicFullRecord.aspx?p=4672218</t>
  </si>
  <si>
    <t>Utilitarianism : Restorations; Repairs; Renovations</t>
  </si>
  <si>
    <t>B843.B73 2004</t>
  </si>
  <si>
    <t>http://public.eblib.com/choice/PublicFullRecord.aspx?p=4672219</t>
  </si>
  <si>
    <t>Utopia, Carnival, and Commonwealth in Renaissance England</t>
  </si>
  <si>
    <t>Kendrick, Christopher</t>
  </si>
  <si>
    <t>PR418.U76K46 2004</t>
  </si>
  <si>
    <t>http://public.eblib.com/choice/PublicFullRecord.aspx?p=4672220</t>
  </si>
  <si>
    <t>Value Change and Governance in Canada</t>
  </si>
  <si>
    <t>Nevitte, Neil</t>
  </si>
  <si>
    <t>JL186.5.V34 2002</t>
  </si>
  <si>
    <t>http://public.eblib.com/choice/PublicFullRecord.aspx?p=4672221</t>
  </si>
  <si>
    <t>Values Education and Technology : The Ideology of Dispossession</t>
  </si>
  <si>
    <t>LC268.E434 1995</t>
  </si>
  <si>
    <t>http://public.eblib.com/choice/PublicFullRecord.aspx?p=4672222</t>
  </si>
  <si>
    <t>Verbal Encounters : Anglo-Saxon and Old Norse Studies for Roberta Frank</t>
  </si>
  <si>
    <t>Harbus, Antonina; Poole, Russell; Poole, Russell</t>
  </si>
  <si>
    <t>PE108.F73.V473 2005</t>
  </si>
  <si>
    <t>http://public.eblib.com/choice/PublicFullRecord.aspx?p=4672223</t>
  </si>
  <si>
    <t>The Vertical Mosaic : An Analysis of Social Class and Power in Canada</t>
  </si>
  <si>
    <t>HN103.5.P678 1992</t>
  </si>
  <si>
    <t>http://public.eblib.com/choice/PublicFullRecord.aspx?p=4672224</t>
  </si>
  <si>
    <t>Victor Hugo and the Romantic Drama</t>
  </si>
  <si>
    <t>Halsall, Albert W.</t>
  </si>
  <si>
    <t>PQ2301.H357 1998</t>
  </si>
  <si>
    <t>http://public.eblib.com/choice/PublicFullRecord.aspx?p=4672226</t>
  </si>
  <si>
    <t>Victorian Periodicals and Victorian Society</t>
  </si>
  <si>
    <t>General Works/Reference; Journalism</t>
  </si>
  <si>
    <t>PN5124.P4.V538 1995</t>
  </si>
  <si>
    <t>English periodicals - Great Britain - History - 19th century</t>
  </si>
  <si>
    <t>http://public.eblib.com/choice/PublicFullRecord.aspx?p=4672227</t>
  </si>
  <si>
    <t>Viking Poems on War and Peace : A Study in Skaldic Narrative</t>
  </si>
  <si>
    <t>Poole, Russell</t>
  </si>
  <si>
    <t>PT7172.P665 1991</t>
  </si>
  <si>
    <t>http://public.eblib.com/choice/PublicFullRecord.aspx?p=4672228</t>
  </si>
  <si>
    <t>Visions of Privacy : Policy Choices for the Digital Age</t>
  </si>
  <si>
    <t>Bennett, Colin J.; Grant, Rebecca</t>
  </si>
  <si>
    <t>JC596.V575 1999</t>
  </si>
  <si>
    <t>323.44/8</t>
  </si>
  <si>
    <t>Data protection</t>
  </si>
  <si>
    <t>http://public.eblib.com/choice/PublicFullRecord.aspx?p=4672229</t>
  </si>
  <si>
    <t>Visual Habits : Nuns, Feminism, And American Postwar Popular Culture</t>
  </si>
  <si>
    <t>Sullivan, Rebecca</t>
  </si>
  <si>
    <t>BR115.A8.S855 2005</t>
  </si>
  <si>
    <t>248.8/943/0973</t>
  </si>
  <si>
    <t>http://public.eblib.com/choice/PublicFullRecord.aspx?p=4672230</t>
  </si>
  <si>
    <t>Vite italiane : Dodici conversazioni con italiani</t>
  </si>
  <si>
    <t>PC1129.E5.S583 2005</t>
  </si>
  <si>
    <t>http://public.eblib.com/choice/PublicFullRecord.aspx?p=4672231</t>
  </si>
  <si>
    <t>Voci : Encounters with Italian</t>
  </si>
  <si>
    <t>Bosco, Frederick J.; Glassman, Nina D.</t>
  </si>
  <si>
    <t>PC1129.E5.G537 1996</t>
  </si>
  <si>
    <t>458.2/41</t>
  </si>
  <si>
    <t>http://public.eblib.com/choice/PublicFullRecord.aspx?p=4672233</t>
  </si>
  <si>
    <t>Voices of Fire : Art, Rage, Power, and the State</t>
  </si>
  <si>
    <t>Barber, Bruce; Guilbaut, Serge; O'Brian, John</t>
  </si>
  <si>
    <t>ND237.N475.V653 1996</t>
  </si>
  <si>
    <t>http://public.eblib.com/choice/PublicFullRecord.aspx?p=4672234</t>
  </si>
  <si>
    <t>The Vulnerable Fortress : Bureaucratic Organization and Management in the Information Age</t>
  </si>
  <si>
    <t>Taylor, James R.; Van Every Taylor, Elizabeth</t>
  </si>
  <si>
    <t>HD38.4.T395 1993</t>
  </si>
  <si>
    <t>http://public.eblib.com/choice/PublicFullRecord.aspx?p=4672235</t>
  </si>
  <si>
    <t>W L Mackenzie King Volume I, 1874-1923 : A Political Biography: Kingsmere Edition</t>
  </si>
  <si>
    <t>Dawson, Robert; Dawson, Robert M.</t>
  </si>
  <si>
    <t>F1033.K53.D397 1958</t>
  </si>
  <si>
    <t>http://public.eblib.com/choice/PublicFullRecord.aspx?p=4672236</t>
  </si>
  <si>
    <t>The Wacousta Syndrome : Explorations in the Canadian Langscape</t>
  </si>
  <si>
    <t>F1021.M347 1985</t>
  </si>
  <si>
    <t>http://public.eblib.com/choice/PublicFullRecord.aspx?p=4672237</t>
  </si>
  <si>
    <t>Walking the Tightrope : Ethical Issues for Qualitative Researchers</t>
  </si>
  <si>
    <t>van den Hoonaard, Will C.; van den Hoonaard, Will C.</t>
  </si>
  <si>
    <t>H62.W235 2002</t>
  </si>
  <si>
    <t>Qualitative research</t>
  </si>
  <si>
    <t>http://public.eblib.com/choice/PublicFullRecord.aspx?p=4672238</t>
  </si>
  <si>
    <t>Walter Scott : The Making of the Novelist</t>
  </si>
  <si>
    <t>Millgate, Jane</t>
  </si>
  <si>
    <t>PR5341.M54 1984</t>
  </si>
  <si>
    <t>http://public.eblib.com/choice/PublicFullRecord.aspx?p=4672239</t>
  </si>
  <si>
    <t>Wanton Words : Rhetoric and Sexuality in English Renaissance Drama</t>
  </si>
  <si>
    <t>Menon, Madhavi</t>
  </si>
  <si>
    <t>PR658.S39.M46 2004</t>
  </si>
  <si>
    <t>822/.3093538</t>
  </si>
  <si>
    <t>http://public.eblib.com/choice/PublicFullRecord.aspx?p=4672240</t>
  </si>
  <si>
    <t>Wartime Images, Peacetime Wounds : The Media and the Gustafsen Lake Standoff</t>
  </si>
  <si>
    <t>Lambertus, Sandra</t>
  </si>
  <si>
    <t>E99.S45.L35 2004</t>
  </si>
  <si>
    <t>302.23/089/979071175</t>
  </si>
  <si>
    <t>http://public.eblib.com/choice/PublicFullRecord.aspx?p=4672241</t>
  </si>
  <si>
    <t>Waterfront Blues : Labour Strife at the Port of Montreal, 1960-1978</t>
  </si>
  <si>
    <t>Pathy, Alexander C.; Fahey, Curtis; Dufour, Marianne</t>
  </si>
  <si>
    <t>HD8039.L82.P384 2004</t>
  </si>
  <si>
    <t>331.89/0413868/0971428</t>
  </si>
  <si>
    <t>http://public.eblib.com/choice/PublicFullRecord.aspx?p=4672242</t>
  </si>
  <si>
    <t>Welfare Hot Buttons : Women, Work, and Social Policy Reform</t>
  </si>
  <si>
    <t>Bashevkin, Sylvia Beth</t>
  </si>
  <si>
    <t>HV91.B374 2002</t>
  </si>
  <si>
    <t>361.6/1/097</t>
  </si>
  <si>
    <t>http://public.eblib.com/choice/PublicFullRecord.aspx?p=4672243</t>
  </si>
  <si>
    <t>We're rooted here and they can't pull us up : Essays in African Canadian Women's History</t>
  </si>
  <si>
    <t>Carty, Linda; Cooper, Afua; Hamilton, Sylvia; Shadd, Adrienne; Bristow, Peggy</t>
  </si>
  <si>
    <t>F1035.N3.W474 1999</t>
  </si>
  <si>
    <t>305.48/896071</t>
  </si>
  <si>
    <t>http://public.eblib.com/choice/PublicFullRecord.aspx?p=4672244</t>
  </si>
  <si>
    <t>Werwolf! : The History of the National Socialist Guerrilla Movement, 1944-1946</t>
  </si>
  <si>
    <t>Biddiscombe, Perry</t>
  </si>
  <si>
    <t>U240.B533 1998</t>
  </si>
  <si>
    <t>940.54/8743</t>
  </si>
  <si>
    <t>http://public.eblib.com/choice/PublicFullRecord.aspx?p=4672245</t>
  </si>
  <si>
    <t>What's Mother Got to do with it? : Protecting Children from Sexual Abuse</t>
  </si>
  <si>
    <t>Krane, Julia; Krane, Julia</t>
  </si>
  <si>
    <t>HV6570.K736 2003</t>
  </si>
  <si>
    <t>http://public.eblib.com/choice/PublicFullRecord.aspx?p=4672246</t>
  </si>
  <si>
    <t>When Canadian Literature Moved To New York</t>
  </si>
  <si>
    <t>Mount, Nick</t>
  </si>
  <si>
    <t>PR9194.4.M686 2006</t>
  </si>
  <si>
    <t>http://public.eblib.com/choice/PublicFullRecord.aspx?p=4672247</t>
  </si>
  <si>
    <t>When Freedom is Lost : The Dark Side of the Relationship Between Government and the Fort Hope Band</t>
  </si>
  <si>
    <t>Driben, Paul; Trudeau, Robert</t>
  </si>
  <si>
    <t>E99.C6.D753 1983</t>
  </si>
  <si>
    <t>323.1/197/0713112</t>
  </si>
  <si>
    <t>http://public.eblib.com/choice/PublicFullRecord.aspx?p=4672248</t>
  </si>
  <si>
    <t>When Television was Young : Primetime Canada, 1952-1967</t>
  </si>
  <si>
    <t>PN1992.3.C3.R884 1990</t>
  </si>
  <si>
    <t>http://public.eblib.com/choice/PublicFullRecord.aspx?p=4672249</t>
  </si>
  <si>
    <t>White Civility : The Literary Project of English Canada</t>
  </si>
  <si>
    <t>PR9189.5.C654 2006</t>
  </si>
  <si>
    <t>http://public.eblib.com/choice/PublicFullRecord.aspx?p=4672250</t>
  </si>
  <si>
    <t>White Tie and Decorations : Sir John and Lady Hope Simpson in Newfoundland, 1934-1936</t>
  </si>
  <si>
    <t>F1123.W458 1997</t>
  </si>
  <si>
    <t>http://public.eblib.com/choice/PublicFullRecord.aspx?p=4672252</t>
  </si>
  <si>
    <t>Who is Afraid of the State? : Canada in a World of Multiple Centres of Power</t>
  </si>
  <si>
    <t>Smith, Gordon Scott; Wolfish, Daniel; Smith, Gordon</t>
  </si>
  <si>
    <t>JL75.W46 2001</t>
  </si>
  <si>
    <t>http://public.eblib.com/choice/PublicFullRecord.aspx?p=4672253</t>
  </si>
  <si>
    <t>Who Owns Domestic Abuse? : The Local Politics of a Social Problem</t>
  </si>
  <si>
    <t>Mann, Ruth M.</t>
  </si>
  <si>
    <t>HV1448.C2.M366 2000</t>
  </si>
  <si>
    <t>http://public.eblib.com/choice/PublicFullRecord.aspx?p=4672254</t>
  </si>
  <si>
    <t>Whose Property? : The Deepening Conflict between Private Property and Democracy in Canada</t>
  </si>
  <si>
    <t>Vogt, Roy</t>
  </si>
  <si>
    <t>JC605.V648 1999</t>
  </si>
  <si>
    <t>323.4/6/0971</t>
  </si>
  <si>
    <t>http://public.eblib.com/choice/PublicFullRecord.aspx?p=4672255</t>
  </si>
  <si>
    <t>Why Canadian Unity Matters and Why Americans Care : Democratic Pluralism at Risk</t>
  </si>
  <si>
    <t>Doran, Charles F.</t>
  </si>
  <si>
    <t>F1053.2.D673 2001</t>
  </si>
  <si>
    <t>http://public.eblib.com/choice/PublicFullRecord.aspx?p=4672256</t>
  </si>
  <si>
    <t>Widows in White : Migration and the Transformation of Rural Women, Sicily, 1880-1928</t>
  </si>
  <si>
    <t>Reeder, Linda</t>
  </si>
  <si>
    <t>HQ1644.S53.R443 2003</t>
  </si>
  <si>
    <t>305.42/09458/091734</t>
  </si>
  <si>
    <t>http://public.eblib.com/choice/PublicFullRecord.aspx?p=4672257</t>
  </si>
  <si>
    <t>Wild Things : Nature, Culture, and Tourism in Ontario, 1790-1914</t>
  </si>
  <si>
    <t>Jasen, Patricia</t>
  </si>
  <si>
    <t>G155.C3.J37 1995</t>
  </si>
  <si>
    <t>338.4/791713</t>
  </si>
  <si>
    <t>http://public.eblib.com/choice/PublicFullRecord.aspx?p=4672258</t>
  </si>
  <si>
    <t>Wilde Writings : Contextual Conditions</t>
  </si>
  <si>
    <t>William Andrews Clark Memorial Library Staff; University of California, Los Angeles, Center for 17th and 18th Century Studies Staff</t>
  </si>
  <si>
    <t>PR5824.W55 2003</t>
  </si>
  <si>
    <t>828/.809</t>
  </si>
  <si>
    <t>http://public.eblib.com/choice/PublicFullRecord.aspx?p=4672259</t>
  </si>
  <si>
    <t>William James On Radical Empiricism and Religion</t>
  </si>
  <si>
    <t>Brown, Hunter</t>
  </si>
  <si>
    <t>B945.J24.B76 2000</t>
  </si>
  <si>
    <t>210/.92</t>
  </si>
  <si>
    <t>http://public.eblib.com/choice/PublicFullRecord.aspx?p=4672260</t>
  </si>
  <si>
    <t>Women and the Canadian Welfare State : Challenges and Change</t>
  </si>
  <si>
    <t>Evans, Patricia; Wekerle, Gerda; Wekerle, Gerda R.</t>
  </si>
  <si>
    <t>HQ1236.5.C2.W595 1997</t>
  </si>
  <si>
    <t>361.6/5/0820971</t>
  </si>
  <si>
    <t>http://public.eblib.com/choice/PublicFullRecord.aspx?p=4672261</t>
  </si>
  <si>
    <t>Women and the Limits of Citizenship in the French Revolution</t>
  </si>
  <si>
    <t>Hufton, Olwen</t>
  </si>
  <si>
    <t>DC158.8.H84 1999</t>
  </si>
  <si>
    <t>944.04/082</t>
  </si>
  <si>
    <t>Women''s rights</t>
  </si>
  <si>
    <t>http://public.eblib.com/choice/PublicFullRecord.aspx?p=4672262</t>
  </si>
  <si>
    <t>Women Challenging Unions : Feminism, Democracy, and Militancy</t>
  </si>
  <si>
    <t>Briskin, Linda; McDermott, Patricia</t>
  </si>
  <si>
    <t>HD6079.2.C2.W66 1993</t>
  </si>
  <si>
    <t>331.4/78/0971</t>
  </si>
  <si>
    <t>Congresses</t>
  </si>
  <si>
    <t>http://public.eblib.com/choice/PublicFullRecord.aspx?p=4672263</t>
  </si>
  <si>
    <t>Women Who Taught : Perspectives on the History of Women and Teaching</t>
  </si>
  <si>
    <t>Prentice, Alison; Theobald, Marjorie</t>
  </si>
  <si>
    <t>LB2837.W68 1991</t>
  </si>
  <si>
    <t>371.1/0082</t>
  </si>
  <si>
    <t>http://public.eblib.com/choice/PublicFullRecord.aspx?p=4672264</t>
  </si>
  <si>
    <t>Women, Gender, and Transnational Lives : Italian Workers of the World</t>
  </si>
  <si>
    <t>Gabaccia, Donna R; Iacovetta, Franca</t>
  </si>
  <si>
    <t>HD6154.W658 2002</t>
  </si>
  <si>
    <t>Cross-cultural studies</t>
  </si>
  <si>
    <t>http://public.eblib.com/choice/PublicFullRecord.aspx?p=4672266</t>
  </si>
  <si>
    <t>Women, Property, and the Letters of the Law in Early Modern England</t>
  </si>
  <si>
    <t>Buck, Andrew; Ferguson, Margaret W.; Wright, Nancy E.</t>
  </si>
  <si>
    <t>KD811.W64</t>
  </si>
  <si>
    <t>http://public.eblib.com/choice/PublicFullRecord.aspx?p=4672267</t>
  </si>
  <si>
    <t>Women's Legal Strategies in Canada</t>
  </si>
  <si>
    <t>Jhappan, Radha</t>
  </si>
  <si>
    <t>KE509.W66 2002</t>
  </si>
  <si>
    <t>342.71/0878</t>
  </si>
  <si>
    <t>http://public.eblib.com/choice/PublicFullRecord.aspx?p=4672268</t>
  </si>
  <si>
    <t>Words and Works : Studies in Medieval English Language and Literature in Honour of Fred C. Robinson</t>
  </si>
  <si>
    <t>Baker, Peter S.; Howe, Nicholas</t>
  </si>
  <si>
    <t>PE108.R63.W673 1998</t>
  </si>
  <si>
    <t>http://public.eblib.com/choice/PublicFullRecord.aspx?p=4672270</t>
  </si>
  <si>
    <t>Workfare : Why Good Social Policy Ideas Go Bad</t>
  </si>
  <si>
    <t>Quaid, Maeve</t>
  </si>
  <si>
    <t>HV105.Q353 2002</t>
  </si>
  <si>
    <t>362.5/8/0971</t>
  </si>
  <si>
    <t>http://public.eblib.com/choice/PublicFullRecord.aspx?p=4672271</t>
  </si>
  <si>
    <t>Working for Wildlife : The Beginning of Preservation in Canada</t>
  </si>
  <si>
    <t>Foster, Janet; Hammond, Lorne</t>
  </si>
  <si>
    <t>QL84.24.F678 1998</t>
  </si>
  <si>
    <t>http://public.eblib.com/choice/PublicFullRecord.aspx?p=4672272</t>
  </si>
  <si>
    <t>Working in the Vineyard of the Lord : Jesuit Confraternities in Early Modern Italy</t>
  </si>
  <si>
    <t>Lazar, Lance</t>
  </si>
  <si>
    <t>BX3737.L39 2005</t>
  </si>
  <si>
    <t>http://public.eblib.com/choice/PublicFullRecord.aspx?p=4672273</t>
  </si>
  <si>
    <t>Worrying the Nation : Imagining a National Literature in English Canada</t>
  </si>
  <si>
    <t>PR9185.5.N27.K478 1998</t>
  </si>
  <si>
    <t>http://public.eblib.com/choice/PublicFullRecord.aspx?p=4672274</t>
  </si>
  <si>
    <t>Writing a Politics of Perception : Memory, Holography, and Women Writers in Canada</t>
  </si>
  <si>
    <t>Thompson, Dawn</t>
  </si>
  <si>
    <t>PR9188.T53 2000</t>
  </si>
  <si>
    <t>813/.54099287/0971</t>
  </si>
  <si>
    <t>http://public.eblib.com/choice/PublicFullRecord.aspx?p=4672275</t>
  </si>
  <si>
    <t>Writing in the Feminine in French and English Canada : A Question of Ethics</t>
  </si>
  <si>
    <t>Carriere, Marie; Carri?re, Marie</t>
  </si>
  <si>
    <t>PR9188.C37 2002</t>
  </si>
  <si>
    <t>810.9/9287/09710904</t>
  </si>
  <si>
    <t>http://public.eblib.com/choice/PublicFullRecord.aspx?p=4672276</t>
  </si>
  <si>
    <t>Writing the Roaming Subject : The Biotext in Canadian Literature</t>
  </si>
  <si>
    <t>Saul, Joanne</t>
  </si>
  <si>
    <t>PR9188.2.M55S28 2006</t>
  </si>
  <si>
    <t>http://public.eblib.com/choice/PublicFullRecord.aspx?p=4672277</t>
  </si>
  <si>
    <t>Writing to Delight : Italian Short Stories by Nineteenth-Century Women Writers</t>
  </si>
  <si>
    <t>Arslan, Antonia; Romani, Gabriella</t>
  </si>
  <si>
    <t>PQ4250.E5.W75 2006</t>
  </si>
  <si>
    <t>853/.01089287</t>
  </si>
  <si>
    <t>http://public.eblib.com/choice/PublicFullRecord.aspx?p=4672278</t>
  </si>
  <si>
    <t>Youth and Identity Politics in South Africa, 1990-94</t>
  </si>
  <si>
    <t>Dlamini, S. Nombuso</t>
  </si>
  <si>
    <t>HQ799.S62.K923 2005</t>
  </si>
  <si>
    <t>305.6/2083509684</t>
  </si>
  <si>
    <t>Zoulous - Politique et gouvernment - 20e siecle</t>
  </si>
  <si>
    <t>http://public.eblib.com/choice/PublicFullRecord.aspx?p=4672280</t>
  </si>
  <si>
    <t>NAFTA Tax Law and Policy : Resolving the Clash between Economic and Sovereignty Interests</t>
  </si>
  <si>
    <t>KDZ911.C63 2005</t>
  </si>
  <si>
    <t>343.705/26</t>
  </si>
  <si>
    <t>http://public.eblib.com/choice/PublicFullRecord.aspx?p=4672282</t>
  </si>
  <si>
    <t>More Unfinished Business</t>
  </si>
  <si>
    <t>Plaut, W. Gunther</t>
  </si>
  <si>
    <t>BM755.P53.A3 1997</t>
  </si>
  <si>
    <t>296.8/341/092</t>
  </si>
  <si>
    <t>http://public.eblib.com/choice/PublicFullRecord.aspx?p=4672283</t>
  </si>
  <si>
    <t>Correspondance gÃ©nÃ©rale d'HelvÃ©tius : 1761-1774 / Lettres 465 - 720</t>
  </si>
  <si>
    <t>PQ1131.C677 1991</t>
  </si>
  <si>
    <t>http://public.eblib.com/choice/PublicFullRecord.aspx?p=4672284</t>
  </si>
  <si>
    <t>Life With Uncle : The Canadian-American Relationship</t>
  </si>
  <si>
    <t>E183.8.C2.H64 1981</t>
  </si>
  <si>
    <t>http://public.eblib.com/choice/PublicFullRecord.aspx?p=4672285</t>
  </si>
  <si>
    <t>Controlling Common Property : Regulating Canada's East Coast Fishery</t>
  </si>
  <si>
    <t>Matthews, Ralph</t>
  </si>
  <si>
    <t>SH224.N6.M38 1993</t>
  </si>
  <si>
    <t>http://public.eblib.com/choice/PublicFullRecord.aspx?p=4672286</t>
  </si>
  <si>
    <t>Semiotics and the  Modern Quebec Novel : A Greimassian analysis of Th?riault's Agaguk</t>
  </si>
  <si>
    <t>PQ3919.T4.S465 1996</t>
  </si>
  <si>
    <t>http://public.eblib.com/choice/PublicFullRecord.aspx?p=4672287</t>
  </si>
  <si>
    <t>Discoveries of the Other : Alterity in the Work of Leonard Cohen, Hubert Aquin, Michael Ondaatje, and Nicole Brossard</t>
  </si>
  <si>
    <t>PR9192.6.O87.S546 1994</t>
  </si>
  <si>
    <t>http://public.eblib.com/choice/PublicFullRecord.aspx?p=4672289</t>
  </si>
  <si>
    <t>Canadian State Trials : Political Trials and Security Measures, 1840-1914</t>
  </si>
  <si>
    <t>Wright, Barry; Binnie, Susan</t>
  </si>
  <si>
    <t>K5250.C363 2009</t>
  </si>
  <si>
    <t>http://public.eblib.com/choice/PublicFullRecord.aspx?p=4672290</t>
  </si>
  <si>
    <t>A Generation of Excellence</t>
  </si>
  <si>
    <t>Brown, Craig; Brown, Robert</t>
  </si>
  <si>
    <t>Science; General Works/Reference</t>
  </si>
  <si>
    <t>Q180.C2.B769 2007</t>
  </si>
  <si>
    <t>001.406/071</t>
  </si>
  <si>
    <t>http://public.eblib.com/choice/PublicFullRecord.aspx?p=4672292</t>
  </si>
  <si>
    <t>A Globally Integrated Climate Policy for Canada</t>
  </si>
  <si>
    <t>Bernstein, Steven; Brunee, Jutta; Duff, David; BrunnÃ©e, Jutta</t>
  </si>
  <si>
    <t>QC981.8.C5.G563 2008</t>
  </si>
  <si>
    <t>363.738/70971</t>
  </si>
  <si>
    <t>http://public.eblib.com/choice/PublicFullRecord.aspx?p=4672293</t>
  </si>
  <si>
    <t>A Glorious and Terrible Life With You : Selected Correspondence of Northrop Frye and Helen Kemp, 1932-1939</t>
  </si>
  <si>
    <t>Burgess, Margaret</t>
  </si>
  <si>
    <t>PN75.F7.G567 2007</t>
  </si>
  <si>
    <t>http://public.eblib.com/choice/PublicFullRecord.aspx?p=4672294</t>
  </si>
  <si>
    <t>Adorno and the  Need in Thinking</t>
  </si>
  <si>
    <t>Burke, Donald; Campbell, Colin  J.; Kiloh, Kathy; Palamarek, Michael; Short, Jonathan</t>
  </si>
  <si>
    <t>B3199.A34.A367 2007</t>
  </si>
  <si>
    <t>Adorno, Theodor W.</t>
  </si>
  <si>
    <t>http://public.eblib.com/choice/PublicFullRecord.aspx?p=4672296</t>
  </si>
  <si>
    <t>An Atlas of the Geology and Mineral Deposits of Ukraine</t>
  </si>
  <si>
    <t>Galets'kyi, Leonid</t>
  </si>
  <si>
    <t>G2151.C5.A853 2007</t>
  </si>
  <si>
    <t>http://public.eblib.com/choice/PublicFullRecord.aspx?p=4672297</t>
  </si>
  <si>
    <t>Angus L. Macdonald : A Provincial Liberal</t>
  </si>
  <si>
    <t>Henderson, T. Stephen</t>
  </si>
  <si>
    <t>F1034.3.M14.H463 2007</t>
  </si>
  <si>
    <t>971.6/03092</t>
  </si>
  <si>
    <t>Nova Scotia Liberal Association</t>
  </si>
  <si>
    <t>http://public.eblib.com/choice/PublicFullRecord.aspx?p=4672299</t>
  </si>
  <si>
    <t>Before the Country : Native Renaissance, Canadian Mythology</t>
  </si>
  <si>
    <t>McKenzie, Stephanie</t>
  </si>
  <si>
    <t>PR9188.2.I54.M354 2007</t>
  </si>
  <si>
    <t>C810.9/897</t>
  </si>
  <si>
    <t>http://public.eblib.com/choice/PublicFullRecord.aspx?p=4672300</t>
  </si>
  <si>
    <t>Bernard Bosanquet and the Legacy of British Idealism</t>
  </si>
  <si>
    <t>B1618.B54.B476 2007</t>
  </si>
  <si>
    <t>Bosanquet, Bernard</t>
  </si>
  <si>
    <t>http://public.eblib.com/choice/PublicFullRecord.aspx?p=4672301</t>
  </si>
  <si>
    <t>Beyond the Family Romance : The Legend of Pascoli</t>
  </si>
  <si>
    <t>Truglio, Maria</t>
  </si>
  <si>
    <t>PQ4835.A3.T784 2007</t>
  </si>
  <si>
    <t>Pascoli, Giovanni - Criticism and interpretation</t>
  </si>
  <si>
    <t>http://public.eblib.com/choice/PublicFullRecord.aspx?p=4672302</t>
  </si>
  <si>
    <t>Breviary of Aesthetics : Four Lectures</t>
  </si>
  <si>
    <t>Croce, Benedetto; Bodei, Remo; Fudemoto, Hiroko</t>
  </si>
  <si>
    <t>B3614.C73.C763 2007</t>
  </si>
  <si>
    <t>Esthetique</t>
  </si>
  <si>
    <t>http://public.eblib.com/choice/PublicFullRecord.aspx?p=4672303</t>
  </si>
  <si>
    <t>Byzantine Hermeneutics and Pedagogy in the Russian North : Monks and Masters at the Kirillo-Belozerskii Monastery, 1397-1501</t>
  </si>
  <si>
    <t>Romanchuk, Robert</t>
  </si>
  <si>
    <t>BL41.R663 2007</t>
  </si>
  <si>
    <t>http://public.eblib.com/choice/PublicFullRecord.aspx?p=4672304</t>
  </si>
  <si>
    <t>Canada's Trial Courts : Two Tiers or One?</t>
  </si>
  <si>
    <t>Russell, Peter H.; Russell, Peter H.</t>
  </si>
  <si>
    <t>KE8273.C363 2007</t>
  </si>
  <si>
    <t>County courts - Canada - Provinces</t>
  </si>
  <si>
    <t>http://public.eblib.com/choice/PublicFullRecord.aspx?p=4672305</t>
  </si>
  <si>
    <t>Canadian Annual Review of Politics and Public Affairs, 2001</t>
  </si>
  <si>
    <t>HC115.C363 2007</t>
  </si>
  <si>
    <t>http://public.eblib.com/choice/PublicFullRecord.aspx?p=4672306</t>
  </si>
  <si>
    <t>Censorship and Literature in Fascist Italy</t>
  </si>
  <si>
    <t>Bonsaver, Guido</t>
  </si>
  <si>
    <t>PQ4088.B667 2007</t>
  </si>
  <si>
    <t>303.3/76094509041</t>
  </si>
  <si>
    <t>http://public.eblib.com/choice/PublicFullRecord.aspx?p=4672307</t>
  </si>
  <si>
    <t>Cesare Pavese and Antonio Chiuminatto</t>
  </si>
  <si>
    <t>Pietralunga, Mark</t>
  </si>
  <si>
    <t>PQ4835 A846.C473 2007</t>
  </si>
  <si>
    <t>856/.912</t>
  </si>
  <si>
    <t>Chiuminatto, Anthony L - Language</t>
  </si>
  <si>
    <t>http://public.eblib.com/choice/PublicFullRecord.aspx?p=4672308</t>
  </si>
  <si>
    <t>Conscience on Stage : The Comedia as Casuistry in Early Modern Spain</t>
  </si>
  <si>
    <t>Kallendorf, Hilaire; Kallendorf, Hillaire</t>
  </si>
  <si>
    <t>PQ6105.K355 2007</t>
  </si>
  <si>
    <t>862/.05230903</t>
  </si>
  <si>
    <t>Theatre espagnol - 1500-1700 (Periode classique) - Histoire et critique</t>
  </si>
  <si>
    <t>http://public.eblib.com/choice/PublicFullRecord.aspx?p=4672313</t>
  </si>
  <si>
    <t>Craft Capitalism : Craftsworkers and Early Industrialization in Hamilton, Ontario</t>
  </si>
  <si>
    <t>Kristofferson, Robert B.</t>
  </si>
  <si>
    <t>HD2346.C36.K757 2007</t>
  </si>
  <si>
    <t>338.7/20971352</t>
  </si>
  <si>
    <t>Hamilton (Ont.) - Social conditions - 19th century</t>
  </si>
  <si>
    <t>http://public.eblib.com/choice/PublicFullRecord.aspx?p=4672314</t>
  </si>
  <si>
    <t>Critical Realism and the Social Sciences : Heterodex Elaborations</t>
  </si>
  <si>
    <t>Frauley, Jon; Pearce, Frank</t>
  </si>
  <si>
    <t>H61.15.C758 2007</t>
  </si>
  <si>
    <t>Critical realism</t>
  </si>
  <si>
    <t>http://public.eblib.com/choice/PublicFullRecord.aspx?p=4672315</t>
  </si>
  <si>
    <t>David Hume's Political Theory : Law, Commerce and the Constitution of Government</t>
  </si>
  <si>
    <t>McArthur, Neil</t>
  </si>
  <si>
    <t>JC176.H9.M337 2007</t>
  </si>
  <si>
    <t>320/.01</t>
  </si>
  <si>
    <t>http://public.eblib.com/choice/PublicFullRecord.aspx?p=4672316</t>
  </si>
  <si>
    <t>Dualisms : The Agon of the Modern Era</t>
  </si>
  <si>
    <t>Quinones, Ricardo J.</t>
  </si>
  <si>
    <t>PN49.Q566 2007</t>
  </si>
  <si>
    <t>http://public.eblib.com/choice/PublicFullRecord.aspx?p=4672318</t>
  </si>
  <si>
    <t>Engaged Philosophy : Essays in Honour of David Braybrooke</t>
  </si>
  <si>
    <t>Schotch, Peter; Sherwin, Susan</t>
  </si>
  <si>
    <t>B63.E543 2007</t>
  </si>
  <si>
    <t>http://public.eblib.com/choice/PublicFullRecord.aspx?p=4672319</t>
  </si>
  <si>
    <t>Equity, Diversity &amp; Canadian Labour</t>
  </si>
  <si>
    <t>Hunt, Gerald; Rayside, David; Hunt, Gerald; Rayside, David</t>
  </si>
  <si>
    <t>HD6524.E685 2007</t>
  </si>
  <si>
    <t>Egalite de remuneration - Canada</t>
  </si>
  <si>
    <t>http://public.eblib.com/choice/PublicFullRecord.aspx?p=4672320</t>
  </si>
  <si>
    <t>Ethics &amp; the New Genetics : An Integrated Approach</t>
  </si>
  <si>
    <t>Monsour, Daniel</t>
  </si>
  <si>
    <t>Religion; Science; Science: Biology/Natural History</t>
  </si>
  <si>
    <t>QH438.7.E845 2007</t>
  </si>
  <si>
    <t>241/.649599935</t>
  </si>
  <si>
    <t>Bioethics - Religious aspects - Catholic Church</t>
  </si>
  <si>
    <t>http://public.eblib.com/choice/PublicFullRecord.aspx?p=4672322</t>
  </si>
  <si>
    <t>George Grant : A Guide to His Thought</t>
  </si>
  <si>
    <t>Forbes, H. Donald</t>
  </si>
  <si>
    <t>B995.G724.F673 2007</t>
  </si>
  <si>
    <t>Grant, George - Critique et interpraetation</t>
  </si>
  <si>
    <t>http://public.eblib.com/choice/PublicFullRecord.aspx?p=4672324</t>
  </si>
  <si>
    <t>Governing the Post-Communist City : Institutions and Democratic Development in Prague</t>
  </si>
  <si>
    <t>Horak, Martin</t>
  </si>
  <si>
    <t>NA9241.C92.H673 2007</t>
  </si>
  <si>
    <t>http://public.eblib.com/choice/PublicFullRecord.aspx?p=4672326</t>
  </si>
  <si>
    <t>Health Inequality : Morality and Measurement</t>
  </si>
  <si>
    <t>Asada, Yukiko</t>
  </si>
  <si>
    <t>RA418.A833 2007</t>
  </si>
  <si>
    <t>362.1/042</t>
  </si>
  <si>
    <t>http://public.eblib.com/choice/PublicFullRecord.aspx?p=4672328</t>
  </si>
  <si>
    <t>Historicism and Fascism in Modern Italy</t>
  </si>
  <si>
    <t>Roberts, David D.</t>
  </si>
  <si>
    <t>DG571.R634 2007</t>
  </si>
  <si>
    <t>http://public.eblib.com/choice/PublicFullRecord.aspx?p=4672329</t>
  </si>
  <si>
    <t>Household Counts : Canadian Households and Families in 1901</t>
  </si>
  <si>
    <t>Baskerville, Peter; Sager, Eric W.</t>
  </si>
  <si>
    <t>HQ559.H687 2007</t>
  </si>
  <si>
    <t>306.850971/09041</t>
  </si>
  <si>
    <t>http://public.eblib.com/choice/PublicFullRecord.aspx?p=4672330</t>
  </si>
  <si>
    <t>Humanite: John Humphry's Alternative</t>
  </si>
  <si>
    <t>Curle, Clinton</t>
  </si>
  <si>
    <t>JC571.C875 2007</t>
  </si>
  <si>
    <t>http://public.eblib.com/choice/PublicFullRecord.aspx?p=4672331</t>
  </si>
  <si>
    <t>Imagining Joyce and Derrida : Between &lt;em&gt;Finnegans Wake&lt;/em&gt; and &lt;em&gt;Glas&lt;/em&gt;</t>
  </si>
  <si>
    <t>Mahon, Peter</t>
  </si>
  <si>
    <t>PR6019.O9.M346 2007</t>
  </si>
  <si>
    <t>http://public.eblib.com/choice/PublicFullRecord.aspx?p=4672332</t>
  </si>
  <si>
    <t>Italian Cultural Lineages</t>
  </si>
  <si>
    <t>White, Jonathan</t>
  </si>
  <si>
    <t>DG442.W458 2007</t>
  </si>
  <si>
    <t>http://public.eblib.com/choice/PublicFullRecord.aspx?p=4672333</t>
  </si>
  <si>
    <t>Kant and the Scandal of Philosophy : The Kantian Critique of Cartesian Scepticism</t>
  </si>
  <si>
    <t>Caranti, Luigi</t>
  </si>
  <si>
    <t>B2799 I42.C373 2007</t>
  </si>
  <si>
    <t>Idealisme allemand</t>
  </si>
  <si>
    <t>http://public.eblib.com/choice/PublicFullRecord.aspx?p=4672335</t>
  </si>
  <si>
    <t>Las Mocedades De Rodrigo : The Youthful Deeds of Rodrigo, the Cid</t>
  </si>
  <si>
    <t>Bailey, Matthew; Medieval Academy of America Staff</t>
  </si>
  <si>
    <t>PQ6366.M634 2007</t>
  </si>
  <si>
    <t>http://public.eblib.com/choice/PublicFullRecord.aspx?p=4672336</t>
  </si>
  <si>
    <t>Learning Civil Societies : Shifting Contexts for Democratic Planning and Governance</t>
  </si>
  <si>
    <t>Gurstein, Penny; Angeles, Leonora</t>
  </si>
  <si>
    <t>JF799.L437 2007</t>
  </si>
  <si>
    <t>http://public.eblib.com/choice/PublicFullRecord.aspx?p=4672337</t>
  </si>
  <si>
    <t>Literary Celebrity in Canada</t>
  </si>
  <si>
    <t>York, Lorraine</t>
  </si>
  <si>
    <t>PR9185.2.Y675 2007</t>
  </si>
  <si>
    <t>C810.9/005</t>
  </si>
  <si>
    <t>http://public.eblib.com/choice/PublicFullRecord.aspx?p=4672338</t>
  </si>
  <si>
    <t>Localism, Landscape, and the Ambiguities of Place : German-Speaking Central Europe, 1860-1930</t>
  </si>
  <si>
    <t>Blackbourn, David; Retallack, James</t>
  </si>
  <si>
    <t>http://public.eblib.com/choice/PublicFullRecord.aspx?p=4672339</t>
  </si>
  <si>
    <t>Marginal Man : The Dark Vision of Harold Innis</t>
  </si>
  <si>
    <t>Watson, Alexander John</t>
  </si>
  <si>
    <t>P92.5.I56.W387 2006</t>
  </si>
  <si>
    <t>http://public.eblib.com/choice/PublicFullRecord.aspx?p=4672340</t>
  </si>
  <si>
    <t>Misconceptions : Unmarried Motherhood and the Ontario Children of Unmarried Parents Act, 1921-1969</t>
  </si>
  <si>
    <t>KEO227.C436 2007</t>
  </si>
  <si>
    <t>346.71301/7</t>
  </si>
  <si>
    <t>http://public.eblib.com/choice/PublicFullRecord.aspx?p=4672342</t>
  </si>
  <si>
    <t>Monarchisms in the Age of Enlightenment : Liberty, Patriotism, and the Common Good</t>
  </si>
  <si>
    <t>Blom, Hans  W.; Laursen, John Christian; Simonutti, Luisa; Simonutti, Luisa</t>
  </si>
  <si>
    <t>JC375.M663 2007</t>
  </si>
  <si>
    <t>321.6/09033</t>
  </si>
  <si>
    <t>Monarchie - Histoire - 17e siecle</t>
  </si>
  <si>
    <t>http://public.eblib.com/choice/PublicFullRecord.aspx?p=4672344</t>
  </si>
  <si>
    <t>My Life in Crime and Other Academic Adventures</t>
  </si>
  <si>
    <t>http://public.eblib.com/choice/PublicFullRecord.aspx?p=4672346</t>
  </si>
  <si>
    <t>New Canadian Library : The Ross-McClelland Years, 1952-1978</t>
  </si>
  <si>
    <t>Friskney, Janet</t>
  </si>
  <si>
    <t>http://public.eblib.com/choice/PublicFullRecord.aspx?p=4672347</t>
  </si>
  <si>
    <t>Northrop Frye's Fiction and Miscellaneous Writings : Volume 25</t>
  </si>
  <si>
    <t>Estate of Northrop Frye; Denham, Robert D.; Dolzani, Michael</t>
  </si>
  <si>
    <t>PN511.N678 2007</t>
  </si>
  <si>
    <t>http://public.eblib.com/choice/PublicFullRecord.aspx?p=4672348</t>
  </si>
  <si>
    <t>Patronage and Humanist Literature in the Age of the Jagiellons : Court and Career in the Writings of Rudolf Agricola Junior, Valentin Eck, and Leonard Cox</t>
  </si>
  <si>
    <t>Glomski, Jacqueline</t>
  </si>
  <si>
    <t>PN731.G566 2007</t>
  </si>
  <si>
    <t>Cox, Leonard - Criticism and interpretation</t>
  </si>
  <si>
    <t>http://public.eblib.com/choice/PublicFullRecord.aspx?p=4672349</t>
  </si>
  <si>
    <t>Police and Government Relations : Who's Calling the Shots?</t>
  </si>
  <si>
    <t>Beare, Margaret E.; Murray, Tonita</t>
  </si>
  <si>
    <t>HV8157.P655 2007</t>
  </si>
  <si>
    <t>Police - Aspect politique</t>
  </si>
  <si>
    <t>http://public.eblib.com/choice/PublicFullRecord.aspx?p=4672350</t>
  </si>
  <si>
    <t>Leadership, Representation, &amp; Elections : Essays in Honour of John C. Courtney</t>
  </si>
  <si>
    <t>Michelmann, Hans J.; Story, Donald  C.</t>
  </si>
  <si>
    <t>JL65.P655 2007</t>
  </si>
  <si>
    <t>http://public.eblib.com/choice/PublicFullRecord.aspx?p=4672351</t>
  </si>
  <si>
    <t>Poyln : My Life within Jewish Life in Poland, Sketches and Images</t>
  </si>
  <si>
    <t>Trunk, Yehiel Yeshaia; Clarke, Anna; Wróbel, Piotr J.</t>
  </si>
  <si>
    <t>DS134.83.T786 2007</t>
  </si>
  <si>
    <t>http://public.eblib.com/choice/PublicFullRecord.aspx?p=4672352</t>
  </si>
  <si>
    <t>Public Science in Liberal Democracy</t>
  </si>
  <si>
    <t>Porter, Jene; Phillips, Peter</t>
  </si>
  <si>
    <t>Science; Social Science</t>
  </si>
  <si>
    <t>Q175.5.P835 2007</t>
  </si>
  <si>
    <t>http://public.eblib.com/choice/PublicFullRecord.aspx?p=4672353</t>
  </si>
  <si>
    <t>Reading &amp; Writing the Mediterranean : Essays by Vincenzo Consolo</t>
  </si>
  <si>
    <t>Bouchard, Norma; Lollini, Massimo</t>
  </si>
  <si>
    <t>DE71.C667 2006</t>
  </si>
  <si>
    <t>909/.09822</t>
  </si>
  <si>
    <t>Sicily (Italy) - Civilization</t>
  </si>
  <si>
    <t>http://public.eblib.com/choice/PublicFullRecord.aspx?p=4672354</t>
  </si>
  <si>
    <t>Real Words : Language and System in Hegel</t>
  </si>
  <si>
    <t>Reid, Jeffrey</t>
  </si>
  <si>
    <t>B2949.L25.R453 2007</t>
  </si>
  <si>
    <t>121/.68092</t>
  </si>
  <si>
    <t>Langage et langues - Philosophie</t>
  </si>
  <si>
    <t>http://public.eblib.com/choice/PublicFullRecord.aspx?p=4672355</t>
  </si>
  <si>
    <t>Refocusing Crime Prevention : Collective Action and the Quest for Community</t>
  </si>
  <si>
    <t>Schneider, Stephen</t>
  </si>
  <si>
    <t>HV7431.S36 2007</t>
  </si>
  <si>
    <t>364.4/30971133</t>
  </si>
  <si>
    <t>Mount Pleasant (Vancouver, C.-B.) - Conditions sociales</t>
  </si>
  <si>
    <t>http://public.eblib.com/choice/PublicFullRecord.aspx?p=4672356</t>
  </si>
  <si>
    <t>Sexual Hierarchies, Public Status : Men, Sodomy, and Society in Spain’s Golden Age</t>
  </si>
  <si>
    <t>Berco, Cristian</t>
  </si>
  <si>
    <t>HQ76.2.S7.B473 2007</t>
  </si>
  <si>
    <t>306.76/62094609031</t>
  </si>
  <si>
    <t>Sodomie - Espagne - Histoire - 17e siecle</t>
  </si>
  <si>
    <t>http://public.eblib.com/choice/PublicFullRecord.aspx?p=4672357</t>
  </si>
  <si>
    <t>Silent Reading and the Birth of the Narrator</t>
  </si>
  <si>
    <t>Jajdelska, Elspeth</t>
  </si>
  <si>
    <t>Z1003.J353 2007</t>
  </si>
  <si>
    <t>028/.09032</t>
  </si>
  <si>
    <t>Narration - Histoire - 18e siecle</t>
  </si>
  <si>
    <t>http://public.eblib.com/choice/PublicFullRecord.aspx?p=4672359</t>
  </si>
  <si>
    <t>Source of  Wisdom : Old English &amp; Early Medieval Latin Studies in Honour of Thomas D. Hill</t>
  </si>
  <si>
    <t>Wright, Charles D.; Biggs, Frederick; Hall, Thomas N.</t>
  </si>
  <si>
    <t>PR176.S687 2007</t>
  </si>
  <si>
    <t>http://public.eblib.com/choice/PublicFullRecord.aspx?p=4672360</t>
  </si>
  <si>
    <t>Strategic Science in the Public Interest</t>
  </si>
  <si>
    <t>Doern, G. Bruce; Kinder, Jeff</t>
  </si>
  <si>
    <t>Political Science; Science</t>
  </si>
  <si>
    <t>Q180.6.C2.D647 2007</t>
  </si>
  <si>
    <t>352.7/450971</t>
  </si>
  <si>
    <t>http://public.eblib.com/choice/PublicFullRecord.aspx?p=4672361</t>
  </si>
  <si>
    <t>Survivor Rhetoric : Negotiations and Narrativity in Abused Women's Language</t>
  </si>
  <si>
    <t>Shearer-Cremean, Christine; Winkelmann, Carol L.</t>
  </si>
  <si>
    <t>HV6626.S878 2004</t>
  </si>
  <si>
    <t>362.88/083</t>
  </si>
  <si>
    <t>http://public.eblib.com/choice/PublicFullRecord.aspx?p=4672362</t>
  </si>
  <si>
    <t>Sustainability and the Civil Commons : Rural Communities in the Age of Globalization</t>
  </si>
  <si>
    <t>Sumner, Jennifer</t>
  </si>
  <si>
    <t>HC79.E5.S866 2007</t>
  </si>
  <si>
    <t>320.5/8</t>
  </si>
  <si>
    <t>http://public.eblib.com/choice/PublicFullRecord.aspx?p=4672363</t>
  </si>
  <si>
    <t>Telling Anxiety : Anxious Narration in the Work of Marguerite Duras, Annie Ernaux, Nathalie Sarraute, and Anne Hébert</t>
  </si>
  <si>
    <t>Willging, Jennifer; Willging, Jennifer</t>
  </si>
  <si>
    <t>PQ673.W555 2007</t>
  </si>
  <si>
    <t>Ernaux, Annie - Critique et interpretation</t>
  </si>
  <si>
    <t>http://public.eblib.com/choice/PublicFullRecord.aspx?p=4672364</t>
  </si>
  <si>
    <t>The Aesthetics of International Law</t>
  </si>
  <si>
    <t>Morgan, Ed</t>
  </si>
  <si>
    <t>K487.A3.M674 2007</t>
  </si>
  <si>
    <t>International law - Language</t>
  </si>
  <si>
    <t>http://public.eblib.com/choice/PublicFullRecord.aspx?p=4672365</t>
  </si>
  <si>
    <t>Chequered Pasts : Sports Car Racing and Rallying in Canada, 1951-1991</t>
  </si>
  <si>
    <t>Charters, David</t>
  </si>
  <si>
    <t>GV1034.15.A1.C437 2007</t>
  </si>
  <si>
    <t>796.720971/09045</t>
  </si>
  <si>
    <t>Federation canadienne du sport automobile - Histoire</t>
  </si>
  <si>
    <t>http://public.eblib.com/choice/PublicFullRecord.aspx?p=4672366</t>
  </si>
  <si>
    <t>The Importance of Insight : Essays in Honour of Michael Vertin</t>
  </si>
  <si>
    <t>Liptay, John  J; Liptay, David S.</t>
  </si>
  <si>
    <t>B995.L654.I476 2007</t>
  </si>
  <si>
    <t>Vertin, Michael</t>
  </si>
  <si>
    <t>http://public.eblib.com/choice/PublicFullRecord.aspx?p=4672369</t>
  </si>
  <si>
    <t>The Invention of Modern Italian Literature : Strategies of Creative Imagination</t>
  </si>
  <si>
    <t>Tellini, Gino; Winterhalter, Dawn; Dawkes, Gemma</t>
  </si>
  <si>
    <t>PQ4085.T455 2007</t>
  </si>
  <si>
    <t>Italian literature - 19th century - History and criticism</t>
  </si>
  <si>
    <t>http://public.eblib.com/choice/PublicFullRecord.aspx?p=4672370</t>
  </si>
  <si>
    <t>The Jesuit Series Part Five (P-Z)</t>
  </si>
  <si>
    <t>Z1021.3.J478 2007</t>
  </si>
  <si>
    <t>http://public.eblib.com/choice/PublicFullRecord.aspx?p=4672371</t>
  </si>
  <si>
    <t>The Making of a Counter-Culture Icon : Henry MIller's Dostoevsky</t>
  </si>
  <si>
    <t>Bloshteyn, Maria</t>
  </si>
  <si>
    <t>PS3525.I5454.B567 2007</t>
  </si>
  <si>
    <t>Expatriate authors - France - Paris</t>
  </si>
  <si>
    <t>http://public.eblib.com/choice/PublicFullRecord.aspx?p=4672372</t>
  </si>
  <si>
    <t>Professional Literary Agent in Britain</t>
  </si>
  <si>
    <t>Publishing; Literature</t>
  </si>
  <si>
    <t>PN163.G555 2007</t>
  </si>
  <si>
    <t>070.5/2</t>
  </si>
  <si>
    <t>http://public.eblib.com/choice/PublicFullRecord.aspx?p=4672374</t>
  </si>
  <si>
    <t>The Stages of  Property : Copyrighting Theatre in Spain</t>
  </si>
  <si>
    <t>Surwillo, Lisa</t>
  </si>
  <si>
    <t>KKT1186.S879 2007</t>
  </si>
  <si>
    <t>346.4604/8209034</t>
  </si>
  <si>
    <t>Theatre - Droit - Espagne - Histoire - 19e siecle</t>
  </si>
  <si>
    <t>http://public.eblib.com/choice/PublicFullRecord.aspx?p=4672375</t>
  </si>
  <si>
    <t>The Syntax of Desire</t>
  </si>
  <si>
    <t>P156.L663 2007</t>
  </si>
  <si>
    <t>Augustine - Language</t>
  </si>
  <si>
    <t>http://public.eblib.com/choice/PublicFullRecord.aspx?p=4672376</t>
  </si>
  <si>
    <t>Tigress in the  Snow : Motherhood and Literature in Twentieth-Century Italy</t>
  </si>
  <si>
    <t>Benedetti, Laura; Laura Benedetti</t>
  </si>
  <si>
    <t>PQ4088.B464 2007</t>
  </si>
  <si>
    <t>850.9/352520904</t>
  </si>
  <si>
    <t>http://public.eblib.com/choice/PublicFullRecord.aspx?p=4672377</t>
  </si>
  <si>
    <t>The Writing in the Stars : A Jungian Reading of the Poetry of Octavio Paz</t>
  </si>
  <si>
    <t>Williamson, Rodney</t>
  </si>
  <si>
    <t>PQ7297.P285.W555 2007</t>
  </si>
  <si>
    <t>861/.62</t>
  </si>
  <si>
    <t>Paz, Octavio - Knowledge - Psychology</t>
  </si>
  <si>
    <t>http://public.eblib.com/choice/PublicFullRecord.aspx?p=4672378</t>
  </si>
  <si>
    <t>Troubled Legacies : Narrative and Inheritance</t>
  </si>
  <si>
    <t>Hepburn, Allan; Hepburn, Allan</t>
  </si>
  <si>
    <t>PR878.L43.T768 2007</t>
  </si>
  <si>
    <t>823/.8093554</t>
  </si>
  <si>
    <t>Roman anglais - 19e siecle - Histoire et critique</t>
  </si>
  <si>
    <t>http://public.eblib.com/choice/PublicFullRecord.aspx?p=4672381</t>
  </si>
  <si>
    <t>Virginity Revisited : Configurations of the Unpossessed Body</t>
  </si>
  <si>
    <t>Fletcher, Judith; MacLachlan, Bonnie</t>
  </si>
  <si>
    <t>BL325.V55.V574 2007</t>
  </si>
  <si>
    <t>306.73/2</t>
  </si>
  <si>
    <t>Virginite - Mythologie</t>
  </si>
  <si>
    <t>http://public.eblib.com/choice/PublicFullRecord.aspx?p=4672382</t>
  </si>
  <si>
    <t>We Are Now a Nation : Croats Between 'Home and Homeland'</t>
  </si>
  <si>
    <t>Winland, Daphne</t>
  </si>
  <si>
    <t>F1035.C7.W565 2007</t>
  </si>
  <si>
    <t>http://public.eblib.com/choice/PublicFullRecord.aspx?p=4672384</t>
  </si>
  <si>
    <t>Writing on the  Image : Reading William Morris</t>
  </si>
  <si>
    <t>Latham, David</t>
  </si>
  <si>
    <t>PR5084.L384 2007</t>
  </si>
  <si>
    <t>http://public.eblib.com/choice/PublicFullRecord.aspx?p=4672385</t>
  </si>
  <si>
    <t>Secrets of the Oracle : A History of Wisdom from Zeno to Yeats</t>
  </si>
  <si>
    <t>Shaw, W. David</t>
  </si>
  <si>
    <t>PN56.W54.S539 2009</t>
  </si>
  <si>
    <t>809/.93384</t>
  </si>
  <si>
    <t>http://public.eblib.com/choice/PublicFullRecord.aspx?p=4672396</t>
  </si>
  <si>
    <t>A Trying Question : The Jury in Nineteenth-Century Canada</t>
  </si>
  <si>
    <t>Brown, R. Blake</t>
  </si>
  <si>
    <t>KE8495.B769 2009</t>
  </si>
  <si>
    <t>347.71/075209034</t>
  </si>
  <si>
    <t>Jury - Canada - History - 19th century</t>
  </si>
  <si>
    <t>http://public.eblib.com/choice/PublicFullRecord.aspx?p=4672398</t>
  </si>
  <si>
    <t>Rousseau and Desire</t>
  </si>
  <si>
    <t>Blackell, Mark; Duncan, John; Kow, Simon</t>
  </si>
  <si>
    <t>B2138.D47.R687 2009</t>
  </si>
  <si>
    <t>Rousseau, Jean-Jacques</t>
  </si>
  <si>
    <t>http://public.eblib.com/choice/PublicFullRecord.aspx?p=4672400</t>
  </si>
  <si>
    <t>The Correspondence of Erasmus : Letters 1926-2081</t>
  </si>
  <si>
    <t>Erasmus, Desiderius; Erasmus, Desiderius; Estes, James M.; Fantazzi, Charles</t>
  </si>
  <si>
    <t>DJ71.C677 2011</t>
  </si>
  <si>
    <t>http://public.eblib.com/choice/PublicFullRecord.aspx?p=4672402</t>
  </si>
  <si>
    <t>Prejudice and Pride : Canadian Intellectuals Confront the United States, 1891-1945</t>
  </si>
  <si>
    <t>Belanger, Damien-Claude; Belanger, Damien-Claude</t>
  </si>
  <si>
    <t>E169.1.B419 2010</t>
  </si>
  <si>
    <t>http://public.eblib.com/choice/PublicFullRecord.aspx?p=4672403</t>
  </si>
  <si>
    <t>Interrogating Race and Racism</t>
  </si>
  <si>
    <t>Agnew, Vijay; Agnew, Vijay</t>
  </si>
  <si>
    <t>HT1521.I584 2007</t>
  </si>
  <si>
    <t>Discrimination dans l''emploi - Canada</t>
  </si>
  <si>
    <t>http://public.eblib.com/choice/PublicFullRecord.aspx?p=4672405</t>
  </si>
  <si>
    <t>Digital State at the  Leading Edge</t>
  </si>
  <si>
    <t>Borins, Sandford; Kernaghan, Kenneth; Brown, David; Bontis, Nick; 6, Perri; Thompson, Fred</t>
  </si>
  <si>
    <t>JL86.A8.D54 2007</t>
  </si>
  <si>
    <t>Information technology - Government policy - Canada</t>
  </si>
  <si>
    <t>http://public.eblib.com/choice/PublicFullRecord.aspx?p=4672406</t>
  </si>
  <si>
    <t>Working Families : Age, Gender, and Daily Survival in Industrializing Montreal</t>
  </si>
  <si>
    <t>HQ560.15.M65.B73 1993</t>
  </si>
  <si>
    <t>306.85/09714/2809034</t>
  </si>
  <si>
    <t>http://public.eblib.com/choice/PublicFullRecord.aspx?p=4672407</t>
  </si>
  <si>
    <t>Agents of Empire : British Female Migration to Canada and Australia, 1860-1930</t>
  </si>
  <si>
    <t>Chilton, Lisa</t>
  </si>
  <si>
    <t>JV7284.C455 2007</t>
  </si>
  <si>
    <t>Women - Great Britain - Social conditions - 20th century</t>
  </si>
  <si>
    <t>http://public.eblib.com/choice/PublicFullRecord.aspx?p=4672409</t>
  </si>
  <si>
    <t>Teaching Adolescents : Educational Psychology as a Science of Signs</t>
  </si>
  <si>
    <t>Smith, Howard</t>
  </si>
  <si>
    <t>LB1033.5.S65 2007</t>
  </si>
  <si>
    <t>371.102/2</t>
  </si>
  <si>
    <t>Semiotics - Psychological aspects</t>
  </si>
  <si>
    <t>http://public.eblib.com/choice/PublicFullRecord.aspx?p=4672417</t>
  </si>
  <si>
    <t>Parallels, Interactions, and Illuminations : Traversing Chinese and Western Theories of the Sign</t>
  </si>
  <si>
    <t>Ding, Ersu</t>
  </si>
  <si>
    <t>P99.D55 2010</t>
  </si>
  <si>
    <t>http://public.eblib.com/choice/PublicFullRecord.aspx?p=4672419</t>
  </si>
  <si>
    <t>Omissions are not Accidents : Modern Apophaticism from Henry James to Jacques Derrida</t>
  </si>
  <si>
    <t>PN3347.K57 2010</t>
  </si>
  <si>
    <t>Silence in literature</t>
  </si>
  <si>
    <t>http://public.eblib.com/choice/PublicFullRecord.aspx?p=4672420</t>
  </si>
  <si>
    <t>Building a Monument to Dante : Boccaccio as Dantista</t>
  </si>
  <si>
    <t>Houston, Jason; Houston, Jason</t>
  </si>
  <si>
    <t>PQ4286.H69 2010</t>
  </si>
  <si>
    <t>858/.109</t>
  </si>
  <si>
    <t>http://public.eblib.com/choice/PublicFullRecord.aspx?p=4672421</t>
  </si>
  <si>
    <t>Northrop Frye on Twentieth-Century Literature : Vol. 29</t>
  </si>
  <si>
    <t>PN75.F7.N678 2010</t>
  </si>
  <si>
    <t>American literature - 20th century - History and criticism</t>
  </si>
  <si>
    <t>http://public.eblib.com/choice/PublicFullRecord.aspx?p=4672423</t>
  </si>
  <si>
    <t>Erasmus and Voltaire : Why They Still Matter</t>
  </si>
  <si>
    <t>B785.E64.Q55 2010</t>
  </si>
  <si>
    <t>Voltaire - Critique et interpraetation</t>
  </si>
  <si>
    <t>http://public.eblib.com/choice/PublicFullRecord.aspx?p=4672424</t>
  </si>
  <si>
    <t>Latin Poets and Italian Gods</t>
  </si>
  <si>
    <t>Fantham, Elaine</t>
  </si>
  <si>
    <t>PA6029.R4.F36 2009</t>
  </si>
  <si>
    <t>871/.01093820211</t>
  </si>
  <si>
    <t>Religion and literature - Rome</t>
  </si>
  <si>
    <t>http://public.eblib.com/choice/PublicFullRecord.aspx?p=4672427</t>
  </si>
  <si>
    <t>Against Reproduction : Where Renaissance Poems Come From</t>
  </si>
  <si>
    <t>Guy-Bray, Stephen; University of Toronto Press Staff</t>
  </si>
  <si>
    <t>PR651.G89 2009</t>
  </si>
  <si>
    <t>Human reproduction in literature</t>
  </si>
  <si>
    <t>http://public.eblib.com/choice/PublicFullRecord.aspx?p=4672428</t>
  </si>
  <si>
    <t>Perceptions of Cuba : Canadian and American Policies in Comparative Perspective</t>
  </si>
  <si>
    <t>Wylie, Lana; Wylie, Lana</t>
  </si>
  <si>
    <t>E183.8.C9.W95 2010</t>
  </si>
  <si>
    <t>Cuba - Foreign public opinion, Canadian</t>
  </si>
  <si>
    <t>http://public.eblib.com/choice/PublicFullRecord.aspx?p=4672429</t>
  </si>
  <si>
    <t>Beyond Expectation : Assisted Conception and the Politics of Recognition</t>
  </si>
  <si>
    <t>Luce, Jacquelyne</t>
  </si>
  <si>
    <t>HQ75.53.L834 2010</t>
  </si>
  <si>
    <t>306.874/3086643</t>
  </si>
  <si>
    <t>Lesbiennes - Sante et hygiene - Canada</t>
  </si>
  <si>
    <t>http://public.eblib.com/choice/PublicFullRecord.aspx?p=4672431</t>
  </si>
  <si>
    <t>The Appeal of Insurance</t>
  </si>
  <si>
    <t>Clark, Geoffrey  W.; Anderson, Greg; Von Der Schulenburg, J. Matthias-Graf</t>
  </si>
  <si>
    <t>HG8027.A67 2010</t>
  </si>
  <si>
    <t>Insurance - History</t>
  </si>
  <si>
    <t>http://public.eblib.com/choice/PublicFullRecord.aspx?p=4672433</t>
  </si>
  <si>
    <t>Provincial &amp; Territorial Ombudsman Offices in Canada</t>
  </si>
  <si>
    <t>Hyson, Stewart</t>
  </si>
  <si>
    <t>JL86.O43.P76 2009</t>
  </si>
  <si>
    <t>352.8/82130971</t>
  </si>
  <si>
    <t>Public administration - Canada - Provinces</t>
  </si>
  <si>
    <t>http://public.eblib.com/choice/PublicFullRecord.aspx?p=4672435</t>
  </si>
  <si>
    <t>Canadian Maverick : The Life of Ivan C. Rand</t>
  </si>
  <si>
    <t>Kaplan, William; Osgoode Society Staff</t>
  </si>
  <si>
    <t>KE8248.R36.K37 2009</t>
  </si>
  <si>
    <t>http://public.eblib.com/choice/PublicFullRecord.aspx?p=4672437</t>
  </si>
  <si>
    <t>Make the Night Hideous : Discourses of Four Canadian Charivaris, 1881-1940</t>
  </si>
  <si>
    <t>Canadian Social History</t>
  </si>
  <si>
    <t>GT2713.A2.G74 2010</t>
  </si>
  <si>
    <t>http://public.eblib.com/choice/PublicFullRecord.aspx?p=4672441</t>
  </si>
  <si>
    <t>Sacred and Profane in Chaucer and Late Medieval Literature : Essays in Honour of John V. Fleming</t>
  </si>
  <si>
    <t>Epstein, Robert; Robins, Will</t>
  </si>
  <si>
    <t>PR1933.R4.S237 2010</t>
  </si>
  <si>
    <t>http://public.eblib.com/choice/PublicFullRecord.aspx?p=4672445</t>
  </si>
  <si>
    <t>The Revolt of the Scribe in Modern Italian Literature</t>
  </si>
  <si>
    <t>Peterson, Thomas E</t>
  </si>
  <si>
    <t>PQ4085.P43 2010</t>
  </si>
  <si>
    <t>850.9/008</t>
  </si>
  <si>
    <t>http://public.eblib.com/choice/PublicFullRecord.aspx?p=4672449</t>
  </si>
  <si>
    <t>My Muse Will Have a Story to Paint : Selected Prose of Ludovico Ariosto</t>
  </si>
  <si>
    <t>Ciavolella, Massimo; Looney, Dennis</t>
  </si>
  <si>
    <t>PQ4582.A756 2010</t>
  </si>
  <si>
    <t>http://public.eblib.com/choice/PublicFullRecord.aspx?p=4672450</t>
  </si>
  <si>
    <t>Early Childhood Curricula and the De-pathologizing of Childhood</t>
  </si>
  <si>
    <t>Heydon, Rachel; Iannacci, Luigi</t>
  </si>
  <si>
    <t>LC4801.5.H49 2008</t>
  </si>
  <si>
    <t>371.9/0472</t>
  </si>
  <si>
    <t>http://public.eblib.com/choice/PublicFullRecord.aspx?p=4672453</t>
  </si>
  <si>
    <t>English Biography in the Seventeenth Century : A Critical Survey</t>
  </si>
  <si>
    <t>CT34.G7.P75 2005</t>
  </si>
  <si>
    <t>820.9/4920042/09032</t>
  </si>
  <si>
    <t>http://public.eblib.com/choice/PublicFullRecord.aspx?p=4672454</t>
  </si>
  <si>
    <t>Curriculum as Cultural Practice : Postcolonial Imaginations</t>
  </si>
  <si>
    <t>Kanu, Yatta</t>
  </si>
  <si>
    <t>LC196.C86 2006</t>
  </si>
  <si>
    <t>http://public.eblib.com/choice/PublicFullRecord.aspx?p=4672455</t>
  </si>
  <si>
    <t>Sanity, Madness, Transformation : The Psyche in Romanticism</t>
  </si>
  <si>
    <t>Woodman, Ross; Faflak, Joel</t>
  </si>
  <si>
    <t>PR468.R65.W66 2005</t>
  </si>
  <si>
    <t>821/.7093561</t>
  </si>
  <si>
    <t>http://public.eblib.com/choice/PublicFullRecord.aspx?p=4672457</t>
  </si>
  <si>
    <t>Between Renaissance and Baroque : Jesuit Art in Rome, 1565–1610</t>
  </si>
  <si>
    <t>Bailey, Gauvin Alexander</t>
  </si>
  <si>
    <t>N7952.R6.B35 2003</t>
  </si>
  <si>
    <t>704.9/482/09456309031</t>
  </si>
  <si>
    <t>http://public.eblib.com/choice/PublicFullRecord.aspx?p=4672458</t>
  </si>
  <si>
    <t>Forgetful Muses : Reading the Author in the Text</t>
  </si>
  <si>
    <t>PN171 P83L35 2010</t>
  </si>
  <si>
    <t>http://public.eblib.com/choice/PublicFullRecord.aspx?p=4672459</t>
  </si>
  <si>
    <t>European Foreign and Security Policy : States. Power, Institutions</t>
  </si>
  <si>
    <t>European Union Studies</t>
  </si>
  <si>
    <t>Gegout, Catherine</t>
  </si>
  <si>
    <t>KJE5105.G44 2010</t>
  </si>
  <si>
    <t>342.24/0412</t>
  </si>
  <si>
    <t>Securite nationale - Pays de l''Union europeenne</t>
  </si>
  <si>
    <t>http://public.eblib.com/choice/PublicFullRecord.aspx?p=4672460</t>
  </si>
  <si>
    <t>Enchanted Objects : Visual Art in Contemporary Fiction</t>
  </si>
  <si>
    <t>Hepburn, Allan</t>
  </si>
  <si>
    <t>PS374.A76.H46 2010</t>
  </si>
  <si>
    <t>823/.91409357</t>
  </si>
  <si>
    <t>American fiction - 21st century - History and criticism</t>
  </si>
  <si>
    <t>http://public.eblib.com/choice/PublicFullRecord.aspx?p=4672466</t>
  </si>
  <si>
    <t>Politics of Command : Lieutenant-General A.G.L. McNaughton and the Canadian Army, 1939-1943</t>
  </si>
  <si>
    <t>Rickard, John Nelson</t>
  </si>
  <si>
    <t>D768.15.R53 2010</t>
  </si>
  <si>
    <t>940.54/1271092</t>
  </si>
  <si>
    <t>McNaughton, A. G. L - Military leadership</t>
  </si>
  <si>
    <t>http://public.eblib.com/choice/PublicFullRecord.aspx?p=4672467</t>
  </si>
  <si>
    <t>Media, Structures, and Power : The Robert E. Babe Collection</t>
  </si>
  <si>
    <t>Comor, Edward A.</t>
  </si>
  <si>
    <t>http://public.eblib.com/choice/PublicFullRecord.aspx?p=4672468</t>
  </si>
  <si>
    <t>The Space of the Book : Print Culture in the Russian Social Imagination</t>
  </si>
  <si>
    <t>Remnek, Miranda</t>
  </si>
  <si>
    <t>Z1003.5.R9.S63 2011</t>
  </si>
  <si>
    <t>028/.90947</t>
  </si>
  <si>
    <t>http://public.eblib.com/choice/PublicFullRecord.aspx?p=4672469</t>
  </si>
  <si>
    <t>A.M. Klein : The Letters</t>
  </si>
  <si>
    <t>Klein, A.M.; Popham, Elizabeth A.</t>
  </si>
  <si>
    <t>PR9199.3.K48.K545 2011</t>
  </si>
  <si>
    <t>C816/.52</t>
  </si>
  <si>
    <t>http://public.eblib.com/choice/PublicFullRecord.aspx?p=4672474</t>
  </si>
  <si>
    <t>Architectural Identities : Domesticity, Literature and the Victorian Middle Class</t>
  </si>
  <si>
    <t>Tange, Andrea Kaston</t>
  </si>
  <si>
    <t>NA7328.T36 2010</t>
  </si>
  <si>
    <t>http://public.eblib.com/choice/PublicFullRecord.aspx?p=4672480</t>
  </si>
  <si>
    <t>Atom Egoyan's 'The Adjuster'</t>
  </si>
  <si>
    <t>Canadian Cinema</t>
  </si>
  <si>
    <t>McSorley, Tom</t>
  </si>
  <si>
    <t>PN1997.A31127.M37 2009</t>
  </si>
  <si>
    <t>Egoyan, Atom - Criticism and interpretation</t>
  </si>
  <si>
    <t>http://public.eblib.com/choice/PublicFullRecord.aspx?p=4672482</t>
  </si>
  <si>
    <t>Bluebeard Gothic : Jane Eyre and its Progeny</t>
  </si>
  <si>
    <t>PR4167.J5.P97 2010</t>
  </si>
  <si>
    <t>http://public.eblib.com/choice/PublicFullRecord.aspx?p=4672487</t>
  </si>
  <si>
    <t>Power of Scandal : Semiotic and Pragmatic in Mass Media</t>
  </si>
  <si>
    <t>P96.S29.E37 2011</t>
  </si>
  <si>
    <t>302.2/4</t>
  </si>
  <si>
    <t>http://public.eblib.com/choice/PublicFullRecord.aspx?p=4672488</t>
  </si>
  <si>
    <t>Behind the Scenes : The Life and work of William Clifford Clard</t>
  </si>
  <si>
    <t>FC581 C53.W37 2010</t>
  </si>
  <si>
    <t>http://public.eblib.com/choice/PublicFullRecord.aspx?p=4672489</t>
  </si>
  <si>
    <t>Joyce Wieland's 'The Far Shore'</t>
  </si>
  <si>
    <t>PN1997.F3447.S58 2010</t>
  </si>
  <si>
    <t>Wieland, Joyce</t>
  </si>
  <si>
    <t>http://public.eblib.com/choice/PublicFullRecord.aspx?p=4672490</t>
  </si>
  <si>
    <t>State Building in Revolutionary Ukraine : A Comparative Study of Governments and Bureaucrats, 1917-1922</t>
  </si>
  <si>
    <t>Velychenko, Stephen; Velychenko, Stephen</t>
  </si>
  <si>
    <t>http://public.eblib.com/choice/PublicFullRecord.aspx?p=4672493</t>
  </si>
  <si>
    <t>Re-Imagining Ukrainian-Canadians : History, Politics, and Identity</t>
  </si>
  <si>
    <t>Mochoruk, James; Hinther, Rhonda L.; Mochoruk, Jim</t>
  </si>
  <si>
    <t>http://public.eblib.com/choice/PublicFullRecord.aspx?p=4672495</t>
  </si>
  <si>
    <t>A Quality of Life Approach to Career Development</t>
  </si>
  <si>
    <t>Peruniak, Geoffrey</t>
  </si>
  <si>
    <t>HN25.P46 2010</t>
  </si>
  <si>
    <t>Quality of life</t>
  </si>
  <si>
    <t>http://public.eblib.com/choice/PublicFullRecord.aspx?p=4672497</t>
  </si>
  <si>
    <t>The Protestant Whore : Courtesan Narrative and Religious Controversy in England, 1680-1750</t>
  </si>
  <si>
    <t>Conway, Alison</t>
  </si>
  <si>
    <t>PR437.C66 2010</t>
  </si>
  <si>
    <t>823.409/353</t>
  </si>
  <si>
    <t>http://public.eblib.com/choice/PublicFullRecord.aspx?p=4672498</t>
  </si>
  <si>
    <t>Into the Past : The Cinema of Guy Maddin</t>
  </si>
  <si>
    <t>Beard, William</t>
  </si>
  <si>
    <t>PN1998.3.M322.B43 2010</t>
  </si>
  <si>
    <t>Maddin, Guy - Criticism and interpretation</t>
  </si>
  <si>
    <t>http://public.eblib.com/choice/PublicFullRecord.aspx?p=4672500</t>
  </si>
  <si>
    <t>Strangers in Blood : Relocating Race in the Renaissance</t>
  </si>
  <si>
    <t>Feerick, Jean</t>
  </si>
  <si>
    <t>PR408.R34.F44 2010</t>
  </si>
  <si>
    <t>http://public.eblib.com/choice/PublicFullRecord.aspx?p=4672501</t>
  </si>
  <si>
    <t>The Italian in Modernity</t>
  </si>
  <si>
    <t>Casillo, Robert; Russo, John Paul</t>
  </si>
  <si>
    <t>DG441.C38 2011</t>
  </si>
  <si>
    <t>http://public.eblib.com/choice/PublicFullRecord.aspx?p=4672509</t>
  </si>
  <si>
    <t>Piero Gobetti's New World : Antifascism, Liberalism, Writing</t>
  </si>
  <si>
    <t>Ward, David; Ward, David</t>
  </si>
  <si>
    <t>DG575.G6.W37 2010</t>
  </si>
  <si>
    <t>http://public.eblib.com/choice/PublicFullRecord.aspx?p=4672510</t>
  </si>
  <si>
    <t>Blake in Our Time : Essays in Honour of G.E. Bentley, Jr.</t>
  </si>
  <si>
    <t>Mulhallen, Karen; Mulhallen, Karen</t>
  </si>
  <si>
    <t>N6797.B57.B585 2010</t>
  </si>
  <si>
    <t>Blake, William - Critique et interpretation</t>
  </si>
  <si>
    <t>http://public.eblib.com/choice/PublicFullRecord.aspx?p=4672513</t>
  </si>
  <si>
    <t>The Poetics of Speech in the Medieval Spanish Epic</t>
  </si>
  <si>
    <t>Bailey, Matthew</t>
  </si>
  <si>
    <t>PQ6088.B35 2010</t>
  </si>
  <si>
    <t>861/.0320901</t>
  </si>
  <si>
    <t>Spanish poetry - To 1500 - History and criticism</t>
  </si>
  <si>
    <t>http://public.eblib.com/choice/PublicFullRecord.aspx?p=4672517</t>
  </si>
  <si>
    <t>Oedipus against Freud : Myth and the End(s) of Humanism in 20th Century British Lit</t>
  </si>
  <si>
    <t>Buchanan, Bradley W.</t>
  </si>
  <si>
    <t>PR478.M96.B83 2010</t>
  </si>
  <si>
    <t>820.9/384</t>
  </si>
  <si>
    <t>Oedipus (Greek mythology) in literature</t>
  </si>
  <si>
    <t>http://public.eblib.com/choice/PublicFullRecord.aspx?p=4672518</t>
  </si>
  <si>
    <t>The Necessary Unity of Opposites : The Dialectical Thinking of Northrop Frye</t>
  </si>
  <si>
    <t>Graham, Brian Russell</t>
  </si>
  <si>
    <t>PN75.F7.G73 2011</t>
  </si>
  <si>
    <t>http://public.eblib.com/choice/PublicFullRecord.aspx?p=4672520</t>
  </si>
  <si>
    <t>Immigration Dialectic : Imagining Community, Economy, and Nation</t>
  </si>
  <si>
    <t>Bauder, Harald</t>
  </si>
  <si>
    <t>http://public.eblib.com/choice/PublicFullRecord.aspx?p=4672521</t>
  </si>
  <si>
    <t>David Adams Richards of the Miramichi : A Biographical Introduction to His Work</t>
  </si>
  <si>
    <t>Tremblay, Tony; Tremblay, Tony</t>
  </si>
  <si>
    <t>PR9199.3.R465.T746 2010</t>
  </si>
  <si>
    <t>Miramichi River Region (N.B.)</t>
  </si>
  <si>
    <t>http://public.eblib.com/choice/PublicFullRecord.aspx?p=4672522</t>
  </si>
  <si>
    <t>The Baroque Libretto : Italian Operas and Oratorios in the Thomas Fisher Library, U of T</t>
  </si>
  <si>
    <t>Pietropaolo, Domenico; Parker, Mary Ann</t>
  </si>
  <si>
    <t>http://public.eblib.com/choice/PublicFullRecord.aspx?p=4672523</t>
  </si>
  <si>
    <t>Paraphrases on the  Epistles to the Corinthians, Ephesians, Philippans, Colossians, and Thessalonians : Volume 43</t>
  </si>
  <si>
    <t>Erasmus, Desiderius; Sider, Robert D.; O'Mara, Sister Mechtilde; Phillips, Edward A</t>
  </si>
  <si>
    <t>BS2637.E737 2009</t>
  </si>
  <si>
    <t>http://public.eblib.com/choice/PublicFullRecord.aspx?p=4672524</t>
  </si>
  <si>
    <t>Paraphrase on the Gospel of Matthew : Volume 45</t>
  </si>
  <si>
    <t>Erasmus, Desiderius; Erasmus, Desiderius; Sider, Robert D.</t>
  </si>
  <si>
    <t>BS2577.P373 2008</t>
  </si>
  <si>
    <t>226.2/05209</t>
  </si>
  <si>
    <t>http://public.eblib.com/choice/PublicFullRecord.aspx?p=4672526</t>
  </si>
  <si>
    <t>(Re)Visualizing National History : Museums and National Identities in Europe in the New Millennium</t>
  </si>
  <si>
    <t>Ostow, Robin</t>
  </si>
  <si>
    <t>AM7.R485 2008</t>
  </si>
  <si>
    <t>http://public.eblib.com/choice/PublicFullRecord.aspx?p=4672527</t>
  </si>
  <si>
    <t>Acculturation and Its Discontents : The Italian Jewish Experience Between Exclusion and Inclusion</t>
  </si>
  <si>
    <t>UCLA Clark Memorial Library</t>
  </si>
  <si>
    <t>Myers, David N.; Ciavolella, Massimo; Reill, Peter; Dubin, Lois C; Symcox, University Geoffrey</t>
  </si>
  <si>
    <t>DS135.I8.A238 2008</t>
  </si>
  <si>
    <t>945.00492/4</t>
  </si>
  <si>
    <t>http://public.eblib.com/choice/PublicFullRecord.aspx?p=4672533</t>
  </si>
  <si>
    <t>African American Pioneers of Sociology : A Critical History</t>
  </si>
  <si>
    <t>Saint-Arnaud, Pierre; Feldstein, Peter; Feldstein, Peter</t>
  </si>
  <si>
    <t>HM477.U6.S256 2009</t>
  </si>
  <si>
    <t>http://public.eblib.com/choice/PublicFullRecord.aspx?p=4672534</t>
  </si>
  <si>
    <t>Against Perfectionism : Defending Liberal Neutrality</t>
  </si>
  <si>
    <t>Lecce, Steven</t>
  </si>
  <si>
    <t>JC574.L433 2008</t>
  </si>
  <si>
    <t>http://public.eblib.com/choice/PublicFullRecord.aspx?p=4672535</t>
  </si>
  <si>
    <t>The Age of Projects</t>
  </si>
  <si>
    <t>Novak, Maximillian  E.; William Andrews Clark Memorial Library Staff; University of California, Los Angeles, Center for 17th- &amp; 18th- Century Studies Staff</t>
  </si>
  <si>
    <t>AZ341.A34 2008</t>
  </si>
  <si>
    <t>001.309/033</t>
  </si>
  <si>
    <t>http://public.eblib.com/choice/PublicFullRecord.aspx?p=4672536</t>
  </si>
  <si>
    <t>Arduous Tasks : Primo Levi, Translation and the Transmission of Holocaust Testimony</t>
  </si>
  <si>
    <t>Insana, Lina N</t>
  </si>
  <si>
    <t>PQ4872.E8</t>
  </si>
  <si>
    <t>http://public.eblib.com/choice/PublicFullRecord.aspx?p=4672537</t>
  </si>
  <si>
    <t>Armies of Peace : Canada and the UNRRA Years</t>
  </si>
  <si>
    <t>Armstrong-Reid, Susan E.; Murray, David</t>
  </si>
  <si>
    <t>D809.C2.A767 2009</t>
  </si>
  <si>
    <t>341.23/71</t>
  </si>
  <si>
    <t>International relief - Canada - History - 20th century</t>
  </si>
  <si>
    <t>http://public.eblib.com/choice/PublicFullRecord.aspx?p=4672538</t>
  </si>
  <si>
    <t>Auto Pact : Creating a Borderless North American Auto Industry, 1960-1971</t>
  </si>
  <si>
    <t>HD9710.C22.A537 2005</t>
  </si>
  <si>
    <t>338.4/7629222097309046</t>
  </si>
  <si>
    <t>http://public.eblib.com/choice/PublicFullRecord.aspx?p=4672539</t>
  </si>
  <si>
    <t>Beckett's Dedalus : Dialogical Engagements with Joyce in Beckett's Fiction</t>
  </si>
  <si>
    <t>Murphy, Peter J.</t>
  </si>
  <si>
    <t>PR6003.E282.M877 2009</t>
  </si>
  <si>
    <t>848/.91409</t>
  </si>
  <si>
    <t>http://public.eblib.com/choice/PublicFullRecord.aspx?p=4672541</t>
  </si>
  <si>
    <t>Bernard Shaw and the  BBC</t>
  </si>
  <si>
    <t>Conolly, L.W.</t>
  </si>
  <si>
    <t>PR5366.C666 2009</t>
  </si>
  <si>
    <t>http://public.eblib.com/choice/PublicFullRecord.aspx?p=4672543</t>
  </si>
  <si>
    <t>Between Worlds : The Rhetorical Universe of Paradise Lost</t>
  </si>
  <si>
    <t>Pallister, William</t>
  </si>
  <si>
    <t>PR3562.P355 2008</t>
  </si>
  <si>
    <t>http://public.eblib.com/choice/PublicFullRecord.aspx?p=4672544</t>
  </si>
  <si>
    <t>Boccaccio's Naked Muse : Eros, Culture, and the Mythopoeic Imagination</t>
  </si>
  <si>
    <t>Gittes, Tobias Foster</t>
  </si>
  <si>
    <t>PQ4293.L2.G588 2008</t>
  </si>
  <si>
    <t>Boccaccio, Giovanni - Criticism and interpretation</t>
  </si>
  <si>
    <t>http://public.eblib.com/choice/PublicFullRecord.aspx?p=4672545</t>
  </si>
  <si>
    <t>Canadian Islamic Schools : Unravelling the Politics of Faith, Gender, Knowledge, and Identity</t>
  </si>
  <si>
    <t>LC913.C3.Z564 2008</t>
  </si>
  <si>
    <t>http://public.eblib.com/choice/PublicFullRecord.aspx?p=4672548</t>
  </si>
  <si>
    <t>Canadian Annual Review of Politics and Public Affairs 2002</t>
  </si>
  <si>
    <t>F1034.2.C363 2008</t>
  </si>
  <si>
    <t>http://public.eblib.com/choice/PublicFullRecord.aspx?p=4672549</t>
  </si>
  <si>
    <t>Catastrophic Injuries in Sports and Recreation : Causes and Prevention - A Canadian Study</t>
  </si>
  <si>
    <t>Tator, Charles H.</t>
  </si>
  <si>
    <t>RD97.C383 2008</t>
  </si>
  <si>
    <t>617.1/027</t>
  </si>
  <si>
    <t>http://public.eblib.com/choice/PublicFullRecord.aspx?p=4672551</t>
  </si>
  <si>
    <t>Cervantes' Epic Novel : Empire, Religion, and the Dream Life of Heroes in &lt;i&gt;Persiles&lt;/i&gt;</t>
  </si>
  <si>
    <t>Armstrong-Roche, Michael</t>
  </si>
  <si>
    <t>PQ6327.P5.A767 2009</t>
  </si>
  <si>
    <t>863/.3</t>
  </si>
  <si>
    <t>Cervantes Saavedra, Miguel de</t>
  </si>
  <si>
    <t>http://public.eblib.com/choice/PublicFullRecord.aspx?p=4672552</t>
  </si>
  <si>
    <t>Chaucer's Monk's Tale and Nun's Priest's Tale : An Annotated Bibliography</t>
  </si>
  <si>
    <t>Goodall, Peter</t>
  </si>
  <si>
    <t>Z8164.C438 2009</t>
  </si>
  <si>
    <t>http://public.eblib.com/choice/PublicFullRecord.aspx?p=4672554</t>
  </si>
  <si>
    <t>Children's Rights : Multidisciplinary Approaches to Participation and Protection</t>
  </si>
  <si>
    <t>O'Neill, Tom; Zinga, Dawn</t>
  </si>
  <si>
    <t>HQ789.C455 2008</t>
  </si>
  <si>
    <t>323.3/52</t>
  </si>
  <si>
    <t>http://public.eblib.com/choice/PublicFullRecord.aspx?p=4672556</t>
  </si>
  <si>
    <t>Christianity and Ethnicity in Canada</t>
  </si>
  <si>
    <t>Bramadat, Paul; Seljak, David</t>
  </si>
  <si>
    <t>BR570.C475 2008</t>
  </si>
  <si>
    <t>305.6/771</t>
  </si>
  <si>
    <t>Multiculturalism Canada</t>
  </si>
  <si>
    <t>http://public.eblib.com/choice/PublicFullRecord.aspx?p=4672557</t>
  </si>
  <si>
    <t>Collected Works of George Grant : Vol. 4: 1970 - 1988</t>
  </si>
  <si>
    <t>Davis, Arthur; Roper, Henry Roper; Grant, Sheila; Grant, Sheila</t>
  </si>
  <si>
    <t>JA86.C655 2009</t>
  </si>
  <si>
    <t>http://public.eblib.com/choice/PublicFullRecord.aspx?p=4672559</t>
  </si>
  <si>
    <t>Comrades and Critics : Women, Literature, and the Left in 1930s Canada</t>
  </si>
  <si>
    <t>Rifkind, Candida</t>
  </si>
  <si>
    <t>PR9185.6.W6.R545 2009</t>
  </si>
  <si>
    <t>http://public.eblib.com/choice/PublicFullRecord.aspx?p=4672562</t>
  </si>
  <si>
    <t>Contesting Illness : Process and Practices</t>
  </si>
  <si>
    <t>Moss, Pamela; Teghtsoonian, Kathy</t>
  </si>
  <si>
    <t>RA644.5.C668 2008</t>
  </si>
  <si>
    <t>616/.044</t>
  </si>
  <si>
    <t>http://public.eblib.com/choice/PublicFullRecord.aspx?p=4672564</t>
  </si>
  <si>
    <t>Contextual Subjects : Family, State, and Relational Theory</t>
  </si>
  <si>
    <t>Leckey, Robert</t>
  </si>
  <si>
    <t>KE427.A7.L435 2008</t>
  </si>
  <si>
    <t>Contextualisme (Philosophie)</t>
  </si>
  <si>
    <t>http://public.eblib.com/choice/PublicFullRecord.aspx?p=4672565</t>
  </si>
  <si>
    <t>The Court Book of Mende and the Secular Lordship of the Bishop : Recollecting the Past in Thirteenth-Century Gévaudan</t>
  </si>
  <si>
    <t>Bulman, Jan K.</t>
  </si>
  <si>
    <t>BX1532.M46.B856 2008</t>
  </si>
  <si>
    <t>282/.4481</t>
  </si>
  <si>
    <t>Gevaudan (France) - Politics and government</t>
  </si>
  <si>
    <t>http://public.eblib.com/choice/PublicFullRecord.aspx?p=4672566</t>
  </si>
  <si>
    <t>Critical Edition of Robert Barnes's A Supplication Vnto the Most Gracyous Prince Kynge Henry The. VIIJ. 1534</t>
  </si>
  <si>
    <t>Parker, Douglas H.; Parker, Douglas H.</t>
  </si>
  <si>
    <t>BR375.C758 2008</t>
  </si>
  <si>
    <t>274.1/06</t>
  </si>
  <si>
    <t>Barnes, Robert - Critique textuelle</t>
  </si>
  <si>
    <t>http://public.eblib.com/choice/PublicFullRecord.aspx?p=4672567</t>
  </si>
  <si>
    <t>The Critical Path and Other Writings on Critical Theory, 1963-1975</t>
  </si>
  <si>
    <t>O'Grady, Jean; Kushner, Eva; O'Grady, Jean; Lee, Alvin A.</t>
  </si>
  <si>
    <t>PN75.F7.C758 2009</t>
  </si>
  <si>
    <t>http://public.eblib.com/choice/PublicFullRecord.aspx?p=4672568</t>
  </si>
  <si>
    <t>Culinary Landmarks : A Bibliography of Canadian Cookbooks, 1825-1949</t>
  </si>
  <si>
    <t>Driver, Elizabeth; Driver, Elizabeth</t>
  </si>
  <si>
    <t>General Works/Reference; Home Economics</t>
  </si>
  <si>
    <t>TX715.D758 2008</t>
  </si>
  <si>
    <t>Cooking - Canada</t>
  </si>
  <si>
    <t>http://public.eblib.com/choice/PublicFullRecord.aspx?p=4672569</t>
  </si>
  <si>
    <t>Deliberative Democracy for the Future : The Case of Nuclear Waste Management in Canada</t>
  </si>
  <si>
    <t>Fuji Johnson, Genevieve</t>
  </si>
  <si>
    <t>HD9698.C22.J646 2008</t>
  </si>
  <si>
    <t>363.72/8960971</t>
  </si>
  <si>
    <t>Dechets radioactifs - Elimination - Evaluation du risque - Canada</t>
  </si>
  <si>
    <t>http://public.eblib.com/choice/PublicFullRecord.aspx?p=4672570</t>
  </si>
  <si>
    <t>Discourses of Tolerance &amp; Intolerance in the European Enlightenment</t>
  </si>
  <si>
    <t>Bödeker, Hans Erich; Donato, Clorinda; Reill, Peter</t>
  </si>
  <si>
    <t>Political Science; Philosophy</t>
  </si>
  <si>
    <t>B802.D573 2009</t>
  </si>
  <si>
    <t>323.094/09033</t>
  </si>
  <si>
    <t>http://public.eblib.com/choice/PublicFullRecord.aspx?p=4672574</t>
  </si>
  <si>
    <t>Editing the Image : Strategies in the Production and Reception of the Visual</t>
  </si>
  <si>
    <t>Soussloff, Catherine M.; Cheetham, Mark; Legge, Elizabeth; Soussloff, Catherine M.; Soussloff, Catherine M.</t>
  </si>
  <si>
    <t>N82.E358 2008</t>
  </si>
  <si>
    <t>Editing</t>
  </si>
  <si>
    <t>http://public.eblib.com/choice/PublicFullRecord.aspx?p=4672579</t>
  </si>
  <si>
    <t>Encounters with a Radical Erasmus : Erasmus' Work as a Source of Radical Thought in Early Modern Europe</t>
  </si>
  <si>
    <t>Bietenholz, P.G.</t>
  </si>
  <si>
    <t>HN380.Z9.B548 2009</t>
  </si>
  <si>
    <t>303.48/4094</t>
  </si>
  <si>
    <t>http://public.eblib.com/choice/PublicFullRecord.aspx?p=4672581</t>
  </si>
  <si>
    <t>Essays in Honour of Michael Bliss : Figuring the Social</t>
  </si>
  <si>
    <t>Heaman, Elsbeth A.; Li, Alison; McKellar, Shelley</t>
  </si>
  <si>
    <t>HN103.5.E873 2008</t>
  </si>
  <si>
    <t>Medecine - Canada - Histoire</t>
  </si>
  <si>
    <t>http://public.eblib.com/choice/PublicFullRecord.aspx?p=4672583</t>
  </si>
  <si>
    <t>Essays on Northeastern North America, 17th &amp; 18th Centuries</t>
  </si>
  <si>
    <t>F1038.R453 2008</t>
  </si>
  <si>
    <t>http://public.eblib.com/choice/PublicFullRecord.aspx?p=4672584</t>
  </si>
  <si>
    <t>Exploiting Erasmus : The Erasmian Legacy and Religious Change in Early Modern England</t>
  </si>
  <si>
    <t>Dodds, Gregory D.</t>
  </si>
  <si>
    <t>B785.E64.D633 2009</t>
  </si>
  <si>
    <t>http://public.eblib.com/choice/PublicFullRecord.aspx?p=4672586</t>
  </si>
  <si>
    <t>The External World and Our Knowledge of  It : Hume's Critical Realism, an Exposition and a Defence</t>
  </si>
  <si>
    <t>B1498.W557 2008</t>
  </si>
  <si>
    <t>http://public.eblib.com/choice/PublicFullRecord.aspx?p=4672588</t>
  </si>
  <si>
    <t>Fairy-Tale Science : Monstrous Generation in the Takes of Straparola and Basile</t>
  </si>
  <si>
    <t>Magnanini, Suzanne</t>
  </si>
  <si>
    <t>PQ4634.S7.M346 2008</t>
  </si>
  <si>
    <t>398.20945/0903</t>
  </si>
  <si>
    <t>Italian fiction - 17th century - History and criticism</t>
  </si>
  <si>
    <t>http://public.eblib.com/choice/PublicFullRecord.aspx?p=4672589</t>
  </si>
  <si>
    <t>Figuring the  Feminine : The Rhetoric of Female Embodiment in Medieval Hispanic Literature</t>
  </si>
  <si>
    <t>Ross, Jill</t>
  </si>
  <si>
    <t>PQ6060.M346 2008</t>
  </si>
  <si>
    <t>860.9/3522</t>
  </si>
  <si>
    <t>Body image in literature</t>
  </si>
  <si>
    <t>http://public.eblib.com/choice/PublicFullRecord.aspx?p=4672591</t>
  </si>
  <si>
    <t>Finding the  Right Words : Isidore's &lt;em&gt;Synonyma&lt;/em&gt; in Anglo-Saxon England</t>
  </si>
  <si>
    <t>Di Sciacca, Claudia</t>
  </si>
  <si>
    <t>BX4700.I78.D5 2008</t>
  </si>
  <si>
    <t>274.2/03</t>
  </si>
  <si>
    <t>Spiritualite - Angleterre - Histoire - 600-1500 (Moyen Age)</t>
  </si>
  <si>
    <t>http://public.eblib.com/choice/PublicFullRecord.aspx?p=4672592</t>
  </si>
  <si>
    <t>Framing Canadian Federalism</t>
  </si>
  <si>
    <t>Anastakis, Dimitry; Bryden, Penny</t>
  </si>
  <si>
    <t>JL27.F736 2009</t>
  </si>
  <si>
    <t>http://public.eblib.com/choice/PublicFullRecord.aspx?p=4672593</t>
  </si>
  <si>
    <t>The Gargantuan Polity : On The Individual and the Community in the French Renaissance</t>
  </si>
  <si>
    <t>Randall, Michael</t>
  </si>
  <si>
    <t>DC33.3.R363 2008</t>
  </si>
  <si>
    <t>944/.025</t>
  </si>
  <si>
    <t>http://public.eblib.com/choice/PublicFullRecord.aspx?p=4672594</t>
  </si>
  <si>
    <t>A Happy Holiday : English Canadians and Transatlantic Tourism, 1870-1930</t>
  </si>
  <si>
    <t>Morgan, Cecilia</t>
  </si>
  <si>
    <t>G156.M346 2008</t>
  </si>
  <si>
    <t>Canadians, English-speaking - Travel - Europe - History</t>
  </si>
  <si>
    <t>http://public.eblib.com/choice/PublicFullRecord.aspx?p=4672596</t>
  </si>
  <si>
    <t>Heidegger's Possibility : Language, Emergence - Saying Be-ing</t>
  </si>
  <si>
    <t>Maly, Kenneth</t>
  </si>
  <si>
    <t>B3279.H49.M359 2008</t>
  </si>
  <si>
    <t>http://public.eblib.com/choice/PublicFullRecord.aspx?p=4672599</t>
  </si>
  <si>
    <t>Her Worship : Hazel McCallion and the Development of Mississauga</t>
  </si>
  <si>
    <t>Urbaniak, Tom</t>
  </si>
  <si>
    <t>F1059.5.M57.U733 2009</t>
  </si>
  <si>
    <t>971.3/5350092</t>
  </si>
  <si>
    <t>http://public.eblib.com/choice/PublicFullRecord.aspx?p=4672600</t>
  </si>
  <si>
    <t>An Honourable Calling : Political Memoirs</t>
  </si>
  <si>
    <t>Blakeney, Allan</t>
  </si>
  <si>
    <t>F1072.B56.B535 2008</t>
  </si>
  <si>
    <t>971.24/03092</t>
  </si>
  <si>
    <t>http://public.eblib.com/choice/PublicFullRecord.aspx?p=4672603</t>
  </si>
  <si>
    <t>Identity and Justice</t>
  </si>
  <si>
    <t>F1021.M346 2008</t>
  </si>
  <si>
    <t>http://public.eblib.com/choice/PublicFullRecord.aspx?p=4672606</t>
  </si>
  <si>
    <t>Raffaello Borghini's Il Riposo</t>
  </si>
  <si>
    <t>Ellis, Lloyd  H., Jr.</t>
  </si>
  <si>
    <t>N7420.B674 2007</t>
  </si>
  <si>
    <t>http://public.eblib.com/choice/PublicFullRecord.aspx?p=4672608</t>
  </si>
  <si>
    <t>The Impact of 9/11 on Canada - U.S. Trade</t>
  </si>
  <si>
    <t>Globerman, Steven; Storer, Paul</t>
  </si>
  <si>
    <t>HF3228.U5.M346 2008</t>
  </si>
  <si>
    <t>http://public.eblib.com/choice/PublicFullRecord.aspx?p=4672609</t>
  </si>
  <si>
    <t>The Imperfect Friend : Emotion and Rhetoric in Sidney, Milton and Their Conexts</t>
  </si>
  <si>
    <t>Olmsted, Wendy</t>
  </si>
  <si>
    <t>PR428.E56.O467 2008</t>
  </si>
  <si>
    <t>Rhetoric - England - History - 17th century</t>
  </si>
  <si>
    <t>http://public.eblib.com/choice/PublicFullRecord.aspx?p=4672610</t>
  </si>
  <si>
    <t>In the Anteroom of Divinity : The Reformation of the Angels from Colet to Milton</t>
  </si>
  <si>
    <t>Mohamed, Feisal</t>
  </si>
  <si>
    <t>PR411.M643 2008</t>
  </si>
  <si>
    <t>820.9/38235309031</t>
  </si>
  <si>
    <t>http://public.eblib.com/choice/PublicFullRecord.aspx?p=4672611</t>
  </si>
  <si>
    <t>In the Image of the Ancestors : Narratives of Kinship in Flavian Epic</t>
  </si>
  <si>
    <t>Bernstein, Neil</t>
  </si>
  <si>
    <t>PA6050.B476 2008</t>
  </si>
  <si>
    <t>873/.01093552</t>
  </si>
  <si>
    <t>http://public.eblib.com/choice/PublicFullRecord.aspx?p=4672612</t>
  </si>
  <si>
    <t>An Independent Foreign Policy for Canada? : Challenges and Choices for the Future</t>
  </si>
  <si>
    <t>Bow, Brian; Lennox, Patrick</t>
  </si>
  <si>
    <t>F1034.2.I534 2008</t>
  </si>
  <si>
    <t>http://public.eblib.com/choice/PublicFullRecord.aspx?p=4672613</t>
  </si>
  <si>
    <t>Internationalization and Canadian Agriculture : Policy and Governing Paradigms</t>
  </si>
  <si>
    <t>Skogstad, Grace</t>
  </si>
  <si>
    <t>S451.5.A1.S564 2008</t>
  </si>
  <si>
    <t>338.1/871</t>
  </si>
  <si>
    <t>http://public.eblib.com/choice/PublicFullRecord.aspx?p=4672614</t>
  </si>
  <si>
    <t>Interviews With Northrop Frye</t>
  </si>
  <si>
    <t>PN75.F7.I584 2008</t>
  </si>
  <si>
    <t>http://public.eblib.com/choice/PublicFullRecord.aspx?p=4672615</t>
  </si>
  <si>
    <t>Introduction to Psychology and Law : Canadian Perspectives</t>
  </si>
  <si>
    <t>Ogloff, James R.P.; Schuller, Regina A.; Schuller, Regina A.; Ogloff, James R. P.</t>
  </si>
  <si>
    <t>K346.I587 2001</t>
  </si>
  <si>
    <t>Law - Canada - Psychological aspects</t>
  </si>
  <si>
    <t>http://public.eblib.com/choice/PublicFullRecord.aspx?p=4672618</t>
  </si>
  <si>
    <t>Justifying Our Existence : An Essay in Applied Phenomenology</t>
  </si>
  <si>
    <t>Nicholson, Graeme</t>
  </si>
  <si>
    <t>B3279.H49.N534 2009</t>
  </si>
  <si>
    <t>http://public.eblib.com/choice/PublicFullRecord.aspx?p=4672622</t>
  </si>
  <si>
    <t>Law of the Land : The Advent of the Torrens System in Canada</t>
  </si>
  <si>
    <t>Taylor, Greg</t>
  </si>
  <si>
    <t>KE739.T395 2008</t>
  </si>
  <si>
    <t>346.7104/3809</t>
  </si>
  <si>
    <t>http://public.eblib.com/choice/PublicFullRecord.aspx?p=4672625</t>
  </si>
  <si>
    <t>Law, Mystery, and the Humanities : Collected Essays</t>
  </si>
  <si>
    <t>Atkinson, Logan; Majury, Diana</t>
  </si>
  <si>
    <t>K487.C8.L39 2008</t>
  </si>
  <si>
    <t>http://public.eblib.com/choice/PublicFullRecord.aspx?p=4672626</t>
  </si>
  <si>
    <t>Life Sentences : The Modern Ordering of Mortality</t>
  </si>
  <si>
    <t>Bayatrizi, Zohreh</t>
  </si>
  <si>
    <t>HQ1073.B393 2008</t>
  </si>
  <si>
    <t>http://public.eblib.com/choice/PublicFullRecord.aspx?p=4672628</t>
  </si>
  <si>
    <t>Lonergan on Philosophic Pluralism : The Polymorphism of Conciousness as the Key to Philosophy</t>
  </si>
  <si>
    <t>Walmsley, Gerard</t>
  </si>
  <si>
    <t>B995.L654.W356 2008</t>
  </si>
  <si>
    <t>http://public.eblib.com/choice/PublicFullRecord.aspx?p=4672629</t>
  </si>
  <si>
    <t>Love and Objectivity in Virtue Ethics : Aristotle, Lonergan, and Nussbaum on Emotions and Moral Insight</t>
  </si>
  <si>
    <t>Fitterer, Robert J.</t>
  </si>
  <si>
    <t>BJ1012.F588 2008</t>
  </si>
  <si>
    <t>179/.9</t>
  </si>
  <si>
    <t>http://public.eblib.com/choice/PublicFullRecord.aspx?p=4672630</t>
  </si>
  <si>
    <t>Love, Self-Deceit and Money : Commerce and Morality in the Early Neapolitan Enlightenment</t>
  </si>
  <si>
    <t>Stapelbroek, Koen</t>
  </si>
  <si>
    <t>HF3589.N3.S737 2008</t>
  </si>
  <si>
    <t>945/.73034</t>
  </si>
  <si>
    <t>Enlightenment - Italy - Naples (Kingdom)</t>
  </si>
  <si>
    <t>http://public.eblib.com/choice/PublicFullRecord.aspx?p=4672631</t>
  </si>
  <si>
    <t>The Lubicon Lake Nation : Indigenous Knowledge and Power</t>
  </si>
  <si>
    <t>Martin-Hill, Dawn</t>
  </si>
  <si>
    <t>E99.C88.M378 2008</t>
  </si>
  <si>
    <t>971.23/100497323</t>
  </si>
  <si>
    <t>Cree Indians - Alberta - Lubicon Lake Region - Historiography</t>
  </si>
  <si>
    <t>http://public.eblib.com/choice/PublicFullRecord.aspx?p=4672633</t>
  </si>
  <si>
    <t>Method in Metaphysics</t>
  </si>
  <si>
    <t>Beards, Andrew</t>
  </si>
  <si>
    <t>B995.L654.B437 2008</t>
  </si>
  <si>
    <t>http://public.eblib.com/choice/PublicFullRecord.aspx?p=4672635</t>
  </si>
  <si>
    <t>Military Workfare : The Soldier and Social Citizenship in Canada</t>
  </si>
  <si>
    <t>Cowen, Deborah</t>
  </si>
  <si>
    <t>UA600.C694 2008</t>
  </si>
  <si>
    <t>361.6/50971</t>
  </si>
  <si>
    <t>Canada - Armed Forces - History - 20th century</t>
  </si>
  <si>
    <t>http://public.eblib.com/choice/PublicFullRecord.aspx?p=4672636</t>
  </si>
  <si>
    <t>Miracles and Sacrilege : Robert Rossellini, the Church, and Film Censorship in Hollywood</t>
  </si>
  <si>
    <t>Johnson, William  Bruce</t>
  </si>
  <si>
    <t>PN1995.62.J646 2008</t>
  </si>
  <si>
    <t>Cinema - Aspect religieux - Eglise catholique</t>
  </si>
  <si>
    <t>http://public.eblib.com/choice/PublicFullRecord.aspx?p=4672637</t>
  </si>
  <si>
    <t>Modernist Goods : Primitivism, the Market and the Gift</t>
  </si>
  <si>
    <t>PR478.M6.W555 2008</t>
  </si>
  <si>
    <t>Litterature anglaise - Histoire et critique</t>
  </si>
  <si>
    <t>http://public.eblib.com/choice/PublicFullRecord.aspx?p=4672638</t>
  </si>
  <si>
    <t>Narrative Pulse of  Beowulf : Arrivals and Departures</t>
  </si>
  <si>
    <t>Hill, John M</t>
  </si>
  <si>
    <t>PR1585.H555 2008</t>
  </si>
  <si>
    <t>http://public.eblib.com/choice/PublicFullRecord.aspx?p=4672639</t>
  </si>
  <si>
    <t>On Crimes and Punishments and Other Writings</t>
  </si>
  <si>
    <t>Beccaria, Cesare; Voltaire; Parzen, Jeremy; Thomas, Aaron; Stevenson, Bryan</t>
  </si>
  <si>
    <t>K5015.4.A5.B433 2008</t>
  </si>
  <si>
    <t>http://public.eblib.com/choice/PublicFullRecord.aspx?p=4672644</t>
  </si>
  <si>
    <t>On Preserving : Essays on Preservationism and Paraconsistent Logic</t>
  </si>
  <si>
    <t>Schotch, Peter; Brown, Bryson; Jennings, Raymond</t>
  </si>
  <si>
    <t>BC199.I45.O5 2009</t>
  </si>
  <si>
    <t>http://public.eblib.com/choice/PublicFullRecord.aspx?p=4672645</t>
  </si>
  <si>
    <t>Physiology of  Love and Other Writings</t>
  </si>
  <si>
    <t>Mantegazza, Paolo; Pireddu, Nicoletta; Pireddu, Nicoletta</t>
  </si>
  <si>
    <t>HQ21.M368 2007</t>
  </si>
  <si>
    <t>Ethnologie</t>
  </si>
  <si>
    <t>http://public.eblib.com/choice/PublicFullRecord.aspx?p=4672647</t>
  </si>
  <si>
    <t>Playing a Part in History : The York Mysteries, 1951 - 2006</t>
  </si>
  <si>
    <t>Rogerson, Margaret</t>
  </si>
  <si>
    <t>PN2596.Y6.R644 2009</t>
  </si>
  <si>
    <t>792.1/60942843</t>
  </si>
  <si>
    <t>http://public.eblib.com/choice/PublicFullRecord.aspx?p=4672648</t>
  </si>
  <si>
    <t>Political Tourism and its Texts</t>
  </si>
  <si>
    <t>Moynagh, Maureen</t>
  </si>
  <si>
    <t>PN51.M696 2008</t>
  </si>
  <si>
    <t>809/.0358</t>
  </si>
  <si>
    <t>Ecrivains - Pensee politique et sociale</t>
  </si>
  <si>
    <t>http://public.eblib.com/choice/PublicFullRecord.aspx?p=4672649</t>
  </si>
  <si>
    <t>Postcolonial Resistance : Culture, Liberation, and Transformation</t>
  </si>
  <si>
    <t>Jefferess, David</t>
  </si>
  <si>
    <t>JV51.J444 2008</t>
  </si>
  <si>
    <t>Postcolonialism</t>
  </si>
  <si>
    <t>http://public.eblib.com/choice/PublicFullRecord.aspx?p=4672652</t>
  </si>
  <si>
    <t>Preaching the  Converted : The Style and Rhetoric of the Vercelli Book Homilies</t>
  </si>
  <si>
    <t>Zacher, Samantha</t>
  </si>
  <si>
    <t>PR1495.Z334 2009</t>
  </si>
  <si>
    <t>829/.8009</t>
  </si>
  <si>
    <t>http://public.eblib.com/choice/PublicFullRecord.aspx?p=4672653</t>
  </si>
  <si>
    <t>Pre-Sargonic Period : Early Periods, Volume 1 (2700-2350 BC)</t>
  </si>
  <si>
    <t>RIM the Royal Inscriptions of Mesopotamia</t>
  </si>
  <si>
    <t>Frayne, Douglas; Frayne, Douglas</t>
  </si>
  <si>
    <t>PJ4070.F739 2008</t>
  </si>
  <si>
    <t>935/.01</t>
  </si>
  <si>
    <t>http://public.eblib.com/choice/PublicFullRecord.aspx?p=4672654</t>
  </si>
  <si>
    <t>Queer Inclusions, Continental Divisions : Public Recognition of Sexual Diversity in Canada and the United States</t>
  </si>
  <si>
    <t>Rayside, David</t>
  </si>
  <si>
    <t>HQ76.8.C3.R397 2008</t>
  </si>
  <si>
    <t>306.76/60971</t>
  </si>
  <si>
    <t>Homosexualite - Aspect politique - Etats-Unis</t>
  </si>
  <si>
    <t>http://public.eblib.com/choice/PublicFullRecord.aspx?p=4672656</t>
  </si>
  <si>
    <t>Reading Culture &amp; Writing Practices in Nineteenth-Century France</t>
  </si>
  <si>
    <t>Lyons, Martyn</t>
  </si>
  <si>
    <t>Z1003.5.F7.L966 2008</t>
  </si>
  <si>
    <t>028/.9094409034</t>
  </si>
  <si>
    <t>http://public.eblib.com/choice/PublicFullRecord.aspx?p=4672659</t>
  </si>
  <si>
    <t>Rewriting the Journey in Contemporary Italian Literature : Figures of Subjectivity in Progress</t>
  </si>
  <si>
    <t>Blum, Cinzia  Sartini</t>
  </si>
  <si>
    <t>PQ4053.T75.B586 2008</t>
  </si>
  <si>
    <t>850.9/928709045</t>
  </si>
  <si>
    <t>http://public.eblib.com/choice/PublicFullRecord.aspx?p=4672662</t>
  </si>
  <si>
    <t>Samuel Butler, Victorian Against the Grain : A Critical Overview</t>
  </si>
  <si>
    <t>Paradis, James G.</t>
  </si>
  <si>
    <t>PR4349.B7.S268 2007</t>
  </si>
  <si>
    <t>Essayists - Great Britain</t>
  </si>
  <si>
    <t>http://public.eblib.com/choice/PublicFullRecord.aspx?p=4672666</t>
  </si>
  <si>
    <t>Say What I Am Called : The Old English Riddles of the Exeter Book &amp; the Anglo-Latin Riddle Tradition</t>
  </si>
  <si>
    <t>Bitterli, Dieter</t>
  </si>
  <si>
    <t>PR1764.B588 2009</t>
  </si>
  <si>
    <t>Riddles, English (Old) - History and criticism</t>
  </si>
  <si>
    <t>http://public.eblib.com/choice/PublicFullRecord.aspx?p=4672668</t>
  </si>
  <si>
    <t>The Scribes For Women's Convents in Late Medieval Germany</t>
  </si>
  <si>
    <t>Cyrus, Cynthia J.</t>
  </si>
  <si>
    <t>Z106.5.G3.C978 2009</t>
  </si>
  <si>
    <t>http://public.eblib.com/choice/PublicFullRecord.aspx?p=4672669</t>
  </si>
  <si>
    <t>Searching for Leadership : Secretaries to Cabinet in Canada</t>
  </si>
  <si>
    <t>Dutil, Patrice</t>
  </si>
  <si>
    <t>JL93.S437 2008</t>
  </si>
  <si>
    <t>352.24/322930971</t>
  </si>
  <si>
    <t>http://public.eblib.com/choice/PublicFullRecord.aspx?p=4672670</t>
  </si>
  <si>
    <t>Shakespeare's Comedies of  Love</t>
  </si>
  <si>
    <t>Bamford, Karen; Knowles, Ric</t>
  </si>
  <si>
    <t>PR2981.S535 2008</t>
  </si>
  <si>
    <t>http://public.eblib.com/choice/PublicFullRecord.aspx?p=4672671</t>
  </si>
  <si>
    <t>Shoestring Soldiers : The 1st Canadian Division at War, 1914-1915</t>
  </si>
  <si>
    <t>Iarocci, Andrew</t>
  </si>
  <si>
    <t>D547.C2.I276 2008</t>
  </si>
  <si>
    <t>940.3/971</t>
  </si>
  <si>
    <t>World War, 1914-1918 - Regimental histories - Canada</t>
  </si>
  <si>
    <t>http://public.eblib.com/choice/PublicFullRecord.aspx?p=4672674</t>
  </si>
  <si>
    <t>Snorri Sturluson and the Edda : The Conversion of Cultural Capital in Medieval Scandinavia</t>
  </si>
  <si>
    <t>Wanner, Kevin</t>
  </si>
  <si>
    <t>PT7335.Z5.W366 2008</t>
  </si>
  <si>
    <t>http://public.eblib.com/choice/PublicFullRecord.aspx?p=4672676</t>
  </si>
  <si>
    <t>Someone to Teach Them : York and the Great University Explosion, 1960 -1973</t>
  </si>
  <si>
    <t>LE3.Y6.S299 2008</t>
  </si>
  <si>
    <t>York University (Toronto, Ont.)</t>
  </si>
  <si>
    <t>http://public.eblib.com/choice/PublicFullRecord.aspx?p=4672677</t>
  </si>
  <si>
    <t>Spheres of Action : Speech and Performance in Romantic Culture</t>
  </si>
  <si>
    <t>Dick, Alexander; Esterhammer, Angela</t>
  </si>
  <si>
    <t>PR457.S644 2009</t>
  </si>
  <si>
    <t>http://public.eblib.com/choice/PublicFullRecord.aspx?p=4672678</t>
  </si>
  <si>
    <t>Strange Truths in Undiscovered Lands : Shelley's Poetic Development and Romantic Geography</t>
  </si>
  <si>
    <t>Alvey, Nahoko Miyamoto</t>
  </si>
  <si>
    <t>PR5438.A484 2009</t>
  </si>
  <si>
    <t>http://public.eblib.com/choice/PublicFullRecord.aspx?p=4672680</t>
  </si>
  <si>
    <t>Strangers in Our Midst : Sexual Deviancy in Postwar Ontario</t>
  </si>
  <si>
    <t>Chenier, Elise</t>
  </si>
  <si>
    <t>HV6593.C2.C446 2008</t>
  </si>
  <si>
    <t>364.15/30971309045</t>
  </si>
  <si>
    <t>Paraphilias - Treatment - Ontario - History - 20th century</t>
  </si>
  <si>
    <t>http://public.eblib.com/choice/PublicFullRecord.aspx?p=4672681</t>
  </si>
  <si>
    <t>Striving With Grace : Views of Free Will in Anglo-Saxon England</t>
  </si>
  <si>
    <t>Kleist, Aaron J</t>
  </si>
  <si>
    <t>BT809.K545 2008</t>
  </si>
  <si>
    <t>233/.709420902</t>
  </si>
  <si>
    <t>Pensee religieuse - Angleterre - 600-1500 (Moyen Age)</t>
  </si>
  <si>
    <t>http://public.eblib.com/choice/PublicFullRecord.aspx?p=4672682</t>
  </si>
  <si>
    <t>Surfacing the  Politics of  Desire : Literature, Feminism and Myth</t>
  </si>
  <si>
    <t>Vallury, Rajeshwari S.</t>
  </si>
  <si>
    <t>PQ295.W6.V355 2008</t>
  </si>
  <si>
    <t>843/.7093522</t>
  </si>
  <si>
    <t>Desir dans la litterature</t>
  </si>
  <si>
    <t>http://public.eblib.com/choice/PublicFullRecord.aspx?p=4672683</t>
  </si>
  <si>
    <t>The Voice of Newfoundland : A Social History of the Broadcasting Corporation of Newfoundland,1939-1949</t>
  </si>
  <si>
    <t>Webb, Jeff</t>
  </si>
  <si>
    <t>HE8689.9.C2.W433 2008</t>
  </si>
  <si>
    <t>384.54/0971809044</t>
  </si>
  <si>
    <t>http://public.eblib.com/choice/PublicFullRecord.aspx?p=4672690</t>
  </si>
  <si>
    <t>Theorizing the Ideal Sovereign : The Rise of the French Vernacular Royal Biography</t>
  </si>
  <si>
    <t>Delogu, Daisy</t>
  </si>
  <si>
    <t>DC36.6.D456 2008</t>
  </si>
  <si>
    <t>321/.60940902</t>
  </si>
  <si>
    <t>http://public.eblib.com/choice/PublicFullRecord.aspx?p=4672692</t>
  </si>
  <si>
    <t>Thinking Impossibilities : The Intellectual Legacy of Amos Funkenstein</t>
  </si>
  <si>
    <t>Westman, Robert S.; Biale, David</t>
  </si>
  <si>
    <t>D16.8.T456 2008</t>
  </si>
  <si>
    <t>Funkenstein, Amos</t>
  </si>
  <si>
    <t>http://public.eblib.com/choice/PublicFullRecord.aspx?p=4672694</t>
  </si>
  <si>
    <t>Three Treatises From Bec on the Nature of Monastic Life</t>
  </si>
  <si>
    <t>Medieval Academy Bks.</t>
  </si>
  <si>
    <t>Constable, Giles; Smith, Bernard S.</t>
  </si>
  <si>
    <t>BX3003.T474 2008</t>
  </si>
  <si>
    <t>255/.1</t>
  </si>
  <si>
    <t>http://public.eblib.com/choice/PublicFullRecord.aspx?p=4672696</t>
  </si>
  <si>
    <t>Tracing the  Connected Narrative : Arctic Exploration in British Print Culture, 1818-1860</t>
  </si>
  <si>
    <t>Cavell, Janice</t>
  </si>
  <si>
    <t>G625.C39 2008</t>
  </si>
  <si>
    <t>910.9163/27</t>
  </si>
  <si>
    <t>Franklin, John - Travel - Arctic regions</t>
  </si>
  <si>
    <t>http://public.eblib.com/choice/PublicFullRecord.aspx?p=4672698</t>
  </si>
  <si>
    <t>Translating Pain : Immigrant Suffering in Literature and Culture</t>
  </si>
  <si>
    <t>Hron, Madelaine</t>
  </si>
  <si>
    <t>PN491.5.H76 2009</t>
  </si>
  <si>
    <t>809.3/9353</t>
  </si>
  <si>
    <t>http://public.eblib.com/choice/PublicFullRecord.aspx?p=4672701</t>
  </si>
  <si>
    <t>Essays in the History of Canadian Law : A Tribute to Peter N. Oliver</t>
  </si>
  <si>
    <t>Phillips, J.; McMurtry, R. Roy; Saywell, John T.; McMurtry, Roy; Phillips, J</t>
  </si>
  <si>
    <t>KE394.E873 2008</t>
  </si>
  <si>
    <t>http://public.eblib.com/choice/PublicFullRecord.aspx?p=4672703</t>
  </si>
  <si>
    <t>Twilight of the Renaissance : The Life of Juan de Valdes</t>
  </si>
  <si>
    <t>Crews, Daniel  A.</t>
  </si>
  <si>
    <t>BR350.V34.C74 2008</t>
  </si>
  <si>
    <t>http://public.eblib.com/choice/PublicFullRecord.aspx?p=4672704</t>
  </si>
  <si>
    <t>Uncle Sam and Us : Globalization, Neoconservatism, and the Canadian State</t>
  </si>
  <si>
    <t>JC573.2.C2.C537 2003</t>
  </si>
  <si>
    <t>http://public.eblib.com/choice/PublicFullRecord.aspx?p=4672706</t>
  </si>
  <si>
    <t>'Union is Strength' : W.L. Mackenzie, The Children of Peace and the Emergence of Joint Stock Democracy in Upper Canada</t>
  </si>
  <si>
    <t>F1058.S34 2009</t>
  </si>
  <si>
    <t>http://public.eblib.com/choice/PublicFullRecord.aspx?p=4672707</t>
  </si>
  <si>
    <t>Verse and Virtuosity : The Adaptation of Latin Rhetoric in Old English Poetry</t>
  </si>
  <si>
    <t>Steen, Janie</t>
  </si>
  <si>
    <t>PR203.S74 2008</t>
  </si>
  <si>
    <t>821/.109142</t>
  </si>
  <si>
    <t>Poesie anglaise - ca 450-1100 (Vieil anglais) - Histoire et critique</t>
  </si>
  <si>
    <t>http://public.eblib.com/choice/PublicFullRecord.aspx?p=4672708</t>
  </si>
  <si>
    <t>View From the  Murney Tower : Salem Bland, the Late-Victorian Controversies, and the Search for a New Christianity, Volume 1</t>
  </si>
  <si>
    <t>Allen, Richard</t>
  </si>
  <si>
    <t>BX9883 B49.A45 2008</t>
  </si>
  <si>
    <t>287.9/2092</t>
  </si>
  <si>
    <t>http://public.eblib.com/choice/PublicFullRecord.aspx?p=4672709</t>
  </si>
  <si>
    <t>Visiting Grandchildren : Economic Development in the Maritimes</t>
  </si>
  <si>
    <t>http://public.eblib.com/choice/PublicFullRecord.aspx?p=4672710</t>
  </si>
  <si>
    <t>Women Novelists Before Jane Austen : The Critics and Their Canons</t>
  </si>
  <si>
    <t>PR448.W65.C67 2008</t>
  </si>
  <si>
    <t>823/.5099287</t>
  </si>
  <si>
    <t>http://public.eblib.com/choice/PublicFullRecord.aspx?p=4672713</t>
  </si>
  <si>
    <t>World Writing : Poetics, Ethics, Globalization</t>
  </si>
  <si>
    <t>Gallagher, Mary; Gallagher, Mary</t>
  </si>
  <si>
    <t>PN1031.W67 2008</t>
  </si>
  <si>
    <t>Literature and morals</t>
  </si>
  <si>
    <t>http://public.eblib.com/choice/PublicFullRecord.aspx?p=4672714</t>
  </si>
  <si>
    <t>Writing at Russia's Borders</t>
  </si>
  <si>
    <t>Hokanson, Katya</t>
  </si>
  <si>
    <t>PG3012.H65 2008</t>
  </si>
  <si>
    <t>891.709/003</t>
  </si>
  <si>
    <t>Russian literature - 19th century - History and criticism</t>
  </si>
  <si>
    <t>http://public.eblib.com/choice/PublicFullRecord.aspx?p=4672715</t>
  </si>
  <si>
    <t>Writing Travel : The Poetics and Politics of the Modern Journey</t>
  </si>
  <si>
    <t>Zilcosky, John</t>
  </si>
  <si>
    <t>PN56.T7.W75 2008</t>
  </si>
  <si>
    <t>809/.9332</t>
  </si>
  <si>
    <t>http://public.eblib.com/choice/PublicFullRecord.aspx?p=4672716</t>
  </si>
  <si>
    <t>Zapatismo Beyond Borders : New Imaginations of Political Possibility</t>
  </si>
  <si>
    <t>Khasnabish, Alex</t>
  </si>
  <si>
    <t>HM881.K48 2008</t>
  </si>
  <si>
    <t>http://public.eblib.com/choice/PublicFullRecord.aspx?p=4672717</t>
  </si>
  <si>
    <t>Federalism, Citizenship and Quebec</t>
  </si>
  <si>
    <t>Gagnon, Alain G.; Iacovino, Raffaele</t>
  </si>
  <si>
    <t>F1034.2.G35 2007</t>
  </si>
  <si>
    <t>http://public.eblib.com/choice/PublicFullRecord.aspx?p=4672719</t>
  </si>
  <si>
    <t>Intelligent Control : Developments in Public Order Policing in Canada</t>
  </si>
  <si>
    <t>de Lint, Willem; Hall, Alan</t>
  </si>
  <si>
    <t>HV8157.D395 2009</t>
  </si>
  <si>
    <t>http://public.eblib.com/choice/PublicFullRecord.aspx?p=4672720</t>
  </si>
  <si>
    <t>Reason, Truth and Reality</t>
  </si>
  <si>
    <t>Goldstick, Daniel</t>
  </si>
  <si>
    <t>BC177.G59 2009</t>
  </si>
  <si>
    <t>128/.33</t>
  </si>
  <si>
    <t>http://public.eblib.com/choice/PublicFullRecord.aspx?p=4672721</t>
  </si>
  <si>
    <t>Better Off Forgetting? : Essays on Archives, Public Policy and Collective Memory</t>
  </si>
  <si>
    <t>Avery, Cheryl; Holmlund, Mona</t>
  </si>
  <si>
    <t>CD3621.B47 2010</t>
  </si>
  <si>
    <t>025.17/140971</t>
  </si>
  <si>
    <t>http://public.eblib.com/choice/PublicFullRecord.aspx?p=4672724</t>
  </si>
  <si>
    <t>Northrop Frye's Writings on Shakespeare and the Renaissance</t>
  </si>
  <si>
    <t>Frye, Northrop; Sherbert, Garry; Sherbert, Garry</t>
  </si>
  <si>
    <t>PR2976.N678 2010</t>
  </si>
  <si>
    <t>http://public.eblib.com/choice/PublicFullRecord.aspx?p=4672725</t>
  </si>
  <si>
    <t>The Legacy of Apollo : Antiquity, Authority and Chaucerian Poetics</t>
  </si>
  <si>
    <t>Fumo, Jamie</t>
  </si>
  <si>
    <t>PR1933.M96.F86 2010</t>
  </si>
  <si>
    <t>http://public.eblib.com/choice/PublicFullRecord.aspx?p=4672726</t>
  </si>
  <si>
    <t>Valuing Care Work : Comparative Perspectives</t>
  </si>
  <si>
    <t>Benoit, Cecilia; Hallgrimsdottir, Helga</t>
  </si>
  <si>
    <t>RA645.3.V35 2011</t>
  </si>
  <si>
    <t>http://public.eblib.com/choice/PublicFullRecord.aspx?p=4672732</t>
  </si>
  <si>
    <t>Gambling for Profit : Historical Contingency and Jagged Growth</t>
  </si>
  <si>
    <t>Chambers, Kerry G. E.</t>
  </si>
  <si>
    <t>http://public.eblib.com/choice/PublicFullRecord.aspx?p=4672737</t>
  </si>
  <si>
    <t>High Ideals and Noble Intentions : Voluntary Sector-Government Relations in Canada</t>
  </si>
  <si>
    <t>Elson, Peter Rene</t>
  </si>
  <si>
    <t>HV105.E57 2011</t>
  </si>
  <si>
    <t>361.7/630971</t>
  </si>
  <si>
    <t>Benevolat - Politique gouvernementale - Canada</t>
  </si>
  <si>
    <t>http://public.eblib.com/choice/PublicFullRecord.aspx?p=4672738</t>
  </si>
  <si>
    <t>Current Affairs</t>
  </si>
  <si>
    <t>Reeve, Douglas; Dewees, Donald; Karney, Bryan William; Reeve, Douglas</t>
  </si>
  <si>
    <t>HD9685.C3.C877 2010</t>
  </si>
  <si>
    <t>333.793/21509713</t>
  </si>
  <si>
    <t>Electricite - Aspect de l''environnement - Ontario</t>
  </si>
  <si>
    <t>http://public.eblib.com/choice/PublicFullRecord.aspx?p=4672740</t>
  </si>
  <si>
    <t>Jazz Age Barcelona</t>
  </si>
  <si>
    <t>Davidson, Robert A.</t>
  </si>
  <si>
    <t>DP402.B29.D38 2009</t>
  </si>
  <si>
    <t>946/.72074</t>
  </si>
  <si>
    <t>http://public.eblib.com/choice/PublicFullRecord.aspx?p=4672741</t>
  </si>
  <si>
    <t>Thinkers and Dreamers : Historical Essays in Honour of Carl Berger</t>
  </si>
  <si>
    <t>Friesen, Gerald; Owram, Doug</t>
  </si>
  <si>
    <t>F1026.T45 2011</t>
  </si>
  <si>
    <t>http://public.eblib.com/choice/PublicFullRecord.aspx?p=4672743</t>
  </si>
  <si>
    <t>Cataloguing Discrepancies : The Printed York Breviary of 1493</t>
  </si>
  <si>
    <t>Hughes, Andrew; Salisbury, Matthew Cheung; Robbins, Heather</t>
  </si>
  <si>
    <t>Z695.1.T3.H84 2011</t>
  </si>
  <si>
    <t>025.3/2</t>
  </si>
  <si>
    <t>http://public.eblib.com/choice/PublicFullRecord.aspx?p=4672744</t>
  </si>
  <si>
    <t>Falling into Matter : Problems of Embodiment in English Fictions</t>
  </si>
  <si>
    <t>Napier, Elizabeth R.</t>
  </si>
  <si>
    <t>PR858.B63.N37 2012</t>
  </si>
  <si>
    <t>823/.5093561</t>
  </si>
  <si>
    <t>http://public.eblib.com/choice/PublicFullRecord.aspx?p=4672745</t>
  </si>
  <si>
    <t>Taking Exception to the Law : Materializing Injustice in Early Modern English Literature</t>
  </si>
  <si>
    <t>Beecher, Donald; DeCook, Travis; Wallace, Andrew; Williams, Grant</t>
  </si>
  <si>
    <t>PR428.L37T35 2015</t>
  </si>
  <si>
    <t>http://public.eblib.com/choice/PublicFullRecord.aspx?p=4672748</t>
  </si>
  <si>
    <t>Controversies : Clarifications Concerning the Censures published in Paris in the name of the Parisian Fac. of theology</t>
  </si>
  <si>
    <t>Erasmus, Desiderius; Miller, Clarence H.; Farge, James</t>
  </si>
  <si>
    <t>PA8502.E5.C668 2012</t>
  </si>
  <si>
    <t>http://public.eblib.com/choice/PublicFullRecord.aspx?p=4672755</t>
  </si>
  <si>
    <t>Johann Georg Hamann and the Enlightenment Project</t>
  </si>
  <si>
    <t>Sparling, Robert  Alan</t>
  </si>
  <si>
    <t>http://public.eblib.com/choice/PublicFullRecord.aspx?p=4672759</t>
  </si>
  <si>
    <t>Perceptions of the Second Sophistic and Its Times - Regards sur la Seconde Sophistique et son époque</t>
  </si>
  <si>
    <t>Fleury, Pascale; Schmidt, Thomas</t>
  </si>
  <si>
    <t>PA3086.P47 2011</t>
  </si>
  <si>
    <t>880.9/001</t>
  </si>
  <si>
    <t>http://public.eblib.com/choice/PublicFullRecord.aspx?p=4672760</t>
  </si>
  <si>
    <t>Municipalities and Multiculturalism : The Politics of Immigration in Toronto and Vancouver</t>
  </si>
  <si>
    <t>Good, Kristin</t>
  </si>
  <si>
    <t>JV7295.T6.G66 2009</t>
  </si>
  <si>
    <t>320.8/50971</t>
  </si>
  <si>
    <t>Administration municipale - Canada</t>
  </si>
  <si>
    <t>http://public.eblib.com/choice/PublicFullRecord.aspx?p=4672764</t>
  </si>
  <si>
    <t>Canadian Annual Review of Politics and Public Affairs 2004</t>
  </si>
  <si>
    <t>HC115.C363 2010</t>
  </si>
  <si>
    <t>http://public.eblib.com/choice/PublicFullRecord.aspx?p=4672771</t>
  </si>
  <si>
    <t>Viscount Haldane : The Wicked Step-father of the Canadian Constitution</t>
  </si>
  <si>
    <t>Vaughan, Frederick; Osgoode Society for Canadian Legal History Staff</t>
  </si>
  <si>
    <t>DA566.9.H27 |b .V38 2010</t>
  </si>
  <si>
    <t>http://public.eblib.com/choice/PublicFullRecord.aspx?p=4672775</t>
  </si>
  <si>
    <t>Jobs and Justice : Fighting Discrimination in Wartime Canada, 1939-1945</t>
  </si>
  <si>
    <t>HD4903.5.C3.P38 2012</t>
  </si>
  <si>
    <t>331.13/3097109044</t>
  </si>
  <si>
    <t>Discrimination dans l''emploi - Politique gouvernementale - Canada</t>
  </si>
  <si>
    <t>http://public.eblib.com/choice/PublicFullRecord.aspx?p=4672776</t>
  </si>
  <si>
    <t>Godwinian Moments : From the Enlightenment to Romanticism</t>
  </si>
  <si>
    <t>Maniquis, Robert; Myers, Victoria</t>
  </si>
  <si>
    <t>http://public.eblib.com/choice/PublicFullRecord.aspx?p=4672780</t>
  </si>
  <si>
    <t>Allan King's A Married Couple</t>
  </si>
  <si>
    <t>Druick, Zoe</t>
  </si>
  <si>
    <t>PN1997.M2637.D78 2010</t>
  </si>
  <si>
    <t>http://public.eblib.com/choice/PublicFullRecord.aspx?p=4672782</t>
  </si>
  <si>
    <t>Correspondence of Erasmus : Letters 2082 to 2203</t>
  </si>
  <si>
    <t>PA8511.A5.E55 2012</t>
  </si>
  <si>
    <t>http://public.eblib.com/choice/PublicFullRecord.aspx?p=4672790</t>
  </si>
  <si>
    <t>The Guardian : Perspectives on the Ministry of Finance of Ontario,1961-2003</t>
  </si>
  <si>
    <t>HJ795.O6.G83 2011</t>
  </si>
  <si>
    <t>Politique fiscale - Ontario</t>
  </si>
  <si>
    <t>http://public.eblib.com/choice/PublicFullRecord.aspx?p=4672793</t>
  </si>
  <si>
    <t>Vital Matters : Eighteenth Century Views of Conception.Life * Death</t>
  </si>
  <si>
    <t>Deutsch, Helen; Terrall, Mary</t>
  </si>
  <si>
    <t>QH501.V635 2012</t>
  </si>
  <si>
    <t>570.109/033</t>
  </si>
  <si>
    <t>http://public.eblib.com/choice/PublicFullRecord.aspx?p=4672796</t>
  </si>
  <si>
    <t>Religion, Culture, and the State : Reflections on the Bouchard-Taylor Report</t>
  </si>
  <si>
    <t>Adelman, Howard; Anctil, Pierre</t>
  </si>
  <si>
    <t>http://public.eblib.com/choice/PublicFullRecord.aspx?p=4672798</t>
  </si>
  <si>
    <t>From Kant to Croce : Modern Philosophy in Italy 1800-1950</t>
  </si>
  <si>
    <t>Copenhaver, Brian PA.</t>
  </si>
  <si>
    <t>B3601.B66 2012</t>
  </si>
  <si>
    <t>http://public.eblib.com/choice/PublicFullRecord.aspx?p=4672802</t>
  </si>
  <si>
    <t>Italian Literature before 1900 in English Translation</t>
  </si>
  <si>
    <t>Z2354.T7.H427 2011</t>
  </si>
  <si>
    <t>http://public.eblib.com/choice/PublicFullRecord.aspx?p=4672804</t>
  </si>
  <si>
    <t>The Biblical Dante</t>
  </si>
  <si>
    <t>Benfell, V. Stanley, III</t>
  </si>
  <si>
    <t>PQ4416.B464 2011</t>
  </si>
  <si>
    <t>http://public.eblib.com/choice/PublicFullRecord.aspx?p=4672810</t>
  </si>
  <si>
    <t>Reading, Desire, and the Eucharist in Early Modern Religious Poetry</t>
  </si>
  <si>
    <t>Netzley, Ryan</t>
  </si>
  <si>
    <t>http://public.eblib.com/choice/PublicFullRecord.aspx?p=4672815</t>
  </si>
  <si>
    <t>Rural Nostalgias and Transnational Dreams : Identity and Modernity Among Jat Sikhs</t>
  </si>
  <si>
    <t>Mooney, Nicola</t>
  </si>
  <si>
    <t>DS432.S5M65 2011</t>
  </si>
  <si>
    <t>http://public.eblib.com/choice/PublicFullRecord.aspx?p=4672816</t>
  </si>
  <si>
    <t>Is It Just? : A Classic Feminist Novel</t>
  </si>
  <si>
    <t>Smith, Minnie; Chambers, Lori; Roth, Jenny</t>
  </si>
  <si>
    <t>http://public.eblib.com/choice/PublicFullRecord.aspx?p=4672818</t>
  </si>
  <si>
    <t>Religion in the Ranks : Belief and Religious Experience in the Canadian Forces</t>
  </si>
  <si>
    <t>Rennick, Joanne; Daillaire, Romeo</t>
  </si>
  <si>
    <t>UH25.C2B45 2011</t>
  </si>
  <si>
    <t>http://public.eblib.com/choice/PublicFullRecord.aspx?p=4672819</t>
  </si>
  <si>
    <t>Inventing Atlantic Canada : Regionalism and the Maritime Reaction to Newfoundland's Entry into Canadian Confederation</t>
  </si>
  <si>
    <t>Slumkoski, Corey</t>
  </si>
  <si>
    <t>JZ5330.S58 2011</t>
  </si>
  <si>
    <t>971.5/04</t>
  </si>
  <si>
    <t>Maritime Provinces - History - 1945-</t>
  </si>
  <si>
    <t>http://public.eblib.com/choice/PublicFullRecord.aspx?p=4672820</t>
  </si>
  <si>
    <t>The New African Diaspora in Vancouver : Migration, Exclusion and Belonging</t>
  </si>
  <si>
    <t>F1089.5.V22.C74 2011</t>
  </si>
  <si>
    <t>305.896/071133</t>
  </si>
  <si>
    <t>http://public.eblib.com/choice/PublicFullRecord.aspx?p=4672826</t>
  </si>
  <si>
    <t>Social Perspective : The Missing Element in Mental Health Practice</t>
  </si>
  <si>
    <t>U'Ren, Richard</t>
  </si>
  <si>
    <t>RC455.U74 2011</t>
  </si>
  <si>
    <t>http://public.eblib.com/choice/PublicFullRecord.aspx?p=4672827</t>
  </si>
  <si>
    <t>Irresistible Signs : The Genius of Language and Italina National Identity</t>
  </si>
  <si>
    <t>Gambarota, Paola</t>
  </si>
  <si>
    <t>PQ4053.N29G36 2011</t>
  </si>
  <si>
    <t>http://public.eblib.com/choice/PublicFullRecord.aspx?p=4672829</t>
  </si>
  <si>
    <t>Seeing Politics Otherwise : Vision in Latin American and Iberian Fiction</t>
  </si>
  <si>
    <t>Vieira, Patricia</t>
  </si>
  <si>
    <t>PQ9108.V54 2011</t>
  </si>
  <si>
    <t>http://public.eblib.com/choice/PublicFullRecord.aspx?p=4672830</t>
  </si>
  <si>
    <t>Reason and Revelation before Historicism : Strauss and Fackenheim</t>
  </si>
  <si>
    <t>Portnoff, Sharon Jo</t>
  </si>
  <si>
    <t>http://public.eblib.com/choice/PublicFullRecord.aspx?p=4672835</t>
  </si>
  <si>
    <t>Be a Good Soldier : Children's Grief in English Modernist Novels</t>
  </si>
  <si>
    <t>Fraser, Jennifer</t>
  </si>
  <si>
    <t>PR888.C5.F73 2011</t>
  </si>
  <si>
    <t>823/.912093523</t>
  </si>
  <si>
    <t>http://public.eblib.com/choice/PublicFullRecord.aspx?p=4672840</t>
  </si>
  <si>
    <t>Silent Moments in Education : An Autoethnography of Learning, Teaching, and Learning to Teach</t>
  </si>
  <si>
    <t>Granger, Colette</t>
  </si>
  <si>
    <t>LB1092.G73 2011</t>
  </si>
  <si>
    <t>http://public.eblib.com/choice/PublicFullRecord.aspx?p=4672845</t>
  </si>
  <si>
    <t>Imperial Republics : Revolution, War and Territorial Expansion from the English Civil War to the French Revolution</t>
  </si>
  <si>
    <t>JC421.A537 2011</t>
  </si>
  <si>
    <t>321.8/6</t>
  </si>
  <si>
    <t>France - Vie intellectuelle - 18e siecle</t>
  </si>
  <si>
    <t>http://public.eblib.com/choice/PublicFullRecord.aspx?p=4672857</t>
  </si>
  <si>
    <t>Kissing the Wild Woman : Concepts of Art, Beauty, and the Italian Prose Romance in Giulia Bigolina's &lt;em&gt;Urania&lt;/em&gt;</t>
  </si>
  <si>
    <t>Nissen, Christopher</t>
  </si>
  <si>
    <t>PQ4610.B58.N577 2011</t>
  </si>
  <si>
    <t>853/.4</t>
  </si>
  <si>
    <t>Bigolina, Giulia</t>
  </si>
  <si>
    <t>http://public.eblib.com/choice/PublicFullRecord.aspx?p=4672864</t>
  </si>
  <si>
    <t>For Humanity's Sake : The Bildungsroman in Russian Culture</t>
  </si>
  <si>
    <t>Steiner, Lina</t>
  </si>
  <si>
    <t>PG3098.3.S76 2011</t>
  </si>
  <si>
    <t>http://public.eblib.com/choice/PublicFullRecord.aspx?p=4672867</t>
  </si>
  <si>
    <t>From Lawmen to Plowmen : Anglo-Saxon Legal Tradition and the School of Langland</t>
  </si>
  <si>
    <t>Yeager, Stephen</t>
  </si>
  <si>
    <t>PR317.A55Y42 2014</t>
  </si>
  <si>
    <t>821/.1093554</t>
  </si>
  <si>
    <t>http://public.eblib.com/choice/PublicFullRecord.aspx?p=4672871</t>
  </si>
  <si>
    <t>Literature on Trial : The Emergence of Critical Discourse in Germany, Poland &amp; Russia, 1700-1800</t>
  </si>
  <si>
    <t>Chrostowska, S. D.</t>
  </si>
  <si>
    <t>PT78.C476 2012</t>
  </si>
  <si>
    <t>801/.95094309033</t>
  </si>
  <si>
    <t>Criticism - Poland - History - 18th century</t>
  </si>
  <si>
    <t>http://public.eblib.com/choice/PublicFullRecord.aspx?p=4672880</t>
  </si>
  <si>
    <t>Seeing Things</t>
  </si>
  <si>
    <t>Ackerman, Alan</t>
  </si>
  <si>
    <t>NX180.T4A35 2011</t>
  </si>
  <si>
    <t>http://public.eblib.com/choice/PublicFullRecord.aspx?p=4672886</t>
  </si>
  <si>
    <t>The Poetics of Dante's Paradiso</t>
  </si>
  <si>
    <t>Verdicchio, Massimo</t>
  </si>
  <si>
    <t>PQ4451.V473 2010</t>
  </si>
  <si>
    <t>http://public.eblib.com/choice/PublicFullRecord.aspx?p=4672891</t>
  </si>
  <si>
    <t>Foreign Ownership of Canadian Industry</t>
  </si>
  <si>
    <t>HD2809.S243 2011</t>
  </si>
  <si>
    <t>Corporations, Foreign - Canada</t>
  </si>
  <si>
    <t>http://public.eblib.com/choice/PublicFullRecord.aspx?p=4672893</t>
  </si>
  <si>
    <t>A Quest for Humanity : The Good Society in a Global World</t>
  </si>
  <si>
    <t>Boldt, Menno</t>
  </si>
  <si>
    <t>http://public.eblib.com/choice/PublicFullRecord.aspx?p=4672896</t>
  </si>
  <si>
    <t>Regulated Lives : Life Insurance and British Society, 1800-1914</t>
  </si>
  <si>
    <t>Alborn, Timothy L.</t>
  </si>
  <si>
    <t>HG9057.A436 2009</t>
  </si>
  <si>
    <t>368.32/0094109034</t>
  </si>
  <si>
    <t>Life insurance - Great Britain - History - 19th century</t>
  </si>
  <si>
    <t>http://public.eblib.com/choice/PublicFullRecord.aspx?p=4672904</t>
  </si>
  <si>
    <t>Communicating in Canada's Past : Essays in Media History</t>
  </si>
  <si>
    <t>Allen, Gene; Robinson, Daniel</t>
  </si>
  <si>
    <t>P92.C3.C666 2009</t>
  </si>
  <si>
    <t>Mass media and history - Canada</t>
  </si>
  <si>
    <t>http://public.eblib.com/choice/PublicFullRecord.aspx?p=4672905</t>
  </si>
  <si>
    <t>Roads and Ruins : The Symbolic Landscape of Fascist Rome</t>
  </si>
  <si>
    <t>Baxa, Paul</t>
  </si>
  <si>
    <t>DG813.B393 2010</t>
  </si>
  <si>
    <t>Antiquities - Political aspects - Italy - Rome - History - 20th century</t>
  </si>
  <si>
    <t>http://public.eblib.com/choice/PublicFullRecord.aspx?p=4672907</t>
  </si>
  <si>
    <t>Renaissance Comedy : The Italian Masters - Volume 2</t>
  </si>
  <si>
    <t>Beecher, Don; The Da Ponte Library</t>
  </si>
  <si>
    <t>PQ4244.E5.R463 2009</t>
  </si>
  <si>
    <t>http://public.eblib.com/choice/PublicFullRecord.aspx?p=4672908</t>
  </si>
  <si>
    <t>A Renaissance Education : Schooling in Bergamo and the Venetian Republic, 1500-1650</t>
  </si>
  <si>
    <t>Carlsmith, Christopher</t>
  </si>
  <si>
    <t>LA799.B47.C375 2010</t>
  </si>
  <si>
    <t>373.45/2409031</t>
  </si>
  <si>
    <t>Education - Italie - Bergamo - Histoire</t>
  </si>
  <si>
    <t>http://public.eblib.com/choice/PublicFullRecord.aspx?p=4672911</t>
  </si>
  <si>
    <t>Modernism and the Culture of Efficiency : Ideology and Fiction</t>
  </si>
  <si>
    <t>Cobley, Evelyn</t>
  </si>
  <si>
    <t>PN56.M54.C635 2009</t>
  </si>
  <si>
    <t>306.4/6</t>
  </si>
  <si>
    <t>Industrial efficiency - Social aspects</t>
  </si>
  <si>
    <t>http://public.eblib.com/choice/PublicFullRecord.aspx?p=4672912</t>
  </si>
  <si>
    <t>Hopeless Love : Boiardo, Ariosto, and Narratives of Queer Female Desire</t>
  </si>
  <si>
    <t>DeCoste, Mary-Michelle</t>
  </si>
  <si>
    <t>PQ4614.D436 2009</t>
  </si>
  <si>
    <t>850.9/3526643</t>
  </si>
  <si>
    <t>Boiardo, Matteo Maria - Criticism and interpretation</t>
  </si>
  <si>
    <t>http://public.eblib.com/choice/PublicFullRecord.aspx?p=4672913</t>
  </si>
  <si>
    <t>Benjamin Disraeli Letters : 1860-1864, Volume 8</t>
  </si>
  <si>
    <t>Disraeli, Benjamin; Disraeli, Benjamin; Wiebe, M.G.; Millar, Mary S.; Hawman, Ellen L.</t>
  </si>
  <si>
    <t>DA564.B3.B465 2009</t>
  </si>
  <si>
    <t>http://public.eblib.com/choice/PublicFullRecord.aspx?p=4672914</t>
  </si>
  <si>
    <t>Research and Innovation Policy : Changing Federal Government - University Relations</t>
  </si>
  <si>
    <t>Doern, G.Bruce; Stoney, Christopher</t>
  </si>
  <si>
    <t>LC176.R474 2009</t>
  </si>
  <si>
    <t>379.1/2140971</t>
  </si>
  <si>
    <t>http://public.eblib.com/choice/PublicFullRecord.aspx?p=4672915</t>
  </si>
  <si>
    <t>Governing the  Energy Challenge : Canada and Germany in a Multilevel Regional and Global Context</t>
  </si>
  <si>
    <t>Eberlein, Burkard; Doern, G.Bruce</t>
  </si>
  <si>
    <t>HD9502.C32.G684 2009</t>
  </si>
  <si>
    <t>http://public.eblib.com/choice/PublicFullRecord.aspx?p=4672916</t>
  </si>
  <si>
    <t>The Cartulary of Countess Blanche of Champagne</t>
  </si>
  <si>
    <t>DC611.C446.C378 2010</t>
  </si>
  <si>
    <t>944/.3023</t>
  </si>
  <si>
    <t>http://public.eblib.com/choice/PublicFullRecord.aspx?p=4672918</t>
  </si>
  <si>
    <t>Public Art in Canada : Critical Perspectives</t>
  </si>
  <si>
    <t>Gérin, Annie; McLean, James S.; Gerin, Annie; McLean, James S.</t>
  </si>
  <si>
    <t>N6540.P835 2009</t>
  </si>
  <si>
    <t>http://public.eblib.com/choice/PublicFullRecord.aspx?p=4672920</t>
  </si>
  <si>
    <t>Lelia's Kiss : Imagining Gender, Sex, and Marriage in Italian Renaissance Comedy</t>
  </si>
  <si>
    <t>Giannetti, Laura</t>
  </si>
  <si>
    <t>http://public.eblib.com/choice/PublicFullRecord.aspx?p=4672921</t>
  </si>
  <si>
    <t>The Laughter of the Saints : Parodies of Holiness in Late Medieval and Renaissance Spain</t>
  </si>
  <si>
    <t>Giles, Ryan  D.</t>
  </si>
  <si>
    <t>PQ6140.R4.G554 2009</t>
  </si>
  <si>
    <t>863/.2093528282</t>
  </si>
  <si>
    <t>http://public.eblib.com/choice/PublicFullRecord.aspx?p=4672922</t>
  </si>
  <si>
    <t>Pacific Rim Modernisms</t>
  </si>
  <si>
    <t>Gillies, Mary Ann; Sword, Helen; Yao, Steven</t>
  </si>
  <si>
    <t>DU18.P335 2009</t>
  </si>
  <si>
    <t>909/.09823082</t>
  </si>
  <si>
    <t>http://public.eblib.com/choice/PublicFullRecord.aspx?p=4672923</t>
  </si>
  <si>
    <t>The Art of Meditation and the French Renaissance Love Lyric : The Poetics of Introspection in Maurice Scève's Délie, objet de plus haulte vertu (1544)</t>
  </si>
  <si>
    <t>Giordano, Michael</t>
  </si>
  <si>
    <t>PQ1705.S5.G567 2010</t>
  </si>
  <si>
    <t>841/.3</t>
  </si>
  <si>
    <t>Sceve, Maurice</t>
  </si>
  <si>
    <t>http://public.eblib.com/choice/PublicFullRecord.aspx?p=4672924</t>
  </si>
  <si>
    <t>Northrop Frye's Canadian Literary Criticism and Its Influence</t>
  </si>
  <si>
    <t>Gorjup, Branko</t>
  </si>
  <si>
    <t>PN75.F7.N678 2009</t>
  </si>
  <si>
    <t>Frye, Northrop - Influence</t>
  </si>
  <si>
    <t>http://public.eblib.com/choice/PublicFullRecord.aspx?p=4672925</t>
  </si>
  <si>
    <t>Impersonations : Troubling the Person in Law and Culture</t>
  </si>
  <si>
    <t>Hamilton, Sheryl</t>
  </si>
  <si>
    <t>BD450.H365 2009</t>
  </si>
  <si>
    <t>http://public.eblib.com/choice/PublicFullRecord.aspx?p=4672926</t>
  </si>
  <si>
    <t>Last Judgment Iconography in the Carpathians</t>
  </si>
  <si>
    <t>Himka, John-Paul</t>
  </si>
  <si>
    <t>N8120.H565 2009</t>
  </si>
  <si>
    <t>704.9/482094779</t>
  </si>
  <si>
    <t>http://public.eblib.com/choice/PublicFullRecord.aspx?p=4672928</t>
  </si>
  <si>
    <t>Medieval Conduct Literature : An Anthology of Vernacular Guides to Behaviour for Youths with English Translations</t>
  </si>
  <si>
    <t>Johnston, Mark</t>
  </si>
  <si>
    <t>PN6071.D5.M435 2009</t>
  </si>
  <si>
    <t>808.8/03530902</t>
  </si>
  <si>
    <t>http://public.eblib.com/choice/PublicFullRecord.aspx?p=4672929</t>
  </si>
  <si>
    <t>One Hundred Rings and Counting : Forestry Education and Forestry in Toronto and Canada, 1907-2007</t>
  </si>
  <si>
    <t>SD256.T7.K845 2009</t>
  </si>
  <si>
    <t>634.9071/1713541</t>
  </si>
  <si>
    <t>Forestry schools and education - Canada - Toronto</t>
  </si>
  <si>
    <t>http://public.eblib.com/choice/PublicFullRecord.aspx?p=4672932</t>
  </si>
  <si>
    <t>Defoe's Footprints : Essays in Honour of Maximillian E. Novak</t>
  </si>
  <si>
    <t>Maniquis, Robert; Fisher, Carl; William Andrews Clark Memorial Library Staff; University of California, Los Angeles, Center for 17th- &amp; 18th- Century Studies Staff</t>
  </si>
  <si>
    <t>PR3407.D446 2009</t>
  </si>
  <si>
    <t>http://public.eblib.com/choice/PublicFullRecord.aspx?p=4672936</t>
  </si>
  <si>
    <t>Cambodian Refugees in Ontario : Resettlement, Religion, and Identity</t>
  </si>
  <si>
    <t>F1059.7.C27.M35 2009</t>
  </si>
  <si>
    <t>305.895/930713</t>
  </si>
  <si>
    <t>http://public.eblib.com/choice/PublicFullRecord.aspx?p=4672938</t>
  </si>
  <si>
    <t>Heidegger and the Earth : Essays in Environmental Philosophy</t>
  </si>
  <si>
    <t>McWhorter, Ladelle; Stenstad, Gail</t>
  </si>
  <si>
    <t>B3279.H49.H44 2009</t>
  </si>
  <si>
    <t>http://public.eblib.com/choice/PublicFullRecord.aspx?p=4672939</t>
  </si>
  <si>
    <t>The Fluid Envelope of our Planet : How the Study of Ocean Currents Became a Science</t>
  </si>
  <si>
    <t>Mills, Eric L.</t>
  </si>
  <si>
    <t>GC29.M55 2009</t>
  </si>
  <si>
    <t>http://public.eblib.com/choice/PublicFullRecord.aspx?p=4672941</t>
  </si>
  <si>
    <t>The Italians of Dalmatia : From Italian Unification to World War I</t>
  </si>
  <si>
    <t>Monzali, Luciano; Evans, Shanti</t>
  </si>
  <si>
    <t>DR1625.5.I8.M669 2009</t>
  </si>
  <si>
    <t>Dalmatia (Croatia) - Relations - Italy</t>
  </si>
  <si>
    <t>http://public.eblib.com/choice/PublicFullRecord.aspx?p=4672943</t>
  </si>
  <si>
    <t>Writing with a Vengeance : The Countess de Chabrillan's Rise from Prostitution</t>
  </si>
  <si>
    <t>Mossman, Carol A.</t>
  </si>
  <si>
    <t>PQ2204.C7672.M677 2009</t>
  </si>
  <si>
    <t>http://public.eblib.com/choice/PublicFullRecord.aspx?p=4672944</t>
  </si>
  <si>
    <t>Canadian Annual Review of Politics &amp; Public Affairs : 2003</t>
  </si>
  <si>
    <t>HC115.C363 2009</t>
  </si>
  <si>
    <t>http://public.eblib.com/choice/PublicFullRecord.aspx?p=4672945</t>
  </si>
  <si>
    <t>Regulating Transnational Corporations in Domestic and International Regimes : An African Case Study</t>
  </si>
  <si>
    <t>Oshionebo, Evaristus</t>
  </si>
  <si>
    <t>K1322.O845 2009</t>
  </si>
  <si>
    <t>343/.077096</t>
  </si>
  <si>
    <t>International business enterprises - Law and legislation - Africa</t>
  </si>
  <si>
    <t>http://public.eblib.com/choice/PublicFullRecord.aspx?p=4672946</t>
  </si>
  <si>
    <t>Mythologies of Migration, Vocabularies of Indenture : Novels of the South Asian Diaspora in Africa, the Caribbean, and Asia-Pacific</t>
  </si>
  <si>
    <t>Pirbhai, Mariam</t>
  </si>
  <si>
    <t>PR9084.P573 2009</t>
  </si>
  <si>
    <t>823/.914093553</t>
  </si>
  <si>
    <t>South Asian diaspora in literature</t>
  </si>
  <si>
    <t>http://public.eblib.com/choice/PublicFullRecord.aspx?p=4672947</t>
  </si>
  <si>
    <t>Smiling Down the Line : Info-Service Work in the Global Economy</t>
  </si>
  <si>
    <t>HE8788.R877 2009</t>
  </si>
  <si>
    <t>http://public.eblib.com/choice/PublicFullRecord.aspx?p=4672953</t>
  </si>
  <si>
    <t>Fighting Words : Imperial Censorship and the Russian Press, 1804-1906</t>
  </si>
  <si>
    <t>Ruud, Charles A</t>
  </si>
  <si>
    <t>Z658.S65.R883 2009</t>
  </si>
  <si>
    <t>363.3/1/0947</t>
  </si>
  <si>
    <t>http://public.eblib.com/choice/PublicFullRecord.aspx?p=4672954</t>
  </si>
  <si>
    <t>Beasts and Beauties : Animals, Gender, and Domestication in the Italian Renaissance</t>
  </si>
  <si>
    <t>Schiesari, Juliana</t>
  </si>
  <si>
    <t>HQ630.S35 2010</t>
  </si>
  <si>
    <t>306.850945/09031</t>
  </si>
  <si>
    <t>Animaux et civilisation - Italie - Histoire - 16e siecle</t>
  </si>
  <si>
    <t>http://public.eblib.com/choice/PublicFullRecord.aspx?p=4672956</t>
  </si>
  <si>
    <t>Enduring Empire : Ancient Lessons for Global Politics</t>
  </si>
  <si>
    <t>Tabachnick, David; Koivukoski, Toivo</t>
  </si>
  <si>
    <t>JC359.E538 2009</t>
  </si>
  <si>
    <t>325/.3209</t>
  </si>
  <si>
    <t>Imperialism - History</t>
  </si>
  <si>
    <t>http://public.eblib.com/choice/PublicFullRecord.aspx?p=4672959</t>
  </si>
  <si>
    <t>Ghostly Paradoxes : Modern Spiritualism and Russian Culture in the Age of Realism</t>
  </si>
  <si>
    <t>Vinitsky, Ilya</t>
  </si>
  <si>
    <t>PG3096.R4.V565 2009</t>
  </si>
  <si>
    <t>http://public.eblib.com/choice/PublicFullRecord.aspx?p=4672961</t>
  </si>
  <si>
    <t>Our Place in the Sun : Canada and Cuba in the Castro Era</t>
  </si>
  <si>
    <t>Wright, Robert; Wylie, Lana</t>
  </si>
  <si>
    <t>F1029.5.C9.O977 2009</t>
  </si>
  <si>
    <t>Cuba - Relations exterieures - Canada</t>
  </si>
  <si>
    <t>http://public.eblib.com/choice/PublicFullRecord.aspx?p=4672963</t>
  </si>
  <si>
    <t>A Jew at the Medici Court : The Letters of Benedetto Blanis &lt;em&gt;Hebreo&lt;/em&gt; (1615-1621)</t>
  </si>
  <si>
    <t>Goldberg, Edward L.</t>
  </si>
  <si>
    <t>http://public.eblib.com/choice/PublicFullRecord.aspx?p=4672964</t>
  </si>
  <si>
    <t>Canadian Annual Review of Politics and Public Affairs, 2005</t>
  </si>
  <si>
    <t>F1034.2.C363 2012</t>
  </si>
  <si>
    <t>http://public.eblib.com/choice/PublicFullRecord.aspx?p=4672966</t>
  </si>
  <si>
    <t>On the Heroic Frenzies</t>
  </si>
  <si>
    <t>Rowland, Ingrid D</t>
  </si>
  <si>
    <t>B785.P53.B786 2013</t>
  </si>
  <si>
    <t>http://public.eblib.com/choice/PublicFullRecord.aspx?p=4672970</t>
  </si>
  <si>
    <t>Body of Vision : Northrop Frye and the Poetics of Mind</t>
  </si>
  <si>
    <t>Sinding, Michael; Sinding, Michael</t>
  </si>
  <si>
    <t>PN75.F7S56 2014</t>
  </si>
  <si>
    <t>http://public.eblib.com/choice/PublicFullRecord.aspx?p=4672971</t>
  </si>
  <si>
    <t>A Bibliography of  Robertson Davies</t>
  </si>
  <si>
    <t>Spadoni, Carl; Grant, Judith Skelton</t>
  </si>
  <si>
    <t>Z8218.75S63 2014</t>
  </si>
  <si>
    <t>016.813/54</t>
  </si>
  <si>
    <t>http://public.eblib.com/choice/PublicFullRecord.aspx?p=4672980</t>
  </si>
  <si>
    <t>Authors, Audiences, and Old English Verse</t>
  </si>
  <si>
    <t>PE257.B743 2009</t>
  </si>
  <si>
    <t>http://public.eblib.com/choice/PublicFullRecord.aspx?p=4672984</t>
  </si>
  <si>
    <t>The Correspondence of  Erasmus : Letters 1802-1925</t>
  </si>
  <si>
    <t>Erasmus, Desiderius; Farge, James K.; Fantazzi, Charles</t>
  </si>
  <si>
    <t>Philosophy; Literature</t>
  </si>
  <si>
    <t>PA8511.A5.E737 2010</t>
  </si>
  <si>
    <t>http://public.eblib.com/choice/PublicFullRecord.aspx?p=4672985</t>
  </si>
  <si>
    <t>War, Massacre, and Recovery in Central Italy, 1943-1948</t>
  </si>
  <si>
    <t>Belco, Victoria</t>
  </si>
  <si>
    <t>DG572.B453 2010</t>
  </si>
  <si>
    <t>Italie - Histoire - 1945-1976</t>
  </si>
  <si>
    <t>http://public.eblib.com/choice/PublicFullRecord.aspx?p=4672987</t>
  </si>
  <si>
    <t>Canadian Hockey Literature</t>
  </si>
  <si>
    <t>Blake, Jason</t>
  </si>
  <si>
    <t>GV848.4.C2.B535 2010</t>
  </si>
  <si>
    <t>http://public.eblib.com/choice/PublicFullRecord.aspx?p=4672988</t>
  </si>
  <si>
    <t>Marco Bellocchio : The Cinematic I in the Political Sphere</t>
  </si>
  <si>
    <t>Brook, Clodagh</t>
  </si>
  <si>
    <t>PN1998.3.B454.B766 2010</t>
  </si>
  <si>
    <t>http://public.eblib.com/choice/PublicFullRecord.aspx?p=4672989</t>
  </si>
  <si>
    <t>Local Government in a Global World : Australia and Canada in Comparative Perspective</t>
  </si>
  <si>
    <t>Brunet-Jailly, Emmanuel; Martin, John</t>
  </si>
  <si>
    <t>JS8033.L633 2010</t>
  </si>
  <si>
    <t>http://public.eblib.com/choice/PublicFullRecord.aspx?p=4672990</t>
  </si>
  <si>
    <t>Mental Disorder in Canada : An Epidemiological Perspective</t>
  </si>
  <si>
    <t>Cairney, John; Streiner, David L.</t>
  </si>
  <si>
    <t>RA790.7.C3.M468 2010</t>
  </si>
  <si>
    <t>http://public.eblib.com/choice/PublicFullRecord.aspx?p=4672991</t>
  </si>
  <si>
    <t>Industrial Organization, Trade, and Social Interaction : Essays in Honour of B. Curtis Eaton</t>
  </si>
  <si>
    <t>Dow, Gregory; Eckert, Andrew; West, Doug</t>
  </si>
  <si>
    <t>HB172.I538 2010</t>
  </si>
  <si>
    <t>Microeconomie</t>
  </si>
  <si>
    <t>http://public.eblib.com/choice/PublicFullRecord.aspx?p=4672994</t>
  </si>
  <si>
    <t>Expositions of the Psalms : Volume 65</t>
  </si>
  <si>
    <t>Erasmus, Desiderius; McConica, James K.; Baker-Smith, Dominic; McConica, James K.; Baker-Smith, Dominic</t>
  </si>
  <si>
    <t>BS1429.BS1429 2010</t>
  </si>
  <si>
    <t>http://public.eblib.com/choice/PublicFullRecord.aspx?p=4672996</t>
  </si>
  <si>
    <t>Stewards of the Nation's Art : Contested Cultural Authority 1890-1939</t>
  </si>
  <si>
    <t>N1030.G433 2010</t>
  </si>
  <si>
    <t>National Portrait Gallery (Great Britain) - Officials and employees</t>
  </si>
  <si>
    <t>http://public.eblib.com/choice/PublicFullRecord.aspx?p=4672997</t>
  </si>
  <si>
    <t>Measuring the Mosaic : An Intellectual Biography of John Porter</t>
  </si>
  <si>
    <t>Helmes-Hayes, Rick</t>
  </si>
  <si>
    <t>HM479.P668.H456 2010</t>
  </si>
  <si>
    <t>Sociologues - Canada</t>
  </si>
  <si>
    <t>http://public.eblib.com/choice/PublicFullRecord.aspx?p=4672998</t>
  </si>
  <si>
    <t>On the Aesthetics of Beowulf and Other Old English Poems</t>
  </si>
  <si>
    <t>PR203.O5 2010</t>
  </si>
  <si>
    <t>http://public.eblib.com/choice/PublicFullRecord.aspx?p=4672999</t>
  </si>
  <si>
    <t>Letters of Robert Grosseteste</t>
  </si>
  <si>
    <t>Mantello, Frank A.C.; Goering, Joseph; Goering, Joseph</t>
  </si>
  <si>
    <t>PA8330.G65.L488 2010</t>
  </si>
  <si>
    <t>http://public.eblib.com/choice/PublicFullRecord.aspx?p=4673002</t>
  </si>
  <si>
    <t>Tuscan Spaces : Literary Constructions of Space</t>
  </si>
  <si>
    <t>Ross, Silvia M.; University of Toronto Press Staff</t>
  </si>
  <si>
    <t>PQ5902.T82.R677 2010</t>
  </si>
  <si>
    <t>http://public.eblib.com/choice/PublicFullRecord.aspx?p=4673004</t>
  </si>
  <si>
    <t>Lonergan's Discovery of the Science of Economics</t>
  </si>
  <si>
    <t>HB172.5.S588 2010</t>
  </si>
  <si>
    <t>Macroeconomie - Philosophie</t>
  </si>
  <si>
    <t>http://public.eblib.com/choice/PublicFullRecord.aspx?p=4673007</t>
  </si>
  <si>
    <t>Schooling for Life : Community Education and Social Enterprise</t>
  </si>
  <si>
    <t>Shuttleworth, Dale</t>
  </si>
  <si>
    <t>LC1036.8.O67.S588 2010</t>
  </si>
  <si>
    <t>Entrepreneuriat social - Ontario - Toronto - Histoire</t>
  </si>
  <si>
    <t>http://public.eblib.com/choice/PublicFullRecord.aspx?p=4673008</t>
  </si>
  <si>
    <t>Fathers and Sons in Shakespeare : The Debt Never Promised</t>
  </si>
  <si>
    <t>PR2992.F3.T766 2010</t>
  </si>
  <si>
    <t>Shakespeare, William - Characters - Sons</t>
  </si>
  <si>
    <t>http://public.eblib.com/choice/PublicFullRecord.aspx?p=4673009</t>
  </si>
  <si>
    <t>The Mirage of America in Contemporary Italian Literature and Film</t>
  </si>
  <si>
    <t>Alfano, Barbara</t>
  </si>
  <si>
    <t>PQ4054.A5.A443 2013</t>
  </si>
  <si>
    <t>853.009/3273</t>
  </si>
  <si>
    <t>http://public.eblib.com/choice/PublicFullRecord.aspx?p=4673011</t>
  </si>
  <si>
    <t>Lawyers and Legal Culture in British North America : Beamish Murdoch of Halifax</t>
  </si>
  <si>
    <t>Girard, Philip; Osgoode Society Staff</t>
  </si>
  <si>
    <t>KE411.M79.G573 2011</t>
  </si>
  <si>
    <t>http://public.eblib.com/choice/PublicFullRecord.aspx?p=4673016</t>
  </si>
  <si>
    <t>Belonging and Isolation in the Hellenistic World</t>
  </si>
  <si>
    <t>Ager, Sheila; Faber, Reimer</t>
  </si>
  <si>
    <t>DF77.B456 2013</t>
  </si>
  <si>
    <t>938/.08</t>
  </si>
  <si>
    <t>Social isolation - Mediterranean Region</t>
  </si>
  <si>
    <t>http://public.eblib.com/choice/PublicFullRecord.aspx?p=4673024</t>
  </si>
  <si>
    <t>Lorenzo di Filippo Strozzi and Niccolo Machiavelli : Patron, Client, and the Pistola fatta per la peste/An Epistle Written Concerning the Plague</t>
  </si>
  <si>
    <t>Landon, William J.</t>
  </si>
  <si>
    <t>PQ4634 S825.L363 2013</t>
  </si>
  <si>
    <t>853/.3</t>
  </si>
  <si>
    <t>http://public.eblib.com/choice/PublicFullRecord.aspx?p=4673026</t>
  </si>
  <si>
    <t>The Mystical Science of the Soul : Medieval Cognition in Bernardino de Laredo's  Recollection Method</t>
  </si>
  <si>
    <t>Boon, Jessica A.</t>
  </si>
  <si>
    <t>BV5095.L28.B666 2012</t>
  </si>
  <si>
    <t>http://public.eblib.com/choice/PublicFullRecord.aspx?p=4673030</t>
  </si>
  <si>
    <t>The Literary Legacy of the Macmillan Company of Canada : Making Books and Mapping Culture</t>
  </si>
  <si>
    <t>Panofsky, Ruth</t>
  </si>
  <si>
    <t>Z483 .M3.P366 2012</t>
  </si>
  <si>
    <t>Macmillan Company of Canada - History</t>
  </si>
  <si>
    <t>http://public.eblib.com/choice/PublicFullRecord.aspx?p=4673033</t>
  </si>
  <si>
    <t>Dewigged, Bothered, and Bewildered : British Colonial Judges on Trial, 1800-1900</t>
  </si>
  <si>
    <t>McLaren, John</t>
  </si>
  <si>
    <t>KD7285.M353 2011</t>
  </si>
  <si>
    <t>http://public.eblib.com/choice/PublicFullRecord.aspx?p=4673038</t>
  </si>
  <si>
    <t>The Making of a Generation : The Children of the 1970s in Adulthood</t>
  </si>
  <si>
    <t>Andres, Lesley; Wyn, Johanna</t>
  </si>
  <si>
    <t>http://public.eblib.com/choice/PublicFullRecord.aspx?p=4673040</t>
  </si>
  <si>
    <t>Voices From the  Voluntary Sector : Perspectives on Leadership Challenges</t>
  </si>
  <si>
    <t>Bird, Frederick; 'Westley, Frances</t>
  </si>
  <si>
    <t>http://public.eblib.com/choice/PublicFullRecord.aspx?p=4673042</t>
  </si>
  <si>
    <t>'Neoavanguardia' : Italian Experimental Literature and Arts in the 1960s</t>
  </si>
  <si>
    <t>Chirumbolo, Paolo; Somigli, Luca</t>
  </si>
  <si>
    <t>PQ4088.N463 2010</t>
  </si>
  <si>
    <t>850.9/0091</t>
  </si>
  <si>
    <t>http://public.eblib.com/choice/PublicFullRecord.aspx?p=4673045</t>
  </si>
  <si>
    <t>Rebel Glory</t>
  </si>
  <si>
    <t>PZ7.B7913.B768 2006</t>
  </si>
  <si>
    <t>Hockey stories.</t>
  </si>
  <si>
    <t>http://public.eblib.com/choice/PublicFullRecord.aspx?p=4698160</t>
  </si>
  <si>
    <t>Blazer Drive</t>
  </si>
  <si>
    <t>PZ7.B7913.B768 2007</t>
  </si>
  <si>
    <t>http://public.eblib.com/choice/PublicFullRecord.aspx?p=4709928</t>
  </si>
  <si>
    <t>Special Edward</t>
  </si>
  <si>
    <t>PZ7.W82129.W358 2009</t>
  </si>
  <si>
    <t>Learning disabilities--Fiction.</t>
  </si>
  <si>
    <t>http://public.eblib.com/choice/PublicFullRecord.aspx?p=4709930</t>
  </si>
  <si>
    <t>Media Meltdown : A Graphic Guide Adventure</t>
  </si>
  <si>
    <t>Graphic Guides</t>
  </si>
  <si>
    <t>PZ7.7.O36.O366 2009</t>
  </si>
  <si>
    <t>Graphic novels.</t>
  </si>
  <si>
    <t>http://public.eblib.com/choice/PublicFullRecord.aspx?p=4709943</t>
  </si>
  <si>
    <t>Rebel's Tag</t>
  </si>
  <si>
    <t>PZ7.S772.D466 2007</t>
  </si>
  <si>
    <t>Grandfathers--Fiction.</t>
  </si>
  <si>
    <t>http://public.eblib.com/choice/PublicFullRecord.aspx?p=4709944</t>
  </si>
  <si>
    <t>Titan Clash</t>
  </si>
  <si>
    <t>PZ7.C458.B768 2007</t>
  </si>
  <si>
    <t>http://public.eblib.com/choice/PublicFullRecord.aspx?p=4709945</t>
  </si>
  <si>
    <t>Sudden Impact</t>
  </si>
  <si>
    <t>MLCS 200644359.C469 2005</t>
  </si>
  <si>
    <t>Donation of organs, tissues, etc.--Juvenile fiction.</t>
  </si>
  <si>
    <t>http://public.eblib.com/choice/PublicFullRecord.aspx?p=4709947</t>
  </si>
  <si>
    <t>Kicker</t>
  </si>
  <si>
    <t>Bossley, Michele</t>
  </si>
  <si>
    <t>PZ7.B64955.B677 2007</t>
  </si>
  <si>
    <t>http://public.eblib.com/choice/PublicFullRecord.aspx?p=4709949</t>
  </si>
  <si>
    <t>Junkyard Dog</t>
  </si>
  <si>
    <t>PZ7.S78627.P653 2009</t>
  </si>
  <si>
    <t>Watchdogs--Fiction.</t>
  </si>
  <si>
    <t>http://public.eblib.com/choice/PublicFullRecord.aspx?p=4709950</t>
  </si>
  <si>
    <t>Laggan Lard Butts</t>
  </si>
  <si>
    <t>PZ7.W17129.W358 2006</t>
  </si>
  <si>
    <t>Schools--Juvenile fiction.</t>
  </si>
  <si>
    <t>http://public.eblib.com/choice/PublicFullRecord.aspx?p=4709955</t>
  </si>
  <si>
    <t>Tiger Threat</t>
  </si>
  <si>
    <t>PZ7.S534253.B768 2006</t>
  </si>
  <si>
    <t>http://public.eblib.com/choice/PublicFullRecord.aspx?p=4709959</t>
  </si>
  <si>
    <t>See No Evil</t>
  </si>
  <si>
    <t>Young, Diane</t>
  </si>
  <si>
    <t>PS3575.U7.Y686 2006</t>
  </si>
  <si>
    <t>Gangs--Fiction.</t>
  </si>
  <si>
    <t>http://public.eblib.com/choice/PublicFullRecord.aspx?p=4709967</t>
  </si>
  <si>
    <t>Dog Walker</t>
  </si>
  <si>
    <t>PZ7.S73184.S634 2006</t>
  </si>
  <si>
    <t>Entrepreneurship--Juvenile fiction.</t>
  </si>
  <si>
    <t>http://public.eblib.com/choice/PublicFullRecord.aspx?p=4709968</t>
  </si>
  <si>
    <t>Hitmen Triumph</t>
  </si>
  <si>
    <t>http://public.eblib.com/choice/PublicFullRecord.aspx?p=4709969</t>
  </si>
  <si>
    <t>Nine Doors</t>
  </si>
  <si>
    <t>PZ7.H2226.G736 2009</t>
  </si>
  <si>
    <t>Practical jokes--Fiction.</t>
  </si>
  <si>
    <t>http://public.eblib.com/choice/PublicFullRecord.aspx?p=4709970</t>
  </si>
  <si>
    <t>Fly Away</t>
  </si>
  <si>
    <t>Rock, Nora</t>
  </si>
  <si>
    <t>PZ7.R5878.R635 2010</t>
  </si>
  <si>
    <t>Cheerleading--Fiction.</t>
  </si>
  <si>
    <t>http://public.eblib.com/choice/PublicFullRecord.aspx?p=4709978</t>
  </si>
  <si>
    <t>Fraud Squad</t>
  </si>
  <si>
    <t>PZ7.K216.B677 2009</t>
  </si>
  <si>
    <t>Paleontology--Fiction.</t>
  </si>
  <si>
    <t>http://public.eblib.com/choice/PublicFullRecord.aspx?p=4709979</t>
  </si>
  <si>
    <t>Daredevil Club</t>
  </si>
  <si>
    <t>PR6025.A86.W584 2006</t>
  </si>
  <si>
    <t>People with disabilities--Fiction.</t>
  </si>
  <si>
    <t>http://public.eblib.com/choice/PublicFullRecord.aspx?p=4709982</t>
  </si>
  <si>
    <t>The Barrio Kings</t>
  </si>
  <si>
    <t>PS3561.O866.K693 2010</t>
  </si>
  <si>
    <t>http://public.eblib.com/choice/PublicFullRecord.aspx?p=4709986</t>
  </si>
  <si>
    <t>PQ2605.A3734.K95 2003</t>
  </si>
  <si>
    <t>Murder--Fiction.</t>
  </si>
  <si>
    <t>http://public.eblib.com/choice/PublicFullRecord.aspx?p=4709987</t>
  </si>
  <si>
    <t>Horse Power</t>
  </si>
  <si>
    <t>PZ7.W1667.W357 2007</t>
  </si>
  <si>
    <t>Camping--Fiction.</t>
  </si>
  <si>
    <t>http://public.eblib.com/choice/PublicFullRecord.aspx?p=4709988</t>
  </si>
  <si>
    <t>Finding Elmo</t>
  </si>
  <si>
    <t>PZ7.A1857.P653 2007</t>
  </si>
  <si>
    <t>Theft--Fiction.</t>
  </si>
  <si>
    <t>http://public.eblib.com/choice/PublicFullRecord.aspx?p=4709989</t>
  </si>
  <si>
    <t>Dead in the Water</t>
  </si>
  <si>
    <t>PZ7.S84823.S748 2008</t>
  </si>
  <si>
    <t>Sailing--Fiction.</t>
  </si>
  <si>
    <t>http://public.eblib.com/choice/PublicFullRecord.aspx?p=4709992</t>
  </si>
  <si>
    <t>Manga Touch</t>
  </si>
  <si>
    <t>PZ7.P31434.P437 2007</t>
  </si>
  <si>
    <t>Student exchange programs--Juvenile fiction.</t>
  </si>
  <si>
    <t>http://public.eblib.com/choice/PublicFullRecord.aspx?p=4709993</t>
  </si>
  <si>
    <t>Flower Power</t>
  </si>
  <si>
    <t>PS8595 A585.W357 2005</t>
  </si>
  <si>
    <t>Mothers and daughters--Juvenile fiction.</t>
  </si>
  <si>
    <t>http://public.eblib.com/choice/PublicFullRecord.aspx?p=4709999</t>
  </si>
  <si>
    <t>The Way It Works</t>
  </si>
  <si>
    <t>PZ7.K856557.K693 2010</t>
  </si>
  <si>
    <t>Man-woman relationships--Juvenile fiction.</t>
  </si>
  <si>
    <t>http://public.eblib.com/choice/PublicFullRecord.aspx?p=4710004</t>
  </si>
  <si>
    <t>Camp Wild</t>
  </si>
  <si>
    <t>PS8595 I8453.W584 2005</t>
  </si>
  <si>
    <t>White-water canoeing--Juvenile fiction.</t>
  </si>
  <si>
    <t>http://public.eblib.com/choice/PublicFullRecord.aspx?p=4710006</t>
  </si>
  <si>
    <t>Cobra Strike</t>
  </si>
  <si>
    <t>PZ7.D9893.B768 2007</t>
  </si>
  <si>
    <t>Football stories.</t>
  </si>
  <si>
    <t>http://public.eblib.com/choice/PublicFullRecord.aspx?p=4710008</t>
  </si>
  <si>
    <t>Un trabajo sin futuro : (Dead End Job)</t>
  </si>
  <si>
    <t>PS3552.L34285.G736 2008</t>
  </si>
  <si>
    <t>Stalking--Fiction.</t>
  </si>
  <si>
    <t>http://public.eblib.com/choice/PublicFullRecord.aspx?p=4710009</t>
  </si>
  <si>
    <t>Branded</t>
  </si>
  <si>
    <t>PS3505.A87.W358 2010</t>
  </si>
  <si>
    <t>Teacher-student relationships--Fiction.</t>
  </si>
  <si>
    <t>http://public.eblib.com/choice/PublicFullRecord.aspx?p=4710012</t>
  </si>
  <si>
    <t>Cracked</t>
  </si>
  <si>
    <t>PS3563.I4192.B677 2007</t>
  </si>
  <si>
    <t>Bobsledding--Fiction.</t>
  </si>
  <si>
    <t>http://public.eblib.com/choice/PublicFullRecord.aspx?p=4710032</t>
  </si>
  <si>
    <t>Explore</t>
  </si>
  <si>
    <t>PZ7.G9846.G647 2009</t>
  </si>
  <si>
    <t>Wilderness survival--Juvenile fiction.</t>
  </si>
  <si>
    <t>http://public.eblib.com/choice/PublicFullRecord.aspx?p=4710551</t>
  </si>
  <si>
    <t>Squeeze</t>
  </si>
  <si>
    <t>PZ7.N24.M855 2010</t>
  </si>
  <si>
    <t>Brothers--Fiction.</t>
  </si>
  <si>
    <t>http://public.eblib.com/choice/PublicFullRecord.aspx?p=4710557</t>
  </si>
  <si>
    <t>Hypnotized</t>
  </si>
  <si>
    <t>PZ7.W244.T746 2007</t>
  </si>
  <si>
    <t>Brothers and sisters--Fiction.</t>
  </si>
  <si>
    <t>http://public.eblib.com/choice/PublicFullRecord.aspx?p=4710559</t>
  </si>
  <si>
    <t>Scarlet Thunder</t>
  </si>
  <si>
    <t>PZ7.M25643.B768 2008</t>
  </si>
  <si>
    <t>Stock car racing--Fiction.</t>
  </si>
  <si>
    <t>http://public.eblib.com/choice/PublicFullRecord.aspx?p=4710560</t>
  </si>
  <si>
    <t>In a Flash</t>
  </si>
  <si>
    <t>PZ7.W17129.W358 2008</t>
  </si>
  <si>
    <t>Flash mobs--Fiction.</t>
  </si>
  <si>
    <t>http://public.eblib.com/choice/PublicFullRecord.aspx?p=4710561</t>
  </si>
  <si>
    <t>Chat Room</t>
  </si>
  <si>
    <t>PZ7.B96915.B883 2006</t>
  </si>
  <si>
    <t>Online chat groups--Juvenile fiction.</t>
  </si>
  <si>
    <t>http://public.eblib.com/choice/PublicFullRecord.aspx?p=4710579</t>
  </si>
  <si>
    <t>Watch Me</t>
  </si>
  <si>
    <t>PZ7.M13344.M335 2008</t>
  </si>
  <si>
    <t>Mugging--Fiction.</t>
  </si>
  <si>
    <t>http://public.eblib.com/choice/PublicFullRecord.aspx?p=4710583</t>
  </si>
  <si>
    <t>Bio-Pirate</t>
  </si>
  <si>
    <t>PZ7.B64955.B677 2008</t>
  </si>
  <si>
    <t>Experiments--Fiction.</t>
  </si>
  <si>
    <t>http://public.eblib.com/choice/PublicFullRecord.aspx?p=4710586</t>
  </si>
  <si>
    <t>Chief Honor</t>
  </si>
  <si>
    <t>PZ7.B7913.B768 2008</t>
  </si>
  <si>
    <t>http://public.eblib.com/choice/PublicFullRecord.aspx?p=4710595</t>
  </si>
  <si>
    <t>Queen of the Toilet Bowl</t>
  </si>
  <si>
    <t>PS8595 I834.W574 2005</t>
  </si>
  <si>
    <t>http://public.eblib.com/choice/PublicFullRecord.aspx?p=4710597</t>
  </si>
  <si>
    <t>Jumper</t>
  </si>
  <si>
    <t>PZ7.B64955.B677 2006</t>
  </si>
  <si>
    <t>Wild horses--Fiction.</t>
  </si>
  <si>
    <t>http://public.eblib.com/choice/PublicFullRecord.aspx?p=4710611</t>
  </si>
  <si>
    <t>Wired</t>
  </si>
  <si>
    <t>PS8553 R68467.B768 2005</t>
  </si>
  <si>
    <t>Snowboarding--Juvenile fiction.</t>
  </si>
  <si>
    <t>http://public.eblib.com/choice/PublicFullRecord.aspx?p=4710619</t>
  </si>
  <si>
    <t>Mirror Image</t>
  </si>
  <si>
    <t>PZ7.H77414.D466 2007</t>
  </si>
  <si>
    <t>Teenage girls--Juvenile fiction.</t>
  </si>
  <si>
    <t>http://public.eblib.com/choice/PublicFullRecord.aspx?p=4710626</t>
  </si>
  <si>
    <t>Thunderbird Spirit</t>
  </si>
  <si>
    <t>PZ7.B79984.B768 2008</t>
  </si>
  <si>
    <t>Racism--Juvenile fiction.</t>
  </si>
  <si>
    <t>http://public.eblib.com/choice/PublicFullRecord.aspx?p=4710629</t>
  </si>
  <si>
    <t>Sewer Rats</t>
  </si>
  <si>
    <t>PZ7.B789984.B768 2006</t>
  </si>
  <si>
    <t>Heroes--Juvenile fiction.</t>
  </si>
  <si>
    <t>http://public.eblib.com/choice/PublicFullRecord.aspx?p=4710632</t>
  </si>
  <si>
    <t>Swiped</t>
  </si>
  <si>
    <t>Theft--Juvenile fiction.</t>
  </si>
  <si>
    <t>http://public.eblib.com/choice/PublicFullRecord.aspx?p=4710633</t>
  </si>
  <si>
    <t>Oil King Courage</t>
  </si>
  <si>
    <t>PZ7.B7913.B768 2009</t>
  </si>
  <si>
    <t>http://public.eblib.com/choice/PublicFullRecord.aspx?p=4710635</t>
  </si>
  <si>
    <t>Marked</t>
  </si>
  <si>
    <t>PZ7.M478414184.M335 2008</t>
  </si>
  <si>
    <t>Summer employment--Fiction.</t>
  </si>
  <si>
    <t>http://public.eblib.com/choice/PublicFullRecord.aspx?p=4710636</t>
  </si>
  <si>
    <t>Crossover</t>
  </si>
  <si>
    <t>PZ7.C458.R83 2008</t>
  </si>
  <si>
    <t>http://public.eblib.com/choice/PublicFullRecord.aspx?p=4710637</t>
  </si>
  <si>
    <t>Maverick Mania</t>
  </si>
  <si>
    <t>http://public.eblib.com/choice/PublicFullRecord.aspx?p=4710638</t>
  </si>
  <si>
    <t>Spoiled Rotten</t>
  </si>
  <si>
    <t>PR2878.T4.G348 2005</t>
  </si>
  <si>
    <t>Fathers and daughters--Juvenile fiction.</t>
  </si>
  <si>
    <t>http://public.eblib.com/choice/PublicFullRecord.aspx?p=4710639</t>
  </si>
  <si>
    <t>Crossbow</t>
  </si>
  <si>
    <t>PZ7.G1185.G348 2007</t>
  </si>
  <si>
    <t>Hermits--Fiction.</t>
  </si>
  <si>
    <t>http://public.eblib.com/choice/PublicFullRecord.aspx?p=4710643</t>
  </si>
  <si>
    <t>Slam Dunk</t>
  </si>
  <si>
    <t>PZ7.1.S484.J356 2009</t>
  </si>
  <si>
    <t>Missing persons--Fiction.</t>
  </si>
  <si>
    <t>http://public.eblib.com/choice/PublicFullRecord.aspx?p=4710644</t>
  </si>
  <si>
    <t>Pigboy</t>
  </si>
  <si>
    <t>PZ7.M9253.G736 2006</t>
  </si>
  <si>
    <t>Allergy--Fiction.</t>
  </si>
  <si>
    <t>http://public.eblib.com/choice/PublicFullRecord.aspx?p=4710650</t>
  </si>
  <si>
    <t>All-Star Pride</t>
  </si>
  <si>
    <t>PZ7.B79984.B768 2006</t>
  </si>
  <si>
    <t>http://public.eblib.com/choice/PublicFullRecord.aspx?p=4710653</t>
  </si>
  <si>
    <t>Invisible North</t>
  </si>
  <si>
    <t>Shimo, Alexandra</t>
  </si>
  <si>
    <t>E77.S556 2016</t>
  </si>
  <si>
    <t>Indians of North America--Ontario, Northern--Social conditions.</t>
  </si>
  <si>
    <t>http://public.eblib.com/choice/PublicFullRecord.aspx?p=4710979</t>
  </si>
  <si>
    <t>Anthologizing Canadian Literature</t>
  </si>
  <si>
    <t>Lecker, Robert</t>
  </si>
  <si>
    <t>PR509.A7.A584 2015</t>
  </si>
  <si>
    <t>Anthologies--History and criticism.</t>
  </si>
  <si>
    <t>http://public.eblib.com/choice/PublicFullRecord.aspx?p=4710992</t>
  </si>
  <si>
    <t>Understanding the Consecrated Life in Canada</t>
  </si>
  <si>
    <t>Zuidema, Jason</t>
  </si>
  <si>
    <t>BL2530.C2.U534 2015</t>
  </si>
  <si>
    <t>http://public.eblib.com/choice/PublicFullRecord.aspx?p=4710993</t>
  </si>
  <si>
    <t>Teaching as Scholarship</t>
  </si>
  <si>
    <t>Gingras, Jacqui; Robinson, Pamela; Waddell, Janice; Cooper, Linda D.</t>
  </si>
  <si>
    <t>HV11.T433 2016</t>
  </si>
  <si>
    <t>Social work education.</t>
  </si>
  <si>
    <t>http://public.eblib.com/choice/PublicFullRecord.aspx?p=4710994</t>
  </si>
  <si>
    <t>Music in Range</t>
  </si>
  <si>
    <t>Fauteux, Brian</t>
  </si>
  <si>
    <t>HE8697.9.F388 2015</t>
  </si>
  <si>
    <t>Community radio--Canada.</t>
  </si>
  <si>
    <t>http://public.eblib.com/choice/PublicFullRecord.aspx?p=4710995</t>
  </si>
  <si>
    <t>Canadian Women Shaping Diasporic Religious Identities</t>
  </si>
  <si>
    <t>Lee, Becky R.; Woo, Terry Tak-ling</t>
  </si>
  <si>
    <t>BV4527.C363 2015</t>
  </si>
  <si>
    <t>Women--Religious life--Canada.</t>
  </si>
  <si>
    <t>http://public.eblib.com/choice/PublicFullRecord.aspx?p=4710996</t>
  </si>
  <si>
    <t>From the Elephant's Back</t>
  </si>
  <si>
    <t>Durrell, Lawrence; Gifford, James; Baldwin, Peter</t>
  </si>
  <si>
    <t>PN6142.D877 2015</t>
  </si>
  <si>
    <t>Essays.</t>
  </si>
  <si>
    <t>http://public.eblib.com/choice/PublicFullRecord.aspx?p=4711001</t>
  </si>
  <si>
    <t>Trying Again to Stop Time</t>
  </si>
  <si>
    <t>Robert Kroetsch Series</t>
  </si>
  <si>
    <t>Barzanji, Jalal; Salih, Sabah A.; Salih, Sabah A.</t>
  </si>
  <si>
    <t>PR9251 .B379 2015</t>
  </si>
  <si>
    <t>http://public.eblib.com/choice/PublicFullRecord.aspx?p=4711002</t>
  </si>
  <si>
    <t>A Year of Days</t>
  </si>
  <si>
    <t>Coulter, Myrl</t>
  </si>
  <si>
    <t>RC521.C685 2015</t>
  </si>
  <si>
    <t>Dementia.</t>
  </si>
  <si>
    <t>http://public.eblib.com/choice/PublicFullRecord.aspx?p=4711003</t>
  </si>
  <si>
    <t>Dracula (AD Classic)</t>
  </si>
  <si>
    <t>Engage Books</t>
  </si>
  <si>
    <t>AD Classic</t>
  </si>
  <si>
    <t>Stoker, Bram</t>
  </si>
  <si>
    <t>http://public.eblib.com/choice/PublicFullRecord.aspx?p=4711006</t>
  </si>
  <si>
    <t>The Law and the Lawless</t>
  </si>
  <si>
    <t>Heritage House Publishing</t>
  </si>
  <si>
    <t>Heritage House</t>
  </si>
  <si>
    <t>Amazing Stories</t>
  </si>
  <si>
    <t>Downs, Art</t>
  </si>
  <si>
    <t>F591.2014</t>
  </si>
  <si>
    <t>Outlaws.</t>
  </si>
  <si>
    <t>http://public.eblib.com/choice/PublicFullRecord.aspx?p=4711008</t>
  </si>
  <si>
    <t>The Invisible Man (AD Classic)</t>
  </si>
  <si>
    <t>Wells, H. G.</t>
  </si>
  <si>
    <t>http://public.eblib.com/choice/PublicFullRecord.aspx?p=4711009</t>
  </si>
  <si>
    <t>121 Express</t>
  </si>
  <si>
    <t>PR9199.4.P65.A15 2008</t>
  </si>
  <si>
    <t>School buses--Fiction.</t>
  </si>
  <si>
    <t>http://public.eblib.com/choice/PublicFullRecord.aspx?p=4715909</t>
  </si>
  <si>
    <t>Reckless</t>
  </si>
  <si>
    <t>PR9199.3.C497.C469 2010</t>
  </si>
  <si>
    <t>Trail bikes--Fiction.</t>
  </si>
  <si>
    <t>http://public.eblib.com/choice/PublicFullRecord.aspx?p=4717517</t>
  </si>
  <si>
    <t>Skate Freak</t>
  </si>
  <si>
    <t>PZ7.M25643.C469 2008</t>
  </si>
  <si>
    <t>Skateboarding--Fiction.</t>
  </si>
  <si>
    <t>http://public.eblib.com/choice/PublicFullRecord.aspx?p=4717519</t>
  </si>
  <si>
    <t>Richard was a Picker</t>
  </si>
  <si>
    <t>Beck, Carolyn; Hodson, Ben</t>
  </si>
  <si>
    <t>Literature; Health</t>
  </si>
  <si>
    <t>PZ10.831.C474.B435 2010</t>
  </si>
  <si>
    <t>Hygiene--Juvenile fiction.</t>
  </si>
  <si>
    <t>http://public.eblib.com/choice/PublicFullRecord.aspx?p=4717913</t>
  </si>
  <si>
    <t>The Odonata of Canada and Alaska : Volume One, Part I: General, Part II: The Zygoptera–Damselflies</t>
  </si>
  <si>
    <t>University of Toronto Press, Scholarly Publishing Division</t>
  </si>
  <si>
    <t>Walker, Edmund, M.</t>
  </si>
  <si>
    <t>QL520.2.C2.W355 1953</t>
  </si>
  <si>
    <t>Odonata--Canada.</t>
  </si>
  <si>
    <t>http://public.eblib.com/choice/PublicFullRecord.aspx?p=4730217</t>
  </si>
  <si>
    <t>The Odonata of Canada and Alaska : Volume Two, Part III: The Anisoptera–Four Families</t>
  </si>
  <si>
    <t>QL513.O2.W355 1958</t>
  </si>
  <si>
    <t>Dragonflies--Canada.</t>
  </si>
  <si>
    <t>http://public.eblib.com/choice/PublicFullRecord.aspx?p=4730218</t>
  </si>
  <si>
    <t>The Odonata of Canada and Alaska : Volume Three, Part III: The Anisoptera–Three Families</t>
  </si>
  <si>
    <t>Walker, Edmund, M.; Corbet, Philip, S.</t>
  </si>
  <si>
    <t>QL513.O2.W355 1978</t>
  </si>
  <si>
    <t>http://public.eblib.com/choice/PublicFullRecord.aspx?p=4730219</t>
  </si>
  <si>
    <t>Lyrics on Freedom, Love and Death</t>
  </si>
  <si>
    <t>Cameron, George Frederick; Lochhead, Douglas</t>
  </si>
  <si>
    <t>PS3513.C364 1973</t>
  </si>
  <si>
    <t>Poetry--20th century.</t>
  </si>
  <si>
    <t>http://public.eblib.com/choice/PublicFullRecord.aspx?p=4730225</t>
  </si>
  <si>
    <t>English Enterprise in Newfoundland 1577-1660</t>
  </si>
  <si>
    <t>Cell, Gillian, T.</t>
  </si>
  <si>
    <t>HD9464.C22.C455 1969</t>
  </si>
  <si>
    <t>380.1/43/09718</t>
  </si>
  <si>
    <t>Fish trade--Newfoundland and Labrador--History.</t>
  </si>
  <si>
    <t>http://public.eblib.com/choice/PublicFullRecord.aspx?p=4730241</t>
  </si>
  <si>
    <t>René</t>
  </si>
  <si>
    <t>de Chateaubriand, François-René; Finch, R.D.; Parsons, C.R.</t>
  </si>
  <si>
    <t>PQ2205.Z5.F563 1957</t>
  </si>
  <si>
    <t>http://public.eblib.com/choice/PublicFullRecord.aspx?p=4730247</t>
  </si>
  <si>
    <t>Harry Somers</t>
  </si>
  <si>
    <t>Cherney, Brian</t>
  </si>
  <si>
    <t>ML410.S6864.C447 1975</t>
  </si>
  <si>
    <t>Composers--Canada--Biography.</t>
  </si>
  <si>
    <t>http://public.eblib.com/choice/PublicFullRecord.aspx?p=4730248</t>
  </si>
  <si>
    <t>The Stairway</t>
  </si>
  <si>
    <t>Chown, Alice, A.; Chown, Diana</t>
  </si>
  <si>
    <t>HQ1455.C48.C469 1988</t>
  </si>
  <si>
    <t>Feminists--Canada--Diaries.</t>
  </si>
  <si>
    <t>http://public.eblib.com/choice/PublicFullRecord.aspx?p=4730254</t>
  </si>
  <si>
    <t>Movements of Political Protest in Canada 1640-1840</t>
  </si>
  <si>
    <t>Clark, S.D.</t>
  </si>
  <si>
    <t>F1026.C537 1959</t>
  </si>
  <si>
    <t>http://public.eblib.com/choice/PublicFullRecord.aspx?p=4730259</t>
  </si>
  <si>
    <t>Urbanism and the Changing Canadian Society</t>
  </si>
  <si>
    <t>HN103.5.U733 1964</t>
  </si>
  <si>
    <t>Cities and towns--Canada.</t>
  </si>
  <si>
    <t>http://public.eblib.com/choice/PublicFullRecord.aspx?p=4730262</t>
  </si>
  <si>
    <t>The Developing Canadian Community : Second Edition</t>
  </si>
  <si>
    <t>HN103.5.C537 1971</t>
  </si>
  <si>
    <t>http://public.eblib.com/choice/PublicFullRecord.aspx?p=4730263</t>
  </si>
  <si>
    <t>Church and Sect in Canada : Third Edition</t>
  </si>
  <si>
    <t>BR570.C537 1948</t>
  </si>
  <si>
    <t>Sects--Canada.</t>
  </si>
  <si>
    <t>http://public.eblib.com/choice/PublicFullRecord.aspx?p=4730264</t>
  </si>
  <si>
    <t>Appalachian Tectonics</t>
  </si>
  <si>
    <t>Clark, Thomas, H.</t>
  </si>
  <si>
    <t>QE185 .A673 1967</t>
  </si>
  <si>
    <t>Geology, Structural--Canada.</t>
  </si>
  <si>
    <t>http://public.eblib.com/choice/PublicFullRecord.aspx?p=4730265</t>
  </si>
  <si>
    <t>The Woman Suffrage Movement in Canada : Second Edition</t>
  </si>
  <si>
    <t>Cleverdon, Catherine L.; Cook, Ramsay</t>
  </si>
  <si>
    <t>L192 .C548 1974</t>
  </si>
  <si>
    <t>Women--Suffrage--Canada.</t>
  </si>
  <si>
    <t>http://public.eblib.com/choice/PublicFullRecord.aspx?p=4730268</t>
  </si>
  <si>
    <t>The Indians of Quetico</t>
  </si>
  <si>
    <t>Coatsworth, Emerson S.; Dailey, Robert C.</t>
  </si>
  <si>
    <t>E99.C6.C638 1973</t>
  </si>
  <si>
    <t>Ojibwa Indians.</t>
  </si>
  <si>
    <t>http://public.eblib.com/choice/PublicFullRecord.aspx?p=4730270</t>
  </si>
  <si>
    <t>Angéline de Montbrun : A Psychological Romance of Quebec</t>
  </si>
  <si>
    <t>Conan, Laure; Brunelle, Yves</t>
  </si>
  <si>
    <t>PQ3912.C663 1974</t>
  </si>
  <si>
    <t>French-Canadian fiction.</t>
  </si>
  <si>
    <t>http://public.eblib.com/choice/PublicFullRecord.aspx?p=4730282</t>
  </si>
  <si>
    <t>Sonnets of Louise Labé</t>
  </si>
  <si>
    <t>Labé, Louise; Cook, Alta Lind</t>
  </si>
  <si>
    <t>PR421.L334 1950</t>
  </si>
  <si>
    <t>English literature--Early modern, 1500-1700--History and criticism.</t>
  </si>
  <si>
    <t>http://public.eblib.com/choice/PublicFullRecord.aspx?p=4730283</t>
  </si>
  <si>
    <t>The Politics of John W. Dafoe and the Free Press</t>
  </si>
  <si>
    <t>F1034.C665 1963</t>
  </si>
  <si>
    <t>http://public.eblib.com/choice/PublicFullRecord.aspx?p=4730286</t>
  </si>
  <si>
    <t>Alignment of Political Groups in Canada 1841-67</t>
  </si>
  <si>
    <t>Cornell, Paul G.</t>
  </si>
  <si>
    <t>BT83.59.C676 1962</t>
  </si>
  <si>
    <t>Political theology.</t>
  </si>
  <si>
    <t>http://public.eblib.com/choice/PublicFullRecord.aspx?p=4730289</t>
  </si>
  <si>
    <t>British Emigration to British North America : The First Hundred Years (Revised and Enlarged Edition)</t>
  </si>
  <si>
    <t>Cowan, Helen, I.</t>
  </si>
  <si>
    <t>JV7618.N7.C693 1961</t>
  </si>
  <si>
    <t>http://public.eblib.com/choice/PublicFullRecord.aspx?p=4730294</t>
  </si>
  <si>
    <t>Only to Serve : Selections from Addresses of Governor-General Georges P. Vanier</t>
  </si>
  <si>
    <t>Vanier, Georges, P.; Cowley, George; Vanier, Michel</t>
  </si>
  <si>
    <t>F1034.3.V3.O559 1970</t>
  </si>
  <si>
    <t>Families--Canada--History.</t>
  </si>
  <si>
    <t>http://public.eblib.com/choice/PublicFullRecord.aspx?p=4730297</t>
  </si>
  <si>
    <t>'An Impartial Umpire' : Industrial Relations and the Canadian State 1900-1911</t>
  </si>
  <si>
    <t>HD3616.C22.C738 1980</t>
  </si>
  <si>
    <t>Industrial policy--Canada--History--20th century.</t>
  </si>
  <si>
    <t>http://public.eblib.com/choice/PublicFullRecord.aspx?p=4730302</t>
  </si>
  <si>
    <t>Collected Poems</t>
  </si>
  <si>
    <t>Crawford, Isabella Valancy; Lochhead, Douglas</t>
  </si>
  <si>
    <t>PR9251.C739 1972</t>
  </si>
  <si>
    <t>http://public.eblib.com/choice/PublicFullRecord.aspx?p=4730303</t>
  </si>
  <si>
    <t>Canadian Municipal Government</t>
  </si>
  <si>
    <t>Crawford, Kenneth, G.</t>
  </si>
  <si>
    <t>JS1708.C739 1970</t>
  </si>
  <si>
    <t>Municipal government--Canada.</t>
  </si>
  <si>
    <t>http://public.eblib.com/choice/PublicFullRecord.aspx?p=4730304</t>
  </si>
  <si>
    <t>The Future of Canadian Federalism/L'Avenir du federalisme canadien</t>
  </si>
  <si>
    <t>Crepeau, Paul-Andre</t>
  </si>
  <si>
    <t>JL27.F888 1965</t>
  </si>
  <si>
    <t>Federal government--Canada.</t>
  </si>
  <si>
    <t>http://public.eblib.com/choice/PublicFullRecord.aspx?p=4730308</t>
  </si>
  <si>
    <t>Wages, Prices, Profits, and Economic Policy : Proceedings of a Conference held by the Centre for Industrial Relations, University of Toronto, 1967</t>
  </si>
  <si>
    <t>Crispo, John, H.G.</t>
  </si>
  <si>
    <t>HD4979.W344 1968</t>
  </si>
  <si>
    <t>Wages--Canada.</t>
  </si>
  <si>
    <t>http://public.eblib.com/choice/PublicFullRecord.aspx?p=4730310</t>
  </si>
  <si>
    <t>Priests and Politicians : Manitoba Schools and the Election of 1896</t>
  </si>
  <si>
    <t>Crunican, Paul</t>
  </si>
  <si>
    <t>KEM438.5.C786 1974</t>
  </si>
  <si>
    <t>Church schools--Law and legislation--Manitoba.</t>
  </si>
  <si>
    <t>http://public.eblib.com/choice/PublicFullRecord.aspx?p=4730313</t>
  </si>
  <si>
    <t>Oral Formulaic Language in the Biblical Psalms</t>
  </si>
  <si>
    <t>Culley, Robert, C.</t>
  </si>
  <si>
    <t>BS1430.2.C855 1967</t>
  </si>
  <si>
    <t>http://public.eblib.com/choice/PublicFullRecord.aspx?p=4730314</t>
  </si>
  <si>
    <t>Canadian Transportation Economics</t>
  </si>
  <si>
    <t>Currie, A.W.</t>
  </si>
  <si>
    <t>HE215.C877 1967</t>
  </si>
  <si>
    <t>Transportation--Canada.</t>
  </si>
  <si>
    <t>http://public.eblib.com/choice/PublicFullRecord.aspx?p=4730319</t>
  </si>
  <si>
    <t>The Jesuits' Estate Question, 1760-1888 : A Study of the Background for the Agitation of 1889</t>
  </si>
  <si>
    <t>Dalton, Roy, C.</t>
  </si>
  <si>
    <t>BF575.A35.D358 1968</t>
  </si>
  <si>
    <t>Agitation (Psychology)</t>
  </si>
  <si>
    <t>http://public.eblib.com/choice/PublicFullRecord.aspx?p=4730323</t>
  </si>
  <si>
    <t>The Protective Tariff in Canada's Development : Eight Essays on Trade and Tariff When Factors Move with Special Reference to Canadian Protectionism, 1870-1955</t>
  </si>
  <si>
    <t>Dales, J.H.</t>
  </si>
  <si>
    <t>HF1766.D354 1966</t>
  </si>
  <si>
    <t>Tariff--Canada.</t>
  </si>
  <si>
    <t>http://public.eblib.com/choice/PublicFullRecord.aspx?p=4730324</t>
  </si>
  <si>
    <t>Tariff and Science Policies : Applications of a Model of Nationalism</t>
  </si>
  <si>
    <t>Daly, D.J.; Globerman, S.</t>
  </si>
  <si>
    <t>HF1766.D359 1976</t>
  </si>
  <si>
    <t>http://public.eblib.com/choice/PublicFullRecord.aspx?p=4730325</t>
  </si>
  <si>
    <t>Information in the Labour Market : Job-Worker Matching and Its Implications for Education in Ontario</t>
  </si>
  <si>
    <t>Davies, James, B.; MacDonald, Glenn, M.T.</t>
  </si>
  <si>
    <t>LC91.D385 1984</t>
  </si>
  <si>
    <t>Education and state--Canada.</t>
  </si>
  <si>
    <t>http://public.eblib.com/choice/PublicFullRecord.aspx?p=4730328</t>
  </si>
  <si>
    <t>Procedure in the Canadian House of Commons</t>
  </si>
  <si>
    <t>Dawson, William, F.</t>
  </si>
  <si>
    <t>JL164 1962.D397 1965</t>
  </si>
  <si>
    <t>http://public.eblib.com/choice/PublicFullRecord.aspx?p=4730333</t>
  </si>
  <si>
    <t>The Conscription Crisis of 1944</t>
  </si>
  <si>
    <t>Dawson, Robert, M.</t>
  </si>
  <si>
    <t>F1034.D397 1961</t>
  </si>
  <si>
    <t>Draft--Canada.</t>
  </si>
  <si>
    <t>http://public.eblib.com/choice/PublicFullRecord.aspx?p=4730334</t>
  </si>
  <si>
    <t>Steel City : Hamilton and Region</t>
  </si>
  <si>
    <t>Dear, M.J.; Drake, J.J.; Reeds, L.G.</t>
  </si>
  <si>
    <t>F1059.5.H2.S744 1987</t>
  </si>
  <si>
    <t>Human geography--Ontario--Hamilton Region.</t>
  </si>
  <si>
    <t>http://public.eblib.com/choice/PublicFullRecord.aspx?p=4730342</t>
  </si>
  <si>
    <t>Unemployment and Labour Force Behaviour of Young People : Evidence from Canada and Ontario</t>
  </si>
  <si>
    <t>Denton, Frank, T.; Robb, A. Leslie; Spencer, Byron, G.</t>
  </si>
  <si>
    <t>HD6276.C3.D468 1980</t>
  </si>
  <si>
    <t>Youth--Employment--Canada.</t>
  </si>
  <si>
    <t>http://public.eblib.com/choice/PublicFullRecord.aspx?p=4730347</t>
  </si>
  <si>
    <t>Selections from Canadian Poets : With Occasional Critical and Biographical Notes and an Introductory Essay on Canadian Poetry</t>
  </si>
  <si>
    <t>Dewart, Edward, H.; Lochhead, Douglas</t>
  </si>
  <si>
    <t>PR9194.D493 1973</t>
  </si>
  <si>
    <t>http://public.eblib.com/choice/PublicFullRecord.aspx?p=4730349</t>
  </si>
  <si>
    <t>Indian Rock Paintings of the Great Lakes</t>
  </si>
  <si>
    <t>Dewdney, Selwyn; Kidd, Kenneth, E.</t>
  </si>
  <si>
    <t>E98.P6.D493 1962</t>
  </si>
  <si>
    <t>Picture-writing, Indian.</t>
  </si>
  <si>
    <t>http://public.eblib.com/choice/PublicFullRecord.aspx?p=4730350</t>
  </si>
  <si>
    <t>The Greening of Canada : Federal Institutions and Decisions</t>
  </si>
  <si>
    <t>GE190.C2.D647 1994</t>
  </si>
  <si>
    <t>Environmental policy--Canada.</t>
  </si>
  <si>
    <t>http://public.eblib.com/choice/PublicFullRecord.aspx?p=4730360</t>
  </si>
  <si>
    <t>Water Resources of Canada</t>
  </si>
  <si>
    <t>Dolman, Claude , E.</t>
  </si>
  <si>
    <t>Agriculture; Economics; Business/Management; Environmental Studies</t>
  </si>
  <si>
    <t>HD1696.C2 .W384 1967</t>
  </si>
  <si>
    <t>Water resources development--Canada.</t>
  </si>
  <si>
    <t>http://public.eblib.com/choice/PublicFullRecord.aspx?p=4730363</t>
  </si>
  <si>
    <t>Progress without Planning : The Economic History of Toronto from Confederation to the Second World War</t>
  </si>
  <si>
    <t>Drummond, Ian , M.</t>
  </si>
  <si>
    <t>HC117.O6.D786 1987</t>
  </si>
  <si>
    <t>330.9713/04</t>
  </si>
  <si>
    <t>Industries--Ontario--History.</t>
  </si>
  <si>
    <t>http://public.eblib.com/choice/PublicFullRecord.aspx?p=4730372</t>
  </si>
  <si>
    <t>The Intercity Electric Railway Industry in Canada</t>
  </si>
  <si>
    <t>Due, John, F.</t>
  </si>
  <si>
    <t>HE5429.D84 1966</t>
  </si>
  <si>
    <t>Street-railroads--Canada--History.</t>
  </si>
  <si>
    <t>http://public.eblib.com/choice/PublicFullRecord.aspx?p=4730375</t>
  </si>
  <si>
    <t>Gardens, Covenants, Exiles : Loyalism in the Literature of Upper Canada/Ontario</t>
  </si>
  <si>
    <t>Duffy, Dennis</t>
  </si>
  <si>
    <t>PR9198.2.O5.D844 1982</t>
  </si>
  <si>
    <t>810/.9/9713</t>
  </si>
  <si>
    <t>Canadian literature--Ontario--History and criticism.</t>
  </si>
  <si>
    <t>http://public.eblib.com/choice/PublicFullRecord.aspx?p=4730377</t>
  </si>
  <si>
    <t>The Vigil of Quebec</t>
  </si>
  <si>
    <t>Dumont, Fernand; Fischman, Sheila; Howard, Richard</t>
  </si>
  <si>
    <t>F1053.D866 1974</t>
  </si>
  <si>
    <t>http://public.eblib.com/choice/PublicFullRecord.aspx?p=4730378</t>
  </si>
  <si>
    <t>Marine Distributions</t>
  </si>
  <si>
    <t>Dunbar, Maxwell, J.</t>
  </si>
  <si>
    <t>QH91.M375 1963</t>
  </si>
  <si>
    <t>Marine biology.</t>
  </si>
  <si>
    <t>http://public.eblib.com/choice/PublicFullRecord.aspx?p=4730379</t>
  </si>
  <si>
    <t>Cousin Cinderella</t>
  </si>
  <si>
    <t>Duncan, Sara Jeanette; Lochhead, Douglas</t>
  </si>
  <si>
    <t>GR75.C4.D863 1908</t>
  </si>
  <si>
    <t>http://public.eblib.com/choice/PublicFullRecord.aspx?p=4730380</t>
  </si>
  <si>
    <t>The Magpie : A Novel of Post-War Disillusionment 1923</t>
  </si>
  <si>
    <t>Durkin, Douglas; Rider, Peter, E.</t>
  </si>
  <si>
    <t>U21.2.M347 1974</t>
  </si>
  <si>
    <t>War.</t>
  </si>
  <si>
    <t>http://public.eblib.com/choice/PublicFullRecord.aspx?p=4730383</t>
  </si>
  <si>
    <t>The Story of Canadian Roads</t>
  </si>
  <si>
    <t>Guillet, Edwin, C.</t>
  </si>
  <si>
    <t>Engineering; Business/Management; Engineering: Civil</t>
  </si>
  <si>
    <t>TE7.G855 1966</t>
  </si>
  <si>
    <t>Roads.</t>
  </si>
  <si>
    <t>http://public.eblib.com/choice/PublicFullRecord.aspx?p=4730385</t>
  </si>
  <si>
    <t>Eldon House Diaries : Five Women's Views of the 19th Century</t>
  </si>
  <si>
    <t>Harris, Robin, S.; Harris, Terry, G.</t>
  </si>
  <si>
    <t>F1059.5.L6.4536 1994</t>
  </si>
  <si>
    <t>Women--Ontario--London--Diaries.</t>
  </si>
  <si>
    <t>http://public.eblib.com/choice/PublicFullRecord.aspx?p=4730386</t>
  </si>
  <si>
    <t>The Making of a Peacemonger : The Memoirs of George Ignatieff</t>
  </si>
  <si>
    <t>Ignatieff, George</t>
  </si>
  <si>
    <t>F1034.3.I47.I363 1985</t>
  </si>
  <si>
    <t>327.2/092/4</t>
  </si>
  <si>
    <t>Diplomats--Canada--Biography.</t>
  </si>
  <si>
    <t>http://public.eblib.com/choice/PublicFullRecord.aspx?p=4730387</t>
  </si>
  <si>
    <t>Myth and Meaning</t>
  </si>
  <si>
    <t>Lévi-Strauss, Claude</t>
  </si>
  <si>
    <t>GN362.L485 1978</t>
  </si>
  <si>
    <t>Structural anthropology.</t>
  </si>
  <si>
    <t>http://public.eblib.com/choice/PublicFullRecord.aspx?p=4730389</t>
  </si>
  <si>
    <t>The People Link : Human Resource Linkages Across The Pacific</t>
  </si>
  <si>
    <t>Safarian, A.E.; Dobson, Wendy</t>
  </si>
  <si>
    <t>HF1480.15.P467 1997</t>
  </si>
  <si>
    <t>Corporate culture--Canada.</t>
  </si>
  <si>
    <t>http://public.eblib.com/choice/PublicFullRecord.aspx?p=4730393</t>
  </si>
  <si>
    <t>School Broadcasting in Canada</t>
  </si>
  <si>
    <t>Lambert, Richard, S.</t>
  </si>
  <si>
    <t>LB1044.6.C3.L363 1963</t>
  </si>
  <si>
    <t>Radio broadcasting--Canada.</t>
  </si>
  <si>
    <t>http://public.eblib.com/choice/PublicFullRecord.aspx?p=4730394</t>
  </si>
  <si>
    <t>Centennial Tales and Selected Poems</t>
  </si>
  <si>
    <t>Kirkconnell, Watson</t>
  </si>
  <si>
    <t>PR6021.I63.K575 1965</t>
  </si>
  <si>
    <t>Poets, English--20th century--Biography.</t>
  </si>
  <si>
    <t>http://public.eblib.com/choice/PublicFullRecord.aspx?p=4730397</t>
  </si>
  <si>
    <t>The Cicindelidae of Canada</t>
  </si>
  <si>
    <t>Wallis, J.B.</t>
  </si>
  <si>
    <t>QL596.C56.W355 1961</t>
  </si>
  <si>
    <t>Tiger beetles--Canada.</t>
  </si>
  <si>
    <t>http://public.eblib.com/choice/PublicFullRecord.aspx?p=4730399</t>
  </si>
  <si>
    <t>Benjamin Disraeli Letters : 1815-1834, Volume I</t>
  </si>
  <si>
    <t>Disraeli, Benjamin; Gunn, John, A.W.; Matthews, John, P.; Schurman, Donald, M.; Wiebe, Melvin, G.</t>
  </si>
  <si>
    <t>DA564.B3.D577 1982</t>
  </si>
  <si>
    <t>941.07/092/4</t>
  </si>
  <si>
    <t>Prime ministers--Great Britain--Correspondence.</t>
  </si>
  <si>
    <t>http://public.eblib.com/choice/PublicFullRecord.aspx?p=4730400</t>
  </si>
  <si>
    <t>Benjamin Disraeli Letters : 1835-1837, Volume II</t>
  </si>
  <si>
    <t>JN405.B465 1982</t>
  </si>
  <si>
    <t>http://public.eblib.com/choice/PublicFullRecord.aspx?p=4730401</t>
  </si>
  <si>
    <t>Mutual Security in the Asia-Pacific : Roles for Australia, Canada and South Korea</t>
  </si>
  <si>
    <t>CIGI</t>
  </si>
  <si>
    <t>Choi, Kang; Manicom, James; Palamar, Simon</t>
  </si>
  <si>
    <t>UA832.5.M888 2015</t>
  </si>
  <si>
    <t>National security--East Asia.</t>
  </si>
  <si>
    <t>http://public.eblib.com/choice/PublicFullRecord.aspx?p=4730732</t>
  </si>
  <si>
    <t>A Diplomat's Handbook for Democracy Development Support</t>
  </si>
  <si>
    <t>Kinsman, Jeremy; Bassuener, Kurt</t>
  </si>
  <si>
    <t>JX1662.K567 2013</t>
  </si>
  <si>
    <t>Diplomatic and consular service.</t>
  </si>
  <si>
    <t>http://public.eblib.com/choice/PublicFullRecord.aspx?p=4730741</t>
  </si>
  <si>
    <t>Canada-Africa Relations : Looking Back, Looking Ahead</t>
  </si>
  <si>
    <t>Canada among Nations</t>
  </si>
  <si>
    <t>Medhora, Rohinton P.; Samy, Yiagadeesen</t>
  </si>
  <si>
    <t>F1034.2.C363 2013</t>
  </si>
  <si>
    <t>http://public.eblib.com/choice/PublicFullRecord.aspx?p=4730742</t>
  </si>
  <si>
    <t>Elusive Pursuits : Lessons From Canada’s Interventions Abroad</t>
  </si>
  <si>
    <t>Hampson, Fen Osler; Saideman, Stephen M.</t>
  </si>
  <si>
    <t>KZ4082.E487 2015</t>
  </si>
  <si>
    <t>Responsibility to protect (International law)</t>
  </si>
  <si>
    <t>http://public.eblib.com/choice/PublicFullRecord.aspx?p=4730790</t>
  </si>
  <si>
    <t>Organized Chaos : Reimagining the Internet</t>
  </si>
  <si>
    <t>Raymond, Mark; Smith, Gordon</t>
  </si>
  <si>
    <t>HV6773.O743 2014</t>
  </si>
  <si>
    <t>Computer crimes.</t>
  </si>
  <si>
    <t>http://public.eblib.com/choice/PublicFullRecord.aspx?p=4730794</t>
  </si>
  <si>
    <t>East Asia-Arctic Relations : Boundary, Security and International Politics</t>
  </si>
  <si>
    <t>Hara, Kimie; Coates, Ken</t>
  </si>
  <si>
    <t>JZ6009.A68.E278 2014</t>
  </si>
  <si>
    <t>Security, International.</t>
  </si>
  <si>
    <t>http://public.eblib.com/choice/PublicFullRecord.aspx?p=4730795</t>
  </si>
  <si>
    <t>A Short History of Fredericton</t>
  </si>
  <si>
    <t>Nimbus Publishing</t>
  </si>
  <si>
    <t>Soucoup, Dan</t>
  </si>
  <si>
    <t>F1044.5.F8.S68 2015</t>
  </si>
  <si>
    <t>971.5/515</t>
  </si>
  <si>
    <t>http://public.eblib.com/choice/PublicFullRecord.aspx?p=4731533</t>
  </si>
  <si>
    <t>The Montreal Diocesan Theological College : A History from 1873 to 1963</t>
  </si>
  <si>
    <t>Howard, Oswald</t>
  </si>
  <si>
    <t>BV4070.M696.H693 1963</t>
  </si>
  <si>
    <t>http://public.eblib.com/choice/PublicFullRecord.aspx?p=4733199</t>
  </si>
  <si>
    <t>Canada's Constitutional Revolution</t>
  </si>
  <si>
    <t>Strayer, Barry L.</t>
  </si>
  <si>
    <t>KE4199.S77 2013</t>
  </si>
  <si>
    <t>http://public.eblib.com/choice/PublicFullRecord.aspx?p=4737047</t>
  </si>
  <si>
    <t>The Remarkable Chester Ronning</t>
  </si>
  <si>
    <t>Evans, Brian L.</t>
  </si>
  <si>
    <t>F1034.3.R66.E83 2013</t>
  </si>
  <si>
    <t>http://public.eblib.com/choice/PublicFullRecord.aspx?p=4737049</t>
  </si>
  <si>
    <t>Disinherited Generations</t>
  </si>
  <si>
    <t>Carlson, Nelie; Steinhauer, Kathleen; Goyette, Linda; Campbell, Maria</t>
  </si>
  <si>
    <t>E78.C2.C495 2013</t>
  </si>
  <si>
    <t>323.1197/07100922 23</t>
  </si>
  <si>
    <t>Cree women--Canada--Biography.</t>
  </si>
  <si>
    <t>http://public.eblib.com/choice/PublicFullRecord.aspx?p=4737052</t>
  </si>
  <si>
    <t>abecedarium</t>
  </si>
  <si>
    <t>PR9251.C665 2014</t>
  </si>
  <si>
    <t>http://public.eblib.com/choice/PublicFullRecord.aspx?p=4737054</t>
  </si>
  <si>
    <t>Climber's Paradise</t>
  </si>
  <si>
    <t>Mountain Cairns: A series on the history and culture of the Canadian Rocky Mountains</t>
  </si>
  <si>
    <t>Reichwein, PearlAnn</t>
  </si>
  <si>
    <t>SB484.C2.R453 2014</t>
  </si>
  <si>
    <t>333.78/3097110904</t>
  </si>
  <si>
    <t>National parks and reserves--Canadian Rockies (B.C. and Alta.)--History--20th century.</t>
  </si>
  <si>
    <t>http://public.eblib.com/choice/PublicFullRecord.aspx?p=4737060</t>
  </si>
  <si>
    <t>Les limites du soi : Immunologie et identité biologique</t>
  </si>
  <si>
    <t>Les Presses de l'Université de Montréal</t>
  </si>
  <si>
    <t>Pradeu, Thomas</t>
  </si>
  <si>
    <t>QR186.9.P733 2009</t>
  </si>
  <si>
    <t>Immunospecificity.</t>
  </si>
  <si>
    <t>http://public.eblib.com/choice/PublicFullRecord.aspx?p=4749984</t>
  </si>
  <si>
    <t>Substance, individu et connaissance chez Leibniz</t>
  </si>
  <si>
    <t>Leduc, Christian</t>
  </si>
  <si>
    <t>B2598.L438 2009</t>
  </si>
  <si>
    <t>Substance (Philosophy)</t>
  </si>
  <si>
    <t>http://public.eblib.com/choice/PublicFullRecord.aspx?p=4749985</t>
  </si>
  <si>
    <t>Un homme et son péché : Claude-Henri Grignon</t>
  </si>
  <si>
    <t>Sirois, Antoine; Francoli, Yvette</t>
  </si>
  <si>
    <t>PQ3919.G7.G754 1986</t>
  </si>
  <si>
    <t>http://public.eblib.com/choice/PublicFullRecord.aspx?p=4749990</t>
  </si>
  <si>
    <t>Le Survenant</t>
  </si>
  <si>
    <t>G.Lepage, Yvan</t>
  </si>
  <si>
    <t>PQ3919.G8.G88 1989</t>
  </si>
  <si>
    <t>http://public.eblib.com/choice/PublicFullRecord.aspx?p=4749991</t>
  </si>
  <si>
    <t>À l'ombre de L'Orford : suivi de  L'Offrande aux vierges folles</t>
  </si>
  <si>
    <t>Giguère, Richard</t>
  </si>
  <si>
    <t>PQ3913.D477 1993</t>
  </si>
  <si>
    <t>French-Canadian literature--20th century.</t>
  </si>
  <si>
    <t>http://public.eblib.com/choice/PublicFullRecord.aspx?p=4749996</t>
  </si>
  <si>
    <t>Proses diverses : Alain Grandbois</t>
  </si>
  <si>
    <t>Godin, Jean Cléo</t>
  </si>
  <si>
    <t>PQ3903.G736 1996</t>
  </si>
  <si>
    <t>French-Canadian literature--History and criticism.</t>
  </si>
  <si>
    <t>http://public.eblib.com/choice/PublicFullRecord.aspx?p=4750001</t>
  </si>
  <si>
    <t>Correspondance : Alain Grandbois</t>
  </si>
  <si>
    <t>Chassé, Bernard</t>
  </si>
  <si>
    <t>PQ3919.G65.G736 2003</t>
  </si>
  <si>
    <t>http://public.eblib.com/choice/PublicFullRecord.aspx?p=4750006</t>
  </si>
  <si>
    <t>Et si nous dansions? : Pour une politique du bien commun au Canada</t>
  </si>
  <si>
    <t>JA85.2.C2.B538 2004</t>
  </si>
  <si>
    <t>Communication in politics--Canada.</t>
  </si>
  <si>
    <t>http://public.eblib.com/choice/PublicFullRecord.aspx?p=4750013</t>
  </si>
  <si>
    <t>La culture de la mémoire : ou comment se débarrasser du passé?</t>
  </si>
  <si>
    <t>Méchoulan, Éric</t>
  </si>
  <si>
    <t>BF378.S65.M434 2008</t>
  </si>
  <si>
    <t>Memory--Social aspects.</t>
  </si>
  <si>
    <t>http://public.eblib.com/choice/PublicFullRecord.aspx?p=4750015</t>
  </si>
  <si>
    <t>Contre la réforme : La dérive idéologique du système d’éducation québécois</t>
  </si>
  <si>
    <t>Baillargeon, Normand</t>
  </si>
  <si>
    <t>LB2822.84.C2.B355 2009</t>
  </si>
  <si>
    <t>School improvement programs--Quâebec (Province)</t>
  </si>
  <si>
    <t>http://public.eblib.com/choice/PublicFullRecord.aspx?p=4750016</t>
  </si>
  <si>
    <t>Les narrateurs d'Auschwitz</t>
  </si>
  <si>
    <t>Cohen, Esther</t>
  </si>
  <si>
    <t>D805.P7.C644 2010</t>
  </si>
  <si>
    <t>Auschwitz (Concentration camp)--In literature.</t>
  </si>
  <si>
    <t>http://public.eblib.com/choice/PublicFullRecord.aspx?p=4750018</t>
  </si>
  <si>
    <t>La médecine des preuves : Une histoire de l’expérimentation thérapeutique par essais cliniques contrôlés</t>
  </si>
  <si>
    <t>Keel, Othmar</t>
  </si>
  <si>
    <t>Pharmacy; Medicine</t>
  </si>
  <si>
    <t>RM111.K445 2011</t>
  </si>
  <si>
    <t>Therapeutics, Experimental--History.</t>
  </si>
  <si>
    <t>http://public.eblib.com/choice/PublicFullRecord.aspx?p=4750019</t>
  </si>
  <si>
    <t>Pour un regard-monde</t>
  </si>
  <si>
    <t>Mattelart, Armand</t>
  </si>
  <si>
    <t>P96.I5.M388 2011</t>
  </si>
  <si>
    <t>Communication and culture.</t>
  </si>
  <si>
    <t>http://public.eblib.com/choice/PublicFullRecord.aspx?p=4750020</t>
  </si>
  <si>
    <t>Elles étaient seize : Les premières femmes journalistes au Canada</t>
  </si>
  <si>
    <t>PN4784.W7.K39 2015</t>
  </si>
  <si>
    <t>Women journalists--Canada--Biography.</t>
  </si>
  <si>
    <t>http://public.eblib.com/choice/PublicFullRecord.aspx?p=4750021</t>
  </si>
  <si>
    <t>Pascasius ou comment comprendre les addictions : suivi du Traité sur le jeu</t>
  </si>
  <si>
    <t>Louise, Nadeau,; Marc, Valleur,</t>
  </si>
  <si>
    <t>RC569.5.G35.P373 2014</t>
  </si>
  <si>
    <t>Compulsive gambling.</t>
  </si>
  <si>
    <t>http://public.eblib.com/choice/PublicFullRecord.aspx?p=4750023</t>
  </si>
  <si>
    <t>Histoire à l'écran (L')</t>
  </si>
  <si>
    <t>PN1995.9.H5.R365 2014</t>
  </si>
  <si>
    <t>Historical films--History and criticism.</t>
  </si>
  <si>
    <t>http://public.eblib.com/choice/PublicFullRecord.aspx?p=4750024</t>
  </si>
  <si>
    <t>L'Inde dans tous ses états</t>
  </si>
  <si>
    <t>Taillefer, Guy</t>
  </si>
  <si>
    <t>DS423.T355 2015</t>
  </si>
  <si>
    <t>http://public.eblib.com/choice/PublicFullRecord.aspx?p=4750026</t>
  </si>
  <si>
    <t>Histoires de fantômes : Spectralité et témoignage dans les récits de femmes contemporains</t>
  </si>
  <si>
    <t>Delvaux, Martine</t>
  </si>
  <si>
    <t>B2430.D484.D458 2005</t>
  </si>
  <si>
    <t>Ghosts in literature.</t>
  </si>
  <si>
    <t>http://public.eblib.com/choice/PublicFullRecord.aspx?p=4750039</t>
  </si>
  <si>
    <t>La voix et l’os : Imaginaire de l'ascèse chez Saint-Denys Garneau et Samuel Beckett</t>
  </si>
  <si>
    <t>Bernier, Frédérique</t>
  </si>
  <si>
    <t>PQ3919.G28.B476 2010</t>
  </si>
  <si>
    <t>http://public.eblib.com/choice/PublicFullRecord.aspx?p=4750042</t>
  </si>
  <si>
    <t>Nom propre et écritures de soi</t>
  </si>
  <si>
    <t>Les Presses de l'Université de Montréal Staff</t>
  </si>
  <si>
    <t>CT25.N667 2011</t>
  </si>
  <si>
    <t>Autobiography--Congresses.</t>
  </si>
  <si>
    <t>http://public.eblib.com/choice/PublicFullRecord.aspx?p=4750044</t>
  </si>
  <si>
    <t>Transmission et héritages de la littérature québécoise</t>
  </si>
  <si>
    <t>http://public.eblib.com/choice/PublicFullRecord.aspx?p=4750046</t>
  </si>
  <si>
    <t>Le bonheur au féminin : Stratégies narratives des romancières des Lumières</t>
  </si>
  <si>
    <t>Tremblay, Isabelle</t>
  </si>
  <si>
    <t>PN56.H27.T746 2012</t>
  </si>
  <si>
    <t>Happiness in literature.</t>
  </si>
  <si>
    <t>http://public.eblib.com/choice/PublicFullRecord.aspx?p=4750049</t>
  </si>
  <si>
    <t>La vie des autres : Sophie Calle et Annie Ernaux, artistes hors-la-loi</t>
  </si>
  <si>
    <t>Wroblewski, Ania</t>
  </si>
  <si>
    <t>N6853.C2615.W763 2016</t>
  </si>
  <si>
    <t>Transgression (Ethics) in art.</t>
  </si>
  <si>
    <t>http://public.eblib.com/choice/PublicFullRecord.aspx?p=4750055</t>
  </si>
  <si>
    <t>Les guerres de Jacques Derrida</t>
  </si>
  <si>
    <t>B2430.D484.R333 2016</t>
  </si>
  <si>
    <t>Controversy.</t>
  </si>
  <si>
    <t>http://public.eblib.com/choice/PublicFullRecord.aspx?p=4750058</t>
  </si>
  <si>
    <t>Écrire en temps d'insurrections : Pratiques épistolaires et usages de la presse chez les femmes patriotes (1830-1840)</t>
  </si>
  <si>
    <t>Bédard, Mylène</t>
  </si>
  <si>
    <t>HQ1236.5.C2.B433 2016</t>
  </si>
  <si>
    <t>Women--Political activity--Quâebec (Province)</t>
  </si>
  <si>
    <t>http://public.eblib.com/choice/PublicFullRecord.aspx?p=4750059</t>
  </si>
  <si>
    <t>Chronopharmacologie : Rythmes biologiques et administration des médicaments</t>
  </si>
  <si>
    <t>http://public.eblib.com/choice/PublicFullRecord.aspx?p=4750061</t>
  </si>
  <si>
    <t>Les zoonoses parasitaires : L'infection chez les animaux et chez l'homme</t>
  </si>
  <si>
    <t>Villeneuve, Alain</t>
  </si>
  <si>
    <t>RA639.V555 2003</t>
  </si>
  <si>
    <t>Zoonoses.</t>
  </si>
  <si>
    <t>http://public.eblib.com/choice/PublicFullRecord.aspx?p=4750062</t>
  </si>
  <si>
    <t>La douleur : Guide pharmacologique et thérapeutique</t>
  </si>
  <si>
    <t>Beaulieu, Pierre</t>
  </si>
  <si>
    <t>RB127.B438 2013</t>
  </si>
  <si>
    <t>Pain--Treatment.</t>
  </si>
  <si>
    <t>http://public.eblib.com/choice/PublicFullRecord.aspx?p=4750069</t>
  </si>
  <si>
    <t>Précis de pharmacologie, 2e ed. : Du fondamental à la clinique</t>
  </si>
  <si>
    <t>RM301.12.P743 2015</t>
  </si>
  <si>
    <t>Pharmacology--Handbooks, manuals, etc.</t>
  </si>
  <si>
    <t>http://public.eblib.com/choice/PublicFullRecord.aspx?p=4750071</t>
  </si>
  <si>
    <t>L'éveil culturel : Théâtre et presse à Montréal, 1898-1914</t>
  </si>
  <si>
    <t>Guay, Hervé</t>
  </si>
  <si>
    <t>PN1707.G839 2010</t>
  </si>
  <si>
    <t>Dramatic criticism.</t>
  </si>
  <si>
    <t>http://public.eblib.com/choice/PublicFullRecord.aspx?p=4750072</t>
  </si>
  <si>
    <t>L'appareil digestif : Des sciences fondamentales à la clinique. 2e édition revue et augmentée</t>
  </si>
  <si>
    <t>Poitras, Pierre</t>
  </si>
  <si>
    <t>RC801.P658 2016</t>
  </si>
  <si>
    <t>Digestive organs--Diseases.</t>
  </si>
  <si>
    <t>http://public.eblib.com/choice/PublicFullRecord.aspx?p=4750074</t>
  </si>
  <si>
    <t>Leçons de littérature : Un siècle de manuels scolaires au Québec</t>
  </si>
  <si>
    <t>Cellard, Karine</t>
  </si>
  <si>
    <t>PQ3897.C45 2011</t>
  </si>
  <si>
    <t>French-Canadian literature--History and criticism--Textbooks.</t>
  </si>
  <si>
    <t>http://public.eblib.com/choice/PublicFullRecord.aspx?p=4750075</t>
  </si>
  <si>
    <t>Le sursis littéraire : Politique de Gauvreau, Miron, Aquin</t>
  </si>
  <si>
    <t>Jalbert, Martin</t>
  </si>
  <si>
    <t>PQ3916.J353 2011</t>
  </si>
  <si>
    <t>French-Canadian literature--Quâebec (Province)--History and criticism--20th century.</t>
  </si>
  <si>
    <t>http://public.eblib.com/choice/PublicFullRecord.aspx?p=4750076</t>
  </si>
  <si>
    <t>Au-delà du nom : La question du père dans la littérature québécoise actuelle</t>
  </si>
  <si>
    <t>Saint-Martin, Lori</t>
  </si>
  <si>
    <t>PN56.5.F38.S256 2010</t>
  </si>
  <si>
    <t>Fathers in literature.</t>
  </si>
  <si>
    <t>http://public.eblib.com/choice/PublicFullRecord.aspx?p=4750077</t>
  </si>
  <si>
    <t>Méchante langue : La légitimité linguistique du français parlé au Québec</t>
  </si>
  <si>
    <t>Bouchard, Chantal</t>
  </si>
  <si>
    <t>PC3645.Q4.B683 2011</t>
  </si>
  <si>
    <t>French language--Quâebec (Province)--History.</t>
  </si>
  <si>
    <t>http://public.eblib.com/choice/PublicFullRecord.aspx?p=4750078</t>
  </si>
  <si>
    <t>La contre-culture au Québec</t>
  </si>
  <si>
    <t>F1052.C668 2016</t>
  </si>
  <si>
    <t>Counterculture--Quâebec (Province)</t>
  </si>
  <si>
    <t>http://public.eblib.com/choice/PublicFullRecord.aspx?p=4750079</t>
  </si>
  <si>
    <t>L'âge de plastique : Lire la ville contemporaine au Québec</t>
  </si>
  <si>
    <t>Laforest, Daniel</t>
  </si>
  <si>
    <t>PQ3917.Q3.L346 2016</t>
  </si>
  <si>
    <t>French-Canadian fiction--Quâebec (Province)--History and criticism.</t>
  </si>
  <si>
    <t>http://public.eblib.com/choice/PublicFullRecord.aspx?p=4750080</t>
  </si>
  <si>
    <t>Le vert et le bleu : Identité québécoise et identité irlandaise au tournant du XXe siècle</t>
  </si>
  <si>
    <t>Jolivet, Simon</t>
  </si>
  <si>
    <t>DA951.J655 2011</t>
  </si>
  <si>
    <t>http://public.eblib.com/choice/PublicFullRecord.aspx?p=4750081</t>
  </si>
  <si>
    <t>Professions à part entière : Histoire des ergothérapeutes, orthophonistes, physiothérapeutes, psychologues et travailleuses sociales au Québec</t>
  </si>
  <si>
    <t>http://public.eblib.com/choice/PublicFullRecord.aspx?p=4750083</t>
  </si>
  <si>
    <t>Socialisation et communication dans les jeux vidéo</t>
  </si>
  <si>
    <t>GV1469.34.S52.S635 2011</t>
  </si>
  <si>
    <t>Video games--Social aspects.</t>
  </si>
  <si>
    <t>http://public.eblib.com/choice/PublicFullRecord.aspx?p=4750085</t>
  </si>
  <si>
    <t>Un drame de la Deuxième Guerre : Le sort de la minorité japonaise aux États-Unis et au Canada</t>
  </si>
  <si>
    <t>Robinson, Greg</t>
  </si>
  <si>
    <t>E184.J3.R635 2011</t>
  </si>
  <si>
    <t>Japanese Americans--Social conditions--20th century.</t>
  </si>
  <si>
    <t>http://public.eblib.com/choice/PublicFullRecord.aspx?p=4750086</t>
  </si>
  <si>
    <t>Le diable en ville : Alexandre Silvio et l’émergence de la modernité populaire au Québec</t>
  </si>
  <si>
    <t>F1052.L333 2012</t>
  </si>
  <si>
    <t>Revues--Quâebec (Province)--History--20th century.</t>
  </si>
  <si>
    <t>http://public.eblib.com/choice/PublicFullRecord.aspx?p=4750087</t>
  </si>
  <si>
    <t>Musique actuelle</t>
  </si>
  <si>
    <t>Stévance, Sophie</t>
  </si>
  <si>
    <t>ML205.7.Q45.B683 2011</t>
  </si>
  <si>
    <t>Music--Quâebec (Province)--History and criticism.</t>
  </si>
  <si>
    <t>http://public.eblib.com/choice/PublicFullRecord.aspx?p=4750088</t>
  </si>
  <si>
    <t>La croix de Triquet : Une étude de l'héroïsme militaire</t>
  </si>
  <si>
    <t>MacFarlane, John; Dubois, Richard</t>
  </si>
  <si>
    <t>U21.5.M334 2009</t>
  </si>
  <si>
    <t>Sociology, Military.</t>
  </si>
  <si>
    <t>http://public.eblib.com/choice/PublicFullRecord.aspx?p=4750089</t>
  </si>
  <si>
    <t>L'ergothérapie au Québec : Histoire d'une profession</t>
  </si>
  <si>
    <t>Ferland, Francine; Dutil, Élisabeth</t>
  </si>
  <si>
    <t>RM735.F475 2012</t>
  </si>
  <si>
    <t>Occupational therapy.</t>
  </si>
  <si>
    <t>http://public.eblib.com/choice/PublicFullRecord.aspx?p=4750090</t>
  </si>
  <si>
    <t>Autochtones et le Québec (Les) : Des premiers contacts au Plan Nord</t>
  </si>
  <si>
    <t>E78.Q3.A986 2013</t>
  </si>
  <si>
    <t>Indians of North America--Quâebec (Province)--Government relations.</t>
  </si>
  <si>
    <t>http://public.eblib.com/choice/PublicFullRecord.aspx?p=4750093</t>
  </si>
  <si>
    <t>Les comportements dans le domaine de la santé : Comprendre pour mieux intervenir</t>
  </si>
  <si>
    <t>Godin, Gaston</t>
  </si>
  <si>
    <t>R727.4.L473 2012</t>
  </si>
  <si>
    <t>Patient education.</t>
  </si>
  <si>
    <t>http://public.eblib.com/choice/PublicFullRecord.aspx?p=4750095</t>
  </si>
  <si>
    <t>Création musicale au Québec (La)</t>
  </si>
  <si>
    <t>ML205.7.Q45.C743 2014</t>
  </si>
  <si>
    <t>Music by women composers--Quâebec (Province)--History and criticism.</t>
  </si>
  <si>
    <t>http://public.eblib.com/choice/PublicFullRecord.aspx?p=4750098</t>
  </si>
  <si>
    <t>Du pain ou du sang : Les travailleurs irlandais et le canal Beauharnois</t>
  </si>
  <si>
    <t>Viau, Roland</t>
  </si>
  <si>
    <t>HC117.Q4.V538 2013</t>
  </si>
  <si>
    <t>Foreign workers, Irish--Quâebec (Province)--Economic Conditions--19th century.</t>
  </si>
  <si>
    <t>http://public.eblib.com/choice/PublicFullRecord.aspx?p=4750099</t>
  </si>
  <si>
    <t>Histoire des pensionnats indiens catholiques au Québec : Le rôle déterminant des pères oblats</t>
  </si>
  <si>
    <t>Goulet, Henri</t>
  </si>
  <si>
    <t>http://public.eblib.com/choice/PublicFullRecord.aspx?p=4750100</t>
  </si>
  <si>
    <t>L'ordre et la fête</t>
  </si>
  <si>
    <t>Diaz, Frédéric; Robert, Philippe</t>
  </si>
  <si>
    <t>GT3405.D539 2015</t>
  </si>
  <si>
    <t>Special events--Social aspects.</t>
  </si>
  <si>
    <t>http://public.eblib.com/choice/PublicFullRecord.aspx?p=4750101</t>
  </si>
  <si>
    <t>Bon sens à la scandinave (Le) : Les inégalités sociales de santé</t>
  </si>
  <si>
    <t>RA393.R396 2013</t>
  </si>
  <si>
    <t>Health services accessibility--Scandinavia.</t>
  </si>
  <si>
    <t>http://public.eblib.com/choice/PublicFullRecord.aspx?p=4750103</t>
  </si>
  <si>
    <t>Trajectoires de la neutralité</t>
  </si>
  <si>
    <t>BL2765.Q3.T735 2014</t>
  </si>
  <si>
    <t>Religion and state--Quâebec (Province)</t>
  </si>
  <si>
    <t>http://public.eblib.com/choice/PublicFullRecord.aspx?p=4750104</t>
  </si>
  <si>
    <t>Soulèvements et recompositions politiques dans le monde arabe</t>
  </si>
  <si>
    <t>http://public.eblib.com/choice/PublicFullRecord.aspx?p=4750105</t>
  </si>
  <si>
    <t>Z pour Zombies</t>
  </si>
  <si>
    <t>http://public.eblib.com/choice/PublicFullRecord.aspx?p=4750107</t>
  </si>
  <si>
    <t>Le contrôle des jeunes déviants</t>
  </si>
  <si>
    <t>Desage, Fabien; Sallée, Nicolas; Duprez, Dominique</t>
  </si>
  <si>
    <t>http://public.eblib.com/choice/PublicFullRecord.aspx?p=4750108</t>
  </si>
  <si>
    <t>L'ethnicité et ses frontières, 2e ed.</t>
  </si>
  <si>
    <t>F1055.A1.J884 2015</t>
  </si>
  <si>
    <t>Ethnicity--Quâebec (Province)</t>
  </si>
  <si>
    <t>http://public.eblib.com/choice/PublicFullRecord.aspx?p=4750109</t>
  </si>
  <si>
    <t>Une chronique de la démocratie ordinaire : Les comités de citoyens au Québec et en France</t>
  </si>
  <si>
    <t>Patsias, Caroline</t>
  </si>
  <si>
    <t>http://public.eblib.com/choice/PublicFullRecord.aspx?p=4750110</t>
  </si>
  <si>
    <t>Parcours éducatifs : Construction de soi et transformation sociale</t>
  </si>
  <si>
    <t>Paul, Bélanger</t>
  </si>
  <si>
    <t>LC5215.P385 2015</t>
  </si>
  <si>
    <t>Adult education.</t>
  </si>
  <si>
    <t>http://public.eblib.com/choice/PublicFullRecord.aspx?p=4750111</t>
  </si>
  <si>
    <t>Gouvernance et planification collaborative : Cinq métropoles canadiennes</t>
  </si>
  <si>
    <t>Gariépy, Michel; Roy-Baillargeon, Olivier</t>
  </si>
  <si>
    <t>HT169.C3.G688 2016</t>
  </si>
  <si>
    <t>City planning--Canada--Citizen participation.</t>
  </si>
  <si>
    <t>http://public.eblib.com/choice/PublicFullRecord.aspx?p=4750113</t>
  </si>
  <si>
    <t>Amerindia : Essais d’ethnohistoire autochtone</t>
  </si>
  <si>
    <t>GN380.V538 2015</t>
  </si>
  <si>
    <t>Indigenous peoples.</t>
  </si>
  <si>
    <t>http://public.eblib.com/choice/PublicFullRecord.aspx?p=4750114</t>
  </si>
  <si>
    <t>Une guerre sourde : L'émergence de l'Union soviétique et les puissances occidentales</t>
  </si>
  <si>
    <t>Jabara Carley, Michael; Buttiens, Michel; Raymond, Marie-José</t>
  </si>
  <si>
    <t>http://public.eblib.com/choice/PublicFullRecord.aspx?p=4750115</t>
  </si>
  <si>
    <t>Vichy au Canada : L'exil québécois de collaborateurs français</t>
  </si>
  <si>
    <t>Bergère, Marc</t>
  </si>
  <si>
    <t>http://public.eblib.com/choice/PublicFullRecord.aspx?p=4750116</t>
  </si>
  <si>
    <t>Plurilinguisme et pluriculturalisme : Des modèles officiels dans le monde</t>
  </si>
  <si>
    <t>Lane-Mercier, Gillian; Merkle, Denise; Koustas, Jane</t>
  </si>
  <si>
    <t>P119.3.P587 2016</t>
  </si>
  <si>
    <t>Language policy.</t>
  </si>
  <si>
    <t>http://public.eblib.com/choice/PublicFullRecord.aspx?p=4750117</t>
  </si>
  <si>
    <t>Philosophies de la connaissance</t>
  </si>
  <si>
    <t>Nadeau, Robert</t>
  </si>
  <si>
    <t>BD161.P455 2016</t>
  </si>
  <si>
    <t>http://public.eblib.com/choice/PublicFullRecord.aspx?p=4750118</t>
  </si>
  <si>
    <t>Médecine(s) et santé : Une petite histoire globale - 19e et 20e siècles</t>
  </si>
  <si>
    <t>Monnais, Laurence</t>
  </si>
  <si>
    <t>R149.M666 2016</t>
  </si>
  <si>
    <t>Medicine--History--20th century.</t>
  </si>
  <si>
    <t>http://public.eblib.com/choice/PublicFullRecord.aspx?p=4750119</t>
  </si>
  <si>
    <t>Le rouge et le bleu : Une anthologie de la pensée politique au Québec de la Conquête à la Révolution tranquille 1760-1960</t>
  </si>
  <si>
    <t>Lamonde, Yvan; Corbo, Claude</t>
  </si>
  <si>
    <t>F1027.L476 1999</t>
  </si>
  <si>
    <t>French-Canadians--History.</t>
  </si>
  <si>
    <t>http://public.eblib.com/choice/PublicFullRecord.aspx?p=4750120</t>
  </si>
  <si>
    <t>Sociologie et valeurs : Quatorze penseurs québécois du XXe siècle</t>
  </si>
  <si>
    <t>Gagné, Gilles; Warren, Jean-Philippe</t>
  </si>
  <si>
    <t>http://public.eblib.com/choice/PublicFullRecord.aspx?p=4750124</t>
  </si>
  <si>
    <t>Parole d'historiens : Anthologie des réflexions sur l'histoire au Québec</t>
  </si>
  <si>
    <t>Bédard, Éric; Goyette, Julien</t>
  </si>
  <si>
    <t>http://public.eblib.com/choice/PublicFullRecord.aspx?p=4750125</t>
  </si>
  <si>
    <t>Pour comprendre le nationalisme : au Québec et ailleurs</t>
  </si>
  <si>
    <t>Monière, Denis</t>
  </si>
  <si>
    <t>F1053.2.M665 2001</t>
  </si>
  <si>
    <t>National liberation movements.</t>
  </si>
  <si>
    <t>http://public.eblib.com/choice/PublicFullRecord.aspx?p=4750130</t>
  </si>
  <si>
    <t>La gestion des ressources humaines : dans les organisations publiques</t>
  </si>
  <si>
    <t>Lemire, Louise; Gagnon, Yves-C.</t>
  </si>
  <si>
    <t>JF1601.L465 2002</t>
  </si>
  <si>
    <t>Civil service--Personnel management.</t>
  </si>
  <si>
    <t>http://public.eblib.com/choice/PublicFullRecord.aspx?p=4750133</t>
  </si>
  <si>
    <t>Le régime monétaire canadien : Institutions, théories et politiques (2e édition)</t>
  </si>
  <si>
    <t>Élie, Bernard</t>
  </si>
  <si>
    <t>HG185.C2.âE554 2002</t>
  </si>
  <si>
    <t>Financial institutions--Canada.</t>
  </si>
  <si>
    <t>http://public.eblib.com/choice/PublicFullRecord.aspx?p=4750135</t>
  </si>
  <si>
    <t>Éthique de l'information : Fondements et pratiques au Québec depuis 1960</t>
  </si>
  <si>
    <t>Saint-Jean, Armande</t>
  </si>
  <si>
    <t>PN4917.Q42.S256 2002</t>
  </si>
  <si>
    <t>Journalism--Quâebec (Province)</t>
  </si>
  <si>
    <t>http://public.eblib.com/choice/PublicFullRecord.aspx?p=4750136</t>
  </si>
  <si>
    <t>Savoir entreprendre : Douze modèles de réussite - études de cas</t>
  </si>
  <si>
    <t>Filion, Louis Jacques</t>
  </si>
  <si>
    <t>HD2810.5.Q4.F555 2002</t>
  </si>
  <si>
    <t>Big business--Quâebec (Province)</t>
  </si>
  <si>
    <t>http://public.eblib.com/choice/PublicFullRecord.aspx?p=4750137</t>
  </si>
  <si>
    <t>La psychocriminologie : Apports psychanalytiques et applications cliniques</t>
  </si>
  <si>
    <t>Casoni, Dianne; Brunet, Louis</t>
  </si>
  <si>
    <t>HV6080.C376 2003</t>
  </si>
  <si>
    <t>Criminal psychology--Case studies.</t>
  </si>
  <si>
    <t>http://public.eblib.com/choice/PublicFullRecord.aspx?p=4750138</t>
  </si>
  <si>
    <t>L'interaction professionnelle : Efficacité et coopération (2e édition)</t>
  </si>
  <si>
    <t>St-Arnaud, Yves</t>
  </si>
  <si>
    <t>BF637.C45.S737 2003</t>
  </si>
  <si>
    <t>Interpersonal communication.</t>
  </si>
  <si>
    <t>http://public.eblib.com/choice/PublicFullRecord.aspx?p=4750143</t>
  </si>
  <si>
    <t>L'univers social des adolescents</t>
  </si>
  <si>
    <t>Claes, Michel</t>
  </si>
  <si>
    <t>BF724.C534 2003</t>
  </si>
  <si>
    <t>Adolescent psychology.</t>
  </si>
  <si>
    <t>http://public.eblib.com/choice/PublicFullRecord.aspx?p=4750144</t>
  </si>
  <si>
    <t>Introduction à la victimologie</t>
  </si>
  <si>
    <t>Wemmers, Jo-Anne</t>
  </si>
  <si>
    <t>HV7419.W466 2003</t>
  </si>
  <si>
    <t>Criminal justice, Administration of.</t>
  </si>
  <si>
    <t>http://public.eblib.com/choice/PublicFullRecord.aspx?p=4750145</t>
  </si>
  <si>
    <t>Images et sociétés : Le progrès, les médias et la guerre</t>
  </si>
  <si>
    <t>Saouter, Catherine</t>
  </si>
  <si>
    <t>P96.S43.S268 2003</t>
  </si>
  <si>
    <t>Mass media--Semiotics.</t>
  </si>
  <si>
    <t>http://public.eblib.com/choice/PublicFullRecord.aspx?p=4750146</t>
  </si>
  <si>
    <t>La gestion environnementale et la norme ISO 14001</t>
  </si>
  <si>
    <t>Gendron, Corinne</t>
  </si>
  <si>
    <t>TD194.G463 2004</t>
  </si>
  <si>
    <t>Industries--Environmental aspects.</t>
  </si>
  <si>
    <t>http://public.eblib.com/choice/PublicFullRecord.aspx?p=4750151</t>
  </si>
  <si>
    <t>Comprendre le suicide</t>
  </si>
  <si>
    <t>Mishara, Brian L.; Tousignant, Michel</t>
  </si>
  <si>
    <t>RC569.M574 2004</t>
  </si>
  <si>
    <t>Suicidal behavior.</t>
  </si>
  <si>
    <t>http://public.eblib.com/choice/PublicFullRecord.aspx?p=4750152</t>
  </si>
  <si>
    <t>La terminologie : principes et techniques</t>
  </si>
  <si>
    <t>L'Homme, Marie-Claude</t>
  </si>
  <si>
    <t>P305.18.S72.L466 2004</t>
  </si>
  <si>
    <t>Terms and phrases.</t>
  </si>
  <si>
    <t>http://public.eblib.com/choice/PublicFullRecord.aspx?p=4750153</t>
  </si>
  <si>
    <t>Introduction aux littératures francophones : Afrique · Caraïbe · Maghreb</t>
  </si>
  <si>
    <t>Ndiaye, Christiane</t>
  </si>
  <si>
    <t>http://public.eblib.com/choice/PublicFullRecord.aspx?p=4750154</t>
  </si>
  <si>
    <t>Musique et modernité en France</t>
  </si>
  <si>
    <t>Caron, Sylvain; de Medicis, François; Duchesneau, Michel</t>
  </si>
  <si>
    <t>http://public.eblib.com/choice/PublicFullRecord.aspx?p=4750157</t>
  </si>
  <si>
    <t>Les dictionnaires Larousse : Genèse et évolution</t>
  </si>
  <si>
    <t>C. Cormier, Monique; Francoeur, Aline</t>
  </si>
  <si>
    <t>http://public.eblib.com/choice/PublicFullRecord.aspx?p=4750158</t>
  </si>
  <si>
    <t>Entre science et culture : Introduction à la philosophie des sciences</t>
  </si>
  <si>
    <t>Gauthier, Yvon</t>
  </si>
  <si>
    <t>H61.G388 2005</t>
  </si>
  <si>
    <t>Social sciences--Philosophy.</t>
  </si>
  <si>
    <t>http://public.eblib.com/choice/PublicFullRecord.aspx?p=4750159</t>
  </si>
  <si>
    <t>Le fédéralisme canadien contemporain : Fondements, traditions, institutions</t>
  </si>
  <si>
    <t>Gagnon, Professor of Political Science Alain-G</t>
  </si>
  <si>
    <t>JL27.F434 2006</t>
  </si>
  <si>
    <t>320.471/049</t>
  </si>
  <si>
    <t>http://public.eblib.com/choice/PublicFullRecord.aspx?p=4750160</t>
  </si>
  <si>
    <t>Diversité et indépendance des médias</t>
  </si>
  <si>
    <t>Gusse, Isabelle</t>
  </si>
  <si>
    <t>http://public.eblib.com/choice/PublicFullRecord.aspx?p=4750161</t>
  </si>
  <si>
    <t>La religion dans la sphère publique</t>
  </si>
  <si>
    <t>Lefebvre, Solange</t>
  </si>
  <si>
    <t>http://public.eblib.com/choice/PublicFullRecord.aspx?p=4750162</t>
  </si>
  <si>
    <t>Paysages en perspective</t>
  </si>
  <si>
    <t>Poullaouec-Gonidec, Philippe; Domon, Gérald; Paquette, Sylvai</t>
  </si>
  <si>
    <t>http://public.eblib.com/choice/PublicFullRecord.aspx?p=4750164</t>
  </si>
  <si>
    <t>Les meurtriers sexuels : Analyse comparative et nouvelles perspectives</t>
  </si>
  <si>
    <t>Glissant, Edouard; Proulx, Jean; Cusson, Maurice; Proulx, Jean; Cusson, Maurice</t>
  </si>
  <si>
    <t>HV8079.S48.M487 2005</t>
  </si>
  <si>
    <t>Sex crimes--Investigation.</t>
  </si>
  <si>
    <t>http://public.eblib.com/choice/PublicFullRecord.aspx?p=4750165</t>
  </si>
  <si>
    <t>Constructions méconnues du français</t>
  </si>
  <si>
    <t>Tellier, Christine; Valois, Daniel</t>
  </si>
  <si>
    <t>PC2112.T455 2006</t>
  </si>
  <si>
    <t>French language--Grammar, Generative.</t>
  </si>
  <si>
    <t>http://public.eblib.com/choice/PublicFullRecord.aspx?p=4750166</t>
  </si>
  <si>
    <t>L'entrepreneuriat féminin au Québec : Dix études de cas</t>
  </si>
  <si>
    <t>Richer, Francine; St-Cyr, Louise; Beaudoin, Nicole</t>
  </si>
  <si>
    <t>HD69.N3.R534 2007</t>
  </si>
  <si>
    <t>Entrepreneurship--Case studies.</t>
  </si>
  <si>
    <t>http://public.eblib.com/choice/PublicFullRecord.aspx?p=4750168</t>
  </si>
  <si>
    <t>Justice et démocratie : Une introduction à la philosophie politique</t>
  </si>
  <si>
    <t>Nadeau, Christian</t>
  </si>
  <si>
    <t>JA71.N334 2007</t>
  </si>
  <si>
    <t>Political science--Philosophy.</t>
  </si>
  <si>
    <t>http://public.eblib.com/choice/PublicFullRecord.aspx?p=4750170</t>
  </si>
  <si>
    <t>Le journalisme radiophonique</t>
  </si>
  <si>
    <t>Payette, Dominique; Brunelle, Anne-Marie</t>
  </si>
  <si>
    <t>PN4784.B75.P394 2007</t>
  </si>
  <si>
    <t>Broadcast journalism.</t>
  </si>
  <si>
    <t>http://public.eblib.com/choice/PublicFullRecord.aspx?p=4750171</t>
  </si>
  <si>
    <t>La sociocriminologie</t>
  </si>
  <si>
    <t>Leman-Langlois, Stéphane</t>
  </si>
  <si>
    <t>HV6025.L463 2007</t>
  </si>
  <si>
    <t>Crime--Sociological aspects.</t>
  </si>
  <si>
    <t>http://public.eblib.com/choice/PublicFullRecord.aspx?p=4750172</t>
  </si>
  <si>
    <t>Séduire par les mots : Pour des communications publiques efficaces (2e édition)</t>
  </si>
  <si>
    <t>Dumas, Jean</t>
  </si>
  <si>
    <t>HD30.3.D863 2007</t>
  </si>
  <si>
    <t>Communication in organizations.</t>
  </si>
  <si>
    <t>http://public.eblib.com/choice/PublicFullRecord.aspx?p=4750173</t>
  </si>
  <si>
    <t>Téléréalité : Quand la réalité est un mensonge</t>
  </si>
  <si>
    <t>PN1992.8.R43.D876 2007</t>
  </si>
  <si>
    <t>Reality television programs--Social aspects.</t>
  </si>
  <si>
    <t>http://public.eblib.com/choice/PublicFullRecord.aspx?p=4750174</t>
  </si>
  <si>
    <t>Lexicologie et sémantique lexicale : Notions fondamentales (2e édition)</t>
  </si>
  <si>
    <t>Polguère, Alain</t>
  </si>
  <si>
    <t>PC2567.P654 2008</t>
  </si>
  <si>
    <t>French language--Lexicology.</t>
  </si>
  <si>
    <t>http://public.eblib.com/choice/PublicFullRecord.aspx?p=4750175</t>
  </si>
  <si>
    <t>Politique internationale et défense au Canada et au Québec</t>
  </si>
  <si>
    <t>UA600.N677 2007</t>
  </si>
  <si>
    <t>National security--Canada.</t>
  </si>
  <si>
    <t>http://public.eblib.com/choice/PublicFullRecord.aspx?p=4750176</t>
  </si>
  <si>
    <t>La consultation en entreprise : Théories, stratégies, pratiques</t>
  </si>
  <si>
    <t>Roy, Francine</t>
  </si>
  <si>
    <t>General Works/Reference; Business/Management</t>
  </si>
  <si>
    <t>HD69.C6.R69 2008</t>
  </si>
  <si>
    <t>Business consultants.</t>
  </si>
  <si>
    <t>http://public.eblib.com/choice/PublicFullRecord.aspx?p=4750177</t>
  </si>
  <si>
    <t>Les dictionnaires de la langue française au Québec : De la Nouvelle-France à aujourd'hui</t>
  </si>
  <si>
    <t>Cormier, Monique C</t>
  </si>
  <si>
    <t>PC3645.Q4.D538 2008</t>
  </si>
  <si>
    <t>http://public.eblib.com/choice/PublicFullRecord.aspx?p=4750178</t>
  </si>
  <si>
    <t>Aide canadienne au développement (L')</t>
  </si>
  <si>
    <t>Audet, François; Desrosiers, Marie-Eve; Roussel, Stéphane</t>
  </si>
  <si>
    <t>HD82.A334 2008</t>
  </si>
  <si>
    <t>Economic development.</t>
  </si>
  <si>
    <t>http://public.eblib.com/choice/PublicFullRecord.aspx?p=4750179</t>
  </si>
  <si>
    <t>Les inégalités sociales de santé au Québec</t>
  </si>
  <si>
    <t>Frohlich, Katherine; De Koninck, Maria; Demers, Andrée</t>
  </si>
  <si>
    <t>http://public.eblib.com/choice/PublicFullRecord.aspx?p=4750180</t>
  </si>
  <si>
    <t>Introduction aux sciences de l'information</t>
  </si>
  <si>
    <t>Z665.I587 2009</t>
  </si>
  <si>
    <t>Information science--Standards.</t>
  </si>
  <si>
    <t>http://public.eblib.com/choice/PublicFullRecord.aspx?p=4750182</t>
  </si>
  <si>
    <t>Le paysage humanisé au Québec : Nouveau statut, nouveau paradigme</t>
  </si>
  <si>
    <t>Domon, Gérald</t>
  </si>
  <si>
    <t>http://public.eblib.com/choice/PublicFullRecord.aspx?p=4750183</t>
  </si>
  <si>
    <t>Raisonnement et pensée critique : Introduction à la logique informelle</t>
  </si>
  <si>
    <t>Montminy, Martin</t>
  </si>
  <si>
    <t>P301.5.P47.M668 2009</t>
  </si>
  <si>
    <t>Persuasion (Rhetoric)</t>
  </si>
  <si>
    <t>http://public.eblib.com/choice/PublicFullRecord.aspx?p=4750184</t>
  </si>
  <si>
    <t>Autorégulation (L') : Pour un dialogue efficace</t>
  </si>
  <si>
    <t>BF637.C45.S737 2009</t>
  </si>
  <si>
    <t>http://public.eblib.com/choice/PublicFullRecord.aspx?p=4750185</t>
  </si>
  <si>
    <t>Statistiques : Concepts et applications (2e édition)</t>
  </si>
  <si>
    <t>Haccoun  , Robert R.; Cousineau, Denis</t>
  </si>
  <si>
    <t>QA276.H333 2010</t>
  </si>
  <si>
    <t>Mathematical statistics.</t>
  </si>
  <si>
    <t>http://public.eblib.com/choice/PublicFullRecord.aspx?p=4750187</t>
  </si>
  <si>
    <t>Introduction à la politique africaine : Deuxième édition revue et augmentée</t>
  </si>
  <si>
    <t>Gazibo, Mamoudou</t>
  </si>
  <si>
    <t>DT30.5.G395 2010</t>
  </si>
  <si>
    <t>Democratization--Africa.</t>
  </si>
  <si>
    <t>http://public.eblib.com/choice/PublicFullRecord.aspx?p=4750188</t>
  </si>
  <si>
    <t>Le leadership partagé : Deuxième édition revue et augmentée</t>
  </si>
  <si>
    <t>Luc, Édith</t>
  </si>
  <si>
    <t>HD58.8.L83 2010</t>
  </si>
  <si>
    <t>http://public.eblib.com/choice/PublicFullRecord.aspx?p=4750190</t>
  </si>
  <si>
    <t>Publicités à la carte : Pour un choix stratégique des médias publicitaires (2e édition)</t>
  </si>
  <si>
    <t>Dorion, Jacques; Dumas, Jean</t>
  </si>
  <si>
    <t>HF5826.5.D675 2010</t>
  </si>
  <si>
    <t>Advertising media planning.</t>
  </si>
  <si>
    <t>http://public.eblib.com/choice/PublicFullRecord.aspx?p=4750191</t>
  </si>
  <si>
    <t>Traité de criminologie empirique, 4e édition : Quatrième édition entièrement revue et mise à jour</t>
  </si>
  <si>
    <t>Le Blanc, Marc; Cusson, Maurice</t>
  </si>
  <si>
    <t>http://public.eblib.com/choice/PublicFullRecord.aspx?p=4750193</t>
  </si>
  <si>
    <t>Les enfants et leurs écrans : La réglementation canadienne de la télévision à Internet</t>
  </si>
  <si>
    <t>Caron, André H.</t>
  </si>
  <si>
    <t>KE2460.C376 2011</t>
  </si>
  <si>
    <t>Mass media--Law and legislation--Canada.</t>
  </si>
  <si>
    <t>http://public.eblib.com/choice/PublicFullRecord.aspx?p=4750194</t>
  </si>
  <si>
    <t>Analyse des politiques publiques (L')</t>
  </si>
  <si>
    <t>Bernier, Luc; Lachapelle, Guy; Paquin, Stéphane</t>
  </si>
  <si>
    <t>JF1525.P6.A535 2010</t>
  </si>
  <si>
    <t>Political planning.</t>
  </si>
  <si>
    <t>http://public.eblib.com/choice/PublicFullRecord.aspx?p=4750195</t>
  </si>
  <si>
    <t>Pratiques innovantes auprès des jeunes en difficulté</t>
  </si>
  <si>
    <t>Lafortune, Denis; Cousineau, Marie-Marthe; Tremblay, Claudia</t>
  </si>
  <si>
    <t>http://public.eblib.com/choice/PublicFullRecord.aspx?p=4750196</t>
  </si>
  <si>
    <t>Pourquoi enseigner la musique? : Propos sur l’éducation musicale à la lumière de l’histoire, de la philosophie et de l’esthétique</t>
  </si>
  <si>
    <t>Dauphin, Claude</t>
  </si>
  <si>
    <t>MT6.D8333.D387 2011</t>
  </si>
  <si>
    <t>Music--Instruction and study.</t>
  </si>
  <si>
    <t>http://public.eblib.com/choice/PublicFullRecord.aspx?p=4750197</t>
  </si>
  <si>
    <t>Les problèmes organisationnels : Formulation et résolution</t>
  </si>
  <si>
    <t>Gagnon, Yves C.</t>
  </si>
  <si>
    <t>HD30.29.G346 2010</t>
  </si>
  <si>
    <t>Problem solving.</t>
  </si>
  <si>
    <t>http://public.eblib.com/choice/PublicFullRecord.aspx?p=4750198</t>
  </si>
  <si>
    <t>Introduction aux relations internationales : Quatrième édition</t>
  </si>
  <si>
    <t>Éthier, Diane</t>
  </si>
  <si>
    <t>JX1395.âE745 2010</t>
  </si>
  <si>
    <t>International relations.</t>
  </si>
  <si>
    <t>http://public.eblib.com/choice/PublicFullRecord.aspx?p=4750199</t>
  </si>
  <si>
    <t>Questions de criminologie</t>
  </si>
  <si>
    <t>Poupart, Jean; Lafortune, Denis; Tanner, Samuel</t>
  </si>
  <si>
    <t>http://public.eblib.com/choice/PublicFullRecord.aspx?p=4750200</t>
  </si>
  <si>
    <t>L'évaluation : concepts et méthodes 2e édition</t>
  </si>
  <si>
    <t>H62.E835 2011</t>
  </si>
  <si>
    <t>Evaluation research (Social action programs)</t>
  </si>
  <si>
    <t>http://public.eblib.com/choice/PublicFullRecord.aspx?p=4750202</t>
  </si>
  <si>
    <t>Le comportement électoral des Québécois</t>
  </si>
  <si>
    <t>Bélanger, Éric; Nadeau, Richard</t>
  </si>
  <si>
    <t>JL258.B536 2009</t>
  </si>
  <si>
    <t>Political campaigns--Quâebec (Province)</t>
  </si>
  <si>
    <t>http://public.eblib.com/choice/PublicFullRecord.aspx?p=4750203</t>
  </si>
  <si>
    <t>Exercices corrigés d'équations différentielles</t>
  </si>
  <si>
    <t>Lefebvre, Mario</t>
  </si>
  <si>
    <t>QA371.L444 2012</t>
  </si>
  <si>
    <t>Differential equations--Problems, exercises, etc.</t>
  </si>
  <si>
    <t>http://public.eblib.com/choice/PublicFullRecord.aspx?p=4750204</t>
  </si>
  <si>
    <t>Questions d'urbanisme</t>
  </si>
  <si>
    <t>Beaudet, Gérard; Meloche, Jean-Philippe; Scherrer, Franck</t>
  </si>
  <si>
    <t>http://public.eblib.com/choice/PublicFullRecord.aspx?p=4750206</t>
  </si>
  <si>
    <t>Théories de la politique étrangère américaine : Auteurs, concepts et approches</t>
  </si>
  <si>
    <t>David, Charles-Philippe</t>
  </si>
  <si>
    <t>http://public.eblib.com/choice/PublicFullRecord.aspx?p=4750207</t>
  </si>
  <si>
    <t>Construire l'espace sociosanitaire : Expériences et pratiques de recherche dans la production locale de la santé</t>
  </si>
  <si>
    <t>Aubry, François; Potvin, Louise</t>
  </si>
  <si>
    <t>http://public.eblib.com/choice/PublicFullRecord.aspx?p=4750208</t>
  </si>
  <si>
    <t>Approches et pratiques en évaluation de programmes : Nouvelle édition revue et augmentée</t>
  </si>
  <si>
    <t>Dagenais, Christian; Ridde, Valéry</t>
  </si>
  <si>
    <t>H62.A677 2012</t>
  </si>
  <si>
    <t>http://public.eblib.com/choice/PublicFullRecord.aspx?p=4750209</t>
  </si>
  <si>
    <t>La délinquance sexuelle des mineurs : approches cliniques</t>
  </si>
  <si>
    <t>Tardif, Monique; Jacob, Martine; Quenneville, Robert</t>
  </si>
  <si>
    <t>http://public.eblib.com/choice/PublicFullRecord.aspx?p=4750210</t>
  </si>
  <si>
    <t>Alimentation et vieillissement, 3e édition</t>
  </si>
  <si>
    <t>Ferland, Guylaine</t>
  </si>
  <si>
    <t>Science; Health; Science: Biology/Natural History</t>
  </si>
  <si>
    <t>QP86.F475 2012</t>
  </si>
  <si>
    <t>Aging--Nutritional aspects.</t>
  </si>
  <si>
    <t>http://public.eblib.com/choice/PublicFullRecord.aspx?p=4750213</t>
  </si>
  <si>
    <t>La coordination en gérontologie</t>
  </si>
  <si>
    <t>Couturier, Yves; Gagnon, Dominique; Belzile, Louise</t>
  </si>
  <si>
    <t>HV1451.C667 2013</t>
  </si>
  <si>
    <t>Social work with older people.</t>
  </si>
  <si>
    <t>http://public.eblib.com/choice/PublicFullRecord.aspx?p=4750214</t>
  </si>
  <si>
    <t>Éthique et soins infirmiers, 2e ed. : Deuxième édition revue et mise à jour</t>
  </si>
  <si>
    <t>Blondeau, Danielle</t>
  </si>
  <si>
    <t>http://public.eblib.com/choice/PublicFullRecord.aspx?p=4750215</t>
  </si>
  <si>
    <t>Le système politique américain : Cinquième édition revue et augmentée</t>
  </si>
  <si>
    <t>Fortmann, Michel; Martin, Pierre</t>
  </si>
  <si>
    <t>http://public.eblib.com/choice/PublicFullRecord.aspx?p=4750216</t>
  </si>
  <si>
    <t>La pratique du leadership partagé : Une stratégie gagnante</t>
  </si>
  <si>
    <t>Luc, Édith; Saget, Meryem Le</t>
  </si>
  <si>
    <t>HD58.9.L83 2013</t>
  </si>
  <si>
    <t>Organizational effectiveness.</t>
  </si>
  <si>
    <t>http://public.eblib.com/choice/PublicFullRecord.aspx?p=4750217</t>
  </si>
  <si>
    <t>La délinquance sexuelle des mineurs : théories et recherches</t>
  </si>
  <si>
    <t>Tardif, Monique</t>
  </si>
  <si>
    <t>http://public.eblib.com/choice/PublicFullRecord.aspx?p=4750218</t>
  </si>
  <si>
    <t>Emploi et salaire : 3e édition revue et augmentée</t>
  </si>
  <si>
    <t>Cousineau, Jean-Michel</t>
  </si>
  <si>
    <t>HD4901.C687 2015</t>
  </si>
  <si>
    <t>Labor economics.</t>
  </si>
  <si>
    <t>http://public.eblib.com/choice/PublicFullRecord.aspx?p=4750219</t>
  </si>
  <si>
    <t>Psychologie de l'adolescence (La)</t>
  </si>
  <si>
    <t>Claes, Michel; Lannegrand-Willems, Lyda</t>
  </si>
  <si>
    <t>BF724.P793 2014</t>
  </si>
  <si>
    <t>http://public.eblib.com/choice/PublicFullRecord.aspx?p=4750220</t>
  </si>
  <si>
    <t>Anatomie de la prison contemporaine : Nouvelle édition</t>
  </si>
  <si>
    <t>Lemire, Guy; Vacheret, Marion</t>
  </si>
  <si>
    <t>HV8706.V334 2007</t>
  </si>
  <si>
    <t>Imprisonment--Psychological aspects.</t>
  </si>
  <si>
    <t>http://public.eblib.com/choice/PublicFullRecord.aspx?p=4750222</t>
  </si>
  <si>
    <t>La vision et l'environnement de travail</t>
  </si>
  <si>
    <t>Frenette, Benoît</t>
  </si>
  <si>
    <t>RE51.F746 2013</t>
  </si>
  <si>
    <t>Eye--Care and hygiene.</t>
  </si>
  <si>
    <t>http://public.eblib.com/choice/PublicFullRecord.aspx?p=4750223</t>
  </si>
  <si>
    <t>La pénologie : Réflexions juridiques et criminologiques autour de la peine</t>
  </si>
  <si>
    <t>Paramètres</t>
  </si>
  <si>
    <t>Jimenez, Estibaliz; Jimenez, Estibaliz</t>
  </si>
  <si>
    <t>http://public.eblib.com/choice/PublicFullRecord.aspx?p=4750224</t>
  </si>
  <si>
    <t>Agriculture et paysage : Aménager autrement les territoires ruraux</t>
  </si>
  <si>
    <t>Domon, Gérald; Ruiz, Julie</t>
  </si>
  <si>
    <t>HT395.C32.A375 2014</t>
  </si>
  <si>
    <t>http://public.eblib.com/choice/PublicFullRecord.aspx?p=4750227</t>
  </si>
  <si>
    <t>Éthique clinique (L') : Pour une approche relationnelle dans les soins</t>
  </si>
  <si>
    <t>Doucet, Hubert</t>
  </si>
  <si>
    <t>R724.D683 2014</t>
  </si>
  <si>
    <t>Medical ethics.</t>
  </si>
  <si>
    <t>http://public.eblib.com/choice/PublicFullRecord.aspx?p=4750228</t>
  </si>
  <si>
    <t>Famille et les troubles émotionnels des jeunes (La)</t>
  </si>
  <si>
    <t>RC455.4.F3.V555 2014</t>
  </si>
  <si>
    <t>Mentally ill--Family relationships.</t>
  </si>
  <si>
    <t>http://public.eblib.com/choice/PublicFullRecord.aspx?p=4750229</t>
  </si>
  <si>
    <t>Méthodes de planification en transport : Deuxième édition</t>
  </si>
  <si>
    <t>Ouellet, Roch; Parent, Régis</t>
  </si>
  <si>
    <t>HE193.N634 2014</t>
  </si>
  <si>
    <t>Transportation--Planning.</t>
  </si>
  <si>
    <t>http://public.eblib.com/choice/PublicFullRecord.aspx?p=4750230</t>
  </si>
  <si>
    <t>Les enjeux éthiques de la limite des ressources en santé</t>
  </si>
  <si>
    <t>RA395.C2.S256 2016</t>
  </si>
  <si>
    <t>Health services accessibility--Quâebec (Province)</t>
  </si>
  <si>
    <t>http://public.eblib.com/choice/PublicFullRecord.aspx?p=4750231</t>
  </si>
  <si>
    <t>L'intégration des services en santé : Une approche populationnelle</t>
  </si>
  <si>
    <t>Couturier, Yves; Belzile, Louise; Bonin, Lucie</t>
  </si>
  <si>
    <t>RA413.C688 2016</t>
  </si>
  <si>
    <t>Managed care plans (Medical care)</t>
  </si>
  <si>
    <t>http://public.eblib.com/choice/PublicFullRecord.aspx?p=4750233</t>
  </si>
  <si>
    <t>La politique comparée, 2e édition revue et mise à jour : Fondements enjeux et approches théoriques</t>
  </si>
  <si>
    <t>Gazibo, Mamoudou; Jenson, Jane</t>
  </si>
  <si>
    <t>JF51.G395 2015</t>
  </si>
  <si>
    <t>Comparative government.</t>
  </si>
  <si>
    <t>http://public.eblib.com/choice/PublicFullRecord.aspx?p=4750234</t>
  </si>
  <si>
    <t>Inégalités : mode d'emploi</t>
  </si>
  <si>
    <t>Moulin, Stéphane</t>
  </si>
  <si>
    <t>http://public.eblib.com/choice/PublicFullRecord.aspx?p=4750236</t>
  </si>
  <si>
    <t>Les approches qualitatives en gestion</t>
  </si>
  <si>
    <t>Roy, Mario; Prévost, Paul</t>
  </si>
  <si>
    <t>Engineering; Business/Management; Engineering: General</t>
  </si>
  <si>
    <t>T56.P748 2015</t>
  </si>
  <si>
    <t>Management science--Research.</t>
  </si>
  <si>
    <t>http://public.eblib.com/choice/PublicFullRecord.aspx?p=4750237</t>
  </si>
  <si>
    <t>Équations différentielles : 2e édition revue et augmentée</t>
  </si>
  <si>
    <t>http://public.eblib.com/choice/PublicFullRecord.aspx?p=4750238</t>
  </si>
  <si>
    <t>L'écriture journalistique sous toutes ses formes : Deuxième édition revue et augmentée</t>
  </si>
  <si>
    <t>Asselin, Yvan; Brisson, Pierre; Maltais, Robert</t>
  </si>
  <si>
    <t>http://public.eblib.com/choice/PublicFullRecord.aspx?p=4750239</t>
  </si>
  <si>
    <t>L'éducation aux médias à l'ère numérique : Entre fondations et renouvellement</t>
  </si>
  <si>
    <t>Landry, Normand; Letellier, Anne-Sophie</t>
  </si>
  <si>
    <t>http://public.eblib.com/choice/PublicFullRecord.aspx?p=4750240</t>
  </si>
  <si>
    <t>Drogue et criminalité : Une relation complexe. Troisième édition revue et augmentée</t>
  </si>
  <si>
    <t>Brochu, Serge</t>
  </si>
  <si>
    <t>http://public.eblib.com/choice/PublicFullRecord.aspx?p=4750242</t>
  </si>
  <si>
    <t>Les MOOCs : Cours en ligne et transformations des universités</t>
  </si>
  <si>
    <t>Achard, Pablo</t>
  </si>
  <si>
    <t>LB1044.87.A243 2016</t>
  </si>
  <si>
    <t>MOOCs (Web-based instruction)</t>
  </si>
  <si>
    <t>http://public.eblib.com/choice/PublicFullRecord.aspx?p=4750243</t>
  </si>
  <si>
    <t>Sur le seuil du temps : Essais sur la photographie</t>
  </si>
  <si>
    <t>Kracauer, Siegfried</t>
  </si>
  <si>
    <t>TR183.K733 2013</t>
  </si>
  <si>
    <t>Photography--Philosophy.</t>
  </si>
  <si>
    <t>http://public.eblib.com/choice/PublicFullRecord.aspx?p=4750245</t>
  </si>
  <si>
    <t>Grands projets et innovations technologiques au Canada</t>
  </si>
  <si>
    <t>HD9711.C22.G736 1999</t>
  </si>
  <si>
    <t>Aircraft industry--Canada.</t>
  </si>
  <si>
    <t>http://public.eblib.com/choice/PublicFullRecord.aspx?p=4750252</t>
  </si>
  <si>
    <t>Radioscopie de l'information télévisée au Canada</t>
  </si>
  <si>
    <t>Monière, Denis; Fortier, Julie</t>
  </si>
  <si>
    <t>PN4914.T4.M665 2000</t>
  </si>
  <si>
    <t>Television broadcasting of news--Canada.</t>
  </si>
  <si>
    <t>http://public.eblib.com/choice/PublicFullRecord.aspx?p=4750254</t>
  </si>
  <si>
    <t>Les mouvements sociaux</t>
  </si>
  <si>
    <t>Farro, Antimo L.</t>
  </si>
  <si>
    <t>HM881.F377 1998</t>
  </si>
  <si>
    <t>Social movements.</t>
  </si>
  <si>
    <t>http://public.eblib.com/choice/PublicFullRecord.aspx?p=4750256</t>
  </si>
  <si>
    <t>Les raisons fortes : Nature et signification de l'appui à la souveraineté du Québec</t>
  </si>
  <si>
    <t>Gagné, Gilles; Langlois, Simon</t>
  </si>
  <si>
    <t>HN110.Z9.G346 2002</t>
  </si>
  <si>
    <t>Public opinion--Quâebec (Province)</t>
  </si>
  <si>
    <t>http://public.eblib.com/choice/PublicFullRecord.aspx?p=4750257</t>
  </si>
  <si>
    <t>Le désengagement de l'État providence</t>
  </si>
  <si>
    <t>Bernier, Nicole F.</t>
  </si>
  <si>
    <t>HC120.I5.B476 2003</t>
  </si>
  <si>
    <t>362.5/820971</t>
  </si>
  <si>
    <t>Income maintenance programs--Government policy--Canada.</t>
  </si>
  <si>
    <t>http://public.eblib.com/choice/PublicFullRecord.aspx?p=4750259</t>
  </si>
  <si>
    <t>Trois espaces de protestation : France, Canada, Québec</t>
  </si>
  <si>
    <t>Dufour, Pascale</t>
  </si>
  <si>
    <t>JZ1318.D846 2013</t>
  </si>
  <si>
    <t>Anti-globalization movement.</t>
  </si>
  <si>
    <t>http://public.eblib.com/choice/PublicFullRecord.aspx?p=4750260</t>
  </si>
  <si>
    <t>Aide au conditionnel (L') : La contrepartie dans les mesures envers les personnes sans emploi en Europe et en Amérique du Nord</t>
  </si>
  <si>
    <t>Boismenu, Gérard; Dufour, Pascale; Noël, Alain</t>
  </si>
  <si>
    <t>HD7095.D846 2003</t>
  </si>
  <si>
    <t>Unemployment insurance--Government policy.</t>
  </si>
  <si>
    <t>http://public.eblib.com/choice/PublicFullRecord.aspx?p=4750261</t>
  </si>
  <si>
    <t>Canada et l'Arctique (Le)</t>
  </si>
  <si>
    <t>F1090.5.G754 2015</t>
  </si>
  <si>
    <t>http://public.eblib.com/choice/PublicFullRecord.aspx?p=4750262</t>
  </si>
  <si>
    <t>Social-démocratie 2.1 : Le Québec comparé aux pays scandinaves. Deuxième édition revue et augmentée</t>
  </si>
  <si>
    <t>HJ795.Q4.S635 2016</t>
  </si>
  <si>
    <t>Finance, Public--Quâebec (Province)</t>
  </si>
  <si>
    <t>http://public.eblib.com/choice/PublicFullRecord.aspx?p=4750268</t>
  </si>
  <si>
    <t>Absence du maître (L') : Saint-Denys Garneau, Ferron, Ducharme</t>
  </si>
  <si>
    <t>Biron, Michel</t>
  </si>
  <si>
    <t>PQ3917.Q3.B576 2000</t>
  </si>
  <si>
    <t>840.9/97140904</t>
  </si>
  <si>
    <t>French-Canadian literature--Quâebec (Province)--History and criticism.</t>
  </si>
  <si>
    <t>http://public.eblib.com/choice/PublicFullRecord.aspx?p=4750270</t>
  </si>
  <si>
    <t>La fédéralisation de l'immigration au Canada</t>
  </si>
  <si>
    <t>Paquet, Mireille</t>
  </si>
  <si>
    <t>JV7225.P378 2016</t>
  </si>
  <si>
    <t>http://public.eblib.com/choice/PublicFullRecord.aspx?p=4750271</t>
  </si>
  <si>
    <t>Rictus romantiques : Politiques du rire chez Victor Hugo</t>
  </si>
  <si>
    <t>Prévost, Maxime</t>
  </si>
  <si>
    <t>PQ2304.L28.P748 2002</t>
  </si>
  <si>
    <t>Laughter in literature.</t>
  </si>
  <si>
    <t>http://public.eblib.com/choice/PublicFullRecord.aspx?p=4750273</t>
  </si>
  <si>
    <t>La malédiction littéraire : Du poète crotté au génie malheureux</t>
  </si>
  <si>
    <t>Brissette, Pascal</t>
  </si>
  <si>
    <t>PN56.M4.B757 2005</t>
  </si>
  <si>
    <t>Melancholy in literature.</t>
  </si>
  <si>
    <t>http://public.eblib.com/choice/PublicFullRecord.aspx?p=4750274</t>
  </si>
  <si>
    <t>De l’acteur vedette au théâtre de festival : Histoire des pratiques scéniques montréalaises 1940-1980</t>
  </si>
  <si>
    <t>Schryburt, Sylvain</t>
  </si>
  <si>
    <t>PN2306.M66.S379 2011</t>
  </si>
  <si>
    <t>Theater--Quâebec (Province)--Montrâeal.</t>
  </si>
  <si>
    <t>http://public.eblib.com/choice/PublicFullRecord.aspx?p=4750284</t>
  </si>
  <si>
    <t>Le Japon au travail</t>
  </si>
  <si>
    <t>Bernier, Bernard; Mirza, Vincent</t>
  </si>
  <si>
    <t>HD7757.B476 2009</t>
  </si>
  <si>
    <t>Work environment--Japan--History--20th century.</t>
  </si>
  <si>
    <t>http://public.eblib.com/choice/PublicFullRecord.aspx?p=4750293</t>
  </si>
  <si>
    <t>Traits chinois/Lignes francophones</t>
  </si>
  <si>
    <t>PQ3809.T735 2012</t>
  </si>
  <si>
    <t>French literature--Foreign countries--Chinise authors--History and criticism.</t>
  </si>
  <si>
    <t>http://public.eblib.com/choice/PublicFullRecord.aspx?p=4750295</t>
  </si>
  <si>
    <t>Gérer l'environnement : Défis constants, solutions incertaines</t>
  </si>
  <si>
    <t>HD75.6.G74 2001</t>
  </si>
  <si>
    <t>Economic development--Environmental aspects.</t>
  </si>
  <si>
    <t>http://public.eblib.com/choice/PublicFullRecord.aspx?p=4750297</t>
  </si>
  <si>
    <t>Nouvelles valeurs et gouvernance au Canada</t>
  </si>
  <si>
    <t>JF1051.N688 2002</t>
  </si>
  <si>
    <t>Representative government and representation--Canada.</t>
  </si>
  <si>
    <t>http://public.eblib.com/choice/PublicFullRecord.aspx?p=4750299</t>
  </si>
  <si>
    <t>Renouveler l'aménagement et l'urbanisme : Planification territoriale, débat public et développement durable</t>
  </si>
  <si>
    <t>http://public.eblib.com/choice/PublicFullRecord.aspx?p=4750305</t>
  </si>
  <si>
    <t>Barcelone : ou comment refaire une ville</t>
  </si>
  <si>
    <t>Sokoloff, Béatrice</t>
  </si>
  <si>
    <t>DP402.B25.S656 1999</t>
  </si>
  <si>
    <t>City planning--Spain--Barcelona.</t>
  </si>
  <si>
    <t>http://public.eblib.com/choice/PublicFullRecord.aspx?p=4750306</t>
  </si>
  <si>
    <t>Montréal et Toronto : Villes intérieures</t>
  </si>
  <si>
    <t>Boisvert, Michel</t>
  </si>
  <si>
    <t>Engineering: Civil; Social Science; Engineering</t>
  </si>
  <si>
    <t>TA712.B657 2011</t>
  </si>
  <si>
    <t>Underground areas.</t>
  </si>
  <si>
    <t>http://public.eblib.com/choice/PublicFullRecord.aspx?p=4750308</t>
  </si>
  <si>
    <t>Paysages ruraux : Méthodes d'état des lieux et de diagnostic</t>
  </si>
  <si>
    <t>GF127.D666 2015</t>
  </si>
  <si>
    <t>Rural geography--Quâebec (Province)</t>
  </si>
  <si>
    <t>http://public.eblib.com/choice/PublicFullRecord.aspx?p=4750309</t>
  </si>
  <si>
    <t>Guide de l'architecture contemporaine de Montréal : Deuxième édition</t>
  </si>
  <si>
    <t>Dunton, Nancy; Malkin, Helen</t>
  </si>
  <si>
    <t>NA747.M66.D868 2016</t>
  </si>
  <si>
    <t>Architecture--Quâebec (Province)--Montrâeal--Guidebooks.</t>
  </si>
  <si>
    <t>http://public.eblib.com/choice/PublicFullRecord.aspx?p=4750310</t>
  </si>
  <si>
    <t>Architecture de paysage du Canada</t>
  </si>
  <si>
    <t>Williams, Ron</t>
  </si>
  <si>
    <t>SB470.55.C3.W555 2014</t>
  </si>
  <si>
    <t>Landscape architecture--Canada--History.</t>
  </si>
  <si>
    <t>http://public.eblib.com/choice/PublicFullRecord.aspx?p=4750315</t>
  </si>
  <si>
    <t>Histoire du livre et de l'imprimé au Canada, Vol. I : Des débuts à 1840</t>
  </si>
  <si>
    <t>http://public.eblib.com/choice/PublicFullRecord.aspx?p=4750321</t>
  </si>
  <si>
    <t>Plaisirs de la prose</t>
  </si>
  <si>
    <t>Mailhot, Laurent</t>
  </si>
  <si>
    <t>PQ3917.Q3.M355 2005</t>
  </si>
  <si>
    <t>French-Canadian prose literature--Quâebec (Province)--History and criticism.</t>
  </si>
  <si>
    <t>http://public.eblib.com/choice/PublicFullRecord.aspx?p=4750322</t>
  </si>
  <si>
    <t>L'étreinte des vents</t>
  </si>
  <si>
    <t>Dorion, Hélène</t>
  </si>
  <si>
    <t>PQ3919.2.D654.D675 2009</t>
  </si>
  <si>
    <t>Interpersonal relations in literature.</t>
  </si>
  <si>
    <t>http://public.eblib.com/choice/PublicFullRecord.aspx?p=4750324</t>
  </si>
  <si>
    <t>Histoire du livre et de l'imprimé au Canada, Vol. II : de 1840 à 1918</t>
  </si>
  <si>
    <t>Lamonde, Yvan</t>
  </si>
  <si>
    <t>Z483.H578 2005</t>
  </si>
  <si>
    <t>Book industries and trade--Canada--History.</t>
  </si>
  <si>
    <t>http://public.eblib.com/choice/PublicFullRecord.aspx?p=4750325</t>
  </si>
  <si>
    <t>Cultures courtoises en mouvement</t>
  </si>
  <si>
    <t>http://public.eblib.com/choice/PublicFullRecord.aspx?p=4750330</t>
  </si>
  <si>
    <t>Tu seras journaliste : et autres œuvres sur le journalisme</t>
  </si>
  <si>
    <t>PQ3919.G8.T87 2013</t>
  </si>
  <si>
    <t>http://public.eblib.com/choice/PublicFullRecord.aspx?p=4750332</t>
  </si>
  <si>
    <t>Transmédiations : Traversées culturelles de la modernité tardive</t>
  </si>
  <si>
    <t>http://public.eblib.com/choice/PublicFullRecord.aspx?p=4750333</t>
  </si>
  <si>
    <t>À contre-langue et à courre d'idées : Étude du vocabulaire étranger francisé et du discours polémique dans l’œuvre de Jacques Ferron</t>
  </si>
  <si>
    <t>Patry, Richard</t>
  </si>
  <si>
    <t>PQ3919.2.F4.P387 2013</t>
  </si>
  <si>
    <t>Polemics in literature.</t>
  </si>
  <si>
    <t>http://public.eblib.com/choice/PublicFullRecord.aspx?p=4750334</t>
  </si>
  <si>
    <t>Guide de procédure des assemblées délibérantes</t>
  </si>
  <si>
    <t>http://public.eblib.com/choice/PublicFullRecord.aspx?p=4750336</t>
  </si>
  <si>
    <t>Guide de la recherche documentaire</t>
  </si>
  <si>
    <t>Gagnon, Maryse; Farley-Chevrier, Francis</t>
  </si>
  <si>
    <t>Z710.G346 2004</t>
  </si>
  <si>
    <t>Library research.</t>
  </si>
  <si>
    <t>http://public.eblib.com/choice/PublicFullRecord.aspx?p=4750338</t>
  </si>
  <si>
    <t>Guide méthodologique universitaire : Un programme en 12 semaines</t>
  </si>
  <si>
    <t>Jimenez, Aude; Tadlaoui, Jamal-Eddine</t>
  </si>
  <si>
    <t>LB2395.J564 2011</t>
  </si>
  <si>
    <t>Study skills--Handbooks, manuals, etc.</t>
  </si>
  <si>
    <t>http://public.eblib.com/choice/PublicFullRecord.aspx?p=4750339</t>
  </si>
  <si>
    <t>La cité au bout du fil</t>
  </si>
  <si>
    <t>Poitras, Claire</t>
  </si>
  <si>
    <t>TK6015.P658 2000</t>
  </si>
  <si>
    <t>Telephone systems--History.</t>
  </si>
  <si>
    <t>http://public.eblib.com/choice/PublicFullRecord.aspx?p=4750341</t>
  </si>
  <si>
    <t>Enquête feed-back (L') : Édition revue et mise à jour</t>
  </si>
  <si>
    <t>Lescarbeau, Robert</t>
  </si>
  <si>
    <t>HD58.8.L473 2010</t>
  </si>
  <si>
    <t>Communication in management.</t>
  </si>
  <si>
    <t>http://public.eblib.com/choice/PublicFullRecord.aspx?p=4750342</t>
  </si>
  <si>
    <t>Tour du monde des champignons en 60 tableaux (Le)</t>
  </si>
  <si>
    <t>Després, Jean</t>
  </si>
  <si>
    <t>QK603.D477 2014</t>
  </si>
  <si>
    <t>Fungi.</t>
  </si>
  <si>
    <t>http://public.eblib.com/choice/PublicFullRecord.aspx?p=4750344</t>
  </si>
  <si>
    <t>La thèse : Un guide pour y entrer... et s'en sortir</t>
  </si>
  <si>
    <t>Bernheim, Emmanuelle; Noreau, Pierre</t>
  </si>
  <si>
    <t>Education; Literature</t>
  </si>
  <si>
    <t>LB2369.T47 2016</t>
  </si>
  <si>
    <t>Dissertations, Academic--Handbooks, manuals, etc.</t>
  </si>
  <si>
    <t>http://public.eblib.com/choice/PublicFullRecord.aspx?p=4750345</t>
  </si>
  <si>
    <t>Vocabulaire de la création d'entreprise par essaimage : incluant la terminologie élémentaire de la restructuration par scission</t>
  </si>
  <si>
    <t>Létourneau, Denyse; Filion, Louis Jacques</t>
  </si>
  <si>
    <t>HB615.L486 2012</t>
  </si>
  <si>
    <t>Entrepreneurship--Dictionaries.</t>
  </si>
  <si>
    <t>http://public.eblib.com/choice/PublicFullRecord.aspx?p=4750348</t>
  </si>
  <si>
    <t>Les sciences sociales de l'environnement : Analyses et pratiques</t>
  </si>
  <si>
    <t>GE105.S354 1999</t>
  </si>
  <si>
    <t>Environmental sciences.</t>
  </si>
  <si>
    <t>http://public.eblib.com/choice/PublicFullRecord.aspx?p=4750352</t>
  </si>
  <si>
    <t>Initiation à la recherche en géographie : Aménagement, développement territorial, environnement</t>
  </si>
  <si>
    <t>Gumuchian, Hervé; Marois, Claude</t>
  </si>
  <si>
    <t>G73.G868 2000</t>
  </si>
  <si>
    <t>Geography--Research.</t>
  </si>
  <si>
    <t>http://public.eblib.com/choice/PublicFullRecord.aspx?p=4750354</t>
  </si>
  <si>
    <t>L'individu et le citoyen dans la société moderne</t>
  </si>
  <si>
    <t>F1035.A1.I535 2000</t>
  </si>
  <si>
    <t>Ethnicity--Canada.</t>
  </si>
  <si>
    <t>http://public.eblib.com/choice/PublicFullRecord.aspx?p=4750355</t>
  </si>
  <si>
    <t>Développement durable et participation publique : De la contestation écologiste aux défis de la gouvernance</t>
  </si>
  <si>
    <t>Vaillancourt, Jean-Guy; Vaillancourt, Jean-Guy</t>
  </si>
  <si>
    <t>GE300.D84 2003</t>
  </si>
  <si>
    <t>Environmental management--Social aspects.</t>
  </si>
  <si>
    <t>http://public.eblib.com/choice/PublicFullRecord.aspx?p=4750363</t>
  </si>
  <si>
    <t>Un modèle québécois? : Gouvernance et participation dans la gestion publique</t>
  </si>
  <si>
    <t>Hamel, Pierre; Jouve, Bernard</t>
  </si>
  <si>
    <t>HD2768.C38.H364 2006</t>
  </si>
  <si>
    <t>Public utilities--Quâebec (Province)--Management--Citizen participation.</t>
  </si>
  <si>
    <t>http://public.eblib.com/choice/PublicFullRecord.aspx?p=4750364</t>
  </si>
  <si>
    <t>L'état des citoyennetés : en Europe et dans les Amériques</t>
  </si>
  <si>
    <t>Jenson, Jane; Marques-Pereira, Bérengère; Remacle, Éric; Marques-Pereira, Bérengère; Remacle, Éric</t>
  </si>
  <si>
    <t>JF801.J467 2007</t>
  </si>
  <si>
    <t>Citizenship.</t>
  </si>
  <si>
    <t>http://public.eblib.com/choice/PublicFullRecord.aspx?p=4750366</t>
  </si>
  <si>
    <t>L'énigme haïtienne : Échec de l'État moderne en Haïti</t>
  </si>
  <si>
    <t>Étienne, Sauveur Pierre</t>
  </si>
  <si>
    <t>CB151.E854 2007</t>
  </si>
  <si>
    <t>Crises.</t>
  </si>
  <si>
    <t>http://public.eblib.com/choice/PublicFullRecord.aspx?p=4750369</t>
  </si>
  <si>
    <t>Les Vietnamiens de Montréal</t>
  </si>
  <si>
    <t>Dorais, Louis-Jacques; Richard, Éric</t>
  </si>
  <si>
    <t>RM930.D673 2007</t>
  </si>
  <si>
    <t>Rehabilitation.</t>
  </si>
  <si>
    <t>http://public.eblib.com/choice/PublicFullRecord.aspx?p=4750370</t>
  </si>
  <si>
    <t>La politique en questions</t>
  </si>
  <si>
    <t>Professeurs de science politique de l'Université de Montréal</t>
  </si>
  <si>
    <t>http://public.eblib.com/choice/PublicFullRecord.aspx?p=4750373</t>
  </si>
  <si>
    <t>Les migrations internationales contemporaines : Une dynamique complexe au cœur de la globalisation</t>
  </si>
  <si>
    <t>Crépeau, François; Nakache, Delphine; Atak, Idil</t>
  </si>
  <si>
    <t>http://public.eblib.com/choice/PublicFullRecord.aspx?p=4750374</t>
  </si>
  <si>
    <t>La politique internationale en questions</t>
  </si>
  <si>
    <t>http://public.eblib.com/choice/PublicFullRecord.aspx?p=4750375</t>
  </si>
  <si>
    <t>Terrorisme et anti-terrorisme au Canada</t>
  </si>
  <si>
    <t>Leman-Langlois, Stéphane; Brodeur, Jean-Paul</t>
  </si>
  <si>
    <t>http://public.eblib.com/choice/PublicFullRecord.aspx?p=4750376</t>
  </si>
  <si>
    <t>Aux sciences citoyens ! : Expériences et méthodes de consultation sur les enjeux scientifiques de notre temps</t>
  </si>
  <si>
    <t>Duranceau, Marie-France; Pion, Léonore; Piron, Florence</t>
  </si>
  <si>
    <t>Q175.5.P566 2009</t>
  </si>
  <si>
    <t>Science--Social aspects.</t>
  </si>
  <si>
    <t>http://public.eblib.com/choice/PublicFullRecord.aspx?p=4750378</t>
  </si>
  <si>
    <t>Les majorités fragiles et l'éducation : Belgique • Catalogne • Irlande du Nord • Québec</t>
  </si>
  <si>
    <t>Andrew, Marie Mc</t>
  </si>
  <si>
    <t>HM1271.A537 2010</t>
  </si>
  <si>
    <t>Cultural pluralism.</t>
  </si>
  <si>
    <t>http://public.eblib.com/choice/PublicFullRecord.aspx?p=4750380</t>
  </si>
  <si>
    <t>Maintenir la paix en zones postconflit : Les nouveaux visages de la police</t>
  </si>
  <si>
    <t>Tanner, Samuel; Dupont, Benoit</t>
  </si>
  <si>
    <t>http://public.eblib.com/choice/PublicFullRecord.aspx?p=4750382</t>
  </si>
  <si>
    <t>Armée canadienne vous parle (L') : Communication et propagande gouvernementales</t>
  </si>
  <si>
    <t>UA600.G877 2013</t>
  </si>
  <si>
    <t>http://public.eblib.com/choice/PublicFullRecord.aspx?p=4750383</t>
  </si>
  <si>
    <t>Prévention des toxicomanie - 2e édition revue et augmentée : Aspects théoriques et méthodologiques</t>
  </si>
  <si>
    <t>Brisson, Pierre</t>
  </si>
  <si>
    <t>HV5840.C32.B757 2014</t>
  </si>
  <si>
    <t>Drug abuse--Prevention.</t>
  </si>
  <si>
    <t>http://public.eblib.com/choice/PublicFullRecord.aspx?p=4750386</t>
  </si>
  <si>
    <t>Amour peut-il rendre fou et autres questions scientifiques (L')</t>
  </si>
  <si>
    <t>Sauve, Mathieu-Robert; Nancy, Dominique</t>
  </si>
  <si>
    <t>Q171.N363 2014</t>
  </si>
  <si>
    <t>Science.</t>
  </si>
  <si>
    <t>http://public.eblib.com/choice/PublicFullRecord.aspx?p=4750387</t>
  </si>
  <si>
    <t>Les grandes universités de recherche : Institutions autonomes dans un environnement concurrentiel</t>
  </si>
  <si>
    <t>Lacroix, Robert; Maheu, Louis</t>
  </si>
  <si>
    <t>LB2321.L337 2015</t>
  </si>
  <si>
    <t>Universities and colleges.</t>
  </si>
  <si>
    <t>http://public.eblib.com/choice/PublicFullRecord.aspx?p=4750388</t>
  </si>
  <si>
    <t>Dictionnaire explicatif et combinatoire du français contemporain IV : Recherches lexico-sémantiques IV</t>
  </si>
  <si>
    <t>Mel'cuk, Igor A.</t>
  </si>
  <si>
    <t>PC2585.M453 1999</t>
  </si>
  <si>
    <t>French language--Semantics.</t>
  </si>
  <si>
    <t>http://public.eblib.com/choice/PublicFullRecord.aspx?p=4750389</t>
  </si>
  <si>
    <t>L'institution du langage</t>
  </si>
  <si>
    <t>P140.S496 2005</t>
  </si>
  <si>
    <t>Historical linguistics.</t>
  </si>
  <si>
    <t>http://public.eblib.com/choice/PublicFullRecord.aspx?p=4750399</t>
  </si>
  <si>
    <t>La bataille de l’imprimé : à l’ère du papier électronique</t>
  </si>
  <si>
    <t>Z286.E43.B383 2008</t>
  </si>
  <si>
    <t>Electronic publications.</t>
  </si>
  <si>
    <t>http://public.eblib.com/choice/PublicFullRecord.aspx?p=4750400</t>
  </si>
  <si>
    <t>Signé Papineau : La correspondance d'un exilé</t>
  </si>
  <si>
    <t>F1032.P22.L366 2009</t>
  </si>
  <si>
    <t>http://public.eblib.com/choice/PublicFullRecord.aspx?p=4750401</t>
  </si>
  <si>
    <t>France-Canada-Québec : 400 ans de relations d'exception</t>
  </si>
  <si>
    <t>F1029.5.F8.F736 2008</t>
  </si>
  <si>
    <t>http://public.eblib.com/choice/PublicFullRecord.aspx?p=4750402</t>
  </si>
  <si>
    <t>Le cosmopolitisme : Enjeux et débats contemporains</t>
  </si>
  <si>
    <t>D863.C676 2010</t>
  </si>
  <si>
    <t>World politics--21st century.</t>
  </si>
  <si>
    <t>http://public.eblib.com/choice/PublicFullRecord.aspx?p=4750403</t>
  </si>
  <si>
    <t>Histoire du livre et de l'imprimé au Canada, Vol. III : De 1918 à 1980</t>
  </si>
  <si>
    <t>Z1003.5.C3.H578 2007</t>
  </si>
  <si>
    <t>Books and reading--Canada--History.</t>
  </si>
  <si>
    <t>http://public.eblib.com/choice/PublicFullRecord.aspx?p=4750408</t>
  </si>
  <si>
    <t>La critique et ses malentendus : Le cas Glenn Gould</t>
  </si>
  <si>
    <t>Guertin, Ghyslaine</t>
  </si>
  <si>
    <t>ML417.G68.G847 2013</t>
  </si>
  <si>
    <t>http://public.eblib.com/choice/PublicFullRecord.aspx?p=4750409</t>
  </si>
  <si>
    <t>L'Inde et ses avatars : Pluralité d'une puissance</t>
  </si>
  <si>
    <t>Granger, Serge; Jaffrelot, Christophe; Bates, Karine</t>
  </si>
  <si>
    <t>DS428.2.I534 2013</t>
  </si>
  <si>
    <t>http://public.eblib.com/choice/PublicFullRecord.aspx?p=4750410</t>
  </si>
  <si>
    <t>Maladies des poissons d'eau douce du Québec : Guide de diagnostic</t>
  </si>
  <si>
    <t>Uhland, Carl; Mikaelian, Igor; Martineau, Daniel</t>
  </si>
  <si>
    <t>SH171.U353 2000</t>
  </si>
  <si>
    <t>Fishes--Diseases--Diagnosis--Congresses.</t>
  </si>
  <si>
    <t>http://public.eblib.com/choice/PublicFullRecord.aspx?p=4750413</t>
  </si>
  <si>
    <t>Quand la musique prend corps</t>
  </si>
  <si>
    <t>Desroches, Monique; Stévance, Sophie; Lacasse, Serge</t>
  </si>
  <si>
    <t>http://public.eblib.com/choice/PublicFullRecord.aspx?p=4751038</t>
  </si>
  <si>
    <t>Continuations 2</t>
  </si>
  <si>
    <t>Barbour, Douglas; Murphy, Sheila E.</t>
  </si>
  <si>
    <t>PR9195.25.B373 2012</t>
  </si>
  <si>
    <t>http://public.eblib.com/choice/PublicFullRecord.aspx?p=4767136</t>
  </si>
  <si>
    <t>dear Hermes...</t>
  </si>
  <si>
    <t>Smith, Michelle</t>
  </si>
  <si>
    <t>PR9195.25.S658 2012</t>
  </si>
  <si>
    <t>http://public.eblib.com/choice/PublicFullRecord.aspx?p=4767137</t>
  </si>
  <si>
    <t>Intersecting Sets</t>
  </si>
  <si>
    <t>Major, Alice</t>
  </si>
  <si>
    <t>PR9199.3.M3454.M356 2012</t>
  </si>
  <si>
    <t>Science--Poetry.</t>
  </si>
  <si>
    <t>http://public.eblib.com/choice/PublicFullRecord.aspx?p=4767139</t>
  </si>
  <si>
    <t>Game Plan</t>
  </si>
  <si>
    <t>Wall, Karen L.</t>
  </si>
  <si>
    <t>GV706.5.W355 2012</t>
  </si>
  <si>
    <t>Sports--Social aspects--Alberta--History.</t>
  </si>
  <si>
    <t>http://public.eblib.com/choice/PublicFullRecord.aspx?p=4767141</t>
  </si>
  <si>
    <t>Pursuing China</t>
  </si>
  <si>
    <t>DS779.29.E93.E936 2012</t>
  </si>
  <si>
    <t>Diplomatic and consular service, Canadian--Biography.</t>
  </si>
  <si>
    <t>http://public.eblib.com/choice/PublicFullRecord.aspx?p=4767142</t>
  </si>
  <si>
    <t>Anti-Saints</t>
  </si>
  <si>
    <t>Delany, Sheila</t>
  </si>
  <si>
    <t>BX4656.A585 2012</t>
  </si>
  <si>
    <t>Christian women saints--Biography--Dictionaries--Early works to 1800.</t>
  </si>
  <si>
    <t>http://public.eblib.com/choice/PublicFullRecord.aspx?p=4767143</t>
  </si>
  <si>
    <t>The Grads Are Playing Tonight!</t>
  </si>
  <si>
    <t>Hall, M. Ann; Jones, Terry</t>
  </si>
  <si>
    <t>GV885.42.E3.H355 2011</t>
  </si>
  <si>
    <t>796.323097123/34</t>
  </si>
  <si>
    <t>Basketball for women--Alberta--Edmonton--History.</t>
  </si>
  <si>
    <t>http://public.eblib.com/choice/PublicFullRecord.aspx?p=4767144</t>
  </si>
  <si>
    <t>Cross-Media Ownership and Democratic Practice in Canada</t>
  </si>
  <si>
    <t>Soderlund, Walter C.; Brin, Colette; Miljan, Lydia; Hildebrandt, Kai</t>
  </si>
  <si>
    <t>PN4914.O9.C767 2012</t>
  </si>
  <si>
    <t>Canadian newspapers--Ownership.</t>
  </si>
  <si>
    <t>http://public.eblib.com/choice/PublicFullRecord.aspx?p=4767145</t>
  </si>
  <si>
    <t>Wells</t>
  </si>
  <si>
    <t>Butler, Jenna</t>
  </si>
  <si>
    <t>PR9199.4.B886.B885 2012</t>
  </si>
  <si>
    <t>Fires--Fiction.</t>
  </si>
  <si>
    <t>http://public.eblib.com/choice/PublicFullRecord.aspx?p=4767147</t>
  </si>
  <si>
    <t>Telling Tales</t>
  </si>
  <si>
    <t>de Vos, Gail; Harris, Merle; Lottridge, Celia Barker; Stotter, Ruth</t>
  </si>
  <si>
    <t>LB1042.D486 2003</t>
  </si>
  <si>
    <t>Storytelling.</t>
  </si>
  <si>
    <t>http://public.eblib.com/choice/PublicFullRecord.aspx?p=4767153</t>
  </si>
  <si>
    <t>Islands of New Brunswick : Living Between the Tides</t>
  </si>
  <si>
    <t>Mitcham, Allison</t>
  </si>
  <si>
    <t>F1042.M583 2013</t>
  </si>
  <si>
    <t>971.5/1</t>
  </si>
  <si>
    <t>Islands--New Brunswick--History.</t>
  </si>
  <si>
    <t>http://public.eblib.com/choice/PublicFullRecord.aspx?p=4772202</t>
  </si>
  <si>
    <t>Play by Play : The Life and Times of Pat Connolly</t>
  </si>
  <si>
    <t>Jacobson, Joel</t>
  </si>
  <si>
    <t>HQ756.J3363 2013</t>
  </si>
  <si>
    <t>Sportscasters--Canada--Biography.</t>
  </si>
  <si>
    <t>http://public.eblib.com/choice/PublicFullRecord.aspx?p=4772204</t>
  </si>
  <si>
    <t>New Brunswick : An Illustrated History</t>
  </si>
  <si>
    <t>Rees, Ronald</t>
  </si>
  <si>
    <t>F1043.R447 2014</t>
  </si>
  <si>
    <t>971.5/1030222</t>
  </si>
  <si>
    <t>http://public.eblib.com/choice/PublicFullRecord.aspx?p=4772208</t>
  </si>
  <si>
    <t>A Short History of Halifax</t>
  </si>
  <si>
    <t>F1039.5.H17.S683 2014</t>
  </si>
  <si>
    <t>971.6/225</t>
  </si>
  <si>
    <t>http://public.eblib.com/choice/PublicFullRecord.aspx?p=4772211</t>
  </si>
  <si>
    <t>Indian School Road : Legacies of the Shubenacadie Residential School</t>
  </si>
  <si>
    <t>Benjamin, Chris</t>
  </si>
  <si>
    <t>F1039.S55.B465 2014</t>
  </si>
  <si>
    <t>371.829/97343071635</t>
  </si>
  <si>
    <t>Micmac Indians--Nova Scotia--Residential schools.</t>
  </si>
  <si>
    <t>http://public.eblib.com/choice/PublicFullRecord.aspx?p=4772215</t>
  </si>
  <si>
    <t>Aftershock : The Halifax Explosion and the Persecution of Pilot Francis Mackey</t>
  </si>
  <si>
    <t>Maybee, Janet</t>
  </si>
  <si>
    <t>F1039.5.H17.M393 2015</t>
  </si>
  <si>
    <t>971.6/22503</t>
  </si>
  <si>
    <t>Halifax Explosion, Halifax, N.S., 1917.</t>
  </si>
  <si>
    <t>http://public.eblib.com/choice/PublicFullRecord.aspx?p=4772223</t>
  </si>
  <si>
    <t>Stubborn Resistance</t>
  </si>
  <si>
    <t>Cuthbertson, Brian</t>
  </si>
  <si>
    <t>E99.M195.C884 2015</t>
  </si>
  <si>
    <t>971.5/10049734</t>
  </si>
  <si>
    <t>Malecite Indians--New Brunswick--Government relations--History--19th century.</t>
  </si>
  <si>
    <t>http://public.eblib.com/choice/PublicFullRecord.aspx?p=4772224</t>
  </si>
  <si>
    <t>La politique de communication. Ou comment gérer son image par des règles partagées</t>
  </si>
  <si>
    <t>Presses de l'Université Laval</t>
  </si>
  <si>
    <t>Hors-Collection</t>
  </si>
  <si>
    <t>Dagenais, Bernard</t>
  </si>
  <si>
    <t>http://public.eblib.com/choice/PublicFullRecord.aspx?p=4787238</t>
  </si>
  <si>
    <t>DESTIN CLANDESTIN. Autobiographie intellectuelle</t>
  </si>
  <si>
    <t>Gagnon, Serge</t>
  </si>
  <si>
    <t>http://public.eblib.com/choice/PublicFullRecord.aspx?p=4787241</t>
  </si>
  <si>
    <t>La construction d'une sphère publique musulmane en Afrique de l'Ouest</t>
  </si>
  <si>
    <t>Religions,cultures et Sociétés</t>
  </si>
  <si>
    <t>Madore, Frédérick</t>
  </si>
  <si>
    <t>BP64.A4.M336 2016</t>
  </si>
  <si>
    <t>Islam--Africa, West--History.</t>
  </si>
  <si>
    <t>http://public.eblib.com/choice/PublicFullRecord.aspx?p=4787242</t>
  </si>
  <si>
    <t>Essais sur le pouvoir des partis et autres participants aux choix collectifs</t>
  </si>
  <si>
    <t>Lemieux, Vincent</t>
  </si>
  <si>
    <t>HN49.P6.L465 2016</t>
  </si>
  <si>
    <t>Power (Social sciences)</t>
  </si>
  <si>
    <t>http://public.eblib.com/choice/PublicFullRecord.aspx?p=4787244</t>
  </si>
  <si>
    <t>Le Canada français et la Confédération. Fondements et bilan critique</t>
  </si>
  <si>
    <t>Démocratie et Institutions Parlementaire</t>
  </si>
  <si>
    <t>Marcel, Martel; Caron, Jean-François</t>
  </si>
  <si>
    <t>http://public.eblib.com/choice/PublicFullRecord.aspx?p=4787263</t>
  </si>
  <si>
    <t>Not Just A Game : Essays in Canadian Sport Sociology</t>
  </si>
  <si>
    <t>University of Ottawa Press/Les Presses de l'Université d'Ottawa</t>
  </si>
  <si>
    <t>Harvey, Jean; Cantelon, Hart</t>
  </si>
  <si>
    <t>GV585.N68 1988</t>
  </si>
  <si>
    <t>306/.483/0971</t>
  </si>
  <si>
    <t>http://public.eblib.com/choice/PublicFullRecord.aspx?p=4795588</t>
  </si>
  <si>
    <t>The Beloved : St. Mungo, Founder of Glasgow</t>
  </si>
  <si>
    <t>Hale, Reginald B.</t>
  </si>
  <si>
    <t>274.1/02/0924</t>
  </si>
  <si>
    <t>http://public.eblib.com/choice/PublicFullRecord.aspx?p=4795589</t>
  </si>
  <si>
    <t>Luther's First Front : The Eucharist as Sacrifice</t>
  </si>
  <si>
    <t>Croken, Robert C.</t>
  </si>
  <si>
    <t>234/.163/092</t>
  </si>
  <si>
    <t>http://public.eblib.com/choice/PublicFullRecord.aspx?p=4795590</t>
  </si>
  <si>
    <t>From Old English to Standard English : A Course Book in Language Variation Across Time, Second Edition</t>
  </si>
  <si>
    <t>Freeborn, Dennis</t>
  </si>
  <si>
    <t>420/.9</t>
  </si>
  <si>
    <t>http://public.eblib.com/choice/PublicFullRecord.aspx?p=4795594</t>
  </si>
  <si>
    <t>Home-Based Care, The Elderly, The Family, and The Welfare State : An International Comparison</t>
  </si>
  <si>
    <t>Lesemann, Frederic</t>
  </si>
  <si>
    <t>362.6/3</t>
  </si>
  <si>
    <t>http://public.eblib.com/choice/PublicFullRecord.aspx?p=4795596</t>
  </si>
  <si>
    <t>The Oblate Assault on Canada's Northwest</t>
  </si>
  <si>
    <t>266/.271</t>
  </si>
  <si>
    <t>http://public.eblib.com/choice/PublicFullRecord.aspx?p=4795598</t>
  </si>
  <si>
    <t>Subjects Or Citizens? The Mennonite Experience</t>
  </si>
  <si>
    <t>Ens, Adolf</t>
  </si>
  <si>
    <t>F1035.M45E57 1994</t>
  </si>
  <si>
    <t>322/.1/088287</t>
  </si>
  <si>
    <t>http://public.eblib.com/choice/PublicFullRecord.aspx?p=4795603</t>
  </si>
  <si>
    <t>Anne Hébert : Architexture Romanesque</t>
  </si>
  <si>
    <t>Paterson, Janet</t>
  </si>
  <si>
    <t>http://public.eblib.com/choice/PublicFullRecord.aspx?p=4795604</t>
  </si>
  <si>
    <t>La Cathédrale Notre-Dame d'Ottawa : Histoire, architecture, iconographie</t>
  </si>
  <si>
    <t>Pagé, Normand</t>
  </si>
  <si>
    <t>726/.64/0971384</t>
  </si>
  <si>
    <t>http://public.eblib.com/choice/PublicFullRecord.aspx?p=4795605</t>
  </si>
  <si>
    <t>L'adulte en quête de son identité</t>
  </si>
  <si>
    <t>Artaud, Gérard</t>
  </si>
  <si>
    <t>http://public.eblib.com/choice/PublicFullRecord.aspx?p=4795606</t>
  </si>
  <si>
    <t>Coexistence difficile : La dualité linguistique à l'Université d'Ottawa, Volume 1 : 1848-1898</t>
  </si>
  <si>
    <t>Guindon, Roger</t>
  </si>
  <si>
    <t>http://public.eblib.com/choice/PublicFullRecord.aspx?p=4795607</t>
  </si>
  <si>
    <t>Les Transactions Politiques Des Croyants : Charismatiques et Témoins De Jéhovah Dans le Québec Des Années 1970 et 1980</t>
  </si>
  <si>
    <t>Côté, Pauline</t>
  </si>
  <si>
    <t>261.7/09714</t>
  </si>
  <si>
    <t>http://public.eblib.com/choice/PublicFullRecord.aspx?p=4795608</t>
  </si>
  <si>
    <t>Coexistence menacée : La dualité linguistique à l'Université d'Ottawa, Volume 2 : 1898-1936</t>
  </si>
  <si>
    <t>http://public.eblib.com/choice/PublicFullRecord.aspx?p=4795610</t>
  </si>
  <si>
    <t>Relevons le Défi! : Actes du colloque sur l'intervention féministe dans le Nord-Est de l'Ontario</t>
  </si>
  <si>
    <t>Garceau, Marie-Luce</t>
  </si>
  <si>
    <t>362.83/809713</t>
  </si>
  <si>
    <t>http://public.eblib.com/choice/PublicFullRecord.aspx?p=4795611</t>
  </si>
  <si>
    <t>Une langue Qui Pense : La Recherche en Milieu Minoritaire Francophone Au Canada</t>
  </si>
  <si>
    <t>Cardinal, Linda</t>
  </si>
  <si>
    <t>305.811/4/0071171</t>
  </si>
  <si>
    <t>http://public.eblib.com/choice/PublicFullRecord.aspx?p=4795612</t>
  </si>
  <si>
    <t>L'écologisme retrouvé : Essor et déclin de la Commission de la conservation du Canada</t>
  </si>
  <si>
    <t>Girard, Michel</t>
  </si>
  <si>
    <t>354.710082/321</t>
  </si>
  <si>
    <t>http://public.eblib.com/choice/PublicFullRecord.aspx?p=4795613</t>
  </si>
  <si>
    <t>États Généraux de la Recherche Sur la Francophonie à l'extérieur du Québec</t>
  </si>
  <si>
    <t>Grisé, Yolande</t>
  </si>
  <si>
    <t>971/.004114</t>
  </si>
  <si>
    <t>http://public.eblib.com/choice/PublicFullRecord.aspx?p=4795614</t>
  </si>
  <si>
    <t>Les Traducteurs Dans I'Histoire</t>
  </si>
  <si>
    <t>418/.02/09</t>
  </si>
  <si>
    <t>http://public.eblib.com/choice/PublicFullRecord.aspx?p=4795616</t>
  </si>
  <si>
    <t>Dislocation et permanence : L'invention du Canada au quotidien</t>
  </si>
  <si>
    <t>http://public.eblib.com/choice/PublicFullRecord.aspx?p=4795617</t>
  </si>
  <si>
    <t>The Crawford Symposium</t>
  </si>
  <si>
    <t>Tierney, Frank M.</t>
  </si>
  <si>
    <t>http://public.eblib.com/choice/PublicFullRecord.aspx?p=4795619</t>
  </si>
  <si>
    <t>The Callaghan Symposium</t>
  </si>
  <si>
    <t>http://public.eblib.com/choice/PublicFullRecord.aspx?p=4795620</t>
  </si>
  <si>
    <t>Profession ethicien</t>
  </si>
  <si>
    <t>Weinstock, Daniel M.</t>
  </si>
  <si>
    <t>http://public.eblib.com/choice/PublicFullRecord.aspx?p=4795622</t>
  </si>
  <si>
    <t>Profession astronome</t>
  </si>
  <si>
    <t>Wesemael, François</t>
  </si>
  <si>
    <t>520/.23</t>
  </si>
  <si>
    <t>http://public.eblib.com/choice/PublicFullRecord.aspx?p=4795623</t>
  </si>
  <si>
    <t>Profession infirmière : Une histoire des soins dans les hôpitaux du Québec</t>
  </si>
  <si>
    <t>Cohen, Yolande</t>
  </si>
  <si>
    <t>610.73/09714</t>
  </si>
  <si>
    <t>http://public.eblib.com/choice/PublicFullRecord.aspx?p=4795626</t>
  </si>
  <si>
    <t>Éléments de logique contemporaine</t>
  </si>
  <si>
    <t>Lepage, François</t>
  </si>
  <si>
    <t>http://public.eblib.com/choice/PublicFullRecord.aspx?p=4795628</t>
  </si>
  <si>
    <t>Profession philosophe</t>
  </si>
  <si>
    <t>http://public.eblib.com/choice/PublicFullRecord.aspx?p=4795630</t>
  </si>
  <si>
    <t>Le sourire d'Anton, ou, L'adieu au roman : Carnets, 1975-1992</t>
  </si>
  <si>
    <t>Major, André</t>
  </si>
  <si>
    <t>848/.5403</t>
  </si>
  <si>
    <t>http://public.eblib.com/choice/PublicFullRecord.aspx?p=4795631</t>
  </si>
  <si>
    <t>Les visages de la police - pratiques et perceptions</t>
  </si>
  <si>
    <t>Brodeur, Jean-Paul</t>
  </si>
  <si>
    <t>http://public.eblib.com/choice/PublicFullRecord.aspx?p=4795635</t>
  </si>
  <si>
    <t>Profession criminologie</t>
  </si>
  <si>
    <t>Proulx, Jean</t>
  </si>
  <si>
    <t>http://public.eblib.com/choice/PublicFullRecord.aspx?p=4795639</t>
  </si>
  <si>
    <t>Les psychotropes : pharmacologie et toxicomanie</t>
  </si>
  <si>
    <t>Léonard, Louis</t>
  </si>
  <si>
    <t>615/.788</t>
  </si>
  <si>
    <t>http://public.eblib.com/choice/PublicFullRecord.aspx?p=4795640</t>
  </si>
  <si>
    <t>Le Savoir des livres</t>
  </si>
  <si>
    <t>Melançon, Benoît</t>
  </si>
  <si>
    <t>070.5/73</t>
  </si>
  <si>
    <t>http://public.eblib.com/choice/PublicFullRecord.aspx?p=4795641</t>
  </si>
  <si>
    <t>Traité de criminologie empirique, Troisième édition</t>
  </si>
  <si>
    <t>http://public.eblib.com/choice/PublicFullRecord.aspx?p=4795649</t>
  </si>
  <si>
    <t>Profession lexicographe</t>
  </si>
  <si>
    <t>De Villers, Marie-Éva</t>
  </si>
  <si>
    <t>http://public.eblib.com/choice/PublicFullRecord.aspx?p=4795651</t>
  </si>
  <si>
    <t>Profession sinologue</t>
  </si>
  <si>
    <t>http://public.eblib.com/choice/PublicFullRecord.aspx?p=4795654</t>
  </si>
  <si>
    <t>IIntroduction aux relations internationales</t>
  </si>
  <si>
    <t>http://public.eblib.com/choice/PublicFullRecord.aspx?p=4795656</t>
  </si>
  <si>
    <t>Les dysfonctions sexuelles : Évaluation et traitement par des méthodes psychologique, interpersonnelle et biologique, 2e édition</t>
  </si>
  <si>
    <t>Les Presses de l’Université du Québec</t>
  </si>
  <si>
    <t>Trudel, Gilles</t>
  </si>
  <si>
    <t>616.85/83</t>
  </si>
  <si>
    <t>http://public.eblib.com/choice/PublicFullRecord.aspx?p=4795660</t>
  </si>
  <si>
    <t>Le sens du langage visuel : Essai de sémantique visuelle psychanalytique</t>
  </si>
  <si>
    <t>Saint-Martin, Fernande</t>
  </si>
  <si>
    <t>701/.1</t>
  </si>
  <si>
    <t>http://public.eblib.com/choice/PublicFullRecord.aspx?p=4795662</t>
  </si>
  <si>
    <t>Le changement organisationnel : Théorie et pratique</t>
  </si>
  <si>
    <t>Collerette, Pierre; Delisle, Gilles; Perron, Richard</t>
  </si>
  <si>
    <t>658.4/06</t>
  </si>
  <si>
    <t>http://public.eblib.com/choice/PublicFullRecord.aspx?p=4795665</t>
  </si>
  <si>
    <t>Planification, aménagement et loisir : 2e éditon</t>
  </si>
  <si>
    <t>Soubrier, Robert</t>
  </si>
  <si>
    <t>790/.06/9</t>
  </si>
  <si>
    <t>http://public.eblib.com/choice/PublicFullRecord.aspx?p=4795667</t>
  </si>
  <si>
    <t>La gestion de la formation en entreprise : Pour préserver et accroître le capital compétence de votre organisation</t>
  </si>
  <si>
    <t>Rivard, Patrick</t>
  </si>
  <si>
    <t>331.25/92</t>
  </si>
  <si>
    <t>http://public.eblib.com/choice/PublicFullRecord.aspx?p=4795668</t>
  </si>
  <si>
    <t>Évaluation du potentiel humain dans les organisations</t>
  </si>
  <si>
    <t>Pettersen, Normand</t>
  </si>
  <si>
    <t>658.3/125</t>
  </si>
  <si>
    <t>http://public.eblib.com/choice/PublicFullRecord.aspx?p=4795669</t>
  </si>
  <si>
    <t>Attachement et développement : Le rôle des premières relations dans le développement humain</t>
  </si>
  <si>
    <t>Tarabulsy, George M.; Larose, Simon; Pederson, David R.</t>
  </si>
  <si>
    <t>155.4/18</t>
  </si>
  <si>
    <t>http://public.eblib.com/choice/PublicFullRecord.aspx?p=4795672</t>
  </si>
  <si>
    <t>La culture contre l'art : Essai d'économie politique du théâtre</t>
  </si>
  <si>
    <t>Féral, Josette</t>
  </si>
  <si>
    <t>338.4/7792/09714</t>
  </si>
  <si>
    <t>http://public.eblib.com/choice/PublicFullRecord.aspx?p=4795678</t>
  </si>
  <si>
    <t>Développement économique communautaire : Économie sociale et intervention</t>
  </si>
  <si>
    <t>Favreau, Louis; Lévesque, Benoît</t>
  </si>
  <si>
    <t>307.1/4/09714</t>
  </si>
  <si>
    <t>http://public.eblib.com/choice/PublicFullRecord.aspx?p=4795682</t>
  </si>
  <si>
    <t>Tableaux de bord de gestion et indicateurs de performance : 2e édition</t>
  </si>
  <si>
    <t>Voyer, Pierre</t>
  </si>
  <si>
    <t>658.4/038/011</t>
  </si>
  <si>
    <t>http://public.eblib.com/choice/PublicFullRecord.aspx?p=4795683</t>
  </si>
  <si>
    <t>L'entreprise de presse et le journaliste</t>
  </si>
  <si>
    <t>Leclerc, Aurélien</t>
  </si>
  <si>
    <t>http://public.eblib.com/choice/PublicFullRecord.aspx?p=4795685</t>
  </si>
  <si>
    <t>Politiques de l'eau : Grands principes et réalités locales</t>
  </si>
  <si>
    <t>Brun, Alexandre; Lasserre, Édéric</t>
  </si>
  <si>
    <t>333.91/17</t>
  </si>
  <si>
    <t>http://public.eblib.com/choice/PublicFullRecord.aspx?p=4795686</t>
  </si>
  <si>
    <t>L'évolution graphique : Du premier trait gribouillé à l'oeuvre plus complexe</t>
  </si>
  <si>
    <t>Joyal, Bruno</t>
  </si>
  <si>
    <t>155.4/13</t>
  </si>
  <si>
    <t>http://public.eblib.com/choice/PublicFullRecord.aspx?p=4795689</t>
  </si>
  <si>
    <t>Modélisation des connaissances et des compétences : Un langage graphique pour concevoir et apprendre</t>
  </si>
  <si>
    <t>Paquette, Gilbert</t>
  </si>
  <si>
    <t>006.3/32</t>
  </si>
  <si>
    <t>http://public.eblib.com/choice/PublicFullRecord.aspx?p=4795692</t>
  </si>
  <si>
    <t>Apprendre de son expérience</t>
  </si>
  <si>
    <t>Bourassa, Bruno; Serre, Fernand; Ross, Denis</t>
  </si>
  <si>
    <t>153.1/52</t>
  </si>
  <si>
    <t>http://public.eblib.com/choice/PublicFullRecord.aspx?p=4795694</t>
  </si>
  <si>
    <t>Le loisir public au Québec : Une vision moderne</t>
  </si>
  <si>
    <t>Laboratoire en loisir et vie communautaire; Association Quebecoise du loisir Municipal Staff</t>
  </si>
  <si>
    <t>790/.09714</t>
  </si>
  <si>
    <t>http://public.eblib.com/choice/PublicFullRecord.aspx?p=4795697</t>
  </si>
  <si>
    <t>La politique fiscale : À la recherche du compromis, 2e édition</t>
  </si>
  <si>
    <t>Tremblay, Pierre-P.</t>
  </si>
  <si>
    <t>http://public.eblib.com/choice/PublicFullRecord.aspx?p=4795698</t>
  </si>
  <si>
    <t>Des campagnes de communication réussies : 43 études de cas primés</t>
  </si>
  <si>
    <t>Kugler, Marianne</t>
  </si>
  <si>
    <t>http://public.eblib.com/choice/PublicFullRecord.aspx?p=4795701</t>
  </si>
  <si>
    <t>Le cinéma québécois : À la recherche d'une identité ? - Tome 1. L'imaginaire filmique</t>
  </si>
  <si>
    <t>Poirier, Christian</t>
  </si>
  <si>
    <t>791.43/09714</t>
  </si>
  <si>
    <t>http://public.eblib.com/choice/PublicFullRecord.aspx?p=4795702</t>
  </si>
  <si>
    <t>Le tourisme métropolitain : Le cas de Montréal</t>
  </si>
  <si>
    <t>Pilette, Danielle; Kadri, Boualem</t>
  </si>
  <si>
    <t>338.4/791/0971427</t>
  </si>
  <si>
    <t>http://public.eblib.com/choice/PublicFullRecord.aspx?p=4795705</t>
  </si>
  <si>
    <t>Les relations du travail au Québec : 2e édition</t>
  </si>
  <si>
    <t>Leclerc, Michel; Quimper, Michel</t>
  </si>
  <si>
    <t>331/.09714</t>
  </si>
  <si>
    <t>http://public.eblib.com/choice/PublicFullRecord.aspx?p=4795706</t>
  </si>
  <si>
    <t>Problèmes sociaux - Tome II : Études de cas et interventions sociales</t>
  </si>
  <si>
    <t>Dorvil, Henri; Mayer, Robert</t>
  </si>
  <si>
    <t>http://public.eblib.com/choice/PublicFullRecord.aspx?p=4795709</t>
  </si>
  <si>
    <t>Crise d'identité professionnelle et professionnalisme</t>
  </si>
  <si>
    <t>Legault, Georges A.</t>
  </si>
  <si>
    <t>http://public.eblib.com/choice/PublicFullRecord.aspx?p=4795711</t>
  </si>
  <si>
    <t>Souffrance et médecine</t>
  </si>
  <si>
    <t>Daneault, Serge</t>
  </si>
  <si>
    <t>616/.0472</t>
  </si>
  <si>
    <t>http://public.eblib.com/choice/PublicFullRecord.aspx?p=4795712</t>
  </si>
  <si>
    <t>Démocraties métropolitaines : Transformations de l'État et politiques urbaines au Canada, en France et en Grande-Bretagne</t>
  </si>
  <si>
    <t>Jouve, Bernard; Booth, Philip</t>
  </si>
  <si>
    <t>http://public.eblib.com/choice/PublicFullRecord.aspx?p=4795713</t>
  </si>
  <si>
    <t>L'ingénierie pédagogique : Pour construire l'apprentissage en réseau</t>
  </si>
  <si>
    <t>371.33/4</t>
  </si>
  <si>
    <t>http://public.eblib.com/choice/PublicFullRecord.aspx?p=4795718</t>
  </si>
  <si>
    <t>Prévention des problèmes d'adaptation chez les enfants et les adolescents II - Tome 2 : Les problèmes externalisés</t>
  </si>
  <si>
    <t>Vitaro, Frank; Gagnon, Claude</t>
  </si>
  <si>
    <t>618.92/8905</t>
  </si>
  <si>
    <t>http://public.eblib.com/choice/PublicFullRecord.aspx?p=4795720</t>
  </si>
  <si>
    <t>Un autre tourisme est-il possible? : Éthique, acteurs, concepts, contraintes, bonnes pratiques, ressources</t>
  </si>
  <si>
    <t>Delisle, Marie-Andrée; Jolin, Louis</t>
  </si>
  <si>
    <t>174/.991</t>
  </si>
  <si>
    <t>http://public.eblib.com/choice/PublicFullRecord.aspx?p=4795721</t>
  </si>
  <si>
    <t>Dénouer les conflits relationnels en milieu de travail</t>
  </si>
  <si>
    <t>Cormier, Solange</t>
  </si>
  <si>
    <t>658.4/053</t>
  </si>
  <si>
    <t>http://public.eblib.com/choice/PublicFullRecord.aspx?p=4795722</t>
  </si>
  <si>
    <t>Traité d'économétrie financière : Modélisation financière</t>
  </si>
  <si>
    <t>Racicot, François-Éric; Théoret, Raymond</t>
  </si>
  <si>
    <t>332/.01/5195</t>
  </si>
  <si>
    <t>http://public.eblib.com/choice/PublicFullRecord.aspx?p=4795723</t>
  </si>
  <si>
    <t>Professionnalisme et délibération éthique : Manuel d'aide à la décision responsable</t>
  </si>
  <si>
    <t>http://public.eblib.com/choice/PublicFullRecord.aspx?p=4795730</t>
  </si>
  <si>
    <t>Prévention des problèmes d'adaptation chez les enfants et les adolescents - Tome 1 : Les problèmes internalisés</t>
  </si>
  <si>
    <t>http://public.eblib.com/choice/PublicFullRecord.aspx?p=4795731</t>
  </si>
  <si>
    <t>Le groupe de codéveloppement professionnel</t>
  </si>
  <si>
    <t>Payette, Adrien; Champagne, Claude</t>
  </si>
  <si>
    <t>658.4/0071/55</t>
  </si>
  <si>
    <t>http://public.eblib.com/choice/PublicFullRecord.aspx?p=4795733</t>
  </si>
  <si>
    <t>La communication politique : État des savoirs, enjeux et perspectives</t>
  </si>
  <si>
    <t>320/.01/4</t>
  </si>
  <si>
    <t>http://public.eblib.com/choice/PublicFullRecord.aspx?p=4795734</t>
  </si>
  <si>
    <t>La gestion des ressources humaines pour la réussite scolaire</t>
  </si>
  <si>
    <t>Moisset, Jean-Joseph; Plante, Jean; Toussaint, Pierre</t>
  </si>
  <si>
    <t>371.2/01</t>
  </si>
  <si>
    <t>http://public.eblib.com/choice/PublicFullRecord.aspx?p=4795736</t>
  </si>
  <si>
    <t>Motricité humaine : Fondements et applications pédagogiques - Tome 2 : Développement moteur, 3e édition</t>
  </si>
  <si>
    <t>Rigal, Robert</t>
  </si>
  <si>
    <t>http://public.eblib.com/choice/PublicFullRecord.aspx?p=4795737</t>
  </si>
  <si>
    <t>choix contemporains : Hommage à Ernst von Glasersfeld</t>
  </si>
  <si>
    <t>Jonnaert, Philippe; Masciotra, Domenico</t>
  </si>
  <si>
    <t>370.15/24</t>
  </si>
  <si>
    <t>http://public.eblib.com/choice/PublicFullRecord.aspx?p=4795738</t>
  </si>
  <si>
    <t>Exercices pratiques de style</t>
  </si>
  <si>
    <t>Bossé Andieu, Jacqueline</t>
  </si>
  <si>
    <t>448.1/076</t>
  </si>
  <si>
    <t>http://public.eblib.com/choice/PublicFullRecord.aspx?p=4795739</t>
  </si>
  <si>
    <t>L'innovation sociale : Émergence et effets sur la transformation des sociétés</t>
  </si>
  <si>
    <t>Klein, Juan-Luis; Harrisson, Denis</t>
  </si>
  <si>
    <t>http://public.eblib.com/choice/PublicFullRecord.aspx?p=4795743</t>
  </si>
  <si>
    <t>L'enfant : Une approche globale pour son développement</t>
  </si>
  <si>
    <t>Hendrick, Joanne</t>
  </si>
  <si>
    <t>http://public.eblib.com/choice/PublicFullRecord.aspx?p=4795745</t>
  </si>
  <si>
    <t>L'État québécois au XXIe siècle</t>
  </si>
  <si>
    <t>Bernier, Robert</t>
  </si>
  <si>
    <t>http://public.eblib.com/choice/PublicFullRecord.aspx?p=4795746</t>
  </si>
  <si>
    <t>Théories et pratiques de la lecture littéraire</t>
  </si>
  <si>
    <t>Gervais, Bertrand; Bouvet, Rachel</t>
  </si>
  <si>
    <t>http://public.eblib.com/choice/PublicFullRecord.aspx?p=4795748</t>
  </si>
  <si>
    <t>La gestion du risque : Comment améliorer le financement des PME et faciliter leur développement</t>
  </si>
  <si>
    <t>Entrepreneuriat and PME</t>
  </si>
  <si>
    <t>St-Pierre, Josée</t>
  </si>
  <si>
    <t>658.15/92</t>
  </si>
  <si>
    <t>http://public.eblib.com/choice/PublicFullRecord.aspx?p=4795751</t>
  </si>
  <si>
    <t>La recherche création : Pour une compréhension de la recherche en pratique artistique</t>
  </si>
  <si>
    <t>Gosselin, Pierre; Le Coguiec, Éric</t>
  </si>
  <si>
    <t>http://public.eblib.com/choice/PublicFullRecord.aspx?p=4795753</t>
  </si>
  <si>
    <t>Motricité humaine : Fondements et applications pédagogiques - Tome 1 : Neurophysiologie perceptivomotrice, 3e édition revue et corrigée</t>
  </si>
  <si>
    <t>http://public.eblib.com/choice/PublicFullRecord.aspx?p=4795754</t>
  </si>
  <si>
    <t>Les fonctions de l'archivistique contemporaine</t>
  </si>
  <si>
    <t>Couture, Carol</t>
  </si>
  <si>
    <t>025.17/14</t>
  </si>
  <si>
    <t>http://public.eblib.com/choice/PublicFullRecord.aspx?p=4795755</t>
  </si>
  <si>
    <t>Violence parentale et violence conjugale : Des réalités plurielles, multidimensionnelles et interreliées</t>
  </si>
  <si>
    <t>Chamberland, Claire</t>
  </si>
  <si>
    <t>http://public.eblib.com/choice/PublicFullRecord.aspx?p=4795756</t>
  </si>
  <si>
    <t>Institutions administratives locales au Québec : structures et fonctions</t>
  </si>
  <si>
    <t>Gravel, Robert J.</t>
  </si>
  <si>
    <t>352/.007/09714</t>
  </si>
  <si>
    <t>http://public.eblib.com/choice/PublicFullRecord.aspx?p=4795757</t>
  </si>
  <si>
    <t>Économie managériale : Marchés - Soutien à la décision - Concurrence</t>
  </si>
  <si>
    <t>LeGoff, Jean-Pierre</t>
  </si>
  <si>
    <t>http://public.eblib.com/choice/PublicFullRecord.aspx?p=4795760</t>
  </si>
  <si>
    <t>L'éducation géographique : Formation du citoyen et conscience territoriale, 2e édition</t>
  </si>
  <si>
    <t>Klein, Juan-Luis; Laurin, Suzanne</t>
  </si>
  <si>
    <t>304.2/071/2714</t>
  </si>
  <si>
    <t>http://public.eblib.com/choice/PublicFullRecord.aspx?p=4795761</t>
  </si>
  <si>
    <t>Problèmes sociaux - Tome I : Théories et méthodologies</t>
  </si>
  <si>
    <t>Collection Problemes Sociaux and Interventions Sociales</t>
  </si>
  <si>
    <t>HN17.5.P759 2001</t>
  </si>
  <si>
    <t>http://public.eblib.com/choice/PublicFullRecord.aspx?p=4795762</t>
  </si>
  <si>
    <t>Les émotions à l'école</t>
  </si>
  <si>
    <t>370.15/3</t>
  </si>
  <si>
    <t>http://public.eblib.com/choice/PublicFullRecord.aspx?p=4795763</t>
  </si>
  <si>
    <t>Le cinéma québécois : À la recherche d'une identité ? - Tome 2. Les politiques cinématographiques</t>
  </si>
  <si>
    <t>http://public.eblib.com/choice/PublicFullRecord.aspx?p=4795767</t>
  </si>
  <si>
    <t>L'éducation psychomotrice : Source d'autonomie et de dynamisme</t>
  </si>
  <si>
    <t>Lauzon, Francine</t>
  </si>
  <si>
    <t>370.15/5</t>
  </si>
  <si>
    <t>http://public.eblib.com/choice/PublicFullRecord.aspx?p=4795768</t>
  </si>
  <si>
    <t>La gestion d'un centre d'archives : Mélanges en l'honneur de Robert Garon</t>
  </si>
  <si>
    <t>Gagnon Arguin, Louise; Grimard, Jacques</t>
  </si>
  <si>
    <t>http://public.eblib.com/choice/PublicFullRecord.aspx?p=4795769</t>
  </si>
  <si>
    <t>Le Congrès des États-Unis</t>
  </si>
  <si>
    <t>Gagnon, Frédérick</t>
  </si>
  <si>
    <t>http://public.eblib.com/choice/PublicFullRecord.aspx?p=4795775</t>
  </si>
  <si>
    <t>Le Saguenay-Lac-St-Jean face à son avenir</t>
  </si>
  <si>
    <t>Proulx, Marc-Urbain</t>
  </si>
  <si>
    <t>330.9714/14</t>
  </si>
  <si>
    <t>http://public.eblib.com/choice/PublicFullRecord.aspx?p=4795776</t>
  </si>
  <si>
    <t>Théories des organisations - Revue et augmentée : Approches classiques, contemporaines et de l'avant-garde</t>
  </si>
  <si>
    <t>Rouleau, Linda</t>
  </si>
  <si>
    <t>302.3/509</t>
  </si>
  <si>
    <t>http://public.eblib.com/choice/PublicFullRecord.aspx?p=4795778</t>
  </si>
  <si>
    <t>Discours</t>
  </si>
  <si>
    <t>Bibliothèque du nouveau monde</t>
  </si>
  <si>
    <t>Parent, Étienne; Parent, Étienne; Couture, Claude; Couture; Couture, Claude</t>
  </si>
  <si>
    <t>http://public.eblib.com/choice/PublicFullRecord.aspx?p=4795782</t>
  </si>
  <si>
    <t>Satires et polémiques II</t>
  </si>
  <si>
    <t>971.4/03</t>
  </si>
  <si>
    <t>http://public.eblib.com/choice/PublicFullRecord.aspx?p=4795785</t>
  </si>
  <si>
    <t>Relations</t>
  </si>
  <si>
    <t>Cartier, Jacques</t>
  </si>
  <si>
    <t>http://public.eblib.com/choice/PublicFullRecord.aspx?p=4795786</t>
  </si>
  <si>
    <t>Écrits II : Journal, Correspondance (1923-1953), Volume 1</t>
  </si>
  <si>
    <t>Borduas, Paul-Émile</t>
  </si>
  <si>
    <t>http://public.eblib.com/choice/PublicFullRecord.aspx?p=4795788</t>
  </si>
  <si>
    <t>Albert Lozeau : Œuvres poétiques complètes</t>
  </si>
  <si>
    <t>Lozeau, Albert</t>
  </si>
  <si>
    <t>841/.52</t>
  </si>
  <si>
    <t>http://public.eblib.com/choice/PublicFullRecord.aspx?p=4795789</t>
  </si>
  <si>
    <t>Chroniques I</t>
  </si>
  <si>
    <t>Buies, Arthur</t>
  </si>
  <si>
    <t>848/.4</t>
  </si>
  <si>
    <t>http://public.eblib.com/choice/PublicFullRecord.aspx?p=4795790</t>
  </si>
  <si>
    <t>Journal d'un voyage II</t>
  </si>
  <si>
    <t>Charlevoix, F.-X. de</t>
  </si>
  <si>
    <t>http://public.eblib.com/choice/PublicFullRecord.aspx?p=4795792</t>
  </si>
  <si>
    <t>Chroniques II</t>
  </si>
  <si>
    <t>http://public.eblib.com/choice/PublicFullRecord.aspx?p=4795793</t>
  </si>
  <si>
    <t>Le grand voyage du pays des Hurons, suivi de Dictionaire de la langue huronne</t>
  </si>
  <si>
    <t>Sagard, Gabriel</t>
  </si>
  <si>
    <t>971/.0049755</t>
  </si>
  <si>
    <t>http://public.eblib.com/choice/PublicFullRecord.aspx?p=4795794</t>
  </si>
  <si>
    <t>Œuvres complètes I</t>
  </si>
  <si>
    <t>Lahontan</t>
  </si>
  <si>
    <t>917.104/1</t>
  </si>
  <si>
    <t>http://public.eblib.com/choice/PublicFullRecord.aspx?p=4795796</t>
  </si>
  <si>
    <t>La Scouine</t>
  </si>
  <si>
    <t>Laberge, Albert</t>
  </si>
  <si>
    <t>843/.52</t>
  </si>
  <si>
    <t>http://public.eblib.com/choice/PublicFullRecord.aspx?p=4795797</t>
  </si>
  <si>
    <t>Paul Morin : Œuvres poétiques complètes</t>
  </si>
  <si>
    <t>Morin, Paul</t>
  </si>
  <si>
    <t>http://public.eblib.com/choice/PublicFullRecord.aspx?p=4795799</t>
  </si>
  <si>
    <t>Poèmes en prose</t>
  </si>
  <si>
    <t>Dugas, Marcel</t>
  </si>
  <si>
    <t>http://public.eblib.com/choice/PublicFullRecord.aspx?p=4795801</t>
  </si>
  <si>
    <t>Mœurs, coutumes et religion des Sauvages d’Amérique septentrionale</t>
  </si>
  <si>
    <t>Perrot, Nicolas</t>
  </si>
  <si>
    <t>http://public.eblib.com/choice/PublicFullRecord.aspx?p=4795803</t>
  </si>
  <si>
    <t>Œuvres complètes II</t>
  </si>
  <si>
    <t>http://public.eblib.com/choice/PublicFullRecord.aspx?p=4795806</t>
  </si>
  <si>
    <t>Relation des avantures de Mathieu Sagean, Canadien</t>
  </si>
  <si>
    <t>Sagean, Mathieu</t>
  </si>
  <si>
    <t>917.6204/1</t>
  </si>
  <si>
    <t>http://public.eblib.com/choice/PublicFullRecord.aspx?p=4795807</t>
  </si>
  <si>
    <t>Pour une communication efficace : Quoi dire et comment le dire</t>
  </si>
  <si>
    <t>Devirieux, Claude Jean</t>
  </si>
  <si>
    <t>http://public.eblib.com/choice/PublicFullRecord.aspx?p=4795810</t>
  </si>
  <si>
    <t>Nouvelle relation de la Gaspésie</t>
  </si>
  <si>
    <t>Leclercq, Chrestien</t>
  </si>
  <si>
    <t>917.14/770414</t>
  </si>
  <si>
    <t>http://public.eblib.com/choice/PublicFullRecord.aspx?p=4795811</t>
  </si>
  <si>
    <t>Les anciens Canadiens</t>
  </si>
  <si>
    <t>Aubert de Gaspé, Ph.</t>
  </si>
  <si>
    <t>843/.3</t>
  </si>
  <si>
    <t>http://public.eblib.com/choice/PublicFullRecord.aspx?p=4795814</t>
  </si>
  <si>
    <t>Journal d'un voyage I</t>
  </si>
  <si>
    <t>http://public.eblib.com/choice/PublicFullRecord.aspx?p=4795815</t>
  </si>
  <si>
    <t>Relation du voyage du Port Royal de l’Acadie suivi de Poésies diverses</t>
  </si>
  <si>
    <t>de Diéreville, N.</t>
  </si>
  <si>
    <t>917.16/041</t>
  </si>
  <si>
    <t>http://public.eblib.com/choice/PublicFullRecord.aspx?p=4795816</t>
  </si>
  <si>
    <t>Vivre son enfance au sein d'une secte religieuse : Comprendre pour mieux intervenir</t>
  </si>
  <si>
    <t>http://public.eblib.com/choice/PublicFullRecord.aspx?p=4795819</t>
  </si>
  <si>
    <t>Étranges récits, étranges lectures : Essai sur l'effet fantastique</t>
  </si>
  <si>
    <t>809.3/8766</t>
  </si>
  <si>
    <t>http://public.eblib.com/choice/PublicFullRecord.aspx?p=4795822</t>
  </si>
  <si>
    <t>Amour et sexualité chez l'adolescent - Fondements : Programme qualitatif d'éducation sexuelle pour jeunes hommes</t>
  </si>
  <si>
    <t>Manseau, Hélène</t>
  </si>
  <si>
    <t>613.9/53</t>
  </si>
  <si>
    <t>http://public.eblib.com/choice/PublicFullRecord.aspx?p=4795824</t>
  </si>
  <si>
    <t>Développement durable et communications : Au-delà des mots, pour un véritable engagement</t>
  </si>
  <si>
    <t>Tremblay, Solange</t>
  </si>
  <si>
    <t>http://public.eblib.com/choice/PublicFullRecord.aspx?p=4795827</t>
  </si>
  <si>
    <t>Dérive de l'espace public à l'ère du divertissement</t>
  </si>
  <si>
    <t>Perraton, Charles; Paquette, E´tienne; Barrette, Pierre</t>
  </si>
  <si>
    <t>http://public.eblib.com/choice/PublicFullRecord.aspx?p=4795830</t>
  </si>
  <si>
    <t>Violences faites aux femmes</t>
  </si>
  <si>
    <t>Arcand, Suzanne; Damant, Dominique; Gravel, Sylvie</t>
  </si>
  <si>
    <t>HV6250.4.W65V56 2008</t>
  </si>
  <si>
    <t>http://public.eblib.com/choice/PublicFullRecord.aspx?p=4795833</t>
  </si>
  <si>
    <t>Dilemmes énergétiques</t>
  </si>
  <si>
    <t>Benhaddadi, Mohamed; Olivier, Guy</t>
  </si>
  <si>
    <t>http://public.eblib.com/choice/PublicFullRecord.aspx?p=4795836</t>
  </si>
  <si>
    <t>Les organismes communautaires et la transformation de l'État-providence : Trois décennies de coconstruction des politiques publiques dans le domaine de la santé et des services sociaux</t>
  </si>
  <si>
    <t>Jetté, Christian</t>
  </si>
  <si>
    <t>http://public.eblib.com/choice/PublicFullRecord.aspx?p=4795839</t>
  </si>
  <si>
    <t>Guide d'identification des diatomées des rivières de l'Est du Canada</t>
  </si>
  <si>
    <t>Lavoie, Isabelle; Hamilton, Paul; Campeau, Stéphane</t>
  </si>
  <si>
    <t>Science: Botany; Science; Science: Biology/Natural History</t>
  </si>
  <si>
    <t>QK569.D54G85 2008</t>
  </si>
  <si>
    <t>579.8/5176409713</t>
  </si>
  <si>
    <t>http://public.eblib.com/choice/PublicFullRecord.aspx?p=4795840</t>
  </si>
  <si>
    <t>Réaliser son mémoire ou sa thèse : Côté jeans et côté tenue de soirée</t>
  </si>
  <si>
    <t>Mongeau, Pierre</t>
  </si>
  <si>
    <t>http://public.eblib.com/choice/PublicFullRecord.aspx?p=4795843</t>
  </si>
  <si>
    <t>Prolifération des écrans / Proliferation of Screens</t>
  </si>
  <si>
    <t>Poissant, Louise; Tremblay, Pierre</t>
  </si>
  <si>
    <t>701/.05</t>
  </si>
  <si>
    <t>http://public.eblib.com/choice/PublicFullRecord.aspx?p=4795850</t>
  </si>
  <si>
    <t>Communication : Horizons de pratiques et de recherche - Volume 2</t>
  </si>
  <si>
    <t>Mongeau, Pierre; Saint-Charles, Johanne</t>
  </si>
  <si>
    <t>http://public.eblib.com/choice/PublicFullRecord.aspx?p=4795851</t>
  </si>
  <si>
    <t>Langage et littératie chez l'enfant en service de garde éducatif</t>
  </si>
  <si>
    <t>Charron, Annie; Bouchard, Caroline; Cantin, Gilles</t>
  </si>
  <si>
    <t>P93.L47 2008</t>
  </si>
  <si>
    <t>http://public.eblib.com/choice/PublicFullRecord.aspx?p=4795853</t>
  </si>
  <si>
    <t>L'archiviste : Constructeur, gardien et communicateur</t>
  </si>
  <si>
    <t>Grimard, Jacques; Lemay, Yvon; Gagnon-Arguin, Louise</t>
  </si>
  <si>
    <t>CD972.A72 2009</t>
  </si>
  <si>
    <t>http://public.eblib.com/choice/PublicFullRecord.aspx?p=4795856</t>
  </si>
  <si>
    <t>Compétences professionnelles pour l'accompagnement d'un changement : Un référentiel</t>
  </si>
  <si>
    <t>HF5549.5.C53L243 200</t>
  </si>
  <si>
    <t>658.3/124</t>
  </si>
  <si>
    <t>http://public.eblib.com/choice/PublicFullRecord.aspx?p=4795857</t>
  </si>
  <si>
    <t>La famille à l'horizon 2020</t>
  </si>
  <si>
    <t>Pronovost, Gilles; Dumont, Chantale; Bitaudeau, Isabelle</t>
  </si>
  <si>
    <t>HQ560.15.Q8S952 2008</t>
  </si>
  <si>
    <t>http://public.eblib.com/choice/PublicFullRecord.aspx?p=4795860</t>
  </si>
  <si>
    <t>Le paysage, un projet politique</t>
  </si>
  <si>
    <t>Bédard, Mario</t>
  </si>
  <si>
    <t>BH301.L3P399 2009</t>
  </si>
  <si>
    <t>http://public.eblib.com/choice/PublicFullRecord.aspx?p=4795863</t>
  </si>
  <si>
    <t>La face cachée des élus : Engagement, responsabilité et comportement éthique</t>
  </si>
  <si>
    <t>Boisvert, Yves</t>
  </si>
  <si>
    <t>JL249.5.E8B64 2009</t>
  </si>
  <si>
    <t>http://public.eblib.com/choice/PublicFullRecord.aspx?p=4795864</t>
  </si>
  <si>
    <t>Le développement global de l'enfant de 0 à 5 ans en contextes éducatifs</t>
  </si>
  <si>
    <t>Bouchard, Caroline</t>
  </si>
  <si>
    <t>http://public.eblib.com/choice/PublicFullRecord.aspx?p=4795865</t>
  </si>
  <si>
    <t>Concertation et partenariat : Entre levier et piège du développement des communautés</t>
  </si>
  <si>
    <t>Bourque, Denis</t>
  </si>
  <si>
    <t>HN49.C6B68 2008</t>
  </si>
  <si>
    <t>http://public.eblib.com/choice/PublicFullRecord.aspx?p=4795866</t>
  </si>
  <si>
    <t>La métropolisation et ses territoires</t>
  </si>
  <si>
    <t>Sénécal, Gilles; Bherer, Laurence</t>
  </si>
  <si>
    <t>HT361.M47 2009</t>
  </si>
  <si>
    <t>307.76/4</t>
  </si>
  <si>
    <t>http://public.eblib.com/choice/PublicFullRecord.aspx?p=4795867</t>
  </si>
  <si>
    <t>Le partenariat en coopération internationale : Paradoxe ou compromis ?</t>
  </si>
  <si>
    <t>Navarro-Flores, Olga</t>
  </si>
  <si>
    <t>Economics; Business/Management; Political Science</t>
  </si>
  <si>
    <t>JZ4841.N38 2009</t>
  </si>
  <si>
    <t>http://public.eblib.com/choice/PublicFullRecord.aspx?p=4795868</t>
  </si>
  <si>
    <t>Professional Accompaniment Model for Change : For Innovative Leadership</t>
  </si>
  <si>
    <t>HF5549.5.C53L3313 20</t>
  </si>
  <si>
    <t>http://public.eblib.com/choice/PublicFullRecord.aspx?p=4795869</t>
  </si>
  <si>
    <t>Conduites agressives chez l'enfant : Perspectives développementales et psychosociales</t>
  </si>
  <si>
    <t>Schneider, Barry H.; Normand, Sébastien; Allès-Jardel, Monique</t>
  </si>
  <si>
    <t>BF723.A35C66 2009</t>
  </si>
  <si>
    <t>http://public.eblib.com/choice/PublicFullRecord.aspx?p=4795871</t>
  </si>
  <si>
    <t>Élaborer et évaluer les programmes d'intervention psychosociale</t>
  </si>
  <si>
    <t>Alain, Marc; Dessureault, Danny</t>
  </si>
  <si>
    <t>HV41.E42 2009</t>
  </si>
  <si>
    <t>http://public.eblib.com/choice/PublicFullRecord.aspx?p=4795874</t>
  </si>
  <si>
    <t>Introduction à l'analyse des données de sondage avec SPSS : Guide d'auto-apprentissage</t>
  </si>
  <si>
    <t>Plaisent, Michel; Bernard, Prosper; Zuccaro, Cataldo</t>
  </si>
  <si>
    <t>HA32.I57 2009</t>
  </si>
  <si>
    <t>300.285/53</t>
  </si>
  <si>
    <t>http://public.eblib.com/choice/PublicFullRecord.aspx?p=4795875</t>
  </si>
  <si>
    <t>Recherche sociale, 5e édition : De la problématique à la collecte des données</t>
  </si>
  <si>
    <t>Gauthier, Benoît</t>
  </si>
  <si>
    <t>H62.R39 2009</t>
  </si>
  <si>
    <t>http://public.eblib.com/choice/PublicFullRecord.aspx?p=4795878</t>
  </si>
  <si>
    <t>Repères pour l'éthique professionnelle des enseignants</t>
  </si>
  <si>
    <t>Jutras, France; Gohier, Christiane</t>
  </si>
  <si>
    <t>LB1779.R46 2009</t>
  </si>
  <si>
    <t>174/.937</t>
  </si>
  <si>
    <t>http://public.eblib.com/choice/PublicFullRecord.aspx?p=4795880</t>
  </si>
  <si>
    <t>Intersections : Cultures, sexualités et genres</t>
  </si>
  <si>
    <t>Brotman, Shari; Levy, Joseph J.</t>
  </si>
  <si>
    <t>HQ73.3 C3I57 2008</t>
  </si>
  <si>
    <t>http://public.eblib.com/choice/PublicFullRecord.aspx?p=4795881</t>
  </si>
  <si>
    <t>L'articulation oral-écrit en classe : Une diversité de pratiques</t>
  </si>
  <si>
    <t>Lafontaine, Lizanne; Bergeron, Real; Plessis-Bélair, Ginette</t>
  </si>
  <si>
    <t>LB1577.F7A77 2008</t>
  </si>
  <si>
    <t>http://public.eblib.com/choice/PublicFullRecord.aspx?p=4795884</t>
  </si>
  <si>
    <t>Tango, corps à corps culture : Danser en tandem pour mieux vivre</t>
  </si>
  <si>
    <t>Joyal, France</t>
  </si>
  <si>
    <t>GV1796.T3T36 2009</t>
  </si>
  <si>
    <t>793.3/3</t>
  </si>
  <si>
    <t>http://public.eblib.com/choice/PublicFullRecord.aspx?p=4795885</t>
  </si>
  <si>
    <t>La transmission des PME : Perspectives et enjeux</t>
  </si>
  <si>
    <t>Cadieux, Louise; Brouard, François</t>
  </si>
  <si>
    <t>HD62.7.C32 2009</t>
  </si>
  <si>
    <t>658.02/2</t>
  </si>
  <si>
    <t>http://public.eblib.com/choice/PublicFullRecord.aspx?p=4795889</t>
  </si>
  <si>
    <t>Guide des meilleures pratiques en réadaptation cognitive</t>
  </si>
  <si>
    <t>Paquette, Claude</t>
  </si>
  <si>
    <t>RC553.C64P36 2009</t>
  </si>
  <si>
    <t>http://public.eblib.com/choice/PublicFullRecord.aspx?p=4795890</t>
  </si>
  <si>
    <t>Le loisir public et civil au Québec : Dynamique, démocratique, passionnel et fragile</t>
  </si>
  <si>
    <t>Thibault, André</t>
  </si>
  <si>
    <t>GV181.5.T455 2008</t>
  </si>
  <si>
    <t>http://public.eblib.com/choice/PublicFullRecord.aspx?p=4795891</t>
  </si>
  <si>
    <t>Professional Competencies for Accompanying Change : A Frame of Reference</t>
  </si>
  <si>
    <t>HF5549.5.C53L33213 2</t>
  </si>
  <si>
    <t>http://public.eblib.com/choice/PublicFullRecord.aspx?p=4795892</t>
  </si>
  <si>
    <t>Le bébé en services éducatifs</t>
  </si>
  <si>
    <t>Martin, Jocelyne; Poulin, Céline; Falardeau, Isabelle</t>
  </si>
  <si>
    <t>HQ778.5.M38 2009</t>
  </si>
  <si>
    <t>362.71/2</t>
  </si>
  <si>
    <t>http://public.eblib.com/choice/PublicFullRecord.aspx?p=4795893</t>
  </si>
  <si>
    <t>Visages multiples de la parentalité</t>
  </si>
  <si>
    <t>Parent, Claudine; Drapeau, Sylvie; Brousseau, Michele</t>
  </si>
  <si>
    <t>HQ755.8.V57 2008</t>
  </si>
  <si>
    <t>http://public.eblib.com/choice/PublicFullRecord.aspx?p=4795894</t>
  </si>
  <si>
    <t>Tourisme et territoires forestiers : Vers de nouvelles perspectives de mise en valeur</t>
  </si>
  <si>
    <t>Lequin, Marie; Sarrasin, Bruno</t>
  </si>
  <si>
    <t>Environmental Studies; Sport &amp; Recreation; Economics</t>
  </si>
  <si>
    <t>GV191.67.F6T68 2008</t>
  </si>
  <si>
    <t>333.78/4</t>
  </si>
  <si>
    <t>http://public.eblib.com/choice/PublicFullRecord.aspx?p=4795895</t>
  </si>
  <si>
    <t>L'évaluation psychologique auprès de familles vulnérables</t>
  </si>
  <si>
    <t>Tarabulsy, George M.; Provost, Marc A.; Drapeau, Sylvie</t>
  </si>
  <si>
    <t>HV697.E92 2008</t>
  </si>
  <si>
    <t>http://public.eblib.com/choice/PublicFullRecord.aspx?p=4795900</t>
  </si>
  <si>
    <t>Gestion budgétaire et dépenses publiques : Description comparée des processus, évolutions et enjeux budgétaires du Québec</t>
  </si>
  <si>
    <t>Cliche, Pierre</t>
  </si>
  <si>
    <t>HJ2009.C54 2009</t>
  </si>
  <si>
    <t>352.4/8</t>
  </si>
  <si>
    <t>http://public.eblib.com/choice/PublicFullRecord.aspx?p=4795901</t>
  </si>
  <si>
    <t>Immigration, diversité et sécurité : Les associations arabo-musulmanes face à l'état au Canada et au Québec</t>
  </si>
  <si>
    <t>Labelle, Micheline; Rocher, Francois; Antonius, Rachad</t>
  </si>
  <si>
    <t>JV7233.L32 2009</t>
  </si>
  <si>
    <t>http://public.eblib.com/choice/PublicFullRecord.aspx?p=4795902</t>
  </si>
  <si>
    <t>Manifeste pour le droit à l'information : De la manipulation à la législation</t>
  </si>
  <si>
    <t>K3255.D48 2009</t>
  </si>
  <si>
    <t>342.08/53</t>
  </si>
  <si>
    <t>http://public.eblib.com/choice/PublicFullRecord.aspx?p=4795903</t>
  </si>
  <si>
    <t>Coopération Nord-Sud et développement : Le défi de la réciprocité</t>
  </si>
  <si>
    <t>Favreau, Louis; Échette, Lucie; Lachapelle, Rene</t>
  </si>
  <si>
    <t>JZ1318.F38 2008</t>
  </si>
  <si>
    <t>http://public.eblib.com/choice/PublicFullRecord.aspx?p=4795904</t>
  </si>
  <si>
    <t>Sciences du territoire : Perspectives québécoises</t>
  </si>
  <si>
    <t>Massicotte, Guy</t>
  </si>
  <si>
    <t>HT395.C32Q8 2008</t>
  </si>
  <si>
    <t>307.1/209714</t>
  </si>
  <si>
    <t>http://public.eblib.com/choice/PublicFullRecord.aspx?p=4795905</t>
  </si>
  <si>
    <t>Une histoire du Canada</t>
  </si>
  <si>
    <t>Les Presses de l'Université Laval</t>
  </si>
  <si>
    <t>http://public.eblib.com/choice/PublicFullRecord.aspx?p=4795906</t>
  </si>
  <si>
    <t>Éthique de l'hospitalité</t>
  </si>
  <si>
    <t>Innerarity, Daniel</t>
  </si>
  <si>
    <t>http://public.eblib.com/choice/PublicFullRecord.aspx?p=4795910</t>
  </si>
  <si>
    <t>La paternité au XXIe siècle</t>
  </si>
  <si>
    <t>Dubeau, Diane</t>
  </si>
  <si>
    <t>306.874/209714</t>
  </si>
  <si>
    <t>http://public.eblib.com/choice/PublicFullRecord.aspx?p=4795911</t>
  </si>
  <si>
    <t>Politiques d'intégration, rapports d'exclusion : Action publique et justice sociale</t>
  </si>
  <si>
    <t>Société, Cultures et Santé</t>
  </si>
  <si>
    <t>Gagnon, Éric</t>
  </si>
  <si>
    <t>http://public.eblib.com/choice/PublicFullRecord.aspx?p=4795913</t>
  </si>
  <si>
    <t>Le paysage façonné : Les territoires postindustriels, l'art et l'usage</t>
  </si>
  <si>
    <t>Géographie</t>
  </si>
  <si>
    <t>Paquet, Suzanne</t>
  </si>
  <si>
    <t>http://public.eblib.com/choice/PublicFullRecord.aspx?p=4795916</t>
  </si>
  <si>
    <t>La trahison de la foi : Le parcours tragique d'un converti autochtone à l'époque coloniale</t>
  </si>
  <si>
    <t>Anderson, Emma</t>
  </si>
  <si>
    <t>http://public.eblib.com/choice/PublicFullRecord.aspx?p=4795917</t>
  </si>
  <si>
    <t>Territoires</t>
  </si>
  <si>
    <t>Turgeon, Laurier</t>
  </si>
  <si>
    <t>http://public.eblib.com/choice/PublicFullRecord.aspx?p=4795919</t>
  </si>
  <si>
    <t>Québec, 1759 : Le siège et la bataille</t>
  </si>
  <si>
    <t>Stacey, C.P.</t>
  </si>
  <si>
    <t>http://public.eblib.com/choice/PublicFullRecord.aspx?p=4795920</t>
  </si>
  <si>
    <t>Penser avec Edgar Morin : Lire La Méthode</t>
  </si>
  <si>
    <t>Fortin, Robin</t>
  </si>
  <si>
    <t>http://public.eblib.com/choice/PublicFullRecord.aspx?p=4795921</t>
  </si>
  <si>
    <t>Spirit of Place : Between Tangible and Intangible Heritage / L'esprit du lieu : entre le patrimoine matériel et immatériel</t>
  </si>
  <si>
    <t>111/.85/09034</t>
  </si>
  <si>
    <t>http://public.eblib.com/choice/PublicFullRecord.aspx?p=4795924</t>
  </si>
  <si>
    <t>Récits du XIXe siècle : Structure et contenu du discours historiographique au Canada au XIXe siècle : Garneau, Kingsford, Rameau de Saint Père, Smith</t>
  </si>
  <si>
    <t>Defert, Jean-Jacques</t>
  </si>
  <si>
    <t>http://public.eblib.com/choice/PublicFullRecord.aspx?p=4795925</t>
  </si>
  <si>
    <t>Imaginer le posthumain : Sociologie de l'art et archéologie d'un vertige</t>
  </si>
  <si>
    <t>Coulombe, Maxime</t>
  </si>
  <si>
    <t>http://public.eblib.com/choice/PublicFullRecord.aspx?p=4795926</t>
  </si>
  <si>
    <t>Intertextualité, interdiscursivité et intermédialité</t>
  </si>
  <si>
    <t>Vie des Signes</t>
  </si>
  <si>
    <t>Guillemette, Lucie; Louis, Hebert</t>
  </si>
  <si>
    <t>http://public.eblib.com/choice/PublicFullRecord.aspx?p=4795932</t>
  </si>
  <si>
    <t>Robert Cliche : Juge, politicien et humaniste</t>
  </si>
  <si>
    <t>Poulin, Pierre C.</t>
  </si>
  <si>
    <t>http://public.eblib.com/choice/PublicFullRecord.aspx?p=4795939</t>
  </si>
  <si>
    <t>Autochtonies : Vues de France et du Québec</t>
  </si>
  <si>
    <t>Gagné, Natacha</t>
  </si>
  <si>
    <t>http://public.eblib.com/choice/PublicFullRecord.aspx?p=4795954</t>
  </si>
  <si>
    <t>Histoire de la pharmacie en France et en Nouvelle-France au XVIIIe siècle</t>
  </si>
  <si>
    <t>Tésio, Stéphanie</t>
  </si>
  <si>
    <t>615/.1094409033</t>
  </si>
  <si>
    <t>http://public.eblib.com/choice/PublicFullRecord.aspx?p=4795959</t>
  </si>
  <si>
    <t>Légiférer en matière linguistique</t>
  </si>
  <si>
    <t>http://public.eblib.com/choice/PublicFullRecord.aspx?p=4795962</t>
  </si>
  <si>
    <t>Le leadership dans les organisations publiques au Brésil</t>
  </si>
  <si>
    <t>Sciences de L'administration</t>
  </si>
  <si>
    <t>Cavalcanti, Bianor</t>
  </si>
  <si>
    <t>http://public.eblib.com/choice/PublicFullRecord.aspx?p=4795964</t>
  </si>
  <si>
    <t>Le corps romanesque : Images et usages topiques sous l'Ancien Régime</t>
  </si>
  <si>
    <t>Collections de la République</t>
  </si>
  <si>
    <t>Moser-Verrey, Monique</t>
  </si>
  <si>
    <t>843/.009</t>
  </si>
  <si>
    <t>http://public.eblib.com/choice/PublicFullRecord.aspx?p=4795973</t>
  </si>
  <si>
    <t>A-t-on oublié que jadis nous étions « frères » ? Alliances fondatrices et reconnaissance des peuples autochtones dans l'histoire du Québec</t>
  </si>
  <si>
    <t>d'Avignon, Mathieu</t>
  </si>
  <si>
    <t>http://public.eblib.com/choice/PublicFullRecord.aspx?p=4795978</t>
  </si>
  <si>
    <t>La nation sans la religion ? Le défi des ancrages au Québec</t>
  </si>
  <si>
    <t>Richard, Louis-André</t>
  </si>
  <si>
    <t>http://public.eblib.com/choice/PublicFullRecord.aspx?p=4795982</t>
  </si>
  <si>
    <t>Tabac, alcool, drogues, jeux de hasard et d'argent : À l'heure de l'intégration des pratiques</t>
  </si>
  <si>
    <t>Toxicomanie</t>
  </si>
  <si>
    <t>Guyon, Louise</t>
  </si>
  <si>
    <t>http://public.eblib.com/choice/PublicFullRecord.aspx?p=4796004</t>
  </si>
  <si>
    <t>Journal du siège de Québec du 10 mai au 18 septembre 1759</t>
  </si>
  <si>
    <t>Archive Littéraire Au Québec</t>
  </si>
  <si>
    <t>Andrès, Bernard</t>
  </si>
  <si>
    <t>http://public.eblib.com/choice/PublicFullRecord.aspx?p=4796007</t>
  </si>
  <si>
    <t>La vraie dureté du mental : Hockey et philosophie</t>
  </si>
  <si>
    <t>http://public.eblib.com/choice/PublicFullRecord.aspx?p=4796010</t>
  </si>
  <si>
    <t>Le Parlement du Québec de 1867 à aujourd'hui</t>
  </si>
  <si>
    <t>Massicotte, Louis</t>
  </si>
  <si>
    <t>http://public.eblib.com/choice/PublicFullRecord.aspx?p=4796016</t>
  </si>
  <si>
    <t>Le patrimoine religieux du Québec : Éducation et transmission du sens</t>
  </si>
  <si>
    <t>http://public.eblib.com/choice/PublicFullRecord.aspx?p=4796018</t>
  </si>
  <si>
    <t>Interrelations femmes-médias dans l'Amérique française</t>
  </si>
  <si>
    <t>305.48/811407109</t>
  </si>
  <si>
    <t>http://public.eblib.com/choice/PublicFullRecord.aspx?p=4796022</t>
  </si>
  <si>
    <t>Demandes de reconnaissance et validation d'acquis de l'expérience : Pour qui ? Pour quoi ?</t>
  </si>
  <si>
    <t>Bélisle, Rachel</t>
  </si>
  <si>
    <t>http://public.eblib.com/choice/PublicFullRecord.aspx?p=4796025</t>
  </si>
  <si>
    <t>De la réingénierie à la modernisation de l'État québécois</t>
  </si>
  <si>
    <t>Espace Public L'</t>
  </si>
  <si>
    <t>Rouillard, Christian</t>
  </si>
  <si>
    <t>352.3/6709714</t>
  </si>
  <si>
    <t>http://public.eblib.com/choice/PublicFullRecord.aspx?p=4796031</t>
  </si>
  <si>
    <t>Organisation pathogène du travail et maintien durable en emploi : une question antinomique ?</t>
  </si>
  <si>
    <t>Traject. Prof. Marché Trav. con</t>
  </si>
  <si>
    <t>Maranda, Marie-France</t>
  </si>
  <si>
    <t>http://public.eblib.com/choice/PublicFullRecord.aspx?p=4796033</t>
  </si>
  <si>
    <t>Appartenances religieuses, appartenance citoyenne : Un équilibre en tension</t>
  </si>
  <si>
    <t>http://public.eblib.com/choice/PublicFullRecord.aspx?p=4796036</t>
  </si>
  <si>
    <t>Changement ou continuité ? Les processus participatifs au gouvernement du Canada 1975-2005</t>
  </si>
  <si>
    <t>Gouvernance et Gestion Publiqu</t>
  </si>
  <si>
    <t>Garon, Francis</t>
  </si>
  <si>
    <t>http://public.eblib.com/choice/PublicFullRecord.aspx?p=4796038</t>
  </si>
  <si>
    <t>Les voyageurs et leur monde : Voyageurs et traiteurs de fourrures en Amérique du Nord</t>
  </si>
  <si>
    <t>Podruchny, Carolyn</t>
  </si>
  <si>
    <t>http://public.eblib.com/choice/PublicFullRecord.aspx?p=4796040</t>
  </si>
  <si>
    <t>Ma culture, c'est les mains : La quête identitaire des Sourds au Québec</t>
  </si>
  <si>
    <t>Gaucher, Charles</t>
  </si>
  <si>
    <t>http://public.eblib.com/choice/PublicFullRecord.aspx?p=4796043</t>
  </si>
  <si>
    <t>Espaces en perdition, Tome II : Humanités jetables</t>
  </si>
  <si>
    <t>Espaces en Perdition</t>
  </si>
  <si>
    <t>Harel, Simon; Simon, Harel</t>
  </si>
  <si>
    <t>809.9332/22</t>
  </si>
  <si>
    <t>http://public.eblib.com/choice/PublicFullRecord.aspx?p=4796045</t>
  </si>
  <si>
    <t>Éthique et publicité</t>
  </si>
  <si>
    <t>Cossette, Claude</t>
  </si>
  <si>
    <t>174/.9659</t>
  </si>
  <si>
    <t>http://public.eblib.com/choice/PublicFullRecord.aspx?p=4796055</t>
  </si>
  <si>
    <t>St. John de Crèvecœur et les Lettres d'un fermier américain</t>
  </si>
  <si>
    <t>Monette, Pierre</t>
  </si>
  <si>
    <t>http://public.eblib.com/choice/PublicFullRecord.aspx?p=4796061</t>
  </si>
  <si>
    <t>Frères chasseurs, Brother hunters : une histoire méconnue de charbonnerie canadienne. &amp; Les églises chrétiennes et la franc-maçonnerie</t>
  </si>
  <si>
    <t>Cazzaniga, Gian Mario</t>
  </si>
  <si>
    <t>http://public.eblib.com/choice/PublicFullRecord.aspx?p=4796064</t>
  </si>
  <si>
    <t>L'Éthique saisie par la mondialisation : La question de l'immigration</t>
  </si>
  <si>
    <t>Straehle, Christine</t>
  </si>
  <si>
    <t>http://public.eblib.com/choice/PublicFullRecord.aspx?p=4796065</t>
  </si>
  <si>
    <t>Justice ethnique : Identités ethniques, reconnaissance et représentation politique</t>
  </si>
  <si>
    <t>Mbonda, Ernest-Marie</t>
  </si>
  <si>
    <t>http://public.eblib.com/choice/PublicFullRecord.aspx?p=4796067</t>
  </si>
  <si>
    <t>Langue, citoyenneté et identité au Québec</t>
  </si>
  <si>
    <t>Langue Franç. Amérique Nord</t>
  </si>
  <si>
    <t>Oakes, Leigh; Jane, Warren</t>
  </si>
  <si>
    <t>http://public.eblib.com/choice/PublicFullRecord.aspx?p=4796071</t>
  </si>
  <si>
    <t>L'autre société civile, les mouvements sociaux et la lutte pour les droits fondamentaux</t>
  </si>
  <si>
    <t>http://public.eblib.com/choice/PublicFullRecord.aspx?p=4796074</t>
  </si>
  <si>
    <t>Maurice Baudoux, 1902-1988 : Une grande figure de l'Église et de la société dans l'Ouest canadien</t>
  </si>
  <si>
    <t>Robillard, Denise</t>
  </si>
  <si>
    <t>http://public.eblib.com/choice/PublicFullRecord.aspx?p=4796078</t>
  </si>
  <si>
    <t>Exploring Leadership and Ethical Practice through Professional Inquiry</t>
  </si>
  <si>
    <t>Smith, Déirdre</t>
  </si>
  <si>
    <t>http://public.eblib.com/choice/PublicFullRecord.aspx?p=4796084</t>
  </si>
  <si>
    <t>Les accommodements raisonnables : entre Hérouxville et Outremont. La liberté de religion dans un État de droit</t>
  </si>
  <si>
    <t>Joncas, Pierre</t>
  </si>
  <si>
    <t>http://public.eblib.com/choice/PublicFullRecord.aspx?p=4796086</t>
  </si>
  <si>
    <t>Des maux qui enferment, des mots qui libèrent : Manuel pour une prise de parole et de pouvoir dans un HLM</t>
  </si>
  <si>
    <t>Charland, Martin</t>
  </si>
  <si>
    <t>http://public.eblib.com/choice/PublicFullRecord.aspx?p=4796087</t>
  </si>
  <si>
    <t>Les technologies de l'information et de la communication (TIC) à l'école secondaire : Une étude longitudinale</t>
  </si>
  <si>
    <t>Huot, Diane</t>
  </si>
  <si>
    <t>http://public.eblib.com/choice/PublicFullRecord.aspx?p=4796089</t>
  </si>
  <si>
    <t>Lecture inédite de la modernité aux origines de la Nouvelle-France : Marie Guyart de l'Incarnation et les autres fondateurs religieux</t>
  </si>
  <si>
    <t>Brodeur, Raymond</t>
  </si>
  <si>
    <t>http://public.eblib.com/choice/PublicFullRecord.aspx?p=4796095</t>
  </si>
  <si>
    <t>Faire œuvre : Transparence et opacité</t>
  </si>
  <si>
    <t>Paquet, Bernard</t>
  </si>
  <si>
    <t>http://public.eblib.com/choice/PublicFullRecord.aspx?p=4796098</t>
  </si>
  <si>
    <t>Résoudre des conflits de culture : Essai de sémiotique culturelle appliquée</t>
  </si>
  <si>
    <t>Intercultures</t>
  </si>
  <si>
    <t>Parent, Roger</t>
  </si>
  <si>
    <t>http://public.eblib.com/choice/PublicFullRecord.aspx?p=4796099</t>
  </si>
  <si>
    <t>Habiter seul : un nouveau mode de vie ?</t>
  </si>
  <si>
    <t>Charbonneau, Johanne</t>
  </si>
  <si>
    <t>http://public.eblib.com/choice/PublicFullRecord.aspx?p=4796102</t>
  </si>
  <si>
    <t>Chine • Europe • Amérique : Rencontres et échanges de Marco Polo à nos jours</t>
  </si>
  <si>
    <t>Li, Shenwen</t>
  </si>
  <si>
    <t>http://public.eblib.com/choice/PublicFullRecord.aspx?p=4796104</t>
  </si>
  <si>
    <t>Regards croisés sur le patrimoine : actes du colloque de Luxembourg</t>
  </si>
  <si>
    <t>Moumouni, Charles</t>
  </si>
  <si>
    <t>http://public.eblib.com/choice/PublicFullRecord.aspx?p=4796106</t>
  </si>
  <si>
    <t>Modernité et religion au Québec : Où en sommes-nous ?</t>
  </si>
  <si>
    <t>Mager, Robert</t>
  </si>
  <si>
    <t>http://public.eblib.com/choice/PublicFullRecord.aspx?p=4796112</t>
  </si>
  <si>
    <t>De la rumeur à la légende urbaine</t>
  </si>
  <si>
    <t>Roberge, Martine</t>
  </si>
  <si>
    <t>http://public.eblib.com/choice/PublicFullRecord.aspx?p=4796113</t>
  </si>
  <si>
    <t>L'ingénieur et le développement durable</t>
  </si>
  <si>
    <t>Mulder, Karel Frits; Francoeur, Eric</t>
  </si>
  <si>
    <t>http://public.eblib.com/choice/PublicFullRecord.aspx?p=4796116</t>
  </si>
  <si>
    <t>État stratège et participation citoyenne</t>
  </si>
  <si>
    <t>Côté, Louis; Lévesque, Benoît; Morneau, Guy</t>
  </si>
  <si>
    <t>http://public.eblib.com/choice/PublicFullRecord.aspx?p=4796117</t>
  </si>
  <si>
    <t>Physique des ondes, 2e édition</t>
  </si>
  <si>
    <t>St-Amand, André</t>
  </si>
  <si>
    <t>531/.1133</t>
  </si>
  <si>
    <t>http://public.eblib.com/choice/PublicFullRecord.aspx?p=4796119</t>
  </si>
  <si>
    <t>La diversité ethnoculturelle en éducation : Enjeux et défis pour l'école québécoise</t>
  </si>
  <si>
    <t>Toussaint, Pierre</t>
  </si>
  <si>
    <t>http://public.eblib.com/choice/PublicFullRecord.aspx?p=4796120</t>
  </si>
  <si>
    <t>Médias et démocratie, 3e édition : Le grand malentendu</t>
  </si>
  <si>
    <t>http://public.eblib.com/choice/PublicFullRecord.aspx?p=4796121</t>
  </si>
  <si>
    <t>Mobilité, réseaux et résilience : Le cas des familles immigrantes et réfugiées au Québec</t>
  </si>
  <si>
    <t>Vatz Laaroussi, Michèle</t>
  </si>
  <si>
    <t>http://public.eblib.com/choice/PublicFullRecord.aspx?p=4796123</t>
  </si>
  <si>
    <t>Pierre Jeanniot - Aux commandes du ciel : Une doyssée internationale</t>
  </si>
  <si>
    <t>Cardinal, Jacqueline; Lapierre, Laurent</t>
  </si>
  <si>
    <t>http://public.eblib.com/choice/PublicFullRecord.aspx?p=4796124</t>
  </si>
  <si>
    <t>L'état canadien et la diversité culturelle et religieuse, 1800-1914</t>
  </si>
  <si>
    <t>Derocher, Lorraine; Gelinas, Claude; Lebel-Grenier, Sébastien</t>
  </si>
  <si>
    <t>http://public.eblib.com/choice/PublicFullRecord.aspx?p=4796126</t>
  </si>
  <si>
    <t>Le protocole : Instrument de communication</t>
  </si>
  <si>
    <t>Dussault, Louis</t>
  </si>
  <si>
    <t>http://public.eblib.com/choice/PublicFullRecord.aspx?p=4796127</t>
  </si>
  <si>
    <t>Stress, estime de soi, santé et travail</t>
  </si>
  <si>
    <t>Dolan, Simon L.; Arsenault, André</t>
  </si>
  <si>
    <t>158.7/2</t>
  </si>
  <si>
    <t>http://public.eblib.com/choice/PublicFullRecord.aspx?p=4796128</t>
  </si>
  <si>
    <t>L'éducation motrice et l'éducation psychomotrice au préscolaire et au primaire</t>
  </si>
  <si>
    <t>http://public.eblib.com/choice/PublicFullRecord.aspx?p=4796129</t>
  </si>
  <si>
    <t>Faire équipe pour l'éducation à la santé en milieu scolaire</t>
  </si>
  <si>
    <t>Grenier, Johanne; Otis, Joanne; Harvey, Gilles</t>
  </si>
  <si>
    <t>371.7/1</t>
  </si>
  <si>
    <t>http://public.eblib.com/choice/PublicFullRecord.aspx?p=4796130</t>
  </si>
  <si>
    <t>Publier dans une revue savante : Les 10 règles du chercheur convaincant</t>
  </si>
  <si>
    <t>Cossette, Pierre</t>
  </si>
  <si>
    <t>http://public.eblib.com/choice/PublicFullRecord.aspx?p=4796131</t>
  </si>
  <si>
    <t>Ensemble ailleurs / Together Elsewhere</t>
  </si>
  <si>
    <t>700.1/05</t>
  </si>
  <si>
    <t>http://public.eblib.com/choice/PublicFullRecord.aspx?p=4796134</t>
  </si>
  <si>
    <t>L'émancipation, hier et aujourd'hui : Perspectives françaises et québécoises</t>
  </si>
  <si>
    <t>Tremblay, Gaëtan</t>
  </si>
  <si>
    <t>303.3/309714</t>
  </si>
  <si>
    <t>http://public.eblib.com/choice/PublicFullRecord.aspx?p=4796140</t>
  </si>
  <si>
    <t>Des modèles de service pour favoriser l'intégration scolaire</t>
  </si>
  <si>
    <t>Trépanier, Nathalie S; Paré, Mélanie</t>
  </si>
  <si>
    <t>371.9/046</t>
  </si>
  <si>
    <t>http://public.eblib.com/choice/PublicFullRecord.aspx?p=4796153</t>
  </si>
  <si>
    <t>Vivre ensemble dans l'espace public</t>
  </si>
  <si>
    <t>Perraton, Charles; Bonenfant, Maude</t>
  </si>
  <si>
    <t>http://public.eblib.com/choice/PublicFullRecord.aspx?p=4796155</t>
  </si>
  <si>
    <t>L'écriture comme espace d'insertion et de citoyenneté pour les immigrants : Parcours migratoires et stratégies identitaires d'écrivains maghrébins au Québec</t>
  </si>
  <si>
    <t>Rachédi, Lilyane</t>
  </si>
  <si>
    <t>840.9/892761</t>
  </si>
  <si>
    <t>http://public.eblib.com/choice/PublicFullRecord.aspx?p=4796157</t>
  </si>
  <si>
    <t>Diversité sexuelle et constructions de genre</t>
  </si>
  <si>
    <t>Chamberland, Line; Frank, Blye W.; Ristock, Janice</t>
  </si>
  <si>
    <t>http://public.eblib.com/choice/PublicFullRecord.aspx?p=4796163</t>
  </si>
  <si>
    <t>La révolution Internet</t>
  </si>
  <si>
    <t>Char, Antoine; Côté, Roch</t>
  </si>
  <si>
    <t>http://public.eblib.com/choice/PublicFullRecord.aspx?p=4796166</t>
  </si>
  <si>
    <t>Quelle communication pour quel changement? : Les dessous du changement social</t>
  </si>
  <si>
    <t>Agbobli, Christian</t>
  </si>
  <si>
    <t>http://public.eblib.com/choice/PublicFullRecord.aspx?p=4796169</t>
  </si>
  <si>
    <t>Web social : Mutation de la communication</t>
  </si>
  <si>
    <t>Millerand, Florence; Proulx, Serge; Rueff, Julien</t>
  </si>
  <si>
    <t>http://public.eblib.com/choice/PublicFullRecord.aspx?p=4796171</t>
  </si>
  <si>
    <t>La classe créative selon Richard Florida : Un paradigme urbain plausible?</t>
  </si>
  <si>
    <t>Tremblay, Rémy; Tremblay, Diane-Gabrielle</t>
  </si>
  <si>
    <t>http://public.eblib.com/choice/PublicFullRecord.aspx?p=4796174</t>
  </si>
  <si>
    <t>La recherche en communication : Un atout pour les campagnes sociales</t>
  </si>
  <si>
    <t>Frenette, Micheline</t>
  </si>
  <si>
    <t>http://public.eblib.com/choice/PublicFullRecord.aspx?p=4796175</t>
  </si>
  <si>
    <t>Fondements et pratiques de l'enseignement de l'histoire à l'école : Traité de didactique</t>
  </si>
  <si>
    <t>Martineau, Robert</t>
  </si>
  <si>
    <t>907.1/0714</t>
  </si>
  <si>
    <t>http://public.eblib.com/choice/PublicFullRecord.aspx?p=4796177</t>
  </si>
  <si>
    <t>Une seule terre à cultiver : Les défis agricoles et alimentaires mondiaux</t>
  </si>
  <si>
    <t>Rousseau, Jean-François; Durand, Olivier; De Koninck, Rodolphe</t>
  </si>
  <si>
    <t>http://public.eblib.com/choice/PublicFullRecord.aspx?p=4796179</t>
  </si>
  <si>
    <t>Des régimes d'authenticité</t>
  </si>
  <si>
    <t>Morrisset, Lucie K.</t>
  </si>
  <si>
    <t>http://public.eblib.com/choice/PublicFullRecord.aspx?p=4796182</t>
  </si>
  <si>
    <t>La formation à l’éthique et à la culture religieuse. Un modèle d’implantation de programme</t>
  </si>
  <si>
    <t>Rondeau, Dany; Cherblanc, Jacques</t>
  </si>
  <si>
    <t>http://public.eblib.com/choice/PublicFullRecord.aspx?p=4796184</t>
  </si>
  <si>
    <t>Analyser l’activité enseignante : Des outils méthodologiques et théorique pour l’intervention et la formation</t>
  </si>
  <si>
    <t>Formation et Profession</t>
  </si>
  <si>
    <t>Saussez, Frédéric; Saussez, Frederic</t>
  </si>
  <si>
    <t>http://public.eblib.com/choice/PublicFullRecord.aspx?p=4796185</t>
  </si>
  <si>
    <t>François Bellenger : Seigneur de l’Islet-de-Bonsecours</t>
  </si>
  <si>
    <t>Bélanger, Raymond</t>
  </si>
  <si>
    <t>http://public.eblib.com/choice/PublicFullRecord.aspx?p=4796188</t>
  </si>
  <si>
    <t>L’École et la diversité : Perspectives comparées. Politiques, programmes, pratiques</t>
  </si>
  <si>
    <t>Education et Culture</t>
  </si>
  <si>
    <t>McAndrew, Marie; Milot, Micheline; Triki-Yamani, Amina</t>
  </si>
  <si>
    <t>http://public.eblib.com/choice/PublicFullRecord.aspx?p=4796189</t>
  </si>
  <si>
    <t>La reconstruction de l'histoire des Amériques : Entretien avec le sociologue mexicain Rodolfo Stavenhagen</t>
  </si>
  <si>
    <t>D’avignon, Mathieu</t>
  </si>
  <si>
    <t>http://public.eblib.com/choice/PublicFullRecord.aspx?p=4796190</t>
  </si>
  <si>
    <t>Une histoire comparée de la philosophie des sciences, Volume 2 : L’empirisme logique en débat</t>
  </si>
  <si>
    <t>Histoire Comparée de la Philosophie Des</t>
  </si>
  <si>
    <t>Leroux, Jean</t>
  </si>
  <si>
    <t>http://public.eblib.com/choice/PublicFullRecord.aspx?p=4796191</t>
  </si>
  <si>
    <t>Culture québécoise et valeurs universelles</t>
  </si>
  <si>
    <t>Cultures Québécoises</t>
  </si>
  <si>
    <t>Lamonde, Yvan; Livernois, Jonathan; Association Internationale Des Etudes Quebecoises,</t>
  </si>
  <si>
    <t>http://public.eblib.com/choice/PublicFullRecord.aspx?p=4796192</t>
  </si>
  <si>
    <t>Les grands discours de l’histoire du Québec</t>
  </si>
  <si>
    <t>Terrien, Paul</t>
  </si>
  <si>
    <t>http://public.eblib.com/choice/PublicFullRecord.aspx?p=4796194</t>
  </si>
  <si>
    <t>Mourir, un acte de vie : Prévenir la mort sociale par la discussion pré-euthanasie et les soins de fin de vie, de Frances Norwood (traduction de l’anglais au français)</t>
  </si>
  <si>
    <t>Norwood, Frances; Frances, Norwood; Laberge, Lise</t>
  </si>
  <si>
    <t>http://public.eblib.com/choice/PublicFullRecord.aspx?p=4796196</t>
  </si>
  <si>
    <t>Travail et citoyenneté : Quel avenir ?</t>
  </si>
  <si>
    <t>Travail Emploi à l'ère Mondia</t>
  </si>
  <si>
    <t>Murray, Gregor; Murray, Gregor</t>
  </si>
  <si>
    <t>http://public.eblib.com/choice/PublicFullRecord.aspx?p=4796199</t>
  </si>
  <si>
    <t>L’âgisme. Comprendre et changer le regard social sur le vieillissement</t>
  </si>
  <si>
    <t>Ethique et Philosophie</t>
  </si>
  <si>
    <t>Lagacé, Martine</t>
  </si>
  <si>
    <t>http://public.eblib.com/choice/PublicFullRecord.aspx?p=4796200</t>
  </si>
  <si>
    <t>Philosophie de l’éducation pour l’avenir</t>
  </si>
  <si>
    <t>Kairos</t>
  </si>
  <si>
    <t>De Koninck, Thomas</t>
  </si>
  <si>
    <t>http://public.eblib.com/choice/PublicFullRecord.aspx?p=4796201</t>
  </si>
  <si>
    <t>Une histoire comparée de la philosophie des sciences, Volume 1 : Aux sources du Cercle de Vienne</t>
  </si>
  <si>
    <t>http://public.eblib.com/choice/PublicFullRecord.aspx?p=4796202</t>
  </si>
  <si>
    <t>La funambule, le fil et la toile : Transformations réciproques du sens du handicap</t>
  </si>
  <si>
    <t>Fougeyrollas, Patrick</t>
  </si>
  <si>
    <t>http://public.eblib.com/choice/PublicFullRecord.aspx?p=4796203</t>
  </si>
  <si>
    <t>Promesses et ratés de la réforme de l’éducation au Québec</t>
  </si>
  <si>
    <t>Mellouki, M’hammed</t>
  </si>
  <si>
    <t>http://public.eblib.com/choice/PublicFullRecord.aspx?p=4796204</t>
  </si>
  <si>
    <t>Femmes tondues. France - Libération. Coupables, amoureuses, victimes</t>
  </si>
  <si>
    <t>Autour de L'événement</t>
  </si>
  <si>
    <t>Desmarais, Julie</t>
  </si>
  <si>
    <t>http://public.eblib.com/choice/PublicFullRecord.aspx?p=4796205</t>
  </si>
  <si>
    <t>Être en société : Le lien social à l’épreuve des cultures (XVIIIe congrès de l’AISLF à Istanbul)</t>
  </si>
  <si>
    <t>Sociologie Contemporaine</t>
  </si>
  <si>
    <t>Petitat, André</t>
  </si>
  <si>
    <t>http://public.eblib.com/choice/PublicFullRecord.aspx?p=4796206</t>
  </si>
  <si>
    <t>Samuel de Champlain : Derniers récits de voyages en Nouvelle-France et autres écrits 1620-1632 (Réédition intégrale en français moderne, introduction et notes par Mathieu d’Avignon)</t>
  </si>
  <si>
    <t>http://public.eblib.com/choice/PublicFullRecord.aspx?p=4796207</t>
  </si>
  <si>
    <t>Cultures hybrides. Stratégies pour entrer et sortir de la modernité [Traduction de Culturas hibridas]</t>
  </si>
  <si>
    <t>Américana</t>
  </si>
  <si>
    <t>Canclini, Néstor Garcia; Garcia, Canclini Nestor</t>
  </si>
  <si>
    <t>http://public.eblib.com/choice/PublicFullRecord.aspx?p=4796209</t>
  </si>
  <si>
    <t>La recherche d’extase chez les jeunes</t>
  </si>
  <si>
    <t>Sociologie Au Coin de la Rue</t>
  </si>
  <si>
    <t>Mathiot, Louis; Ducournau, Nicolas; Lachance, Jocelyn</t>
  </si>
  <si>
    <t>http://public.eblib.com/choice/PublicFullRecord.aspx?p=4796210</t>
  </si>
  <si>
    <t>Hegel : Introduction à une lecture critique</t>
  </si>
  <si>
    <t>Logique de la Science</t>
  </si>
  <si>
    <t>http://public.eblib.com/choice/PublicFullRecord.aspx?p=4796211</t>
  </si>
  <si>
    <t>Explorer les pratiques déontologiques et le leadership par le questionnement professionnel</t>
  </si>
  <si>
    <t>Ordre des enseignantes et des enseignants de l’Ontario/Ontario College of Teachers</t>
  </si>
  <si>
    <t>http://public.eblib.com/choice/PublicFullRecord.aspx?p=4796216</t>
  </si>
  <si>
    <t>Le souverain bien et la fin dernière de la philosophie : Vers une interprétation téléologique de la philosophie kantienne</t>
  </si>
  <si>
    <t>Zêtêsis</t>
  </si>
  <si>
    <t>Morais, Marceline</t>
  </si>
  <si>
    <t>http://public.eblib.com/choice/PublicFullRecord.aspx?p=4796217</t>
  </si>
  <si>
    <t>La Gazette littéraire de Montréal (1778-1779)</t>
  </si>
  <si>
    <t>Doyon, Nova</t>
  </si>
  <si>
    <t>http://public.eblib.com/choice/PublicFullRecord.aspx?p=4796218</t>
  </si>
  <si>
    <t>Le revenu paysan : Entre la logique sociale et la raison utilitaire</t>
  </si>
  <si>
    <t>Mémoire et Survivance</t>
  </si>
  <si>
    <t>Gbénou, Gabriel</t>
  </si>
  <si>
    <t>http://public.eblib.com/choice/PublicFullRecord.aspx?p=4796219</t>
  </si>
  <si>
    <t>Chronique des Amériques : Du sommet de Québec au Forum social mondial</t>
  </si>
  <si>
    <t>http://public.eblib.com/choice/PublicFullRecord.aspx?p=4796221</t>
  </si>
  <si>
    <t>La mutation stratégique du Japon, 1945-2010 : Succès et mérite de l’approche adaptative</t>
  </si>
  <si>
    <t>Politique étrangère &amp; Sécurité</t>
  </si>
  <si>
    <t>Roy, Dominic</t>
  </si>
  <si>
    <t>http://public.eblib.com/choice/PublicFullRecord.aspx?p=4796222</t>
  </si>
  <si>
    <t>Regards sur... l’identité des jeunes en contexte minoritaire</t>
  </si>
  <si>
    <t>Regards Jeunesse Anal. Essais</t>
  </si>
  <si>
    <t>Pilote, Annie; Correa, Silvio Marcus De Souza</t>
  </si>
  <si>
    <t>http://public.eblib.com/choice/PublicFullRecord.aspx?p=4796224</t>
  </si>
  <si>
    <t>Les jeunesses au travail : Regards croisés France-Québec</t>
  </si>
  <si>
    <t>Regards Sur la Jeunesse</t>
  </si>
  <si>
    <t>Vultur, Mircea; Papinot, Christian</t>
  </si>
  <si>
    <t>http://public.eblib.com/choice/PublicFullRecord.aspx?p=4796228</t>
  </si>
  <si>
    <t>Portraits de campagnes : la formation du monde rural laurentien au XVIIIe siècle</t>
  </si>
  <si>
    <t>Laberge, Alain; Gouger, Lina; Mathieu, Jacques</t>
  </si>
  <si>
    <t>http://public.eblib.com/choice/PublicFullRecord.aspx?p=4796231</t>
  </si>
  <si>
    <t>Trajectoires juives au Québec</t>
  </si>
  <si>
    <t>Anctil, Pierre</t>
  </si>
  <si>
    <t>http://public.eblib.com/choice/PublicFullRecord.aspx?p=4796232</t>
  </si>
  <si>
    <t>La relation de voyage en Amérique (XVIe-XVIIIe siècles) : Au carrefour des genres</t>
  </si>
  <si>
    <t>Ouellet, Réal</t>
  </si>
  <si>
    <t>http://public.eblib.com/choice/PublicFullRecord.aspx?p=4796233</t>
  </si>
  <si>
    <t>Guide d’argumentation éthique, Deuxième édition</t>
  </si>
  <si>
    <t>Quand la Philo Fait Pop!</t>
  </si>
  <si>
    <t>Métayer, Michel</t>
  </si>
  <si>
    <t>http://public.eblib.com/choice/PublicFullRecord.aspx?p=4796234</t>
  </si>
  <si>
    <t>Parcours d’un fédéraliste : De la réflexion à l’action</t>
  </si>
  <si>
    <t>Prisme</t>
  </si>
  <si>
    <t>Pelletier, Benoît</t>
  </si>
  <si>
    <t>http://public.eblib.com/choice/PublicFullRecord.aspx?p=4796235</t>
  </si>
  <si>
    <t>Deleuze au cinéma : Une introduction à l’empirisme supérieur de l’image-temps</t>
  </si>
  <si>
    <t>Cardinal, Serge</t>
  </si>
  <si>
    <t>PN1995.C36 2010</t>
  </si>
  <si>
    <t>http://public.eblib.com/choice/PublicFullRecord.aspx?p=4796236</t>
  </si>
  <si>
    <t>Finding the Spirit of the place in World Heritage Sites : Aboriginal Approaches in Perspective / Révéler l’esprit du lieu dans les sites du patrimoine mondial : Perspectives autochtones (actes de colloque)</t>
  </si>
  <si>
    <t>Arsenault, Daniel</t>
  </si>
  <si>
    <t>http://public.eblib.com/choice/PublicFullRecord.aspx?p=4796238</t>
  </si>
  <si>
    <t>Dieu a changé au Québec : Regards sur un catholicisme à l’épreuve du politique</t>
  </si>
  <si>
    <t>Palard, Jacques</t>
  </si>
  <si>
    <t>http://public.eblib.com/choice/PublicFullRecord.aspx?p=4796239</t>
  </si>
  <si>
    <t>L’oeuvre de Camille Laurin : La politique publique comme instrument de l’innovation sociale</t>
  </si>
  <si>
    <t>Chaire Fernand Dumont</t>
  </si>
  <si>
    <t>Simard, Jean-François</t>
  </si>
  <si>
    <t>http://public.eblib.com/choice/PublicFullRecord.aspx?p=4796240</t>
  </si>
  <si>
    <t>Bombardons le Canada! Et autres propos désobligeants relevés dans les médias américains</t>
  </si>
  <si>
    <t>http://public.eblib.com/choice/PublicFullRecord.aspx?p=4796242</t>
  </si>
  <si>
    <t>Le conservatisme au Québec : Retour sur une tradition oubliée</t>
  </si>
  <si>
    <t>Boily, Frédéric</t>
  </si>
  <si>
    <t>http://public.eblib.com/choice/PublicFullRecord.aspx?p=4796246</t>
  </si>
  <si>
    <t>Passeurs d’histoire(s) : Figures des relations France-Québec en histoire du livre</t>
  </si>
  <si>
    <t>Luneau, Marie-Pier; St-Laurent, Fanie</t>
  </si>
  <si>
    <t>http://public.eblib.com/choice/PublicFullRecord.aspx?p=4796247</t>
  </si>
  <si>
    <t>La signification du travail : Nouveau modèle productif et ethos du travail au Québec</t>
  </si>
  <si>
    <t>Mercure, Daniel; Vultur, Mircea; Bourdages-Sylvain, Marie-Pierre</t>
  </si>
  <si>
    <t>http://public.eblib.com/choice/PublicFullRecord.aspx?p=4796250</t>
  </si>
  <si>
    <t>De quoi ont-ils peur? Onze lettres du Frère Untel au Devoir</t>
  </si>
  <si>
    <t>Desbiens, Jean-Paul</t>
  </si>
  <si>
    <t>http://public.eblib.com/choice/PublicFullRecord.aspx?p=4796251</t>
  </si>
  <si>
    <t>Profession historien</t>
  </si>
  <si>
    <t>Profession</t>
  </si>
  <si>
    <t>Bonnechère, Pierre</t>
  </si>
  <si>
    <t>http://public.eblib.com/choice/PublicFullRecord.aspx?p=4796267</t>
  </si>
  <si>
    <t>Profession musicologue</t>
  </si>
  <si>
    <t>Nattiez, Jean-Jacques</t>
  </si>
  <si>
    <t>780.72/023</t>
  </si>
  <si>
    <t>http://public.eblib.com/choice/PublicFullRecord.aspx?p=4796269</t>
  </si>
  <si>
    <t>Profession géographe</t>
  </si>
  <si>
    <t>http://public.eblib.com/choice/PublicFullRecord.aspx?p=4796271</t>
  </si>
  <si>
    <t>Patrimoines sensibles : Mots, espaces, pratiques</t>
  </si>
  <si>
    <t>Auzas, Vincent; Tran, Van Troi</t>
  </si>
  <si>
    <t>http://public.eblib.com/choice/PublicFullRecord.aspx?p=4796277</t>
  </si>
  <si>
    <t>Patrimoines et identités en Amérique française</t>
  </si>
  <si>
    <t>Turgeon, Laurier; Charbonneau, André</t>
  </si>
  <si>
    <t>http://public.eblib.com/choice/PublicFullRecord.aspx?p=4796282</t>
  </si>
  <si>
    <t>Les tendances et les défis des politiques culturelles - Cas nationaux en perspective : France-Angleterre-États-Unis-Allemagne-Espagne-Belgique-Suisse-Suède-Pays de Galle et Écosse-Québec - Les organisations internationales</t>
  </si>
  <si>
    <t>Saint-Pierre, Diane; Audet, Claudine</t>
  </si>
  <si>
    <t>http://public.eblib.com/choice/PublicFullRecord.aspx?p=4796289</t>
  </si>
  <si>
    <t>Le destin américain du Québec : Américanité, américanisation et anti-américanisme</t>
  </si>
  <si>
    <t>Lachapelle, Guy</t>
  </si>
  <si>
    <t>http://public.eblib.com/choice/PublicFullRecord.aspx?p=4796291</t>
  </si>
  <si>
    <t>Réconcilier les Français : Henri IV et la fin des troubles de religion, 1589-1598</t>
  </si>
  <si>
    <t>De Waele, Michel</t>
  </si>
  <si>
    <t>http://public.eblib.com/choice/PublicFullRecord.aspx?p=4796293</t>
  </si>
  <si>
    <t>La vie littéraire au Québec, Tome VI 1919-1933 : Le nationaliste, l’individualiste et le marchand</t>
  </si>
  <si>
    <t>Vie Littéraire Au Québec</t>
  </si>
  <si>
    <t>Saint-Jacques, Denis; Robert, Lucie</t>
  </si>
  <si>
    <t>http://public.eblib.com/choice/PublicFullRecord.aspx?p=4796294</t>
  </si>
  <si>
    <t>Haïti : Pour ne pas oublier. Pou nou pa blye</t>
  </si>
  <si>
    <t>Infirmières,communautés&amp;sociét</t>
  </si>
  <si>
    <t>Vonarx, Nicolas; Asselin, Sarah; Elie, Marie-Claude</t>
  </si>
  <si>
    <t>http://public.eblib.com/choice/PublicFullRecord.aspx?p=4796295</t>
  </si>
  <si>
    <t>Femmes et exils : Formes et figures</t>
  </si>
  <si>
    <t>Bourque, Dominique; Hogikyan, Nellie</t>
  </si>
  <si>
    <t>http://public.eblib.com/choice/PublicFullRecord.aspx?p=4796300</t>
  </si>
  <si>
    <t>Le commerce international : Théories, politiques et perspectives industrielles, 4e édition</t>
  </si>
  <si>
    <t>Nyahoho, Emmanuel; Proulx, Pierre-Paul</t>
  </si>
  <si>
    <t>HF1379.N9 2011</t>
  </si>
  <si>
    <t>http://public.eblib.com/choice/PublicFullRecord.aspx?p=4796301</t>
  </si>
  <si>
    <t>Difficultés de lecture et d'écriture : prévention et évaluation orthophonique auprès des jeunes</t>
  </si>
  <si>
    <t>St-Pierre, Marie-Catherine</t>
  </si>
  <si>
    <t>618.92/855</t>
  </si>
  <si>
    <t>http://public.eblib.com/choice/PublicFullRecord.aspx?p=4796303</t>
  </si>
  <si>
    <t>Familles et réussite éducative : Symposium québécois de recherche sur la famille</t>
  </si>
  <si>
    <t>http://public.eblib.com/choice/PublicFullRecord.aspx?p=4796308</t>
  </si>
  <si>
    <t>Du trouble mental à l'incapacité au travail : Une perspective transdisciplinaire qui vise à mieux saisir cette problématique et à offrir des pistes d’intervention</t>
  </si>
  <si>
    <t>Corbière, Marc</t>
  </si>
  <si>
    <t>331.5/94</t>
  </si>
  <si>
    <t>http://public.eblib.com/choice/PublicFullRecord.aspx?p=4796313</t>
  </si>
  <si>
    <t>Guide de réflexion sur les stratégies d'apprentissage à l'université</t>
  </si>
  <si>
    <t>Ruph, François</t>
  </si>
  <si>
    <t>378.1/70281</t>
  </si>
  <si>
    <t>http://public.eblib.com/choice/PublicFullRecord.aspx?p=4796315</t>
  </si>
  <si>
    <t>Société d'État? Pourquoi pas?</t>
  </si>
  <si>
    <t>Lanoue, Roger</t>
  </si>
  <si>
    <t>338.7/61333793209714</t>
  </si>
  <si>
    <t>http://public.eblib.com/choice/PublicFullRecord.aspx?p=4796316</t>
  </si>
  <si>
    <t>La collaboration dans le milieu de l'éducation : Dimensions pratiques et perspectives théoriques</t>
  </si>
  <si>
    <t>Portelance, Liliane</t>
  </si>
  <si>
    <t>371.14/8</t>
  </si>
  <si>
    <t>http://public.eblib.com/choice/PublicFullRecord.aspx?p=4796318</t>
  </si>
  <si>
    <t>Le développement global de l'enfant de 6 à 12 ans en contextes éducatifs</t>
  </si>
  <si>
    <t>Bouchard, Caroline; Fréchette, Nathalie</t>
  </si>
  <si>
    <t>HQ767.9.B678 2011</t>
  </si>
  <si>
    <t>http://public.eblib.com/choice/PublicFullRecord.aspx?p=4796323</t>
  </si>
  <si>
    <t>Vieillir au pluriel : Perspectives sociales</t>
  </si>
  <si>
    <t>Charpentier, Michèle</t>
  </si>
  <si>
    <t>http://public.eblib.com/choice/PublicFullRecord.aspx?p=4796325</t>
  </si>
  <si>
    <t>Manifeste pour une école compétente</t>
  </si>
  <si>
    <t>29 signataires</t>
  </si>
  <si>
    <t>371.2/0709714</t>
  </si>
  <si>
    <t>http://public.eblib.com/choice/PublicFullRecord.aspx?p=4796327</t>
  </si>
  <si>
    <t>Le technoleader de résonance : Mythe ou réalité</t>
  </si>
  <si>
    <t>Marrec, Anne; Rinfret, Natalie</t>
  </si>
  <si>
    <t>HM1261.M37 2011</t>
  </si>
  <si>
    <t>http://public.eblib.com/choice/PublicFullRecord.aspx?p=4796333</t>
  </si>
  <si>
    <t>Les relations publiques, une profession en devenir</t>
  </si>
  <si>
    <t>http://public.eblib.com/choice/PublicFullRecord.aspx?p=4796337</t>
  </si>
  <si>
    <t>Créativité et gestion : Les idées au service de l’innovation</t>
  </si>
  <si>
    <t>Carrier, Camille</t>
  </si>
  <si>
    <t>658.4/063</t>
  </si>
  <si>
    <t>http://public.eblib.com/choice/PublicFullRecord.aspx?p=4796339</t>
  </si>
  <si>
    <t>Le recrutement, la sélection et l'accueil du personnel</t>
  </si>
  <si>
    <t>Malo, François Bernard</t>
  </si>
  <si>
    <t>HF5549.5.R44M346</t>
  </si>
  <si>
    <t>658.3/11</t>
  </si>
  <si>
    <t>http://public.eblib.com/choice/PublicFullRecord.aspx?p=4796340</t>
  </si>
  <si>
    <t>Les gouvernements minoritaires au Canada et au Québec</t>
  </si>
  <si>
    <t>Migneault, Pier-Luc</t>
  </si>
  <si>
    <t>http://public.eblib.com/choice/PublicFullRecord.aspx?p=4796342</t>
  </si>
  <si>
    <t>Simon Brault : Prendre fait et cause pour la culture</t>
  </si>
  <si>
    <t>Prud'homme, Laurence</t>
  </si>
  <si>
    <t>http://public.eblib.com/choice/PublicFullRecord.aspx?p=4796343</t>
  </si>
  <si>
    <t>Argumenter son mémoire ou sa thèse</t>
  </si>
  <si>
    <t>Olivier, Lawrence</t>
  </si>
  <si>
    <t>http://public.eblib.com/choice/PublicFullRecord.aspx?p=4796345</t>
  </si>
  <si>
    <t>Des campagnes de communication réussies, Tome 2</t>
  </si>
  <si>
    <t>http://public.eblib.com/choice/PublicFullRecord.aspx?p=4796346</t>
  </si>
  <si>
    <t>La ville : Phénomène de représentation</t>
  </si>
  <si>
    <t>Morisset, Lucie K.; Breton, Marie-Ève</t>
  </si>
  <si>
    <t>HT155.V55 2011</t>
  </si>
  <si>
    <t>http://public.eblib.com/choice/PublicFullRecord.aspx?p=4796347</t>
  </si>
  <si>
    <t>Arts martiaux, sports de combat et interventions psychosociales</t>
  </si>
  <si>
    <t>Hébert, Jacques</t>
  </si>
  <si>
    <t>796.801/9</t>
  </si>
  <si>
    <t>http://public.eblib.com/choice/PublicFullRecord.aspx?p=4796349</t>
  </si>
  <si>
    <t>L'institutionnalisation de l'éthique gouvernementale</t>
  </si>
  <si>
    <t>JA79.B57 2011</t>
  </si>
  <si>
    <t>http://public.eblib.com/choice/PublicFullRecord.aspx?p=4796353</t>
  </si>
  <si>
    <t>La pédagogie de l'inclusion scolaire, 2e édition</t>
  </si>
  <si>
    <t>Rousseau, Nadia</t>
  </si>
  <si>
    <t>http://public.eblib.com/choice/PublicFullRecord.aspx?p=4796354</t>
  </si>
  <si>
    <t>Les Inuit et les Cris du Nord du Québec : Territoire, gouvernance, société et culture</t>
  </si>
  <si>
    <t>Petit, Jacques-Guy</t>
  </si>
  <si>
    <t>971.4004/9712</t>
  </si>
  <si>
    <t>http://public.eblib.com/choice/PublicFullRecord.aspx?p=4796357</t>
  </si>
  <si>
    <t>Eaux et territoires, 3e édition</t>
  </si>
  <si>
    <t>Lasserre, Frédéric; Descroix, Luc</t>
  </si>
  <si>
    <t>HD1691.L38 2011</t>
  </si>
  <si>
    <t>346.04/32</t>
  </si>
  <si>
    <t>http://public.eblib.com/choice/PublicFullRecord.aspx?p=4796358</t>
  </si>
  <si>
    <t>Habiter l'Arménie au Québec : Ethnographie d’un patrimoine en diaspora</t>
  </si>
  <si>
    <t>Fourcade, Marie-Blanche</t>
  </si>
  <si>
    <t>305.891/9920714</t>
  </si>
  <si>
    <t>http://public.eblib.com/choice/PublicFullRecord.aspx?p=4796360</t>
  </si>
  <si>
    <t>Rites et symboles contemporains : Théories et pratiques</t>
  </si>
  <si>
    <t>Cherblanc, Jacques</t>
  </si>
  <si>
    <t>http://public.eblib.com/choice/PublicFullRecord.aspx?p=4796361</t>
  </si>
  <si>
    <t>Propriété intellectuelle et université : Entre la libre circulation des idées et la privatisation des savoirs</t>
  </si>
  <si>
    <t>Couture, Marc</t>
  </si>
  <si>
    <t>http://public.eblib.com/choice/PublicFullRecord.aspx?p=4796365</t>
  </si>
  <si>
    <t>Les relations publiques autrement : Vers un nouveau modèle de pratique</t>
  </si>
  <si>
    <t>Sauvé, Matthieu</t>
  </si>
  <si>
    <t>http://public.eblib.com/choice/PublicFullRecord.aspx?p=4796366</t>
  </si>
  <si>
    <t>La formation du jugement - 3e édition</t>
  </si>
  <si>
    <t>Schleifer, Michael</t>
  </si>
  <si>
    <t>http://public.eblib.com/choice/PublicFullRecord.aspx?p=4796370</t>
  </si>
  <si>
    <t>Art et politique : La représentation en jeu</t>
  </si>
  <si>
    <t>Beaudry, Lucille</t>
  </si>
  <si>
    <t>700/.103</t>
  </si>
  <si>
    <t>http://public.eblib.com/choice/PublicFullRecord.aspx?p=4796371</t>
  </si>
  <si>
    <t>Une étude de cas : La pratique d’activités parascolaires dans le réseau collégial</t>
  </si>
  <si>
    <t>378.1/54309714</t>
  </si>
  <si>
    <t>http://public.eblib.com/choice/PublicFullRecord.aspx?p=4796372</t>
  </si>
  <si>
    <t>Introduction critique aux relations internationales du Québec - 2e édition revue et augmentée</t>
  </si>
  <si>
    <t>Payette, Jean-François</t>
  </si>
  <si>
    <t>http://public.eblib.com/choice/PublicFullRecord.aspx?p=4796373</t>
  </si>
  <si>
    <t>Vice et corruption à Montréal, 1892-1970</t>
  </si>
  <si>
    <t>Brodeur, Magaly</t>
  </si>
  <si>
    <t>364.1/720971428</t>
  </si>
  <si>
    <t>http://public.eblib.com/choice/PublicFullRecord.aspx?p=4796374</t>
  </si>
  <si>
    <t>Solitudes en nature : Regards sur les quêtes de vision contemporaines</t>
  </si>
  <si>
    <t>Rochon, Serge</t>
  </si>
  <si>
    <t>BL624.R6256 2011</t>
  </si>
  <si>
    <t>204/.4</t>
  </si>
  <si>
    <t>http://public.eblib.com/choice/PublicFullRecord.aspx?p=4796376</t>
  </si>
  <si>
    <t>Recherche qualitative et cyber-espace-temps : Crimes en col blanc et autres problématiques contemporaines</t>
  </si>
  <si>
    <t>Fines, Louise</t>
  </si>
  <si>
    <t>HM1206.F57 2011</t>
  </si>
  <si>
    <t>302/.23</t>
  </si>
  <si>
    <t>http://public.eblib.com/choice/PublicFullRecord.aspx?p=4796377</t>
  </si>
  <si>
    <t>Le passage à l'acte dans la famille : Perspectives psychologique et sociale</t>
  </si>
  <si>
    <t>Léveillée, Suzanne</t>
  </si>
  <si>
    <t>364.152/308655</t>
  </si>
  <si>
    <t>http://public.eblib.com/choice/PublicFullRecord.aspx?p=4796378</t>
  </si>
  <si>
    <t>Racisme et antiracisme au Québec : Discours et déclinaisons</t>
  </si>
  <si>
    <t>Labelle, Micheline</t>
  </si>
  <si>
    <t>320.5/609714</t>
  </si>
  <si>
    <t>http://public.eblib.com/choice/PublicFullRecord.aspx?p=4796379</t>
  </si>
  <si>
    <t>La régulation sociale des minorités sexuelles : L’inquiétude de la différence</t>
  </si>
  <si>
    <t>Corriveau, Patrice; Daoust, Valérie</t>
  </si>
  <si>
    <t>HQ73.R44 2011</t>
  </si>
  <si>
    <t>306.76/6</t>
  </si>
  <si>
    <t>http://public.eblib.com/choice/PublicFullRecord.aspx?p=4796380</t>
  </si>
  <si>
    <t>Marcel Brisebois et le Musée d'art contemporain de Montréal (1985-2004)</t>
  </si>
  <si>
    <t>708.11/428</t>
  </si>
  <si>
    <t>http://public.eblib.com/choice/PublicFullRecord.aspx?p=4796383</t>
  </si>
  <si>
    <t>La recherche collégiale : 40 ans de passion scientifique</t>
  </si>
  <si>
    <t>Piché, Sébastien; Sebastien, Piche</t>
  </si>
  <si>
    <t>http://public.eblib.com/choice/PublicFullRecord.aspx?p=4796385</t>
  </si>
  <si>
    <t>1758 La finale : Promesses, splendeur et désolation de la dernière décennie de Louisbourg</t>
  </si>
  <si>
    <t>Johnston, A.J.B.</t>
  </si>
  <si>
    <t>http://public.eblib.com/choice/PublicFullRecord.aspx?p=4796387</t>
  </si>
  <si>
    <t>L’école en souffrance : Psychodynamique du travail en milieu scolaire</t>
  </si>
  <si>
    <t>Maranda, Marie-France; Viviers, Simon</t>
  </si>
  <si>
    <t>LB2840.E29 2011</t>
  </si>
  <si>
    <t>Teachers - Mental health</t>
  </si>
  <si>
    <t>http://public.eblib.com/choice/PublicFullRecord.aspx?p=4796390</t>
  </si>
  <si>
    <t>D’une nation à l’autre : discours nationaux au Canada</t>
  </si>
  <si>
    <t>Boily, Frédéric; Ipperciel, Donald</t>
  </si>
  <si>
    <t>http://public.eblib.com/choice/PublicFullRecord.aspx?p=4796392</t>
  </si>
  <si>
    <t>L’Âge des incertitudes : Essais sur le fédéralisme et la diversité nationale</t>
  </si>
  <si>
    <t>Gagnon, Alain-G.</t>
  </si>
  <si>
    <t>http://public.eblib.com/choice/PublicFullRecord.aspx?p=4796394</t>
  </si>
  <si>
    <t>Regards sur... les jeunes et leurs relations</t>
  </si>
  <si>
    <t>Charbonneau, Johanne; Bourdon, Sylvain</t>
  </si>
  <si>
    <t>http://public.eblib.com/choice/PublicFullRecord.aspx?p=4796395</t>
  </si>
  <si>
    <t>Formation et employabilité : Regard critique sur l’évolution des politiques de formation de la main-d’oeuvre du Québec</t>
  </si>
  <si>
    <t>Bernier, Colette</t>
  </si>
  <si>
    <t>http://public.eblib.com/choice/PublicFullRecord.aspx?p=4796415</t>
  </si>
  <si>
    <t>Politiques environnementales et accords volontaires : Le volontarisme comme instrument de politiques environnementales au Québec</t>
  </si>
  <si>
    <t>Crête, Jean</t>
  </si>
  <si>
    <t>http://public.eblib.com/choice/PublicFullRecord.aspx?p=4796419</t>
  </si>
  <si>
    <t>Éditer la Nouvelle-France</t>
  </si>
  <si>
    <t>Motsch, Andreas; Holtz, Gregoire</t>
  </si>
  <si>
    <t>http://public.eblib.com/choice/PublicFullRecord.aspx?p=4796422</t>
  </si>
  <si>
    <t>Perspectives internationales sur le travail des jeunes [Actes de colloque]</t>
  </si>
  <si>
    <t>Vultur, Mircea; Mercure, Daniel; Bajoit, Guy</t>
  </si>
  <si>
    <t>http://public.eblib.com/choice/PublicFullRecord.aspx?p=4796423</t>
  </si>
  <si>
    <t>Vingt ans après : Rio et l’avant goût de l’avenir</t>
  </si>
  <si>
    <t>Environnement,développement</t>
  </si>
  <si>
    <t>Le Prestre, Philippe</t>
  </si>
  <si>
    <t>http://public.eblib.com/choice/PublicFullRecord.aspx?p=4796426</t>
  </si>
  <si>
    <t>La communauté de recherche philosophique : Applications et enjeux</t>
  </si>
  <si>
    <t>Dialoguer</t>
  </si>
  <si>
    <t>Sasseville, Michel; Sasseville</t>
  </si>
  <si>
    <t>http://public.eblib.com/choice/PublicFullRecord.aspx?p=4796428</t>
  </si>
  <si>
    <t>Petit manuel d’analyse et d’intervention politique en santé</t>
  </si>
  <si>
    <t>O’Neill, Michel</t>
  </si>
  <si>
    <t>http://public.eblib.com/choice/PublicFullRecord.aspx?p=4796429</t>
  </si>
  <si>
    <t>Les partis générationnels au Québec : Passé, présent, avenir</t>
  </si>
  <si>
    <t>http://public.eblib.com/choice/PublicFullRecord.aspx?p=4796434</t>
  </si>
  <si>
    <t>La rivalité Canadien-Nordiques</t>
  </si>
  <si>
    <t>Lasorsa, Steve</t>
  </si>
  <si>
    <t>http://public.eblib.com/choice/PublicFullRecord.aspx?p=4796436</t>
  </si>
  <si>
    <t>De l'Orient à la Huronie : Du récit de pèlerinage au texte missionnaire</t>
  </si>
  <si>
    <t>Poirier, Guy</t>
  </si>
  <si>
    <t>http://public.eblib.com/choice/PublicFullRecord.aspx?p=4796438</t>
  </si>
  <si>
    <t>Regard sur... l’intervention auprès des jeunes au Québec : sociologies implicites</t>
  </si>
  <si>
    <t>Brum Schäppi, Paula</t>
  </si>
  <si>
    <t>http://public.eblib.com/choice/PublicFullRecord.aspx?p=4796439</t>
  </si>
  <si>
    <t>Le culte à Sainte Anne en Acadie</t>
  </si>
  <si>
    <t>Archives du Folklore</t>
  </si>
  <si>
    <t>Lamontagne, Denise</t>
  </si>
  <si>
    <t>http://public.eblib.com/choice/PublicFullRecord.aspx?p=4796442</t>
  </si>
  <si>
    <t>L’État et la société civile sous le joug de la gouvernance : Innovation rhétorique ou changement paradigmatique?</t>
  </si>
  <si>
    <t>Rouillard, Christian; Burlone, Nathalie</t>
  </si>
  <si>
    <t>http://public.eblib.com/choice/PublicFullRecord.aspx?p=4796447</t>
  </si>
  <si>
    <t>Une ONG en Russie post-soviétique</t>
  </si>
  <si>
    <t>Blais, Agnès</t>
  </si>
  <si>
    <t>JN6699.A15B53 2011</t>
  </si>
  <si>
    <t>http://public.eblib.com/choice/PublicFullRecord.aspx?p=4796448</t>
  </si>
  <si>
    <t>Formation et apprentissage organisationnel : la vitalité de la pratique</t>
  </si>
  <si>
    <t>Davel, Eduardo</t>
  </si>
  <si>
    <t>http://public.eblib.com/choice/PublicFullRecord.aspx?p=4796451</t>
  </si>
  <si>
    <t>Communication internationale et communication interculturelle : regards épistémologiques et espaces de pratique</t>
  </si>
  <si>
    <t>http://public.eblib.com/choice/PublicFullRecord.aspx?p=4796452</t>
  </si>
  <si>
    <t>Territoires et développement : la richesse du Québec</t>
  </si>
  <si>
    <t>http://public.eblib.com/choice/PublicFullRecord.aspx?p=4796455</t>
  </si>
  <si>
    <t>Se professionnaliser par l'écriture : quels accompagnements ?</t>
  </si>
  <si>
    <t>370.71/1</t>
  </si>
  <si>
    <t>http://public.eblib.com/choice/PublicFullRecord.aspx?p=4796456</t>
  </si>
  <si>
    <t>La femme, sa sexualité et son pouvoir sexuel : programme d’appropriation de sa sexualité</t>
  </si>
  <si>
    <t>Motoi, Ino</t>
  </si>
  <si>
    <t>306.74/2</t>
  </si>
  <si>
    <t>http://public.eblib.com/choice/PublicFullRecord.aspx?p=4796458</t>
  </si>
  <si>
    <t>L'économie sociale, vecteur d'innovation : l’expérience du Québec</t>
  </si>
  <si>
    <t>Bouchard, Marie J.</t>
  </si>
  <si>
    <t>http://public.eblib.com/choice/PublicFullRecord.aspx?p=4796461</t>
  </si>
  <si>
    <t>Management des télécoms d'états en mutation : défis et stratégies</t>
  </si>
  <si>
    <t>St-Hilaire, Walter Gérard Amedzro</t>
  </si>
  <si>
    <t>http://public.eblib.com/choice/PublicFullRecord.aspx?p=4796464</t>
  </si>
  <si>
    <t>Minorités de langue officielle du Canada : égales devant la santé ?</t>
  </si>
  <si>
    <t>Bouchard, Louise</t>
  </si>
  <si>
    <t>http://public.eblib.com/choice/PublicFullRecord.aspx?p=4796465</t>
  </si>
  <si>
    <t>Le duo cédant/repreneur : Pour une compréhension intégrée du processus de transmission/reprise des PME</t>
  </si>
  <si>
    <t>Cadieux, Louise</t>
  </si>
  <si>
    <t>http://public.eblib.com/choice/PublicFullRecord.aspx?p=4796467</t>
  </si>
  <si>
    <t>La planification stratégique des ressources humaines : théories et applications dans les administrations publiques du XXIe siècle</t>
  </si>
  <si>
    <t>Lemire, Louise</t>
  </si>
  <si>
    <t>http://public.eblib.com/choice/PublicFullRecord.aspx?p=4796468</t>
  </si>
  <si>
    <t>Rendre la suppléance plus agréable... Pour l'enseignant et le suppléant</t>
  </si>
  <si>
    <t>Félix, Yasmine</t>
  </si>
  <si>
    <t>371.14/122</t>
  </si>
  <si>
    <t>http://public.eblib.com/choice/PublicFullRecord.aspx?p=4796470</t>
  </si>
  <si>
    <t>Enjeux de la place des savoirs dans les pratiques éducatives en contexte scolaire : compréhension de l’acte d’enseignement et défis pour la formation professionnelle des enseignants</t>
  </si>
  <si>
    <t>Maubant, Philippe</t>
  </si>
  <si>
    <t>http://public.eblib.com/choice/PublicFullRecord.aspx?p=4796471</t>
  </si>
  <si>
    <t>Économie et société : pistes de sortie de crise</t>
  </si>
  <si>
    <t>Favreau, Louis</t>
  </si>
  <si>
    <t>http://public.eblib.com/choice/PublicFullRecord.aspx?p=4796472</t>
  </si>
  <si>
    <t>Les transitions à la vie adulte des jeunes en difficulté : concepts, figures et pratiques</t>
  </si>
  <si>
    <t>Goyette, Martin</t>
  </si>
  <si>
    <t>http://public.eblib.com/choice/PublicFullRecord.aspx?p=4796473</t>
  </si>
  <si>
    <t>Traité de gouvernance d'entreprise : L’approche scolaire</t>
  </si>
  <si>
    <t>Naciri, Ahmed</t>
  </si>
  <si>
    <t>http://public.eblib.com/choice/PublicFullRecord.aspx?p=4796474</t>
  </si>
  <si>
    <t>La ruse : entre la règle et la triche</t>
  </si>
  <si>
    <t>Perraton, Charles</t>
  </si>
  <si>
    <t>http://public.eblib.com/choice/PublicFullRecord.aspx?p=4796475</t>
  </si>
  <si>
    <t>Guide pratique de podologie, 2e édition</t>
  </si>
  <si>
    <t>Pothier, Denise</t>
  </si>
  <si>
    <t>617.5/85</t>
  </si>
  <si>
    <t>http://public.eblib.com/choice/PublicFullRecord.aspx?p=4796476</t>
  </si>
  <si>
    <t>Zones côtières et changement climatique : le défi de la gestion intégrée</t>
  </si>
  <si>
    <t>Chouinard, Omer</t>
  </si>
  <si>
    <t>551.45/7</t>
  </si>
  <si>
    <t>http://public.eblib.com/choice/PublicFullRecord.aspx?p=4796479</t>
  </si>
  <si>
    <t>A Bibliography of Canadian Inuit Periodicals</t>
  </si>
  <si>
    <t>Rankin, Sharon</t>
  </si>
  <si>
    <t>Z1395.I5R36 2011</t>
  </si>
  <si>
    <t>Canadian periodicals (Inuktitut)</t>
  </si>
  <si>
    <t>http://public.eblib.com/choice/PublicFullRecord.aspx?p=4796482</t>
  </si>
  <si>
    <t>Un juste prix pour l'énergie du Québec ?</t>
  </si>
  <si>
    <t>Brassard, Diane</t>
  </si>
  <si>
    <t>http://public.eblib.com/choice/PublicFullRecord.aspx?p=4796483</t>
  </si>
  <si>
    <t>L'évaluation muséale : savoirs et savoir-faire</t>
  </si>
  <si>
    <t>Daignault, Lucie</t>
  </si>
  <si>
    <t>069/.1072</t>
  </si>
  <si>
    <t>http://public.eblib.com/choice/PublicFullRecord.aspx?p=4796484</t>
  </si>
  <si>
    <t>Typologie des dossiers des organisations : analyse intégrée dans un contexte analogique et numérique</t>
  </si>
  <si>
    <t>http://public.eblib.com/choice/PublicFullRecord.aspx?p=4796485</t>
  </si>
  <si>
    <t>Le monde dans tous ses états : une approche géographique, 2e édition</t>
  </si>
  <si>
    <t>Klein, Juan-Luis</t>
  </si>
  <si>
    <t>http://public.eblib.com/choice/PublicFullRecord.aspx?p=4796486</t>
  </si>
  <si>
    <t>Rédaction de courriels efficaces ; suivi de, Rédiger avec concision</t>
  </si>
  <si>
    <t>Armand, Nathalène</t>
  </si>
  <si>
    <t>384.3/4</t>
  </si>
  <si>
    <t>http://public.eblib.com/choice/PublicFullRecord.aspx?p=4796487</t>
  </si>
  <si>
    <t>Sur les trâces de nos ancêtres</t>
  </si>
  <si>
    <t>Villegas-Kerlinger, É. Michèle</t>
  </si>
  <si>
    <t>http://public.eblib.com/choice/PublicFullRecord.aspx?p=4796488</t>
  </si>
  <si>
    <t>Le pouvoir, c'est pas sorcier : Il suffit d’en avoir les clés</t>
  </si>
  <si>
    <t>Landry, Simone</t>
  </si>
  <si>
    <t>http://public.eblib.com/choice/PublicFullRecord.aspx?p=4796489</t>
  </si>
  <si>
    <t>Droit du tourisme au Québec, 3e édition</t>
  </si>
  <si>
    <t>Jolin, Louis</t>
  </si>
  <si>
    <t>343.71407/891</t>
  </si>
  <si>
    <t>http://public.eblib.com/choice/PublicFullRecord.aspx?p=4796490</t>
  </si>
  <si>
    <t>Réussir le changement : Mobiliser et soutenir le personnel</t>
  </si>
  <si>
    <t>Gagnon, Yves-Chantal</t>
  </si>
  <si>
    <t>http://public.eblib.com/choice/PublicFullRecord.aspx?p=4796491</t>
  </si>
  <si>
    <t>Gestion de l'eau : Approche territoriale et institutionnelle</t>
  </si>
  <si>
    <t>Brun, Alexandre</t>
  </si>
  <si>
    <t>http://public.eblib.com/choice/PublicFullRecord.aspx?p=4796492</t>
  </si>
  <si>
    <t>Les outils de la pensée : L’approche vygotskienne dans l’éducation à la petite enfance</t>
  </si>
  <si>
    <t>Bodrova, Elena</t>
  </si>
  <si>
    <t>http://public.eblib.com/choice/PublicFullRecord.aspx?p=4796493</t>
  </si>
  <si>
    <t>L' école d'antan (1860-1960) : Découvrir et se souvenir de l’école du Québec</t>
  </si>
  <si>
    <t>Cadotte, Robert</t>
  </si>
  <si>
    <t>http://public.eblib.com/choice/PublicFullRecord.aspx?p=4796495</t>
  </si>
  <si>
    <t>L' étude de cas comme méthode de recherche, 2e édition</t>
  </si>
  <si>
    <t>http://public.eblib.com/choice/PublicFullRecord.aspx?p=4796496</t>
  </si>
  <si>
    <t>L' électrification des transports au Québec : Du mythe à la réalité… À quelle vitesse ?</t>
  </si>
  <si>
    <t>Delorme, Pierre</t>
  </si>
  <si>
    <t>http://public.eblib.com/choice/PublicFullRecord.aspx?p=4796497</t>
  </si>
  <si>
    <t>L' imaginaire géographique : Perspectives, pratiques et devenirs</t>
  </si>
  <si>
    <t>http://public.eblib.com/choice/PublicFullRecord.aspx?p=4796500</t>
  </si>
  <si>
    <t>Les relations Québec-Ontario : Un destin partagé ?</t>
  </si>
  <si>
    <t>Savard, Jean-François</t>
  </si>
  <si>
    <t>303.48/27140713</t>
  </si>
  <si>
    <t>http://public.eblib.com/choice/PublicFullRecord.aspx?p=4796501</t>
  </si>
  <si>
    <t>Enjeux des industries culturelles au Québec : Identité, mondialisation, convergence</t>
  </si>
  <si>
    <t>Martin, Claude</t>
  </si>
  <si>
    <t>http://public.eblib.com/choice/PublicFullRecord.aspx?p=4796502</t>
  </si>
  <si>
    <t>Quand l'amour et l'État rendent aveugle : le mythe du mariage automatique</t>
  </si>
  <si>
    <t>Belleau, Hélène</t>
  </si>
  <si>
    <t>http://public.eblib.com/choice/PublicFullRecord.aspx?p=4796503</t>
  </si>
  <si>
    <t>Phénoménologie du merveilleux</t>
  </si>
  <si>
    <t>Schallum, Pierre</t>
  </si>
  <si>
    <t>121/.3</t>
  </si>
  <si>
    <t>http://public.eblib.com/choice/PublicFullRecord.aspx?p=4796505</t>
  </si>
  <si>
    <t>La communauté politique en question : Regards croisés sur l’immigration, la citoyenneté, la diversité et le pouvoir</t>
  </si>
  <si>
    <t>http://public.eblib.com/choice/PublicFullRecord.aspx?p=4796506</t>
  </si>
  <si>
    <t>La santé psychosociale des élèves</t>
  </si>
  <si>
    <t>Curchod-Ruedi, Denise</t>
  </si>
  <si>
    <t>371.7/13</t>
  </si>
  <si>
    <t>http://public.eblib.com/choice/PublicFullRecord.aspx?p=4796507</t>
  </si>
  <si>
    <t>Polar Tourism : A Tool for Regional Development</t>
  </si>
  <si>
    <t>Grenier, Alain A.</t>
  </si>
  <si>
    <t>http://public.eblib.com/choice/PublicFullRecord.aspx?p=4796508</t>
  </si>
  <si>
    <t>Trois pour un : Une lecture évolutionniste de l’oeuvre de Martin Winckler</t>
  </si>
  <si>
    <t>Lapprand, Marc</t>
  </si>
  <si>
    <t>http://public.eblib.com/choice/PublicFullRecord.aspx?p=4796509</t>
  </si>
  <si>
    <t>Le Québec à l'heure du développement durable</t>
  </si>
  <si>
    <t>Thibodeau, Jean-Claude</t>
  </si>
  <si>
    <t>http://public.eblib.com/choice/PublicFullRecord.aspx?p=4796511</t>
  </si>
  <si>
    <t>Les langues autochtones du Québec : Un patrimoine en danger</t>
  </si>
  <si>
    <t>Drapeau, Lynn</t>
  </si>
  <si>
    <t>306.44/089970714</t>
  </si>
  <si>
    <t>http://public.eblib.com/choice/PublicFullRecord.aspx?p=4796512</t>
  </si>
  <si>
    <t>La doctrine Obama : Fondements et aboutissements</t>
  </si>
  <si>
    <t>Vandal, Gilles</t>
  </si>
  <si>
    <t>http://public.eblib.com/choice/PublicFullRecord.aspx?p=4796513</t>
  </si>
  <si>
    <t>Favoriser la progression des stagiaires en enseignement</t>
  </si>
  <si>
    <t>Guillemette, François</t>
  </si>
  <si>
    <t>http://public.eblib.com/choice/PublicFullRecord.aspx?p=4796514</t>
  </si>
  <si>
    <t>Formation mathématique pour l’enseignement des mathématiques : Pratiques, orientations et recherches</t>
  </si>
  <si>
    <t>Proulx, Jérôme</t>
  </si>
  <si>
    <t>http://public.eblib.com/choice/PublicFullRecord.aspx?p=4796516</t>
  </si>
  <si>
    <t>L' eau en commun : de ressource naturelle à chose cosmopolitique</t>
  </si>
  <si>
    <t>Genest, Gabriel Blouin</t>
  </si>
  <si>
    <t>http://public.eblib.com/choice/PublicFullRecord.aspx?p=4796517</t>
  </si>
  <si>
    <t>Le Québec après Bouchard-Taylor : Les identités religieuses de l'immigration</t>
  </si>
  <si>
    <t>Rousseau, Louis</t>
  </si>
  <si>
    <t>http://public.eblib.com/choice/PublicFullRecord.aspx?p=4796521</t>
  </si>
  <si>
    <t>Nouveau management du capital humain</t>
  </si>
  <si>
    <t>Gravel, Chantal</t>
  </si>
  <si>
    <t>http://public.eblib.com/choice/PublicFullRecord.aspx?p=4796522</t>
  </si>
  <si>
    <t>essai d’une approche holistique en éducation supérieure : entre compréhension et réussite</t>
  </si>
  <si>
    <t>Colomb, Emmanuel</t>
  </si>
  <si>
    <t>378.1/982997</t>
  </si>
  <si>
    <t>http://public.eblib.com/choice/PublicFullRecord.aspx?p=4796523</t>
  </si>
  <si>
    <t>Le rapport à l'écrit : Habitus culturel et diversité</t>
  </si>
  <si>
    <t>Fleuret, Carole</t>
  </si>
  <si>
    <t>http://public.eblib.com/choice/PublicFullRecord.aspx?p=4796526</t>
  </si>
  <si>
    <t>Le savoir oublié de l’expérience des lois</t>
  </si>
  <si>
    <t>Dikè</t>
  </si>
  <si>
    <t>Conklin, William E.</t>
  </si>
  <si>
    <t>http://public.eblib.com/choice/PublicFullRecord.aspx?p=4796528</t>
  </si>
  <si>
    <t>L’identité métisse en question : Stratégies identitaires et dynamismes culturels</t>
  </si>
  <si>
    <t>Gagnon, Denis; Giguère</t>
  </si>
  <si>
    <t>http://public.eblib.com/choice/PublicFullRecord.aspx?p=4796533</t>
  </si>
  <si>
    <t>La mort musulmane en contexte d’immigration et d’Islam minoritaire : Enjeux religieux, culturels, identitaires et espaces de négociations</t>
  </si>
  <si>
    <t>Fall, Khadiyatoulah; Dimé</t>
  </si>
  <si>
    <t>http://public.eblib.com/choice/PublicFullRecord.aspx?p=4796534</t>
  </si>
  <si>
    <t>Guide de survie pour l’enseignant suppléant (Édition revue et augmentée)</t>
  </si>
  <si>
    <t>Bérubé, Anne; Racine</t>
  </si>
  <si>
    <t>http://public.eblib.com/choice/PublicFullRecord.aspx?p=4796535</t>
  </si>
  <si>
    <t>La réponse de la science médicale au «devenir vieux» : Prolongévisme, transhumanisme et biogérontologie</t>
  </si>
  <si>
    <t>Sanni Yaya, Hachimi</t>
  </si>
  <si>
    <t>http://public.eblib.com/choice/PublicFullRecord.aspx?p=4796538</t>
  </si>
  <si>
    <t>Les partis politiques québécois dans la tourmente : Mieux comprendre et évaluer leur rôle</t>
  </si>
  <si>
    <t>Pelletier, Réjean</t>
  </si>
  <si>
    <t>http://public.eblib.com/choice/PublicFullRecord.aspx?p=4796542</t>
  </si>
  <si>
    <t>Manuel de sociologie de l’environnement</t>
  </si>
  <si>
    <t>Barbier, Rémi</t>
  </si>
  <si>
    <t>http://public.eblib.com/choice/PublicFullRecord.aspx?p=4796543</t>
  </si>
  <si>
    <t>L’intégration des services en toxicomanie</t>
  </si>
  <si>
    <t>Landry, Michel</t>
  </si>
  <si>
    <t>http://public.eblib.com/choice/PublicFullRecord.aspx?p=4796544</t>
  </si>
  <si>
    <t>Avantures du sieur Claude Le Beau, avocat en parlement : Voyage curieux et nouveau parmi les Sauvages de l’Amérique septentrionale</t>
  </si>
  <si>
    <t>Vallée, Andréanne</t>
  </si>
  <si>
    <t>http://public.eblib.com/choice/PublicFullRecord.aspx?p=4796547</t>
  </si>
  <si>
    <t>Patrimoine et histoire de l’art : enjeux et perspectives</t>
  </si>
  <si>
    <t>Berthold, Étienne; Miglioli</t>
  </si>
  <si>
    <t>http://public.eblib.com/choice/PublicFullRecord.aspx?p=4796552</t>
  </si>
  <si>
    <t>Le pays revêche : Société, espace et environnement au Canada avant la Confédération (trad.)</t>
  </si>
  <si>
    <t>Géographie Historique</t>
  </si>
  <si>
    <t>http://public.eblib.com/choice/PublicFullRecord.aspx?p=4796553</t>
  </si>
  <si>
    <t>Mouvements associatifs dans la francophonie nord-américaine</t>
  </si>
  <si>
    <t>Guilbert, Lucille</t>
  </si>
  <si>
    <t>http://public.eblib.com/choice/PublicFullRecord.aspx?p=4796554</t>
  </si>
  <si>
    <t>Le Canadien de Montréal : Une légende repensée</t>
  </si>
  <si>
    <t>Laurin-Lamothe, Audrey</t>
  </si>
  <si>
    <t>796.962/640971428</t>
  </si>
  <si>
    <t>http://public.eblib.com/choice/PublicFullRecord.aspx?p=4796558</t>
  </si>
  <si>
    <t>Les rébellions canadiennes de 1837 et 1838 vues de Paris</t>
  </si>
  <si>
    <t>Ayala, Aurélio; Jeune, Le</t>
  </si>
  <si>
    <t>http://public.eblib.com/choice/PublicFullRecord.aspx?p=4796559</t>
  </si>
  <si>
    <t>Les parcours d’orientation des jeunes : Dynamiques institutionnelles et identitaires</t>
  </si>
  <si>
    <t>Picard, France; Masdonati</t>
  </si>
  <si>
    <t>http://public.eblib.com/choice/PublicFullRecord.aspx?p=4796560</t>
  </si>
  <si>
    <t>Le hockey vu du divan</t>
  </si>
  <si>
    <t>Grondin, Simon</t>
  </si>
  <si>
    <t>http://public.eblib.com/choice/PublicFullRecord.aspx?p=4796561</t>
  </si>
  <si>
    <t>L’Abbé Grégoire et la naissance du patrimoine national suivi des Trois rapports sur le vandalisme</t>
  </si>
  <si>
    <t>Boulad-Ayoub, Josiane</t>
  </si>
  <si>
    <t>http://public.eblib.com/choice/PublicFullRecord.aspx?p=4796562</t>
  </si>
  <si>
    <t>Les cégeps : 40 ans... et après?</t>
  </si>
  <si>
    <t>Association des cadres des collèges du Québec (ACCQ)</t>
  </si>
  <si>
    <t>http://public.eblib.com/choice/PublicFullRecord.aspx?p=4796563</t>
  </si>
  <si>
    <t>La pauvreté : Quatre modèles sociaux en perspective</t>
  </si>
  <si>
    <t>Champ libre</t>
  </si>
  <si>
    <t>Lefèvre, Sylvain</t>
  </si>
  <si>
    <t>http://public.eblib.com/choice/PublicFullRecord.aspx?p=4796566</t>
  </si>
  <si>
    <t>Les figures du siège au Québec : Concertation et conflits en contexte minoritaire</t>
  </si>
  <si>
    <t>Harel, Simon; St-Amand</t>
  </si>
  <si>
    <t>http://public.eblib.com/choice/PublicFullRecord.aspx?p=4796567</t>
  </si>
  <si>
    <t>Profession traducteur : Nouvelle édition revue et mise à jour</t>
  </si>
  <si>
    <t>Bastin, Georges L.</t>
  </si>
  <si>
    <t>418/.02023</t>
  </si>
  <si>
    <t>http://public.eblib.com/choice/PublicFullRecord.aspx?p=4796568</t>
  </si>
  <si>
    <t>Une réforme dans la fidélité : la revue Maintenant (1962-1974) et la «mise à jour» du catholicisme québécois</t>
  </si>
  <si>
    <t>Roy, Martin</t>
  </si>
  <si>
    <t>http://public.eblib.com/choice/PublicFullRecord.aspx?p=4796569</t>
  </si>
  <si>
    <t>Profession sociologue</t>
  </si>
  <si>
    <t>Fournier, Marcel</t>
  </si>
  <si>
    <t>http://public.eblib.com/choice/PublicFullRecord.aspx?p=4796570</t>
  </si>
  <si>
    <t>Enseigner et apprendre l’histoire : Manuels, enseignants et élèves</t>
  </si>
  <si>
    <t>Éthier, Marc-André</t>
  </si>
  <si>
    <t>http://public.eblib.com/choice/PublicFullRecord.aspx?p=4796571</t>
  </si>
  <si>
    <t>Pour un Québec laïque</t>
  </si>
  <si>
    <t>Beauchamp, Caroline</t>
  </si>
  <si>
    <t>http://public.eblib.com/choice/PublicFullRecord.aspx?p=4796572</t>
  </si>
  <si>
    <t>«M’amie, faites-moi un bouquet...» Mélanges posthumes autour de l’oeuvre de Conrad Laforte</t>
  </si>
  <si>
    <t>Ethnologie l'Amérique Français</t>
  </si>
  <si>
    <t>http://public.eblib.com/choice/PublicFullRecord.aspx?p=4796573</t>
  </si>
  <si>
    <t>Les relations industrielles face aux enjeux du monde du travail : Actes du 65e Congrès des relations industrielles de l’Université Laval</t>
  </si>
  <si>
    <t>Congrès des Rel. Industrielles</t>
  </si>
  <si>
    <t>Lapointe, Paul-André</t>
  </si>
  <si>
    <t>http://public.eblib.com/choice/PublicFullRecord.aspx?p=4796574</t>
  </si>
  <si>
    <t>Éducation, environnement et développement durable : vers une écocitoyenneté critique</t>
  </si>
  <si>
    <t>Bader, Barbara; Babara, Bader</t>
  </si>
  <si>
    <t>http://public.eblib.com/choice/PublicFullRecord.aspx?p=4796575</t>
  </si>
  <si>
    <t>L’espace-temps métropolitain : Forme et représentations de la région de Montréal</t>
  </si>
  <si>
    <t>Etudes Urbaines</t>
  </si>
  <si>
    <t>Sénécal, Gilles</t>
  </si>
  <si>
    <t>http://public.eblib.com/choice/PublicFullRecord.aspx?p=4796577</t>
  </si>
  <si>
    <t>Quand Platon écoute les Beatles sur son iPod : Musique pop et philosophie</t>
  </si>
  <si>
    <t>Normand, Baillargeon; Bossinot</t>
  </si>
  <si>
    <t>http://public.eblib.com/choice/PublicFullRecord.aspx?p=4796578</t>
  </si>
  <si>
    <t>Montréal en paysages</t>
  </si>
  <si>
    <t>Poullaouec-Gonidec, Philippe</t>
  </si>
  <si>
    <t>307.3/4160971428</t>
  </si>
  <si>
    <t>http://public.eblib.com/choice/PublicFullRecord.aspx?p=4796579</t>
  </si>
  <si>
    <t>Les élections municipales au Québec : enjeux et perspectives</t>
  </si>
  <si>
    <t>Breux, Sandra; Bherer</t>
  </si>
  <si>
    <t>http://public.eblib.com/choice/PublicFullRecord.aspx?p=4796581</t>
  </si>
  <si>
    <t>Engagements citoyens et politiques de jeunes : Bilans et expériences au Canada et en Europe</t>
  </si>
  <si>
    <t>Hudon, Raymond; Bernard, Fournier</t>
  </si>
  <si>
    <t>http://public.eblib.com/choice/PublicFullRecord.aspx?p=4796582</t>
  </si>
  <si>
    <t>Les figures du pouvoir à travers le temps : formes, pratiques et intérêts des groupes élitaires au Québec, XVIIe-XXe siècles</t>
  </si>
  <si>
    <t>Cahiers du CIEQ</t>
  </si>
  <si>
    <t>Nootens, Thierry; Jean-René, Thuot</t>
  </si>
  <si>
    <t>305.5/2309714</t>
  </si>
  <si>
    <t>http://public.eblib.com/choice/PublicFullRecord.aspx?p=4796583</t>
  </si>
  <si>
    <t>La condition constitutionnelle des Canadiens : Regards comparés sur la réforme constitutionnelle de 1982</t>
  </si>
  <si>
    <t>Racine, Jean-Claude</t>
  </si>
  <si>
    <t>http://public.eblib.com/choice/PublicFullRecord.aspx?p=4796584</t>
  </si>
  <si>
    <t>Sortir la violence de sa vie : Itinéraires d’hommes en changement</t>
  </si>
  <si>
    <t>Travail Social</t>
  </si>
  <si>
    <t>Turcotte, Pierre</t>
  </si>
  <si>
    <t>http://public.eblib.com/choice/PublicFullRecord.aspx?p=4796585</t>
  </si>
  <si>
    <t>Leadership et militantisme au Parti québécois</t>
  </si>
  <si>
    <t>Démocratie et Institutions...</t>
  </si>
  <si>
    <t>Montigny, Éric</t>
  </si>
  <si>
    <t>http://public.eblib.com/choice/PublicFullRecord.aspx?p=4796586</t>
  </si>
  <si>
    <t>In the Land of the Free : Le paradoxe racial à travers le roman social africain-américain</t>
  </si>
  <si>
    <t>Saint-Arnaud, Pierre</t>
  </si>
  <si>
    <t>http://public.eblib.com/choice/PublicFullRecord.aspx?p=4796588</t>
  </si>
  <si>
    <t>Les pêches des Premières Nations dans l’est du Québec : Innus, Malécites et Micmacs</t>
  </si>
  <si>
    <t>Mondes Autochtones</t>
  </si>
  <si>
    <t>Charest, Paul</t>
  </si>
  <si>
    <t>http://public.eblib.com/choice/PublicFullRecord.aspx?p=4796590</t>
  </si>
  <si>
    <t>Profession médecin de famille</t>
  </si>
  <si>
    <t>Zaffran, Marc</t>
  </si>
  <si>
    <t>610.69/5023</t>
  </si>
  <si>
    <t>http://public.eblib.com/choice/PublicFullRecord.aspx?p=4796594</t>
  </si>
  <si>
    <t>L'adolescence hypermoderne : Le nouveau rapport au temps des jeunes</t>
  </si>
  <si>
    <t>Lachance, Jocelyn</t>
  </si>
  <si>
    <t>http://public.eblib.com/choice/PublicFullRecord.aspx?p=4796596</t>
  </si>
  <si>
    <t>Les enfants maltraités : de l’affliction à l’espoir. Pistes de compréhension et d’action</t>
  </si>
  <si>
    <t>Gagné, Marie-Hélène</t>
  </si>
  <si>
    <t>http://public.eblib.com/choice/PublicFullRecord.aspx?p=4796597</t>
  </si>
  <si>
    <t>Repenser la nature : Dialogue Europe, Asie, Amériques</t>
  </si>
  <si>
    <t>Bioéthique Critique</t>
  </si>
  <si>
    <t>Parizeau, Marie-Hélène; Parizeau</t>
  </si>
  <si>
    <t>http://public.eblib.com/choice/PublicFullRecord.aspx?p=4796600</t>
  </si>
  <si>
    <t>Le programme d'éthique et culture religieuse : de l’exigeante conciliation entre le soi, l'autre et le nous</t>
  </si>
  <si>
    <t>Estivalèzes, Mireille; Estivalèzes</t>
  </si>
  <si>
    <t>http://public.eblib.com/choice/PublicFullRecord.aspx?p=4796601</t>
  </si>
  <si>
    <t>De Victoria a Vladivostok : l’expédition canadienne en Sibérie 1917-1919</t>
  </si>
  <si>
    <t>http://public.eblib.com/choice/PublicFullRecord.aspx?p=4796602</t>
  </si>
  <si>
    <t>La transcendance de l’homme : Études en hommage à Thomas De Koninck</t>
  </si>
  <si>
    <t>Narbonne, Jean-Marc; Jean-Francois, Mattei</t>
  </si>
  <si>
    <t>http://public.eblib.com/choice/PublicFullRecord.aspx?p=4796603</t>
  </si>
  <si>
    <t>Nanotechnologies et principe de précaution : Forces et limites de l’appel au principe</t>
  </si>
  <si>
    <t>http://public.eblib.com/choice/PublicFullRecord.aspx?p=4796604</t>
  </si>
  <si>
    <t>Représentation, métissage et pouvoir : La dynamique coloniale des échanges entre Autochtones, Européens et Canadiens (XVIe-Xxe siècle). Actes du Colloque en hommage à Denys Delâge et à Réal Ouellet (Québec, 24-26 janvier 2007)</t>
  </si>
  <si>
    <t>Beaulieu, Alain; Chaffray</t>
  </si>
  <si>
    <t>http://public.eblib.com/choice/PublicFullRecord.aspx?p=4796606</t>
  </si>
  <si>
    <t>Conciliation emploi-famille et temps sociaux, 3e édition</t>
  </si>
  <si>
    <t>http://public.eblib.com/choice/PublicFullRecord.aspx?p=4796608</t>
  </si>
  <si>
    <t>Manuel de réadaptation psychiatrique, 2e édition</t>
  </si>
  <si>
    <t>Lecomte, Tania</t>
  </si>
  <si>
    <t>616.89/03</t>
  </si>
  <si>
    <t>http://public.eblib.com/choice/PublicFullRecord.aspx?p=4796609</t>
  </si>
  <si>
    <t>La littératie médiatique multimodale : De nouvelles approches en lecture-écriture à l'école et hors de l'école</t>
  </si>
  <si>
    <t>http://public.eblib.com/choice/PublicFullRecord.aspx?p=4796610</t>
  </si>
  <si>
    <t>La médiation culturelle : Le sens des mots et l'essence des pratiques</t>
  </si>
  <si>
    <t>Lafortune, Jean-Marie</t>
  </si>
  <si>
    <t>http://public.eblib.com/choice/PublicFullRecord.aspx?p=4796611</t>
  </si>
  <si>
    <t>Penser métropolitain? : La bataille politique du Grand Montréal</t>
  </si>
  <si>
    <t>Tomàs, Mariona</t>
  </si>
  <si>
    <t>320.8/50971428</t>
  </si>
  <si>
    <t>http://public.eblib.com/choice/PublicFullRecord.aspx?p=4796612</t>
  </si>
  <si>
    <t>Montreal, City of Spires : Church Architecture During the British Colonial Period 1760-1860</t>
  </si>
  <si>
    <t>Epstein, Clarence</t>
  </si>
  <si>
    <t>726.509714/28</t>
  </si>
  <si>
    <t>http://public.eblib.com/choice/PublicFullRecord.aspx?p=4796613</t>
  </si>
  <si>
    <t>Pratiques performatives : Body Remix</t>
  </si>
  <si>
    <t>http://public.eblib.com/choice/PublicFullRecord.aspx?p=4796615</t>
  </si>
  <si>
    <t>La gestion intégrée des ressources en eau en Afrique subsaharienne : Paradigme occidental, pratiques africaines</t>
  </si>
  <si>
    <t>Julien, Frédéric</t>
  </si>
  <si>
    <t>333.91/150967</t>
  </si>
  <si>
    <t>http://public.eblib.com/choice/PublicFullRecord.aspx?p=4796616</t>
  </si>
  <si>
    <t>Stimuler le potentiel d'apprentissage des enfants et adolescents ayant besoin de soutien</t>
  </si>
  <si>
    <t>Normand-Guérette, Denise</t>
  </si>
  <si>
    <t>http://public.eblib.com/choice/PublicFullRecord.aspx?p=4796617</t>
  </si>
  <si>
    <t>Des veines du coeur au sommet de la pensée</t>
  </si>
  <si>
    <t>Lynge, Aqqaluk</t>
  </si>
  <si>
    <t>897/.121</t>
  </si>
  <si>
    <t>http://public.eblib.com/choice/PublicFullRecord.aspx?p=4796618</t>
  </si>
  <si>
    <t>Épistémologie des études touristiques</t>
  </si>
  <si>
    <t>Morisset, Lucie K.</t>
  </si>
  <si>
    <t>http://public.eblib.com/choice/PublicFullRecord.aspx?p=4796619</t>
  </si>
  <si>
    <t>Contrer le décrochage scolaire par l'accompagnement éducatif : Une étude sur la contribution des organismes communautaires</t>
  </si>
  <si>
    <t>Desmarais, Danielle</t>
  </si>
  <si>
    <t>373.12/91309714</t>
  </si>
  <si>
    <t>http://public.eblib.com/choice/PublicFullRecord.aspx?p=4796620</t>
  </si>
  <si>
    <t>Théorie U – Changement émergent et innovation : Modèles, applications et critique</t>
  </si>
  <si>
    <t>Mahy, Isabelle</t>
  </si>
  <si>
    <t>http://public.eblib.com/choice/PublicFullRecord.aspx?p=4796622</t>
  </si>
  <si>
    <t>Guide pratique pour étudier la faisabilité de projets</t>
  </si>
  <si>
    <t>Corriveau, Gilles</t>
  </si>
  <si>
    <t>http://public.eblib.com/choice/PublicFullRecord.aspx?p=4796623</t>
  </si>
  <si>
    <t>L'histoire du syndicalisme enseignant</t>
  </si>
  <si>
    <t>331.88/113711009714</t>
  </si>
  <si>
    <t>http://public.eblib.com/choice/PublicFullRecord.aspx?p=4796624</t>
  </si>
  <si>
    <t>Intervention cognitivo-comportementale auprès des enfants et des adolescents, Tome 1 : Troubles intériorisés</t>
  </si>
  <si>
    <t>Turgeon, Lyse</t>
  </si>
  <si>
    <t>618.92/891425</t>
  </si>
  <si>
    <t>http://public.eblib.com/choice/PublicFullRecord.aspx?p=4796625</t>
  </si>
  <si>
    <t>Montréal et son aménagement : Vivre la ville</t>
  </si>
  <si>
    <t>http://public.eblib.com/choice/PublicFullRecord.aspx?p=4796628</t>
  </si>
  <si>
    <t>Quand les Jésuites veulent comprendre l'Autre : Le témoignage de quelques livres anciens de la collection de l'UQAM</t>
  </si>
  <si>
    <t>Auberger, Janick</t>
  </si>
  <si>
    <t>094/.2</t>
  </si>
  <si>
    <t>http://public.eblib.com/choice/PublicFullRecord.aspx?p=4796630</t>
  </si>
  <si>
    <t>J'ai mal à mon stage : Problèmes et enjeux de la formation pratique en enseignement</t>
  </si>
  <si>
    <t>Desbiens, Jean-François</t>
  </si>
  <si>
    <t>http://public.eblib.com/choice/PublicFullRecord.aspx?p=4796631</t>
  </si>
  <si>
    <t>Développement social et émotionnel chez l'enfant et l'adolescent, tome 1 : Les bases du développement</t>
  </si>
  <si>
    <t>Lemelin, Jean-Pascal</t>
  </si>
  <si>
    <t>http://public.eblib.com/choice/PublicFullRecord.aspx?p=4796632</t>
  </si>
  <si>
    <t>L'information : la nécessaire perspective citoyenne</t>
  </si>
  <si>
    <t>Corriveau, Raymond</t>
  </si>
  <si>
    <t>http://public.eblib.com/choice/PublicFullRecord.aspx?p=4796633</t>
  </si>
  <si>
    <t>L'éthique professionnelle en enseignement : Fondements et pratiques, 2e édition</t>
  </si>
  <si>
    <t>Desaulniers, Marie-Paule</t>
  </si>
  <si>
    <t>http://public.eblib.com/choice/PublicFullRecord.aspx?p=4796634</t>
  </si>
  <si>
    <t>Innover pour mobiliser : L'actualité de l'expérience de Michel Blondin</t>
  </si>
  <si>
    <t>Blondin, Michel</t>
  </si>
  <si>
    <t>http://public.eblib.com/choice/PublicFullRecord.aspx?p=4796635</t>
  </si>
  <si>
    <t>L'agression sexuelle envers les enfants : Tome 2</t>
  </si>
  <si>
    <t>Hébert, Martine</t>
  </si>
  <si>
    <t>http://public.eblib.com/choice/PublicFullRecord.aspx?p=4796638</t>
  </si>
  <si>
    <t>Luc Beauregard : Le pari de la vérité</t>
  </si>
  <si>
    <t>Cardinal, Jacqueline</t>
  </si>
  <si>
    <t>338.7/616592092</t>
  </si>
  <si>
    <t>http://public.eblib.com/choice/PublicFullRecord.aspx?p=4796639</t>
  </si>
  <si>
    <t>Médias sociaux : Enjeux pour la communication</t>
  </si>
  <si>
    <t>Proulx, Serge</t>
  </si>
  <si>
    <t>http://public.eblib.com/choice/PublicFullRecord.aspx?p=4796640</t>
  </si>
  <si>
    <t>Protocoles et réseaux locaux : L'accès Internet, 2e édition revue et augmentée</t>
  </si>
  <si>
    <t>Kadoch, Michel</t>
  </si>
  <si>
    <t>http://public.eblib.com/choice/PublicFullRecord.aspx?p=4796641</t>
  </si>
  <si>
    <t>Les transitions à l'école</t>
  </si>
  <si>
    <t>Curchod, Pierre</t>
  </si>
  <si>
    <t>370.15/8</t>
  </si>
  <si>
    <t>http://public.eblib.com/choice/PublicFullRecord.aspx?p=4796642</t>
  </si>
  <si>
    <t>Mondialisation et résilience des territoires : Trajectoires, dynamiques d'acteurs et expériences</t>
  </si>
  <si>
    <t>Hamdouch, Abdelillah</t>
  </si>
  <si>
    <t>http://public.eblib.com/choice/PublicFullRecord.aspx?p=4796643</t>
  </si>
  <si>
    <t>Éthique et culture religieuse en question : Réflexions critiques et prospectives</t>
  </si>
  <si>
    <t>Bouchard, Nancy</t>
  </si>
  <si>
    <t>370.11/409714</t>
  </si>
  <si>
    <t>http://public.eblib.com/choice/PublicFullRecord.aspx?p=4796647</t>
  </si>
  <si>
    <t>Performance organisationnelle et temps sociaux</t>
  </si>
  <si>
    <t>http://public.eblib.com/choice/PublicFullRecord.aspx?p=4796650</t>
  </si>
  <si>
    <t>La muséologie, champ de théories et de pratiques</t>
  </si>
  <si>
    <t>http://public.eblib.com/choice/PublicFullRecord.aspx?p=4796651</t>
  </si>
  <si>
    <t>Introduction à la biostatistique</t>
  </si>
  <si>
    <t>Balan, Raluca</t>
  </si>
  <si>
    <t>http://public.eblib.com/choice/PublicFullRecord.aspx?p=4796652</t>
  </si>
  <si>
    <t>Les secrets de la Maison-Blanche : L'impact des fuites d'informations confidentielles sur la politique étrangère des États-Unis</t>
  </si>
  <si>
    <t>Prémont, Karine</t>
  </si>
  <si>
    <t>http://public.eblib.com/choice/PublicFullRecord.aspx?p=4796653</t>
  </si>
  <si>
    <t>Pouvoir et régulation dans le secteur minier : Leçons à partir de l'expérience canadienne</t>
  </si>
  <si>
    <t>Laforce, Myriam</t>
  </si>
  <si>
    <t>http://public.eblib.com/choice/PublicFullRecord.aspx?p=4796655</t>
  </si>
  <si>
    <t>Louis Bertrand à L'Isle-Verte (1811-1871) : Propriété foncière et exploitation des ressources</t>
  </si>
  <si>
    <t>Flamand-Hubert, Maude</t>
  </si>
  <si>
    <t>971.4/76403</t>
  </si>
  <si>
    <t>http://public.eblib.com/choice/PublicFullRecord.aspx?p=4796656</t>
  </si>
  <si>
    <t>Socio-anthropologie de l’adolescence : Lecture de David Le Breton</t>
  </si>
  <si>
    <t>Lectures</t>
  </si>
  <si>
    <t>http://public.eblib.com/choice/PublicFullRecord.aspx?p=4796658</t>
  </si>
  <si>
    <t>La dynamique confiance-méfiance dans les démocraties multinationales : Le Canada sous l'angle comparatif</t>
  </si>
  <si>
    <t>Karmis, Dimitrios; Dimitrios, Karmis</t>
  </si>
  <si>
    <t>http://public.eblib.com/choice/PublicFullRecord.aspx?p=4796659</t>
  </si>
  <si>
    <t>Conjuguer avec les médias : Les défis inédits du relationniste</t>
  </si>
  <si>
    <t>Boily, Lise; Chartrand</t>
  </si>
  <si>
    <t>http://public.eblib.com/choice/PublicFullRecord.aspx?p=4796660</t>
  </si>
  <si>
    <t>Le Québec et la guerre de 1812</t>
  </si>
  <si>
    <t>Lépine, Luc</t>
  </si>
  <si>
    <t>http://public.eblib.com/choice/PublicFullRecord.aspx?p=4796661</t>
  </si>
  <si>
    <t>Portneuf : Histoire en bref</t>
  </si>
  <si>
    <t>Les régions du Québec</t>
  </si>
  <si>
    <t>Vallières, Marc</t>
  </si>
  <si>
    <t>http://public.eblib.com/choice/PublicFullRecord.aspx?p=4796663</t>
  </si>
  <si>
    <t>Espagnes imaginaires au Québec</t>
  </si>
  <si>
    <t>Barreiro, Carmen Mata</t>
  </si>
  <si>
    <t>http://public.eblib.com/choice/PublicFullRecord.aspx?p=4796664</t>
  </si>
  <si>
    <t>Figures d'enfants soldats : Puissance et vulnérabilité</t>
  </si>
  <si>
    <t>Nord-Sud</t>
  </si>
  <si>
    <t>Bodineau, Sylvie</t>
  </si>
  <si>
    <t>http://public.eblib.com/choice/PublicFullRecord.aspx?p=4796665</t>
  </si>
  <si>
    <t>Ressources naturelles et politiques publiques : Le Québec comparé</t>
  </si>
  <si>
    <t>http://public.eblib.com/choice/PublicFullRecord.aspx?p=4796666</t>
  </si>
  <si>
    <t>La vente relationnelle : Les meilleures pratiques de ventes</t>
  </si>
  <si>
    <t>Dionne, Michel</t>
  </si>
  <si>
    <t>http://public.eblib.com/choice/PublicFullRecord.aspx?p=4796667</t>
  </si>
  <si>
    <t>Le sens de l'humour absurde au Québec</t>
  </si>
  <si>
    <t>Papineau, Simon</t>
  </si>
  <si>
    <t>http://public.eblib.com/choice/PublicFullRecord.aspx?p=4796669</t>
  </si>
  <si>
    <t>Histoires littéraires des Canadiens au XVIIIe siècle</t>
  </si>
  <si>
    <t>http://public.eblib.com/choice/PublicFullRecord.aspx?p=4796672</t>
  </si>
  <si>
    <t>Sadyaq Balae ! L’autochtonie formosane dans tous ses états</t>
  </si>
  <si>
    <t>Simon, Scott</t>
  </si>
  <si>
    <t>http://public.eblib.com/choice/PublicFullRecord.aspx?p=4796673</t>
  </si>
  <si>
    <t>Les 100 ans du prix d’Europe : Le soutien de l’État à la musique, de Lomer Gouin à la Révolution tranquille</t>
  </si>
  <si>
    <t>Barrière, Mireille</t>
  </si>
  <si>
    <t>http://public.eblib.com/choice/PublicFullRecord.aspx?p=4796674</t>
  </si>
  <si>
    <t>Le bestiaire innu : Les quadrupèdes</t>
  </si>
  <si>
    <t>Clément, Daniel</t>
  </si>
  <si>
    <t>http://public.eblib.com/choice/PublicFullRecord.aspx?p=4796675</t>
  </si>
  <si>
    <t>La nation et son double : Essai sur les discours postcoloniaux au Canada</t>
  </si>
  <si>
    <t>Perspective de L'Ouest</t>
  </si>
  <si>
    <t>Couture, Claude; Mulatris, Paulin Kilol; Paulin, Mulatris</t>
  </si>
  <si>
    <t>http://public.eblib.com/choice/PublicFullRecord.aspx?p=4796676</t>
  </si>
  <si>
    <t>La télévision de Radio-Canada et l'évolution de la conscience politique au Québec</t>
  </si>
  <si>
    <t>Sauvageau, Florian; Monière</t>
  </si>
  <si>
    <t>http://public.eblib.com/choice/PublicFullRecord.aspx?p=4796677</t>
  </si>
  <si>
    <t>Patrimoine, culture et mise en récit : l'île d'Orléans et la place Royale de Québec</t>
  </si>
  <si>
    <t>Berthold, Etienne</t>
  </si>
  <si>
    <t>http://public.eblib.com/choice/PublicFullRecord.aspx?p=4796678</t>
  </si>
  <si>
    <t>Invention à cinq voix : Une histoire de l’histoire littéraire au Canada</t>
  </si>
  <si>
    <t>http://public.eblib.com/choice/PublicFullRecord.aspx?p=4796679</t>
  </si>
  <si>
    <t>Gérer des équipes internationales : Tirer parti de la rencontre des cultures dans les organisations</t>
  </si>
  <si>
    <t>Chevrier, Sylvie</t>
  </si>
  <si>
    <t>http://public.eblib.com/choice/PublicFullRecord.aspx?p=4796680</t>
  </si>
  <si>
    <t>La Guerre de 1812 : Journal de Jacques Viger présenté et commenté par Bernard Andrès et Patricia Willemin-Andrès</t>
  </si>
  <si>
    <t>http://public.eblib.com/choice/PublicFullRecord.aspx?p=4796682</t>
  </si>
  <si>
    <t>Histoire du Nord-du-Québec</t>
  </si>
  <si>
    <t>Régions du Québec Les</t>
  </si>
  <si>
    <t>Girard, Réjean</t>
  </si>
  <si>
    <t>http://public.eblib.com/choice/PublicFullRecord.aspx?p=4796683</t>
  </si>
  <si>
    <t>Histoire de Montréal et de sa région : Tome I - Des origines à 1930; Tome II - 1930 à nos jours</t>
  </si>
  <si>
    <t>Régions du Québec</t>
  </si>
  <si>
    <t>Fougères, Dany</t>
  </si>
  <si>
    <t>http://public.eblib.com/choice/PublicFullRecord.aspx?p=4796686</t>
  </si>
  <si>
    <t>La salutogenèse : Petit guide pour promouvoir la santé</t>
  </si>
  <si>
    <t>Lindström, Bengt; Monica, Eriksson</t>
  </si>
  <si>
    <t>http://public.eblib.com/choice/PublicFullRecord.aspx?p=4796687</t>
  </si>
  <si>
    <t>Les pratiques enseignantes entre instruire et socialiser : Regards internationaux</t>
  </si>
  <si>
    <t>Lenoir, Yves</t>
  </si>
  <si>
    <t>http://public.eblib.com/choice/PublicFullRecord.aspx?p=4796692</t>
  </si>
  <si>
    <t>Adaptation et socialisation des minorités culturelles en régions</t>
  </si>
  <si>
    <t>Leanza, Yvan; Yvan, Leanza</t>
  </si>
  <si>
    <t>http://public.eblib.com/choice/PublicFullRecord.aspx?p=4796693</t>
  </si>
  <si>
    <t>Trans, multi, interculturalité, trans, multi, interdisciplinarité</t>
  </si>
  <si>
    <t>Fontille, Brigitte; Brigitte, Fontille</t>
  </si>
  <si>
    <t>http://public.eblib.com/choice/PublicFullRecord.aspx?p=4796694</t>
  </si>
  <si>
    <t>Formations des cultures nationales dans les Amériques : Le rôle de la presse dans la constitution du littéraire au Bas-Canada et au Brésil au début du XIXe siècle</t>
  </si>
  <si>
    <t>http://public.eblib.com/choice/PublicFullRecord.aspx?p=4796695</t>
  </si>
  <si>
    <t>Codes, corps et rituels dans la culture</t>
  </si>
  <si>
    <t>Jeffrey, Denis; Jeffrey, Denis</t>
  </si>
  <si>
    <t>http://public.eblib.com/choice/PublicFullRecord.aspx?p=4796699</t>
  </si>
  <si>
    <t>Initiation à la négociation collective (2e édition)</t>
  </si>
  <si>
    <t>Bilodeau, Pierre-Luc; Pier-Luc, Bilodeau</t>
  </si>
  <si>
    <t>http://public.eblib.com/choice/PublicFullRecord.aspx?p=4796700</t>
  </si>
  <si>
    <t>Le vieillissement de la population et les politiques publiques : enjeux d’ici et d’ailleurs</t>
  </si>
  <si>
    <t>Marier, Patrik</t>
  </si>
  <si>
    <t>http://public.eblib.com/choice/PublicFullRecord.aspx?p=4796702</t>
  </si>
  <si>
    <t>Ville et conflits : Action collective, justice sociale et enjeux environnementaux</t>
  </si>
  <si>
    <t>Morin, Richard; Richard, Morin</t>
  </si>
  <si>
    <t>http://public.eblib.com/choice/PublicFullRecord.aspx?p=4796710</t>
  </si>
  <si>
    <t>Innu Nikamu - L’Innu chante : Pouvoir des chants, identité et guérison chez les Innus</t>
  </si>
  <si>
    <t>Audet, Véronique</t>
  </si>
  <si>
    <t>http://public.eblib.com/choice/PublicFullRecord.aspx?p=4796715</t>
  </si>
  <si>
    <t>Des recherches collaboratives en sciences humaines et sociales (SHS) : enjeux, modalités et limites</t>
  </si>
  <si>
    <t>Pratiques d'accompagnement Professionnel</t>
  </si>
  <si>
    <t>Bourassa, Bruno; Mehdi, Boudjaoui</t>
  </si>
  <si>
    <t>http://public.eblib.com/choice/PublicFullRecord.aspx?p=4796718</t>
  </si>
  <si>
    <t>Les quartiers historiques : Un patrimoine urbain en projet</t>
  </si>
  <si>
    <t>http://public.eblib.com/choice/PublicFullRecord.aspx?p=4796719</t>
  </si>
  <si>
    <t>Les troubles concomitants de toxicomanie et de santé mentale</t>
  </si>
  <si>
    <t>Landry, Michel; Louise, Nadeau</t>
  </si>
  <si>
    <t>http://public.eblib.com/choice/PublicFullRecord.aspx?p=4796720</t>
  </si>
  <si>
    <t>TIC, technologies émergentes et Web 2.0 : Quels impacts en éducation?</t>
  </si>
  <si>
    <t>Karsenti, Thierry</t>
  </si>
  <si>
    <t>http://public.eblib.com/choice/PublicFullRecord.aspx?p=4796721</t>
  </si>
  <si>
    <t>Les racines communicationnelles du Web et des médias sociaux, 2e édition</t>
  </si>
  <si>
    <t>Charest, Francine</t>
  </si>
  <si>
    <t>http://public.eblib.com/choice/PublicFullRecord.aspx?p=4796722</t>
  </si>
  <si>
    <t>Francosphère : L'importance de la France dans la culture stratégique du Canada</t>
  </si>
  <si>
    <t>Massie, Justin</t>
  </si>
  <si>
    <t>http://public.eblib.com/choice/PublicFullRecord.aspx?p=4796723</t>
  </si>
  <si>
    <t>La dépression chez les adolescents : État des connaissances, famille, école et stratégies d'intervention</t>
  </si>
  <si>
    <t>Marcotte, Diane</t>
  </si>
  <si>
    <t>http://public.eblib.com/choice/PublicFullRecord.aspx?p=4796724</t>
  </si>
  <si>
    <t>Terrorisme et insurrection : Évolution des dynamiques conflictuelles et réponses des États</t>
  </si>
  <si>
    <t>Campana, Aurélie</t>
  </si>
  <si>
    <t>303.6/25</t>
  </si>
  <si>
    <t>http://public.eblib.com/choice/PublicFullRecord.aspx?p=4796725</t>
  </si>
  <si>
    <t>Articuler emploi et famille : Le rôle du soutien organisationnel au coeur de trois professions</t>
  </si>
  <si>
    <t>http://public.eblib.com/choice/PublicFullRecord.aspx?p=4796726</t>
  </si>
  <si>
    <t>Transformations du monde du travail : Regards interdisciplinaires en relations industrielles</t>
  </si>
  <si>
    <t>Laplante, Normand</t>
  </si>
  <si>
    <t>http://public.eblib.com/choice/PublicFullRecord.aspx?p=4796727</t>
  </si>
  <si>
    <t>Théorie et pratique de conscientisation au Québec</t>
  </si>
  <si>
    <t>Ampleman, Gisèle</t>
  </si>
  <si>
    <t>http://public.eblib.com/choice/PublicFullRecord.aspx?p=4796728</t>
  </si>
  <si>
    <t>La transition écologique de l'économie : La contribution des coopératives et de l'économie solidaire</t>
  </si>
  <si>
    <t>http://public.eblib.com/choice/PublicFullRecord.aspx?p=4796729</t>
  </si>
  <si>
    <t>Expériences d'intervention psychosociale en contexte de violence conjugale</t>
  </si>
  <si>
    <t>Gauthier, Sonia</t>
  </si>
  <si>
    <t>362.82/9209714</t>
  </si>
  <si>
    <t>http://public.eblib.com/choice/PublicFullRecord.aspx?p=4796730</t>
  </si>
  <si>
    <t>Comprendre les jeunes aujourd'hui : Trajectoires, temporalités</t>
  </si>
  <si>
    <t>http://public.eblib.com/choice/PublicFullRecord.aspx?p=4796731</t>
  </si>
  <si>
    <t>La transformation du service de l’information de Radio-Canada</t>
  </si>
  <si>
    <t>Francoeur, Chantal</t>
  </si>
  <si>
    <t>http://public.eblib.com/choice/PublicFullRecord.aspx?p=4796732</t>
  </si>
  <si>
    <t>Vieillissement et enjeux d'aménagement : Regards à différentes échelles</t>
  </si>
  <si>
    <t>Negron-Poblete, Paula</t>
  </si>
  <si>
    <t>http://public.eblib.com/choice/PublicFullRecord.aspx?p=4796734</t>
  </si>
  <si>
    <t>Méthodologie de la théorisation enracinée : Fondements, procédures et usages</t>
  </si>
  <si>
    <t>Luckerhoff, Jason</t>
  </si>
  <si>
    <t>http://public.eblib.com/choice/PublicFullRecord.aspx?p=4796735</t>
  </si>
  <si>
    <t>Qui a eu cette idée folle ? : Essais sur l'éducation scolaire</t>
  </si>
  <si>
    <t>Baby, Antoine</t>
  </si>
  <si>
    <t>http://public.eblib.com/choice/PublicFullRecord.aspx?p=4796736</t>
  </si>
  <si>
    <t>Les caricatures de Mahomet entre le Québec et la France : Étude comparative des journaux Libération et Le Devoir</t>
  </si>
  <si>
    <t>Nevert, Lélia</t>
  </si>
  <si>
    <t>http://public.eblib.com/choice/PublicFullRecord.aspx?p=4796737</t>
  </si>
  <si>
    <t>L' argent de l'État : pourquoi et comment : Tome 1 - Le revenu</t>
  </si>
  <si>
    <t>http://public.eblib.com/choice/PublicFullRecord.aspx?p=4796739</t>
  </si>
  <si>
    <t>Résine et complexité matérielle : Traité sur la manœuvre de la résine en sculpture</t>
  </si>
  <si>
    <t>Pilon, Laurent</t>
  </si>
  <si>
    <t>http://public.eblib.com/choice/PublicFullRecord.aspx?p=4796741</t>
  </si>
  <si>
    <t>Regards critiques sur la maternité dans divers contextes sociaux</t>
  </si>
  <si>
    <t>Lapierre, Simon</t>
  </si>
  <si>
    <t>http://public.eblib.com/choice/PublicFullRecord.aspx?p=4796742</t>
  </si>
  <si>
    <t>Communauté d'apprentissage professionnelle : Guide à l'intention des leaders scolaires</t>
  </si>
  <si>
    <t>Leclerc, Martine</t>
  </si>
  <si>
    <t>http://public.eblib.com/choice/PublicFullRecord.aspx?p=4796745</t>
  </si>
  <si>
    <t>Communication et grands projets : Les nouveaux défis</t>
  </si>
  <si>
    <t>Lehmann, Valérie</t>
  </si>
  <si>
    <t>http://public.eblib.com/choice/PublicFullRecord.aspx?p=4796746</t>
  </si>
  <si>
    <t>Qu'est-ce qu'un problème social aujourd'hui : Repenser la non-conformité</t>
  </si>
  <si>
    <t>Otero, Marcelo</t>
  </si>
  <si>
    <t>http://public.eblib.com/choice/PublicFullRecord.aspx?p=4796748</t>
  </si>
  <si>
    <t>Au-delà du préjugé : Trajectoires de vie, pauvreté et santé</t>
  </si>
  <si>
    <t>McAll, Christopher</t>
  </si>
  <si>
    <t>http://public.eblib.com/choice/PublicFullRecord.aspx?p=4796749</t>
  </si>
  <si>
    <t>La gouvernance locale des forêts publiques québécoises : Une avenue de développement des régions périphériques?</t>
  </si>
  <si>
    <t>Chiasson, Guy</t>
  </si>
  <si>
    <t>http://public.eblib.com/choice/PublicFullRecord.aspx?p=4796751</t>
  </si>
  <si>
    <t>Internet et santé : Acteurs, usages et appropriations</t>
  </si>
  <si>
    <t>Thoër, Christine</t>
  </si>
  <si>
    <t>http://public.eblib.com/choice/PublicFullRecord.aspx?p=4796752</t>
  </si>
  <si>
    <t>Le pilotage du changement, 2e édition</t>
  </si>
  <si>
    <t>Collerette, Pierre</t>
  </si>
  <si>
    <t>http://public.eblib.com/choice/PublicFullRecord.aspx?p=4796754</t>
  </si>
  <si>
    <t>Intervention cognitivo-comportementale auprès des enfants et des adolescents, Tome 2 : Troubles de comportement</t>
  </si>
  <si>
    <t>http://public.eblib.com/choice/PublicFullRecord.aspx?p=4796756</t>
  </si>
  <si>
    <t>Entre itinérance et fin de vie : Sociologie de la vie moindre</t>
  </si>
  <si>
    <t>Namian, Dahlia</t>
  </si>
  <si>
    <t>361.3/2</t>
  </si>
  <si>
    <t>http://public.eblib.com/choice/PublicFullRecord.aspx?p=4796757</t>
  </si>
  <si>
    <t>Pour une nouvelle mondialisation : Le défi d'innover</t>
  </si>
  <si>
    <t>http://public.eblib.com/choice/PublicFullRecord.aspx?p=4796758</t>
  </si>
  <si>
    <t>Éthique de la communication appliquée aux relations publiques</t>
  </si>
  <si>
    <t>Cossette, Ritha</t>
  </si>
  <si>
    <t>http://public.eblib.com/choice/PublicFullRecord.aspx?p=4796759</t>
  </si>
  <si>
    <t>La gestion philanthropique : La gestion philanthropique</t>
  </si>
  <si>
    <t>Lapointe, Daniel</t>
  </si>
  <si>
    <t>http://public.eblib.com/choice/PublicFullRecord.aspx?p=4796760</t>
  </si>
  <si>
    <t>Livres québécois remarquables du XXe siècle</t>
  </si>
  <si>
    <t>Corbo, Claude</t>
  </si>
  <si>
    <t>011/.7309714</t>
  </si>
  <si>
    <t>http://public.eblib.com/choice/PublicFullRecord.aspx?p=4796761</t>
  </si>
  <si>
    <t>Analyse stratégique et avantage concurrentiel</t>
  </si>
  <si>
    <t>Seni, Dan A.</t>
  </si>
  <si>
    <t>http://public.eblib.com/choice/PublicFullRecord.aspx?p=4796762</t>
  </si>
  <si>
    <t>L'administration contemporaine de l'État : Une perspective canadienne et québécoise</t>
  </si>
  <si>
    <t>http://public.eblib.com/choice/PublicFullRecord.aspx?p=4796763</t>
  </si>
  <si>
    <t>Vers une nouvelle conception de l’«idéaltype» du travailleur?</t>
  </si>
  <si>
    <t>Malenfant, Romaine</t>
  </si>
  <si>
    <t>http://public.eblib.com/choice/PublicFullRecord.aspx?p=4796764</t>
  </si>
  <si>
    <t>L'évaluation de programme axée sur le jugement crédible</t>
  </si>
  <si>
    <t>Hurteau, Marthe</t>
  </si>
  <si>
    <t>http://public.eblib.com/choice/PublicFullRecord.aspx?p=4796765</t>
  </si>
  <si>
    <t>Développement social et émotionnel chez l'enfant et l'adolescent, tome 2 : Applications pratiques et cliniques</t>
  </si>
  <si>
    <t>Tarabulsy, George M.</t>
  </si>
  <si>
    <t>http://public.eblib.com/choice/PublicFullRecord.aspx?p=4796766</t>
  </si>
  <si>
    <t>Écrire, lire et apprendre à l'âge adulte</t>
  </si>
  <si>
    <t>http://public.eblib.com/choice/PublicFullRecord.aspx?p=4796769</t>
  </si>
  <si>
    <t>Le Québec économique 2012</t>
  </si>
  <si>
    <t>Godbout, Luc; Marcelin, Joanis; Luc, Godbout</t>
  </si>
  <si>
    <t>http://public.eblib.com/choice/PublicFullRecord.aspx?p=4796772</t>
  </si>
  <si>
    <t>Profession bibliothécaire</t>
  </si>
  <si>
    <t>Beaudry, Guylaine</t>
  </si>
  <si>
    <t>http://public.eblib.com/choice/PublicFullRecord.aspx?p=4796773</t>
  </si>
  <si>
    <t>L’adoption coutumière autochtone et les défis du pluralisme juridique</t>
  </si>
  <si>
    <t>Otis, Ghislain</t>
  </si>
  <si>
    <t>http://public.eblib.com/choice/PublicFullRecord.aspx?p=4796777</t>
  </si>
  <si>
    <t>Le fardeau socio-économique du paludisme en Afrique : une analyse économétrique</t>
  </si>
  <si>
    <t>http://public.eblib.com/choice/PublicFullRecord.aspx?p=4796780</t>
  </si>
  <si>
    <t>De la responsabilité de protéger les populations menacées : L'emploi de la force et la possibilité de la justice</t>
  </si>
  <si>
    <t>Thibault, Jean-François</t>
  </si>
  <si>
    <t>http://public.eblib.com/choice/PublicFullRecord.aspx?p=4796781</t>
  </si>
  <si>
    <t>«Routes touristiques et itinéraires culturels : Entre mémoire et développement»Tome 1</t>
  </si>
  <si>
    <t>Bourdeau, Laurent; Laurent, Bourdeau</t>
  </si>
  <si>
    <t>http://public.eblib.com/choice/PublicFullRecord.aspx?p=4796782</t>
  </si>
  <si>
    <t>Vingt ans après : L’ordre libéral au Canada après Trudeau et Charlottetown</t>
  </si>
  <si>
    <t>Couture, Claude; David, Chandonnet</t>
  </si>
  <si>
    <t>http://public.eblib.com/choice/PublicFullRecord.aspx?p=4796783</t>
  </si>
  <si>
    <t>Une révolution de l’environnement : Construction sociale de l’environnement et vie quotidienne à Cuba</t>
  </si>
  <si>
    <t>Doyon, Sabrina</t>
  </si>
  <si>
    <t>http://public.eblib.com/choice/PublicFullRecord.aspx?p=4796784</t>
  </si>
  <si>
    <t>Éthique et réduction des méfaits</t>
  </si>
  <si>
    <t>Massé, Raymond</t>
  </si>
  <si>
    <t>http://public.eblib.com/choice/PublicFullRecord.aspx?p=4796785</t>
  </si>
  <si>
    <t>L' interaction entre les problèmes de gestion des ressources humaines et de santé et de sécurité au travail : Études de cas</t>
  </si>
  <si>
    <t>Gravel, Sylvie</t>
  </si>
  <si>
    <t>http://public.eblib.com/choice/PublicFullRecord.aspx?p=4796786</t>
  </si>
  <si>
    <t>Pour une écoalimentation : Dix belles histoires</t>
  </si>
  <si>
    <t>Sauvé, Lucie</t>
  </si>
  <si>
    <t>http://public.eblib.com/choice/PublicFullRecord.aspx?p=4796787</t>
  </si>
  <si>
    <t>Le développement de systèmes d'information : Une méthode intégrée à la transformation des processus, 4e édition</t>
  </si>
  <si>
    <t>Rivard, Suzanne</t>
  </si>
  <si>
    <t>658.4/038011</t>
  </si>
  <si>
    <t>http://public.eblib.com/choice/PublicFullRecord.aspx?p=4796788</t>
  </si>
  <si>
    <t>La recherche intervention en milieu organisationnel</t>
  </si>
  <si>
    <t>Forget, André</t>
  </si>
  <si>
    <t>http://public.eblib.com/choice/PublicFullRecord.aspx?p=4796789</t>
  </si>
  <si>
    <t>La formation des enseignants inuit et des Premières Nations : Problématiques et pistes d'action</t>
  </si>
  <si>
    <t>Maheux, Gisèle</t>
  </si>
  <si>
    <t>370.71/1089970714</t>
  </si>
  <si>
    <t>http://public.eblib.com/choice/PublicFullRecord.aspx?p=4796790</t>
  </si>
  <si>
    <t>Quand le stage en enseignement déraille : Regards pluriels sur une réalité trop souvent occultée</t>
  </si>
  <si>
    <t>http://public.eblib.com/choice/PublicFullRecord.aspx?p=4796791</t>
  </si>
  <si>
    <t>En éducation, quand les émotions s’en mêlent! : Enseignement, apprentissage et accompagnement</t>
  </si>
  <si>
    <t>Pharand, Joanne</t>
  </si>
  <si>
    <t>http://public.eblib.com/choice/PublicFullRecord.aspx?p=4796792</t>
  </si>
  <si>
    <t>Échec au cancer : guide des aliments protecteurs</t>
  </si>
  <si>
    <t>Genest, Lyse</t>
  </si>
  <si>
    <t>http://public.eblib.com/choice/PublicFullRecord.aspx?p=4796795</t>
  </si>
  <si>
    <t>Dans mon carquois : Dernières chroniques de L'Action</t>
  </si>
  <si>
    <t>Cornellier, Louis</t>
  </si>
  <si>
    <t>PQ3919.2.C59433D36</t>
  </si>
  <si>
    <t>http://public.eblib.com/choice/PublicFullRecord.aspx?p=4796796</t>
  </si>
  <si>
    <t>La philosophie comme solution au mal de vivre</t>
  </si>
  <si>
    <t>Tremblay, Julie</t>
  </si>
  <si>
    <t>http://public.eblib.com/choice/PublicFullRecord.aspx?p=4796797</t>
  </si>
  <si>
    <t>L'alimentation, du big bang au Big crunch</t>
  </si>
  <si>
    <t>Tessier, Yves</t>
  </si>
  <si>
    <t>GT2850.T47 2013</t>
  </si>
  <si>
    <t>http://public.eblib.com/choice/PublicFullRecord.aspx?p=4796798</t>
  </si>
  <si>
    <t>Repenser le vieillissement</t>
  </si>
  <si>
    <t>Hadler, Nortin</t>
  </si>
  <si>
    <t>http://public.eblib.com/choice/PublicFullRecord.aspx?p=4796800</t>
  </si>
  <si>
    <t>Les collectivités locales au coeur de l’intégration des immigrants en régions : Pratiques enjeux et défis</t>
  </si>
  <si>
    <t>Vatz-Laaroussi, Michèle</t>
  </si>
  <si>
    <t>http://public.eblib.com/choice/PublicFullRecord.aspx?p=4796802</t>
  </si>
  <si>
    <t>Le paysage entre art et politique</t>
  </si>
  <si>
    <t>Mercier, Guy</t>
  </si>
  <si>
    <t>http://public.eblib.com/choice/PublicFullRecord.aspx?p=4796807</t>
  </si>
  <si>
    <t>Construction de savoirs et de pratiques professionnelles : Le double jeu de la recherche collaborative</t>
  </si>
  <si>
    <t>Bourassa, Bruno</t>
  </si>
  <si>
    <t>http://public.eblib.com/choice/PublicFullRecord.aspx?p=4796808</t>
  </si>
  <si>
    <t>Les archives du Vatican : pistes et défis pour la recherche au Québec et en Amérique française</t>
  </si>
  <si>
    <t>Pâquet, Martin</t>
  </si>
  <si>
    <t>http://public.eblib.com/choice/PublicFullRecord.aspx?p=4796809</t>
  </si>
  <si>
    <t>Des apories de l'universalisme aux promesses de l'universel (actes 2009)</t>
  </si>
  <si>
    <t>Ali-Khodja, Mourad</t>
  </si>
  <si>
    <t>http://public.eblib.com/choice/PublicFullRecord.aspx?p=4796811</t>
  </si>
  <si>
    <t>Repenser les familles et ses transitions : Repenser les politiques publiques</t>
  </si>
  <si>
    <t>Sociétés et Population</t>
  </si>
  <si>
    <t>Gaudet, Stéphanie</t>
  </si>
  <si>
    <t>http://public.eblib.com/choice/PublicFullRecord.aspx?p=4796812</t>
  </si>
  <si>
    <t>Pour des équipes responsables : Une démarche d’acquisition de l’autonomie</t>
  </si>
  <si>
    <t>Charette, Louise</t>
  </si>
  <si>
    <t>http://public.eblib.com/choice/PublicFullRecord.aspx?p=4796822</t>
  </si>
  <si>
    <t>Monseigneur Joseph Charbonneau : Bouc émissaire d'une lutte de pouvoir</t>
  </si>
  <si>
    <t>http://public.eblib.com/choice/PublicFullRecord.aspx?p=4796823</t>
  </si>
  <si>
    <t>Les dynamiques d'insertion et d'intégration en emploi dans tous leurs états : Événements-clés, et enjeux particuliers du cheminement professionnel</t>
  </si>
  <si>
    <t>Fournier, Geneviève</t>
  </si>
  <si>
    <t>http://public.eblib.com/choice/PublicFullRecord.aspx?p=4796824</t>
  </si>
  <si>
    <t>Pour une reconnaissance de la laïcité au Québec : Enjeux philosophiques et politiques</t>
  </si>
  <si>
    <t>http://public.eblib.com/choice/PublicFullRecord.aspx?p=4796827</t>
  </si>
  <si>
    <t>Le parlementarisme canadien (5e édition, revue et mise à jour)</t>
  </si>
  <si>
    <t>Tremblay, Manon</t>
  </si>
  <si>
    <t>http://public.eblib.com/choice/PublicFullRecord.aspx?p=4796829</t>
  </si>
  <si>
    <t>Trousse de suppléance au préscolaire et au primaire</t>
  </si>
  <si>
    <t>Profession Prof</t>
  </si>
  <si>
    <t>Morin, Marie-Eve; Eve-Lyne, Bergeron</t>
  </si>
  <si>
    <t>http://public.eblib.com/choice/PublicFullRecord.aspx?p=4796830</t>
  </si>
  <si>
    <t>Joseph-Charles Taché polygraphe</t>
  </si>
  <si>
    <t>Goyette, Julien</t>
  </si>
  <si>
    <t>http://public.eblib.com/choice/PublicFullRecord.aspx?p=4796831</t>
  </si>
  <si>
    <t>Histoire du mouvement étudiant québécois 1956-2013 : Des Trois Braves aux carrés rouges</t>
  </si>
  <si>
    <t>Simard, Marc</t>
  </si>
  <si>
    <t>http://public.eblib.com/choice/PublicFullRecord.aspx?p=4796833</t>
  </si>
  <si>
    <t>Henri Bourassa : L’homme, le journaliste et le politicien Tome 1</t>
  </si>
  <si>
    <t>Bélanger, Réal</t>
  </si>
  <si>
    <t>http://public.eblib.com/choice/PublicFullRecord.aspx?p=4796837</t>
  </si>
  <si>
    <t>Pour un Québec vert et bleu : Le virage vert, l’économie et la gouvernance</t>
  </si>
  <si>
    <t>Feuille de Route Pour une Transition</t>
  </si>
  <si>
    <t>http://public.eblib.com/choice/PublicFullRecord.aspx?p=4796838</t>
  </si>
  <si>
    <t>Le professeur</t>
  </si>
  <si>
    <t>La Rochelle, Réal</t>
  </si>
  <si>
    <t>http://public.eblib.com/choice/PublicFullRecord.aspx?p=4796839</t>
  </si>
  <si>
    <t>Le mouvement Occupy : Nous sommes les 99 %</t>
  </si>
  <si>
    <t>Rebick, Judy; Catherine, Ego</t>
  </si>
  <si>
    <t>http://public.eblib.com/choice/PublicFullRecord.aspx?p=4796842</t>
  </si>
  <si>
    <t>Les affluents partagés : À propos de l'oeuvre d'Yvan Lamonde</t>
  </si>
  <si>
    <t>Livernois, Jonathan</t>
  </si>
  <si>
    <t>971.40072/02</t>
  </si>
  <si>
    <t>http://public.eblib.com/choice/PublicFullRecord.aspx?p=4796843</t>
  </si>
  <si>
    <t>Les infirmières des colonies : Soins et médicalisation dans les régions du Québec, 1932-1972</t>
  </si>
  <si>
    <t>Infirmières, Communautés, Société</t>
  </si>
  <si>
    <t>Rousseau, Nicole; Johanne, Daigle</t>
  </si>
  <si>
    <t>http://public.eblib.com/choice/PublicFullRecord.aspx?p=4796847</t>
  </si>
  <si>
    <t>Les Amériques transculturelles : Les stéréotypes du jeu à somme nulle et du jeu à somme non-nulle</t>
  </si>
  <si>
    <t>Patrick, Imbert</t>
  </si>
  <si>
    <t>http://public.eblib.com/choice/PublicFullRecord.aspx?p=4796848</t>
  </si>
  <si>
    <t>Physiopathologie respiratoire appliquée</t>
  </si>
  <si>
    <t>Boulet, Louis-Philippe</t>
  </si>
  <si>
    <t>http://public.eblib.com/choice/PublicFullRecord.aspx?p=4796849</t>
  </si>
  <si>
    <t>La maltraitance envers les aînés : Changer le regard</t>
  </si>
  <si>
    <t>Beaulieu, Marie; Bergeron-Patenaude</t>
  </si>
  <si>
    <t>http://public.eblib.com/choice/PublicFullRecord.aspx?p=4796850</t>
  </si>
  <si>
    <t>Familles et presbytères</t>
  </si>
  <si>
    <t>http://public.eblib.com/choice/PublicFullRecord.aspx?p=4796851</t>
  </si>
  <si>
    <t>Histoire du Centre-du-Québec</t>
  </si>
  <si>
    <t>Histoire des regions</t>
  </si>
  <si>
    <t>Bellavance, Claude; Rousseau, Yvan; Institut national de la recherche scientifique (Québec) Staff</t>
  </si>
  <si>
    <t>http://public.eblib.com/choice/PublicFullRecord.aspx?p=4796852</t>
  </si>
  <si>
    <t>La gestion de la formation et du développement des ressources humaines : Pour préserver et accroître le capital compétence de l'organisation, 2&lt;sup&gt;e&lt;/sup&gt; édition</t>
  </si>
  <si>
    <t>http://public.eblib.com/choice/PublicFullRecord.aspx?p=4796853</t>
  </si>
  <si>
    <t>Quelle éthique pour la finance? : Portrait et analyse de la finance socialement responsable</t>
  </si>
  <si>
    <t>Lacroix, André</t>
  </si>
  <si>
    <t>174/.4</t>
  </si>
  <si>
    <t>http://public.eblib.com/choice/PublicFullRecord.aspx?p=4796854</t>
  </si>
  <si>
    <t>Le travail social : Théories, méthodologies et pratiques</t>
  </si>
  <si>
    <t>Harper, Elizabeth</t>
  </si>
  <si>
    <t>http://public.eblib.com/choice/PublicFullRecord.aspx?p=4796856</t>
  </si>
  <si>
    <t>Orthographe et populations exceptionnelles : perspectives didactiques</t>
  </si>
  <si>
    <t>Daigle, Daniel</t>
  </si>
  <si>
    <t>http://public.eblib.com/choice/PublicFullRecord.aspx?p=4796857</t>
  </si>
  <si>
    <t>L'accessibilité aux études postsecondaires : Un projet inachevé</t>
  </si>
  <si>
    <t>Chenard, Pierre</t>
  </si>
  <si>
    <t>378.1/61</t>
  </si>
  <si>
    <t>http://public.eblib.com/choice/PublicFullRecord.aspx?p=4796858</t>
  </si>
  <si>
    <t>Sens et projet de vie : Une démarche universitaire au mitan de la vie</t>
  </si>
  <si>
    <t>Gómez González, Luis Adolfo</t>
  </si>
  <si>
    <t>128/.4</t>
  </si>
  <si>
    <t>http://public.eblib.com/choice/PublicFullRecord.aspx?p=4796859</t>
  </si>
  <si>
    <t>Apprendre en situations : Un analyseur de la professionnalisation dans les métiers adressés à autrui</t>
  </si>
  <si>
    <t>http://public.eblib.com/choice/PublicFullRecord.aspx?p=4796860</t>
  </si>
  <si>
    <t>Équité en emploi - Équité salariale</t>
  </si>
  <si>
    <t>Legault, Marie-Josée</t>
  </si>
  <si>
    <t>331.2/15309714</t>
  </si>
  <si>
    <t>http://public.eblib.com/choice/PublicFullRecord.aspx?p=4796862</t>
  </si>
  <si>
    <t>Catalogue des imprimés des XVe et XVIe siècles dans les collections de l'Université du Québec à Montréal</t>
  </si>
  <si>
    <t>Dunn-Lardeau, Brenda</t>
  </si>
  <si>
    <t>http://public.eblib.com/choice/PublicFullRecord.aspx?p=4796863</t>
  </si>
  <si>
    <t>L'apprentissage à travers des situations-problèmes mathématiques : Bases théoriques et réalisation pratique</t>
  </si>
  <si>
    <t>Theis, Laurent</t>
  </si>
  <si>
    <t>372.7/044</t>
  </si>
  <si>
    <t>http://public.eblib.com/choice/PublicFullRecord.aspx?p=4796864</t>
  </si>
  <si>
    <t>Analyse et représentation documentaires : Introduction à l'indexation, à la classification et à la condensation des documents</t>
  </si>
  <si>
    <t>Hudon, Michèle</t>
  </si>
  <si>
    <t>025.4/7</t>
  </si>
  <si>
    <t>http://public.eblib.com/choice/PublicFullRecord.aspx?p=4796866</t>
  </si>
  <si>
    <t>Formation continue, recherche et partenariat : Pour construire la collaboration entre l'université et le milieu scolaire</t>
  </si>
  <si>
    <t>Landry, Carol</t>
  </si>
  <si>
    <t>370.71/55</t>
  </si>
  <si>
    <t>http://public.eblib.com/choice/PublicFullRecord.aspx?p=4796867</t>
  </si>
  <si>
    <t>Droit de cité pour le patrimoine</t>
  </si>
  <si>
    <t>Leniaud, Jean-Michel</t>
  </si>
  <si>
    <t>http://public.eblib.com/choice/PublicFullRecord.aspx?p=4796869</t>
  </si>
  <si>
    <t>nouvel ordre constitutionnel canadien : Du rapatriement de 1982 à nos jours</t>
  </si>
  <si>
    <t>Rocher, François</t>
  </si>
  <si>
    <t>http://public.eblib.com/choice/PublicFullRecord.aspx?p=4796871</t>
  </si>
  <si>
    <t>Responsabilité sociétale de l'organisation : Exercices, cas et fondements</t>
  </si>
  <si>
    <t>Turcotte, Marie-France</t>
  </si>
  <si>
    <t>http://public.eblib.com/choice/PublicFullRecord.aspx?p=4796872</t>
  </si>
  <si>
    <t>La souffrance à l’épreuve de la pensée</t>
  </si>
  <si>
    <t>Moreau, Nicolas</t>
  </si>
  <si>
    <t>155.9/3</t>
  </si>
  <si>
    <t>http://public.eblib.com/choice/PublicFullRecord.aspx?p=4796873</t>
  </si>
  <si>
    <t>Personnage virtuel et corps performatif : Effets de présence</t>
  </si>
  <si>
    <t>Bourassa, Renée</t>
  </si>
  <si>
    <t>http://public.eblib.com/choice/PublicFullRecord.aspx?p=4796874</t>
  </si>
  <si>
    <t>Les retombées de l'entrepreneuriat éducatif : Du primaire à l'université</t>
  </si>
  <si>
    <t>Samson, Ghislain</t>
  </si>
  <si>
    <t>658.4/21</t>
  </si>
  <si>
    <t>http://public.eblib.com/choice/PublicFullRecord.aspx?p=4796875</t>
  </si>
  <si>
    <t>Traitement numérique des signaux : 3e édition</t>
  </si>
  <si>
    <t>Gargour, Christian S.</t>
  </si>
  <si>
    <t>621.382/2</t>
  </si>
  <si>
    <t>http://public.eblib.com/choice/PublicFullRecord.aspx?p=4796877</t>
  </si>
  <si>
    <t>Créer et partager la prospérité : Sortir l’économie canadienne de l’impasse</t>
  </si>
  <si>
    <t>Bellemare, Diane</t>
  </si>
  <si>
    <t>http://public.eblib.com/choice/PublicFullRecord.aspx?p=4796878</t>
  </si>
  <si>
    <t>Gastronomie québécoise et patrimoine</t>
  </si>
  <si>
    <t>Aubertin, Marie-Noëlle</t>
  </si>
  <si>
    <t>http://public.eblib.com/choice/PublicFullRecord.aspx?p=4796880</t>
  </si>
  <si>
    <t>Le développement d'institutions  inclusives en contexte de  diversité : Recherche, formation, partenariat</t>
  </si>
  <si>
    <t>379.2/6309714</t>
  </si>
  <si>
    <t>http://public.eblib.com/choice/PublicFullRecord.aspx?p=4796882</t>
  </si>
  <si>
    <t>La «Révolution coopérative» : Un jalon d’histoire de la pensée sociale au Québec. Notes de cours en philosophie de la coopération de Georges-Henri Lévesque</t>
  </si>
  <si>
    <t>Lévesque, Georges-Henri</t>
  </si>
  <si>
    <t>http://public.eblib.com/choice/PublicFullRecord.aspx?p=4796884</t>
  </si>
  <si>
    <t>Sortir des sentiers battus : pratiques prometteuses auprès d'adultes dépendants</t>
  </si>
  <si>
    <t>Plourde, Chantal</t>
  </si>
  <si>
    <t>http://public.eblib.com/choice/PublicFullRecord.aspx?p=4796885</t>
  </si>
  <si>
    <t>L’intervention en santé et sécurité au travail : Comprendre et intervenir</t>
  </si>
  <si>
    <t>Montreuil, Sylvie</t>
  </si>
  <si>
    <t>http://public.eblib.com/choice/PublicFullRecord.aspx?p=4796886</t>
  </si>
  <si>
    <t>Les sénateurs qui changent le monde : Le président de la Commission du Sénat américain sur les Relations extérieures et la politique étrangère des États-Unis après 1945</t>
  </si>
  <si>
    <t>http://public.eblib.com/choice/PublicFullRecord.aspx?p=4796887</t>
  </si>
  <si>
    <t>Sociétés de migrations en débat : Québec-Canada-Suisse : approches comparées</t>
  </si>
  <si>
    <t>Hauser, Claude</t>
  </si>
  <si>
    <t>http://public.eblib.com/choice/PublicFullRecord.aspx?p=4796889</t>
  </si>
  <si>
    <t>L’intimidation en milieu scolaire : Un guide d’intervention</t>
  </si>
  <si>
    <t>Leblanc, Christel</t>
  </si>
  <si>
    <t>371.5/8</t>
  </si>
  <si>
    <t>http://public.eblib.com/choice/PublicFullRecord.aspx?p=4796890</t>
  </si>
  <si>
    <t>Sociologie du Québec en mutation : Aux origines de la Révolution tranquille</t>
  </si>
  <si>
    <t>Falardeau, Jean-Charles</t>
  </si>
  <si>
    <t>http://public.eblib.com/choice/PublicFullRecord.aspx?p=4796891</t>
  </si>
  <si>
    <t>Parce qu’ils y ont cru, on le voit! : Le Séminaire de Québec célèbre ses 350 ans</t>
  </si>
  <si>
    <t>http://public.eblib.com/choice/PublicFullRecord.aspx?p=4796896</t>
  </si>
  <si>
    <t>Travail et syndicalisme : Origines, évolution et défis d’une action sociale (4e édition)</t>
  </si>
  <si>
    <t>Thwaites, James</t>
  </si>
  <si>
    <t>HD6529.Q4T73 2014</t>
  </si>
  <si>
    <t>http://public.eblib.com/choice/PublicFullRecord.aspx?p=4796897</t>
  </si>
  <si>
    <t>Souvenirs et réminiscences / Glimpses &amp; Reminiscenses de James McPherson Le Moine. Édition princeps bilingue commentée et annotée par Roger Le Moine</t>
  </si>
  <si>
    <t>Cahiers du Journalisme</t>
  </si>
  <si>
    <t>Le Moine, James McPherson; Roger, Le Moine</t>
  </si>
  <si>
    <t>http://public.eblib.com/choice/PublicFullRecord.aspx?p=4796898</t>
  </si>
  <si>
    <t>La grève étudiante : De la rue au fil de presse</t>
  </si>
  <si>
    <t>Millette, Josianne</t>
  </si>
  <si>
    <t>http://public.eblib.com/choice/PublicFullRecord.aspx?p=4796899</t>
  </si>
  <si>
    <t>D’où vient l’emploi ? 2e édition</t>
  </si>
  <si>
    <t>Hanin, Frédéric</t>
  </si>
  <si>
    <t>http://public.eblib.com/choice/PublicFullRecord.aspx?p=4796900</t>
  </si>
  <si>
    <t>«Le livre aimé du peuple» : Les almanachs québécois de 1777 à nos jours</t>
  </si>
  <si>
    <t>Lüsebrink, Hans-Jurgen; Leusebrink, Hans-Jeurgen</t>
  </si>
  <si>
    <t>AY417.L968 2014</t>
  </si>
  <si>
    <t>Culture populaire / Quaebec (Province) / Histoire</t>
  </si>
  <si>
    <t>http://public.eblib.com/choice/PublicFullRecord.aspx?p=4796901</t>
  </si>
  <si>
    <t>Entreprise, management et territoire : Le management des implantations territoriales à l’ère de l’entreprise-réseau</t>
  </si>
  <si>
    <t>Grague, Gilles</t>
  </si>
  <si>
    <t>http://public.eblib.com/choice/PublicFullRecord.aspx?p=4796902</t>
  </si>
  <si>
    <t>Écraser la maladie : réduction et abandon du tabagisme</t>
  </si>
  <si>
    <t>Els, Charl</t>
  </si>
  <si>
    <t>http://public.eblib.com/choice/PublicFullRecord.aspx?p=4796904</t>
  </si>
  <si>
    <t>Disease Interrupted : Tobacco Reduction and Cessation</t>
  </si>
  <si>
    <t>Els, Charl; Kunyk, Dr Diane; Selby, Peter</t>
  </si>
  <si>
    <t>http://public.eblib.com/choice/PublicFullRecord.aspx?p=4796905</t>
  </si>
  <si>
    <t>Sémantique conceptuelle du français</t>
  </si>
  <si>
    <t>Ouellet, Jacques</t>
  </si>
  <si>
    <t>http://public.eblib.com/choice/PublicFullRecord.aspx?p=4796906</t>
  </si>
  <si>
    <t>Le droit des affaires appliqué, 2e édition revue et corrigée</t>
  </si>
  <si>
    <t>Pinault, Martin</t>
  </si>
  <si>
    <t>http://public.eblib.com/choice/PublicFullRecord.aspx?p=4796908</t>
  </si>
  <si>
    <t>La lettre et la mère : roman familial et écriture de la passion chez Suzanne Necker et Germaine de Staël</t>
  </si>
  <si>
    <t>Dubeau, Catherine</t>
  </si>
  <si>
    <t>PQ637.W64D83 2013</t>
  </si>
  <si>
    <t>848/.609</t>
  </si>
  <si>
    <t>http://public.eblib.com/choice/PublicFullRecord.aspx?p=4796909</t>
  </si>
  <si>
    <t>Plantes transgéniques : quelle évaluation éthique ?</t>
  </si>
  <si>
    <t>Baudoin, Catherine</t>
  </si>
  <si>
    <t>http://public.eblib.com/choice/PublicFullRecord.aspx?p=4796911</t>
  </si>
  <si>
    <t>La surqualification au Québec et au Canada</t>
  </si>
  <si>
    <t>Vultur, Mircea</t>
  </si>
  <si>
    <t>http://public.eblib.com/choice/PublicFullRecord.aspx?p=4796912</t>
  </si>
  <si>
    <t>Les politiques du marché du travail face à la crise économique : Vers une convergence internationale</t>
  </si>
  <si>
    <t>Amine, Samir</t>
  </si>
  <si>
    <t>332.12/042</t>
  </si>
  <si>
    <t>http://public.eblib.com/choice/PublicFullRecord.aspx?p=4796913</t>
  </si>
  <si>
    <t>L'hôte maladroit : La matière du mythe</t>
  </si>
  <si>
    <t>http://public.eblib.com/choice/PublicFullRecord.aspx?p=4796914</t>
  </si>
  <si>
    <t>C’est votre première guerre ? Voyages dans le monde islamique après le 11 Septembre</t>
  </si>
  <si>
    <t>http://public.eblib.com/choice/PublicFullRecord.aspx?p=4796915</t>
  </si>
  <si>
    <t>Composer avec la mort de Dieu : Littérature et athéisme au XIXe siècle</t>
  </si>
  <si>
    <t>Thériault, Patrick; Jean-Jacques, Hamm</t>
  </si>
  <si>
    <t>BL2759.C737 2014</t>
  </si>
  <si>
    <t>Atheism and literature - History - 19th century</t>
  </si>
  <si>
    <t>http://public.eblib.com/choice/PublicFullRecord.aspx?p=4796916</t>
  </si>
  <si>
    <t>Assieds-toi et écris ta thèse! Trucs pratiques et motivationnels</t>
  </si>
  <si>
    <t>Belleville, Geneviève</t>
  </si>
  <si>
    <t>http://public.eblib.com/choice/PublicFullRecord.aspx?p=4796917</t>
  </si>
  <si>
    <t>Jeux interdits : Essai sur le Décalogue de Kieslowski</t>
  </si>
  <si>
    <t>Vaillancourt, Yves; Vaillancourt, Yves</t>
  </si>
  <si>
    <t>Kieaslowski, Krzysztof - Criticism and interpretation</t>
  </si>
  <si>
    <t>http://public.eblib.com/choice/PublicFullRecord.aspx?p=4796918</t>
  </si>
  <si>
    <t>Penser l’incertain : Actes des séances plénières du XIXe congrès de l’Association internationale des sociologues de langue française</t>
  </si>
  <si>
    <t>Vrancken, Didier</t>
  </si>
  <si>
    <t>http://public.eblib.com/choice/PublicFullRecord.aspx?p=4796919</t>
  </si>
  <si>
    <t>Maria Chapdelaine : Récit du Canada français (Le manuscrit original). Texte établi, introduit et annoté par Árpád Vígh</t>
  </si>
  <si>
    <t>Hémon, Louis; Louis, H</t>
  </si>
  <si>
    <t>http://public.eblib.com/choice/PublicFullRecord.aspx?p=4796920</t>
  </si>
  <si>
    <t>Femmes et humour</t>
  </si>
  <si>
    <t>Falardeau, Mira</t>
  </si>
  <si>
    <t>http://public.eblib.com/choice/PublicFullRecord.aspx?p=4796921</t>
  </si>
  <si>
    <t>Controverses sur l’individualisme</t>
  </si>
  <si>
    <t>Martucelli, Danilo; Danilo, Martucelli</t>
  </si>
  <si>
    <t>http://public.eblib.com/choice/PublicFullRecord.aspx?p=4796922</t>
  </si>
  <si>
    <t>Francophones et citoyens du monde : identités, éducation et engagement</t>
  </si>
  <si>
    <t>Pilote, Annie</t>
  </si>
  <si>
    <t>http://public.eblib.com/choice/PublicFullRecord.aspx?p=4796923</t>
  </si>
  <si>
    <t>La publicité déchet culturel</t>
  </si>
  <si>
    <t>http://public.eblib.com/choice/PublicFullRecord.aspx?p=4796924</t>
  </si>
  <si>
    <t>La Nouvelle-France : Les Français en Amérique du Nord XVIe-XVIIIe siècle (2e édition)</t>
  </si>
  <si>
    <t>Mathieu, Jacques</t>
  </si>
  <si>
    <t>http://public.eblib.com/choice/PublicFullRecord.aspx?p=4796927</t>
  </si>
  <si>
    <t>La démarche d’une recherche en sciences humaines : De la question de départ à la communication des résultats (2e édition)</t>
  </si>
  <si>
    <t>Méthodes Rech. Scien. Humaines</t>
  </si>
  <si>
    <t>Dépelteau, François</t>
  </si>
  <si>
    <t>http://public.eblib.com/choice/PublicFullRecord.aspx?p=4796928</t>
  </si>
  <si>
    <t>La dissertation historique : Guide d’élaboration  et de rédaction (2e édition)</t>
  </si>
  <si>
    <t>Sanfaçon, André</t>
  </si>
  <si>
    <t>http://public.eblib.com/choice/PublicFullRecord.aspx?p=4796931</t>
  </si>
  <si>
    <t>Sang sucré, pouvoirs codés, médecine amère : Diabète et processus de construction identitaire : les dimensions socio-politiques du diabète chez les Innus de Pessamit</t>
  </si>
  <si>
    <t>Roy, Bernard</t>
  </si>
  <si>
    <t>http://public.eblib.com/choice/PublicFullRecord.aspx?p=4796933</t>
  </si>
  <si>
    <t>L'état et le changement agricole dans Charlevoix (1850-1950)</t>
  </si>
  <si>
    <t>Perron, Normand</t>
  </si>
  <si>
    <t>http://public.eblib.com/choice/PublicFullRecord.aspx?p=4796936</t>
  </si>
  <si>
    <t>Le rêve et la forêt : Histoire de chamanes nabesna</t>
  </si>
  <si>
    <t>Guédon, Marie-Françoise</t>
  </si>
  <si>
    <t>http://public.eblib.com/choice/PublicFullRecord.aspx?p=4796942</t>
  </si>
  <si>
    <t>L'eau et ses enjeux</t>
  </si>
  <si>
    <t>Anctil, François</t>
  </si>
  <si>
    <t>http://public.eblib.com/choice/PublicFullRecord.aspx?p=4796949</t>
  </si>
  <si>
    <t>Introduction au travail social (2e édition)</t>
  </si>
  <si>
    <t>Hurtubise, Yves; Yves, Hurtubise</t>
  </si>
  <si>
    <t>http://public.eblib.com/choice/PublicFullRecord.aspx?p=4796950</t>
  </si>
  <si>
    <t>L'épée et la plume : Amérindiens et soldats des troupes de la marine en Louisiane et au Pays d’en Haut (1683-1763)</t>
  </si>
  <si>
    <t>Balvay, Arnaud</t>
  </si>
  <si>
    <t>http://public.eblib.com/choice/PublicFullRecord.aspx?p=4796951</t>
  </si>
  <si>
    <t>Patient et citoyen : Réformer le système de santé dans l'intérêt du patient et non du système</t>
  </si>
  <si>
    <t>Nortin, Hadler; Fernand, Turcotte</t>
  </si>
  <si>
    <t>http://public.eblib.com/choice/PublicFullRecord.aspx?p=4796953</t>
  </si>
  <si>
    <t>Rites de passage au XXIe siècle : Entre nouveaux rites et rites recyclés</t>
  </si>
  <si>
    <t>http://public.eblib.com/choice/PublicFullRecord.aspx?p=4796954</t>
  </si>
  <si>
    <t>La philosophie comme mode de vie</t>
  </si>
  <si>
    <t>Desroches, Daniel</t>
  </si>
  <si>
    <t>http://public.eblib.com/choice/PublicFullRecord.aspx?p=4796955</t>
  </si>
  <si>
    <t>L'approche de médiation en protection de la jeunesse et en droit pénal juvénile</t>
  </si>
  <si>
    <t>Bernard, Luc</t>
  </si>
  <si>
    <t>http://public.eblib.com/choice/PublicFullRecord.aspx?p=4796956</t>
  </si>
  <si>
    <t>La formation en ligne : Les conseillers et ingénieurs pédagogiques. 20 études de cas</t>
  </si>
  <si>
    <t>Potvin, Claude</t>
  </si>
  <si>
    <t>http://public.eblib.com/choice/PublicFullRecord.aspx?p=4796957</t>
  </si>
  <si>
    <t>Un cégep dans la rue : La grève étudiante de 2012 au Cégep régional de Lanaudière à Joliette</t>
  </si>
  <si>
    <t>Trudel, Flavie</t>
  </si>
  <si>
    <t>http://public.eblib.com/choice/PublicFullRecord.aspx?p=4796958</t>
  </si>
  <si>
    <t>Théorisations sur le droit des contrats : propositions exploratoires</t>
  </si>
  <si>
    <t>Bélanger, André</t>
  </si>
  <si>
    <t>http://public.eblib.com/choice/PublicFullRecord.aspx?p=4796959</t>
  </si>
  <si>
    <t>Denys Arcand : Mille plateaux</t>
  </si>
  <si>
    <t>http://public.eblib.com/choice/PublicFullRecord.aspx?p=4796960</t>
  </si>
  <si>
    <t>Clio en Acadie : Réflexions historiques</t>
  </si>
  <si>
    <t>Clarke, Patrick D.</t>
  </si>
  <si>
    <t>http://public.eblib.com/choice/PublicFullRecord.aspx?p=4796961</t>
  </si>
  <si>
    <t>Prendre soin à domicile...  une question de liens entre humains</t>
  </si>
  <si>
    <t>Paquet, Mario</t>
  </si>
  <si>
    <t>http://public.eblib.com/choice/PublicFullRecord.aspx?p=4796963</t>
  </si>
  <si>
    <t>Justice et espaces publics en Occident, du Moyen Âge à nos jours : Pouvoirs, publicité et citoyenneté</t>
  </si>
  <si>
    <t>Bastien, Pascal</t>
  </si>
  <si>
    <t>340/.11</t>
  </si>
  <si>
    <t>http://public.eblib.com/choice/PublicFullRecord.aspx?p=4796965</t>
  </si>
  <si>
    <t>Le soutien aux familles d’enfants gravement malades : Regards sur des pratiques novatrices</t>
  </si>
  <si>
    <t>Champagne, Manon</t>
  </si>
  <si>
    <t>362.17/508309714</t>
  </si>
  <si>
    <t>http://public.eblib.com/choice/PublicFullRecord.aspx?p=4796967</t>
  </si>
  <si>
    <t>Le trouble du spectre de l'autisme : État des connaissances</t>
  </si>
  <si>
    <t>Poirier, Nathalie</t>
  </si>
  <si>
    <t>616.85/882</t>
  </si>
  <si>
    <t>http://public.eblib.com/choice/PublicFullRecord.aspx?p=4796968</t>
  </si>
  <si>
    <t>Innover au féminin : Savoir se dépasser - Intraprendre</t>
  </si>
  <si>
    <t>http://public.eblib.com/choice/PublicFullRecord.aspx?p=4796973</t>
  </si>
  <si>
    <t>L'école à la maison au Québec : Un projet familial, social et démocratique</t>
  </si>
  <si>
    <t>Brabant, Christine</t>
  </si>
  <si>
    <t>371.04/209714</t>
  </si>
  <si>
    <t>http://public.eblib.com/choice/PublicFullRecord.aspx?p=4796975</t>
  </si>
  <si>
    <t>Le travail social et la nouvelle gestion publique</t>
  </si>
  <si>
    <t>Bellot, Céline</t>
  </si>
  <si>
    <t>361.3/209714</t>
  </si>
  <si>
    <t>http://public.eblib.com/choice/PublicFullRecord.aspx?p=4796976</t>
  </si>
  <si>
    <t>La prise de décision en éthique clinique : Perspectives micro, méso et macro</t>
  </si>
  <si>
    <t>Farmer, Yanick</t>
  </si>
  <si>
    <t>http://public.eblib.com/choice/PublicFullRecord.aspx?p=4796977</t>
  </si>
  <si>
    <t>Violences envers les femmes : Réalités complexes et nouveaux enjeux dans un monde en transformation</t>
  </si>
  <si>
    <t>Rinfret-Raynor, Maryse</t>
  </si>
  <si>
    <t>http://public.eblib.com/choice/PublicFullRecord.aspx?p=4796979</t>
  </si>
  <si>
    <t>Ouvrages phares de la Réforme et de la Contre-Réforme dans les collections montréalaises</t>
  </si>
  <si>
    <t>http://public.eblib.com/choice/PublicFullRecord.aspx?p=4796984</t>
  </si>
  <si>
    <t>Vers une nouvelle géographie économique</t>
  </si>
  <si>
    <t>http://public.eblib.com/choice/PublicFullRecord.aspx?p=4796985</t>
  </si>
  <si>
    <t>Les travailleurs pauvres : Précarisation du marché du travail, érosion des protections sociales et initiatives citoyennes</t>
  </si>
  <si>
    <t>Ulysse, Pierre-Joseph</t>
  </si>
  <si>
    <t>http://public.eblib.com/choice/PublicFullRecord.aspx?p=4796986</t>
  </si>
  <si>
    <t>Données d'observation et gestion de l'apprentissage : Guide à l'intention des communautés d'apprentissage professionnelles</t>
  </si>
  <si>
    <t>Éducation - Intervention</t>
  </si>
  <si>
    <t>http://public.eblib.com/choice/PublicFullRecord.aspx?p=4796987</t>
  </si>
  <si>
    <t>La coopération internationale solidaire : Plus pertinente que jamais</t>
  </si>
  <si>
    <t>Cliche, Paul</t>
  </si>
  <si>
    <t>http://public.eblib.com/choice/PublicFullRecord.aspx?p=4796988</t>
  </si>
  <si>
    <t>Design communautique appliqué aux systèmes sociaux numériques : Fondements communicationnels, théories et méthodologies</t>
  </si>
  <si>
    <t>Communication</t>
  </si>
  <si>
    <t>Harvey, Pierre-Léonard</t>
  </si>
  <si>
    <t>http://public.eblib.com/choice/PublicFullRecord.aspx?p=4796989</t>
  </si>
  <si>
    <t>Changements climatiques et biodiversité du Québec : Vers un nouveau patrimoine naturel</t>
  </si>
  <si>
    <t>Berteaux, Dominique</t>
  </si>
  <si>
    <t>http://public.eblib.com/choice/PublicFullRecord.aspx?p=4796990</t>
  </si>
  <si>
    <t>Fondements pratiques de l’immobilier</t>
  </si>
  <si>
    <t>Özdilek, Ünsal</t>
  </si>
  <si>
    <t>333.33/82</t>
  </si>
  <si>
    <t>http://public.eblib.com/choice/PublicFullRecord.aspx?p=4796991</t>
  </si>
  <si>
    <t>Le dispositif &lt;i&gt;embedding&lt;/i&gt; : Surveillance et intégration des journalistes en Irak</t>
  </si>
  <si>
    <t>Bizimana, Aimé-Jules</t>
  </si>
  <si>
    <t>070.4/4995670443</t>
  </si>
  <si>
    <t>http://public.eblib.com/choice/PublicFullRecord.aspx?p=4796992</t>
  </si>
  <si>
    <t>L'innovation sociale : Les marches d'une construction théorique et pratique</t>
  </si>
  <si>
    <t>Lévesque, Benoît</t>
  </si>
  <si>
    <t>http://public.eblib.com/choice/PublicFullRecord.aspx?p=4796994</t>
  </si>
  <si>
    <t>Autisme et TSA : quelles réalités pour les parents au Québec? : Santé et bien-être des parents d'enfant ayant un trouble dans le spectre de l'autisme au Québec</t>
  </si>
  <si>
    <t>des Rivières-Pigeon, Catherine</t>
  </si>
  <si>
    <t>618.92/85882</t>
  </si>
  <si>
    <t>http://public.eblib.com/choice/PublicFullRecord.aspx?p=4796995</t>
  </si>
  <si>
    <t>Hydraulique et hydrologie, 3e édition</t>
  </si>
  <si>
    <t>Bennis, Saad</t>
  </si>
  <si>
    <t>620.1/06</t>
  </si>
  <si>
    <t>http://public.eblib.com/choice/PublicFullRecord.aspx?p=4796996</t>
  </si>
  <si>
    <t>Les défis québécois : Conjonctures et transitions</t>
  </si>
  <si>
    <t>http://public.eblib.com/choice/PublicFullRecord.aspx?p=4796998</t>
  </si>
  <si>
    <t>Pratiques innovantes de gestion dans les offices d’habitation : De la poignée de porte à la poignée de main</t>
  </si>
  <si>
    <t>363.5/85068</t>
  </si>
  <si>
    <t>http://public.eblib.com/choice/PublicFullRecord.aspx?p=4796999</t>
  </si>
  <si>
    <t>Patrimoine mondial et développement : au défi du tourisme durable</t>
  </si>
  <si>
    <t>Gravari-Barbas, Maria</t>
  </si>
  <si>
    <t>http://public.eblib.com/choice/PublicFullRecord.aspx?p=4797000</t>
  </si>
  <si>
    <t>La qualité d'emploi des travailleurs indépendants qualifiés : Traducteurs, journalistes et avocats</t>
  </si>
  <si>
    <t>Gestion des ressources humaines et Relations industrielles</t>
  </si>
  <si>
    <t>D'Amours, Martine</t>
  </si>
  <si>
    <t>658/.041</t>
  </si>
  <si>
    <t>http://public.eblib.com/choice/PublicFullRecord.aspx?p=4797001</t>
  </si>
  <si>
    <t>La gestion des risques de sous-traitance manufacturière en Chine</t>
  </si>
  <si>
    <t>El Fadil, Jalal</t>
  </si>
  <si>
    <t>338.4/76709714</t>
  </si>
  <si>
    <t>http://public.eblib.com/choice/PublicFullRecord.aspx?p=4797002</t>
  </si>
  <si>
    <t>Les écoles juives, musulmanes et Steiner : Pluralité des voies éducatives</t>
  </si>
  <si>
    <t>Tremblay, Stéphanie</t>
  </si>
  <si>
    <t>http://public.eblib.com/choice/PublicFullRecord.aspx?p=4797003</t>
  </si>
  <si>
    <t>L'archivistique à l'ère du numérique : Les éléments fondamentaux de la discipline</t>
  </si>
  <si>
    <t>http://public.eblib.com/choice/PublicFullRecord.aspx?p=4797004</t>
  </si>
  <si>
    <t>L'expertise psycholégale, 2e édition</t>
  </si>
  <si>
    <t>Brunet, Louis</t>
  </si>
  <si>
    <t>347/.067</t>
  </si>
  <si>
    <t>http://public.eblib.com/choice/PublicFullRecord.aspx?p=4797005</t>
  </si>
  <si>
    <t>De Cora à Cora Déjeuners : Une biographie</t>
  </si>
  <si>
    <t>http://public.eblib.com/choice/PublicFullRecord.aspx?p=4797006</t>
  </si>
  <si>
    <t>Les aides technologiques à l'apprentissage pour soutenir l'inclusion scolaire</t>
  </si>
  <si>
    <t>http://public.eblib.com/choice/PublicFullRecord.aspx?p=4797007</t>
  </si>
  <si>
    <t>Un manoir canadien et ses seigneurs (1761-1861) : Cent ans d’histoire (trad.)</t>
  </si>
  <si>
    <t>Wrong, George M.</t>
  </si>
  <si>
    <t>http://public.eblib.com/choice/PublicFullRecord.aspx?p=4797009</t>
  </si>
  <si>
    <t>Les Morts de la guerre de Sept Ans au Cimetière de l’Hôpital-Général de Québec</t>
  </si>
  <si>
    <t>Bronze, Jean-Yves</t>
  </si>
  <si>
    <t>http://public.eblib.com/choice/PublicFullRecord.aspx?p=4797012</t>
  </si>
  <si>
    <t>Québécoises et représentation parlementaire</t>
  </si>
  <si>
    <t>http://public.eblib.com/choice/PublicFullRecord.aspx?p=4797015</t>
  </si>
  <si>
    <t>Quand le Québec manquait de prêtres</t>
  </si>
  <si>
    <t>http://public.eblib.com/choice/PublicFullRecord.aspx?p=4797023</t>
  </si>
  <si>
    <t>Les Nouveaux Indiens : Une ethnographie du mouvement indianophile</t>
  </si>
  <si>
    <t>Maligne, Olivier</t>
  </si>
  <si>
    <t>http://public.eblib.com/choice/PublicFullRecord.aspx?p=4797026</t>
  </si>
  <si>
    <t>Dictionnaire des expressions et tournures calquées sur l’anglais</t>
  </si>
  <si>
    <t>Parmentier, Michel</t>
  </si>
  <si>
    <t>http://public.eblib.com/choice/PublicFullRecord.aspx?p=4797028</t>
  </si>
  <si>
    <t>Principes de logique : Définition, énonciation, raisonnement</t>
  </si>
  <si>
    <t>Thibaudeau, Victor</t>
  </si>
  <si>
    <t>http://public.eblib.com/choice/PublicFullRecord.aspx?p=4797032</t>
  </si>
  <si>
    <t>Stephen Harper : De l’école de Calgary au Parti conservateur. Les nouveaux visages du conservatisme canadien</t>
  </si>
  <si>
    <t>971.07/2092</t>
  </si>
  <si>
    <t>http://public.eblib.com/choice/PublicFullRecord.aspx?p=4797034</t>
  </si>
  <si>
    <t>Wilfrid, Laurier : Quand la politique devient passion (2e éd. revue et mise à jour)</t>
  </si>
  <si>
    <t>http://public.eblib.com/choice/PublicFullRecord.aspx?p=4797036</t>
  </si>
  <si>
    <t>Les Innus et les Euro-Canadiens : Dialogue des cultures et rapport à l’Autre à travers le temps (XVIIe-Xxe siècles)</t>
  </si>
  <si>
    <t>Gardette, Joëlle</t>
  </si>
  <si>
    <t>http://public.eblib.com/choice/PublicFullRecord.aspx?p=4797037</t>
  </si>
  <si>
    <t>Monstres et monstrueux littéraires</t>
  </si>
  <si>
    <t>Larochelle, Marie-Hélène</t>
  </si>
  <si>
    <t>http://public.eblib.com/choice/PublicFullRecord.aspx?p=4797038</t>
  </si>
  <si>
    <t>Gérard Dion : Artisan de la Révolution tranquille</t>
  </si>
  <si>
    <t>Clavette, Suzanne</t>
  </si>
  <si>
    <t>http://public.eblib.com/choice/PublicFullRecord.aspx?p=4797040</t>
  </si>
  <si>
    <t>L’eau comme patrimoine : De la Méditerranée à l’Amérique du Nord</t>
  </si>
  <si>
    <t>Patrimoine en Mouvement</t>
  </si>
  <si>
    <t>Hermon, Ella</t>
  </si>
  <si>
    <t>http://public.eblib.com/choice/PublicFullRecord.aspx?p=4797044</t>
  </si>
  <si>
    <t>La construction politique des agglomérations au Québec et en France : Territoire, gouvernement et action publique</t>
  </si>
  <si>
    <t>Mévellec, Anne</t>
  </si>
  <si>
    <t>http://public.eblib.com/choice/PublicFullRecord.aspx?p=4797046</t>
  </si>
  <si>
    <t>Une tradition d’emportement : Écrits (1945-1965). Choix de textes et présentation par Yvan Lamonde et Jonathan Livernois</t>
  </si>
  <si>
    <t>Vadeboncoeur, Pierre</t>
  </si>
  <si>
    <t>http://public.eblib.com/choice/PublicFullRecord.aspx?p=4797048</t>
  </si>
  <si>
    <t>Mario Dumont et l’Action démocratique du Québec entre populisme et démocratie</t>
  </si>
  <si>
    <t>http://public.eblib.com/choice/PublicFullRecord.aspx?p=4797049</t>
  </si>
  <si>
    <t>Mourir dans la dignité ? Soins palliatifs ou suicide assisté, un choix de société</t>
  </si>
  <si>
    <t>Béland, Jean-Pierre</t>
  </si>
  <si>
    <t>http://public.eblib.com/choice/PublicFullRecord.aspx?p=4797051</t>
  </si>
  <si>
    <t>Du tricoté serré au métissé serré? La culture publique commune au Québec en débats</t>
  </si>
  <si>
    <t>Lamoureux, Diane</t>
  </si>
  <si>
    <t>http://public.eblib.com/choice/PublicFullRecord.aspx?p=4797052</t>
  </si>
  <si>
    <t>Le parti libéral du Québec : Alliances rivalités et neutralités (2e ed.)</t>
  </si>
  <si>
    <t>http://public.eblib.com/choice/PublicFullRecord.aspx?p=4797053</t>
  </si>
  <si>
    <t>Québec, Champlain, le monde</t>
  </si>
  <si>
    <t>Pâquet, Martin; Martin, Paquet</t>
  </si>
  <si>
    <t>971.01 22</t>
  </si>
  <si>
    <t>http://public.eblib.com/choice/PublicFullRecord.aspx?p=4797056</t>
  </si>
  <si>
    <t>Le Québec vu de la Russie : Regards de l’historien Vadim Koleneko</t>
  </si>
  <si>
    <t>http://public.eblib.com/choice/PublicFullRecord.aspx?p=4797057</t>
  </si>
  <si>
    <t>«Notre maître le passé, notre maître l’avenir» : Paul Gouin et la conservation de l’héritage culturel au Québec</t>
  </si>
  <si>
    <t>Les Éditions de l'IQRC</t>
  </si>
  <si>
    <t>Hamel, Nathalie</t>
  </si>
  <si>
    <t>http://public.eblib.com/choice/PublicFullRecord.aspx?p=4797059</t>
  </si>
  <si>
    <t>Bien vieillir au quotidien</t>
  </si>
  <si>
    <t>Juhel, Jean-Charles</t>
  </si>
  <si>
    <t>http://public.eblib.com/choice/PublicFullRecord.aspx?p=4797062</t>
  </si>
  <si>
    <t>Prévenir les problèmes de santé mentale au travail : Contributions d'une recherche-action en milieu scolaire</t>
  </si>
  <si>
    <t>http://public.eblib.com/choice/PublicFullRecord.aspx?p=4797063</t>
  </si>
  <si>
    <t>Le défi de la prévention des maladies cardiovasculaires et ses perspectives en Afrique : Juguler le mal meurtrier et insidieux de l’hypertension artérielle</t>
  </si>
  <si>
    <t>Sanni Yaya, Hachimi; Pascal, Kengne Andre</t>
  </si>
  <si>
    <t>http://public.eblib.com/choice/PublicFullRecord.aspx?p=4797064</t>
  </si>
  <si>
    <t>La souveraineté dans l'impasse</t>
  </si>
  <si>
    <t>Cantin, Serge</t>
  </si>
  <si>
    <t>http://public.eblib.com/choice/PublicFullRecord.aspx?p=4797065</t>
  </si>
  <si>
    <t>Le langage au bout des doigts : Les liens fonctionnels entre la motricité et le langage</t>
  </si>
  <si>
    <t>Frak, Victor</t>
  </si>
  <si>
    <t>612.8/233</t>
  </si>
  <si>
    <t>http://public.eblib.com/choice/PublicFullRecord.aspx?p=4797066</t>
  </si>
  <si>
    <t>La politique québécoise et canadienne : Une approche pluraliste</t>
  </si>
  <si>
    <t>http://public.eblib.com/choice/PublicFullRecord.aspx?p=4797067</t>
  </si>
  <si>
    <t>Méthodes qualitatives, quantitatives et mixtes : Dans la recherche en sciences humaines, sociales et de la santé</t>
  </si>
  <si>
    <t>300.72/1</t>
  </si>
  <si>
    <t>http://public.eblib.com/choice/PublicFullRecord.aspx?p=4797068</t>
  </si>
  <si>
    <t>Dans les tripes de la drogue et de la violence : Mieux comprendre ces jeunes</t>
  </si>
  <si>
    <t>Falardeau, Marlène</t>
  </si>
  <si>
    <t>362.290835/1</t>
  </si>
  <si>
    <t>http://public.eblib.com/choice/PublicFullRecord.aspx?p=4797069</t>
  </si>
  <si>
    <t>Management de la retraite, de l'emploi et des temps sociaux</t>
  </si>
  <si>
    <t>331.3/98</t>
  </si>
  <si>
    <t>http://public.eblib.com/choice/PublicFullRecord.aspx?p=4797070</t>
  </si>
  <si>
    <t>Déficience intellectuelle et autisme : Pratiques d'inclusion scolaire</t>
  </si>
  <si>
    <t>Beaupré, Pauline</t>
  </si>
  <si>
    <t>http://public.eblib.com/choice/PublicFullRecord.aspx?p=4797071</t>
  </si>
  <si>
    <t>L'intégration des familles d'origine immigrante : Les enjeux sociosanitaires et scolaires</t>
  </si>
  <si>
    <t>PUM</t>
  </si>
  <si>
    <t>Kanouté, Fasal</t>
  </si>
  <si>
    <t>http://public.eblib.com/choice/PublicFullRecord.aspx?p=4797073</t>
  </si>
  <si>
    <t>Les Québécois aux urnes : Les partis, les médias et les citoyens en campagne</t>
  </si>
  <si>
    <t>Bastien, Frédéric</t>
  </si>
  <si>
    <t>324.9714/05</t>
  </si>
  <si>
    <t>http://public.eblib.com/choice/PublicFullRecord.aspx?p=4797074</t>
  </si>
  <si>
    <t>Errances photographiques : Mobilité et intermédialité</t>
  </si>
  <si>
    <t>http://public.eblib.com/choice/PublicFullRecord.aspx?p=4797076</t>
  </si>
  <si>
    <t>De la simplicité comme mode d’emploi. Esthétique et éthique en littérature minimaliste au Québec</t>
  </si>
  <si>
    <t>Przychodzen, Janusz</t>
  </si>
  <si>
    <t>http://public.eblib.com/choice/PublicFullRecord.aspx?p=4797077</t>
  </si>
  <si>
    <t>Guy Rocher : Le savant et le politique</t>
  </si>
  <si>
    <t>Lemay, Violaine</t>
  </si>
  <si>
    <t>http://public.eblib.com/choice/PublicFullRecord.aspx?p=4797078</t>
  </si>
  <si>
    <t>Accompagner la personne atteinte de la maladie d’Alzheimer à un stade avancé</t>
  </si>
  <si>
    <t>Grisé, Jacinthe</t>
  </si>
  <si>
    <t>http://public.eblib.com/choice/PublicFullRecord.aspx?p=4797079</t>
  </si>
  <si>
    <t>Les surveillants de l’État démocratique</t>
  </si>
  <si>
    <t>http://public.eblib.com/choice/PublicFullRecord.aspx?p=4797080</t>
  </si>
  <si>
    <t>La vie dans une langue officielle minoritaire au Canada</t>
  </si>
  <si>
    <t>Landry, Rodrigue</t>
  </si>
  <si>
    <t>http://public.eblib.com/choice/PublicFullRecord.aspx?p=4797081</t>
  </si>
  <si>
    <t>L'e-gouvernement pour Ia bonne gouvernance dans les pays en développement : l'expérience du Projet eFez</t>
  </si>
  <si>
    <t>Kettani, Driss; Bernard, Moulin</t>
  </si>
  <si>
    <t>http://public.eblib.com/choice/PublicFullRecord.aspx?p=4797082</t>
  </si>
  <si>
    <t>La relation d’enquête comme relation sociale : Épistémologie de la démarche de recherche ethnographique</t>
  </si>
  <si>
    <t>Papinot, Christian</t>
  </si>
  <si>
    <t>http://public.eblib.com/choice/PublicFullRecord.aspx?p=4797083</t>
  </si>
  <si>
    <t>Attirer, retenir et fidéliser les ressources humaines : Nouveaux enjeux, nouvelles réponses</t>
  </si>
  <si>
    <t>Ressources Humaines, Comportements Au Tr</t>
  </si>
  <si>
    <t>Paillé, Pascal</t>
  </si>
  <si>
    <t>http://public.eblib.com/choice/PublicFullRecord.aspx?p=4797084</t>
  </si>
  <si>
    <t>Éduquer à la santé : L'essentiel de la théorie et des méthodes 2e édition</t>
  </si>
  <si>
    <t>Hagan, Louise; Louise, Hagan</t>
  </si>
  <si>
    <t>http://public.eblib.com/choice/PublicFullRecord.aspx?p=4797085</t>
  </si>
  <si>
    <t>Enseigner et évaluer : regards sur les enjeux éthiques et sociopolitiques</t>
  </si>
  <si>
    <t>Vie Dans la Classe La</t>
  </si>
  <si>
    <t>Legendre, Marie-Francoise</t>
  </si>
  <si>
    <t>http://public.eblib.com/choice/PublicFullRecord.aspx?p=4797086</t>
  </si>
  <si>
    <t>Le halal dans tous ses états</t>
  </si>
  <si>
    <t>Fall, Khadiyatoulah</t>
  </si>
  <si>
    <t>297.5/76</t>
  </si>
  <si>
    <t>http://public.eblib.com/choice/PublicFullRecord.aspx?p=4797087</t>
  </si>
  <si>
    <t>L'épopée des Petits frères de la Croix : Histoire d'une nouvelle communauté monastique québécoise dans l'Église catholique d'aujourd'hui</t>
  </si>
  <si>
    <t>O'Neill, Michel</t>
  </si>
  <si>
    <t>271/.7909714494</t>
  </si>
  <si>
    <t>http://public.eblib.com/choice/PublicFullRecord.aspx?p=4797089</t>
  </si>
  <si>
    <t>Échanges intellectuels entre la France et le Québec  (1930-2000) : Les réseaux de la revue Esprit avec La Relève, Cité libre, Parti pris et Possibles</t>
  </si>
  <si>
    <t>Angers, Stéphanie; Angers</t>
  </si>
  <si>
    <t>http://public.eblib.com/choice/PublicFullRecord.aspx?p=4797093</t>
  </si>
  <si>
    <t>La mondialisation : Origines, développement et effets (4e édition)</t>
  </si>
  <si>
    <t>http://public.eblib.com/choice/PublicFullRecord.aspx?p=4797099</t>
  </si>
  <si>
    <t>Notre Voix : Vingt discours remarquables de l'histoire du Québec</t>
  </si>
  <si>
    <t>F1052.5.T47 2014</t>
  </si>
  <si>
    <t>http://public.eblib.com/choice/PublicFullRecord.aspx?p=4797100</t>
  </si>
  <si>
    <t>Éléments d’analyse et d’écriture musicales (3e édition)</t>
  </si>
  <si>
    <t>Beaudoin, Gilles</t>
  </si>
  <si>
    <t>http://public.eblib.com/choice/PublicFullRecord.aspx?p=4797101</t>
  </si>
  <si>
    <t>Formes et réformes des administrations publiques</t>
  </si>
  <si>
    <t>Joris, Geoffrey; Catherine, Fallon</t>
  </si>
  <si>
    <t>http://public.eblib.com/choice/PublicFullRecord.aspx?p=4797102</t>
  </si>
  <si>
    <t>L'invention de la rock star : Les Rolling Stones dans l'imaginaire social</t>
  </si>
  <si>
    <t>Boucher, Francois-Emmanuël</t>
  </si>
  <si>
    <t>http://public.eblib.com/choice/PublicFullRecord.aspx?p=4797103</t>
  </si>
  <si>
    <t>Éthique et déontologie du journalisme (3e édition)</t>
  </si>
  <si>
    <t>Bernier, Marc-Francois</t>
  </si>
  <si>
    <t>http://public.eblib.com/choice/PublicFullRecord.aspx?p=4797104</t>
  </si>
  <si>
    <t>À l’ouest des Grands Lacs : communautés francophones et variétés de français dans les Prairies et en Colombie-Britannique</t>
  </si>
  <si>
    <t>Voies du Français Les</t>
  </si>
  <si>
    <t>Papen, Robert A.; Sandrine, Hallion</t>
  </si>
  <si>
    <t>447/.9712</t>
  </si>
  <si>
    <t>http://public.eblib.com/choice/PublicFullRecord.aspx?p=4797105</t>
  </si>
  <si>
    <t>Le Québec économique V (2013-2014) : Les grands enjeux des finances publiques</t>
  </si>
  <si>
    <t>Godbout, Luc; Luc, Godbout</t>
  </si>
  <si>
    <t>339.2/2/09714</t>
  </si>
  <si>
    <t>http://public.eblib.com/choice/PublicFullRecord.aspx?p=4797106</t>
  </si>
  <si>
    <t>Identités : Constructions, négociations, négations</t>
  </si>
  <si>
    <t>Landry, Tristan</t>
  </si>
  <si>
    <t>http://public.eblib.com/choice/PublicFullRecord.aspx?p=4797107</t>
  </si>
  <si>
    <t>Ces constitutions qui nous ont façonnés : Anthologie historique des lois constitutionnelles antérieures à 1867</t>
  </si>
  <si>
    <t>http://public.eblib.com/choice/PublicFullRecord.aspx?p=4797108</t>
  </si>
  <si>
    <t>Méditation de Thaïs : Carnet d'une expérience</t>
  </si>
  <si>
    <t>Marcel, Jean</t>
  </si>
  <si>
    <t>http://public.eblib.com/choice/PublicFullRecord.aspx?p=4797109</t>
  </si>
  <si>
    <t>La philosophie comme un roman : De Socrate à Arendt, les philosophes répondent à nos questions</t>
  </si>
  <si>
    <t>Hansen-Löve, Laurence</t>
  </si>
  <si>
    <t>http://public.eblib.com/choice/PublicFullRecord.aspx?p=4797110</t>
  </si>
  <si>
    <t>Vivre et pêcher dans les Notre-Dame : Excursion archéologique sur le barachois de Mont-Louis au Régime français</t>
  </si>
  <si>
    <t>Pelletier, Tommy-Simon</t>
  </si>
  <si>
    <t>http://public.eblib.com/choice/PublicFullRecord.aspx?p=4797111</t>
  </si>
  <si>
    <t>Séries cultes et culte de la série chez les jeunes : Penser l’adolescence avec les séries télévisées</t>
  </si>
  <si>
    <t>Adologiques</t>
  </si>
  <si>
    <t>Julier-Costes, Martin</t>
  </si>
  <si>
    <t>http://public.eblib.com/choice/PublicFullRecord.aspx?p=4797112</t>
  </si>
  <si>
    <t>Gustave Papineau : Une tête forte méconnue</t>
  </si>
  <si>
    <t>Aubin, Georges; Georges, Aubin</t>
  </si>
  <si>
    <t>F1053.P20G87 2014</t>
  </si>
  <si>
    <t>http://public.eblib.com/choice/PublicFullRecord.aspx?p=4797113</t>
  </si>
  <si>
    <t>Les Duggies et Internet : Étude d’une communauté virtuelle d'admirateurs</t>
  </si>
  <si>
    <t>Hébert, Christine</t>
  </si>
  <si>
    <t>http://public.eblib.com/choice/PublicFullRecord.aspx?p=4797114</t>
  </si>
  <si>
    <t>Les jeunes et l'obésité : Diagnostics et interventions</t>
  </si>
  <si>
    <t>Plourde, Gilles</t>
  </si>
  <si>
    <t>618.92/398</t>
  </si>
  <si>
    <t>http://public.eblib.com/choice/PublicFullRecord.aspx?p=4797116</t>
  </si>
  <si>
    <t>L’homme est né libre...! Raison, politique, droit : Mélanges offerts à Paule-Monique Vernes</t>
  </si>
  <si>
    <t>Boulad-Ayoub, Josiane; Michel, Gu</t>
  </si>
  <si>
    <t>http://public.eblib.com/choice/PublicFullRecord.aspx?p=4797117</t>
  </si>
  <si>
    <t>Débats publics et sociétés secrètes dans les révolutions atlantiques</t>
  </si>
  <si>
    <t>http://public.eblib.com/choice/PublicFullRecord.aspx?p=4797118</t>
  </si>
  <si>
    <t>Les agences de travail temporaire : leur rôle et leur fonctionnement comme intermédiaires du marché du travail</t>
  </si>
  <si>
    <t>Vultur, Mircea; Jean, Bernier</t>
  </si>
  <si>
    <t>http://public.eblib.com/choice/PublicFullRecord.aspx?p=4797119</t>
  </si>
  <si>
    <t>Des enfants pensent l'avenir : Philosophie pour enfants et prévention de la violence</t>
  </si>
  <si>
    <t>Laurendeau, Pierre</t>
  </si>
  <si>
    <t>http://public.eblib.com/choice/PublicFullRecord.aspx?p=4797120</t>
  </si>
  <si>
    <t>De petits vautours sans plumes? Les enfants qui travaillent au recyclage des ordures à Lima</t>
  </si>
  <si>
    <t>Girard, Marie-Pier</t>
  </si>
  <si>
    <t>http://public.eblib.com/choice/PublicFullRecord.aspx?p=4797121</t>
  </si>
  <si>
    <t>La vogue des compétences dans la formation des enseignants : bilan critique et perspectives d’avenir</t>
  </si>
  <si>
    <t>Tardif, Maurice; Jean-Francois, Desbiens</t>
  </si>
  <si>
    <t>http://public.eblib.com/choice/PublicFullRecord.aspx?p=4797122</t>
  </si>
  <si>
    <t>Une francophonie en quête de sens : Retour sur le premier Forum mondial de la langue française</t>
  </si>
  <si>
    <t>http://public.eblib.com/choice/PublicFullRecord.aspx?p=4797123</t>
  </si>
  <si>
    <t>Statistiques en sciences humaines avec R. 2e édition</t>
  </si>
  <si>
    <t>Guay, Jean-Herman</t>
  </si>
  <si>
    <t>http://public.eblib.com/choice/PublicFullRecord.aspx?p=4797124</t>
  </si>
  <si>
    <t>La genèse de l'école publique et de la démocratie scolaire au Québec : Les écoles de syndics 1814-1838</t>
  </si>
  <si>
    <t>Proulx, Jean-Pierre</t>
  </si>
  <si>
    <t>http://public.eblib.com/choice/PublicFullRecord.aspx?p=4797125</t>
  </si>
  <si>
    <t>Production du savoir et construction sociale : L'ethnologie en Haïti</t>
  </si>
  <si>
    <t>Byron, Jhon Picard</t>
  </si>
  <si>
    <t>306/.097294</t>
  </si>
  <si>
    <t>http://public.eblib.com/choice/PublicFullRecord.aspx?p=4797126</t>
  </si>
  <si>
    <t>L'objet</t>
  </si>
  <si>
    <t>Phosphore</t>
  </si>
  <si>
    <t>Mathieu, Marie-Christiane</t>
  </si>
  <si>
    <t>http://public.eblib.com/choice/PublicFullRecord.aspx?p=4797127</t>
  </si>
  <si>
    <t>À la rencontre des régionalismes artistiques et littéraires : Le contexte québécois (1830-1960)</t>
  </si>
  <si>
    <t>Boivin, Aurélien; Aurelien, Boivin</t>
  </si>
  <si>
    <t>840/.935809034</t>
  </si>
  <si>
    <t>http://public.eblib.com/choice/PublicFullRecord.aspx?p=4797128</t>
  </si>
  <si>
    <t>À la croisée des chemins : trajectoires addictives et trajectoires de services. La perspective des personnes toxicomanes</t>
  </si>
  <si>
    <t>http://public.eblib.com/choice/PublicFullRecord.aspx?p=4797129</t>
  </si>
  <si>
    <t>De Pierre à Justin Trudeau : Portrait de famille de l’idéologie du Parti libéral du Canada (1968-2013)</t>
  </si>
  <si>
    <t>http://public.eblib.com/choice/PublicFullRecord.aspx?p=4797130</t>
  </si>
  <si>
    <t>Contre l'autonomie : La méthode forte pour inspirer la bonne décision [translation of Against Autonomy : Justifying Coercive Paternalism]</t>
  </si>
  <si>
    <t>Conly, Sarah; Sarah, Conly</t>
  </si>
  <si>
    <t>http://public.eblib.com/choice/PublicFullRecord.aspx?p=4797131</t>
  </si>
  <si>
    <t>Le Pari de la dispersion : Une histoire des Ouendats au dix-septième siècle</t>
  </si>
  <si>
    <t>http://public.eblib.com/choice/PublicFullRecord.aspx?p=4797132</t>
  </si>
  <si>
    <t>Les traducteurs dans l'histoire (3e édition)</t>
  </si>
  <si>
    <t>Delisle, Jean; Jean, Delisle; Judith, Woodsworth</t>
  </si>
  <si>
    <t>http://public.eblib.com/choice/PublicFullRecord.aspx?p=4797133</t>
  </si>
  <si>
    <t>Égypte : révolution et contre-révolution</t>
  </si>
  <si>
    <t>Guirguis, Laure</t>
  </si>
  <si>
    <t>http://public.eblib.com/choice/PublicFullRecord.aspx?p=4797134</t>
  </si>
  <si>
    <t>Transferts des savoirs, savoirs des pratiques : Production et mobilisation des savoirs pour une communauté inclusive</t>
  </si>
  <si>
    <t>Boerger, Anne</t>
  </si>
  <si>
    <t>http://public.eblib.com/choice/PublicFullRecord.aspx?p=4797135</t>
  </si>
  <si>
    <t>L’arrière-scène du monde des arts martiaux</t>
  </si>
  <si>
    <t>Bernard, Olivier</t>
  </si>
  <si>
    <t>http://public.eblib.com/choice/PublicFullRecord.aspx?p=4797136</t>
  </si>
  <si>
    <t>En voyage chez soi : Trajectoires de couples mixtes au Maroc</t>
  </si>
  <si>
    <t>Therrien, Catherine</t>
  </si>
  <si>
    <t>http://public.eblib.com/choice/PublicFullRecord.aspx?p=4797137</t>
  </si>
  <si>
    <t>La plume au fourreau : Culture de guerre et discours identitaire dans les textes poétiques canadiens du XVIIIe siècle : 1755-1776</t>
  </si>
  <si>
    <t>Boulanger, Eric</t>
  </si>
  <si>
    <t>http://public.eblib.com/choice/PublicFullRecord.aspx?p=4797138</t>
  </si>
  <si>
    <t>Réflexions sur l'université : Le devoir de vigilance</t>
  </si>
  <si>
    <t>Mercure du Nord</t>
  </si>
  <si>
    <t>http://public.eblib.com/choice/PublicFullRecord.aspx?p=4797139</t>
  </si>
  <si>
    <t>Tshinanu, nous autres, et moi qui appartiens aux trois Amériques : Entretiens de l'anthropologue Caroline Hervé avec Jacques Kurtness, négociateur innu de Mashteuiatsh</t>
  </si>
  <si>
    <t>Entretiens</t>
  </si>
  <si>
    <t>Kurtness, Jacques; Jacques, Kurtness; Caroline, Herve</t>
  </si>
  <si>
    <t>http://public.eblib.com/choice/PublicFullRecord.aspx?p=4797141</t>
  </si>
  <si>
    <t>Grammaire de la langue innue</t>
  </si>
  <si>
    <t>497/.3235</t>
  </si>
  <si>
    <t>http://public.eblib.com/choice/PublicFullRecord.aspx?p=4797144</t>
  </si>
  <si>
    <t>Les sciences humaines à l'école primaire québécoise : Regards croisés sur un domaine de recherche et d'intervention</t>
  </si>
  <si>
    <t>Larouche, Marie-Claude</t>
  </si>
  <si>
    <t>372.83/044</t>
  </si>
  <si>
    <t>http://public.eblib.com/choice/PublicFullRecord.aspx?p=4797145</t>
  </si>
  <si>
    <t>Structure en béton armé, 2e édition actualisée : Calcul selon la norme ACNOR A23.3-04</t>
  </si>
  <si>
    <t>Chaallal, Omar</t>
  </si>
  <si>
    <t>624.1/8341</t>
  </si>
  <si>
    <t>http://public.eblib.com/choice/PublicFullRecord.aspx?p=4797146</t>
  </si>
  <si>
    <t>La contribution en ligne : Pratiques participatives à l'ère du capitalisme informationnel</t>
  </si>
  <si>
    <t>http://public.eblib.com/choice/PublicFullRecord.aspx?p=4797148</t>
  </si>
  <si>
    <t>Travail et société : Une introduction à la sociologie du travail</t>
  </si>
  <si>
    <t>http://public.eblib.com/choice/PublicFullRecord.aspx?p=4797149</t>
  </si>
  <si>
    <t>L' innovation technologique, organisationnelle et sociale</t>
  </si>
  <si>
    <t>658.5/14</t>
  </si>
  <si>
    <t>http://public.eblib.com/choice/PublicFullRecord.aspx?p=4797150</t>
  </si>
  <si>
    <t>De l'éthique à l'ergothérapie : La philosophie au service de la pratique ergothérapique, 2e édition</t>
  </si>
  <si>
    <t>Drolet, Marie-Josée</t>
  </si>
  <si>
    <t>174.2/958515</t>
  </si>
  <si>
    <t>http://public.eblib.com/choice/PublicFullRecord.aspx?p=4797151</t>
  </si>
  <si>
    <t>La stratégie des organisations de l'État : Contexte d'analyse, paramètres de décision et gestion du changement</t>
  </si>
  <si>
    <t>Mazouz, Bachir</t>
  </si>
  <si>
    <t>http://public.eblib.com/choice/PublicFullRecord.aspx?p=4797152</t>
  </si>
  <si>
    <t>Vues, mais non entendues : Les adolescentes québécoises et l’hypersexualisation</t>
  </si>
  <si>
    <t>Caron, Caroline</t>
  </si>
  <si>
    <t>http://public.eblib.com/choice/PublicFullRecord.aspx?p=4797153</t>
  </si>
  <si>
    <t>Voisins et ennemis : La guerre de Sécession et l’invention du Canada</t>
  </si>
  <si>
    <t>Boyko, John</t>
  </si>
  <si>
    <t>E540.C25B6914 2014</t>
  </si>
  <si>
    <t>http://public.eblib.com/choice/PublicFullRecord.aspx?p=4797154</t>
  </si>
  <si>
    <t>Le fédéralisme selon Harper : La place du Québec dans le Canada conservateur</t>
  </si>
  <si>
    <t>Castro-Rea, Julian</t>
  </si>
  <si>
    <t>http://public.eblib.com/choice/PublicFullRecord.aspx?p=4797155</t>
  </si>
  <si>
    <t>L'invention du retour d'Europe : réseaux transatlantiques et transferts culturels au début du XXe siècle</t>
  </si>
  <si>
    <t>Lacroix, Michel</t>
  </si>
  <si>
    <t>http://public.eblib.com/choice/PublicFullRecord.aspx?p=4797156</t>
  </si>
  <si>
    <t>Le professionnalisme et l'éthique au travail. 2e édition</t>
  </si>
  <si>
    <t>Langlois, Lyse</t>
  </si>
  <si>
    <t>http://public.eblib.com/choice/PublicFullRecord.aspx?p=4797157</t>
  </si>
  <si>
    <t>La présence d'un passé de violences : Mémoires et identités autochtones dans le Guatemala de l’après-génocide</t>
  </si>
  <si>
    <t>Vanthuyne, Karine</t>
  </si>
  <si>
    <t>972.8105/2</t>
  </si>
  <si>
    <t>http://public.eblib.com/choice/PublicFullRecord.aspx?p=4797158</t>
  </si>
  <si>
    <t>Constitution et mythe</t>
  </si>
  <si>
    <t>Da Cunha, Paulo Ferreira</t>
  </si>
  <si>
    <t>http://public.eblib.com/choice/PublicFullRecord.aspx?p=4797159</t>
  </si>
  <si>
    <t>Les nouveaux journalistes. 2e édition, revue et augmentée</t>
  </si>
  <si>
    <t>Dupont, Christiane; Christiane, DuPont</t>
  </si>
  <si>
    <t>071/.14</t>
  </si>
  <si>
    <t>http://public.eblib.com/choice/PublicFullRecord.aspx?p=4797160</t>
  </si>
  <si>
    <t>La modernisation de l'accent québécois. De l'accent traditionnel au nouvel accent : 1841-1960. Esquisse historique</t>
  </si>
  <si>
    <t>Gendron, Jean-Denis</t>
  </si>
  <si>
    <t>http://public.eblib.com/choice/PublicFullRecord.aspx?p=4797161</t>
  </si>
  <si>
    <t>Les soldats du Pape : Les zouaves entre l'Europe et l'Amérique</t>
  </si>
  <si>
    <t>Warren, Jean-Philippe</t>
  </si>
  <si>
    <t>Religion; Military Science</t>
  </si>
  <si>
    <t>UA749.5.S65 2014</t>
  </si>
  <si>
    <t>282/.71; 355.351094563</t>
  </si>
  <si>
    <t>http://public.eblib.com/choice/PublicFullRecord.aspx?p=4797162</t>
  </si>
  <si>
    <t>Recherches sur les difficultés d'enseignement et d'apprentissage des mathématiques : Regard didactique</t>
  </si>
  <si>
    <t>Mary, Claudine</t>
  </si>
  <si>
    <t>http://public.eblib.com/choice/PublicFullRecord.aspx?p=4797163</t>
  </si>
  <si>
    <t>Penser les liens entre santé mentale et société : Les voies de la recherche en sciences sociales</t>
  </si>
  <si>
    <t>Doucet, Marie-Chantal</t>
  </si>
  <si>
    <t>362.2/042</t>
  </si>
  <si>
    <t>http://public.eblib.com/choice/PublicFullRecord.aspx?p=4797164</t>
  </si>
  <si>
    <t>Construire des grilles d'évaluation descriptives au collégial : Guide d'élaboration et exemples de grille</t>
  </si>
  <si>
    <t>Mesure et évaluation</t>
  </si>
  <si>
    <t>Côté, France</t>
  </si>
  <si>
    <t>http://public.eblib.com/choice/PublicFullRecord.aspx?p=4797165</t>
  </si>
  <si>
    <t>L'État démocratique, 2e édition : Fondements et défis</t>
  </si>
  <si>
    <t>http://public.eblib.com/choice/PublicFullRecord.aspx?p=4797166</t>
  </si>
  <si>
    <t>Investir et gérer le risque : Comment y parvenir?</t>
  </si>
  <si>
    <t>Caron, Pierre</t>
  </si>
  <si>
    <t>658.15/5</t>
  </si>
  <si>
    <t>http://public.eblib.com/choice/PublicFullRecord.aspx?p=4797167</t>
  </si>
  <si>
    <t>Penser la laïcité québécoise : Fondements et défense d'une laïcité ouverte au Québec</t>
  </si>
  <si>
    <t>Lévesque, Sébastien</t>
  </si>
  <si>
    <t>http://public.eblib.com/choice/PublicFullRecord.aspx?p=4797168</t>
  </si>
  <si>
    <t>Racines de l’empathie : Changer le monde un enfant à la fois</t>
  </si>
  <si>
    <t>Gordon, Mary</t>
  </si>
  <si>
    <t>372.01/14</t>
  </si>
  <si>
    <t>http://public.eblib.com/choice/PublicFullRecord.aspx?p=4797169</t>
  </si>
  <si>
    <t>La terre qui pousse : L’ethnobotanique innue d’Ekuanitshit</t>
  </si>
  <si>
    <t>581.6/30899732</t>
  </si>
  <si>
    <t>http://public.eblib.com/choice/PublicFullRecord.aspx?p=4797170</t>
  </si>
  <si>
    <t>Perspectives multidimensionnelles sur les restructurations d'entreprise</t>
  </si>
  <si>
    <t>Jalette, Patrice; Patrice, Jalette</t>
  </si>
  <si>
    <t>http://public.eblib.com/choice/PublicFullRecord.aspx?p=4797171</t>
  </si>
  <si>
    <t>Nistassinan-Notre terre : Alliance et souveraineté partagée du peuple innu au Québec :  Des premiers contacts à nos jours</t>
  </si>
  <si>
    <t>Girard, Camil; Carl, Brisson</t>
  </si>
  <si>
    <t>http://public.eblib.com/choice/PublicFullRecord.aspx?p=4797172</t>
  </si>
  <si>
    <t>Comparer le Canada et les Amériques : Des racines aux réseaux transculturels</t>
  </si>
  <si>
    <t>Imbert, Patrick</t>
  </si>
  <si>
    <t>http://public.eblib.com/choice/PublicFullRecord.aspx?p=4797173</t>
  </si>
  <si>
    <t>La francophonie dans toutes ses couleurs et les défis de l'inclusion scolaire</t>
  </si>
  <si>
    <t>Carlson Berg, Laurie</t>
  </si>
  <si>
    <t>http://public.eblib.com/choice/PublicFullRecord.aspx?p=4797174</t>
  </si>
  <si>
    <t>Développement durable : Enjeux et trajectoires</t>
  </si>
  <si>
    <t>Anctil, Francois; Francois, Anctil</t>
  </si>
  <si>
    <t>http://public.eblib.com/choice/PublicFullRecord.aspx?p=4797175</t>
  </si>
  <si>
    <t>Gouvernance communautaire et innovations au sein de la francophonie néobrunswickoise et ontarienne</t>
  </si>
  <si>
    <t>Langues officielles et sociétés</t>
  </si>
  <si>
    <t>Cardinal, Linda; Eric, Forgues</t>
  </si>
  <si>
    <t>http://public.eblib.com/choice/PublicFullRecord.aspx?p=4797176</t>
  </si>
  <si>
    <t>Les institutions littéraires en question dans la Franco-Amérique</t>
  </si>
  <si>
    <t>Culture française d'Amérique</t>
  </si>
  <si>
    <t>Doyon-Gosselin, Benoit</t>
  </si>
  <si>
    <t>C840.9/005</t>
  </si>
  <si>
    <t>http://public.eblib.com/choice/PublicFullRecord.aspx?p=4797177</t>
  </si>
  <si>
    <t>Quand la famille vient d’ici et d’ailleurs : Transmission identitaire et culturelle</t>
  </si>
  <si>
    <t>Société, cultures et santé</t>
  </si>
  <si>
    <t>Le Gall, Josiane; Déirdre, Mentel</t>
  </si>
  <si>
    <t>306.84/3/09714</t>
  </si>
  <si>
    <t>http://public.eblib.com/choice/PublicFullRecord.aspx?p=4797178</t>
  </si>
  <si>
    <t>Enseigner les religions : regards et apports de l’histoire</t>
  </si>
  <si>
    <t>Religions, cultures et sociétés</t>
  </si>
  <si>
    <t>Caulier, Brigitte; Brigitte, Caulier</t>
  </si>
  <si>
    <t>http://public.eblib.com/choice/PublicFullRecord.aspx?p=4797179</t>
  </si>
  <si>
    <t>La cité et ses ombres : Construire une société juste. Un débat entre Mathieu Bock-Côté et Roch Bolduc</t>
  </si>
  <si>
    <t>Bock-Côté, Mathieu; Roch, Bolduc</t>
  </si>
  <si>
    <t>http://public.eblib.com/choice/PublicFullRecord.aspx?p=4797180</t>
  </si>
  <si>
    <t>Imaginaire de l'espace dans le cinéma québécois</t>
  </si>
  <si>
    <t>Monde culturel</t>
  </si>
  <si>
    <t>Fortin, Andrée</t>
  </si>
  <si>
    <t>http://public.eblib.com/choice/PublicFullRecord.aspx?p=4797181</t>
  </si>
  <si>
    <t>L'intime et le marché : Réflexion éthique sur l’autonomie et la prostitution</t>
  </si>
  <si>
    <t>DIKÈ</t>
  </si>
  <si>
    <t>Jean, Rhéa</t>
  </si>
  <si>
    <t>http://public.eblib.com/choice/PublicFullRecord.aspx?p=4797182</t>
  </si>
  <si>
    <t>La psychologie au quotidien 2</t>
  </si>
  <si>
    <t>Psychologie Au Quotidien</t>
  </si>
  <si>
    <t>http://public.eblib.com/choice/PublicFullRecord.aspx?p=4797183</t>
  </si>
  <si>
    <t>Des braves et des guerriers : Les Amérindiens du Québec et la guerre de 1812</t>
  </si>
  <si>
    <t>Mondes autochtones</t>
  </si>
  <si>
    <t>Sawaya, Jean-Pierre</t>
  </si>
  <si>
    <t>E98.M5S39 2015</t>
  </si>
  <si>
    <t>http://public.eblib.com/choice/PublicFullRecord.aspx?p=4797184</t>
  </si>
  <si>
    <t>Autonomie collective et droit du travail : Mélanges en l'honneur du professeur Pierre Verge</t>
  </si>
  <si>
    <t>Travail et emploi à l'ère de la mondialisation</t>
  </si>
  <si>
    <t>Roux, Dominic</t>
  </si>
  <si>
    <t>http://public.eblib.com/choice/PublicFullRecord.aspx?p=4797185</t>
  </si>
  <si>
    <t>La Grande Guerre de Paul Caron : Chroniques d'un légionnaire canadien-français (1914-1917)</t>
  </si>
  <si>
    <t>L'archive littéraire au Québec</t>
  </si>
  <si>
    <t>Richard, Béatrice</t>
  </si>
  <si>
    <t>http://public.eblib.com/choice/PublicFullRecord.aspx?p=4797186</t>
  </si>
  <si>
    <t>Remèdes mortels et crime organisé : Comment l'industrie pharmaceutique a corrompu les services de santé</t>
  </si>
  <si>
    <t>Gotzsche, Peter; C, Gotzsche Peter</t>
  </si>
  <si>
    <t>338.4/76151</t>
  </si>
  <si>
    <t>http://public.eblib.com/choice/PublicFullRecord.aspx?p=4797187</t>
  </si>
  <si>
    <t>Et les chiens bouffent les cadavres : Notre guerre en Afghanistan</t>
  </si>
  <si>
    <t>Smith, Graeme; Benoit, L</t>
  </si>
  <si>
    <t>958.104/7</t>
  </si>
  <si>
    <t>http://public.eblib.com/choice/PublicFullRecord.aspx?p=4797188</t>
  </si>
  <si>
    <t>Le docteur Personne : Chroniques impertinentes d'un médecin de famille</t>
  </si>
  <si>
    <t>Savoie, Bertrand</t>
  </si>
  <si>
    <t>http://public.eblib.com/choice/PublicFullRecord.aspx?p=4797190</t>
  </si>
  <si>
    <t>Le don de sang : un geste social et culturel</t>
  </si>
  <si>
    <t>http://public.eblib.com/choice/PublicFullRecord.aspx?p=4797191</t>
  </si>
  <si>
    <t>Les précarités dans le passage à l'âge adulte au Québec</t>
  </si>
  <si>
    <t>Regards Sur la Jeunesse du Monde</t>
  </si>
  <si>
    <t>Bourdon, Sylvain; Sylvain, Bourdon</t>
  </si>
  <si>
    <t>331.3/4809714</t>
  </si>
  <si>
    <t>http://public.eblib.com/choice/PublicFullRecord.aspx?p=4797192</t>
  </si>
  <si>
    <t>Mémoires et mobilisations</t>
  </si>
  <si>
    <t>Culture Française D'amérique</t>
  </si>
  <si>
    <t>Landry, Michelle</t>
  </si>
  <si>
    <t>http://public.eblib.com/choice/PublicFullRecord.aspx?p=4797193</t>
  </si>
  <si>
    <t>Le temps de l'hospitalité : Réception de l'oeuvre de Daniel Innerarity</t>
  </si>
  <si>
    <t>Vigneault, Luc</t>
  </si>
  <si>
    <t>http://public.eblib.com/choice/PublicFullRecord.aspx?p=4797195</t>
  </si>
  <si>
    <t>Musées et muséologie : au-delà des frontières. La muséologie nouvelle en question</t>
  </si>
  <si>
    <t>Bergeron, Yves</t>
  </si>
  <si>
    <t>http://public.eblib.com/choice/PublicFullRecord.aspx?p=4797196</t>
  </si>
  <si>
    <t>Les cégépiens et la réussite scolaire : Un point de vue sociologique</t>
  </si>
  <si>
    <t>378.1/6809714</t>
  </si>
  <si>
    <t>http://public.eblib.com/choice/PublicFullRecord.aspx?p=4797197</t>
  </si>
  <si>
    <t>Les violences en milieu scolaire : définir, prévenir et réagir</t>
  </si>
  <si>
    <t>Beaumont, Claire</t>
  </si>
  <si>
    <t>371.7/82</t>
  </si>
  <si>
    <t>http://public.eblib.com/choice/PublicFullRecord.aspx?p=4797198</t>
  </si>
  <si>
    <t>Pouvoirs, différence et stéréotypes : Regard socio-anthropologique sur la santé publique américaine</t>
  </si>
  <si>
    <t>Cloos, Patrick</t>
  </si>
  <si>
    <t>http://public.eblib.com/choice/PublicFullRecord.aspx?p=4797199</t>
  </si>
  <si>
    <t>La conscience métalinguistique : théorie,  développement et instruments de mesure</t>
  </si>
  <si>
    <t>Pinto, Maria Antonietta; Sonia, El Euch</t>
  </si>
  <si>
    <t>401/.9</t>
  </si>
  <si>
    <t>http://public.eblib.com/choice/PublicFullRecord.aspx?p=4797200</t>
  </si>
  <si>
    <t>Un Québec invisible : Enquête ethnographique dans un village de la grande région de Québec</t>
  </si>
  <si>
    <t>Parent, Frédéric</t>
  </si>
  <si>
    <t>307.1; 307.7209714</t>
  </si>
  <si>
    <t>http://public.eblib.com/choice/PublicFullRecord.aspx?p=4797201</t>
  </si>
  <si>
    <t>La « rébellion de 1837 » à travers le prisme du Montreal Herald : ou la refondation par les armes des institutions politiques canadiennes</t>
  </si>
  <si>
    <t>Deschamps, François</t>
  </si>
  <si>
    <t>http://public.eblib.com/choice/PublicFullRecord.aspx?p=4797202</t>
  </si>
  <si>
    <t>L’altérité amérindienne dans la fiction contemporaine des Amériques : Brésil, Argentine, Québec</t>
  </si>
  <si>
    <t>Olivieri-Godet, Rita</t>
  </si>
  <si>
    <t>http://public.eblib.com/choice/PublicFullRecord.aspx?p=4797203</t>
  </si>
  <si>
    <t>La conjuration du Tertiaire : Une lecture de Philippe Muray</t>
  </si>
  <si>
    <t>Littérature et Imaginaire Contemporain</t>
  </si>
  <si>
    <t>Boucher, François-Emmanuël</t>
  </si>
  <si>
    <t>844/.914</t>
  </si>
  <si>
    <t>http://public.eblib.com/choice/PublicFullRecord.aspx?p=4797204</t>
  </si>
  <si>
    <t>Laïcité et signes religieux à l’école</t>
  </si>
  <si>
    <t>Ehtique Dans le Cadre Scolaire</t>
  </si>
  <si>
    <t>Jeffrey, Denis</t>
  </si>
  <si>
    <t>http://public.eblib.com/choice/PublicFullRecord.aspx?p=4797205</t>
  </si>
  <si>
    <t>La guerre juste : Les enjeux éthiques de la guerre au 21e siècle</t>
  </si>
  <si>
    <t>Science Politique</t>
  </si>
  <si>
    <t>Caron, Jean-François</t>
  </si>
  <si>
    <t>Philosophy; Military Science</t>
  </si>
  <si>
    <t>U22.C376 2015</t>
  </si>
  <si>
    <t>172/.42</t>
  </si>
  <si>
    <t>http://public.eblib.com/choice/PublicFullRecord.aspx?p=4797206</t>
  </si>
  <si>
    <t>Essai sur les injustices</t>
  </si>
  <si>
    <t>Sciences Politique</t>
  </si>
  <si>
    <t>Derriennic, Jean-Pierre</t>
  </si>
  <si>
    <t>http://public.eblib.com/choice/PublicFullRecord.aspx?p=4797207</t>
  </si>
  <si>
    <t>Sociomatérialité et information dans les organisations : Entre bonheur et sens</t>
  </si>
  <si>
    <t>de Vaujany, François-Xavier</t>
  </si>
  <si>
    <t>302.4; 658.4/06</t>
  </si>
  <si>
    <t>http://public.eblib.com/choice/PublicFullRecord.aspx?p=4797208</t>
  </si>
  <si>
    <t>Biennale zones théâtrales 2013</t>
  </si>
  <si>
    <t>FREA-Formation et Recherche En éducation</t>
  </si>
  <si>
    <t>Théberge, Mariette</t>
  </si>
  <si>
    <t>842/.9209</t>
  </si>
  <si>
    <t>http://public.eblib.com/choice/PublicFullRecord.aspx?p=4797209</t>
  </si>
  <si>
    <t>Anthropologie des espaces côtiers et de la conservation environnementale : Pêche, sel et flamands roses dans les Réserves de biosphère yucatèques au Mexique</t>
  </si>
  <si>
    <t>304.209163/64</t>
  </si>
  <si>
    <t>http://public.eblib.com/choice/PublicFullRecord.aspx?p=4797210</t>
  </si>
  <si>
    <t>Les arts de lire des philosophes modernes</t>
  </si>
  <si>
    <t>Torero-Ibad, Alexandra</t>
  </si>
  <si>
    <t>http://public.eblib.com/choice/PublicFullRecord.aspx?p=4797211</t>
  </si>
  <si>
    <t>Le mouvement des Critical Legal Studies : De la modernité à la postmodernité en théorie du droit</t>
  </si>
  <si>
    <t>Michaut, Françoise</t>
  </si>
  <si>
    <t>http://public.eblib.com/choice/PublicFullRecord.aspx?p=4797212</t>
  </si>
  <si>
    <t>Le Canada entre Vichy et la France libre 1940-1945</t>
  </si>
  <si>
    <t>Courteaux, Olivier</t>
  </si>
  <si>
    <t>327.7104409/04</t>
  </si>
  <si>
    <t>http://public.eblib.com/choice/PublicFullRecord.aspx?p=4797213</t>
  </si>
  <si>
    <t>L’Acadie politique : Histoire sociopolitique de l’Acadie du Nouveau-Brunswick</t>
  </si>
  <si>
    <t>971.5/1004114</t>
  </si>
  <si>
    <t>http://public.eblib.com/choice/PublicFullRecord.aspx?p=4797214</t>
  </si>
  <si>
    <t>Raymond Williams et les sciences de la culture</t>
  </si>
  <si>
    <t>Sociologie contemporaine</t>
  </si>
  <si>
    <t>Côté,  Jean-François; Anouk, Bélanger</t>
  </si>
  <si>
    <t>http://public.eblib.com/choice/PublicFullRecord.aspx?p=4797215</t>
  </si>
  <si>
    <t>Au coeur des ténèbres de la friendly island : migrations, culture et sida à St. Martin</t>
  </si>
  <si>
    <t>Benoit, Catherine</t>
  </si>
  <si>
    <t>362.19697/9200972976</t>
  </si>
  <si>
    <t>http://public.eblib.com/choice/PublicFullRecord.aspx?p=4797216</t>
  </si>
  <si>
    <t>La mémoire refuge : L’orthodoxie et le communisme au monastère Saint-Nicolas</t>
  </si>
  <si>
    <t>Mateoniu, Maria</t>
  </si>
  <si>
    <t>322/.109498</t>
  </si>
  <si>
    <t>http://public.eblib.com/choice/PublicFullRecord.aspx?p=4797217</t>
  </si>
  <si>
    <t>L'enseignement de la philosophie au cégep : Histoire et débats</t>
  </si>
  <si>
    <t>Després, Pierre</t>
  </si>
  <si>
    <t>http://public.eblib.com/choice/PublicFullRecord.aspx?p=4797218</t>
  </si>
  <si>
    <t>Travailler et cohabiter : l'immigration au-delà de l'intégration</t>
  </si>
  <si>
    <t>Sociétés et population</t>
  </si>
  <si>
    <t>Arcand, Sébastien; Annick, Germain</t>
  </si>
  <si>
    <t>http://public.eblib.com/choice/PublicFullRecord.aspx?p=4797219</t>
  </si>
  <si>
    <t>Les routes touristiques</t>
  </si>
  <si>
    <t>Bourdeau,  Laurent; Laurent, Bourdeau</t>
  </si>
  <si>
    <t>http://public.eblib.com/choice/PublicFullRecord.aspx?p=4797220</t>
  </si>
  <si>
    <t>L’enseignement en milieu ambulatoire (Troisième Édition)</t>
  </si>
  <si>
    <t>Rubenstein, Warren; Yves, Talbot</t>
  </si>
  <si>
    <t>610.71/55</t>
  </si>
  <si>
    <t>http://public.eblib.com/choice/PublicFullRecord.aspx?p=4797221</t>
  </si>
  <si>
    <t>Nihilisme et création : Lectures de Nietzsche, Musil, Kundera, Aquin</t>
  </si>
  <si>
    <t>Lemmens, Kateri</t>
  </si>
  <si>
    <t>http://public.eblib.com/choice/PublicFullRecord.aspx?p=4797222</t>
  </si>
  <si>
    <t>Cyberdépendances : Enjeux criminologiques</t>
  </si>
  <si>
    <t>Colombani, Jacques-Louis</t>
  </si>
  <si>
    <t>302.2/31</t>
  </si>
  <si>
    <t>http://public.eblib.com/choice/PublicFullRecord.aspx?p=4797224</t>
  </si>
  <si>
    <t>Catholicisme et cultures : Regards croisés Québec-France</t>
  </si>
  <si>
    <t>http://public.eblib.com/choice/PublicFullRecord.aspx?p=4797226</t>
  </si>
  <si>
    <t>Le pouvoir vient d’ailleurs : Leadership et coopération chez les Inuits du Nunavik</t>
  </si>
  <si>
    <t>Hervé, Caroline</t>
  </si>
  <si>
    <t>971.4/1110049712</t>
  </si>
  <si>
    <t>http://public.eblib.com/choice/PublicFullRecord.aspx?p=4797227</t>
  </si>
  <si>
    <t>Toit urbain : Les défis énergétiques et écosystémiques d'un nouveau territoire</t>
  </si>
  <si>
    <t>Études urbaines</t>
  </si>
  <si>
    <t>Prochazka,  Alena</t>
  </si>
  <si>
    <t>http://public.eblib.com/choice/PublicFullRecord.aspx?p=4797228</t>
  </si>
  <si>
    <t>Situation de crise, de tragédie ou de sinistre : le point de vue des professionnels de l'intervention sociale</t>
  </si>
  <si>
    <t>Maltais, Danielle</t>
  </si>
  <si>
    <t>http://public.eblib.com/choice/PublicFullRecord.aspx?p=4797229</t>
  </si>
  <si>
    <t>Mobilité et exclusion, quelles relations?</t>
  </si>
  <si>
    <t>Lord, Sébastien</t>
  </si>
  <si>
    <t>http://public.eblib.com/choice/PublicFullRecord.aspx?p=4797230</t>
  </si>
  <si>
    <t>Histoire des manuscrits gnostiques coptes : La correspondance Doresse-Puech 1947-1970</t>
  </si>
  <si>
    <t>Bibliothèque Copte de Nag Hammadi</t>
  </si>
  <si>
    <t>Crégheur, Éric</t>
  </si>
  <si>
    <t>http://public.eblib.com/choice/PublicFullRecord.aspx?p=4797231</t>
  </si>
  <si>
    <t>L’expropriation du territoire de Forillon : Les décisions politiques au détriment des citoyens</t>
  </si>
  <si>
    <t>Autour de l'événement</t>
  </si>
  <si>
    <t>Babin, Aryane</t>
  </si>
  <si>
    <t>346.714/7930467516</t>
  </si>
  <si>
    <t>http://public.eblib.com/choice/PublicFullRecord.aspx?p=4797232</t>
  </si>
  <si>
    <t>Urban World History : An Economic and Geographical Perspective</t>
  </si>
  <si>
    <t>Tellier, Luc-Normand</t>
  </si>
  <si>
    <t>HT111.T44 2009</t>
  </si>
  <si>
    <t>http://public.eblib.com/choice/PublicFullRecord.aspx?p=4797233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</si>
</sst>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1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861"/>
  <sheetViews>
    <sheetView tabSelected="1" workbookViewId="0"/>
  </sheetViews>
  <sheetFormatPr baseColWidth="10" defaultColWidth="8.83203125" defaultRowHeight="14" x14ac:dyDescent="0"/>
  <sheetData>
    <row r="1" spans="1:2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>
      <c r="A2">
        <v>227055</v>
      </c>
      <c r="B2" t="s">
        <v>20</v>
      </c>
      <c r="C2" t="str">
        <f>"9780660192727"</f>
        <v>9780660192727</v>
      </c>
      <c r="D2" t="str">
        <f>"9780660192727"</f>
        <v>9780660192727</v>
      </c>
      <c r="E2" t="s">
        <v>21</v>
      </c>
      <c r="F2" t="s">
        <v>21</v>
      </c>
      <c r="G2" s="1">
        <v>37956</v>
      </c>
      <c r="J2" t="s">
        <v>22</v>
      </c>
      <c r="K2" t="s">
        <v>23</v>
      </c>
      <c r="L2" t="s">
        <v>24</v>
      </c>
      <c r="M2">
        <v>598.63</v>
      </c>
      <c r="N2" t="s">
        <v>25</v>
      </c>
      <c r="O2" t="s">
        <v>26</v>
      </c>
      <c r="P2">
        <v>69.95</v>
      </c>
      <c r="T2" t="s">
        <v>27</v>
      </c>
    </row>
    <row r="3" spans="1:20">
      <c r="A3">
        <v>227056</v>
      </c>
      <c r="B3" t="s">
        <v>28</v>
      </c>
      <c r="C3" t="str">
        <f>"9780660193267"</f>
        <v>9780660193267</v>
      </c>
      <c r="D3" t="str">
        <f>"9780660193274"</f>
        <v>9780660193274</v>
      </c>
      <c r="E3" t="s">
        <v>21</v>
      </c>
      <c r="F3" t="s">
        <v>21</v>
      </c>
      <c r="G3" s="1">
        <v>38237</v>
      </c>
      <c r="J3" t="s">
        <v>29</v>
      </c>
      <c r="K3" t="s">
        <v>30</v>
      </c>
      <c r="L3" t="s">
        <v>31</v>
      </c>
      <c r="M3" t="s">
        <v>32</v>
      </c>
      <c r="N3" t="s">
        <v>33</v>
      </c>
      <c r="O3" t="s">
        <v>26</v>
      </c>
      <c r="P3">
        <v>54.95</v>
      </c>
      <c r="T3" t="s">
        <v>34</v>
      </c>
    </row>
    <row r="4" spans="1:20">
      <c r="A4">
        <v>227057</v>
      </c>
      <c r="B4" t="s">
        <v>35</v>
      </c>
      <c r="C4" t="str">
        <f>"9780660192666"</f>
        <v>9780660192666</v>
      </c>
      <c r="D4" t="str">
        <f>"9780660192666"</f>
        <v>9780660192666</v>
      </c>
      <c r="E4" t="s">
        <v>21</v>
      </c>
      <c r="F4" t="s">
        <v>21</v>
      </c>
      <c r="G4" s="1">
        <v>37956</v>
      </c>
      <c r="J4" t="s">
        <v>36</v>
      </c>
      <c r="K4" t="s">
        <v>30</v>
      </c>
      <c r="L4" t="s">
        <v>37</v>
      </c>
      <c r="M4" t="s">
        <v>38</v>
      </c>
      <c r="N4" t="s">
        <v>39</v>
      </c>
      <c r="O4" t="s">
        <v>26</v>
      </c>
      <c r="P4">
        <v>64.95</v>
      </c>
      <c r="T4" t="s">
        <v>40</v>
      </c>
    </row>
    <row r="5" spans="1:20">
      <c r="A5">
        <v>227059</v>
      </c>
      <c r="B5" t="s">
        <v>41</v>
      </c>
      <c r="C5" t="str">
        <f>"9780660193724"</f>
        <v>9780660193724</v>
      </c>
      <c r="D5" t="str">
        <f>"9780660193724"</f>
        <v>9780660193724</v>
      </c>
      <c r="E5" t="s">
        <v>21</v>
      </c>
      <c r="F5" t="s">
        <v>21</v>
      </c>
      <c r="G5" s="1">
        <v>37956</v>
      </c>
      <c r="J5" t="s">
        <v>42</v>
      </c>
      <c r="K5" t="s">
        <v>43</v>
      </c>
      <c r="L5" t="s">
        <v>44</v>
      </c>
      <c r="M5" t="s">
        <v>45</v>
      </c>
      <c r="N5" t="s">
        <v>46</v>
      </c>
      <c r="O5" t="s">
        <v>26</v>
      </c>
      <c r="P5">
        <v>69.95</v>
      </c>
      <c r="T5" t="s">
        <v>47</v>
      </c>
    </row>
    <row r="6" spans="1:20">
      <c r="A6">
        <v>227060</v>
      </c>
      <c r="B6" t="s">
        <v>48</v>
      </c>
      <c r="C6" t="str">
        <f>"9780660193229"</f>
        <v>9780660193229</v>
      </c>
      <c r="D6" t="str">
        <f>"9780660193236"</f>
        <v>9780660193236</v>
      </c>
      <c r="E6" t="s">
        <v>21</v>
      </c>
      <c r="F6" t="s">
        <v>21</v>
      </c>
      <c r="G6" s="1">
        <v>38412</v>
      </c>
      <c r="J6" t="s">
        <v>49</v>
      </c>
      <c r="K6" t="s">
        <v>50</v>
      </c>
      <c r="L6" t="s">
        <v>51</v>
      </c>
      <c r="M6" t="s">
        <v>52</v>
      </c>
      <c r="N6" t="s">
        <v>53</v>
      </c>
      <c r="O6" t="s">
        <v>26</v>
      </c>
      <c r="P6">
        <v>49.95</v>
      </c>
      <c r="T6" t="s">
        <v>54</v>
      </c>
    </row>
    <row r="7" spans="1:20">
      <c r="A7">
        <v>227062</v>
      </c>
      <c r="B7" t="s">
        <v>55</v>
      </c>
      <c r="C7" t="str">
        <f>"9780660193366"</f>
        <v>9780660193366</v>
      </c>
      <c r="D7" t="str">
        <f>"9780660193373"</f>
        <v>9780660193373</v>
      </c>
      <c r="E7" t="s">
        <v>21</v>
      </c>
      <c r="F7" t="s">
        <v>21</v>
      </c>
      <c r="G7" s="1">
        <v>38317</v>
      </c>
      <c r="J7" t="s">
        <v>56</v>
      </c>
      <c r="K7" t="s">
        <v>57</v>
      </c>
      <c r="L7" t="s">
        <v>58</v>
      </c>
      <c r="M7">
        <v>581.70285000000001</v>
      </c>
      <c r="N7" t="s">
        <v>59</v>
      </c>
      <c r="O7" t="s">
        <v>26</v>
      </c>
      <c r="P7">
        <v>20</v>
      </c>
      <c r="T7" t="s">
        <v>60</v>
      </c>
    </row>
    <row r="8" spans="1:20">
      <c r="A8">
        <v>227063</v>
      </c>
      <c r="B8" t="s">
        <v>61</v>
      </c>
      <c r="C8" t="str">
        <f>"9780660193649"</f>
        <v>9780660193649</v>
      </c>
      <c r="D8" t="str">
        <f>"9780660193656"</f>
        <v>9780660193656</v>
      </c>
      <c r="E8" t="s">
        <v>21</v>
      </c>
      <c r="F8" t="s">
        <v>21</v>
      </c>
      <c r="G8" s="1">
        <v>38322</v>
      </c>
      <c r="J8" t="s">
        <v>62</v>
      </c>
      <c r="K8" t="s">
        <v>30</v>
      </c>
      <c r="L8" t="s">
        <v>63</v>
      </c>
      <c r="M8" t="s">
        <v>64</v>
      </c>
      <c r="N8" t="s">
        <v>65</v>
      </c>
      <c r="O8" t="s">
        <v>26</v>
      </c>
      <c r="P8">
        <v>49.95</v>
      </c>
      <c r="T8" t="s">
        <v>66</v>
      </c>
    </row>
    <row r="9" spans="1:20">
      <c r="A9">
        <v>227064</v>
      </c>
      <c r="B9" t="s">
        <v>67</v>
      </c>
      <c r="C9" t="str">
        <f>"9780660187570"</f>
        <v>9780660187570</v>
      </c>
      <c r="D9" t="str">
        <f>"9780660192581"</f>
        <v>9780660192581</v>
      </c>
      <c r="E9" t="s">
        <v>21</v>
      </c>
      <c r="F9" t="s">
        <v>21</v>
      </c>
      <c r="G9" s="1">
        <v>37530</v>
      </c>
      <c r="J9" t="s">
        <v>68</v>
      </c>
      <c r="K9" t="s">
        <v>69</v>
      </c>
      <c r="L9" t="s">
        <v>70</v>
      </c>
      <c r="M9" t="s">
        <v>71</v>
      </c>
      <c r="N9" t="s">
        <v>72</v>
      </c>
      <c r="O9" t="s">
        <v>26</v>
      </c>
      <c r="P9">
        <v>49.95</v>
      </c>
      <c r="T9" t="s">
        <v>73</v>
      </c>
    </row>
    <row r="10" spans="1:20">
      <c r="A10">
        <v>228101</v>
      </c>
      <c r="B10" t="s">
        <v>74</v>
      </c>
      <c r="C10" t="str">
        <f>"9780660177854"</f>
        <v>9780660177854</v>
      </c>
      <c r="D10" t="str">
        <f>"9780660186009"</f>
        <v>9780660186009</v>
      </c>
      <c r="E10" t="s">
        <v>21</v>
      </c>
      <c r="F10" t="s">
        <v>21</v>
      </c>
      <c r="G10" s="1">
        <v>36892</v>
      </c>
      <c r="J10" t="s">
        <v>75</v>
      </c>
      <c r="K10" t="s">
        <v>76</v>
      </c>
      <c r="L10" t="s">
        <v>77</v>
      </c>
      <c r="M10" t="s">
        <v>78</v>
      </c>
      <c r="N10" t="s">
        <v>79</v>
      </c>
      <c r="O10" t="s">
        <v>26</v>
      </c>
      <c r="P10">
        <v>24.95</v>
      </c>
      <c r="T10" t="s">
        <v>80</v>
      </c>
    </row>
    <row r="11" spans="1:20">
      <c r="A11">
        <v>228102</v>
      </c>
      <c r="B11" t="s">
        <v>81</v>
      </c>
      <c r="C11" t="str">
        <f>"9780660961644"</f>
        <v>9780660961644</v>
      </c>
      <c r="D11" t="str">
        <f>"9780660965734"</f>
        <v>9780660965734</v>
      </c>
      <c r="E11" t="s">
        <v>21</v>
      </c>
      <c r="F11" t="s">
        <v>21</v>
      </c>
      <c r="G11" s="1">
        <v>36892</v>
      </c>
      <c r="J11" t="s">
        <v>75</v>
      </c>
      <c r="K11" t="s">
        <v>76</v>
      </c>
      <c r="L11" t="s">
        <v>77</v>
      </c>
      <c r="M11">
        <v>635.70000000000005</v>
      </c>
      <c r="N11" t="s">
        <v>82</v>
      </c>
      <c r="O11" t="s">
        <v>26</v>
      </c>
      <c r="P11">
        <v>24.95</v>
      </c>
      <c r="T11" t="s">
        <v>83</v>
      </c>
    </row>
    <row r="12" spans="1:20">
      <c r="A12">
        <v>228103</v>
      </c>
      <c r="B12" t="s">
        <v>84</v>
      </c>
      <c r="C12" t="str">
        <f>"9780660175348"</f>
        <v>9780660175348</v>
      </c>
      <c r="D12" t="str">
        <f>"9781459301405"</f>
        <v>9781459301405</v>
      </c>
      <c r="E12" t="s">
        <v>21</v>
      </c>
      <c r="F12" t="s">
        <v>21</v>
      </c>
      <c r="G12" s="1">
        <v>36130</v>
      </c>
      <c r="J12" t="s">
        <v>85</v>
      </c>
      <c r="K12" t="s">
        <v>86</v>
      </c>
      <c r="L12" t="s">
        <v>87</v>
      </c>
      <c r="M12" t="s">
        <v>88</v>
      </c>
      <c r="N12" t="s">
        <v>89</v>
      </c>
      <c r="O12" t="s">
        <v>26</v>
      </c>
      <c r="P12">
        <v>29.95</v>
      </c>
      <c r="T12" t="s">
        <v>90</v>
      </c>
    </row>
    <row r="13" spans="1:20">
      <c r="A13">
        <v>228104</v>
      </c>
      <c r="B13" t="s">
        <v>91</v>
      </c>
      <c r="C13" t="str">
        <f>"9780660963808"</f>
        <v>9780660963808</v>
      </c>
      <c r="D13" t="str">
        <f>"9781459303133"</f>
        <v>9781459303133</v>
      </c>
      <c r="E13" t="s">
        <v>21</v>
      </c>
      <c r="F13" t="s">
        <v>21</v>
      </c>
      <c r="G13" s="1">
        <v>36495</v>
      </c>
      <c r="J13" t="s">
        <v>85</v>
      </c>
      <c r="K13" t="s">
        <v>92</v>
      </c>
      <c r="L13" t="s">
        <v>93</v>
      </c>
      <c r="M13" t="s">
        <v>88</v>
      </c>
      <c r="N13" t="s">
        <v>89</v>
      </c>
      <c r="O13" t="s">
        <v>94</v>
      </c>
      <c r="P13">
        <v>29.95</v>
      </c>
      <c r="T13" t="s">
        <v>95</v>
      </c>
    </row>
    <row r="14" spans="1:20">
      <c r="A14">
        <v>228105</v>
      </c>
      <c r="B14" t="s">
        <v>96</v>
      </c>
      <c r="C14" t="str">
        <f>"9780660167084"</f>
        <v>9780660167084</v>
      </c>
      <c r="D14" t="str">
        <f>"9781459303201"</f>
        <v>9781459303201</v>
      </c>
      <c r="E14" t="s">
        <v>21</v>
      </c>
      <c r="F14" t="s">
        <v>21</v>
      </c>
      <c r="G14" s="1">
        <v>36495</v>
      </c>
      <c r="J14" t="s">
        <v>97</v>
      </c>
      <c r="K14" t="s">
        <v>76</v>
      </c>
      <c r="L14" t="s">
        <v>98</v>
      </c>
      <c r="M14" t="s">
        <v>99</v>
      </c>
      <c r="N14" t="s">
        <v>100</v>
      </c>
      <c r="O14" t="s">
        <v>26</v>
      </c>
      <c r="P14">
        <v>49.95</v>
      </c>
      <c r="T14" t="s">
        <v>101</v>
      </c>
    </row>
    <row r="15" spans="1:20">
      <c r="A15">
        <v>228106</v>
      </c>
      <c r="B15" t="s">
        <v>102</v>
      </c>
      <c r="C15" t="str">
        <f>"9780660954189"</f>
        <v>9780660954189</v>
      </c>
      <c r="D15" t="str">
        <f>"9781459301146"</f>
        <v>9781459301146</v>
      </c>
      <c r="E15" t="s">
        <v>21</v>
      </c>
      <c r="F15" t="s">
        <v>21</v>
      </c>
      <c r="G15" s="1">
        <v>35765</v>
      </c>
      <c r="J15" t="s">
        <v>103</v>
      </c>
      <c r="K15" t="s">
        <v>76</v>
      </c>
      <c r="L15" t="s">
        <v>104</v>
      </c>
      <c r="M15" t="s">
        <v>105</v>
      </c>
      <c r="N15" t="s">
        <v>106</v>
      </c>
      <c r="O15" t="s">
        <v>94</v>
      </c>
      <c r="P15">
        <v>69.95</v>
      </c>
      <c r="T15" t="s">
        <v>107</v>
      </c>
    </row>
    <row r="16" spans="1:20">
      <c r="A16">
        <v>228107</v>
      </c>
      <c r="B16" t="s">
        <v>108</v>
      </c>
      <c r="C16" t="str">
        <f>"9780660181103"</f>
        <v>9780660181103</v>
      </c>
      <c r="D16" t="str">
        <f>"9781459303898"</f>
        <v>9781459303898</v>
      </c>
      <c r="E16" t="s">
        <v>21</v>
      </c>
      <c r="F16" t="s">
        <v>21</v>
      </c>
      <c r="G16" s="1">
        <v>36495</v>
      </c>
      <c r="H16">
        <v>2</v>
      </c>
      <c r="J16" t="s">
        <v>109</v>
      </c>
      <c r="K16" t="s">
        <v>110</v>
      </c>
      <c r="L16" t="s">
        <v>111</v>
      </c>
      <c r="M16" t="s">
        <v>112</v>
      </c>
      <c r="N16" t="s">
        <v>113</v>
      </c>
      <c r="O16" t="s">
        <v>26</v>
      </c>
      <c r="P16">
        <v>59.95</v>
      </c>
      <c r="T16" t="s">
        <v>114</v>
      </c>
    </row>
    <row r="17" spans="1:20">
      <c r="A17">
        <v>228108</v>
      </c>
      <c r="B17" t="s">
        <v>115</v>
      </c>
      <c r="C17" t="str">
        <f>"9780660176390"</f>
        <v>9780660176390</v>
      </c>
      <c r="D17" t="str">
        <f>"9780660189901"</f>
        <v>9780660189901</v>
      </c>
      <c r="E17" t="s">
        <v>21</v>
      </c>
      <c r="F17" t="s">
        <v>21</v>
      </c>
      <c r="G17" s="1">
        <v>36892</v>
      </c>
      <c r="J17" t="s">
        <v>116</v>
      </c>
      <c r="K17" t="s">
        <v>117</v>
      </c>
      <c r="L17" t="s">
        <v>118</v>
      </c>
      <c r="M17" t="s">
        <v>119</v>
      </c>
      <c r="N17" t="s">
        <v>120</v>
      </c>
      <c r="O17" t="s">
        <v>26</v>
      </c>
      <c r="P17">
        <v>42.95</v>
      </c>
      <c r="T17" t="s">
        <v>121</v>
      </c>
    </row>
    <row r="18" spans="1:20">
      <c r="A18">
        <v>228109</v>
      </c>
      <c r="B18" t="s">
        <v>122</v>
      </c>
      <c r="C18" t="str">
        <f>"9780660182926"</f>
        <v>9780660182926</v>
      </c>
      <c r="D18" t="str">
        <f>"9781459302488"</f>
        <v>9781459302488</v>
      </c>
      <c r="E18" t="s">
        <v>21</v>
      </c>
      <c r="F18" t="s">
        <v>21</v>
      </c>
      <c r="G18" s="1">
        <v>36495</v>
      </c>
      <c r="J18" t="s">
        <v>123</v>
      </c>
      <c r="K18" t="s">
        <v>76</v>
      </c>
      <c r="L18" t="s">
        <v>124</v>
      </c>
      <c r="M18" t="s">
        <v>125</v>
      </c>
      <c r="N18" t="s">
        <v>126</v>
      </c>
      <c r="O18" t="s">
        <v>26</v>
      </c>
      <c r="P18">
        <v>42.95</v>
      </c>
      <c r="T18" t="s">
        <v>127</v>
      </c>
    </row>
    <row r="19" spans="1:20">
      <c r="A19">
        <v>228110</v>
      </c>
      <c r="B19" t="s">
        <v>128</v>
      </c>
      <c r="C19" t="str">
        <f>"9780660176376"</f>
        <v>9780660176376</v>
      </c>
      <c r="D19" t="str">
        <f>"9781459302464"</f>
        <v>9781459302464</v>
      </c>
      <c r="E19" t="s">
        <v>21</v>
      </c>
      <c r="F19" t="s">
        <v>21</v>
      </c>
      <c r="G19" s="1">
        <v>35765</v>
      </c>
      <c r="J19" t="s">
        <v>129</v>
      </c>
      <c r="K19" t="s">
        <v>23</v>
      </c>
      <c r="L19" t="s">
        <v>130</v>
      </c>
      <c r="M19" t="s">
        <v>131</v>
      </c>
      <c r="N19" t="s">
        <v>132</v>
      </c>
      <c r="O19" t="s">
        <v>26</v>
      </c>
      <c r="P19">
        <v>39.950000000000003</v>
      </c>
      <c r="T19" t="s">
        <v>133</v>
      </c>
    </row>
    <row r="20" spans="1:20">
      <c r="A20">
        <v>228111</v>
      </c>
      <c r="B20" t="s">
        <v>134</v>
      </c>
      <c r="C20" t="str">
        <f>"9780660182834"</f>
        <v>9780660182834</v>
      </c>
      <c r="D20" t="str">
        <f>"9780660189932"</f>
        <v>9780660189932</v>
      </c>
      <c r="E20" t="s">
        <v>21</v>
      </c>
      <c r="F20" t="s">
        <v>21</v>
      </c>
      <c r="G20" s="1">
        <v>36892</v>
      </c>
      <c r="J20" t="s">
        <v>135</v>
      </c>
      <c r="K20" t="s">
        <v>136</v>
      </c>
      <c r="L20" t="s">
        <v>137</v>
      </c>
      <c r="M20" t="s">
        <v>138</v>
      </c>
      <c r="N20" t="s">
        <v>139</v>
      </c>
      <c r="O20" t="s">
        <v>26</v>
      </c>
      <c r="P20">
        <v>42.95</v>
      </c>
      <c r="T20" t="s">
        <v>140</v>
      </c>
    </row>
    <row r="21" spans="1:20">
      <c r="A21">
        <v>228112</v>
      </c>
      <c r="B21" t="s">
        <v>141</v>
      </c>
      <c r="C21" t="str">
        <f>"9780660185217"</f>
        <v>9780660185217</v>
      </c>
      <c r="D21" t="str">
        <f>"9780660189895"</f>
        <v>9780660189895</v>
      </c>
      <c r="E21" t="s">
        <v>21</v>
      </c>
      <c r="F21" t="s">
        <v>21</v>
      </c>
      <c r="G21" s="1">
        <v>37257</v>
      </c>
      <c r="J21" t="s">
        <v>142</v>
      </c>
      <c r="K21" t="s">
        <v>136</v>
      </c>
      <c r="L21" t="s">
        <v>143</v>
      </c>
      <c r="M21" t="s">
        <v>144</v>
      </c>
      <c r="N21" t="s">
        <v>145</v>
      </c>
      <c r="O21" t="s">
        <v>26</v>
      </c>
      <c r="P21">
        <v>42.95</v>
      </c>
      <c r="T21" t="s">
        <v>146</v>
      </c>
    </row>
    <row r="22" spans="1:20">
      <c r="A22">
        <v>228114</v>
      </c>
      <c r="B22" t="s">
        <v>147</v>
      </c>
      <c r="C22" t="str">
        <f>"9780660181455"</f>
        <v>9780660181455</v>
      </c>
      <c r="D22" t="str">
        <f>"9780660189888"</f>
        <v>9780660189888</v>
      </c>
      <c r="E22" t="s">
        <v>21</v>
      </c>
      <c r="F22" t="s">
        <v>21</v>
      </c>
      <c r="G22" s="1">
        <v>36892</v>
      </c>
      <c r="J22" t="s">
        <v>148</v>
      </c>
      <c r="K22" t="s">
        <v>76</v>
      </c>
      <c r="L22" t="s">
        <v>149</v>
      </c>
      <c r="M22" t="s">
        <v>150</v>
      </c>
      <c r="N22" t="s">
        <v>151</v>
      </c>
      <c r="O22" t="s">
        <v>26</v>
      </c>
      <c r="P22">
        <v>49.95</v>
      </c>
      <c r="T22" t="s">
        <v>152</v>
      </c>
    </row>
    <row r="23" spans="1:20">
      <c r="A23">
        <v>228115</v>
      </c>
      <c r="B23" t="s">
        <v>153</v>
      </c>
      <c r="C23" t="str">
        <f>"9780660182841"</f>
        <v>9780660182841</v>
      </c>
      <c r="D23" t="str">
        <f>"9780660189925"</f>
        <v>9780660189925</v>
      </c>
      <c r="E23" t="s">
        <v>21</v>
      </c>
      <c r="F23" t="s">
        <v>21</v>
      </c>
      <c r="G23" s="1">
        <v>36892</v>
      </c>
      <c r="J23" t="s">
        <v>154</v>
      </c>
      <c r="K23" t="s">
        <v>155</v>
      </c>
      <c r="L23" t="s">
        <v>156</v>
      </c>
      <c r="M23" t="s">
        <v>157</v>
      </c>
      <c r="N23" t="s">
        <v>158</v>
      </c>
      <c r="O23" t="s">
        <v>26</v>
      </c>
      <c r="P23">
        <v>39.950000000000003</v>
      </c>
      <c r="T23" t="s">
        <v>159</v>
      </c>
    </row>
    <row r="24" spans="1:20">
      <c r="A24">
        <v>228116</v>
      </c>
      <c r="B24" t="s">
        <v>160</v>
      </c>
      <c r="C24" t="str">
        <f>"9780660181653"</f>
        <v>9780660181653</v>
      </c>
      <c r="D24" t="str">
        <f>"9781459302471"</f>
        <v>9781459302471</v>
      </c>
      <c r="E24" t="s">
        <v>21</v>
      </c>
      <c r="F24" t="s">
        <v>21</v>
      </c>
      <c r="G24" s="1">
        <v>36495</v>
      </c>
      <c r="J24" t="s">
        <v>161</v>
      </c>
      <c r="K24" t="s">
        <v>23</v>
      </c>
      <c r="L24" t="s">
        <v>162</v>
      </c>
      <c r="M24" t="s">
        <v>163</v>
      </c>
      <c r="N24" t="s">
        <v>164</v>
      </c>
      <c r="O24" t="s">
        <v>26</v>
      </c>
      <c r="P24">
        <v>39.950000000000003</v>
      </c>
      <c r="T24" t="s">
        <v>165</v>
      </c>
    </row>
    <row r="25" spans="1:20">
      <c r="A25">
        <v>228117</v>
      </c>
      <c r="B25" t="s">
        <v>166</v>
      </c>
      <c r="C25" t="str">
        <f>"9780660164021"</f>
        <v>9780660164021</v>
      </c>
      <c r="D25" t="str">
        <f>"9781459302600"</f>
        <v>9781459302600</v>
      </c>
      <c r="E25" t="s">
        <v>21</v>
      </c>
      <c r="F25" t="s">
        <v>21</v>
      </c>
      <c r="G25" s="1">
        <v>35765</v>
      </c>
      <c r="J25" t="s">
        <v>167</v>
      </c>
      <c r="K25" t="s">
        <v>23</v>
      </c>
      <c r="L25" t="s">
        <v>168</v>
      </c>
      <c r="M25">
        <v>595.74509709999995</v>
      </c>
      <c r="N25" t="s">
        <v>169</v>
      </c>
      <c r="O25" t="s">
        <v>26</v>
      </c>
      <c r="P25">
        <v>39.950000000000003</v>
      </c>
      <c r="T25" t="s">
        <v>170</v>
      </c>
    </row>
    <row r="26" spans="1:20">
      <c r="A26">
        <v>228118</v>
      </c>
      <c r="B26" t="s">
        <v>171</v>
      </c>
      <c r="C26" t="str">
        <f>"9780660186122"</f>
        <v>9780660186122</v>
      </c>
      <c r="D26" t="str">
        <f>"9780660189949"</f>
        <v>9780660189949</v>
      </c>
      <c r="E26" t="s">
        <v>21</v>
      </c>
      <c r="F26" t="s">
        <v>21</v>
      </c>
      <c r="G26" s="1">
        <v>37257</v>
      </c>
      <c r="J26" t="s">
        <v>172</v>
      </c>
      <c r="K26" t="s">
        <v>155</v>
      </c>
      <c r="L26" t="s">
        <v>173</v>
      </c>
      <c r="M26" t="s">
        <v>174</v>
      </c>
      <c r="N26" t="s">
        <v>175</v>
      </c>
      <c r="O26" t="s">
        <v>26</v>
      </c>
      <c r="P26">
        <v>64.95</v>
      </c>
      <c r="T26" t="s">
        <v>176</v>
      </c>
    </row>
    <row r="27" spans="1:20">
      <c r="A27">
        <v>228119</v>
      </c>
      <c r="B27" t="s">
        <v>177</v>
      </c>
      <c r="C27" t="str">
        <f>"9780660182018"</f>
        <v>9780660182018</v>
      </c>
      <c r="D27" t="str">
        <f>"9780660189918"</f>
        <v>9780660189918</v>
      </c>
      <c r="E27" t="s">
        <v>21</v>
      </c>
      <c r="F27" t="s">
        <v>21</v>
      </c>
      <c r="G27" s="1">
        <v>36892</v>
      </c>
      <c r="J27" t="s">
        <v>178</v>
      </c>
      <c r="K27" t="s">
        <v>179</v>
      </c>
      <c r="L27" t="s">
        <v>180</v>
      </c>
      <c r="M27" t="s">
        <v>181</v>
      </c>
      <c r="N27" t="s">
        <v>182</v>
      </c>
      <c r="O27" t="s">
        <v>26</v>
      </c>
      <c r="P27">
        <v>79.95</v>
      </c>
      <c r="T27" t="s">
        <v>183</v>
      </c>
    </row>
    <row r="28" spans="1:20">
      <c r="A28">
        <v>228120</v>
      </c>
      <c r="B28" t="s">
        <v>184</v>
      </c>
      <c r="C28" t="str">
        <f>"9780660174044"</f>
        <v>9780660174044</v>
      </c>
      <c r="D28" t="str">
        <f>"9781459300637"</f>
        <v>9781459300637</v>
      </c>
      <c r="E28" t="s">
        <v>21</v>
      </c>
      <c r="F28" t="s">
        <v>21</v>
      </c>
      <c r="G28" s="1">
        <v>35765</v>
      </c>
      <c r="H28">
        <v>3</v>
      </c>
      <c r="J28" t="s">
        <v>185</v>
      </c>
      <c r="K28" t="s">
        <v>76</v>
      </c>
      <c r="L28" t="s">
        <v>186</v>
      </c>
      <c r="M28" t="s">
        <v>187</v>
      </c>
      <c r="N28" t="s">
        <v>188</v>
      </c>
      <c r="O28" t="s">
        <v>26</v>
      </c>
      <c r="P28">
        <v>39.950000000000003</v>
      </c>
      <c r="T28" t="s">
        <v>189</v>
      </c>
    </row>
    <row r="29" spans="1:20">
      <c r="A29">
        <v>228122</v>
      </c>
      <c r="B29" t="s">
        <v>190</v>
      </c>
      <c r="C29" t="str">
        <f>"9780660960593"</f>
        <v>9780660960593</v>
      </c>
      <c r="D29" t="str">
        <f>"9780660967998"</f>
        <v>9780660967998</v>
      </c>
      <c r="E29" t="s">
        <v>21</v>
      </c>
      <c r="F29" t="s">
        <v>21</v>
      </c>
      <c r="G29" s="1">
        <v>37662</v>
      </c>
      <c r="J29" t="s">
        <v>191</v>
      </c>
      <c r="K29" t="s">
        <v>76</v>
      </c>
      <c r="L29" t="s">
        <v>192</v>
      </c>
      <c r="M29" t="s">
        <v>193</v>
      </c>
      <c r="N29" t="s">
        <v>194</v>
      </c>
      <c r="O29" t="s">
        <v>94</v>
      </c>
      <c r="P29">
        <v>39.950000000000003</v>
      </c>
      <c r="T29" t="s">
        <v>195</v>
      </c>
    </row>
    <row r="30" spans="1:20">
      <c r="A30">
        <v>228123</v>
      </c>
      <c r="B30" t="s">
        <v>196</v>
      </c>
      <c r="C30" t="str">
        <f>"9780660189413"</f>
        <v>9780660189413</v>
      </c>
      <c r="D30" t="str">
        <f>"9780660192598"</f>
        <v>9780660192598</v>
      </c>
      <c r="E30" t="s">
        <v>21</v>
      </c>
      <c r="F30" t="s">
        <v>21</v>
      </c>
      <c r="G30" s="1">
        <v>37802</v>
      </c>
      <c r="J30" t="s">
        <v>197</v>
      </c>
      <c r="K30" t="s">
        <v>57</v>
      </c>
      <c r="L30" t="s">
        <v>198</v>
      </c>
      <c r="M30" t="s">
        <v>199</v>
      </c>
      <c r="N30" t="s">
        <v>200</v>
      </c>
      <c r="O30" t="s">
        <v>26</v>
      </c>
      <c r="P30">
        <v>49.95</v>
      </c>
      <c r="T30" t="s">
        <v>201</v>
      </c>
    </row>
    <row r="31" spans="1:20">
      <c r="A31">
        <v>228124</v>
      </c>
      <c r="B31" t="s">
        <v>202</v>
      </c>
      <c r="C31" t="str">
        <f>"9780660190075"</f>
        <v>9780660190075</v>
      </c>
      <c r="D31" t="str">
        <f>"9780660192659"</f>
        <v>9780660192659</v>
      </c>
      <c r="E31" t="s">
        <v>21</v>
      </c>
      <c r="F31" t="s">
        <v>21</v>
      </c>
      <c r="G31" s="1">
        <v>37622</v>
      </c>
      <c r="J31" t="s">
        <v>203</v>
      </c>
      <c r="K31" t="s">
        <v>76</v>
      </c>
      <c r="L31" t="s">
        <v>204</v>
      </c>
      <c r="M31" t="s">
        <v>205</v>
      </c>
      <c r="N31" t="s">
        <v>206</v>
      </c>
      <c r="O31" t="s">
        <v>26</v>
      </c>
      <c r="P31">
        <v>44.95</v>
      </c>
      <c r="T31" t="s">
        <v>207</v>
      </c>
    </row>
    <row r="32" spans="1:20">
      <c r="A32">
        <v>228125</v>
      </c>
      <c r="B32" t="s">
        <v>208</v>
      </c>
      <c r="C32" t="str">
        <f>"9780660187624"</f>
        <v>9780660187624</v>
      </c>
      <c r="D32" t="str">
        <f>"9780660192567"</f>
        <v>9780660192567</v>
      </c>
      <c r="E32" t="s">
        <v>21</v>
      </c>
      <c r="F32" t="s">
        <v>21</v>
      </c>
      <c r="G32" s="1">
        <v>37880</v>
      </c>
      <c r="J32" t="s">
        <v>209</v>
      </c>
      <c r="K32" t="s">
        <v>210</v>
      </c>
      <c r="L32" t="s">
        <v>211</v>
      </c>
      <c r="M32" t="s">
        <v>212</v>
      </c>
      <c r="N32" t="s">
        <v>213</v>
      </c>
      <c r="O32" t="s">
        <v>26</v>
      </c>
      <c r="P32">
        <v>69.95</v>
      </c>
      <c r="T32" t="s">
        <v>214</v>
      </c>
    </row>
    <row r="33" spans="1:20">
      <c r="A33">
        <v>228126</v>
      </c>
      <c r="B33" t="s">
        <v>215</v>
      </c>
      <c r="C33" t="str">
        <f>"9780660190938"</f>
        <v>9780660190938</v>
      </c>
      <c r="D33" t="str">
        <f>"9780660190938"</f>
        <v>9780660190938</v>
      </c>
      <c r="E33" t="s">
        <v>21</v>
      </c>
      <c r="F33" t="s">
        <v>21</v>
      </c>
      <c r="G33" s="1">
        <v>37591</v>
      </c>
      <c r="J33" t="s">
        <v>216</v>
      </c>
      <c r="K33" t="s">
        <v>217</v>
      </c>
      <c r="L33" t="s">
        <v>218</v>
      </c>
      <c r="M33" t="s">
        <v>219</v>
      </c>
      <c r="N33" t="s">
        <v>220</v>
      </c>
      <c r="O33" t="s">
        <v>26</v>
      </c>
      <c r="P33">
        <v>42.95</v>
      </c>
      <c r="T33" t="s">
        <v>221</v>
      </c>
    </row>
    <row r="34" spans="1:20">
      <c r="A34">
        <v>228127</v>
      </c>
      <c r="B34" t="s">
        <v>222</v>
      </c>
      <c r="C34" t="str">
        <f>"9780660190655"</f>
        <v>9780660190655</v>
      </c>
      <c r="D34" t="str">
        <f>"9780660192574"</f>
        <v>9780660192574</v>
      </c>
      <c r="E34" t="s">
        <v>21</v>
      </c>
      <c r="F34" t="s">
        <v>21</v>
      </c>
      <c r="G34" s="1">
        <v>37771</v>
      </c>
      <c r="J34" t="s">
        <v>223</v>
      </c>
      <c r="K34" t="s">
        <v>69</v>
      </c>
      <c r="L34" t="s">
        <v>224</v>
      </c>
      <c r="M34" t="s">
        <v>225</v>
      </c>
      <c r="N34" t="s">
        <v>226</v>
      </c>
      <c r="O34" t="s">
        <v>26</v>
      </c>
      <c r="P34">
        <v>120</v>
      </c>
      <c r="T34" t="s">
        <v>227</v>
      </c>
    </row>
    <row r="35" spans="1:20">
      <c r="A35">
        <v>228128</v>
      </c>
      <c r="B35" t="s">
        <v>228</v>
      </c>
      <c r="C35" t="str">
        <f>"9780660172569"</f>
        <v>9780660172569</v>
      </c>
      <c r="D35" t="str">
        <f>"9781459302785"</f>
        <v>9781459302785</v>
      </c>
      <c r="E35" t="s">
        <v>21</v>
      </c>
      <c r="F35" t="s">
        <v>21</v>
      </c>
      <c r="G35" s="1">
        <v>36130</v>
      </c>
      <c r="J35" t="s">
        <v>229</v>
      </c>
      <c r="K35" t="s">
        <v>230</v>
      </c>
      <c r="L35" t="s">
        <v>231</v>
      </c>
      <c r="M35" t="s">
        <v>232</v>
      </c>
      <c r="N35" t="s">
        <v>233</v>
      </c>
      <c r="O35" t="s">
        <v>26</v>
      </c>
      <c r="P35">
        <v>89.95</v>
      </c>
      <c r="T35" t="s">
        <v>234</v>
      </c>
    </row>
    <row r="36" spans="1:20">
      <c r="A36">
        <v>228129</v>
      </c>
      <c r="B36" t="s">
        <v>235</v>
      </c>
      <c r="C36" t="str">
        <f>"9780660183978"</f>
        <v>9780660183978</v>
      </c>
      <c r="D36" t="str">
        <f>"9780660189956"</f>
        <v>9780660189956</v>
      </c>
      <c r="E36" t="s">
        <v>21</v>
      </c>
      <c r="F36" t="s">
        <v>21</v>
      </c>
      <c r="G36" s="1">
        <v>36892</v>
      </c>
      <c r="J36" t="s">
        <v>236</v>
      </c>
      <c r="K36" t="s">
        <v>237</v>
      </c>
      <c r="L36" t="s">
        <v>238</v>
      </c>
      <c r="M36">
        <v>509.71090500000003</v>
      </c>
      <c r="N36" t="s">
        <v>239</v>
      </c>
      <c r="O36" t="s">
        <v>26</v>
      </c>
      <c r="P36">
        <v>12.95</v>
      </c>
      <c r="T36" t="s">
        <v>240</v>
      </c>
    </row>
    <row r="37" spans="1:20">
      <c r="A37">
        <v>228130</v>
      </c>
      <c r="B37" t="s">
        <v>241</v>
      </c>
      <c r="C37" t="str">
        <f>"9780660964720"</f>
        <v>9780660964720</v>
      </c>
      <c r="D37" t="str">
        <f>"9780660967981"</f>
        <v>9780660967981</v>
      </c>
      <c r="E37" t="s">
        <v>21</v>
      </c>
      <c r="F37" t="s">
        <v>21</v>
      </c>
      <c r="G37" s="1">
        <v>36892</v>
      </c>
      <c r="J37" t="s">
        <v>242</v>
      </c>
      <c r="K37" t="s">
        <v>243</v>
      </c>
      <c r="L37" t="s">
        <v>244</v>
      </c>
      <c r="M37" t="s">
        <v>245</v>
      </c>
      <c r="N37" t="s">
        <v>246</v>
      </c>
      <c r="O37" t="s">
        <v>94</v>
      </c>
      <c r="P37">
        <v>12.95</v>
      </c>
      <c r="T37" t="s">
        <v>247</v>
      </c>
    </row>
    <row r="38" spans="1:20">
      <c r="A38">
        <v>256382</v>
      </c>
      <c r="B38" t="s">
        <v>248</v>
      </c>
      <c r="C38" t="str">
        <f>"9780865714939"</f>
        <v>9780865714939</v>
      </c>
      <c r="D38" t="str">
        <f>"9781550923025"</f>
        <v>9781550923025</v>
      </c>
      <c r="E38" t="s">
        <v>249</v>
      </c>
      <c r="F38" t="s">
        <v>249</v>
      </c>
      <c r="G38" s="1">
        <v>37895</v>
      </c>
      <c r="J38" t="s">
        <v>250</v>
      </c>
      <c r="K38" t="s">
        <v>251</v>
      </c>
      <c r="L38" t="s">
        <v>252</v>
      </c>
      <c r="M38">
        <v>649.70000000000005</v>
      </c>
      <c r="N38" t="s">
        <v>253</v>
      </c>
      <c r="O38" t="s">
        <v>26</v>
      </c>
      <c r="P38">
        <v>18.95</v>
      </c>
      <c r="R38">
        <v>18.95</v>
      </c>
      <c r="S38">
        <v>28.43</v>
      </c>
      <c r="T38" t="s">
        <v>254</v>
      </c>
    </row>
    <row r="39" spans="1:20">
      <c r="A39">
        <v>256384</v>
      </c>
      <c r="B39" t="s">
        <v>255</v>
      </c>
      <c r="C39" t="str">
        <f>"9780865714014"</f>
        <v>9780865714014</v>
      </c>
      <c r="D39" t="str">
        <f>"9781550923063"</f>
        <v>9781550923063</v>
      </c>
      <c r="E39" t="s">
        <v>249</v>
      </c>
      <c r="F39" t="s">
        <v>249</v>
      </c>
      <c r="G39" s="1">
        <v>36404</v>
      </c>
      <c r="J39" t="s">
        <v>256</v>
      </c>
      <c r="K39" t="s">
        <v>257</v>
      </c>
      <c r="L39" t="s">
        <v>258</v>
      </c>
      <c r="M39">
        <v>371.04199999999997</v>
      </c>
      <c r="N39" t="s">
        <v>259</v>
      </c>
      <c r="O39" t="s">
        <v>26</v>
      </c>
      <c r="P39">
        <v>16.95</v>
      </c>
      <c r="R39">
        <v>16.95</v>
      </c>
      <c r="S39">
        <v>25.43</v>
      </c>
      <c r="T39" t="s">
        <v>260</v>
      </c>
    </row>
    <row r="40" spans="1:20">
      <c r="A40">
        <v>256385</v>
      </c>
      <c r="B40" t="s">
        <v>261</v>
      </c>
      <c r="C40" t="str">
        <f>"9780865713864"</f>
        <v>9780865713864</v>
      </c>
      <c r="D40" t="str">
        <f>"9781550923087"</f>
        <v>9781550923087</v>
      </c>
      <c r="E40" t="s">
        <v>249</v>
      </c>
      <c r="F40" t="s">
        <v>249</v>
      </c>
      <c r="G40" s="1">
        <v>40179</v>
      </c>
      <c r="J40" t="s">
        <v>262</v>
      </c>
      <c r="K40" t="s">
        <v>263</v>
      </c>
      <c r="L40" t="s">
        <v>264</v>
      </c>
      <c r="M40" t="s">
        <v>265</v>
      </c>
      <c r="N40" t="s">
        <v>266</v>
      </c>
      <c r="O40" t="s">
        <v>26</v>
      </c>
      <c r="P40">
        <v>16.95</v>
      </c>
      <c r="R40">
        <v>16.95</v>
      </c>
      <c r="S40">
        <v>25.43</v>
      </c>
      <c r="T40" t="s">
        <v>267</v>
      </c>
    </row>
    <row r="41" spans="1:20">
      <c r="A41">
        <v>256386</v>
      </c>
      <c r="B41" t="s">
        <v>268</v>
      </c>
      <c r="C41" t="str">
        <f>"9780865714816"</f>
        <v>9780865714816</v>
      </c>
      <c r="D41" t="str">
        <f>"9781550923100"</f>
        <v>9781550923100</v>
      </c>
      <c r="E41" t="s">
        <v>249</v>
      </c>
      <c r="F41" t="s">
        <v>249</v>
      </c>
      <c r="G41" s="1">
        <v>39873</v>
      </c>
      <c r="I41" t="s">
        <v>269</v>
      </c>
      <c r="J41" t="s">
        <v>270</v>
      </c>
      <c r="K41" t="s">
        <v>271</v>
      </c>
      <c r="L41" t="s">
        <v>272</v>
      </c>
      <c r="M41" t="s">
        <v>273</v>
      </c>
      <c r="N41" t="s">
        <v>274</v>
      </c>
      <c r="O41" t="s">
        <v>26</v>
      </c>
      <c r="P41">
        <v>25.95</v>
      </c>
      <c r="R41">
        <v>25.95</v>
      </c>
      <c r="S41">
        <v>38.93</v>
      </c>
      <c r="T41" t="s">
        <v>275</v>
      </c>
    </row>
    <row r="42" spans="1:20">
      <c r="A42">
        <v>256388</v>
      </c>
      <c r="B42" t="s">
        <v>276</v>
      </c>
      <c r="C42" t="str">
        <f>"9780865715172"</f>
        <v>9780865715172</v>
      </c>
      <c r="D42" t="str">
        <f>"9781550923148"</f>
        <v>9781550923148</v>
      </c>
      <c r="E42" t="s">
        <v>249</v>
      </c>
      <c r="F42" t="s">
        <v>249</v>
      </c>
      <c r="G42" s="1">
        <v>39873</v>
      </c>
      <c r="J42" t="s">
        <v>277</v>
      </c>
      <c r="K42" t="s">
        <v>278</v>
      </c>
      <c r="L42" t="s">
        <v>279</v>
      </c>
      <c r="M42">
        <v>334.1</v>
      </c>
      <c r="N42" t="s">
        <v>280</v>
      </c>
      <c r="O42" t="s">
        <v>26</v>
      </c>
      <c r="P42">
        <v>26.95</v>
      </c>
      <c r="R42">
        <v>26.95</v>
      </c>
      <c r="T42" t="s">
        <v>281</v>
      </c>
    </row>
    <row r="43" spans="1:20">
      <c r="A43">
        <v>256389</v>
      </c>
      <c r="B43" t="s">
        <v>282</v>
      </c>
      <c r="C43" t="str">
        <f>"9780865714717"</f>
        <v>9780865714717</v>
      </c>
      <c r="D43" t="str">
        <f>"9781550923162"</f>
        <v>9781550923162</v>
      </c>
      <c r="E43" t="s">
        <v>249</v>
      </c>
      <c r="F43" t="s">
        <v>249</v>
      </c>
      <c r="G43" s="1">
        <v>37622</v>
      </c>
      <c r="J43" t="s">
        <v>283</v>
      </c>
      <c r="K43" t="s">
        <v>284</v>
      </c>
      <c r="L43" t="s">
        <v>285</v>
      </c>
      <c r="M43" t="s">
        <v>286</v>
      </c>
      <c r="N43" t="s">
        <v>287</v>
      </c>
      <c r="O43" t="s">
        <v>26</v>
      </c>
      <c r="P43">
        <v>27.95</v>
      </c>
      <c r="R43">
        <v>27.95</v>
      </c>
      <c r="S43">
        <v>41.93</v>
      </c>
      <c r="T43" t="s">
        <v>288</v>
      </c>
    </row>
    <row r="44" spans="1:20">
      <c r="A44">
        <v>256390</v>
      </c>
      <c r="B44" t="s">
        <v>289</v>
      </c>
      <c r="C44" t="str">
        <f>"9780865715400"</f>
        <v>9780865715400</v>
      </c>
      <c r="D44" t="str">
        <f>"9781550923186"</f>
        <v>9781550923186</v>
      </c>
      <c r="E44" t="s">
        <v>249</v>
      </c>
      <c r="F44" t="s">
        <v>249</v>
      </c>
      <c r="G44" s="1">
        <v>38261</v>
      </c>
      <c r="J44" t="s">
        <v>290</v>
      </c>
      <c r="K44" t="s">
        <v>291</v>
      </c>
      <c r="L44" t="s">
        <v>292</v>
      </c>
      <c r="M44">
        <v>973.93</v>
      </c>
      <c r="N44" t="s">
        <v>293</v>
      </c>
      <c r="O44" t="s">
        <v>26</v>
      </c>
      <c r="P44">
        <v>29.95</v>
      </c>
      <c r="R44">
        <v>29.95</v>
      </c>
      <c r="T44" t="s">
        <v>294</v>
      </c>
    </row>
    <row r="45" spans="1:20">
      <c r="A45">
        <v>256391</v>
      </c>
      <c r="B45" t="s">
        <v>295</v>
      </c>
      <c r="C45" t="str">
        <f>"9780865714625"</f>
        <v>9780865714625</v>
      </c>
      <c r="D45" t="str">
        <f>"9781550923209"</f>
        <v>9781550923209</v>
      </c>
      <c r="E45" t="s">
        <v>249</v>
      </c>
      <c r="F45" t="s">
        <v>249</v>
      </c>
      <c r="G45" s="1">
        <v>40179</v>
      </c>
      <c r="J45" t="s">
        <v>296</v>
      </c>
      <c r="K45" t="s">
        <v>297</v>
      </c>
      <c r="L45" t="s">
        <v>298</v>
      </c>
      <c r="M45" t="s">
        <v>299</v>
      </c>
      <c r="N45" t="s">
        <v>300</v>
      </c>
      <c r="O45" t="s">
        <v>26</v>
      </c>
      <c r="P45">
        <v>14.95</v>
      </c>
      <c r="R45">
        <v>14.95</v>
      </c>
      <c r="S45">
        <v>22.43</v>
      </c>
      <c r="T45" t="s">
        <v>301</v>
      </c>
    </row>
    <row r="46" spans="1:20">
      <c r="A46">
        <v>256392</v>
      </c>
      <c r="B46" t="s">
        <v>302</v>
      </c>
      <c r="C46" t="str">
        <f>"9780865714557"</f>
        <v>9780865714557</v>
      </c>
      <c r="D46" t="str">
        <f>"9781550922974"</f>
        <v>9781550922974</v>
      </c>
      <c r="E46" t="s">
        <v>249</v>
      </c>
      <c r="F46" t="s">
        <v>249</v>
      </c>
      <c r="G46" s="1">
        <v>37408</v>
      </c>
      <c r="I46" t="s">
        <v>303</v>
      </c>
      <c r="J46" t="s">
        <v>304</v>
      </c>
      <c r="K46" t="s">
        <v>305</v>
      </c>
      <c r="L46" t="s">
        <v>306</v>
      </c>
      <c r="M46" t="s">
        <v>307</v>
      </c>
      <c r="N46" t="s">
        <v>308</v>
      </c>
      <c r="O46" t="s">
        <v>26</v>
      </c>
      <c r="P46">
        <v>29.95</v>
      </c>
      <c r="R46">
        <v>29.95</v>
      </c>
      <c r="S46">
        <v>44.93</v>
      </c>
      <c r="T46" t="s">
        <v>309</v>
      </c>
    </row>
    <row r="47" spans="1:20">
      <c r="A47">
        <v>256393</v>
      </c>
      <c r="B47" t="s">
        <v>310</v>
      </c>
      <c r="C47" t="str">
        <f>"9780865713772"</f>
        <v>9780865713772</v>
      </c>
      <c r="D47" t="str">
        <f>"9781550922998"</f>
        <v>9781550922998</v>
      </c>
      <c r="E47" t="s">
        <v>249</v>
      </c>
      <c r="F47" t="s">
        <v>249</v>
      </c>
      <c r="G47" s="1">
        <v>40179</v>
      </c>
      <c r="J47" t="s">
        <v>311</v>
      </c>
      <c r="K47" t="s">
        <v>263</v>
      </c>
      <c r="L47" t="s">
        <v>312</v>
      </c>
      <c r="M47">
        <v>305.23500000000001</v>
      </c>
      <c r="N47" t="s">
        <v>313</v>
      </c>
      <c r="O47" t="s">
        <v>26</v>
      </c>
      <c r="P47">
        <v>19.95</v>
      </c>
      <c r="R47">
        <v>19.95</v>
      </c>
      <c r="S47">
        <v>29.93</v>
      </c>
      <c r="T47" t="s">
        <v>314</v>
      </c>
    </row>
    <row r="48" spans="1:20">
      <c r="A48">
        <v>256394</v>
      </c>
      <c r="B48" t="s">
        <v>315</v>
      </c>
      <c r="C48" t="str">
        <f>"9780865714489"</f>
        <v>9780865714489</v>
      </c>
      <c r="D48" t="str">
        <f>"9781550923018"</f>
        <v>9781550923018</v>
      </c>
      <c r="E48" t="s">
        <v>249</v>
      </c>
      <c r="F48" t="s">
        <v>249</v>
      </c>
      <c r="G48" s="1">
        <v>37288</v>
      </c>
      <c r="J48" t="s">
        <v>316</v>
      </c>
      <c r="K48" t="s">
        <v>257</v>
      </c>
      <c r="L48" t="s">
        <v>317</v>
      </c>
      <c r="M48" t="s">
        <v>318</v>
      </c>
      <c r="N48" t="s">
        <v>319</v>
      </c>
      <c r="O48" t="s">
        <v>26</v>
      </c>
      <c r="P48">
        <v>12.95</v>
      </c>
      <c r="R48">
        <v>12.95</v>
      </c>
      <c r="S48">
        <v>19.43</v>
      </c>
      <c r="T48" t="s">
        <v>320</v>
      </c>
    </row>
    <row r="49" spans="1:20">
      <c r="A49">
        <v>256395</v>
      </c>
      <c r="B49" t="s">
        <v>321</v>
      </c>
      <c r="C49" t="str">
        <f>"9780865715073"</f>
        <v>9780865715073</v>
      </c>
      <c r="D49" t="str">
        <f>"9781550923032"</f>
        <v>9781550923032</v>
      </c>
      <c r="E49" t="s">
        <v>249</v>
      </c>
      <c r="F49" t="s">
        <v>249</v>
      </c>
      <c r="G49" s="1">
        <v>38139</v>
      </c>
      <c r="I49" t="s">
        <v>269</v>
      </c>
      <c r="J49" t="s">
        <v>322</v>
      </c>
      <c r="K49" t="s">
        <v>323</v>
      </c>
      <c r="L49" t="s">
        <v>324</v>
      </c>
      <c r="M49" t="s">
        <v>325</v>
      </c>
      <c r="N49" t="s">
        <v>326</v>
      </c>
      <c r="O49" t="s">
        <v>26</v>
      </c>
      <c r="P49">
        <v>29.95</v>
      </c>
      <c r="R49">
        <v>29.95</v>
      </c>
      <c r="T49" t="s">
        <v>327</v>
      </c>
    </row>
    <row r="50" spans="1:20">
      <c r="A50">
        <v>256396</v>
      </c>
      <c r="B50" t="s">
        <v>328</v>
      </c>
      <c r="C50" t="str">
        <f>"9780865715332"</f>
        <v>9780865715332</v>
      </c>
      <c r="D50" t="str">
        <f>"9781550923056"</f>
        <v>9781550923056</v>
      </c>
      <c r="E50" t="s">
        <v>249</v>
      </c>
      <c r="F50" t="s">
        <v>249</v>
      </c>
      <c r="G50" s="1">
        <v>38504</v>
      </c>
      <c r="J50" t="s">
        <v>329</v>
      </c>
      <c r="K50" t="s">
        <v>330</v>
      </c>
      <c r="L50" t="s">
        <v>331</v>
      </c>
      <c r="M50">
        <v>363.70071000000002</v>
      </c>
      <c r="N50" t="s">
        <v>332</v>
      </c>
      <c r="O50" t="s">
        <v>26</v>
      </c>
      <c r="P50">
        <v>17.95</v>
      </c>
      <c r="R50">
        <v>17.95</v>
      </c>
      <c r="T50" t="s">
        <v>333</v>
      </c>
    </row>
    <row r="51" spans="1:20">
      <c r="A51">
        <v>256397</v>
      </c>
      <c r="B51" t="s">
        <v>334</v>
      </c>
      <c r="C51" t="str">
        <f>"9780865715240"</f>
        <v>9780865715240</v>
      </c>
      <c r="D51" t="str">
        <f>"9781550923070"</f>
        <v>9781550923070</v>
      </c>
      <c r="E51" t="s">
        <v>249</v>
      </c>
      <c r="F51" t="s">
        <v>249</v>
      </c>
      <c r="G51" s="1">
        <v>38473</v>
      </c>
      <c r="J51" t="s">
        <v>335</v>
      </c>
      <c r="K51" t="s">
        <v>336</v>
      </c>
      <c r="L51" t="s">
        <v>337</v>
      </c>
      <c r="M51" t="s">
        <v>338</v>
      </c>
      <c r="N51" t="s">
        <v>339</v>
      </c>
      <c r="O51" t="s">
        <v>26</v>
      </c>
      <c r="P51">
        <v>17.95</v>
      </c>
      <c r="R51">
        <v>17.95</v>
      </c>
      <c r="T51" t="s">
        <v>340</v>
      </c>
    </row>
    <row r="52" spans="1:20">
      <c r="A52">
        <v>256398</v>
      </c>
      <c r="B52" t="s">
        <v>341</v>
      </c>
      <c r="C52" t="str">
        <f>"9780865715028"</f>
        <v>9780865715028</v>
      </c>
      <c r="D52" t="str">
        <f>"9781550923094"</f>
        <v>9781550923094</v>
      </c>
      <c r="E52" t="s">
        <v>249</v>
      </c>
      <c r="F52" t="s">
        <v>249</v>
      </c>
      <c r="G52" s="1">
        <v>39873</v>
      </c>
      <c r="I52" t="s">
        <v>303</v>
      </c>
      <c r="J52" t="s">
        <v>342</v>
      </c>
      <c r="K52" t="s">
        <v>278</v>
      </c>
      <c r="L52" t="s">
        <v>343</v>
      </c>
      <c r="M52">
        <v>332.6</v>
      </c>
      <c r="N52" t="s">
        <v>344</v>
      </c>
      <c r="O52" t="s">
        <v>26</v>
      </c>
      <c r="P52">
        <v>16.95</v>
      </c>
      <c r="R52">
        <v>16.95</v>
      </c>
      <c r="S52">
        <v>25.43</v>
      </c>
      <c r="T52" t="s">
        <v>345</v>
      </c>
    </row>
    <row r="53" spans="1:20">
      <c r="A53">
        <v>256399</v>
      </c>
      <c r="B53" t="s">
        <v>346</v>
      </c>
      <c r="C53" t="str">
        <f>"9780865715004"</f>
        <v>9780865715004</v>
      </c>
      <c r="D53" t="str">
        <f>"9781550923117"</f>
        <v>9781550923117</v>
      </c>
      <c r="E53" t="s">
        <v>249</v>
      </c>
      <c r="F53" t="s">
        <v>249</v>
      </c>
      <c r="G53" s="1">
        <v>39873</v>
      </c>
      <c r="J53" t="s">
        <v>347</v>
      </c>
      <c r="K53" t="s">
        <v>348</v>
      </c>
      <c r="L53" t="s">
        <v>349</v>
      </c>
      <c r="M53" t="s">
        <v>350</v>
      </c>
      <c r="N53" t="s">
        <v>351</v>
      </c>
      <c r="O53" t="s">
        <v>26</v>
      </c>
      <c r="P53">
        <v>16.95</v>
      </c>
      <c r="R53">
        <v>16.95</v>
      </c>
      <c r="S53">
        <v>25.43</v>
      </c>
      <c r="T53" t="s">
        <v>352</v>
      </c>
    </row>
    <row r="54" spans="1:20">
      <c r="A54">
        <v>256400</v>
      </c>
      <c r="B54" t="s">
        <v>353</v>
      </c>
      <c r="C54" t="str">
        <f>"9780865714687"</f>
        <v>9780865714687</v>
      </c>
      <c r="D54" t="str">
        <f>"9781550923131"</f>
        <v>9781550923131</v>
      </c>
      <c r="E54" t="s">
        <v>249</v>
      </c>
      <c r="F54" t="s">
        <v>249</v>
      </c>
      <c r="G54" s="1">
        <v>39873</v>
      </c>
      <c r="I54" t="s">
        <v>354</v>
      </c>
      <c r="J54" t="s">
        <v>355</v>
      </c>
      <c r="K54" t="s">
        <v>356</v>
      </c>
      <c r="L54" t="s">
        <v>357</v>
      </c>
      <c r="M54" t="s">
        <v>358</v>
      </c>
      <c r="N54" t="s">
        <v>359</v>
      </c>
      <c r="O54" t="s">
        <v>26</v>
      </c>
      <c r="P54">
        <v>19.95</v>
      </c>
      <c r="R54">
        <v>19.95</v>
      </c>
      <c r="S54">
        <v>29.93</v>
      </c>
      <c r="T54" t="s">
        <v>360</v>
      </c>
    </row>
    <row r="55" spans="1:20">
      <c r="A55">
        <v>256401</v>
      </c>
      <c r="B55" t="s">
        <v>361</v>
      </c>
      <c r="C55" t="str">
        <f>"9780865714663"</f>
        <v>9780865714663</v>
      </c>
      <c r="D55" t="str">
        <f>"9781550923155"</f>
        <v>9781550923155</v>
      </c>
      <c r="E55" t="s">
        <v>249</v>
      </c>
      <c r="F55" t="s">
        <v>249</v>
      </c>
      <c r="G55" s="1">
        <v>39873</v>
      </c>
      <c r="J55" t="s">
        <v>362</v>
      </c>
      <c r="K55" t="s">
        <v>356</v>
      </c>
      <c r="L55" t="s">
        <v>363</v>
      </c>
      <c r="M55" t="s">
        <v>358</v>
      </c>
      <c r="N55" t="s">
        <v>364</v>
      </c>
      <c r="O55" t="s">
        <v>26</v>
      </c>
      <c r="P55">
        <v>19.95</v>
      </c>
      <c r="R55">
        <v>19.95</v>
      </c>
      <c r="S55">
        <v>29.93</v>
      </c>
      <c r="T55" t="s">
        <v>365</v>
      </c>
    </row>
    <row r="56" spans="1:20">
      <c r="A56">
        <v>256402</v>
      </c>
      <c r="B56" t="s">
        <v>366</v>
      </c>
      <c r="C56" t="str">
        <f>"9780865715301"</f>
        <v>9780865715301</v>
      </c>
      <c r="D56" t="str">
        <f>"9781550923179"</f>
        <v>9781550923179</v>
      </c>
      <c r="E56" t="s">
        <v>249</v>
      </c>
      <c r="F56" t="s">
        <v>249</v>
      </c>
      <c r="G56" s="1">
        <v>38473</v>
      </c>
      <c r="I56" t="s">
        <v>367</v>
      </c>
      <c r="J56" t="s">
        <v>368</v>
      </c>
      <c r="K56" t="s">
        <v>369</v>
      </c>
      <c r="L56" t="s">
        <v>370</v>
      </c>
      <c r="M56" t="s">
        <v>371</v>
      </c>
      <c r="N56" t="s">
        <v>372</v>
      </c>
      <c r="O56" t="s">
        <v>26</v>
      </c>
      <c r="P56">
        <v>19.95</v>
      </c>
      <c r="R56">
        <v>19.95</v>
      </c>
      <c r="T56" t="s">
        <v>373</v>
      </c>
    </row>
    <row r="57" spans="1:20">
      <c r="A57">
        <v>256403</v>
      </c>
      <c r="B57" t="s">
        <v>374</v>
      </c>
      <c r="C57" t="str">
        <f>"9780865715110"</f>
        <v>9780865715110</v>
      </c>
      <c r="D57" t="str">
        <f>"9781550923193"</f>
        <v>9781550923193</v>
      </c>
      <c r="E57" t="s">
        <v>249</v>
      </c>
      <c r="F57" t="s">
        <v>249</v>
      </c>
      <c r="G57" s="1">
        <v>38261</v>
      </c>
      <c r="J57" t="s">
        <v>375</v>
      </c>
      <c r="K57" t="s">
        <v>376</v>
      </c>
      <c r="L57" t="s">
        <v>377</v>
      </c>
      <c r="M57">
        <v>613.5</v>
      </c>
      <c r="N57" t="s">
        <v>378</v>
      </c>
      <c r="O57" t="s">
        <v>26</v>
      </c>
      <c r="P57">
        <v>26.95</v>
      </c>
      <c r="R57">
        <v>26.95</v>
      </c>
      <c r="T57" t="s">
        <v>379</v>
      </c>
    </row>
    <row r="58" spans="1:20">
      <c r="A58">
        <v>256404</v>
      </c>
      <c r="B58" t="s">
        <v>380</v>
      </c>
      <c r="C58" t="str">
        <f>"9780865715462"</f>
        <v>9780865715462</v>
      </c>
      <c r="D58" t="str">
        <f>"9781550923216"</f>
        <v>9781550923216</v>
      </c>
      <c r="E58" t="s">
        <v>249</v>
      </c>
      <c r="F58" t="s">
        <v>249</v>
      </c>
      <c r="G58" s="1">
        <v>39873</v>
      </c>
      <c r="J58" t="s">
        <v>381</v>
      </c>
      <c r="K58" t="s">
        <v>263</v>
      </c>
      <c r="L58" t="s">
        <v>382</v>
      </c>
      <c r="M58">
        <v>307.76097600000003</v>
      </c>
      <c r="N58" t="s">
        <v>383</v>
      </c>
      <c r="O58" t="s">
        <v>26</v>
      </c>
      <c r="P58">
        <v>17.95</v>
      </c>
      <c r="R58">
        <v>17.95</v>
      </c>
      <c r="T58" t="s">
        <v>384</v>
      </c>
    </row>
    <row r="59" spans="1:20">
      <c r="A59">
        <v>256405</v>
      </c>
      <c r="B59" t="s">
        <v>385</v>
      </c>
      <c r="C59" t="str">
        <f>"9780865715189"</f>
        <v>9780865715189</v>
      </c>
      <c r="D59" t="str">
        <f>"9781550923223"</f>
        <v>9781550923223</v>
      </c>
      <c r="E59" t="s">
        <v>249</v>
      </c>
      <c r="F59" t="s">
        <v>249</v>
      </c>
      <c r="G59" s="1">
        <v>38384</v>
      </c>
      <c r="I59" t="s">
        <v>367</v>
      </c>
      <c r="J59" t="s">
        <v>386</v>
      </c>
      <c r="K59" t="s">
        <v>387</v>
      </c>
      <c r="L59" t="s">
        <v>388</v>
      </c>
      <c r="M59" t="s">
        <v>389</v>
      </c>
      <c r="N59" t="s">
        <v>390</v>
      </c>
      <c r="O59" t="s">
        <v>26</v>
      </c>
      <c r="P59">
        <v>34.950000000000003</v>
      </c>
      <c r="R59">
        <v>34.950000000000003</v>
      </c>
      <c r="T59" t="s">
        <v>391</v>
      </c>
    </row>
    <row r="60" spans="1:20">
      <c r="A60">
        <v>256406</v>
      </c>
      <c r="B60" t="s">
        <v>392</v>
      </c>
      <c r="C60" t="str">
        <f>"9780865714403"</f>
        <v>9780865714403</v>
      </c>
      <c r="D60" t="str">
        <f>"9781550923247"</f>
        <v>9781550923247</v>
      </c>
      <c r="E60" t="s">
        <v>249</v>
      </c>
      <c r="F60" t="s">
        <v>249</v>
      </c>
      <c r="G60" s="1">
        <v>37226</v>
      </c>
      <c r="J60" t="s">
        <v>393</v>
      </c>
      <c r="K60" t="s">
        <v>251</v>
      </c>
      <c r="L60" t="s">
        <v>394</v>
      </c>
      <c r="M60">
        <v>649.1</v>
      </c>
      <c r="N60" t="s">
        <v>395</v>
      </c>
      <c r="O60" t="s">
        <v>26</v>
      </c>
      <c r="P60">
        <v>16.95</v>
      </c>
      <c r="R60">
        <v>16.95</v>
      </c>
      <c r="S60">
        <v>25.43</v>
      </c>
      <c r="T60" t="s">
        <v>396</v>
      </c>
    </row>
    <row r="61" spans="1:20">
      <c r="A61">
        <v>256407</v>
      </c>
      <c r="B61" t="s">
        <v>397</v>
      </c>
      <c r="C61" t="str">
        <f>"9780865714496"</f>
        <v>9780865714496</v>
      </c>
      <c r="D61" t="str">
        <f>"9781550923261"</f>
        <v>9781550923261</v>
      </c>
      <c r="E61" t="s">
        <v>249</v>
      </c>
      <c r="F61" t="s">
        <v>249</v>
      </c>
      <c r="G61" s="1">
        <v>37438</v>
      </c>
      <c r="I61" t="s">
        <v>269</v>
      </c>
      <c r="J61" t="s">
        <v>398</v>
      </c>
      <c r="K61" t="s">
        <v>323</v>
      </c>
      <c r="L61" t="s">
        <v>399</v>
      </c>
      <c r="M61" t="s">
        <v>400</v>
      </c>
      <c r="N61" t="s">
        <v>401</v>
      </c>
      <c r="O61" t="s">
        <v>26</v>
      </c>
      <c r="P61">
        <v>29.95</v>
      </c>
      <c r="R61">
        <v>29.95</v>
      </c>
      <c r="S61">
        <v>44.93</v>
      </c>
      <c r="T61" t="s">
        <v>402</v>
      </c>
    </row>
    <row r="62" spans="1:20">
      <c r="A62">
        <v>256408</v>
      </c>
      <c r="B62" t="s">
        <v>403</v>
      </c>
      <c r="C62" t="str">
        <f>"9780865714533"</f>
        <v>9780865714533</v>
      </c>
      <c r="D62" t="str">
        <f>"9781550923285"</f>
        <v>9781550923285</v>
      </c>
      <c r="E62" t="s">
        <v>249</v>
      </c>
      <c r="F62" t="s">
        <v>249</v>
      </c>
      <c r="G62" s="1">
        <v>40179</v>
      </c>
      <c r="I62" t="s">
        <v>303</v>
      </c>
      <c r="J62" t="s">
        <v>404</v>
      </c>
      <c r="K62" t="s">
        <v>305</v>
      </c>
      <c r="L62" t="s">
        <v>405</v>
      </c>
      <c r="M62" t="s">
        <v>307</v>
      </c>
      <c r="N62" t="s">
        <v>406</v>
      </c>
      <c r="O62" t="s">
        <v>26</v>
      </c>
      <c r="P62">
        <v>17.989999999999998</v>
      </c>
      <c r="R62">
        <v>17.989999999999998</v>
      </c>
      <c r="S62">
        <v>26.99</v>
      </c>
      <c r="T62" t="s">
        <v>407</v>
      </c>
    </row>
    <row r="63" spans="1:20">
      <c r="A63">
        <v>256409</v>
      </c>
      <c r="B63" t="s">
        <v>408</v>
      </c>
      <c r="C63" t="str">
        <f>"9780865715325"</f>
        <v>9780865715325</v>
      </c>
      <c r="D63" t="str">
        <f>"9781550923308"</f>
        <v>9781550923308</v>
      </c>
      <c r="E63" t="s">
        <v>249</v>
      </c>
      <c r="F63" t="s">
        <v>249</v>
      </c>
      <c r="G63" s="1">
        <v>38443</v>
      </c>
      <c r="I63" t="s">
        <v>303</v>
      </c>
      <c r="J63" t="s">
        <v>409</v>
      </c>
      <c r="K63" t="s">
        <v>305</v>
      </c>
      <c r="L63" t="s">
        <v>410</v>
      </c>
      <c r="M63" t="s">
        <v>411</v>
      </c>
      <c r="N63" t="s">
        <v>412</v>
      </c>
      <c r="O63" t="s">
        <v>26</v>
      </c>
      <c r="P63">
        <v>22.95</v>
      </c>
      <c r="R63">
        <v>22.95</v>
      </c>
      <c r="T63" t="s">
        <v>413</v>
      </c>
    </row>
    <row r="64" spans="1:20">
      <c r="A64">
        <v>256410</v>
      </c>
      <c r="B64" t="s">
        <v>414</v>
      </c>
      <c r="C64" t="str">
        <f>"9780865714632"</f>
        <v>9780865714632</v>
      </c>
      <c r="D64" t="str">
        <f>"9781550923322"</f>
        <v>9781550923322</v>
      </c>
      <c r="E64" t="s">
        <v>249</v>
      </c>
      <c r="F64" t="s">
        <v>249</v>
      </c>
      <c r="G64" s="1">
        <v>37500</v>
      </c>
      <c r="J64" t="s">
        <v>415</v>
      </c>
      <c r="K64" t="s">
        <v>416</v>
      </c>
      <c r="L64" t="s">
        <v>417</v>
      </c>
      <c r="M64" t="s">
        <v>418</v>
      </c>
      <c r="N64" t="s">
        <v>419</v>
      </c>
      <c r="O64" t="s">
        <v>26</v>
      </c>
      <c r="P64">
        <v>17.95</v>
      </c>
      <c r="R64">
        <v>17.95</v>
      </c>
      <c r="S64">
        <v>26.93</v>
      </c>
      <c r="T64" t="s">
        <v>420</v>
      </c>
    </row>
    <row r="65" spans="1:20">
      <c r="A65">
        <v>256411</v>
      </c>
      <c r="B65" t="s">
        <v>421</v>
      </c>
      <c r="C65" t="str">
        <f>"9780865715295"</f>
        <v>9780865715295</v>
      </c>
      <c r="D65" t="str">
        <f>"9781550923346"</f>
        <v>9781550923346</v>
      </c>
      <c r="E65" t="s">
        <v>249</v>
      </c>
      <c r="F65" t="s">
        <v>249</v>
      </c>
      <c r="G65" s="1">
        <v>38504</v>
      </c>
      <c r="J65" t="s">
        <v>422</v>
      </c>
      <c r="K65" t="s">
        <v>423</v>
      </c>
      <c r="L65" t="s">
        <v>424</v>
      </c>
      <c r="M65" t="s">
        <v>425</v>
      </c>
      <c r="N65" t="s">
        <v>426</v>
      </c>
      <c r="O65" t="s">
        <v>26</v>
      </c>
      <c r="P65">
        <v>24.95</v>
      </c>
      <c r="R65">
        <v>24.95</v>
      </c>
      <c r="T65" t="s">
        <v>427</v>
      </c>
    </row>
    <row r="66" spans="1:20">
      <c r="A66">
        <v>256412</v>
      </c>
      <c r="B66" t="s">
        <v>428</v>
      </c>
      <c r="C66" t="str">
        <f>"9780865715141"</f>
        <v>9780865715141</v>
      </c>
      <c r="D66" t="str">
        <f>"9781550923353"</f>
        <v>9781550923353</v>
      </c>
      <c r="E66" t="s">
        <v>249</v>
      </c>
      <c r="F66" t="s">
        <v>249</v>
      </c>
      <c r="G66" s="1">
        <v>38473</v>
      </c>
      <c r="J66" t="s">
        <v>429</v>
      </c>
      <c r="K66" t="s">
        <v>278</v>
      </c>
      <c r="L66" t="s">
        <v>430</v>
      </c>
      <c r="M66" t="s">
        <v>431</v>
      </c>
      <c r="N66" t="s">
        <v>432</v>
      </c>
      <c r="O66" t="s">
        <v>26</v>
      </c>
      <c r="P66">
        <v>17.95</v>
      </c>
      <c r="R66">
        <v>17.95</v>
      </c>
      <c r="T66" t="s">
        <v>433</v>
      </c>
    </row>
    <row r="67" spans="1:20">
      <c r="A67">
        <v>256413</v>
      </c>
      <c r="B67" t="s">
        <v>434</v>
      </c>
      <c r="C67" t="str">
        <f>"9780865715103"</f>
        <v>9780865715103</v>
      </c>
      <c r="D67" t="str">
        <f>"9781550923377"</f>
        <v>9781550923377</v>
      </c>
      <c r="E67" t="s">
        <v>249</v>
      </c>
      <c r="F67" t="s">
        <v>249</v>
      </c>
      <c r="G67" s="1">
        <v>38231</v>
      </c>
      <c r="J67" t="s">
        <v>422</v>
      </c>
      <c r="K67" t="s">
        <v>435</v>
      </c>
      <c r="L67" t="s">
        <v>436</v>
      </c>
      <c r="M67" t="s">
        <v>437</v>
      </c>
      <c r="N67" t="s">
        <v>438</v>
      </c>
      <c r="O67" t="s">
        <v>26</v>
      </c>
      <c r="P67">
        <v>16.95</v>
      </c>
      <c r="R67">
        <v>16.95</v>
      </c>
      <c r="T67" t="s">
        <v>439</v>
      </c>
    </row>
    <row r="68" spans="1:20">
      <c r="A68">
        <v>256414</v>
      </c>
      <c r="B68" t="s">
        <v>440</v>
      </c>
      <c r="C68" t="str">
        <f>"9780865714731"</f>
        <v>9780865714731</v>
      </c>
      <c r="D68" t="str">
        <f>"9781550923360"</f>
        <v>9781550923360</v>
      </c>
      <c r="E68" t="s">
        <v>249</v>
      </c>
      <c r="F68" t="s">
        <v>249</v>
      </c>
      <c r="G68" s="1">
        <v>37865</v>
      </c>
      <c r="J68" t="s">
        <v>441</v>
      </c>
      <c r="K68" t="s">
        <v>442</v>
      </c>
      <c r="L68" t="s">
        <v>443</v>
      </c>
      <c r="M68" t="s">
        <v>444</v>
      </c>
      <c r="N68" t="s">
        <v>445</v>
      </c>
      <c r="O68" t="s">
        <v>26</v>
      </c>
      <c r="P68">
        <v>17.95</v>
      </c>
      <c r="R68">
        <v>17.95</v>
      </c>
      <c r="S68">
        <v>26.93</v>
      </c>
      <c r="T68" t="s">
        <v>446</v>
      </c>
    </row>
    <row r="69" spans="1:20">
      <c r="A69">
        <v>256415</v>
      </c>
      <c r="B69" t="s">
        <v>447</v>
      </c>
      <c r="C69" t="str">
        <f>"9780865715042"</f>
        <v>9780865715042</v>
      </c>
      <c r="D69" t="str">
        <f>"9781550923384"</f>
        <v>9781550923384</v>
      </c>
      <c r="E69" t="s">
        <v>249</v>
      </c>
      <c r="F69" t="s">
        <v>249</v>
      </c>
      <c r="G69" s="1">
        <v>39934</v>
      </c>
      <c r="J69" t="s">
        <v>448</v>
      </c>
      <c r="K69" t="s">
        <v>76</v>
      </c>
      <c r="L69" t="s">
        <v>449</v>
      </c>
      <c r="M69" t="s">
        <v>450</v>
      </c>
      <c r="N69" t="s">
        <v>451</v>
      </c>
      <c r="O69" t="s">
        <v>26</v>
      </c>
      <c r="P69">
        <v>22.95</v>
      </c>
      <c r="R69">
        <v>22.95</v>
      </c>
      <c r="S69">
        <v>34.43</v>
      </c>
      <c r="T69" t="s">
        <v>452</v>
      </c>
    </row>
    <row r="70" spans="1:20">
      <c r="A70">
        <v>256416</v>
      </c>
      <c r="B70" t="s">
        <v>453</v>
      </c>
      <c r="C70" t="str">
        <f>"9780865714908"</f>
        <v>9780865714908</v>
      </c>
      <c r="D70" t="str">
        <f>"9781550923230"</f>
        <v>9781550923230</v>
      </c>
      <c r="E70" t="s">
        <v>249</v>
      </c>
      <c r="F70" t="s">
        <v>249</v>
      </c>
      <c r="G70" s="1">
        <v>37926</v>
      </c>
      <c r="J70" t="s">
        <v>454</v>
      </c>
      <c r="K70" t="s">
        <v>263</v>
      </c>
      <c r="L70" t="s">
        <v>455</v>
      </c>
      <c r="M70" t="s">
        <v>456</v>
      </c>
      <c r="N70" t="s">
        <v>457</v>
      </c>
      <c r="O70" t="s">
        <v>26</v>
      </c>
      <c r="P70">
        <v>24.95</v>
      </c>
      <c r="R70">
        <v>24.95</v>
      </c>
      <c r="S70">
        <v>37.43</v>
      </c>
      <c r="T70" t="s">
        <v>458</v>
      </c>
    </row>
    <row r="71" spans="1:20">
      <c r="A71">
        <v>256417</v>
      </c>
      <c r="B71" t="s">
        <v>459</v>
      </c>
      <c r="C71" t="str">
        <f>"9780865715318"</f>
        <v>9780865715318</v>
      </c>
      <c r="D71" t="str">
        <f>"9781550923254"</f>
        <v>9781550923254</v>
      </c>
      <c r="E71" t="s">
        <v>249</v>
      </c>
      <c r="F71" t="s">
        <v>249</v>
      </c>
      <c r="G71" s="1">
        <v>38504</v>
      </c>
      <c r="J71" t="s">
        <v>460</v>
      </c>
      <c r="K71" t="s">
        <v>416</v>
      </c>
      <c r="L71" t="s">
        <v>461</v>
      </c>
      <c r="M71" t="s">
        <v>462</v>
      </c>
      <c r="N71" t="s">
        <v>463</v>
      </c>
      <c r="O71" t="s">
        <v>26</v>
      </c>
      <c r="P71">
        <v>19.95</v>
      </c>
      <c r="R71">
        <v>19.95</v>
      </c>
      <c r="T71" t="s">
        <v>464</v>
      </c>
    </row>
    <row r="72" spans="1:20">
      <c r="A72">
        <v>256418</v>
      </c>
      <c r="B72" t="s">
        <v>465</v>
      </c>
      <c r="C72" t="str">
        <f>"9780865715264"</f>
        <v>9780865715264</v>
      </c>
      <c r="D72" t="str">
        <f>"9781550923278"</f>
        <v>9781550923278</v>
      </c>
      <c r="E72" t="s">
        <v>249</v>
      </c>
      <c r="F72" t="s">
        <v>249</v>
      </c>
      <c r="G72" s="1">
        <v>38443</v>
      </c>
      <c r="J72" t="s">
        <v>466</v>
      </c>
      <c r="K72" t="s">
        <v>467</v>
      </c>
      <c r="L72" t="s">
        <v>468</v>
      </c>
      <c r="M72">
        <v>327.17200000000003</v>
      </c>
      <c r="N72" t="s">
        <v>469</v>
      </c>
      <c r="O72" t="s">
        <v>26</v>
      </c>
      <c r="P72">
        <v>10.95</v>
      </c>
      <c r="R72">
        <v>10.95</v>
      </c>
      <c r="S72">
        <v>16.43</v>
      </c>
      <c r="T72" t="s">
        <v>470</v>
      </c>
    </row>
    <row r="73" spans="1:20">
      <c r="A73">
        <v>256420</v>
      </c>
      <c r="B73" t="s">
        <v>471</v>
      </c>
      <c r="C73" t="str">
        <f>"9780865714564"</f>
        <v>9780865714564</v>
      </c>
      <c r="D73" t="str">
        <f>"9781550923315"</f>
        <v>9781550923315</v>
      </c>
      <c r="E73" t="s">
        <v>249</v>
      </c>
      <c r="F73" t="s">
        <v>249</v>
      </c>
      <c r="G73" s="1">
        <v>40179</v>
      </c>
      <c r="J73" t="s">
        <v>472</v>
      </c>
      <c r="K73" t="s">
        <v>473</v>
      </c>
      <c r="L73" t="s">
        <v>474</v>
      </c>
      <c r="M73" t="s">
        <v>475</v>
      </c>
      <c r="N73" t="s">
        <v>476</v>
      </c>
      <c r="O73" t="s">
        <v>26</v>
      </c>
      <c r="P73">
        <v>17.95</v>
      </c>
      <c r="R73">
        <v>17.95</v>
      </c>
      <c r="S73">
        <v>26.93</v>
      </c>
      <c r="T73" t="s">
        <v>477</v>
      </c>
    </row>
    <row r="74" spans="1:20">
      <c r="A74">
        <v>259178</v>
      </c>
      <c r="B74" t="s">
        <v>478</v>
      </c>
      <c r="C74" t="str">
        <f>"9789879803394"</f>
        <v>9789879803394</v>
      </c>
      <c r="D74" t="str">
        <f>"9781552501443"</f>
        <v>9781552501443</v>
      </c>
      <c r="E74" t="s">
        <v>479</v>
      </c>
      <c r="F74" t="s">
        <v>480</v>
      </c>
      <c r="G74" s="1">
        <v>37987</v>
      </c>
      <c r="H74">
        <v>2</v>
      </c>
      <c r="J74" t="s">
        <v>481</v>
      </c>
      <c r="K74" t="s">
        <v>278</v>
      </c>
      <c r="L74" t="s">
        <v>482</v>
      </c>
      <c r="M74" t="s">
        <v>483</v>
      </c>
      <c r="N74" t="s">
        <v>484</v>
      </c>
      <c r="O74" t="s">
        <v>485</v>
      </c>
      <c r="P74">
        <v>15</v>
      </c>
      <c r="Q74">
        <v>18.75</v>
      </c>
      <c r="R74">
        <v>15</v>
      </c>
      <c r="S74">
        <v>22.5</v>
      </c>
      <c r="T74" t="s">
        <v>486</v>
      </c>
    </row>
    <row r="75" spans="1:20">
      <c r="A75">
        <v>259179</v>
      </c>
      <c r="B75" t="s">
        <v>487</v>
      </c>
      <c r="C75" t="str">
        <f>"9780754645238"</f>
        <v>9780754645238</v>
      </c>
      <c r="D75" t="str">
        <f>"9781552501757"</f>
        <v>9781552501757</v>
      </c>
      <c r="E75" t="s">
        <v>479</v>
      </c>
      <c r="F75" t="s">
        <v>480</v>
      </c>
      <c r="G75" s="1">
        <v>38353</v>
      </c>
      <c r="J75" t="s">
        <v>488</v>
      </c>
      <c r="K75" t="s">
        <v>416</v>
      </c>
      <c r="L75" t="s">
        <v>489</v>
      </c>
      <c r="M75" t="s">
        <v>490</v>
      </c>
      <c r="N75" t="s">
        <v>491</v>
      </c>
      <c r="O75" t="s">
        <v>26</v>
      </c>
      <c r="P75">
        <v>70</v>
      </c>
      <c r="Q75">
        <v>87.5</v>
      </c>
      <c r="R75">
        <v>70</v>
      </c>
      <c r="S75">
        <v>105</v>
      </c>
      <c r="T75" t="s">
        <v>492</v>
      </c>
    </row>
    <row r="76" spans="1:20">
      <c r="A76">
        <v>259180</v>
      </c>
      <c r="B76" t="s">
        <v>493</v>
      </c>
      <c r="C76" t="str">
        <f>"9780889367265"</f>
        <v>9780889367265</v>
      </c>
      <c r="D76" t="str">
        <f>"9781552502600"</f>
        <v>9781552502600</v>
      </c>
      <c r="E76" t="s">
        <v>479</v>
      </c>
      <c r="F76" t="s">
        <v>480</v>
      </c>
      <c r="G76" s="1">
        <v>34700</v>
      </c>
      <c r="J76" t="s">
        <v>494</v>
      </c>
      <c r="K76" t="s">
        <v>278</v>
      </c>
      <c r="L76" t="s">
        <v>495</v>
      </c>
      <c r="M76">
        <v>338.64209599999998</v>
      </c>
      <c r="N76" t="s">
        <v>496</v>
      </c>
      <c r="O76" t="s">
        <v>26</v>
      </c>
      <c r="P76">
        <v>40</v>
      </c>
      <c r="Q76">
        <v>50</v>
      </c>
      <c r="R76">
        <v>40</v>
      </c>
      <c r="S76">
        <v>60</v>
      </c>
      <c r="T76" t="s">
        <v>497</v>
      </c>
    </row>
    <row r="77" spans="1:20">
      <c r="A77">
        <v>259182</v>
      </c>
      <c r="B77" t="s">
        <v>498</v>
      </c>
      <c r="C77" t="str">
        <f>"9789586825382"</f>
        <v>9789586825382</v>
      </c>
      <c r="D77" t="str">
        <f>"9781552502020"</f>
        <v>9781552502020</v>
      </c>
      <c r="E77" t="s">
        <v>479</v>
      </c>
      <c r="F77" t="s">
        <v>480</v>
      </c>
      <c r="G77" s="1">
        <v>37987</v>
      </c>
      <c r="I77" t="s">
        <v>499</v>
      </c>
      <c r="J77" t="s">
        <v>500</v>
      </c>
      <c r="K77" t="s">
        <v>501</v>
      </c>
      <c r="L77" t="s">
        <v>502</v>
      </c>
      <c r="M77">
        <v>333.91</v>
      </c>
      <c r="N77" t="s">
        <v>503</v>
      </c>
      <c r="O77" t="s">
        <v>485</v>
      </c>
      <c r="P77">
        <v>15</v>
      </c>
      <c r="Q77">
        <v>18.75</v>
      </c>
      <c r="R77">
        <v>15</v>
      </c>
      <c r="S77">
        <v>22.5</v>
      </c>
      <c r="T77" t="s">
        <v>504</v>
      </c>
    </row>
    <row r="78" spans="1:20">
      <c r="A78">
        <v>259183</v>
      </c>
      <c r="B78" t="s">
        <v>505</v>
      </c>
      <c r="C78" t="str">
        <f>"9789966254399"</f>
        <v>9789966254399</v>
      </c>
      <c r="D78" t="str">
        <f>"9781552502198"</f>
        <v>9781552502198</v>
      </c>
      <c r="E78" t="s">
        <v>479</v>
      </c>
      <c r="F78" t="s">
        <v>480</v>
      </c>
      <c r="G78" s="1">
        <v>38353</v>
      </c>
      <c r="J78" t="s">
        <v>506</v>
      </c>
      <c r="K78" t="s">
        <v>416</v>
      </c>
      <c r="L78" t="s">
        <v>507</v>
      </c>
      <c r="M78">
        <v>338.92609676199999</v>
      </c>
      <c r="N78" t="s">
        <v>508</v>
      </c>
      <c r="O78" t="s">
        <v>26</v>
      </c>
      <c r="P78">
        <v>30</v>
      </c>
      <c r="Q78">
        <v>37.5</v>
      </c>
      <c r="R78">
        <v>30</v>
      </c>
      <c r="S78">
        <v>45</v>
      </c>
      <c r="T78" t="s">
        <v>509</v>
      </c>
    </row>
    <row r="79" spans="1:20">
      <c r="A79">
        <v>259184</v>
      </c>
      <c r="B79" t="s">
        <v>510</v>
      </c>
      <c r="C79" t="str">
        <f>"9781552502280"</f>
        <v>9781552502280</v>
      </c>
      <c r="D79" t="str">
        <f>"9781552502440"</f>
        <v>9781552502440</v>
      </c>
      <c r="E79" t="s">
        <v>479</v>
      </c>
      <c r="F79" t="s">
        <v>480</v>
      </c>
      <c r="G79" s="1">
        <v>38916</v>
      </c>
      <c r="J79" t="s">
        <v>511</v>
      </c>
      <c r="K79" t="s">
        <v>512</v>
      </c>
      <c r="L79" t="s">
        <v>513</v>
      </c>
      <c r="M79" t="s">
        <v>514</v>
      </c>
      <c r="N79" t="s">
        <v>515</v>
      </c>
      <c r="O79" t="s">
        <v>485</v>
      </c>
      <c r="P79">
        <v>15</v>
      </c>
      <c r="Q79">
        <v>18.75</v>
      </c>
      <c r="R79">
        <v>15</v>
      </c>
      <c r="S79">
        <v>22.5</v>
      </c>
      <c r="T79" t="s">
        <v>516</v>
      </c>
    </row>
    <row r="80" spans="1:20">
      <c r="A80">
        <v>259186</v>
      </c>
      <c r="B80" t="s">
        <v>517</v>
      </c>
      <c r="C80" t="str">
        <f>"9789685536332"</f>
        <v>9789685536332</v>
      </c>
      <c r="D80" t="str">
        <f>"9781552501474"</f>
        <v>9781552501474</v>
      </c>
      <c r="E80" t="s">
        <v>479</v>
      </c>
      <c r="F80" t="s">
        <v>480</v>
      </c>
      <c r="G80" s="1">
        <v>38322</v>
      </c>
      <c r="J80" t="s">
        <v>518</v>
      </c>
      <c r="K80" t="s">
        <v>519</v>
      </c>
      <c r="L80" t="s">
        <v>520</v>
      </c>
      <c r="M80">
        <v>363.61097999999998</v>
      </c>
      <c r="N80" t="s">
        <v>521</v>
      </c>
      <c r="O80" t="s">
        <v>485</v>
      </c>
      <c r="P80">
        <v>25</v>
      </c>
      <c r="Q80">
        <v>31.25</v>
      </c>
      <c r="R80">
        <v>25</v>
      </c>
      <c r="S80">
        <v>37.5</v>
      </c>
      <c r="T80" t="s">
        <v>522</v>
      </c>
    </row>
    <row r="81" spans="1:20">
      <c r="A81">
        <v>259187</v>
      </c>
      <c r="B81" t="s">
        <v>523</v>
      </c>
      <c r="C81" t="str">
        <f>"9789586951685"</f>
        <v>9789586951685</v>
      </c>
      <c r="D81" t="str">
        <f>"9781552501900"</f>
        <v>9781552501900</v>
      </c>
      <c r="E81" t="s">
        <v>479</v>
      </c>
      <c r="F81" t="s">
        <v>480</v>
      </c>
      <c r="G81" s="1">
        <v>38353</v>
      </c>
      <c r="J81" t="s">
        <v>524</v>
      </c>
      <c r="K81" t="s">
        <v>525</v>
      </c>
      <c r="L81" t="s">
        <v>526</v>
      </c>
      <c r="M81">
        <v>345.0231</v>
      </c>
      <c r="N81" t="s">
        <v>527</v>
      </c>
      <c r="O81" t="s">
        <v>485</v>
      </c>
      <c r="P81">
        <v>25</v>
      </c>
      <c r="Q81">
        <v>31.25</v>
      </c>
      <c r="R81">
        <v>25</v>
      </c>
      <c r="S81">
        <v>37.5</v>
      </c>
      <c r="T81" t="s">
        <v>528</v>
      </c>
    </row>
    <row r="82" spans="1:20">
      <c r="A82">
        <v>259188</v>
      </c>
      <c r="B82" t="s">
        <v>529</v>
      </c>
      <c r="C82" t="str">
        <f>"9781845425128"</f>
        <v>9781845425128</v>
      </c>
      <c r="D82" t="str">
        <f>"9781552501856"</f>
        <v>9781552501856</v>
      </c>
      <c r="E82" t="s">
        <v>479</v>
      </c>
      <c r="F82" t="s">
        <v>480</v>
      </c>
      <c r="G82" s="1">
        <v>38718</v>
      </c>
      <c r="J82" t="s">
        <v>530</v>
      </c>
      <c r="K82" t="s">
        <v>305</v>
      </c>
      <c r="L82" t="s">
        <v>531</v>
      </c>
      <c r="M82" t="s">
        <v>532</v>
      </c>
      <c r="N82" t="s">
        <v>533</v>
      </c>
      <c r="O82" t="s">
        <v>26</v>
      </c>
      <c r="P82">
        <v>65</v>
      </c>
      <c r="Q82">
        <v>81.25</v>
      </c>
      <c r="R82">
        <v>65</v>
      </c>
      <c r="S82">
        <v>97.5</v>
      </c>
      <c r="T82" t="s">
        <v>534</v>
      </c>
    </row>
    <row r="83" spans="1:20">
      <c r="A83">
        <v>259189</v>
      </c>
      <c r="B83" t="s">
        <v>535</v>
      </c>
      <c r="C83" t="str">
        <f>"9780889369788"</f>
        <v>9780889369788</v>
      </c>
      <c r="D83" t="str">
        <f>"9781552502174"</f>
        <v>9781552502174</v>
      </c>
      <c r="E83" t="s">
        <v>479</v>
      </c>
      <c r="F83" t="s">
        <v>480</v>
      </c>
      <c r="G83" s="1">
        <v>37257</v>
      </c>
      <c r="J83" t="s">
        <v>536</v>
      </c>
      <c r="K83" t="s">
        <v>416</v>
      </c>
      <c r="L83" t="s">
        <v>537</v>
      </c>
      <c r="M83" t="s">
        <v>538</v>
      </c>
      <c r="N83" t="s">
        <v>539</v>
      </c>
      <c r="O83" t="s">
        <v>26</v>
      </c>
      <c r="P83">
        <v>30</v>
      </c>
      <c r="Q83">
        <v>37.5</v>
      </c>
      <c r="R83">
        <v>30</v>
      </c>
      <c r="S83">
        <v>45</v>
      </c>
      <c r="T83" t="s">
        <v>540</v>
      </c>
    </row>
    <row r="84" spans="1:20">
      <c r="A84">
        <v>259190</v>
      </c>
      <c r="B84" t="s">
        <v>541</v>
      </c>
      <c r="C84" t="str">
        <f>"9781552501849"</f>
        <v>9781552501849</v>
      </c>
      <c r="D84" t="str">
        <f>"9781552501849"</f>
        <v>9781552501849</v>
      </c>
      <c r="E84" t="s">
        <v>479</v>
      </c>
      <c r="F84" t="s">
        <v>480</v>
      </c>
      <c r="G84" s="1">
        <v>38353</v>
      </c>
      <c r="J84" t="s">
        <v>542</v>
      </c>
      <c r="K84" t="s">
        <v>543</v>
      </c>
      <c r="L84" t="s">
        <v>544</v>
      </c>
      <c r="M84" t="s">
        <v>545</v>
      </c>
      <c r="N84" t="s">
        <v>546</v>
      </c>
      <c r="O84" t="s">
        <v>26</v>
      </c>
      <c r="P84">
        <v>65</v>
      </c>
      <c r="Q84">
        <v>81.25</v>
      </c>
      <c r="R84">
        <v>65</v>
      </c>
      <c r="S84">
        <v>97.5</v>
      </c>
      <c r="T84" t="s">
        <v>547</v>
      </c>
    </row>
    <row r="85" spans="1:20">
      <c r="A85">
        <v>259192</v>
      </c>
      <c r="B85" t="s">
        <v>548</v>
      </c>
      <c r="C85" t="str">
        <f>"9789970025183"</f>
        <v>9789970025183</v>
      </c>
      <c r="D85" t="str">
        <f>"9781552501887"</f>
        <v>9781552501887</v>
      </c>
      <c r="E85" t="s">
        <v>479</v>
      </c>
      <c r="F85" t="s">
        <v>480</v>
      </c>
      <c r="G85" s="1">
        <v>38518</v>
      </c>
      <c r="J85" t="s">
        <v>549</v>
      </c>
      <c r="K85" t="s">
        <v>550</v>
      </c>
      <c r="L85" t="s">
        <v>551</v>
      </c>
      <c r="M85">
        <v>303.48329999999999</v>
      </c>
      <c r="N85" t="s">
        <v>552</v>
      </c>
      <c r="O85" t="s">
        <v>26</v>
      </c>
      <c r="P85">
        <v>10</v>
      </c>
      <c r="Q85">
        <v>12.5</v>
      </c>
      <c r="R85">
        <v>10</v>
      </c>
      <c r="S85">
        <v>15</v>
      </c>
      <c r="T85" t="s">
        <v>553</v>
      </c>
    </row>
    <row r="86" spans="1:20">
      <c r="A86">
        <v>259193</v>
      </c>
      <c r="B86" t="s">
        <v>554</v>
      </c>
      <c r="C86" t="str">
        <f>"9780850927528"</f>
        <v>9780850927528</v>
      </c>
      <c r="D86" t="str">
        <f>"9781552500675"</f>
        <v>9781552500675</v>
      </c>
      <c r="E86" t="s">
        <v>479</v>
      </c>
      <c r="F86" t="s">
        <v>480</v>
      </c>
      <c r="G86" s="1">
        <v>37622</v>
      </c>
      <c r="J86" t="s">
        <v>555</v>
      </c>
      <c r="K86" t="s">
        <v>263</v>
      </c>
      <c r="L86" t="s">
        <v>556</v>
      </c>
      <c r="M86" t="s">
        <v>557</v>
      </c>
      <c r="N86" t="s">
        <v>558</v>
      </c>
      <c r="O86" t="s">
        <v>26</v>
      </c>
      <c r="P86">
        <v>45</v>
      </c>
      <c r="Q86">
        <v>56.25</v>
      </c>
      <c r="R86">
        <v>45</v>
      </c>
      <c r="S86">
        <v>67.5</v>
      </c>
      <c r="T86" t="s">
        <v>559</v>
      </c>
    </row>
    <row r="87" spans="1:20">
      <c r="A87">
        <v>259194</v>
      </c>
      <c r="B87" t="s">
        <v>560</v>
      </c>
      <c r="C87" t="str">
        <f>"9780889368842"</f>
        <v>9780889368842</v>
      </c>
      <c r="D87" t="str">
        <f>"9781552503270"</f>
        <v>9781552503270</v>
      </c>
      <c r="E87" t="s">
        <v>479</v>
      </c>
      <c r="F87" t="s">
        <v>480</v>
      </c>
      <c r="G87" s="1">
        <v>36861</v>
      </c>
      <c r="J87" t="s">
        <v>561</v>
      </c>
      <c r="K87" t="s">
        <v>76</v>
      </c>
      <c r="L87" t="s">
        <v>562</v>
      </c>
      <c r="M87" t="s">
        <v>563</v>
      </c>
      <c r="N87" t="s">
        <v>564</v>
      </c>
      <c r="O87" t="s">
        <v>26</v>
      </c>
      <c r="P87">
        <v>30</v>
      </c>
      <c r="Q87">
        <v>37.5</v>
      </c>
      <c r="R87">
        <v>30</v>
      </c>
      <c r="S87">
        <v>45</v>
      </c>
      <c r="T87" t="s">
        <v>565</v>
      </c>
    </row>
    <row r="88" spans="1:20">
      <c r="A88">
        <v>259195</v>
      </c>
      <c r="B88" t="s">
        <v>566</v>
      </c>
      <c r="C88" t="str">
        <f>"9780889369092"</f>
        <v>9780889369092</v>
      </c>
      <c r="D88" t="str">
        <f>"9781552502082"</f>
        <v>9781552502082</v>
      </c>
      <c r="E88" t="s">
        <v>479</v>
      </c>
      <c r="F88" t="s">
        <v>480</v>
      </c>
      <c r="G88" s="1">
        <v>36540</v>
      </c>
      <c r="J88" t="s">
        <v>567</v>
      </c>
      <c r="K88" t="s">
        <v>568</v>
      </c>
      <c r="L88" t="s">
        <v>569</v>
      </c>
      <c r="M88">
        <v>301</v>
      </c>
      <c r="N88" t="s">
        <v>570</v>
      </c>
      <c r="O88" t="s">
        <v>26</v>
      </c>
      <c r="P88">
        <v>20</v>
      </c>
      <c r="Q88">
        <v>25</v>
      </c>
      <c r="R88">
        <v>20</v>
      </c>
      <c r="S88">
        <v>30</v>
      </c>
      <c r="T88" t="s">
        <v>571</v>
      </c>
    </row>
    <row r="89" spans="1:20">
      <c r="A89">
        <v>259196</v>
      </c>
      <c r="B89" t="s">
        <v>572</v>
      </c>
      <c r="C89" t="str">
        <f>"9781552502266"</f>
        <v>9781552502266</v>
      </c>
      <c r="D89" t="str">
        <f>"9781552502426"</f>
        <v>9781552502426</v>
      </c>
      <c r="E89" t="s">
        <v>479</v>
      </c>
      <c r="F89" t="s">
        <v>480</v>
      </c>
      <c r="G89" s="1">
        <v>38718</v>
      </c>
      <c r="I89" t="s">
        <v>573</v>
      </c>
      <c r="J89" t="s">
        <v>511</v>
      </c>
      <c r="K89" t="s">
        <v>574</v>
      </c>
      <c r="L89" t="s">
        <v>575</v>
      </c>
      <c r="M89" t="s">
        <v>514</v>
      </c>
      <c r="N89" t="s">
        <v>515</v>
      </c>
      <c r="O89" t="s">
        <v>26</v>
      </c>
      <c r="P89">
        <v>20</v>
      </c>
      <c r="Q89">
        <v>25</v>
      </c>
      <c r="R89">
        <v>20</v>
      </c>
      <c r="S89">
        <v>30</v>
      </c>
      <c r="T89" t="s">
        <v>576</v>
      </c>
    </row>
    <row r="90" spans="1:20">
      <c r="A90">
        <v>259197</v>
      </c>
      <c r="B90" t="s">
        <v>577</v>
      </c>
      <c r="C90" t="str">
        <f>"9781552500125"</f>
        <v>9781552500125</v>
      </c>
      <c r="D90" t="str">
        <f>"9781552501948"</f>
        <v>9781552501948</v>
      </c>
      <c r="E90" t="s">
        <v>479</v>
      </c>
      <c r="F90" t="s">
        <v>480</v>
      </c>
      <c r="G90" s="1">
        <v>37622</v>
      </c>
      <c r="I90" t="s">
        <v>573</v>
      </c>
      <c r="J90" t="s">
        <v>578</v>
      </c>
      <c r="K90" t="s">
        <v>579</v>
      </c>
      <c r="L90" t="s">
        <v>580</v>
      </c>
      <c r="M90">
        <v>363.7</v>
      </c>
      <c r="N90" t="s">
        <v>581</v>
      </c>
      <c r="O90" t="s">
        <v>26</v>
      </c>
      <c r="P90">
        <v>20</v>
      </c>
      <c r="Q90">
        <v>25</v>
      </c>
      <c r="R90">
        <v>20</v>
      </c>
      <c r="S90">
        <v>30</v>
      </c>
      <c r="T90" t="s">
        <v>582</v>
      </c>
    </row>
    <row r="91" spans="1:20">
      <c r="A91">
        <v>259198</v>
      </c>
      <c r="B91" t="s">
        <v>583</v>
      </c>
      <c r="C91" t="str">
        <f>"9782763782201"</f>
        <v>9782763782201</v>
      </c>
      <c r="D91" t="str">
        <f>"9781552501788"</f>
        <v>9781552501788</v>
      </c>
      <c r="E91" t="s">
        <v>479</v>
      </c>
      <c r="F91" t="s">
        <v>480</v>
      </c>
      <c r="G91" s="1">
        <v>38687</v>
      </c>
      <c r="J91" t="s">
        <v>555</v>
      </c>
      <c r="K91" t="s">
        <v>550</v>
      </c>
      <c r="L91" t="s">
        <v>584</v>
      </c>
      <c r="M91">
        <v>305.489694209172</v>
      </c>
      <c r="N91" t="s">
        <v>585</v>
      </c>
      <c r="O91" t="s">
        <v>94</v>
      </c>
      <c r="P91">
        <v>45</v>
      </c>
      <c r="Q91">
        <v>56.25</v>
      </c>
      <c r="R91">
        <v>45</v>
      </c>
      <c r="S91">
        <v>67.5</v>
      </c>
      <c r="T91" t="s">
        <v>586</v>
      </c>
    </row>
    <row r="92" spans="1:20">
      <c r="A92">
        <v>259199</v>
      </c>
      <c r="B92" t="s">
        <v>587</v>
      </c>
      <c r="C92" t="str">
        <f>"9789839054378"</f>
        <v>9789839054378</v>
      </c>
      <c r="D92" t="str">
        <f>"9781552500170"</f>
        <v>9781552500170</v>
      </c>
      <c r="E92" t="s">
        <v>479</v>
      </c>
      <c r="F92" t="s">
        <v>480</v>
      </c>
      <c r="G92" s="1">
        <v>37987</v>
      </c>
      <c r="J92" t="s">
        <v>588</v>
      </c>
      <c r="K92" t="s">
        <v>263</v>
      </c>
      <c r="L92" t="s">
        <v>589</v>
      </c>
      <c r="M92">
        <v>303.48</v>
      </c>
      <c r="N92" t="s">
        <v>590</v>
      </c>
      <c r="O92" t="s">
        <v>26</v>
      </c>
      <c r="P92">
        <v>40</v>
      </c>
      <c r="Q92">
        <v>50</v>
      </c>
      <c r="R92">
        <v>40</v>
      </c>
      <c r="S92">
        <v>60</v>
      </c>
      <c r="T92" t="s">
        <v>591</v>
      </c>
    </row>
    <row r="93" spans="1:20">
      <c r="A93">
        <v>259200</v>
      </c>
      <c r="B93" t="s">
        <v>592</v>
      </c>
      <c r="C93" t="str">
        <f>"9780889368682"</f>
        <v>9780889368682</v>
      </c>
      <c r="D93" t="str">
        <f>"9781552502051"</f>
        <v>9781552502051</v>
      </c>
      <c r="E93" t="s">
        <v>479</v>
      </c>
      <c r="F93" t="s">
        <v>480</v>
      </c>
      <c r="G93" s="1">
        <v>36130</v>
      </c>
      <c r="J93" t="s">
        <v>593</v>
      </c>
      <c r="K93" t="s">
        <v>263</v>
      </c>
      <c r="L93" t="s">
        <v>594</v>
      </c>
      <c r="M93" t="s">
        <v>595</v>
      </c>
      <c r="N93" t="s">
        <v>596</v>
      </c>
      <c r="O93" t="s">
        <v>26</v>
      </c>
      <c r="P93">
        <v>30</v>
      </c>
      <c r="Q93">
        <v>37.5</v>
      </c>
      <c r="R93">
        <v>30</v>
      </c>
      <c r="S93">
        <v>45</v>
      </c>
      <c r="T93" t="s">
        <v>597</v>
      </c>
    </row>
    <row r="94" spans="1:20">
      <c r="A94">
        <v>259201</v>
      </c>
      <c r="B94" t="s">
        <v>598</v>
      </c>
      <c r="C94" t="str">
        <f>"9780889369627"</f>
        <v>9780889369627</v>
      </c>
      <c r="D94" t="str">
        <f>"9781552500224"</f>
        <v>9781552500224</v>
      </c>
      <c r="E94" t="s">
        <v>479</v>
      </c>
      <c r="F94" t="s">
        <v>480</v>
      </c>
      <c r="G94" s="1">
        <v>36161</v>
      </c>
      <c r="J94" t="s">
        <v>599</v>
      </c>
      <c r="K94" t="s">
        <v>416</v>
      </c>
      <c r="L94" t="s">
        <v>600</v>
      </c>
      <c r="M94">
        <v>338.91</v>
      </c>
      <c r="N94" t="s">
        <v>601</v>
      </c>
      <c r="O94" t="s">
        <v>94</v>
      </c>
      <c r="P94">
        <v>25</v>
      </c>
      <c r="Q94">
        <v>31.25</v>
      </c>
      <c r="R94">
        <v>25</v>
      </c>
      <c r="S94">
        <v>37.5</v>
      </c>
      <c r="T94" t="s">
        <v>602</v>
      </c>
    </row>
    <row r="95" spans="1:20">
      <c r="A95">
        <v>259202</v>
      </c>
      <c r="B95" t="s">
        <v>603</v>
      </c>
      <c r="C95" t="str">
        <f>"9780889369955"</f>
        <v>9780889369955</v>
      </c>
      <c r="D95" t="str">
        <f>"9781552503249"</f>
        <v>9781552503249</v>
      </c>
      <c r="E95" t="s">
        <v>479</v>
      </c>
      <c r="F95" t="s">
        <v>480</v>
      </c>
      <c r="G95" s="1">
        <v>37622</v>
      </c>
      <c r="J95" t="s">
        <v>604</v>
      </c>
      <c r="K95" t="s">
        <v>605</v>
      </c>
      <c r="L95" t="s">
        <v>606</v>
      </c>
      <c r="M95" t="s">
        <v>607</v>
      </c>
      <c r="N95" t="s">
        <v>608</v>
      </c>
      <c r="O95" t="s">
        <v>94</v>
      </c>
      <c r="P95">
        <v>30</v>
      </c>
      <c r="Q95">
        <v>37.5</v>
      </c>
      <c r="R95">
        <v>30</v>
      </c>
      <c r="S95">
        <v>45</v>
      </c>
      <c r="T95" t="s">
        <v>609</v>
      </c>
    </row>
    <row r="96" spans="1:20">
      <c r="A96">
        <v>259203</v>
      </c>
      <c r="B96" t="s">
        <v>610</v>
      </c>
      <c r="C96" t="str">
        <f>"9780889369276"</f>
        <v>9780889369276</v>
      </c>
      <c r="D96" t="str">
        <f>"9781552503256"</f>
        <v>9781552503256</v>
      </c>
      <c r="E96" t="s">
        <v>479</v>
      </c>
      <c r="F96" t="s">
        <v>480</v>
      </c>
      <c r="G96" s="1">
        <v>37257</v>
      </c>
      <c r="J96" t="s">
        <v>611</v>
      </c>
      <c r="K96" t="s">
        <v>612</v>
      </c>
      <c r="L96" t="s">
        <v>613</v>
      </c>
      <c r="M96" t="s">
        <v>614</v>
      </c>
      <c r="N96" t="s">
        <v>615</v>
      </c>
      <c r="O96" t="s">
        <v>94</v>
      </c>
      <c r="P96">
        <v>25</v>
      </c>
      <c r="Q96">
        <v>31.25</v>
      </c>
      <c r="R96">
        <v>25</v>
      </c>
      <c r="S96">
        <v>37.5</v>
      </c>
      <c r="T96" t="s">
        <v>616</v>
      </c>
    </row>
    <row r="97" spans="1:20">
      <c r="A97">
        <v>259204</v>
      </c>
      <c r="B97" t="s">
        <v>617</v>
      </c>
      <c r="C97" t="str">
        <f>"9780889369382"</f>
        <v>9780889369382</v>
      </c>
      <c r="D97" t="str">
        <f>"9781552502105"</f>
        <v>9781552502105</v>
      </c>
      <c r="E97" t="s">
        <v>479</v>
      </c>
      <c r="F97" t="s">
        <v>480</v>
      </c>
      <c r="G97" s="1">
        <v>36892</v>
      </c>
      <c r="J97" t="s">
        <v>567</v>
      </c>
      <c r="K97" t="s">
        <v>473</v>
      </c>
      <c r="L97" t="s">
        <v>618</v>
      </c>
      <c r="M97">
        <v>301</v>
      </c>
      <c r="N97" t="s">
        <v>570</v>
      </c>
      <c r="O97" t="s">
        <v>94</v>
      </c>
      <c r="P97">
        <v>20</v>
      </c>
      <c r="Q97">
        <v>25</v>
      </c>
      <c r="R97">
        <v>20</v>
      </c>
      <c r="S97">
        <v>30</v>
      </c>
      <c r="T97" t="s">
        <v>619</v>
      </c>
    </row>
    <row r="98" spans="1:20">
      <c r="A98">
        <v>259205</v>
      </c>
      <c r="B98" t="s">
        <v>620</v>
      </c>
      <c r="C98" t="str">
        <f>"9781552501566"</f>
        <v>9781552501566</v>
      </c>
      <c r="D98" t="str">
        <f>"9781552501931"</f>
        <v>9781552501931</v>
      </c>
      <c r="E98" t="s">
        <v>479</v>
      </c>
      <c r="F98" t="s">
        <v>480</v>
      </c>
      <c r="G98" s="1">
        <v>38352</v>
      </c>
      <c r="J98" t="s">
        <v>621</v>
      </c>
      <c r="K98" t="s">
        <v>376</v>
      </c>
      <c r="L98" t="s">
        <v>622</v>
      </c>
      <c r="M98" t="s">
        <v>623</v>
      </c>
      <c r="N98" t="s">
        <v>624</v>
      </c>
      <c r="O98" t="s">
        <v>94</v>
      </c>
      <c r="P98">
        <v>15</v>
      </c>
      <c r="Q98">
        <v>18.75</v>
      </c>
      <c r="R98">
        <v>15</v>
      </c>
      <c r="S98">
        <v>22.5</v>
      </c>
      <c r="T98" t="s">
        <v>625</v>
      </c>
    </row>
    <row r="99" spans="1:20">
      <c r="A99">
        <v>259206</v>
      </c>
      <c r="B99" t="s">
        <v>626</v>
      </c>
      <c r="C99" t="str">
        <f>"9780889369610"</f>
        <v>9780889369610</v>
      </c>
      <c r="D99" t="str">
        <f>"9781552502136"</f>
        <v>9781552502136</v>
      </c>
      <c r="E99" t="s">
        <v>479</v>
      </c>
      <c r="F99" t="s">
        <v>480</v>
      </c>
      <c r="G99" s="1">
        <v>36892</v>
      </c>
      <c r="J99" t="s">
        <v>627</v>
      </c>
      <c r="K99" t="s">
        <v>467</v>
      </c>
      <c r="L99" t="s">
        <v>628</v>
      </c>
      <c r="M99" t="s">
        <v>629</v>
      </c>
      <c r="N99" t="s">
        <v>630</v>
      </c>
      <c r="O99" t="s">
        <v>94</v>
      </c>
      <c r="P99">
        <v>15</v>
      </c>
      <c r="Q99">
        <v>18.75</v>
      </c>
      <c r="R99">
        <v>15</v>
      </c>
      <c r="S99">
        <v>22.5</v>
      </c>
      <c r="T99" t="s">
        <v>631</v>
      </c>
    </row>
    <row r="100" spans="1:20">
      <c r="A100">
        <v>259207</v>
      </c>
      <c r="B100" t="s">
        <v>632</v>
      </c>
      <c r="C100" t="str">
        <f>"9781552500132"</f>
        <v>9781552500132</v>
      </c>
      <c r="D100" t="str">
        <f>"9781552501955"</f>
        <v>9781552501955</v>
      </c>
      <c r="E100" t="s">
        <v>479</v>
      </c>
      <c r="F100" t="s">
        <v>480</v>
      </c>
      <c r="G100" s="1">
        <v>37622</v>
      </c>
      <c r="I100" t="s">
        <v>633</v>
      </c>
      <c r="J100" t="s">
        <v>634</v>
      </c>
      <c r="K100" t="s">
        <v>635</v>
      </c>
      <c r="L100" t="s">
        <v>636</v>
      </c>
      <c r="M100">
        <v>363.7</v>
      </c>
      <c r="N100" t="s">
        <v>581</v>
      </c>
      <c r="O100" t="s">
        <v>94</v>
      </c>
      <c r="P100">
        <v>15</v>
      </c>
      <c r="Q100">
        <v>18.75</v>
      </c>
      <c r="R100">
        <v>15</v>
      </c>
      <c r="S100">
        <v>22.5</v>
      </c>
      <c r="T100" t="s">
        <v>637</v>
      </c>
    </row>
    <row r="101" spans="1:20">
      <c r="A101">
        <v>259208</v>
      </c>
      <c r="B101" t="s">
        <v>638</v>
      </c>
      <c r="C101" t="str">
        <f>"9782717851038"</f>
        <v>9782717851038</v>
      </c>
      <c r="D101" t="str">
        <f>"9781552502228"</f>
        <v>9781552502228</v>
      </c>
      <c r="E101" t="s">
        <v>479</v>
      </c>
      <c r="F101" t="s">
        <v>480</v>
      </c>
      <c r="G101" s="1">
        <v>38718</v>
      </c>
      <c r="J101" t="s">
        <v>639</v>
      </c>
      <c r="K101" t="s">
        <v>278</v>
      </c>
      <c r="L101" t="s">
        <v>640</v>
      </c>
      <c r="M101">
        <v>339.46</v>
      </c>
      <c r="N101" t="s">
        <v>641</v>
      </c>
      <c r="O101" t="s">
        <v>94</v>
      </c>
      <c r="P101">
        <v>30</v>
      </c>
      <c r="Q101">
        <v>37.5</v>
      </c>
      <c r="R101">
        <v>30</v>
      </c>
      <c r="S101">
        <v>45</v>
      </c>
      <c r="T101" t="s">
        <v>642</v>
      </c>
    </row>
    <row r="102" spans="1:20">
      <c r="A102">
        <v>259209</v>
      </c>
      <c r="B102" t="s">
        <v>643</v>
      </c>
      <c r="C102" t="str">
        <f>"9780889369979"</f>
        <v>9780889369979</v>
      </c>
      <c r="D102" t="str">
        <f>"9781552502013"</f>
        <v>9781552502013</v>
      </c>
      <c r="E102" t="s">
        <v>479</v>
      </c>
      <c r="F102" t="s">
        <v>480</v>
      </c>
      <c r="G102" s="1">
        <v>37591</v>
      </c>
      <c r="I102" t="s">
        <v>633</v>
      </c>
      <c r="J102" t="s">
        <v>500</v>
      </c>
      <c r="K102" t="s">
        <v>644</v>
      </c>
      <c r="L102" t="s">
        <v>645</v>
      </c>
      <c r="M102">
        <v>333.91</v>
      </c>
      <c r="N102" t="s">
        <v>503</v>
      </c>
      <c r="O102" t="s">
        <v>94</v>
      </c>
      <c r="P102">
        <v>15</v>
      </c>
      <c r="Q102">
        <v>18.75</v>
      </c>
      <c r="R102">
        <v>15</v>
      </c>
      <c r="S102">
        <v>22.5</v>
      </c>
      <c r="T102" t="s">
        <v>646</v>
      </c>
    </row>
    <row r="103" spans="1:20">
      <c r="A103">
        <v>259210</v>
      </c>
      <c r="B103" t="s">
        <v>647</v>
      </c>
      <c r="C103" t="str">
        <f>"9781552502259"</f>
        <v>9781552502259</v>
      </c>
      <c r="D103" t="str">
        <f>"9780889369931"</f>
        <v>9780889369931</v>
      </c>
      <c r="E103" t="s">
        <v>479</v>
      </c>
      <c r="F103" t="s">
        <v>480</v>
      </c>
      <c r="G103" s="1">
        <v>37257</v>
      </c>
      <c r="J103" t="s">
        <v>648</v>
      </c>
      <c r="K103" t="s">
        <v>649</v>
      </c>
      <c r="L103" t="s">
        <v>650</v>
      </c>
      <c r="M103">
        <v>25.063054000000001</v>
      </c>
      <c r="N103" t="s">
        <v>651</v>
      </c>
      <c r="O103" t="s">
        <v>94</v>
      </c>
      <c r="P103">
        <v>35</v>
      </c>
      <c r="Q103">
        <v>43.75</v>
      </c>
      <c r="R103">
        <v>35</v>
      </c>
      <c r="S103">
        <v>52.5</v>
      </c>
      <c r="T103" t="s">
        <v>652</v>
      </c>
    </row>
    <row r="104" spans="1:20">
      <c r="A104">
        <v>259211</v>
      </c>
      <c r="B104" t="s">
        <v>653</v>
      </c>
      <c r="C104" t="str">
        <f>"9780889368989"</f>
        <v>9780889368989</v>
      </c>
      <c r="D104" t="str">
        <f>"9781552502075"</f>
        <v>9781552502075</v>
      </c>
      <c r="E104" t="s">
        <v>479</v>
      </c>
      <c r="F104" t="s">
        <v>480</v>
      </c>
      <c r="G104" s="1">
        <v>36526</v>
      </c>
      <c r="J104" t="s">
        <v>654</v>
      </c>
      <c r="K104" t="s">
        <v>416</v>
      </c>
      <c r="L104" t="s">
        <v>655</v>
      </c>
      <c r="M104" t="s">
        <v>656</v>
      </c>
      <c r="N104" t="s">
        <v>657</v>
      </c>
      <c r="O104" t="s">
        <v>94</v>
      </c>
      <c r="P104">
        <v>25</v>
      </c>
      <c r="Q104">
        <v>31.25</v>
      </c>
      <c r="R104">
        <v>25</v>
      </c>
      <c r="S104">
        <v>37.5</v>
      </c>
      <c r="T104" t="s">
        <v>658</v>
      </c>
    </row>
    <row r="105" spans="1:20">
      <c r="A105">
        <v>259212</v>
      </c>
      <c r="B105" t="s">
        <v>659</v>
      </c>
      <c r="C105" t="str">
        <f>"9781552500156"</f>
        <v>9781552500156</v>
      </c>
      <c r="D105" t="str">
        <f>"9781552501986"</f>
        <v>9781552501986</v>
      </c>
      <c r="E105" t="s">
        <v>479</v>
      </c>
      <c r="F105" t="s">
        <v>480</v>
      </c>
      <c r="G105" s="1">
        <v>37956</v>
      </c>
      <c r="I105" t="s">
        <v>633</v>
      </c>
      <c r="J105" t="s">
        <v>660</v>
      </c>
      <c r="K105" t="s">
        <v>76</v>
      </c>
      <c r="L105" t="s">
        <v>661</v>
      </c>
      <c r="M105" t="s">
        <v>662</v>
      </c>
      <c r="N105" t="s">
        <v>663</v>
      </c>
      <c r="O105" t="s">
        <v>94</v>
      </c>
      <c r="P105">
        <v>15</v>
      </c>
      <c r="Q105">
        <v>18.75</v>
      </c>
      <c r="R105">
        <v>15</v>
      </c>
      <c r="S105">
        <v>22.5</v>
      </c>
      <c r="T105" t="s">
        <v>664</v>
      </c>
    </row>
    <row r="106" spans="1:20">
      <c r="A106">
        <v>259213</v>
      </c>
      <c r="B106" t="s">
        <v>665</v>
      </c>
      <c r="C106" t="str">
        <f>"9780850927979"</f>
        <v>9780850927979</v>
      </c>
      <c r="D106" t="str">
        <f>"9781552501733"</f>
        <v>9781552501733</v>
      </c>
      <c r="E106" t="s">
        <v>479</v>
      </c>
      <c r="F106" t="s">
        <v>480</v>
      </c>
      <c r="G106" s="1">
        <v>38261</v>
      </c>
      <c r="J106" t="s">
        <v>666</v>
      </c>
      <c r="K106" t="s">
        <v>284</v>
      </c>
      <c r="L106" t="s">
        <v>667</v>
      </c>
      <c r="M106" t="s">
        <v>668</v>
      </c>
      <c r="N106" t="s">
        <v>669</v>
      </c>
      <c r="O106" t="s">
        <v>26</v>
      </c>
      <c r="P106">
        <v>25</v>
      </c>
      <c r="Q106">
        <v>31.25</v>
      </c>
      <c r="R106">
        <v>25</v>
      </c>
      <c r="S106">
        <v>37.5</v>
      </c>
      <c r="T106" t="s">
        <v>670</v>
      </c>
    </row>
    <row r="107" spans="1:20">
      <c r="A107">
        <v>259214</v>
      </c>
      <c r="B107" t="s">
        <v>671</v>
      </c>
      <c r="C107" t="str">
        <f>"9781843391043"</f>
        <v>9781843391043</v>
      </c>
      <c r="D107" t="str">
        <f>"9781552501870"</f>
        <v>9781552501870</v>
      </c>
      <c r="E107" t="s">
        <v>479</v>
      </c>
      <c r="F107" t="s">
        <v>480</v>
      </c>
      <c r="G107" s="1">
        <v>38353</v>
      </c>
      <c r="J107" t="s">
        <v>672</v>
      </c>
      <c r="K107" t="s">
        <v>673</v>
      </c>
      <c r="L107" t="s">
        <v>674</v>
      </c>
      <c r="M107">
        <v>363.61</v>
      </c>
      <c r="N107" t="s">
        <v>675</v>
      </c>
      <c r="O107" t="s">
        <v>26</v>
      </c>
      <c r="P107">
        <v>20</v>
      </c>
      <c r="Q107">
        <v>25</v>
      </c>
      <c r="R107">
        <v>20</v>
      </c>
      <c r="S107">
        <v>30</v>
      </c>
      <c r="T107" t="s">
        <v>676</v>
      </c>
    </row>
    <row r="108" spans="1:20">
      <c r="A108">
        <v>259215</v>
      </c>
      <c r="B108" t="s">
        <v>677</v>
      </c>
      <c r="C108" t="str">
        <f>"9781552502211"</f>
        <v>9781552502211</v>
      </c>
      <c r="D108" t="str">
        <f>"9780889368248"</f>
        <v>9780889368248</v>
      </c>
      <c r="E108" t="s">
        <v>479</v>
      </c>
      <c r="F108" t="s">
        <v>480</v>
      </c>
      <c r="G108" s="1">
        <v>36161</v>
      </c>
      <c r="J108" t="s">
        <v>678</v>
      </c>
      <c r="K108" t="s">
        <v>525</v>
      </c>
      <c r="L108" t="s">
        <v>679</v>
      </c>
      <c r="M108" t="s">
        <v>680</v>
      </c>
      <c r="N108" t="s">
        <v>681</v>
      </c>
      <c r="O108" t="s">
        <v>485</v>
      </c>
      <c r="P108">
        <v>35</v>
      </c>
      <c r="Q108">
        <v>43.75</v>
      </c>
      <c r="R108">
        <v>35</v>
      </c>
      <c r="S108">
        <v>52.5</v>
      </c>
      <c r="T108" t="s">
        <v>682</v>
      </c>
    </row>
    <row r="109" spans="1:20">
      <c r="A109">
        <v>259216</v>
      </c>
      <c r="B109" t="s">
        <v>683</v>
      </c>
      <c r="C109" t="str">
        <f>"9780889368514"</f>
        <v>9780889368514</v>
      </c>
      <c r="D109" t="str">
        <f>"9781552502464"</f>
        <v>9781552502464</v>
      </c>
      <c r="E109" t="s">
        <v>479</v>
      </c>
      <c r="F109" t="s">
        <v>480</v>
      </c>
      <c r="G109" s="1">
        <v>35796</v>
      </c>
      <c r="J109" t="s">
        <v>684</v>
      </c>
      <c r="K109" t="s">
        <v>278</v>
      </c>
      <c r="L109" t="s">
        <v>685</v>
      </c>
      <c r="M109" t="s">
        <v>656</v>
      </c>
      <c r="N109" t="s">
        <v>686</v>
      </c>
      <c r="O109" t="s">
        <v>94</v>
      </c>
      <c r="P109">
        <v>30</v>
      </c>
      <c r="Q109">
        <v>37.5</v>
      </c>
      <c r="R109">
        <v>30</v>
      </c>
      <c r="S109">
        <v>45</v>
      </c>
      <c r="T109" t="s">
        <v>687</v>
      </c>
    </row>
    <row r="110" spans="1:20">
      <c r="A110">
        <v>259217</v>
      </c>
      <c r="B110" t="s">
        <v>688</v>
      </c>
      <c r="C110" t="str">
        <f>"9780889368965"</f>
        <v>9780889368965</v>
      </c>
      <c r="D110" t="str">
        <f>"9781552502068"</f>
        <v>9781552502068</v>
      </c>
      <c r="E110" t="s">
        <v>479</v>
      </c>
      <c r="F110" t="s">
        <v>480</v>
      </c>
      <c r="G110" s="1">
        <v>36161</v>
      </c>
      <c r="J110" t="s">
        <v>689</v>
      </c>
      <c r="K110" t="s">
        <v>278</v>
      </c>
      <c r="L110" t="s">
        <v>690</v>
      </c>
      <c r="M110">
        <v>338.96</v>
      </c>
      <c r="N110" t="s">
        <v>691</v>
      </c>
      <c r="O110" t="s">
        <v>94</v>
      </c>
      <c r="P110">
        <v>30</v>
      </c>
      <c r="Q110">
        <v>37.5</v>
      </c>
      <c r="R110">
        <v>30</v>
      </c>
      <c r="S110">
        <v>45</v>
      </c>
      <c r="T110" t="s">
        <v>692</v>
      </c>
    </row>
    <row r="111" spans="1:20">
      <c r="A111">
        <v>259218</v>
      </c>
      <c r="B111" t="s">
        <v>693</v>
      </c>
      <c r="C111" t="str">
        <f>"9780889367104"</f>
        <v>9780889367104</v>
      </c>
      <c r="D111" t="str">
        <f>"9781552502549"</f>
        <v>9781552502549</v>
      </c>
      <c r="E111" t="s">
        <v>479</v>
      </c>
      <c r="F111" t="s">
        <v>480</v>
      </c>
      <c r="G111" s="1">
        <v>34335</v>
      </c>
      <c r="J111" t="s">
        <v>694</v>
      </c>
      <c r="K111" t="s">
        <v>695</v>
      </c>
      <c r="L111" t="s">
        <v>696</v>
      </c>
      <c r="M111" t="s">
        <v>697</v>
      </c>
      <c r="N111" t="s">
        <v>698</v>
      </c>
      <c r="O111" t="s">
        <v>26</v>
      </c>
      <c r="P111">
        <v>25</v>
      </c>
      <c r="Q111">
        <v>31.25</v>
      </c>
      <c r="R111">
        <v>25</v>
      </c>
      <c r="S111">
        <v>37.5</v>
      </c>
      <c r="T111" t="s">
        <v>699</v>
      </c>
    </row>
    <row r="112" spans="1:20">
      <c r="A112">
        <v>259219</v>
      </c>
      <c r="B112" t="s">
        <v>700</v>
      </c>
      <c r="C112" t="str">
        <f>"9780889368552"</f>
        <v>9780889368552</v>
      </c>
      <c r="D112" t="str">
        <f>"9781552502044"</f>
        <v>9781552502044</v>
      </c>
      <c r="E112" t="s">
        <v>479</v>
      </c>
      <c r="F112" t="s">
        <v>480</v>
      </c>
      <c r="G112" s="1">
        <v>36161</v>
      </c>
      <c r="J112" t="s">
        <v>689</v>
      </c>
      <c r="K112" t="s">
        <v>278</v>
      </c>
      <c r="L112" t="s">
        <v>690</v>
      </c>
      <c r="M112">
        <v>338.96</v>
      </c>
      <c r="N112" t="s">
        <v>691</v>
      </c>
      <c r="O112" t="s">
        <v>26</v>
      </c>
      <c r="P112">
        <v>25</v>
      </c>
      <c r="Q112">
        <v>31.25</v>
      </c>
      <c r="R112">
        <v>25</v>
      </c>
      <c r="S112">
        <v>37.5</v>
      </c>
      <c r="T112" t="s">
        <v>701</v>
      </c>
    </row>
    <row r="113" spans="1:20">
      <c r="A113">
        <v>259220</v>
      </c>
      <c r="B113" t="s">
        <v>702</v>
      </c>
      <c r="C113" t="str">
        <f>"9789716140309"</f>
        <v>9789716140309</v>
      </c>
      <c r="D113" t="str">
        <f>"9781552501818"</f>
        <v>9781552501818</v>
      </c>
      <c r="E113" t="s">
        <v>479</v>
      </c>
      <c r="F113" t="s">
        <v>480</v>
      </c>
      <c r="G113" s="1">
        <v>38353</v>
      </c>
      <c r="J113" t="s">
        <v>703</v>
      </c>
      <c r="K113" t="s">
        <v>76</v>
      </c>
      <c r="L113" t="s">
        <v>704</v>
      </c>
      <c r="M113">
        <v>631.58000000000004</v>
      </c>
      <c r="N113" t="s">
        <v>705</v>
      </c>
      <c r="O113" t="s">
        <v>26</v>
      </c>
      <c r="P113">
        <v>10</v>
      </c>
      <c r="Q113">
        <v>12.5</v>
      </c>
      <c r="R113">
        <v>10</v>
      </c>
      <c r="S113">
        <v>15</v>
      </c>
      <c r="T113" t="s">
        <v>706</v>
      </c>
    </row>
    <row r="114" spans="1:20">
      <c r="A114">
        <v>259221</v>
      </c>
      <c r="B114" t="s">
        <v>707</v>
      </c>
      <c r="C114" t="str">
        <f>"9789716140316"</f>
        <v>9789716140316</v>
      </c>
      <c r="D114" t="str">
        <f>"9781552501825"</f>
        <v>9781552501825</v>
      </c>
      <c r="E114" t="s">
        <v>479</v>
      </c>
      <c r="F114" t="s">
        <v>480</v>
      </c>
      <c r="G114" s="1">
        <v>38353</v>
      </c>
      <c r="J114" t="s">
        <v>703</v>
      </c>
      <c r="K114" t="s">
        <v>76</v>
      </c>
      <c r="L114" t="s">
        <v>708</v>
      </c>
      <c r="M114">
        <v>631.58000000000004</v>
      </c>
      <c r="N114" t="s">
        <v>705</v>
      </c>
      <c r="O114" t="s">
        <v>26</v>
      </c>
      <c r="P114">
        <v>10</v>
      </c>
      <c r="Q114">
        <v>12.5</v>
      </c>
      <c r="R114">
        <v>10</v>
      </c>
      <c r="S114">
        <v>15</v>
      </c>
      <c r="T114" t="s">
        <v>709</v>
      </c>
    </row>
    <row r="115" spans="1:20">
      <c r="A115">
        <v>259222</v>
      </c>
      <c r="B115" t="s">
        <v>710</v>
      </c>
      <c r="C115" t="str">
        <f>"9789716140323"</f>
        <v>9789716140323</v>
      </c>
      <c r="D115" t="str">
        <f>"9781552501832"</f>
        <v>9781552501832</v>
      </c>
      <c r="E115" t="s">
        <v>479</v>
      </c>
      <c r="F115" t="s">
        <v>480</v>
      </c>
      <c r="G115" s="1">
        <v>38353</v>
      </c>
      <c r="J115" t="s">
        <v>703</v>
      </c>
      <c r="K115" t="s">
        <v>76</v>
      </c>
      <c r="L115" t="s">
        <v>711</v>
      </c>
      <c r="M115">
        <v>631.58000000000004</v>
      </c>
      <c r="N115" t="s">
        <v>705</v>
      </c>
      <c r="O115" t="s">
        <v>26</v>
      </c>
      <c r="P115">
        <v>10</v>
      </c>
      <c r="Q115">
        <v>12.5</v>
      </c>
      <c r="R115">
        <v>10</v>
      </c>
      <c r="S115">
        <v>15</v>
      </c>
      <c r="T115" t="s">
        <v>712</v>
      </c>
    </row>
    <row r="116" spans="1:20">
      <c r="A116">
        <v>259223</v>
      </c>
      <c r="B116" t="s">
        <v>713</v>
      </c>
      <c r="C116" t="str">
        <f>"9780889369443"</f>
        <v>9780889369443</v>
      </c>
      <c r="D116" t="str">
        <f>"9781552502112"</f>
        <v>9781552502112</v>
      </c>
      <c r="E116" t="s">
        <v>479</v>
      </c>
      <c r="F116" t="s">
        <v>480</v>
      </c>
      <c r="G116" s="1">
        <v>36892</v>
      </c>
      <c r="J116" t="s">
        <v>714</v>
      </c>
      <c r="K116" t="s">
        <v>263</v>
      </c>
      <c r="L116" t="s">
        <v>715</v>
      </c>
      <c r="M116" t="s">
        <v>716</v>
      </c>
      <c r="N116" t="s">
        <v>717</v>
      </c>
      <c r="O116" t="s">
        <v>26</v>
      </c>
      <c r="P116">
        <v>30</v>
      </c>
      <c r="Q116">
        <v>37.5</v>
      </c>
      <c r="R116">
        <v>30</v>
      </c>
      <c r="S116">
        <v>45</v>
      </c>
      <c r="T116" t="s">
        <v>718</v>
      </c>
    </row>
    <row r="117" spans="1:20">
      <c r="A117">
        <v>259224</v>
      </c>
      <c r="B117" t="s">
        <v>719</v>
      </c>
      <c r="C117" t="str">
        <f>"9780889367708"</f>
        <v>9780889367708</v>
      </c>
      <c r="D117" t="str">
        <f>"9781552502457"</f>
        <v>9781552502457</v>
      </c>
      <c r="E117" t="s">
        <v>479</v>
      </c>
      <c r="F117" t="s">
        <v>480</v>
      </c>
      <c r="G117" s="1">
        <v>35004</v>
      </c>
      <c r="J117" t="s">
        <v>720</v>
      </c>
      <c r="K117" t="s">
        <v>416</v>
      </c>
      <c r="L117" t="s">
        <v>721</v>
      </c>
      <c r="M117" t="s">
        <v>722</v>
      </c>
      <c r="N117" t="s">
        <v>723</v>
      </c>
      <c r="O117" t="s">
        <v>94</v>
      </c>
      <c r="P117">
        <v>35</v>
      </c>
      <c r="Q117">
        <v>43.75</v>
      </c>
      <c r="R117">
        <v>35</v>
      </c>
      <c r="S117">
        <v>52.5</v>
      </c>
      <c r="T117" t="s">
        <v>724</v>
      </c>
    </row>
    <row r="118" spans="1:20">
      <c r="A118">
        <v>259225</v>
      </c>
      <c r="B118" t="s">
        <v>725</v>
      </c>
      <c r="C118" t="str">
        <f>"9780889628274"</f>
        <v>9780889628274</v>
      </c>
      <c r="D118" t="str">
        <f>"9781552501382"</f>
        <v>9781552501382</v>
      </c>
      <c r="E118" t="s">
        <v>479</v>
      </c>
      <c r="F118" t="s">
        <v>480</v>
      </c>
      <c r="G118" s="1">
        <v>38565</v>
      </c>
      <c r="J118" t="s">
        <v>726</v>
      </c>
      <c r="K118" t="s">
        <v>727</v>
      </c>
      <c r="L118" t="s">
        <v>728</v>
      </c>
      <c r="M118" t="s">
        <v>729</v>
      </c>
      <c r="N118" t="s">
        <v>730</v>
      </c>
      <c r="O118" t="s">
        <v>26</v>
      </c>
      <c r="P118">
        <v>25</v>
      </c>
      <c r="Q118">
        <v>31.25</v>
      </c>
      <c r="R118">
        <v>25</v>
      </c>
      <c r="S118">
        <v>37.5</v>
      </c>
      <c r="T118" t="s">
        <v>731</v>
      </c>
    </row>
    <row r="119" spans="1:20">
      <c r="A119">
        <v>259226</v>
      </c>
      <c r="B119" t="s">
        <v>732</v>
      </c>
      <c r="C119" t="str">
        <f>"9780889369405"</f>
        <v>9780889369405</v>
      </c>
      <c r="D119" t="str">
        <f>"9781552503263"</f>
        <v>9781552503263</v>
      </c>
      <c r="E119" t="s">
        <v>479</v>
      </c>
      <c r="F119" t="s">
        <v>480</v>
      </c>
      <c r="G119" s="1">
        <v>36892</v>
      </c>
      <c r="J119" t="s">
        <v>733</v>
      </c>
      <c r="K119" t="s">
        <v>734</v>
      </c>
      <c r="L119" t="s">
        <v>735</v>
      </c>
      <c r="M119">
        <v>344.7</v>
      </c>
      <c r="N119" t="s">
        <v>736</v>
      </c>
      <c r="O119" t="s">
        <v>485</v>
      </c>
      <c r="P119">
        <v>20</v>
      </c>
      <c r="Q119">
        <v>25</v>
      </c>
      <c r="R119">
        <v>20</v>
      </c>
      <c r="S119">
        <v>30</v>
      </c>
      <c r="T119" t="s">
        <v>737</v>
      </c>
    </row>
    <row r="120" spans="1:20">
      <c r="A120">
        <v>259227</v>
      </c>
      <c r="B120" t="s">
        <v>738</v>
      </c>
      <c r="C120" t="str">
        <f>"9781552501740"</f>
        <v>9781552501740</v>
      </c>
      <c r="D120" t="str">
        <f>"9781552501962"</f>
        <v>9781552501962</v>
      </c>
      <c r="E120" t="s">
        <v>479</v>
      </c>
      <c r="F120" t="s">
        <v>480</v>
      </c>
      <c r="G120" s="1">
        <v>38353</v>
      </c>
      <c r="I120" t="s">
        <v>499</v>
      </c>
      <c r="J120" t="s">
        <v>634</v>
      </c>
      <c r="K120" t="s">
        <v>739</v>
      </c>
      <c r="L120" t="s">
        <v>740</v>
      </c>
      <c r="M120">
        <v>363.7</v>
      </c>
      <c r="N120" t="s">
        <v>741</v>
      </c>
      <c r="O120" t="s">
        <v>485</v>
      </c>
      <c r="P120">
        <v>15</v>
      </c>
      <c r="Q120">
        <v>18.75</v>
      </c>
      <c r="R120">
        <v>15</v>
      </c>
      <c r="S120">
        <v>22.5</v>
      </c>
      <c r="T120" t="s">
        <v>742</v>
      </c>
    </row>
    <row r="121" spans="1:20">
      <c r="A121">
        <v>259228</v>
      </c>
      <c r="B121" t="s">
        <v>743</v>
      </c>
      <c r="C121" t="str">
        <f>"9781869140410"</f>
        <v>9781869140410</v>
      </c>
      <c r="D121" t="str">
        <f>"9781552502150"</f>
        <v>9781552502150</v>
      </c>
      <c r="E121" t="s">
        <v>479</v>
      </c>
      <c r="F121" t="s">
        <v>480</v>
      </c>
      <c r="G121" s="1">
        <v>38353</v>
      </c>
      <c r="J121" t="s">
        <v>744</v>
      </c>
      <c r="K121" t="s">
        <v>416</v>
      </c>
      <c r="L121" t="s">
        <v>745</v>
      </c>
      <c r="M121" t="s">
        <v>746</v>
      </c>
      <c r="N121" t="s">
        <v>747</v>
      </c>
      <c r="O121" t="s">
        <v>26</v>
      </c>
      <c r="P121">
        <v>20</v>
      </c>
      <c r="Q121">
        <v>25</v>
      </c>
      <c r="R121">
        <v>20</v>
      </c>
      <c r="S121">
        <v>30</v>
      </c>
      <c r="T121" t="s">
        <v>748</v>
      </c>
    </row>
    <row r="122" spans="1:20">
      <c r="A122">
        <v>259229</v>
      </c>
      <c r="B122" t="s">
        <v>749</v>
      </c>
      <c r="C122" t="str">
        <f>"9781552500149"</f>
        <v>9781552500149</v>
      </c>
      <c r="D122" t="str">
        <f>"9781552501979"</f>
        <v>9781552501979</v>
      </c>
      <c r="E122" t="s">
        <v>479</v>
      </c>
      <c r="F122" t="s">
        <v>480</v>
      </c>
      <c r="G122" s="1">
        <v>37622</v>
      </c>
      <c r="I122" t="s">
        <v>750</v>
      </c>
      <c r="J122" t="s">
        <v>751</v>
      </c>
      <c r="K122" t="s">
        <v>76</v>
      </c>
      <c r="L122" t="s">
        <v>752</v>
      </c>
      <c r="M122" t="s">
        <v>662</v>
      </c>
      <c r="N122" t="s">
        <v>663</v>
      </c>
      <c r="O122" t="s">
        <v>26</v>
      </c>
      <c r="P122">
        <v>20</v>
      </c>
      <c r="Q122">
        <v>25</v>
      </c>
      <c r="R122">
        <v>20</v>
      </c>
      <c r="S122">
        <v>30</v>
      </c>
      <c r="T122" t="s">
        <v>753</v>
      </c>
    </row>
    <row r="123" spans="1:20">
      <c r="A123">
        <v>259230</v>
      </c>
      <c r="B123" t="s">
        <v>754</v>
      </c>
      <c r="C123" t="str">
        <f>"9781552500163"</f>
        <v>9781552500163</v>
      </c>
      <c r="D123" t="str">
        <f>"9781552501993"</f>
        <v>9781552501993</v>
      </c>
      <c r="E123" t="s">
        <v>479</v>
      </c>
      <c r="F123" t="s">
        <v>480</v>
      </c>
      <c r="G123" s="1">
        <v>37636</v>
      </c>
      <c r="I123" t="s">
        <v>499</v>
      </c>
      <c r="J123" t="s">
        <v>660</v>
      </c>
      <c r="K123" t="s">
        <v>76</v>
      </c>
      <c r="L123" t="s">
        <v>752</v>
      </c>
      <c r="M123" t="s">
        <v>662</v>
      </c>
      <c r="N123" t="s">
        <v>663</v>
      </c>
      <c r="O123" t="s">
        <v>485</v>
      </c>
      <c r="P123">
        <v>15</v>
      </c>
      <c r="Q123">
        <v>18.75</v>
      </c>
      <c r="R123">
        <v>15</v>
      </c>
      <c r="S123">
        <v>22.5</v>
      </c>
      <c r="T123" t="s">
        <v>755</v>
      </c>
    </row>
    <row r="124" spans="1:20">
      <c r="A124">
        <v>259231</v>
      </c>
      <c r="B124" t="s">
        <v>756</v>
      </c>
      <c r="C124" t="str">
        <f>"9780761934639"</f>
        <v>9780761934639</v>
      </c>
      <c r="D124" t="str">
        <f>"9781552502181"</f>
        <v>9781552502181</v>
      </c>
      <c r="E124" t="s">
        <v>479</v>
      </c>
      <c r="F124" t="s">
        <v>480</v>
      </c>
      <c r="G124" s="1">
        <v>38761</v>
      </c>
      <c r="J124" t="s">
        <v>660</v>
      </c>
      <c r="K124" t="s">
        <v>757</v>
      </c>
      <c r="L124" t="s">
        <v>758</v>
      </c>
      <c r="M124">
        <v>333.70809500000001</v>
      </c>
      <c r="N124" t="s">
        <v>759</v>
      </c>
      <c r="O124" t="s">
        <v>26</v>
      </c>
      <c r="P124">
        <v>30</v>
      </c>
      <c r="Q124">
        <v>37.5</v>
      </c>
      <c r="R124">
        <v>30</v>
      </c>
      <c r="S124">
        <v>45</v>
      </c>
      <c r="T124" t="s">
        <v>760</v>
      </c>
    </row>
    <row r="125" spans="1:20">
      <c r="A125">
        <v>259232</v>
      </c>
      <c r="B125" t="s">
        <v>761</v>
      </c>
      <c r="C125" t="str">
        <f>"9781552500095"</f>
        <v>9781552500095</v>
      </c>
      <c r="D125" t="str">
        <f>"9781552501771"</f>
        <v>9781552501771</v>
      </c>
      <c r="E125" t="s">
        <v>479</v>
      </c>
      <c r="F125" t="s">
        <v>480</v>
      </c>
      <c r="G125" s="1">
        <v>37956</v>
      </c>
      <c r="J125" t="s">
        <v>762</v>
      </c>
      <c r="K125" t="s">
        <v>416</v>
      </c>
      <c r="L125" t="s">
        <v>763</v>
      </c>
      <c r="M125">
        <v>338.9606</v>
      </c>
      <c r="N125" t="s">
        <v>764</v>
      </c>
      <c r="O125" t="s">
        <v>94</v>
      </c>
      <c r="P125">
        <v>30</v>
      </c>
      <c r="Q125">
        <v>37.5</v>
      </c>
      <c r="R125">
        <v>30</v>
      </c>
      <c r="S125">
        <v>45</v>
      </c>
      <c r="T125" t="s">
        <v>765</v>
      </c>
    </row>
    <row r="126" spans="1:20">
      <c r="A126">
        <v>259233</v>
      </c>
      <c r="B126" t="s">
        <v>766</v>
      </c>
      <c r="C126" t="str">
        <f>"9781853396199"</f>
        <v>9781853396199</v>
      </c>
      <c r="D126" t="str">
        <f>"9781552501894"</f>
        <v>9781552501894</v>
      </c>
      <c r="E126" t="s">
        <v>479</v>
      </c>
      <c r="F126" t="s">
        <v>480</v>
      </c>
      <c r="G126" s="1">
        <v>38353</v>
      </c>
      <c r="J126" t="s">
        <v>767</v>
      </c>
      <c r="K126" t="s">
        <v>305</v>
      </c>
      <c r="L126" t="s">
        <v>768</v>
      </c>
      <c r="M126">
        <v>384.096</v>
      </c>
      <c r="N126" t="s">
        <v>769</v>
      </c>
      <c r="O126" t="s">
        <v>26</v>
      </c>
      <c r="P126">
        <v>35</v>
      </c>
      <c r="Q126">
        <v>43.75</v>
      </c>
      <c r="R126">
        <v>35</v>
      </c>
      <c r="S126">
        <v>52.5</v>
      </c>
      <c r="T126" t="s">
        <v>770</v>
      </c>
    </row>
    <row r="127" spans="1:20">
      <c r="A127">
        <v>259234</v>
      </c>
      <c r="B127" t="s">
        <v>771</v>
      </c>
      <c r="C127" t="str">
        <f>"9780889369207"</f>
        <v>9780889369207</v>
      </c>
      <c r="D127" t="str">
        <f>"9781552502099"</f>
        <v>9781552502099</v>
      </c>
      <c r="E127" t="s">
        <v>479</v>
      </c>
      <c r="F127" t="s">
        <v>480</v>
      </c>
      <c r="G127" s="1">
        <v>36526</v>
      </c>
      <c r="J127" t="s">
        <v>772</v>
      </c>
      <c r="K127" t="s">
        <v>416</v>
      </c>
      <c r="L127" t="s">
        <v>773</v>
      </c>
      <c r="M127">
        <v>338.9</v>
      </c>
      <c r="N127" t="s">
        <v>774</v>
      </c>
      <c r="O127" t="s">
        <v>26</v>
      </c>
      <c r="P127">
        <v>30</v>
      </c>
      <c r="Q127">
        <v>37.5</v>
      </c>
      <c r="R127">
        <v>30</v>
      </c>
      <c r="S127">
        <v>45</v>
      </c>
      <c r="T127" t="s">
        <v>775</v>
      </c>
    </row>
    <row r="128" spans="1:20">
      <c r="A128">
        <v>259235</v>
      </c>
      <c r="B128" t="s">
        <v>776</v>
      </c>
      <c r="C128" t="str">
        <f>"9780889369603"</f>
        <v>9780889369603</v>
      </c>
      <c r="D128" t="str">
        <f>"9781552502129"</f>
        <v>9781552502129</v>
      </c>
      <c r="E128" t="s">
        <v>479</v>
      </c>
      <c r="F128" t="s">
        <v>480</v>
      </c>
      <c r="G128" s="1">
        <v>36892</v>
      </c>
      <c r="J128" t="s">
        <v>777</v>
      </c>
      <c r="K128" t="s">
        <v>778</v>
      </c>
      <c r="L128" t="s">
        <v>779</v>
      </c>
      <c r="M128" t="s">
        <v>780</v>
      </c>
      <c r="N128" t="s">
        <v>781</v>
      </c>
      <c r="O128" t="s">
        <v>26</v>
      </c>
      <c r="P128">
        <v>15</v>
      </c>
      <c r="Q128">
        <v>18.75</v>
      </c>
      <c r="R128">
        <v>15</v>
      </c>
      <c r="S128">
        <v>22.5</v>
      </c>
      <c r="T128" t="s">
        <v>782</v>
      </c>
    </row>
    <row r="129" spans="1:20">
      <c r="A129">
        <v>259236</v>
      </c>
      <c r="B129" t="s">
        <v>783</v>
      </c>
      <c r="C129" t="str">
        <f>"9789977661742"</f>
        <v>9789977661742</v>
      </c>
      <c r="D129" t="str">
        <f>"9781552502143"</f>
        <v>9781552502143</v>
      </c>
      <c r="E129" t="s">
        <v>479</v>
      </c>
      <c r="F129" t="s">
        <v>480</v>
      </c>
      <c r="G129" s="1">
        <v>38687</v>
      </c>
      <c r="J129" t="s">
        <v>784</v>
      </c>
      <c r="K129" t="s">
        <v>785</v>
      </c>
      <c r="L129" t="s">
        <v>786</v>
      </c>
      <c r="M129">
        <v>338.64209720000002</v>
      </c>
      <c r="N129" t="s">
        <v>787</v>
      </c>
      <c r="O129" t="s">
        <v>485</v>
      </c>
      <c r="P129">
        <v>15</v>
      </c>
      <c r="Q129">
        <v>18.75</v>
      </c>
      <c r="R129">
        <v>15</v>
      </c>
      <c r="S129">
        <v>22.5</v>
      </c>
      <c r="T129" t="s">
        <v>788</v>
      </c>
    </row>
    <row r="130" spans="1:20">
      <c r="A130">
        <v>259237</v>
      </c>
      <c r="B130" t="s">
        <v>789</v>
      </c>
      <c r="C130" t="str">
        <f>"9780889366831"</f>
        <v>9780889366831</v>
      </c>
      <c r="D130" t="str">
        <f>"9781552502570"</f>
        <v>9781552502570</v>
      </c>
      <c r="E130" t="s">
        <v>479</v>
      </c>
      <c r="F130" t="s">
        <v>480</v>
      </c>
      <c r="G130" s="1">
        <v>33970</v>
      </c>
      <c r="J130" t="s">
        <v>790</v>
      </c>
      <c r="K130" t="s">
        <v>791</v>
      </c>
      <c r="L130" t="s">
        <v>792</v>
      </c>
      <c r="M130">
        <v>574.5</v>
      </c>
      <c r="N130" t="s">
        <v>793</v>
      </c>
      <c r="O130" t="s">
        <v>26</v>
      </c>
      <c r="P130">
        <v>25</v>
      </c>
      <c r="Q130">
        <v>31.25</v>
      </c>
      <c r="R130">
        <v>25</v>
      </c>
      <c r="S130">
        <v>37.5</v>
      </c>
      <c r="T130" t="s">
        <v>794</v>
      </c>
    </row>
    <row r="131" spans="1:20">
      <c r="A131">
        <v>259238</v>
      </c>
      <c r="B131" t="s">
        <v>795</v>
      </c>
      <c r="C131" t="str">
        <f>"9780889368545"</f>
        <v>9780889368545</v>
      </c>
      <c r="D131" t="str">
        <f>"9781552502037"</f>
        <v>9781552502037</v>
      </c>
      <c r="E131" t="s">
        <v>479</v>
      </c>
      <c r="F131" t="s">
        <v>480</v>
      </c>
      <c r="G131" s="1">
        <v>36495</v>
      </c>
      <c r="J131" t="s">
        <v>654</v>
      </c>
      <c r="K131" t="s">
        <v>785</v>
      </c>
      <c r="L131" t="s">
        <v>796</v>
      </c>
      <c r="M131" t="s">
        <v>797</v>
      </c>
      <c r="N131" t="s">
        <v>798</v>
      </c>
      <c r="O131" t="s">
        <v>26</v>
      </c>
      <c r="P131">
        <v>25</v>
      </c>
      <c r="Q131">
        <v>31.25</v>
      </c>
      <c r="R131">
        <v>25</v>
      </c>
      <c r="S131">
        <v>37.5</v>
      </c>
      <c r="T131" t="s">
        <v>799</v>
      </c>
    </row>
    <row r="132" spans="1:20">
      <c r="A132">
        <v>259239</v>
      </c>
      <c r="B132" t="s">
        <v>800</v>
      </c>
      <c r="C132" t="str">
        <f>"9780889369962"</f>
        <v>9780889369962</v>
      </c>
      <c r="D132" t="str">
        <f>"9781552502006"</f>
        <v>9781552502006</v>
      </c>
      <c r="E132" t="s">
        <v>479</v>
      </c>
      <c r="F132" t="s">
        <v>480</v>
      </c>
      <c r="G132" s="1">
        <v>37257</v>
      </c>
      <c r="I132" t="s">
        <v>573</v>
      </c>
      <c r="J132" t="s">
        <v>801</v>
      </c>
      <c r="K132" t="s">
        <v>802</v>
      </c>
      <c r="L132" t="s">
        <v>803</v>
      </c>
      <c r="M132">
        <v>333.91</v>
      </c>
      <c r="N132" t="s">
        <v>804</v>
      </c>
      <c r="O132" t="s">
        <v>26</v>
      </c>
      <c r="P132">
        <v>20</v>
      </c>
      <c r="Q132">
        <v>25</v>
      </c>
      <c r="R132">
        <v>20</v>
      </c>
      <c r="S132">
        <v>30</v>
      </c>
      <c r="T132" t="s">
        <v>805</v>
      </c>
    </row>
    <row r="133" spans="1:20">
      <c r="A133">
        <v>265594</v>
      </c>
      <c r="B133" t="s">
        <v>806</v>
      </c>
      <c r="C133" t="str">
        <f>"9789766372620"</f>
        <v>9789766372620</v>
      </c>
      <c r="D133" t="str">
        <f>"9781552502235"</f>
        <v>9781552502235</v>
      </c>
      <c r="E133" t="s">
        <v>479</v>
      </c>
      <c r="F133" t="s">
        <v>480</v>
      </c>
      <c r="G133" s="1">
        <v>38718</v>
      </c>
      <c r="J133" t="s">
        <v>807</v>
      </c>
      <c r="K133" t="s">
        <v>263</v>
      </c>
      <c r="L133" t="s">
        <v>808</v>
      </c>
      <c r="M133" t="s">
        <v>809</v>
      </c>
      <c r="N133" t="s">
        <v>810</v>
      </c>
      <c r="O133" t="s">
        <v>26</v>
      </c>
      <c r="P133">
        <v>30</v>
      </c>
      <c r="Q133">
        <v>37.5</v>
      </c>
      <c r="R133">
        <v>30</v>
      </c>
      <c r="S133">
        <v>45</v>
      </c>
      <c r="T133" t="s">
        <v>811</v>
      </c>
    </row>
    <row r="134" spans="1:20">
      <c r="A134">
        <v>265595</v>
      </c>
      <c r="B134" t="s">
        <v>812</v>
      </c>
      <c r="C134" t="str">
        <f>"9789812300065"</f>
        <v>9789812300065</v>
      </c>
      <c r="D134" t="str">
        <f>"9781552503324"</f>
        <v>9781552503324</v>
      </c>
      <c r="E134" t="s">
        <v>479</v>
      </c>
      <c r="F134" t="s">
        <v>480</v>
      </c>
      <c r="G134" s="1">
        <v>38718</v>
      </c>
      <c r="H134">
        <v>2</v>
      </c>
      <c r="J134" t="s">
        <v>813</v>
      </c>
      <c r="K134" t="s">
        <v>814</v>
      </c>
      <c r="L134" t="s">
        <v>815</v>
      </c>
      <c r="M134" t="s">
        <v>816</v>
      </c>
      <c r="N134" t="s">
        <v>817</v>
      </c>
      <c r="O134" t="s">
        <v>26</v>
      </c>
      <c r="P134">
        <v>25</v>
      </c>
      <c r="Q134">
        <v>31.25</v>
      </c>
      <c r="R134">
        <v>25</v>
      </c>
      <c r="S134">
        <v>37.5</v>
      </c>
      <c r="T134" t="s">
        <v>818</v>
      </c>
    </row>
    <row r="135" spans="1:20">
      <c r="A135">
        <v>265711</v>
      </c>
      <c r="B135" t="s">
        <v>819</v>
      </c>
      <c r="C135" t="str">
        <f>"9789707225138"</f>
        <v>9789707225138</v>
      </c>
      <c r="D135" t="str">
        <f>"9781552501726"</f>
        <v>9781552501726</v>
      </c>
      <c r="E135" t="s">
        <v>479</v>
      </c>
      <c r="F135" t="s">
        <v>480</v>
      </c>
      <c r="G135" s="1">
        <v>38718</v>
      </c>
      <c r="J135" t="s">
        <v>555</v>
      </c>
      <c r="K135" t="s">
        <v>263</v>
      </c>
      <c r="L135" t="s">
        <v>820</v>
      </c>
      <c r="M135" t="s">
        <v>557</v>
      </c>
      <c r="N135" t="s">
        <v>585</v>
      </c>
      <c r="O135" t="s">
        <v>485</v>
      </c>
      <c r="P135">
        <v>45</v>
      </c>
      <c r="Q135">
        <v>56.25</v>
      </c>
      <c r="R135">
        <v>45</v>
      </c>
      <c r="S135">
        <v>67.5</v>
      </c>
      <c r="T135" t="s">
        <v>821</v>
      </c>
    </row>
    <row r="136" spans="1:20">
      <c r="A136">
        <v>266306</v>
      </c>
      <c r="B136" t="s">
        <v>822</v>
      </c>
      <c r="C136" t="str">
        <f>"9780889367654"</f>
        <v>9780889367654</v>
      </c>
      <c r="D136" t="str">
        <f>"9781552500514"</f>
        <v>9781552500514</v>
      </c>
      <c r="E136" t="s">
        <v>479</v>
      </c>
      <c r="F136" t="s">
        <v>480</v>
      </c>
      <c r="G136" s="1">
        <v>35034</v>
      </c>
      <c r="J136" t="s">
        <v>823</v>
      </c>
      <c r="K136" t="s">
        <v>263</v>
      </c>
      <c r="L136" t="s">
        <v>824</v>
      </c>
      <c r="M136">
        <v>305.42</v>
      </c>
      <c r="N136" t="s">
        <v>825</v>
      </c>
      <c r="O136" t="s">
        <v>26</v>
      </c>
      <c r="P136">
        <v>30</v>
      </c>
      <c r="Q136">
        <v>37.5</v>
      </c>
      <c r="R136">
        <v>30</v>
      </c>
      <c r="S136">
        <v>45</v>
      </c>
      <c r="T136" t="s">
        <v>826</v>
      </c>
    </row>
    <row r="137" spans="1:20">
      <c r="A137">
        <v>266307</v>
      </c>
      <c r="B137" t="s">
        <v>827</v>
      </c>
      <c r="C137" t="str">
        <f>"9780889367999"</f>
        <v>9780889367999</v>
      </c>
      <c r="D137" t="str">
        <f>"9781552500552"</f>
        <v>9781552500552</v>
      </c>
      <c r="E137" t="s">
        <v>479</v>
      </c>
      <c r="F137" t="s">
        <v>480</v>
      </c>
      <c r="G137" s="1">
        <v>35065</v>
      </c>
      <c r="J137" t="s">
        <v>678</v>
      </c>
      <c r="K137" t="s">
        <v>525</v>
      </c>
      <c r="L137" t="s">
        <v>828</v>
      </c>
      <c r="M137" t="s">
        <v>829</v>
      </c>
      <c r="N137" t="s">
        <v>830</v>
      </c>
      <c r="O137" t="s">
        <v>26</v>
      </c>
      <c r="P137">
        <v>35</v>
      </c>
      <c r="Q137">
        <v>43.75</v>
      </c>
      <c r="R137">
        <v>35</v>
      </c>
      <c r="S137">
        <v>52.5</v>
      </c>
      <c r="T137" t="s">
        <v>831</v>
      </c>
    </row>
    <row r="138" spans="1:20">
      <c r="A138">
        <v>266308</v>
      </c>
      <c r="B138" t="s">
        <v>832</v>
      </c>
      <c r="C138" t="str">
        <f>"9780889368477"</f>
        <v>9780889368477</v>
      </c>
      <c r="D138" t="str">
        <f>"9781552500415"</f>
        <v>9781552500415</v>
      </c>
      <c r="E138" t="s">
        <v>479</v>
      </c>
      <c r="F138" t="s">
        <v>480</v>
      </c>
      <c r="G138" s="1">
        <v>35796</v>
      </c>
      <c r="J138" t="s">
        <v>833</v>
      </c>
      <c r="K138" t="s">
        <v>442</v>
      </c>
      <c r="L138" t="s">
        <v>834</v>
      </c>
      <c r="M138">
        <v>333.7</v>
      </c>
      <c r="N138" t="s">
        <v>835</v>
      </c>
      <c r="O138" t="s">
        <v>26</v>
      </c>
      <c r="P138">
        <v>25</v>
      </c>
      <c r="Q138">
        <v>31.25</v>
      </c>
      <c r="R138">
        <v>25</v>
      </c>
      <c r="S138">
        <v>37.5</v>
      </c>
      <c r="T138" t="s">
        <v>836</v>
      </c>
    </row>
    <row r="139" spans="1:20">
      <c r="A139">
        <v>266309</v>
      </c>
      <c r="B139" t="s">
        <v>837</v>
      </c>
      <c r="C139" t="str">
        <f>"9780889368484"</f>
        <v>9780889368484</v>
      </c>
      <c r="D139" t="str">
        <f>"9781552502532"</f>
        <v>9781552502532</v>
      </c>
      <c r="E139" t="s">
        <v>479</v>
      </c>
      <c r="F139" t="s">
        <v>480</v>
      </c>
      <c r="G139" s="1">
        <v>35796</v>
      </c>
      <c r="J139" t="s">
        <v>838</v>
      </c>
      <c r="K139" t="s">
        <v>839</v>
      </c>
      <c r="L139" t="s">
        <v>840</v>
      </c>
      <c r="M139">
        <v>658.4</v>
      </c>
      <c r="N139" t="s">
        <v>841</v>
      </c>
      <c r="O139" t="s">
        <v>26</v>
      </c>
      <c r="P139">
        <v>25</v>
      </c>
      <c r="Q139">
        <v>31.25</v>
      </c>
      <c r="R139">
        <v>25</v>
      </c>
      <c r="S139">
        <v>37.5</v>
      </c>
      <c r="T139" t="s">
        <v>842</v>
      </c>
    </row>
    <row r="140" spans="1:20">
      <c r="A140">
        <v>266310</v>
      </c>
      <c r="B140" t="s">
        <v>843</v>
      </c>
      <c r="C140" t="str">
        <f>"9780889368705"</f>
        <v>9780889368705</v>
      </c>
      <c r="D140" t="str">
        <f>"9781552500439"</f>
        <v>9781552500439</v>
      </c>
      <c r="E140" t="s">
        <v>479</v>
      </c>
      <c r="F140" t="s">
        <v>480</v>
      </c>
      <c r="G140" s="1">
        <v>36161</v>
      </c>
      <c r="J140" t="s">
        <v>844</v>
      </c>
      <c r="K140" t="s">
        <v>305</v>
      </c>
      <c r="L140" t="s">
        <v>845</v>
      </c>
      <c r="M140" t="s">
        <v>846</v>
      </c>
      <c r="N140" t="s">
        <v>847</v>
      </c>
      <c r="O140" t="s">
        <v>26</v>
      </c>
      <c r="P140">
        <v>25</v>
      </c>
      <c r="Q140">
        <v>31.25</v>
      </c>
      <c r="R140">
        <v>25</v>
      </c>
      <c r="S140">
        <v>37.5</v>
      </c>
      <c r="T140" t="s">
        <v>848</v>
      </c>
    </row>
    <row r="141" spans="1:20">
      <c r="A141">
        <v>266311</v>
      </c>
      <c r="B141" t="s">
        <v>849</v>
      </c>
      <c r="C141" t="str">
        <f>"9780889368781"</f>
        <v>9780889368781</v>
      </c>
      <c r="D141" t="str">
        <f>"9781552500477"</f>
        <v>9781552500477</v>
      </c>
      <c r="E141" t="s">
        <v>479</v>
      </c>
      <c r="F141" t="s">
        <v>480</v>
      </c>
      <c r="G141" s="1">
        <v>36161</v>
      </c>
      <c r="J141" t="s">
        <v>850</v>
      </c>
      <c r="K141" t="s">
        <v>263</v>
      </c>
      <c r="L141" t="s">
        <v>851</v>
      </c>
      <c r="M141">
        <v>361.61</v>
      </c>
      <c r="N141" t="s">
        <v>852</v>
      </c>
      <c r="O141" t="s">
        <v>26</v>
      </c>
      <c r="P141">
        <v>25</v>
      </c>
      <c r="Q141">
        <v>31.25</v>
      </c>
      <c r="R141">
        <v>25</v>
      </c>
      <c r="S141">
        <v>37.5</v>
      </c>
      <c r="T141" t="s">
        <v>853</v>
      </c>
    </row>
    <row r="142" spans="1:20">
      <c r="A142">
        <v>266312</v>
      </c>
      <c r="B142" t="s">
        <v>854</v>
      </c>
      <c r="C142" t="str">
        <f>"9780889368828"</f>
        <v>9780889368828</v>
      </c>
      <c r="D142" t="str">
        <f>"9781552500620"</f>
        <v>9781552500620</v>
      </c>
      <c r="E142" t="s">
        <v>479</v>
      </c>
      <c r="F142" t="s">
        <v>480</v>
      </c>
      <c r="G142" s="1">
        <v>36161</v>
      </c>
      <c r="J142" t="s">
        <v>855</v>
      </c>
      <c r="K142" t="s">
        <v>856</v>
      </c>
      <c r="L142" t="s">
        <v>857</v>
      </c>
      <c r="M142" t="s">
        <v>858</v>
      </c>
      <c r="N142" t="s">
        <v>859</v>
      </c>
      <c r="O142" t="s">
        <v>26</v>
      </c>
      <c r="P142">
        <v>35</v>
      </c>
      <c r="Q142">
        <v>43.75</v>
      </c>
      <c r="R142">
        <v>35</v>
      </c>
      <c r="S142">
        <v>52.5</v>
      </c>
      <c r="T142" t="s">
        <v>860</v>
      </c>
    </row>
    <row r="143" spans="1:20">
      <c r="A143">
        <v>266313</v>
      </c>
      <c r="B143" t="s">
        <v>861</v>
      </c>
      <c r="C143" t="str">
        <f>"9780889368934"</f>
        <v>9780889368934</v>
      </c>
      <c r="D143" t="str">
        <f>"9781552500453"</f>
        <v>9781552500453</v>
      </c>
      <c r="E143" t="s">
        <v>479</v>
      </c>
      <c r="F143" t="s">
        <v>480</v>
      </c>
      <c r="G143" s="1">
        <v>36161</v>
      </c>
      <c r="J143" t="s">
        <v>862</v>
      </c>
      <c r="K143" t="s">
        <v>257</v>
      </c>
      <c r="L143" t="s">
        <v>863</v>
      </c>
      <c r="M143">
        <v>378.01609710000002</v>
      </c>
      <c r="N143" t="s">
        <v>864</v>
      </c>
      <c r="O143" t="s">
        <v>26</v>
      </c>
      <c r="P143">
        <v>25</v>
      </c>
      <c r="Q143">
        <v>31.25</v>
      </c>
      <c r="R143">
        <v>25</v>
      </c>
      <c r="S143">
        <v>37.5</v>
      </c>
      <c r="T143" t="s">
        <v>865</v>
      </c>
    </row>
    <row r="144" spans="1:20">
      <c r="A144">
        <v>266314</v>
      </c>
      <c r="B144" t="s">
        <v>866</v>
      </c>
      <c r="C144" t="str">
        <f>"9780889368996"</f>
        <v>9780889368996</v>
      </c>
      <c r="D144" t="str">
        <f>"9781552502518"</f>
        <v>9781552502518</v>
      </c>
      <c r="E144" t="s">
        <v>479</v>
      </c>
      <c r="F144" t="s">
        <v>480</v>
      </c>
      <c r="G144" s="1">
        <v>36161</v>
      </c>
      <c r="J144" t="s">
        <v>867</v>
      </c>
      <c r="K144" t="s">
        <v>435</v>
      </c>
      <c r="L144" t="s">
        <v>868</v>
      </c>
      <c r="M144" t="s">
        <v>869</v>
      </c>
      <c r="N144" t="s">
        <v>870</v>
      </c>
      <c r="O144" t="s">
        <v>26</v>
      </c>
      <c r="P144">
        <v>30</v>
      </c>
      <c r="Q144">
        <v>37.5</v>
      </c>
      <c r="R144">
        <v>30</v>
      </c>
      <c r="S144">
        <v>45</v>
      </c>
      <c r="T144" t="s">
        <v>871</v>
      </c>
    </row>
    <row r="145" spans="1:20">
      <c r="A145">
        <v>266315</v>
      </c>
      <c r="B145" t="s">
        <v>872</v>
      </c>
      <c r="C145" t="str">
        <f>"9780889369009"</f>
        <v>9780889369009</v>
      </c>
      <c r="D145" t="str">
        <f>"9781552500576"</f>
        <v>9781552500576</v>
      </c>
      <c r="E145" t="s">
        <v>479</v>
      </c>
      <c r="F145" t="s">
        <v>480</v>
      </c>
      <c r="G145" s="1">
        <v>36161</v>
      </c>
      <c r="J145" t="s">
        <v>873</v>
      </c>
      <c r="K145" t="s">
        <v>874</v>
      </c>
      <c r="L145" t="s">
        <v>875</v>
      </c>
      <c r="M145" t="s">
        <v>876</v>
      </c>
      <c r="N145" t="s">
        <v>877</v>
      </c>
      <c r="O145" t="s">
        <v>26</v>
      </c>
      <c r="P145">
        <v>20</v>
      </c>
      <c r="Q145">
        <v>25</v>
      </c>
      <c r="R145">
        <v>20</v>
      </c>
      <c r="S145">
        <v>30</v>
      </c>
      <c r="T145" t="s">
        <v>878</v>
      </c>
    </row>
    <row r="146" spans="1:20">
      <c r="A146">
        <v>266316</v>
      </c>
      <c r="B146" t="s">
        <v>879</v>
      </c>
      <c r="C146" t="str">
        <f>"9780889369191"</f>
        <v>9780889369191</v>
      </c>
      <c r="D146" t="str">
        <f>"9781552500286"</f>
        <v>9781552500286</v>
      </c>
      <c r="E146" t="s">
        <v>479</v>
      </c>
      <c r="F146" t="s">
        <v>480</v>
      </c>
      <c r="G146" s="1">
        <v>36526</v>
      </c>
      <c r="J146" t="s">
        <v>880</v>
      </c>
      <c r="K146" t="s">
        <v>263</v>
      </c>
      <c r="L146" t="s">
        <v>881</v>
      </c>
      <c r="M146" t="s">
        <v>882</v>
      </c>
      <c r="N146" t="s">
        <v>883</v>
      </c>
      <c r="O146" t="s">
        <v>94</v>
      </c>
      <c r="P146">
        <v>30</v>
      </c>
      <c r="Q146">
        <v>37.5</v>
      </c>
      <c r="R146">
        <v>30</v>
      </c>
      <c r="S146">
        <v>45</v>
      </c>
      <c r="T146" t="s">
        <v>884</v>
      </c>
    </row>
    <row r="147" spans="1:20">
      <c r="A147">
        <v>266317</v>
      </c>
      <c r="B147" t="s">
        <v>885</v>
      </c>
      <c r="C147" t="str">
        <f>"9780889369252"</f>
        <v>9780889369252</v>
      </c>
      <c r="D147" t="str">
        <f>"9781552500989"</f>
        <v>9781552500989</v>
      </c>
      <c r="E147" t="s">
        <v>479</v>
      </c>
      <c r="F147" t="s">
        <v>480</v>
      </c>
      <c r="G147" s="1">
        <v>36526</v>
      </c>
      <c r="J147" t="s">
        <v>886</v>
      </c>
      <c r="K147" t="s">
        <v>179</v>
      </c>
      <c r="L147" t="s">
        <v>887</v>
      </c>
      <c r="M147" t="s">
        <v>888</v>
      </c>
      <c r="N147" t="s">
        <v>889</v>
      </c>
      <c r="O147" t="s">
        <v>26</v>
      </c>
      <c r="P147">
        <v>25</v>
      </c>
      <c r="Q147">
        <v>31.25</v>
      </c>
      <c r="R147">
        <v>25</v>
      </c>
      <c r="S147">
        <v>37.5</v>
      </c>
      <c r="T147" t="s">
        <v>890</v>
      </c>
    </row>
    <row r="148" spans="1:20">
      <c r="A148">
        <v>266318</v>
      </c>
      <c r="B148" t="s">
        <v>891</v>
      </c>
      <c r="C148" t="str">
        <f>"9780889369863"</f>
        <v>9780889369863</v>
      </c>
      <c r="D148" t="str">
        <f>"9781552500996"</f>
        <v>9781552500996</v>
      </c>
      <c r="E148" t="s">
        <v>479</v>
      </c>
      <c r="F148" t="s">
        <v>480</v>
      </c>
      <c r="G148" s="1">
        <v>37257</v>
      </c>
      <c r="J148" t="s">
        <v>892</v>
      </c>
      <c r="K148" t="s">
        <v>416</v>
      </c>
      <c r="L148" t="s">
        <v>893</v>
      </c>
      <c r="M148" t="s">
        <v>894</v>
      </c>
      <c r="N148" t="s">
        <v>895</v>
      </c>
      <c r="O148" t="s">
        <v>26</v>
      </c>
      <c r="P148">
        <v>35</v>
      </c>
      <c r="Q148">
        <v>43.75</v>
      </c>
      <c r="R148">
        <v>35</v>
      </c>
      <c r="S148">
        <v>52.5</v>
      </c>
      <c r="T148" t="s">
        <v>896</v>
      </c>
    </row>
    <row r="149" spans="1:20">
      <c r="A149">
        <v>266319</v>
      </c>
      <c r="B149" t="s">
        <v>897</v>
      </c>
      <c r="C149" t="str">
        <f>"9780889369948"</f>
        <v>9780889369948</v>
      </c>
      <c r="D149" t="str">
        <f>"9781552501283"</f>
        <v>9781552501283</v>
      </c>
      <c r="E149" t="s">
        <v>479</v>
      </c>
      <c r="F149" t="s">
        <v>480</v>
      </c>
      <c r="G149" s="1">
        <v>37622</v>
      </c>
      <c r="J149" t="s">
        <v>898</v>
      </c>
      <c r="K149" t="s">
        <v>899</v>
      </c>
      <c r="L149" t="s">
        <v>900</v>
      </c>
      <c r="M149" t="s">
        <v>901</v>
      </c>
      <c r="N149" t="s">
        <v>902</v>
      </c>
      <c r="O149" t="s">
        <v>26</v>
      </c>
      <c r="P149">
        <v>30</v>
      </c>
      <c r="Q149">
        <v>37.5</v>
      </c>
      <c r="R149">
        <v>30</v>
      </c>
      <c r="S149">
        <v>45</v>
      </c>
      <c r="T149" t="s">
        <v>903</v>
      </c>
    </row>
    <row r="150" spans="1:20">
      <c r="A150">
        <v>266320</v>
      </c>
      <c r="B150" t="s">
        <v>904</v>
      </c>
      <c r="C150" t="str">
        <f>"9781592211630"</f>
        <v>9781592211630</v>
      </c>
      <c r="D150" t="str">
        <f>"9781552500729"</f>
        <v>9781552500729</v>
      </c>
      <c r="E150" t="s">
        <v>479</v>
      </c>
      <c r="F150" t="s">
        <v>480</v>
      </c>
      <c r="G150" s="1">
        <v>37987</v>
      </c>
      <c r="J150" t="s">
        <v>648</v>
      </c>
      <c r="K150" t="s">
        <v>263</v>
      </c>
      <c r="L150" t="s">
        <v>905</v>
      </c>
      <c r="M150" t="s">
        <v>906</v>
      </c>
      <c r="N150" t="s">
        <v>907</v>
      </c>
      <c r="O150" t="s">
        <v>26</v>
      </c>
      <c r="P150">
        <v>25</v>
      </c>
      <c r="Q150">
        <v>31.25</v>
      </c>
      <c r="R150">
        <v>25</v>
      </c>
      <c r="S150">
        <v>37.5</v>
      </c>
      <c r="T150" t="s">
        <v>908</v>
      </c>
    </row>
    <row r="151" spans="1:20">
      <c r="A151">
        <v>266321</v>
      </c>
      <c r="B151" t="s">
        <v>909</v>
      </c>
      <c r="C151" t="str">
        <f>"9781592211654"</f>
        <v>9781592211654</v>
      </c>
      <c r="D151" t="str">
        <f>"9781552501252"</f>
        <v>9781552501252</v>
      </c>
      <c r="E151" t="s">
        <v>479</v>
      </c>
      <c r="F151" t="s">
        <v>480</v>
      </c>
      <c r="G151" s="1">
        <v>37987</v>
      </c>
      <c r="J151" t="s">
        <v>910</v>
      </c>
      <c r="K151" t="s">
        <v>416</v>
      </c>
      <c r="L151" t="s">
        <v>911</v>
      </c>
      <c r="M151">
        <v>338.96</v>
      </c>
      <c r="N151" t="s">
        <v>912</v>
      </c>
      <c r="O151" t="s">
        <v>26</v>
      </c>
      <c r="P151">
        <v>30</v>
      </c>
      <c r="Q151">
        <v>37.5</v>
      </c>
      <c r="R151">
        <v>30</v>
      </c>
      <c r="S151">
        <v>45</v>
      </c>
      <c r="T151" t="s">
        <v>913</v>
      </c>
    </row>
    <row r="152" spans="1:20">
      <c r="A152">
        <v>266322</v>
      </c>
      <c r="B152" t="s">
        <v>914</v>
      </c>
      <c r="C152" t="str">
        <f>"9788186706664"</f>
        <v>9788186706664</v>
      </c>
      <c r="D152" t="str">
        <f>"9781552500187"</f>
        <v>9781552500187</v>
      </c>
      <c r="E152" t="s">
        <v>479</v>
      </c>
      <c r="F152" t="s">
        <v>480</v>
      </c>
      <c r="G152" s="1">
        <v>37622</v>
      </c>
      <c r="J152" t="s">
        <v>915</v>
      </c>
      <c r="K152" t="s">
        <v>284</v>
      </c>
      <c r="L152" t="s">
        <v>916</v>
      </c>
      <c r="M152">
        <v>331.41330950000003</v>
      </c>
      <c r="N152" t="s">
        <v>917</v>
      </c>
      <c r="O152" t="s">
        <v>26</v>
      </c>
      <c r="P152">
        <v>15</v>
      </c>
      <c r="Q152">
        <v>18.75</v>
      </c>
      <c r="R152">
        <v>15</v>
      </c>
      <c r="S152">
        <v>22.5</v>
      </c>
      <c r="T152" t="s">
        <v>918</v>
      </c>
    </row>
    <row r="153" spans="1:20">
      <c r="A153">
        <v>266323</v>
      </c>
      <c r="B153" t="s">
        <v>919</v>
      </c>
      <c r="C153" t="str">
        <f>"9789812301734"</f>
        <v>9789812301734</v>
      </c>
      <c r="D153" t="str">
        <f>"9781552500057"</f>
        <v>9781552500057</v>
      </c>
      <c r="E153" t="s">
        <v>479</v>
      </c>
      <c r="F153" t="s">
        <v>480</v>
      </c>
      <c r="G153" s="1">
        <v>37257</v>
      </c>
      <c r="J153" t="s">
        <v>920</v>
      </c>
      <c r="K153" t="s">
        <v>263</v>
      </c>
      <c r="L153" t="s">
        <v>921</v>
      </c>
      <c r="M153">
        <v>362.61095</v>
      </c>
      <c r="N153" t="s">
        <v>922</v>
      </c>
      <c r="O153" t="s">
        <v>26</v>
      </c>
      <c r="P153">
        <v>40</v>
      </c>
      <c r="Q153">
        <v>50</v>
      </c>
      <c r="R153">
        <v>40</v>
      </c>
      <c r="S153">
        <v>60</v>
      </c>
      <c r="T153" t="s">
        <v>923</v>
      </c>
    </row>
    <row r="154" spans="1:20">
      <c r="A154">
        <v>266324</v>
      </c>
      <c r="B154" t="s">
        <v>924</v>
      </c>
      <c r="C154" t="str">
        <f>"9789812303028"</f>
        <v>9789812303028</v>
      </c>
      <c r="D154" t="str">
        <f>"9781552501795"</f>
        <v>9781552501795</v>
      </c>
      <c r="E154" t="s">
        <v>479</v>
      </c>
      <c r="F154" t="s">
        <v>480</v>
      </c>
      <c r="G154" s="1">
        <v>38533</v>
      </c>
      <c r="J154" t="s">
        <v>925</v>
      </c>
      <c r="K154" t="s">
        <v>305</v>
      </c>
      <c r="L154" t="s">
        <v>926</v>
      </c>
      <c r="M154">
        <v>381.14209499999998</v>
      </c>
      <c r="N154" t="s">
        <v>927</v>
      </c>
      <c r="O154" t="s">
        <v>26</v>
      </c>
      <c r="P154">
        <v>20</v>
      </c>
      <c r="Q154">
        <v>25</v>
      </c>
      <c r="R154">
        <v>20</v>
      </c>
      <c r="S154">
        <v>30</v>
      </c>
      <c r="T154" t="s">
        <v>928</v>
      </c>
    </row>
    <row r="155" spans="1:20">
      <c r="A155">
        <v>266325</v>
      </c>
      <c r="B155" t="s">
        <v>929</v>
      </c>
      <c r="C155" t="str">
        <f>"9789839054415"</f>
        <v>9789839054415</v>
      </c>
      <c r="D155" t="str">
        <f>"9781552500668"</f>
        <v>9781552500668</v>
      </c>
      <c r="E155" t="s">
        <v>479</v>
      </c>
      <c r="F155" t="s">
        <v>480</v>
      </c>
      <c r="G155" s="1">
        <v>37987</v>
      </c>
      <c r="J155" t="s">
        <v>930</v>
      </c>
      <c r="K155" t="s">
        <v>899</v>
      </c>
      <c r="L155" t="s">
        <v>931</v>
      </c>
      <c r="M155">
        <v>302.2</v>
      </c>
      <c r="N155" t="s">
        <v>932</v>
      </c>
      <c r="O155" t="s">
        <v>26</v>
      </c>
      <c r="P155">
        <v>25</v>
      </c>
      <c r="Q155">
        <v>31.25</v>
      </c>
      <c r="R155">
        <v>25</v>
      </c>
      <c r="S155">
        <v>37.5</v>
      </c>
      <c r="T155" t="s">
        <v>933</v>
      </c>
    </row>
    <row r="156" spans="1:20">
      <c r="A156">
        <v>266326</v>
      </c>
      <c r="B156" t="s">
        <v>934</v>
      </c>
      <c r="C156" t="str">
        <f>"9789839054460"</f>
        <v>9789839054460</v>
      </c>
      <c r="D156" t="str">
        <f>"9781552502204"</f>
        <v>9781552502204</v>
      </c>
      <c r="E156" t="s">
        <v>479</v>
      </c>
      <c r="F156" t="s">
        <v>480</v>
      </c>
      <c r="G156" s="1">
        <v>38718</v>
      </c>
      <c r="J156" t="s">
        <v>935</v>
      </c>
      <c r="K156" t="s">
        <v>416</v>
      </c>
      <c r="L156" t="s">
        <v>936</v>
      </c>
      <c r="M156">
        <v>338.90095300000002</v>
      </c>
      <c r="N156" t="s">
        <v>937</v>
      </c>
      <c r="O156" t="s">
        <v>26</v>
      </c>
      <c r="P156">
        <v>18</v>
      </c>
      <c r="Q156">
        <v>22.5</v>
      </c>
      <c r="R156">
        <v>18</v>
      </c>
      <c r="S156">
        <v>27</v>
      </c>
      <c r="T156" t="s">
        <v>938</v>
      </c>
    </row>
    <row r="157" spans="1:20">
      <c r="A157">
        <v>266919</v>
      </c>
      <c r="B157" t="s">
        <v>939</v>
      </c>
      <c r="C157" t="str">
        <f>"9780889368880"</f>
        <v>9780889368880</v>
      </c>
      <c r="D157" t="str">
        <f>"9781552501290"</f>
        <v>9781552501290</v>
      </c>
      <c r="E157" t="s">
        <v>479</v>
      </c>
      <c r="F157" t="s">
        <v>480</v>
      </c>
      <c r="G157" s="1">
        <v>37257</v>
      </c>
      <c r="J157" t="s">
        <v>689</v>
      </c>
      <c r="K157" t="s">
        <v>278</v>
      </c>
      <c r="L157" t="s">
        <v>940</v>
      </c>
      <c r="M157">
        <v>338.96</v>
      </c>
      <c r="N157" t="s">
        <v>941</v>
      </c>
      <c r="O157" t="s">
        <v>26</v>
      </c>
      <c r="P157">
        <v>30</v>
      </c>
      <c r="Q157">
        <v>37.5</v>
      </c>
      <c r="R157">
        <v>30</v>
      </c>
      <c r="S157">
        <v>45</v>
      </c>
      <c r="T157" t="s">
        <v>942</v>
      </c>
    </row>
    <row r="158" spans="1:20">
      <c r="A158">
        <v>266920</v>
      </c>
      <c r="B158" t="s">
        <v>943</v>
      </c>
      <c r="C158" t="str">
        <f>"9780889369580"</f>
        <v>9780889369580</v>
      </c>
      <c r="D158" t="str">
        <f>"9781552501054"</f>
        <v>9781552501054</v>
      </c>
      <c r="E158" t="s">
        <v>479</v>
      </c>
      <c r="F158" t="s">
        <v>480</v>
      </c>
      <c r="G158" s="1">
        <v>37257</v>
      </c>
      <c r="J158" t="s">
        <v>944</v>
      </c>
      <c r="K158" t="s">
        <v>525</v>
      </c>
      <c r="L158" t="s">
        <v>945</v>
      </c>
      <c r="M158" t="s">
        <v>946</v>
      </c>
      <c r="N158" t="s">
        <v>947</v>
      </c>
      <c r="O158" t="s">
        <v>26</v>
      </c>
      <c r="P158">
        <v>35</v>
      </c>
      <c r="Q158">
        <v>43.75</v>
      </c>
      <c r="R158">
        <v>35</v>
      </c>
      <c r="S158">
        <v>52.5</v>
      </c>
      <c r="T158" t="s">
        <v>948</v>
      </c>
    </row>
    <row r="159" spans="1:20">
      <c r="A159">
        <v>266921</v>
      </c>
      <c r="B159" t="s">
        <v>949</v>
      </c>
      <c r="C159" t="str">
        <f>"9781552500019"</f>
        <v>9781552500019</v>
      </c>
      <c r="D159" t="str">
        <f>"9781552501269"</f>
        <v>9781552501269</v>
      </c>
      <c r="E159" t="s">
        <v>479</v>
      </c>
      <c r="F159" t="s">
        <v>480</v>
      </c>
      <c r="G159" s="1">
        <v>30682</v>
      </c>
      <c r="J159" t="s">
        <v>950</v>
      </c>
      <c r="K159" t="s">
        <v>278</v>
      </c>
      <c r="L159" t="s">
        <v>951</v>
      </c>
      <c r="M159" t="s">
        <v>952</v>
      </c>
      <c r="N159" t="s">
        <v>953</v>
      </c>
      <c r="O159" t="s">
        <v>26</v>
      </c>
      <c r="P159">
        <v>30</v>
      </c>
      <c r="Q159">
        <v>37.5</v>
      </c>
      <c r="R159">
        <v>30</v>
      </c>
      <c r="S159">
        <v>45</v>
      </c>
      <c r="T159" t="s">
        <v>954</v>
      </c>
    </row>
    <row r="160" spans="1:20">
      <c r="A160">
        <v>266922</v>
      </c>
      <c r="B160" t="s">
        <v>955</v>
      </c>
      <c r="C160" t="str">
        <f>"9781552500064"</f>
        <v>9781552500064</v>
      </c>
      <c r="D160" t="str">
        <f>"9781552501399"</f>
        <v>9781552501399</v>
      </c>
      <c r="E160" t="s">
        <v>479</v>
      </c>
      <c r="F160" t="s">
        <v>480</v>
      </c>
      <c r="G160" s="1">
        <v>37622</v>
      </c>
      <c r="J160" t="s">
        <v>956</v>
      </c>
      <c r="K160" t="s">
        <v>278</v>
      </c>
      <c r="L160" t="s">
        <v>951</v>
      </c>
      <c r="M160" t="s">
        <v>952</v>
      </c>
      <c r="N160" t="s">
        <v>957</v>
      </c>
      <c r="O160" t="s">
        <v>26</v>
      </c>
      <c r="P160">
        <v>30</v>
      </c>
      <c r="Q160">
        <v>37.5</v>
      </c>
      <c r="R160">
        <v>30</v>
      </c>
      <c r="S160">
        <v>45</v>
      </c>
      <c r="T160" t="s">
        <v>958</v>
      </c>
    </row>
    <row r="161" spans="1:20">
      <c r="A161">
        <v>266923</v>
      </c>
      <c r="B161" t="s">
        <v>959</v>
      </c>
      <c r="C161" t="str">
        <f>"9781552500088"</f>
        <v>9781552500088</v>
      </c>
      <c r="D161" t="str">
        <f>"9781552501764"</f>
        <v>9781552501764</v>
      </c>
      <c r="E161" t="s">
        <v>479</v>
      </c>
      <c r="F161" t="s">
        <v>480</v>
      </c>
      <c r="G161" s="1">
        <v>37895</v>
      </c>
      <c r="J161" t="s">
        <v>762</v>
      </c>
      <c r="K161" t="s">
        <v>278</v>
      </c>
      <c r="L161" t="s">
        <v>960</v>
      </c>
      <c r="M161" t="s">
        <v>952</v>
      </c>
      <c r="N161" t="s">
        <v>957</v>
      </c>
      <c r="O161" t="s">
        <v>26</v>
      </c>
      <c r="P161">
        <v>30</v>
      </c>
      <c r="Q161">
        <v>37.5</v>
      </c>
      <c r="R161">
        <v>30</v>
      </c>
      <c r="S161">
        <v>45</v>
      </c>
      <c r="T161" t="s">
        <v>961</v>
      </c>
    </row>
    <row r="162" spans="1:20">
      <c r="A162">
        <v>266925</v>
      </c>
      <c r="B162" t="s">
        <v>962</v>
      </c>
      <c r="C162" t="str">
        <f>"9789766371586"</f>
        <v>9789766371586</v>
      </c>
      <c r="D162" t="str">
        <f>"9781552501047"</f>
        <v>9781552501047</v>
      </c>
      <c r="E162" t="s">
        <v>479</v>
      </c>
      <c r="F162" t="s">
        <v>480</v>
      </c>
      <c r="G162" s="1">
        <v>38918</v>
      </c>
      <c r="J162" t="s">
        <v>963</v>
      </c>
      <c r="K162" t="s">
        <v>964</v>
      </c>
      <c r="L162" t="s">
        <v>965</v>
      </c>
      <c r="M162" t="s">
        <v>966</v>
      </c>
      <c r="N162" t="s">
        <v>967</v>
      </c>
      <c r="O162" t="s">
        <v>26</v>
      </c>
      <c r="P162">
        <v>30</v>
      </c>
      <c r="Q162">
        <v>37.5</v>
      </c>
      <c r="R162">
        <v>30</v>
      </c>
      <c r="S162">
        <v>45</v>
      </c>
      <c r="T162" t="s">
        <v>968</v>
      </c>
    </row>
    <row r="163" spans="1:20">
      <c r="A163">
        <v>266998</v>
      </c>
      <c r="B163" t="s">
        <v>969</v>
      </c>
      <c r="C163" t="str">
        <f>"9780889367555"</f>
        <v>9780889367555</v>
      </c>
      <c r="D163" t="str">
        <f>"9781552500255"</f>
        <v>9781552500255</v>
      </c>
      <c r="E163" t="s">
        <v>479</v>
      </c>
      <c r="F163" t="s">
        <v>480</v>
      </c>
      <c r="G163" s="1">
        <v>35065</v>
      </c>
      <c r="J163" t="s">
        <v>970</v>
      </c>
      <c r="K163" t="s">
        <v>971</v>
      </c>
      <c r="L163" t="s">
        <v>972</v>
      </c>
      <c r="M163" t="s">
        <v>973</v>
      </c>
      <c r="N163" t="s">
        <v>974</v>
      </c>
      <c r="O163" t="s">
        <v>26</v>
      </c>
      <c r="P163">
        <v>25</v>
      </c>
      <c r="Q163">
        <v>31.25</v>
      </c>
      <c r="R163">
        <v>25</v>
      </c>
      <c r="S163">
        <v>37.5</v>
      </c>
      <c r="T163" t="s">
        <v>975</v>
      </c>
    </row>
    <row r="164" spans="1:20">
      <c r="A164">
        <v>266999</v>
      </c>
      <c r="B164" t="s">
        <v>976</v>
      </c>
      <c r="C164" t="str">
        <f>"9780889368675"</f>
        <v>9780889368675</v>
      </c>
      <c r="D164" t="str">
        <f>"9781552500644"</f>
        <v>9781552500644</v>
      </c>
      <c r="E164" t="s">
        <v>479</v>
      </c>
      <c r="F164" t="s">
        <v>480</v>
      </c>
      <c r="G164" s="1">
        <v>35796</v>
      </c>
      <c r="J164" t="s">
        <v>977</v>
      </c>
      <c r="K164" t="s">
        <v>278</v>
      </c>
      <c r="L164" t="s">
        <v>978</v>
      </c>
      <c r="M164" t="s">
        <v>979</v>
      </c>
      <c r="N164" t="s">
        <v>980</v>
      </c>
      <c r="O164" t="s">
        <v>26</v>
      </c>
      <c r="P164">
        <v>30</v>
      </c>
      <c r="Q164">
        <v>37.5</v>
      </c>
      <c r="R164">
        <v>30</v>
      </c>
      <c r="S164">
        <v>45</v>
      </c>
      <c r="T164" t="s">
        <v>981</v>
      </c>
    </row>
    <row r="165" spans="1:20">
      <c r="A165">
        <v>267000</v>
      </c>
      <c r="B165" t="s">
        <v>982</v>
      </c>
      <c r="C165" t="str">
        <f>"9780889369351"</f>
        <v>9780889369351</v>
      </c>
      <c r="D165" t="str">
        <f>"9781552502525"</f>
        <v>9781552502525</v>
      </c>
      <c r="E165" t="s">
        <v>479</v>
      </c>
      <c r="F165" t="s">
        <v>480</v>
      </c>
      <c r="G165" s="1">
        <v>36892</v>
      </c>
      <c r="J165" t="s">
        <v>983</v>
      </c>
      <c r="K165" t="s">
        <v>376</v>
      </c>
      <c r="L165" t="s">
        <v>984</v>
      </c>
      <c r="M165" t="s">
        <v>985</v>
      </c>
      <c r="N165" t="s">
        <v>986</v>
      </c>
      <c r="O165" t="s">
        <v>26</v>
      </c>
      <c r="P165">
        <v>30</v>
      </c>
      <c r="Q165">
        <v>37.5</v>
      </c>
      <c r="R165">
        <v>30</v>
      </c>
      <c r="S165">
        <v>45</v>
      </c>
      <c r="T165" t="s">
        <v>987</v>
      </c>
    </row>
    <row r="166" spans="1:20">
      <c r="A166">
        <v>267001</v>
      </c>
      <c r="B166" t="s">
        <v>988</v>
      </c>
      <c r="C166" t="str">
        <f>"9780889369597"</f>
        <v>9780889369597</v>
      </c>
      <c r="D166" t="str">
        <f>"9781552500217"</f>
        <v>9781552500217</v>
      </c>
      <c r="E166" t="s">
        <v>479</v>
      </c>
      <c r="F166" t="s">
        <v>480</v>
      </c>
      <c r="G166" s="1">
        <v>36892</v>
      </c>
      <c r="J166" t="s">
        <v>599</v>
      </c>
      <c r="K166" t="s">
        <v>416</v>
      </c>
      <c r="L166" t="s">
        <v>989</v>
      </c>
      <c r="M166">
        <v>338.91</v>
      </c>
      <c r="N166" t="s">
        <v>990</v>
      </c>
      <c r="O166" t="s">
        <v>26</v>
      </c>
      <c r="P166">
        <v>25</v>
      </c>
      <c r="Q166">
        <v>31.25</v>
      </c>
      <c r="R166">
        <v>25</v>
      </c>
      <c r="S166">
        <v>37.5</v>
      </c>
      <c r="T166" t="s">
        <v>991</v>
      </c>
    </row>
    <row r="167" spans="1:20">
      <c r="A167">
        <v>267002</v>
      </c>
      <c r="B167" t="s">
        <v>992</v>
      </c>
      <c r="C167" t="str">
        <f>"9780889369634"</f>
        <v>9780889369634</v>
      </c>
      <c r="D167" t="str">
        <f>"9781552502563"</f>
        <v>9781552502563</v>
      </c>
      <c r="E167" t="s">
        <v>479</v>
      </c>
      <c r="F167" t="s">
        <v>480</v>
      </c>
      <c r="G167" s="1">
        <v>36892</v>
      </c>
      <c r="J167" t="s">
        <v>993</v>
      </c>
      <c r="K167" t="s">
        <v>994</v>
      </c>
      <c r="L167" t="s">
        <v>995</v>
      </c>
      <c r="M167" t="s">
        <v>996</v>
      </c>
      <c r="N167" t="s">
        <v>997</v>
      </c>
      <c r="O167" t="s">
        <v>26</v>
      </c>
      <c r="P167">
        <v>30</v>
      </c>
      <c r="Q167">
        <v>37.5</v>
      </c>
      <c r="R167">
        <v>30</v>
      </c>
      <c r="S167">
        <v>45</v>
      </c>
      <c r="T167" t="s">
        <v>998</v>
      </c>
    </row>
    <row r="168" spans="1:20">
      <c r="A168">
        <v>267003</v>
      </c>
      <c r="B168" t="s">
        <v>999</v>
      </c>
      <c r="C168" t="str">
        <f>"9780889369856"</f>
        <v>9780889369856</v>
      </c>
      <c r="D168" t="str">
        <f>"9781552501450"</f>
        <v>9781552501450</v>
      </c>
      <c r="E168" t="s">
        <v>479</v>
      </c>
      <c r="F168" t="s">
        <v>480</v>
      </c>
      <c r="G168" s="1">
        <v>37257</v>
      </c>
      <c r="J168" t="s">
        <v>1000</v>
      </c>
      <c r="K168" t="s">
        <v>278</v>
      </c>
      <c r="L168" t="s">
        <v>1001</v>
      </c>
      <c r="M168">
        <v>338.20979999999997</v>
      </c>
      <c r="N168" t="s">
        <v>1002</v>
      </c>
      <c r="O168" t="s">
        <v>485</v>
      </c>
      <c r="P168">
        <v>15</v>
      </c>
      <c r="Q168">
        <v>18.75</v>
      </c>
      <c r="R168">
        <v>15</v>
      </c>
      <c r="S168">
        <v>22.5</v>
      </c>
      <c r="T168" t="s">
        <v>1003</v>
      </c>
    </row>
    <row r="169" spans="1:20">
      <c r="A169">
        <v>267004</v>
      </c>
      <c r="B169" t="s">
        <v>1004</v>
      </c>
      <c r="C169" t="str">
        <f>"9781842771921"</f>
        <v>9781842771921</v>
      </c>
      <c r="D169" t="str">
        <f>"9781552500040"</f>
        <v>9781552500040</v>
      </c>
      <c r="E169" t="s">
        <v>479</v>
      </c>
      <c r="F169" t="s">
        <v>480</v>
      </c>
      <c r="G169" s="1">
        <v>37987</v>
      </c>
      <c r="J169" t="s">
        <v>1005</v>
      </c>
      <c r="K169" t="s">
        <v>263</v>
      </c>
      <c r="L169" t="s">
        <v>1006</v>
      </c>
      <c r="M169">
        <v>305.8</v>
      </c>
      <c r="N169" t="s">
        <v>1007</v>
      </c>
      <c r="O169" t="s">
        <v>26</v>
      </c>
      <c r="P169">
        <v>60</v>
      </c>
      <c r="Q169">
        <v>75</v>
      </c>
      <c r="R169">
        <v>60</v>
      </c>
      <c r="S169">
        <v>90</v>
      </c>
      <c r="T169" t="s">
        <v>1008</v>
      </c>
    </row>
    <row r="170" spans="1:20">
      <c r="A170">
        <v>267005</v>
      </c>
      <c r="B170" t="s">
        <v>1009</v>
      </c>
      <c r="C170" t="str">
        <f>"9781844070268"</f>
        <v>9781844070268</v>
      </c>
      <c r="D170" t="str">
        <f>"9781552500712"</f>
        <v>9781552500712</v>
      </c>
      <c r="E170" t="s">
        <v>479</v>
      </c>
      <c r="F170" t="s">
        <v>480</v>
      </c>
      <c r="G170" s="1">
        <v>37622</v>
      </c>
      <c r="J170" t="s">
        <v>1010</v>
      </c>
      <c r="K170" t="s">
        <v>1011</v>
      </c>
      <c r="L170" t="s">
        <v>1012</v>
      </c>
      <c r="M170">
        <v>333.7</v>
      </c>
      <c r="N170" t="s">
        <v>1013</v>
      </c>
      <c r="O170" t="s">
        <v>26</v>
      </c>
      <c r="P170">
        <v>40</v>
      </c>
      <c r="Q170">
        <v>50</v>
      </c>
      <c r="R170">
        <v>40</v>
      </c>
      <c r="S170">
        <v>60</v>
      </c>
      <c r="T170" t="s">
        <v>1014</v>
      </c>
    </row>
    <row r="171" spans="1:20">
      <c r="A171">
        <v>267006</v>
      </c>
      <c r="B171" t="s">
        <v>1015</v>
      </c>
      <c r="C171" t="str">
        <f>"9781896770673"</f>
        <v>9781896770673</v>
      </c>
      <c r="D171" t="str">
        <f>"9781552501535"</f>
        <v>9781552501535</v>
      </c>
      <c r="E171" t="s">
        <v>479</v>
      </c>
      <c r="F171" t="s">
        <v>480</v>
      </c>
      <c r="G171" s="1">
        <v>37987</v>
      </c>
      <c r="J171" t="s">
        <v>1016</v>
      </c>
      <c r="K171" t="s">
        <v>416</v>
      </c>
      <c r="L171" t="s">
        <v>1017</v>
      </c>
      <c r="M171" t="s">
        <v>1018</v>
      </c>
      <c r="N171" t="s">
        <v>1019</v>
      </c>
      <c r="O171" t="s">
        <v>26</v>
      </c>
      <c r="P171">
        <v>15</v>
      </c>
      <c r="Q171">
        <v>18.75</v>
      </c>
      <c r="R171">
        <v>15</v>
      </c>
      <c r="S171">
        <v>22.5</v>
      </c>
      <c r="T171" t="s">
        <v>1020</v>
      </c>
    </row>
    <row r="172" spans="1:20">
      <c r="A172">
        <v>267007</v>
      </c>
      <c r="B172" t="s">
        <v>1021</v>
      </c>
      <c r="C172" t="str">
        <f>"9781919713847"</f>
        <v>9781919713847</v>
      </c>
      <c r="D172" t="str">
        <f>"9781552501306"</f>
        <v>9781552501306</v>
      </c>
      <c r="E172" t="s">
        <v>479</v>
      </c>
      <c r="F172" t="s">
        <v>480</v>
      </c>
      <c r="G172" s="1">
        <v>37894</v>
      </c>
      <c r="J172" t="s">
        <v>1022</v>
      </c>
      <c r="K172" t="s">
        <v>376</v>
      </c>
      <c r="L172" t="s">
        <v>1023</v>
      </c>
      <c r="M172">
        <v>362.1</v>
      </c>
      <c r="N172" t="s">
        <v>1024</v>
      </c>
      <c r="O172" t="s">
        <v>26</v>
      </c>
      <c r="P172">
        <v>40</v>
      </c>
      <c r="Q172">
        <v>50</v>
      </c>
      <c r="R172">
        <v>40</v>
      </c>
      <c r="S172">
        <v>60</v>
      </c>
      <c r="T172" t="s">
        <v>1025</v>
      </c>
    </row>
    <row r="173" spans="1:20">
      <c r="A173">
        <v>267009</v>
      </c>
      <c r="B173" t="s">
        <v>1026</v>
      </c>
      <c r="C173" t="str">
        <f>"9789793361307"</f>
        <v>9789793361307</v>
      </c>
      <c r="D173" t="str">
        <f>"9781552501313"</f>
        <v>9781552501313</v>
      </c>
      <c r="E173" t="s">
        <v>479</v>
      </c>
      <c r="F173" t="s">
        <v>480</v>
      </c>
      <c r="G173" s="1">
        <v>37987</v>
      </c>
      <c r="J173" t="s">
        <v>1027</v>
      </c>
      <c r="K173" t="s">
        <v>1028</v>
      </c>
      <c r="L173" t="s">
        <v>1029</v>
      </c>
      <c r="M173" t="s">
        <v>1030</v>
      </c>
      <c r="N173" t="s">
        <v>1031</v>
      </c>
      <c r="O173" t="s">
        <v>26</v>
      </c>
      <c r="P173">
        <v>20</v>
      </c>
      <c r="Q173">
        <v>25</v>
      </c>
      <c r="R173">
        <v>20</v>
      </c>
      <c r="S173">
        <v>30</v>
      </c>
      <c r="T173" t="s">
        <v>1032</v>
      </c>
    </row>
    <row r="174" spans="1:20">
      <c r="A174">
        <v>267177</v>
      </c>
      <c r="B174" t="s">
        <v>1033</v>
      </c>
      <c r="C174" t="str">
        <f>"9780889369986"</f>
        <v>9780889369986</v>
      </c>
      <c r="D174" t="str">
        <f>"9781552500200"</f>
        <v>9781552500200</v>
      </c>
      <c r="E174" t="s">
        <v>479</v>
      </c>
      <c r="F174" t="s">
        <v>480</v>
      </c>
      <c r="G174" s="1">
        <v>37257</v>
      </c>
      <c r="J174" t="s">
        <v>1034</v>
      </c>
      <c r="K174" t="s">
        <v>305</v>
      </c>
      <c r="L174" t="s">
        <v>1035</v>
      </c>
      <c r="M174">
        <v>658.1</v>
      </c>
      <c r="N174" t="s">
        <v>1036</v>
      </c>
      <c r="O174" t="s">
        <v>26</v>
      </c>
      <c r="P174">
        <v>30</v>
      </c>
      <c r="Q174">
        <v>37.5</v>
      </c>
      <c r="R174">
        <v>30</v>
      </c>
      <c r="S174">
        <v>45</v>
      </c>
      <c r="T174" t="s">
        <v>1037</v>
      </c>
    </row>
    <row r="175" spans="1:20">
      <c r="A175">
        <v>267178</v>
      </c>
      <c r="B175" t="s">
        <v>1038</v>
      </c>
      <c r="C175" t="str">
        <f>"9789068321487"</f>
        <v>9789068321487</v>
      </c>
      <c r="D175" t="str">
        <f>"9781552500699"</f>
        <v>9781552500699</v>
      </c>
      <c r="E175" t="s">
        <v>479</v>
      </c>
      <c r="F175" t="s">
        <v>480</v>
      </c>
      <c r="G175" s="1">
        <v>37622</v>
      </c>
      <c r="H175">
        <v>2</v>
      </c>
      <c r="J175" t="s">
        <v>1039</v>
      </c>
      <c r="K175" t="s">
        <v>376</v>
      </c>
      <c r="L175" t="s">
        <v>1040</v>
      </c>
      <c r="M175" t="s">
        <v>1041</v>
      </c>
      <c r="N175" t="s">
        <v>1042</v>
      </c>
      <c r="O175" t="s">
        <v>26</v>
      </c>
      <c r="P175">
        <v>35</v>
      </c>
      <c r="Q175">
        <v>43.75</v>
      </c>
      <c r="R175">
        <v>35</v>
      </c>
      <c r="S175">
        <v>52.5</v>
      </c>
      <c r="T175" t="s">
        <v>1043</v>
      </c>
    </row>
    <row r="176" spans="1:20">
      <c r="A176">
        <v>267179</v>
      </c>
      <c r="B176" t="s">
        <v>1044</v>
      </c>
      <c r="C176" t="str">
        <f>"9789291180691"</f>
        <v>9789291180691</v>
      </c>
      <c r="D176" t="str">
        <f>"9781552501115"</f>
        <v>9781552501115</v>
      </c>
      <c r="E176" t="s">
        <v>479</v>
      </c>
      <c r="F176" t="s">
        <v>480</v>
      </c>
      <c r="G176" s="1">
        <v>37622</v>
      </c>
      <c r="J176" t="s">
        <v>1045</v>
      </c>
      <c r="K176" t="s">
        <v>899</v>
      </c>
      <c r="L176" t="s">
        <v>1046</v>
      </c>
      <c r="M176">
        <v>302.35000000000002</v>
      </c>
      <c r="N176" t="s">
        <v>1047</v>
      </c>
      <c r="O176" t="s">
        <v>26</v>
      </c>
      <c r="P176">
        <v>30</v>
      </c>
      <c r="Q176">
        <v>37.5</v>
      </c>
      <c r="R176">
        <v>30</v>
      </c>
      <c r="S176">
        <v>45</v>
      </c>
      <c r="T176" t="s">
        <v>1048</v>
      </c>
    </row>
    <row r="177" spans="1:20">
      <c r="A177">
        <v>272145</v>
      </c>
      <c r="B177" t="s">
        <v>1049</v>
      </c>
      <c r="C177" t="str">
        <f>"9780387333175"</f>
        <v>9780387333175</v>
      </c>
      <c r="D177" t="str">
        <f>"9781552502297"</f>
        <v>9781552502297</v>
      </c>
      <c r="E177" t="s">
        <v>479</v>
      </c>
      <c r="F177" t="s">
        <v>480</v>
      </c>
      <c r="G177" s="1">
        <v>38718</v>
      </c>
      <c r="J177" t="s">
        <v>1050</v>
      </c>
      <c r="K177" t="s">
        <v>416</v>
      </c>
      <c r="L177" t="s">
        <v>1051</v>
      </c>
      <c r="M177" t="s">
        <v>1052</v>
      </c>
      <c r="N177" t="s">
        <v>1053</v>
      </c>
      <c r="O177" t="s">
        <v>26</v>
      </c>
      <c r="P177">
        <v>120</v>
      </c>
      <c r="Q177">
        <v>150</v>
      </c>
      <c r="R177">
        <v>120</v>
      </c>
      <c r="S177">
        <v>180</v>
      </c>
      <c r="T177" t="s">
        <v>1054</v>
      </c>
    </row>
    <row r="178" spans="1:20">
      <c r="A178">
        <v>272146</v>
      </c>
      <c r="B178" t="s">
        <v>1055</v>
      </c>
      <c r="C178" t="str">
        <f>"9781844073436"</f>
        <v>9781844073436</v>
      </c>
      <c r="D178" t="str">
        <f>"9781552502242"</f>
        <v>9781552502242</v>
      </c>
      <c r="E178" t="s">
        <v>479</v>
      </c>
      <c r="F178" t="s">
        <v>480</v>
      </c>
      <c r="G178" s="1">
        <v>38718</v>
      </c>
      <c r="J178" t="s">
        <v>930</v>
      </c>
      <c r="K178" t="s">
        <v>1056</v>
      </c>
      <c r="L178" t="s">
        <v>1057</v>
      </c>
      <c r="M178" t="s">
        <v>1058</v>
      </c>
      <c r="N178" t="s">
        <v>1059</v>
      </c>
      <c r="O178" t="s">
        <v>26</v>
      </c>
      <c r="P178">
        <v>40</v>
      </c>
      <c r="Q178">
        <v>50</v>
      </c>
      <c r="R178">
        <v>40</v>
      </c>
      <c r="S178">
        <v>60</v>
      </c>
      <c r="T178" t="s">
        <v>1060</v>
      </c>
    </row>
    <row r="179" spans="1:20">
      <c r="A179">
        <v>272147</v>
      </c>
      <c r="B179" t="s">
        <v>1061</v>
      </c>
      <c r="C179" t="str">
        <f>"9781853396380"</f>
        <v>9781853396380</v>
      </c>
      <c r="D179" t="str">
        <f>"9781552502303"</f>
        <v>9781552502303</v>
      </c>
      <c r="E179" t="s">
        <v>479</v>
      </c>
      <c r="F179" t="s">
        <v>480</v>
      </c>
      <c r="G179" s="1">
        <v>38718</v>
      </c>
      <c r="J179" t="s">
        <v>1062</v>
      </c>
      <c r="K179" t="s">
        <v>1063</v>
      </c>
      <c r="L179" t="s">
        <v>1064</v>
      </c>
      <c r="M179">
        <v>333.70949999999999</v>
      </c>
      <c r="N179" t="s">
        <v>1065</v>
      </c>
      <c r="O179" t="s">
        <v>26</v>
      </c>
      <c r="P179">
        <v>35</v>
      </c>
      <c r="Q179">
        <v>43.75</v>
      </c>
      <c r="R179">
        <v>35</v>
      </c>
      <c r="S179">
        <v>52.5</v>
      </c>
      <c r="T179" t="s">
        <v>1066</v>
      </c>
    </row>
    <row r="180" spans="1:20">
      <c r="A180">
        <v>278897</v>
      </c>
      <c r="B180" t="s">
        <v>1067</v>
      </c>
      <c r="C180" t="str">
        <f>"9781552503287"</f>
        <v>9781552503287</v>
      </c>
      <c r="D180" t="str">
        <f>"9781552503461"</f>
        <v>9781552503461</v>
      </c>
      <c r="E180" t="s">
        <v>479</v>
      </c>
      <c r="F180" t="s">
        <v>480</v>
      </c>
      <c r="G180" s="1">
        <v>38718</v>
      </c>
      <c r="I180" t="s">
        <v>573</v>
      </c>
      <c r="J180" t="s">
        <v>1062</v>
      </c>
      <c r="K180" t="s">
        <v>1056</v>
      </c>
      <c r="L180" t="s">
        <v>1068</v>
      </c>
      <c r="M180">
        <v>333.7</v>
      </c>
      <c r="N180" t="s">
        <v>1069</v>
      </c>
      <c r="O180" t="s">
        <v>26</v>
      </c>
      <c r="P180">
        <v>20</v>
      </c>
      <c r="Q180">
        <v>25</v>
      </c>
      <c r="R180">
        <v>20</v>
      </c>
      <c r="S180">
        <v>30</v>
      </c>
      <c r="T180" t="s">
        <v>1070</v>
      </c>
    </row>
    <row r="181" spans="1:20">
      <c r="A181">
        <v>278899</v>
      </c>
      <c r="B181" t="s">
        <v>1071</v>
      </c>
      <c r="C181" t="str">
        <f>"9781552503300"</f>
        <v>9781552503300</v>
      </c>
      <c r="D181" t="str">
        <f>"9781552503485"</f>
        <v>9781552503485</v>
      </c>
      <c r="E181" t="s">
        <v>479</v>
      </c>
      <c r="F181" t="s">
        <v>480</v>
      </c>
      <c r="G181" s="1">
        <v>39082</v>
      </c>
      <c r="I181" t="s">
        <v>499</v>
      </c>
      <c r="J181" t="s">
        <v>1062</v>
      </c>
      <c r="K181" t="s">
        <v>1056</v>
      </c>
      <c r="L181" t="s">
        <v>1072</v>
      </c>
      <c r="M181">
        <v>333.7</v>
      </c>
      <c r="N181" t="s">
        <v>1069</v>
      </c>
      <c r="O181" t="s">
        <v>485</v>
      </c>
      <c r="P181">
        <v>20</v>
      </c>
      <c r="Q181">
        <v>25</v>
      </c>
      <c r="R181">
        <v>20</v>
      </c>
      <c r="S181">
        <v>30</v>
      </c>
      <c r="T181" t="s">
        <v>1073</v>
      </c>
    </row>
    <row r="182" spans="1:20">
      <c r="A182">
        <v>279199</v>
      </c>
      <c r="B182" t="s">
        <v>1074</v>
      </c>
      <c r="C182" t="str">
        <f>"9789588307008"</f>
        <v>9789588307008</v>
      </c>
      <c r="D182" t="str">
        <f>"9781552503362"</f>
        <v>9781552503362</v>
      </c>
      <c r="E182" t="s">
        <v>479</v>
      </c>
      <c r="F182" t="s">
        <v>480</v>
      </c>
      <c r="G182" s="1">
        <v>38718</v>
      </c>
      <c r="J182" t="s">
        <v>1075</v>
      </c>
      <c r="K182" t="s">
        <v>1076</v>
      </c>
      <c r="L182" t="s">
        <v>1077</v>
      </c>
      <c r="M182">
        <v>333.95</v>
      </c>
      <c r="N182" t="s">
        <v>1078</v>
      </c>
      <c r="O182" t="s">
        <v>485</v>
      </c>
      <c r="P182">
        <v>25</v>
      </c>
      <c r="Q182">
        <v>31.25</v>
      </c>
      <c r="R182">
        <v>25</v>
      </c>
      <c r="S182">
        <v>37.5</v>
      </c>
      <c r="T182" t="s">
        <v>1079</v>
      </c>
    </row>
    <row r="183" spans="1:20">
      <c r="A183">
        <v>281095</v>
      </c>
      <c r="B183" t="s">
        <v>1080</v>
      </c>
      <c r="C183" t="str">
        <f>"9781552500736"</f>
        <v>9781552500736</v>
      </c>
      <c r="D183" t="str">
        <f>"9781552503539"</f>
        <v>9781552503539</v>
      </c>
      <c r="E183" t="s">
        <v>479</v>
      </c>
      <c r="F183" t="s">
        <v>480</v>
      </c>
      <c r="G183" s="1">
        <v>39062</v>
      </c>
      <c r="J183" t="s">
        <v>1081</v>
      </c>
      <c r="K183" t="s">
        <v>1082</v>
      </c>
      <c r="L183" t="s">
        <v>1083</v>
      </c>
      <c r="M183" t="s">
        <v>1084</v>
      </c>
      <c r="N183" t="s">
        <v>1085</v>
      </c>
      <c r="O183" t="s">
        <v>26</v>
      </c>
      <c r="P183">
        <v>20</v>
      </c>
      <c r="Q183">
        <v>25</v>
      </c>
      <c r="R183">
        <v>20</v>
      </c>
      <c r="S183">
        <v>30</v>
      </c>
      <c r="T183" t="s">
        <v>1086</v>
      </c>
    </row>
    <row r="184" spans="1:20">
      <c r="A184">
        <v>281096</v>
      </c>
      <c r="B184" t="s">
        <v>1087</v>
      </c>
      <c r="C184" t="str">
        <f>"9781552500743"</f>
        <v>9781552500743</v>
      </c>
      <c r="D184" t="str">
        <f>"9781552503546"</f>
        <v>9781552503546</v>
      </c>
      <c r="E184" t="s">
        <v>479</v>
      </c>
      <c r="F184" t="s">
        <v>480</v>
      </c>
      <c r="G184" s="1">
        <v>39062</v>
      </c>
      <c r="J184" t="s">
        <v>1088</v>
      </c>
      <c r="K184" t="s">
        <v>376</v>
      </c>
      <c r="L184" t="s">
        <v>1089</v>
      </c>
      <c r="M184" t="s">
        <v>1090</v>
      </c>
      <c r="N184" t="s">
        <v>1091</v>
      </c>
      <c r="O184" t="s">
        <v>26</v>
      </c>
      <c r="P184">
        <v>40</v>
      </c>
      <c r="Q184">
        <v>50</v>
      </c>
      <c r="R184">
        <v>40</v>
      </c>
      <c r="S184">
        <v>60</v>
      </c>
      <c r="T184" t="s">
        <v>1092</v>
      </c>
    </row>
    <row r="185" spans="1:20">
      <c r="A185">
        <v>281097</v>
      </c>
      <c r="B185" t="s">
        <v>1093</v>
      </c>
      <c r="C185" t="str">
        <f>"9789707225244"</f>
        <v>9789707225244</v>
      </c>
      <c r="D185" t="str">
        <f>"9781552503232"</f>
        <v>9781552503232</v>
      </c>
      <c r="E185" t="s">
        <v>479</v>
      </c>
      <c r="F185" t="s">
        <v>480</v>
      </c>
      <c r="G185" s="1">
        <v>39062</v>
      </c>
      <c r="J185" t="s">
        <v>1094</v>
      </c>
      <c r="K185" t="s">
        <v>467</v>
      </c>
      <c r="L185" t="s">
        <v>1095</v>
      </c>
      <c r="M185" t="s">
        <v>1096</v>
      </c>
      <c r="N185" t="s">
        <v>1097</v>
      </c>
      <c r="O185" t="s">
        <v>485</v>
      </c>
      <c r="P185">
        <v>25</v>
      </c>
      <c r="Q185">
        <v>31.25</v>
      </c>
      <c r="R185">
        <v>25</v>
      </c>
      <c r="S185">
        <v>37.5</v>
      </c>
      <c r="T185" t="s">
        <v>1098</v>
      </c>
    </row>
    <row r="186" spans="1:20">
      <c r="A186">
        <v>289463</v>
      </c>
      <c r="B186" t="s">
        <v>1099</v>
      </c>
      <c r="C186" t="str">
        <f>"9788171886142"</f>
        <v>9788171886142</v>
      </c>
      <c r="D186" t="str">
        <f>"9781552503379"</f>
        <v>9781552503379</v>
      </c>
      <c r="E186" t="s">
        <v>479</v>
      </c>
      <c r="F186" t="s">
        <v>480</v>
      </c>
      <c r="G186" s="1">
        <v>39083</v>
      </c>
      <c r="J186" t="s">
        <v>1100</v>
      </c>
      <c r="K186" t="s">
        <v>76</v>
      </c>
      <c r="L186" t="s">
        <v>1101</v>
      </c>
      <c r="M186" t="s">
        <v>1102</v>
      </c>
      <c r="N186" t="s">
        <v>1103</v>
      </c>
      <c r="O186" t="s">
        <v>26</v>
      </c>
      <c r="P186">
        <v>40</v>
      </c>
      <c r="Q186">
        <v>50</v>
      </c>
      <c r="R186">
        <v>40</v>
      </c>
      <c r="S186">
        <v>60</v>
      </c>
      <c r="T186" t="s">
        <v>1104</v>
      </c>
    </row>
    <row r="187" spans="1:20">
      <c r="A187">
        <v>289464</v>
      </c>
      <c r="B187" t="s">
        <v>1105</v>
      </c>
      <c r="C187" t="str">
        <f>"9789716140347"</f>
        <v>9789716140347</v>
      </c>
      <c r="D187" t="str">
        <f>"9781552503027"</f>
        <v>9781552503027</v>
      </c>
      <c r="E187" t="s">
        <v>479</v>
      </c>
      <c r="F187" t="s">
        <v>480</v>
      </c>
      <c r="G187" s="1">
        <v>38718</v>
      </c>
      <c r="J187" t="s">
        <v>703</v>
      </c>
      <c r="K187" t="s">
        <v>76</v>
      </c>
      <c r="L187" t="s">
        <v>1106</v>
      </c>
      <c r="M187" t="s">
        <v>1102</v>
      </c>
      <c r="N187" t="s">
        <v>705</v>
      </c>
      <c r="O187" t="s">
        <v>485</v>
      </c>
      <c r="P187">
        <v>10</v>
      </c>
      <c r="Q187">
        <v>12.5</v>
      </c>
      <c r="R187">
        <v>10</v>
      </c>
      <c r="S187">
        <v>15</v>
      </c>
      <c r="T187" t="s">
        <v>1107</v>
      </c>
    </row>
    <row r="188" spans="1:20">
      <c r="A188">
        <v>289465</v>
      </c>
      <c r="B188" t="s">
        <v>1108</v>
      </c>
      <c r="C188" t="str">
        <f>"9789716140354"</f>
        <v>9789716140354</v>
      </c>
      <c r="D188" t="str">
        <f>"9781552503072"</f>
        <v>9781552503072</v>
      </c>
      <c r="E188" t="s">
        <v>479</v>
      </c>
      <c r="F188" t="s">
        <v>480</v>
      </c>
      <c r="G188" s="1">
        <v>39052</v>
      </c>
      <c r="J188" t="s">
        <v>703</v>
      </c>
      <c r="K188" t="s">
        <v>76</v>
      </c>
      <c r="L188" t="s">
        <v>1106</v>
      </c>
      <c r="M188" t="s">
        <v>1102</v>
      </c>
      <c r="N188" t="s">
        <v>705</v>
      </c>
      <c r="O188" t="s">
        <v>485</v>
      </c>
      <c r="P188">
        <v>10</v>
      </c>
      <c r="Q188">
        <v>12.5</v>
      </c>
      <c r="R188">
        <v>10</v>
      </c>
      <c r="S188">
        <v>15</v>
      </c>
      <c r="T188" t="s">
        <v>1109</v>
      </c>
    </row>
    <row r="189" spans="1:20">
      <c r="A189">
        <v>289466</v>
      </c>
      <c r="B189" t="s">
        <v>1110</v>
      </c>
      <c r="C189" t="str">
        <f>"9789716140361"</f>
        <v>9789716140361</v>
      </c>
      <c r="D189" t="str">
        <f>"9781552503126"</f>
        <v>9781552503126</v>
      </c>
      <c r="E189" t="s">
        <v>479</v>
      </c>
      <c r="F189" t="s">
        <v>480</v>
      </c>
      <c r="G189" s="1">
        <v>38718</v>
      </c>
      <c r="J189" t="s">
        <v>703</v>
      </c>
      <c r="K189" t="s">
        <v>76</v>
      </c>
      <c r="L189" t="s">
        <v>1106</v>
      </c>
      <c r="M189" t="s">
        <v>1102</v>
      </c>
      <c r="N189" t="s">
        <v>705</v>
      </c>
      <c r="O189" t="s">
        <v>485</v>
      </c>
      <c r="P189">
        <v>10</v>
      </c>
      <c r="Q189">
        <v>12.5</v>
      </c>
      <c r="R189">
        <v>10</v>
      </c>
      <c r="S189">
        <v>15</v>
      </c>
      <c r="T189" t="s">
        <v>1111</v>
      </c>
    </row>
    <row r="190" spans="1:20">
      <c r="A190">
        <v>289467</v>
      </c>
      <c r="B190" t="s">
        <v>1112</v>
      </c>
      <c r="C190" t="str">
        <f>"9780745326252"</f>
        <v>9780745326252</v>
      </c>
      <c r="D190" t="str">
        <f>"9781552503386"</f>
        <v>9781552503386</v>
      </c>
      <c r="E190" t="s">
        <v>479</v>
      </c>
      <c r="F190" t="s">
        <v>480</v>
      </c>
      <c r="G190" s="1">
        <v>39052</v>
      </c>
      <c r="J190" t="s">
        <v>1113</v>
      </c>
      <c r="K190" t="s">
        <v>291</v>
      </c>
      <c r="L190" t="s">
        <v>1114</v>
      </c>
      <c r="M190" t="s">
        <v>1115</v>
      </c>
      <c r="N190" t="s">
        <v>1116</v>
      </c>
      <c r="O190" t="s">
        <v>26</v>
      </c>
      <c r="P190">
        <v>30</v>
      </c>
      <c r="Q190">
        <v>37.5</v>
      </c>
      <c r="R190">
        <v>30</v>
      </c>
      <c r="S190">
        <v>45</v>
      </c>
      <c r="T190" t="s">
        <v>1117</v>
      </c>
    </row>
    <row r="191" spans="1:20">
      <c r="A191">
        <v>291057</v>
      </c>
      <c r="B191" t="s">
        <v>1118</v>
      </c>
      <c r="C191" t="str">
        <f>"9781894663731"</f>
        <v>9781894663731</v>
      </c>
      <c r="D191" t="str">
        <f>"9781897415238"</f>
        <v>9781897415238</v>
      </c>
      <c r="E191" t="s">
        <v>1119</v>
      </c>
      <c r="F191" t="s">
        <v>1120</v>
      </c>
      <c r="G191" s="1">
        <v>39134</v>
      </c>
      <c r="J191" t="s">
        <v>1121</v>
      </c>
      <c r="K191" t="s">
        <v>416</v>
      </c>
      <c r="L191" t="s">
        <v>1122</v>
      </c>
      <c r="M191">
        <v>332.02401450000002</v>
      </c>
      <c r="N191" t="s">
        <v>1123</v>
      </c>
      <c r="O191" t="s">
        <v>26</v>
      </c>
      <c r="P191">
        <v>16.95</v>
      </c>
      <c r="R191">
        <v>16.95</v>
      </c>
      <c r="S191">
        <v>25.43</v>
      </c>
      <c r="T191" t="s">
        <v>1124</v>
      </c>
    </row>
    <row r="192" spans="1:20">
      <c r="A192">
        <v>291058</v>
      </c>
      <c r="B192" t="s">
        <v>1125</v>
      </c>
      <c r="C192" t="str">
        <f>"9781894663939"</f>
        <v>9781894663939</v>
      </c>
      <c r="D192" t="str">
        <f>"9781897415016"</f>
        <v>9781897415016</v>
      </c>
      <c r="E192" t="s">
        <v>1119</v>
      </c>
      <c r="F192" t="s">
        <v>1120</v>
      </c>
      <c r="G192" s="1">
        <v>39134</v>
      </c>
      <c r="J192" t="s">
        <v>1126</v>
      </c>
      <c r="K192" t="s">
        <v>1127</v>
      </c>
      <c r="L192" t="s">
        <v>1128</v>
      </c>
      <c r="M192">
        <v>154.63</v>
      </c>
      <c r="N192" t="s">
        <v>1129</v>
      </c>
      <c r="O192" t="s">
        <v>26</v>
      </c>
      <c r="P192">
        <v>16.95</v>
      </c>
      <c r="R192">
        <v>16.95</v>
      </c>
      <c r="S192">
        <v>25.43</v>
      </c>
      <c r="T192" t="s">
        <v>1130</v>
      </c>
    </row>
    <row r="193" spans="1:20">
      <c r="A193">
        <v>291059</v>
      </c>
      <c r="B193" t="s">
        <v>1131</v>
      </c>
      <c r="C193" t="str">
        <f>"9781897178201"</f>
        <v>9781897178201</v>
      </c>
      <c r="D193" t="str">
        <f>"9781897415023"</f>
        <v>9781897415023</v>
      </c>
      <c r="E193" t="s">
        <v>1119</v>
      </c>
      <c r="F193" t="s">
        <v>1120</v>
      </c>
      <c r="G193" s="1">
        <v>39134</v>
      </c>
      <c r="J193" t="s">
        <v>1132</v>
      </c>
      <c r="K193" t="s">
        <v>1133</v>
      </c>
      <c r="L193" t="s">
        <v>1134</v>
      </c>
      <c r="N193" t="s">
        <v>1135</v>
      </c>
      <c r="O193" t="s">
        <v>26</v>
      </c>
      <c r="P193">
        <v>16.95</v>
      </c>
      <c r="R193">
        <v>16.95</v>
      </c>
      <c r="S193">
        <v>25.43</v>
      </c>
      <c r="T193" t="s">
        <v>1136</v>
      </c>
    </row>
    <row r="194" spans="1:20">
      <c r="A194">
        <v>291060</v>
      </c>
      <c r="B194" t="s">
        <v>1137</v>
      </c>
      <c r="C194" t="str">
        <f>"9781894663885"</f>
        <v>9781894663885</v>
      </c>
      <c r="D194" t="str">
        <f>"9781897415030"</f>
        <v>9781897415030</v>
      </c>
      <c r="E194" t="s">
        <v>1119</v>
      </c>
      <c r="F194" t="s">
        <v>1120</v>
      </c>
      <c r="G194" s="1">
        <v>39134</v>
      </c>
      <c r="H194">
        <v>3</v>
      </c>
      <c r="J194" t="s">
        <v>1138</v>
      </c>
      <c r="K194" t="s">
        <v>278</v>
      </c>
      <c r="L194" t="s">
        <v>1139</v>
      </c>
      <c r="M194" t="s">
        <v>1140</v>
      </c>
      <c r="N194" t="s">
        <v>1141</v>
      </c>
      <c r="O194" t="s">
        <v>26</v>
      </c>
      <c r="P194">
        <v>16.95</v>
      </c>
      <c r="R194">
        <v>16.95</v>
      </c>
      <c r="S194">
        <v>25.43</v>
      </c>
      <c r="T194" t="s">
        <v>1142</v>
      </c>
    </row>
    <row r="195" spans="1:20">
      <c r="A195">
        <v>291061</v>
      </c>
      <c r="B195" t="s">
        <v>1143</v>
      </c>
      <c r="C195" t="str">
        <f>"9781897178089"</f>
        <v>9781897178089</v>
      </c>
      <c r="D195" t="str">
        <f>"9781897415047"</f>
        <v>9781897415047</v>
      </c>
      <c r="E195" t="s">
        <v>1119</v>
      </c>
      <c r="F195" t="s">
        <v>1120</v>
      </c>
      <c r="G195" s="1">
        <v>39134</v>
      </c>
      <c r="J195" t="s">
        <v>1144</v>
      </c>
      <c r="K195" t="s">
        <v>416</v>
      </c>
      <c r="L195" t="s">
        <v>1145</v>
      </c>
      <c r="M195">
        <v>332.02400820000003</v>
      </c>
      <c r="N195" t="s">
        <v>1146</v>
      </c>
      <c r="O195" t="s">
        <v>26</v>
      </c>
      <c r="P195">
        <v>16.95</v>
      </c>
      <c r="R195">
        <v>16.95</v>
      </c>
      <c r="S195">
        <v>25.43</v>
      </c>
      <c r="T195" t="s">
        <v>1147</v>
      </c>
    </row>
    <row r="196" spans="1:20">
      <c r="A196">
        <v>291062</v>
      </c>
      <c r="B196" t="s">
        <v>1148</v>
      </c>
      <c r="C196" t="str">
        <f>"9781894663588"</f>
        <v>9781894663588</v>
      </c>
      <c r="D196" t="str">
        <f>"9781897415054"</f>
        <v>9781897415054</v>
      </c>
      <c r="E196" t="s">
        <v>1119</v>
      </c>
      <c r="F196" t="s">
        <v>1120</v>
      </c>
      <c r="G196" s="1">
        <v>39134</v>
      </c>
      <c r="J196" t="s">
        <v>1149</v>
      </c>
      <c r="K196" t="s">
        <v>1150</v>
      </c>
      <c r="L196" t="s">
        <v>1151</v>
      </c>
      <c r="M196" t="s">
        <v>1152</v>
      </c>
      <c r="N196" t="s">
        <v>1153</v>
      </c>
      <c r="O196" t="s">
        <v>26</v>
      </c>
      <c r="P196">
        <v>16.95</v>
      </c>
      <c r="R196">
        <v>16.95</v>
      </c>
      <c r="S196">
        <v>25.43</v>
      </c>
      <c r="T196" t="s">
        <v>1154</v>
      </c>
    </row>
    <row r="197" spans="1:20">
      <c r="A197">
        <v>291063</v>
      </c>
      <c r="B197" t="s">
        <v>1155</v>
      </c>
      <c r="C197" t="str">
        <f>"9781894663656"</f>
        <v>9781894663656</v>
      </c>
      <c r="D197" t="str">
        <f>"9781897415061"</f>
        <v>9781897415061</v>
      </c>
      <c r="E197" t="s">
        <v>1119</v>
      </c>
      <c r="F197" t="s">
        <v>1120</v>
      </c>
      <c r="G197" s="1">
        <v>39134</v>
      </c>
      <c r="J197" t="s">
        <v>1156</v>
      </c>
      <c r="K197" t="s">
        <v>1157</v>
      </c>
      <c r="L197" t="s">
        <v>1158</v>
      </c>
      <c r="M197">
        <v>646.79</v>
      </c>
      <c r="N197" t="s">
        <v>1159</v>
      </c>
      <c r="O197" t="s">
        <v>26</v>
      </c>
      <c r="P197">
        <v>16.95</v>
      </c>
      <c r="R197">
        <v>16.95</v>
      </c>
      <c r="S197">
        <v>25.43</v>
      </c>
      <c r="T197" t="s">
        <v>1160</v>
      </c>
    </row>
    <row r="198" spans="1:20">
      <c r="A198">
        <v>291064</v>
      </c>
      <c r="B198" t="s">
        <v>1161</v>
      </c>
      <c r="C198" t="str">
        <f>"9781897178034"</f>
        <v>9781897178034</v>
      </c>
      <c r="D198" t="str">
        <f>"9781897415078"</f>
        <v>9781897415078</v>
      </c>
      <c r="E198" t="s">
        <v>1119</v>
      </c>
      <c r="F198" t="s">
        <v>1120</v>
      </c>
      <c r="G198" s="1">
        <v>39134</v>
      </c>
      <c r="J198" t="s">
        <v>1162</v>
      </c>
      <c r="K198" t="s">
        <v>416</v>
      </c>
      <c r="L198" t="s">
        <v>1163</v>
      </c>
      <c r="M198">
        <v>332.024</v>
      </c>
      <c r="N198" t="s">
        <v>1164</v>
      </c>
      <c r="O198" t="s">
        <v>26</v>
      </c>
      <c r="P198">
        <v>16.95</v>
      </c>
      <c r="R198">
        <v>16.95</v>
      </c>
      <c r="S198">
        <v>25.43</v>
      </c>
      <c r="T198" t="s">
        <v>1165</v>
      </c>
    </row>
    <row r="199" spans="1:20">
      <c r="A199">
        <v>291065</v>
      </c>
      <c r="B199" t="s">
        <v>1166</v>
      </c>
      <c r="C199" t="str">
        <f>"9781897178195"</f>
        <v>9781897178195</v>
      </c>
      <c r="D199" t="str">
        <f>"9781897415085"</f>
        <v>9781897415085</v>
      </c>
      <c r="E199" t="s">
        <v>1119</v>
      </c>
      <c r="F199" t="s">
        <v>1120</v>
      </c>
      <c r="G199" s="1">
        <v>39134</v>
      </c>
      <c r="J199" t="s">
        <v>1167</v>
      </c>
      <c r="K199" t="s">
        <v>416</v>
      </c>
      <c r="L199" t="s">
        <v>1168</v>
      </c>
      <c r="M199">
        <v>332.678</v>
      </c>
      <c r="N199" t="s">
        <v>1169</v>
      </c>
      <c r="O199" t="s">
        <v>26</v>
      </c>
      <c r="P199">
        <v>16.95</v>
      </c>
      <c r="R199">
        <v>16.95</v>
      </c>
      <c r="S199">
        <v>25.43</v>
      </c>
      <c r="T199" t="s">
        <v>1170</v>
      </c>
    </row>
    <row r="200" spans="1:20">
      <c r="A200">
        <v>291066</v>
      </c>
      <c r="B200" t="s">
        <v>1171</v>
      </c>
      <c r="C200" t="str">
        <f>"9781897178072"</f>
        <v>9781897178072</v>
      </c>
      <c r="D200" t="str">
        <f>"9781897415092"</f>
        <v>9781897415092</v>
      </c>
      <c r="E200" t="s">
        <v>1119</v>
      </c>
      <c r="F200" t="s">
        <v>1120</v>
      </c>
      <c r="G200" s="1">
        <v>39134</v>
      </c>
      <c r="J200" t="s">
        <v>1172</v>
      </c>
      <c r="K200" t="s">
        <v>263</v>
      </c>
      <c r="L200" t="s">
        <v>1173</v>
      </c>
      <c r="M200" t="s">
        <v>1174</v>
      </c>
      <c r="N200" t="s">
        <v>1175</v>
      </c>
      <c r="O200" t="s">
        <v>26</v>
      </c>
      <c r="P200">
        <v>16.95</v>
      </c>
      <c r="R200">
        <v>16.95</v>
      </c>
      <c r="S200">
        <v>25.43</v>
      </c>
      <c r="T200" t="s">
        <v>1176</v>
      </c>
    </row>
    <row r="201" spans="1:20">
      <c r="A201">
        <v>291602</v>
      </c>
      <c r="B201" t="s">
        <v>1177</v>
      </c>
      <c r="C201" t="str">
        <f>"9782763784595"</f>
        <v>9782763784595</v>
      </c>
      <c r="D201" t="str">
        <f>"9781552503331"</f>
        <v>9781552503331</v>
      </c>
      <c r="E201" t="s">
        <v>1178</v>
      </c>
      <c r="F201" t="s">
        <v>1179</v>
      </c>
      <c r="G201" s="1">
        <v>39083</v>
      </c>
      <c r="J201" t="s">
        <v>930</v>
      </c>
      <c r="K201" t="s">
        <v>1180</v>
      </c>
      <c r="L201" t="s">
        <v>1181</v>
      </c>
      <c r="M201" t="s">
        <v>1058</v>
      </c>
      <c r="N201" t="s">
        <v>1182</v>
      </c>
      <c r="O201" t="s">
        <v>94</v>
      </c>
      <c r="P201">
        <v>35</v>
      </c>
      <c r="Q201">
        <v>43.75</v>
      </c>
      <c r="R201">
        <v>35</v>
      </c>
      <c r="S201">
        <v>52.5</v>
      </c>
      <c r="T201" t="s">
        <v>1183</v>
      </c>
    </row>
    <row r="202" spans="1:20">
      <c r="A202">
        <v>291603</v>
      </c>
      <c r="B202" t="s">
        <v>1184</v>
      </c>
      <c r="C202" t="str">
        <f>"9788189884338"</f>
        <v>9788189884338</v>
      </c>
      <c r="D202" t="str">
        <f>"9781552503393"</f>
        <v>9781552503393</v>
      </c>
      <c r="E202" t="s">
        <v>479</v>
      </c>
      <c r="F202" t="s">
        <v>480</v>
      </c>
      <c r="G202" s="1">
        <v>39083</v>
      </c>
      <c r="J202" t="s">
        <v>1185</v>
      </c>
      <c r="K202" t="s">
        <v>1186</v>
      </c>
      <c r="L202" t="s">
        <v>1187</v>
      </c>
      <c r="M202">
        <v>343.07479999999998</v>
      </c>
      <c r="N202" t="s">
        <v>1188</v>
      </c>
      <c r="O202" t="s">
        <v>26</v>
      </c>
      <c r="P202">
        <v>10</v>
      </c>
      <c r="Q202">
        <v>12.5</v>
      </c>
      <c r="R202">
        <v>10</v>
      </c>
      <c r="S202">
        <v>15</v>
      </c>
      <c r="T202" t="s">
        <v>1189</v>
      </c>
    </row>
    <row r="203" spans="1:20">
      <c r="A203">
        <v>295128</v>
      </c>
      <c r="B203" t="s">
        <v>1190</v>
      </c>
      <c r="C203" t="str">
        <f>"9780889369146"</f>
        <v>9780889369146</v>
      </c>
      <c r="D203" t="str">
        <f>"9781552502594"</f>
        <v>9781552502594</v>
      </c>
      <c r="E203" t="s">
        <v>479</v>
      </c>
      <c r="F203" t="s">
        <v>480</v>
      </c>
      <c r="G203" s="1">
        <v>36526</v>
      </c>
      <c r="J203" t="s">
        <v>1191</v>
      </c>
      <c r="K203" t="s">
        <v>263</v>
      </c>
      <c r="L203" t="s">
        <v>1192</v>
      </c>
      <c r="M203">
        <v>307.14096000000001</v>
      </c>
      <c r="N203" t="s">
        <v>1193</v>
      </c>
      <c r="O203" t="s">
        <v>26</v>
      </c>
      <c r="P203">
        <v>25</v>
      </c>
      <c r="Q203">
        <v>31.25</v>
      </c>
      <c r="R203">
        <v>25</v>
      </c>
      <c r="S203">
        <v>37.5</v>
      </c>
      <c r="T203" t="s">
        <v>1194</v>
      </c>
    </row>
    <row r="204" spans="1:20">
      <c r="A204">
        <v>295129</v>
      </c>
      <c r="B204" t="s">
        <v>1195</v>
      </c>
      <c r="C204" t="str">
        <f>"9780889368903"</f>
        <v>9780889368903</v>
      </c>
      <c r="D204" t="str">
        <f>"9781552502617"</f>
        <v>9781552502617</v>
      </c>
      <c r="E204" t="s">
        <v>479</v>
      </c>
      <c r="F204" t="s">
        <v>480</v>
      </c>
      <c r="G204" s="1">
        <v>36161</v>
      </c>
      <c r="J204" t="s">
        <v>1196</v>
      </c>
      <c r="K204" t="s">
        <v>964</v>
      </c>
      <c r="L204" t="s">
        <v>1197</v>
      </c>
      <c r="M204">
        <v>338.1096</v>
      </c>
      <c r="N204" t="s">
        <v>1198</v>
      </c>
      <c r="O204" t="s">
        <v>94</v>
      </c>
      <c r="P204">
        <v>25</v>
      </c>
      <c r="Q204">
        <v>31.25</v>
      </c>
      <c r="R204">
        <v>25</v>
      </c>
      <c r="S204">
        <v>37.5</v>
      </c>
      <c r="T204" t="s">
        <v>1199</v>
      </c>
    </row>
    <row r="205" spans="1:20">
      <c r="A205">
        <v>295130</v>
      </c>
      <c r="B205" t="s">
        <v>1200</v>
      </c>
      <c r="C205" t="str">
        <f>"9780889369177"</f>
        <v>9780889369177</v>
      </c>
      <c r="D205" t="str">
        <f>"9781552502624"</f>
        <v>9781552502624</v>
      </c>
      <c r="E205" t="s">
        <v>479</v>
      </c>
      <c r="F205" t="s">
        <v>480</v>
      </c>
      <c r="G205" s="1">
        <v>36526</v>
      </c>
      <c r="J205" t="s">
        <v>1201</v>
      </c>
      <c r="K205" t="s">
        <v>467</v>
      </c>
      <c r="L205" t="s">
        <v>1202</v>
      </c>
      <c r="M205">
        <v>320.101</v>
      </c>
      <c r="N205" t="s">
        <v>1203</v>
      </c>
      <c r="O205" t="s">
        <v>26</v>
      </c>
      <c r="P205">
        <v>15</v>
      </c>
      <c r="Q205">
        <v>18.75</v>
      </c>
      <c r="R205">
        <v>15</v>
      </c>
      <c r="S205">
        <v>22.5</v>
      </c>
      <c r="T205" t="s">
        <v>1204</v>
      </c>
    </row>
    <row r="206" spans="1:20">
      <c r="A206">
        <v>295131</v>
      </c>
      <c r="B206" t="s">
        <v>1205</v>
      </c>
      <c r="C206" t="str">
        <f>"9780889369160"</f>
        <v>9780889369160</v>
      </c>
      <c r="D206" t="str">
        <f>"9781552502631"</f>
        <v>9781552502631</v>
      </c>
      <c r="E206" t="s">
        <v>479</v>
      </c>
      <c r="F206" t="s">
        <v>480</v>
      </c>
      <c r="G206" s="1">
        <v>36526</v>
      </c>
      <c r="J206" t="s">
        <v>1206</v>
      </c>
      <c r="K206" t="s">
        <v>1207</v>
      </c>
      <c r="L206" t="s">
        <v>1208</v>
      </c>
      <c r="M206" t="s">
        <v>1209</v>
      </c>
      <c r="N206" t="s">
        <v>1210</v>
      </c>
      <c r="O206" t="s">
        <v>26</v>
      </c>
      <c r="P206">
        <v>20</v>
      </c>
      <c r="Q206">
        <v>25</v>
      </c>
      <c r="R206">
        <v>20</v>
      </c>
      <c r="S206">
        <v>30</v>
      </c>
      <c r="T206" t="s">
        <v>1211</v>
      </c>
    </row>
    <row r="207" spans="1:20">
      <c r="A207">
        <v>295132</v>
      </c>
      <c r="B207" t="s">
        <v>1212</v>
      </c>
      <c r="C207" t="str">
        <f>"9780889369221"</f>
        <v>9780889369221</v>
      </c>
      <c r="D207" t="str">
        <f>"9781552503447"</f>
        <v>9781552503447</v>
      </c>
      <c r="E207" t="s">
        <v>479</v>
      </c>
      <c r="F207" t="s">
        <v>480</v>
      </c>
      <c r="G207" s="1">
        <v>36861</v>
      </c>
      <c r="J207" t="s">
        <v>1213</v>
      </c>
      <c r="K207" t="s">
        <v>1214</v>
      </c>
      <c r="L207" t="s">
        <v>1215</v>
      </c>
      <c r="M207">
        <v>341.48</v>
      </c>
      <c r="N207" t="s">
        <v>1216</v>
      </c>
      <c r="O207" t="s">
        <v>94</v>
      </c>
      <c r="P207">
        <v>15</v>
      </c>
      <c r="Q207">
        <v>18.75</v>
      </c>
      <c r="R207">
        <v>15</v>
      </c>
      <c r="S207">
        <v>22.5</v>
      </c>
      <c r="T207" t="s">
        <v>1217</v>
      </c>
    </row>
    <row r="208" spans="1:20">
      <c r="A208">
        <v>295133</v>
      </c>
      <c r="B208" t="s">
        <v>1218</v>
      </c>
      <c r="C208" t="str">
        <f>"9780889369368"</f>
        <v>9780889369368</v>
      </c>
      <c r="D208" t="str">
        <f>"9781552502655"</f>
        <v>9781552502655</v>
      </c>
      <c r="E208" t="s">
        <v>479</v>
      </c>
      <c r="F208" t="s">
        <v>480</v>
      </c>
      <c r="G208" s="1">
        <v>36892</v>
      </c>
      <c r="J208" t="s">
        <v>1219</v>
      </c>
      <c r="K208" t="s">
        <v>76</v>
      </c>
      <c r="L208" t="s">
        <v>1220</v>
      </c>
      <c r="M208">
        <v>630</v>
      </c>
      <c r="N208" t="s">
        <v>1221</v>
      </c>
      <c r="O208" t="s">
        <v>94</v>
      </c>
      <c r="P208">
        <v>20</v>
      </c>
      <c r="Q208">
        <v>25</v>
      </c>
      <c r="R208">
        <v>20</v>
      </c>
      <c r="S208">
        <v>30</v>
      </c>
      <c r="T208" t="s">
        <v>1222</v>
      </c>
    </row>
    <row r="209" spans="1:20">
      <c r="A209">
        <v>295134</v>
      </c>
      <c r="B209" t="s">
        <v>1223</v>
      </c>
      <c r="C209" t="str">
        <f>"9780889368910"</f>
        <v>9780889368910</v>
      </c>
      <c r="D209" t="str">
        <f>"9781552501429"</f>
        <v>9781552501429</v>
      </c>
      <c r="E209" t="s">
        <v>479</v>
      </c>
      <c r="F209" t="s">
        <v>480</v>
      </c>
      <c r="G209" s="1">
        <v>37271</v>
      </c>
      <c r="J209" t="s">
        <v>833</v>
      </c>
      <c r="K209" t="s">
        <v>1076</v>
      </c>
      <c r="L209" t="s">
        <v>1224</v>
      </c>
      <c r="M209">
        <v>333.7</v>
      </c>
      <c r="N209" t="s">
        <v>1225</v>
      </c>
      <c r="O209" t="s">
        <v>485</v>
      </c>
      <c r="P209">
        <v>20</v>
      </c>
      <c r="Q209">
        <v>25</v>
      </c>
      <c r="R209">
        <v>20</v>
      </c>
      <c r="S209">
        <v>30</v>
      </c>
      <c r="T209" t="s">
        <v>1226</v>
      </c>
    </row>
    <row r="210" spans="1:20">
      <c r="A210">
        <v>295135</v>
      </c>
      <c r="B210" t="s">
        <v>1227</v>
      </c>
      <c r="C210" t="str">
        <f>"9780889369214"</f>
        <v>9780889369214</v>
      </c>
      <c r="D210" t="str">
        <f>"9781552502716"</f>
        <v>9781552502716</v>
      </c>
      <c r="E210" t="s">
        <v>479</v>
      </c>
      <c r="F210" t="s">
        <v>480</v>
      </c>
      <c r="G210" s="1">
        <v>36526</v>
      </c>
      <c r="J210" t="s">
        <v>1228</v>
      </c>
      <c r="K210" t="s">
        <v>1214</v>
      </c>
      <c r="L210" t="s">
        <v>1229</v>
      </c>
      <c r="M210">
        <v>341.23</v>
      </c>
      <c r="N210" t="s">
        <v>1216</v>
      </c>
      <c r="O210" t="s">
        <v>26</v>
      </c>
      <c r="P210">
        <v>20</v>
      </c>
      <c r="Q210">
        <v>25</v>
      </c>
      <c r="R210">
        <v>20</v>
      </c>
      <c r="S210">
        <v>30</v>
      </c>
      <c r="T210" t="s">
        <v>1230</v>
      </c>
    </row>
    <row r="211" spans="1:20">
      <c r="A211">
        <v>295136</v>
      </c>
      <c r="B211" t="s">
        <v>1231</v>
      </c>
      <c r="C211" t="str">
        <f>"9780889369399"</f>
        <v>9780889369399</v>
      </c>
      <c r="D211" t="str">
        <f>"9781552503515"</f>
        <v>9781552503515</v>
      </c>
      <c r="E211" t="s">
        <v>479</v>
      </c>
      <c r="F211" t="s">
        <v>480</v>
      </c>
      <c r="G211" s="1">
        <v>36526</v>
      </c>
      <c r="J211" t="s">
        <v>1232</v>
      </c>
      <c r="K211" t="s">
        <v>1180</v>
      </c>
      <c r="L211" t="s">
        <v>1233</v>
      </c>
      <c r="M211">
        <v>333.7</v>
      </c>
      <c r="N211" t="s">
        <v>1234</v>
      </c>
      <c r="O211" t="s">
        <v>485</v>
      </c>
      <c r="P211">
        <v>30</v>
      </c>
      <c r="Q211">
        <v>37.5</v>
      </c>
      <c r="R211">
        <v>30</v>
      </c>
      <c r="S211">
        <v>45</v>
      </c>
      <c r="T211" t="s">
        <v>1235</v>
      </c>
    </row>
    <row r="212" spans="1:20">
      <c r="A212">
        <v>295137</v>
      </c>
      <c r="B212" t="s">
        <v>1236</v>
      </c>
      <c r="C212" t="str">
        <f>"9780889369450"</f>
        <v>9780889369450</v>
      </c>
      <c r="D212" t="str">
        <f>"9781552503522"</f>
        <v>9781552503522</v>
      </c>
      <c r="E212" t="s">
        <v>479</v>
      </c>
      <c r="F212" t="s">
        <v>480</v>
      </c>
      <c r="G212" s="1">
        <v>37226</v>
      </c>
      <c r="J212" t="s">
        <v>1232</v>
      </c>
      <c r="K212" t="s">
        <v>1056</v>
      </c>
      <c r="L212" t="s">
        <v>1237</v>
      </c>
      <c r="M212">
        <v>333.7091724</v>
      </c>
      <c r="N212" t="s">
        <v>1234</v>
      </c>
      <c r="O212" t="s">
        <v>94</v>
      </c>
      <c r="P212">
        <v>30</v>
      </c>
      <c r="Q212">
        <v>37.5</v>
      </c>
      <c r="R212">
        <v>30</v>
      </c>
      <c r="S212">
        <v>45</v>
      </c>
      <c r="T212" t="s">
        <v>1238</v>
      </c>
    </row>
    <row r="213" spans="1:20">
      <c r="A213">
        <v>295138</v>
      </c>
      <c r="B213" t="s">
        <v>1239</v>
      </c>
      <c r="C213" t="str">
        <f>"9780889369184"</f>
        <v>9780889369184</v>
      </c>
      <c r="D213" t="str">
        <f>"9781552503553"</f>
        <v>9781552503553</v>
      </c>
      <c r="E213" t="s">
        <v>479</v>
      </c>
      <c r="F213" t="s">
        <v>480</v>
      </c>
      <c r="G213" s="1">
        <v>36526</v>
      </c>
      <c r="J213" t="s">
        <v>1240</v>
      </c>
      <c r="K213" t="s">
        <v>467</v>
      </c>
      <c r="L213" t="s">
        <v>1241</v>
      </c>
      <c r="M213">
        <v>327.11099999999999</v>
      </c>
      <c r="N213" t="s">
        <v>1242</v>
      </c>
      <c r="O213" t="s">
        <v>94</v>
      </c>
      <c r="P213">
        <v>15</v>
      </c>
      <c r="Q213">
        <v>18.75</v>
      </c>
      <c r="R213">
        <v>15</v>
      </c>
      <c r="S213">
        <v>22.5</v>
      </c>
      <c r="T213" t="s">
        <v>1243</v>
      </c>
    </row>
    <row r="214" spans="1:20">
      <c r="A214">
        <v>295139</v>
      </c>
      <c r="B214" t="s">
        <v>1244</v>
      </c>
      <c r="C214" t="str">
        <f>"9780889368897"</f>
        <v>9780889368897</v>
      </c>
      <c r="D214" t="str">
        <f>"9781552502761"</f>
        <v>9781552502761</v>
      </c>
      <c r="E214" t="s">
        <v>479</v>
      </c>
      <c r="F214" t="s">
        <v>480</v>
      </c>
      <c r="G214" s="1">
        <v>36161</v>
      </c>
      <c r="J214" t="s">
        <v>1245</v>
      </c>
      <c r="K214" t="s">
        <v>1246</v>
      </c>
      <c r="L214" t="s">
        <v>1247</v>
      </c>
      <c r="M214" t="s">
        <v>1248</v>
      </c>
      <c r="N214" t="s">
        <v>1249</v>
      </c>
      <c r="O214" t="s">
        <v>26</v>
      </c>
      <c r="P214">
        <v>25</v>
      </c>
      <c r="Q214">
        <v>31.25</v>
      </c>
      <c r="R214">
        <v>25</v>
      </c>
      <c r="S214">
        <v>37.5</v>
      </c>
      <c r="T214" t="s">
        <v>1250</v>
      </c>
    </row>
    <row r="215" spans="1:20">
      <c r="A215">
        <v>295140</v>
      </c>
      <c r="B215" t="s">
        <v>1251</v>
      </c>
      <c r="C215" t="str">
        <f>"9780889368637"</f>
        <v>9780889368637</v>
      </c>
      <c r="D215" t="str">
        <f>"9781552503577"</f>
        <v>9781552503577</v>
      </c>
      <c r="E215" t="s">
        <v>479</v>
      </c>
      <c r="F215" t="s">
        <v>480</v>
      </c>
      <c r="G215" s="1">
        <v>36130</v>
      </c>
      <c r="J215" t="s">
        <v>838</v>
      </c>
      <c r="K215" t="s">
        <v>305</v>
      </c>
      <c r="L215" t="s">
        <v>1252</v>
      </c>
      <c r="M215">
        <v>658.5</v>
      </c>
      <c r="N215" t="s">
        <v>1253</v>
      </c>
      <c r="O215" t="s">
        <v>94</v>
      </c>
      <c r="P215">
        <v>20</v>
      </c>
      <c r="Q215">
        <v>25</v>
      </c>
      <c r="R215">
        <v>20</v>
      </c>
      <c r="S215">
        <v>30</v>
      </c>
      <c r="T215" t="s">
        <v>1254</v>
      </c>
    </row>
    <row r="216" spans="1:20">
      <c r="A216">
        <v>295141</v>
      </c>
      <c r="B216" t="s">
        <v>1255</v>
      </c>
      <c r="C216" t="str">
        <f>"9780889369429"</f>
        <v>9780889369429</v>
      </c>
      <c r="D216" t="str">
        <f>"9781552503584"</f>
        <v>9781552503584</v>
      </c>
      <c r="E216" t="s">
        <v>479</v>
      </c>
      <c r="F216" t="s">
        <v>480</v>
      </c>
      <c r="G216" s="1">
        <v>36892</v>
      </c>
      <c r="J216" t="s">
        <v>1206</v>
      </c>
      <c r="K216" t="s">
        <v>305</v>
      </c>
      <c r="L216" t="s">
        <v>1256</v>
      </c>
      <c r="M216">
        <v>384</v>
      </c>
      <c r="N216" t="s">
        <v>1210</v>
      </c>
      <c r="O216" t="s">
        <v>94</v>
      </c>
      <c r="P216">
        <v>20</v>
      </c>
      <c r="Q216">
        <v>25</v>
      </c>
      <c r="R216">
        <v>20</v>
      </c>
      <c r="S216">
        <v>30</v>
      </c>
      <c r="T216" t="s">
        <v>1257</v>
      </c>
    </row>
    <row r="217" spans="1:20">
      <c r="A217">
        <v>295142</v>
      </c>
      <c r="B217" t="s">
        <v>1258</v>
      </c>
      <c r="C217" t="str">
        <f>"9780889369030"</f>
        <v>9780889369030</v>
      </c>
      <c r="D217" t="str">
        <f>"9781552502822"</f>
        <v>9781552502822</v>
      </c>
      <c r="E217" t="s">
        <v>479</v>
      </c>
      <c r="F217" t="s">
        <v>480</v>
      </c>
      <c r="G217" s="1">
        <v>36526</v>
      </c>
      <c r="J217" t="s">
        <v>1259</v>
      </c>
      <c r="K217" t="s">
        <v>263</v>
      </c>
      <c r="L217" t="s">
        <v>1260</v>
      </c>
      <c r="M217">
        <v>303.48340960000002</v>
      </c>
      <c r="N217" t="s">
        <v>1261</v>
      </c>
      <c r="O217" t="s">
        <v>26</v>
      </c>
      <c r="P217">
        <v>30</v>
      </c>
      <c r="Q217">
        <v>37.5</v>
      </c>
      <c r="R217">
        <v>30</v>
      </c>
      <c r="S217">
        <v>45</v>
      </c>
      <c r="T217" t="s">
        <v>1262</v>
      </c>
    </row>
    <row r="218" spans="1:20">
      <c r="A218">
        <v>295143</v>
      </c>
      <c r="B218" t="s">
        <v>1263</v>
      </c>
      <c r="C218" t="str">
        <f>"9780889369290"</f>
        <v>9780889369290</v>
      </c>
      <c r="D218" t="str">
        <f>"9781552502839"</f>
        <v>9781552502839</v>
      </c>
      <c r="E218" t="s">
        <v>479</v>
      </c>
      <c r="F218" t="s">
        <v>480</v>
      </c>
      <c r="G218" s="1">
        <v>36892</v>
      </c>
      <c r="J218" t="s">
        <v>1264</v>
      </c>
      <c r="K218" t="s">
        <v>1265</v>
      </c>
      <c r="L218" t="s">
        <v>1266</v>
      </c>
      <c r="M218">
        <v>305.43630967600001</v>
      </c>
      <c r="N218" t="s">
        <v>1267</v>
      </c>
      <c r="O218" t="s">
        <v>26</v>
      </c>
      <c r="P218">
        <v>30</v>
      </c>
      <c r="Q218">
        <v>37.5</v>
      </c>
      <c r="R218">
        <v>30</v>
      </c>
      <c r="S218">
        <v>45</v>
      </c>
      <c r="T218" t="s">
        <v>1268</v>
      </c>
    </row>
    <row r="219" spans="1:20">
      <c r="A219">
        <v>295144</v>
      </c>
      <c r="B219" t="s">
        <v>1269</v>
      </c>
      <c r="C219" t="str">
        <f>"9781552500248"</f>
        <v>9781552500248</v>
      </c>
      <c r="D219" t="str">
        <f>"9781552503591"</f>
        <v>9781552503591</v>
      </c>
      <c r="E219" t="s">
        <v>479</v>
      </c>
      <c r="F219" t="s">
        <v>480</v>
      </c>
      <c r="G219" s="1">
        <v>37956</v>
      </c>
      <c r="J219" t="s">
        <v>1270</v>
      </c>
      <c r="K219" t="s">
        <v>1271</v>
      </c>
      <c r="L219" t="s">
        <v>1272</v>
      </c>
      <c r="M219">
        <v>6.3</v>
      </c>
      <c r="N219" t="s">
        <v>1273</v>
      </c>
      <c r="O219" t="s">
        <v>485</v>
      </c>
      <c r="P219">
        <v>30</v>
      </c>
      <c r="Q219">
        <v>37.5</v>
      </c>
      <c r="R219">
        <v>30</v>
      </c>
      <c r="S219">
        <v>45</v>
      </c>
      <c r="T219" t="s">
        <v>1274</v>
      </c>
    </row>
    <row r="220" spans="1:20">
      <c r="A220">
        <v>295145</v>
      </c>
      <c r="B220" t="s">
        <v>1275</v>
      </c>
      <c r="C220" t="str">
        <f>"9780889368798"</f>
        <v>9780889368798</v>
      </c>
      <c r="D220" t="str">
        <f>"9781552502884"</f>
        <v>9781552502884</v>
      </c>
      <c r="E220" t="s">
        <v>479</v>
      </c>
      <c r="F220" t="s">
        <v>480</v>
      </c>
      <c r="G220" s="1">
        <v>36161</v>
      </c>
      <c r="H220">
        <v>2</v>
      </c>
      <c r="J220" t="s">
        <v>1276</v>
      </c>
      <c r="K220" t="s">
        <v>467</v>
      </c>
      <c r="L220" t="s">
        <v>1277</v>
      </c>
      <c r="M220">
        <v>327.10000000000002</v>
      </c>
      <c r="N220" t="s">
        <v>1278</v>
      </c>
      <c r="O220" t="s">
        <v>26</v>
      </c>
      <c r="P220">
        <v>20</v>
      </c>
      <c r="Q220">
        <v>25</v>
      </c>
      <c r="R220">
        <v>20</v>
      </c>
      <c r="S220">
        <v>30</v>
      </c>
      <c r="T220" t="s">
        <v>1279</v>
      </c>
    </row>
    <row r="221" spans="1:20">
      <c r="A221">
        <v>295146</v>
      </c>
      <c r="B221" t="s">
        <v>1280</v>
      </c>
      <c r="C221" t="str">
        <f>"9780889369498"</f>
        <v>9780889369498</v>
      </c>
      <c r="D221" t="str">
        <f>"9781552502952"</f>
        <v>9781552502952</v>
      </c>
      <c r="E221" t="s">
        <v>479</v>
      </c>
      <c r="F221" t="s">
        <v>480</v>
      </c>
      <c r="G221" s="1">
        <v>36892</v>
      </c>
      <c r="J221" t="s">
        <v>1281</v>
      </c>
      <c r="K221" t="s">
        <v>757</v>
      </c>
      <c r="L221" t="s">
        <v>1282</v>
      </c>
      <c r="M221">
        <v>333.76499999999999</v>
      </c>
      <c r="N221" t="s">
        <v>1283</v>
      </c>
      <c r="O221" t="s">
        <v>26</v>
      </c>
      <c r="P221">
        <v>30</v>
      </c>
      <c r="Q221">
        <v>37.5</v>
      </c>
      <c r="R221">
        <v>30</v>
      </c>
      <c r="S221">
        <v>45</v>
      </c>
      <c r="T221" t="s">
        <v>1284</v>
      </c>
    </row>
    <row r="222" spans="1:20">
      <c r="A222">
        <v>295147</v>
      </c>
      <c r="B222" t="s">
        <v>1285</v>
      </c>
      <c r="C222" t="str">
        <f>"9780889369344"</f>
        <v>9780889369344</v>
      </c>
      <c r="D222" t="str">
        <f>"9781552503607"</f>
        <v>9781552503607</v>
      </c>
      <c r="E222" t="s">
        <v>479</v>
      </c>
      <c r="F222" t="s">
        <v>480</v>
      </c>
      <c r="G222" s="1">
        <v>37226</v>
      </c>
      <c r="J222" t="s">
        <v>1286</v>
      </c>
      <c r="K222" t="s">
        <v>76</v>
      </c>
      <c r="L222" t="s">
        <v>1287</v>
      </c>
      <c r="M222">
        <v>632.1</v>
      </c>
      <c r="N222" t="s">
        <v>1288</v>
      </c>
      <c r="O222" t="s">
        <v>94</v>
      </c>
      <c r="P222">
        <v>20</v>
      </c>
      <c r="Q222">
        <v>25</v>
      </c>
      <c r="R222">
        <v>20</v>
      </c>
      <c r="S222">
        <v>30</v>
      </c>
      <c r="T222" t="s">
        <v>1289</v>
      </c>
    </row>
    <row r="223" spans="1:20">
      <c r="A223">
        <v>295148</v>
      </c>
      <c r="B223" t="s">
        <v>1290</v>
      </c>
      <c r="C223" t="str">
        <f>"9780889369412"</f>
        <v>9780889369412</v>
      </c>
      <c r="D223" t="str">
        <f>"9781552503614"</f>
        <v>9781552503614</v>
      </c>
      <c r="E223" t="s">
        <v>479</v>
      </c>
      <c r="F223" t="s">
        <v>480</v>
      </c>
      <c r="G223" s="1">
        <v>36526</v>
      </c>
      <c r="J223" t="s">
        <v>1259</v>
      </c>
      <c r="K223" t="s">
        <v>1291</v>
      </c>
      <c r="L223" t="s">
        <v>1292</v>
      </c>
      <c r="M223">
        <v>336.3</v>
      </c>
      <c r="N223" t="s">
        <v>1293</v>
      </c>
      <c r="O223" t="s">
        <v>94</v>
      </c>
      <c r="P223">
        <v>30</v>
      </c>
      <c r="Q223">
        <v>37.5</v>
      </c>
      <c r="R223">
        <v>30</v>
      </c>
      <c r="S223">
        <v>45</v>
      </c>
      <c r="T223" t="s">
        <v>1294</v>
      </c>
    </row>
    <row r="224" spans="1:20">
      <c r="A224">
        <v>295149</v>
      </c>
      <c r="B224" t="s">
        <v>1295</v>
      </c>
      <c r="C224" t="str">
        <f>"9780889369436"</f>
        <v>9780889369436</v>
      </c>
      <c r="D224" t="str">
        <f>"9781552503010"</f>
        <v>9781552503010</v>
      </c>
      <c r="E224" t="s">
        <v>479</v>
      </c>
      <c r="F224" t="s">
        <v>480</v>
      </c>
      <c r="G224" s="1">
        <v>36892</v>
      </c>
      <c r="J224" t="s">
        <v>1296</v>
      </c>
      <c r="K224" t="s">
        <v>1297</v>
      </c>
      <c r="L224" t="s">
        <v>1298</v>
      </c>
      <c r="M224" t="s">
        <v>1299</v>
      </c>
      <c r="N224" t="s">
        <v>1300</v>
      </c>
      <c r="O224" t="s">
        <v>26</v>
      </c>
      <c r="P224">
        <v>25</v>
      </c>
      <c r="Q224">
        <v>31.25</v>
      </c>
      <c r="R224">
        <v>25</v>
      </c>
      <c r="S224">
        <v>37.5</v>
      </c>
      <c r="T224" t="s">
        <v>1301</v>
      </c>
    </row>
    <row r="225" spans="1:20">
      <c r="A225">
        <v>295150</v>
      </c>
      <c r="B225" t="s">
        <v>1302</v>
      </c>
      <c r="C225" t="str">
        <f>"9780889368170"</f>
        <v>9780889368170</v>
      </c>
      <c r="D225" t="str">
        <f>"9781552503430"</f>
        <v>9781552503430</v>
      </c>
      <c r="E225" t="s">
        <v>479</v>
      </c>
      <c r="F225" t="s">
        <v>480</v>
      </c>
      <c r="G225" s="1">
        <v>36161</v>
      </c>
      <c r="J225" t="s">
        <v>1303</v>
      </c>
      <c r="K225" t="s">
        <v>1304</v>
      </c>
      <c r="L225" t="s">
        <v>1305</v>
      </c>
      <c r="M225" t="s">
        <v>1306</v>
      </c>
      <c r="N225" t="s">
        <v>1307</v>
      </c>
      <c r="O225" t="s">
        <v>26</v>
      </c>
      <c r="P225">
        <v>35</v>
      </c>
      <c r="Q225">
        <v>43.75</v>
      </c>
      <c r="R225">
        <v>35</v>
      </c>
      <c r="S225">
        <v>52.5</v>
      </c>
      <c r="T225" t="s">
        <v>1308</v>
      </c>
    </row>
    <row r="226" spans="1:20">
      <c r="A226">
        <v>295151</v>
      </c>
      <c r="B226" t="s">
        <v>1309</v>
      </c>
      <c r="C226" t="str">
        <f>"9780889368286"</f>
        <v>9780889368286</v>
      </c>
      <c r="D226" t="str">
        <f>"9781552503034"</f>
        <v>9781552503034</v>
      </c>
      <c r="E226" t="s">
        <v>479</v>
      </c>
      <c r="F226" t="s">
        <v>480</v>
      </c>
      <c r="G226" s="1">
        <v>35796</v>
      </c>
      <c r="J226" t="s">
        <v>1310</v>
      </c>
      <c r="K226" t="s">
        <v>1311</v>
      </c>
      <c r="L226" t="s">
        <v>1312</v>
      </c>
      <c r="M226">
        <v>333.76509700000003</v>
      </c>
      <c r="N226" t="s">
        <v>1313</v>
      </c>
      <c r="O226" t="s">
        <v>26</v>
      </c>
      <c r="P226">
        <v>30</v>
      </c>
      <c r="Q226">
        <v>37.5</v>
      </c>
      <c r="R226">
        <v>30</v>
      </c>
      <c r="S226">
        <v>45</v>
      </c>
      <c r="T226" t="s">
        <v>1314</v>
      </c>
    </row>
    <row r="227" spans="1:20">
      <c r="A227">
        <v>295152</v>
      </c>
      <c r="B227" t="s">
        <v>1315</v>
      </c>
      <c r="C227" t="str">
        <f>"9780889369535"</f>
        <v>9780889369535</v>
      </c>
      <c r="D227" t="str">
        <f>"9781552503041"</f>
        <v>9781552503041</v>
      </c>
      <c r="E227" t="s">
        <v>479</v>
      </c>
      <c r="F227" t="s">
        <v>480</v>
      </c>
      <c r="G227" s="1">
        <v>37257</v>
      </c>
      <c r="J227" t="s">
        <v>1316</v>
      </c>
      <c r="K227" t="s">
        <v>76</v>
      </c>
      <c r="L227" t="s">
        <v>1317</v>
      </c>
      <c r="M227">
        <v>631.58709182200005</v>
      </c>
      <c r="N227" t="s">
        <v>1318</v>
      </c>
      <c r="O227" t="s">
        <v>26</v>
      </c>
      <c r="P227">
        <v>25</v>
      </c>
      <c r="Q227">
        <v>31.25</v>
      </c>
      <c r="R227">
        <v>25</v>
      </c>
      <c r="S227">
        <v>37.5</v>
      </c>
      <c r="T227" t="s">
        <v>1319</v>
      </c>
    </row>
    <row r="228" spans="1:20">
      <c r="A228">
        <v>295153</v>
      </c>
      <c r="B228" t="s">
        <v>1320</v>
      </c>
      <c r="C228" t="str">
        <f>"9780889367920"</f>
        <v>9780889367920</v>
      </c>
      <c r="D228" t="str">
        <f>"9781552503058"</f>
        <v>9781552503058</v>
      </c>
      <c r="E228" t="s">
        <v>479</v>
      </c>
      <c r="F228" t="s">
        <v>480</v>
      </c>
      <c r="G228" s="1">
        <v>35065</v>
      </c>
      <c r="J228" t="s">
        <v>1321</v>
      </c>
      <c r="K228" t="s">
        <v>1322</v>
      </c>
      <c r="L228" t="s">
        <v>1323</v>
      </c>
      <c r="M228">
        <v>614.53200000000004</v>
      </c>
      <c r="N228" t="s">
        <v>1324</v>
      </c>
      <c r="O228" t="s">
        <v>26</v>
      </c>
      <c r="P228">
        <v>30</v>
      </c>
      <c r="Q228">
        <v>37.5</v>
      </c>
      <c r="R228">
        <v>30</v>
      </c>
      <c r="S228">
        <v>45</v>
      </c>
      <c r="T228" t="s">
        <v>1325</v>
      </c>
    </row>
    <row r="229" spans="1:20">
      <c r="A229">
        <v>295154</v>
      </c>
      <c r="B229" t="s">
        <v>1326</v>
      </c>
      <c r="C229" t="str">
        <f>"9780889368712"</f>
        <v>9780889368712</v>
      </c>
      <c r="D229" t="str">
        <f>"9781552503621"</f>
        <v>9781552503621</v>
      </c>
      <c r="E229" t="s">
        <v>479</v>
      </c>
      <c r="F229" t="s">
        <v>480</v>
      </c>
      <c r="G229" s="1">
        <v>36161</v>
      </c>
      <c r="J229" t="s">
        <v>838</v>
      </c>
      <c r="K229" t="s">
        <v>1327</v>
      </c>
      <c r="L229" t="s">
        <v>1328</v>
      </c>
      <c r="M229">
        <v>621.3845</v>
      </c>
      <c r="N229" t="s">
        <v>1329</v>
      </c>
      <c r="O229" t="s">
        <v>485</v>
      </c>
      <c r="P229">
        <v>20</v>
      </c>
      <c r="Q229">
        <v>25</v>
      </c>
      <c r="R229">
        <v>20</v>
      </c>
      <c r="S229">
        <v>30</v>
      </c>
      <c r="T229" t="s">
        <v>1330</v>
      </c>
    </row>
    <row r="230" spans="1:20">
      <c r="A230">
        <v>295155</v>
      </c>
      <c r="B230" t="s">
        <v>1331</v>
      </c>
      <c r="C230" t="str">
        <f>"9780889367258"</f>
        <v>9780889367258</v>
      </c>
      <c r="D230" t="str">
        <f>"9781552503089"</f>
        <v>9781552503089</v>
      </c>
      <c r="E230" t="s">
        <v>479</v>
      </c>
      <c r="F230" t="s">
        <v>480</v>
      </c>
      <c r="G230" s="1">
        <v>34335</v>
      </c>
      <c r="J230" t="s">
        <v>1332</v>
      </c>
      <c r="K230" t="s">
        <v>1333</v>
      </c>
      <c r="L230" t="s">
        <v>1334</v>
      </c>
      <c r="M230" t="s">
        <v>1335</v>
      </c>
      <c r="N230" t="s">
        <v>1336</v>
      </c>
      <c r="O230" t="s">
        <v>26</v>
      </c>
      <c r="P230">
        <v>25</v>
      </c>
      <c r="Q230">
        <v>31.25</v>
      </c>
      <c r="R230">
        <v>25</v>
      </c>
      <c r="S230">
        <v>37.5</v>
      </c>
      <c r="T230" t="s">
        <v>1337</v>
      </c>
    </row>
    <row r="231" spans="1:20">
      <c r="A231">
        <v>295156</v>
      </c>
      <c r="B231" t="s">
        <v>1338</v>
      </c>
      <c r="C231" t="str">
        <f>"9780889369306"</f>
        <v>9780889369306</v>
      </c>
      <c r="D231" t="str">
        <f>"9781552503102"</f>
        <v>9781552503102</v>
      </c>
      <c r="E231" t="s">
        <v>479</v>
      </c>
      <c r="F231" t="s">
        <v>480</v>
      </c>
      <c r="G231" s="1">
        <v>36526</v>
      </c>
      <c r="J231" t="s">
        <v>1339</v>
      </c>
      <c r="K231" t="s">
        <v>278</v>
      </c>
      <c r="L231" t="s">
        <v>1340</v>
      </c>
      <c r="M231">
        <v>338.95600719999999</v>
      </c>
      <c r="N231" t="s">
        <v>1341</v>
      </c>
      <c r="O231" t="s">
        <v>26</v>
      </c>
      <c r="P231">
        <v>30</v>
      </c>
      <c r="Q231">
        <v>37.5</v>
      </c>
      <c r="R231">
        <v>30</v>
      </c>
      <c r="S231">
        <v>45</v>
      </c>
      <c r="T231" t="s">
        <v>1342</v>
      </c>
    </row>
    <row r="232" spans="1:20">
      <c r="A232">
        <v>295157</v>
      </c>
      <c r="B232" t="s">
        <v>1343</v>
      </c>
      <c r="C232" t="str">
        <f>"9780889369238"</f>
        <v>9780889369238</v>
      </c>
      <c r="D232" t="str">
        <f>"9781552503119"</f>
        <v>9781552503119</v>
      </c>
      <c r="E232" t="s">
        <v>479</v>
      </c>
      <c r="F232" t="s">
        <v>480</v>
      </c>
      <c r="G232" s="1">
        <v>36526</v>
      </c>
      <c r="J232" t="s">
        <v>1344</v>
      </c>
      <c r="K232" t="s">
        <v>376</v>
      </c>
      <c r="L232" t="s">
        <v>1345</v>
      </c>
      <c r="M232">
        <v>362.10980000000001</v>
      </c>
      <c r="N232" t="s">
        <v>1346</v>
      </c>
      <c r="O232" t="s">
        <v>26</v>
      </c>
      <c r="P232">
        <v>30</v>
      </c>
      <c r="Q232">
        <v>37.5</v>
      </c>
      <c r="R232">
        <v>30</v>
      </c>
      <c r="S232">
        <v>45</v>
      </c>
      <c r="T232" t="s">
        <v>1347</v>
      </c>
    </row>
    <row r="233" spans="1:20">
      <c r="A233">
        <v>295158</v>
      </c>
      <c r="B233" t="s">
        <v>1348</v>
      </c>
      <c r="C233" t="str">
        <f>"9780889369115"</f>
        <v>9780889369115</v>
      </c>
      <c r="D233" t="str">
        <f>"9781552503157"</f>
        <v>9781552503157</v>
      </c>
      <c r="E233" t="s">
        <v>479</v>
      </c>
      <c r="F233" t="s">
        <v>480</v>
      </c>
      <c r="G233" s="1">
        <v>36161</v>
      </c>
      <c r="J233" t="s">
        <v>1349</v>
      </c>
      <c r="K233" t="s">
        <v>1350</v>
      </c>
      <c r="L233" t="s">
        <v>1351</v>
      </c>
      <c r="M233" t="s">
        <v>1352</v>
      </c>
      <c r="N233" t="s">
        <v>1353</v>
      </c>
      <c r="O233" t="s">
        <v>26</v>
      </c>
      <c r="P233">
        <v>25</v>
      </c>
      <c r="Q233">
        <v>31.25</v>
      </c>
      <c r="R233">
        <v>25</v>
      </c>
      <c r="S233">
        <v>37.5</v>
      </c>
      <c r="T233" t="s">
        <v>1354</v>
      </c>
    </row>
    <row r="234" spans="1:20">
      <c r="A234">
        <v>295159</v>
      </c>
      <c r="B234" t="s">
        <v>1355</v>
      </c>
      <c r="C234" t="str">
        <f>"9780889369269"</f>
        <v>9780889369269</v>
      </c>
      <c r="D234" t="str">
        <f>"9781552503164"</f>
        <v>9781552503164</v>
      </c>
      <c r="E234" t="s">
        <v>479</v>
      </c>
      <c r="F234" t="s">
        <v>480</v>
      </c>
      <c r="G234" s="1">
        <v>36526</v>
      </c>
      <c r="J234" t="s">
        <v>1356</v>
      </c>
      <c r="K234" t="s">
        <v>1357</v>
      </c>
      <c r="L234" t="s">
        <v>1358</v>
      </c>
      <c r="M234" t="s">
        <v>1359</v>
      </c>
      <c r="N234" t="s">
        <v>1360</v>
      </c>
      <c r="O234" t="s">
        <v>26</v>
      </c>
      <c r="P234">
        <v>35</v>
      </c>
      <c r="Q234">
        <v>43.75</v>
      </c>
      <c r="R234">
        <v>35</v>
      </c>
      <c r="S234">
        <v>52.5</v>
      </c>
      <c r="T234" t="s">
        <v>1361</v>
      </c>
    </row>
    <row r="235" spans="1:20">
      <c r="A235">
        <v>295160</v>
      </c>
      <c r="B235" t="s">
        <v>1362</v>
      </c>
      <c r="C235" t="str">
        <f>"9780889369375"</f>
        <v>9780889369375</v>
      </c>
      <c r="D235" t="str">
        <f>"9781552503645"</f>
        <v>9781552503645</v>
      </c>
      <c r="E235" t="s">
        <v>479</v>
      </c>
      <c r="F235" t="s">
        <v>480</v>
      </c>
      <c r="G235" s="1">
        <v>36892</v>
      </c>
      <c r="J235" t="s">
        <v>1363</v>
      </c>
      <c r="K235" t="s">
        <v>1364</v>
      </c>
      <c r="L235" t="s">
        <v>1365</v>
      </c>
      <c r="M235">
        <v>338.17097100000001</v>
      </c>
      <c r="N235" t="s">
        <v>1366</v>
      </c>
      <c r="O235" t="s">
        <v>485</v>
      </c>
      <c r="P235">
        <v>20</v>
      </c>
      <c r="Q235">
        <v>25</v>
      </c>
      <c r="R235">
        <v>20</v>
      </c>
      <c r="S235">
        <v>30</v>
      </c>
      <c r="T235" t="s">
        <v>1367</v>
      </c>
    </row>
    <row r="236" spans="1:20">
      <c r="A236">
        <v>295161</v>
      </c>
      <c r="B236" t="s">
        <v>1368</v>
      </c>
      <c r="C236" t="str">
        <f>"9780889367616"</f>
        <v>9780889367616</v>
      </c>
      <c r="D236" t="str">
        <f>"9781552503171"</f>
        <v>9781552503171</v>
      </c>
      <c r="E236" t="s">
        <v>479</v>
      </c>
      <c r="F236" t="s">
        <v>480</v>
      </c>
      <c r="G236" s="1">
        <v>34700</v>
      </c>
      <c r="J236" t="s">
        <v>1369</v>
      </c>
      <c r="K236" t="s">
        <v>263</v>
      </c>
      <c r="L236" t="s">
        <v>1370</v>
      </c>
      <c r="M236" t="s">
        <v>1371</v>
      </c>
      <c r="N236" t="s">
        <v>1372</v>
      </c>
      <c r="O236" t="s">
        <v>26</v>
      </c>
      <c r="P236">
        <v>30</v>
      </c>
      <c r="Q236">
        <v>37.5</v>
      </c>
      <c r="R236">
        <v>30</v>
      </c>
      <c r="S236">
        <v>45</v>
      </c>
      <c r="T236" t="s">
        <v>1373</v>
      </c>
    </row>
    <row r="237" spans="1:20">
      <c r="A237">
        <v>295162</v>
      </c>
      <c r="B237" t="s">
        <v>1374</v>
      </c>
      <c r="C237" t="str">
        <f>"9780889369047"</f>
        <v>9780889369047</v>
      </c>
      <c r="D237" t="str">
        <f>"9781552503188"</f>
        <v>9781552503188</v>
      </c>
      <c r="E237" t="s">
        <v>479</v>
      </c>
      <c r="F237" t="s">
        <v>480</v>
      </c>
      <c r="G237" s="1">
        <v>36526</v>
      </c>
      <c r="J237" t="s">
        <v>1375</v>
      </c>
      <c r="K237" t="s">
        <v>278</v>
      </c>
      <c r="L237" t="s">
        <v>1376</v>
      </c>
      <c r="M237">
        <v>330.9597</v>
      </c>
      <c r="N237" t="s">
        <v>1377</v>
      </c>
      <c r="O237" t="s">
        <v>26</v>
      </c>
      <c r="P237">
        <v>25</v>
      </c>
      <c r="Q237">
        <v>31.25</v>
      </c>
      <c r="R237">
        <v>25</v>
      </c>
      <c r="S237">
        <v>37.5</v>
      </c>
      <c r="T237" t="s">
        <v>1378</v>
      </c>
    </row>
    <row r="238" spans="1:20">
      <c r="A238">
        <v>295163</v>
      </c>
      <c r="B238" t="s">
        <v>1379</v>
      </c>
      <c r="C238" t="str">
        <f>"9780889367739"</f>
        <v>9780889367739</v>
      </c>
      <c r="D238" t="str">
        <f>"9781552502686"</f>
        <v>9781552502686</v>
      </c>
      <c r="E238" t="s">
        <v>479</v>
      </c>
      <c r="F238" t="s">
        <v>480</v>
      </c>
      <c r="G238" s="1">
        <v>34700</v>
      </c>
      <c r="J238" t="s">
        <v>1380</v>
      </c>
      <c r="K238" t="s">
        <v>1082</v>
      </c>
      <c r="L238" t="s">
        <v>1381</v>
      </c>
      <c r="M238" t="s">
        <v>1382</v>
      </c>
      <c r="N238" t="s">
        <v>1383</v>
      </c>
      <c r="O238" t="s">
        <v>26</v>
      </c>
      <c r="P238">
        <v>25</v>
      </c>
      <c r="Q238">
        <v>31.25</v>
      </c>
      <c r="R238">
        <v>25</v>
      </c>
      <c r="S238">
        <v>37.5</v>
      </c>
      <c r="T238" t="s">
        <v>1384</v>
      </c>
    </row>
    <row r="239" spans="1:20">
      <c r="A239">
        <v>295164</v>
      </c>
      <c r="B239" t="s">
        <v>1385</v>
      </c>
      <c r="C239" t="str">
        <f>"9780889369108"</f>
        <v>9780889369108</v>
      </c>
      <c r="D239" t="str">
        <f>"9781552502723"</f>
        <v>9781552502723</v>
      </c>
      <c r="E239" t="s">
        <v>479</v>
      </c>
      <c r="F239" t="s">
        <v>480</v>
      </c>
      <c r="G239" s="1">
        <v>36526</v>
      </c>
      <c r="J239" t="s">
        <v>1386</v>
      </c>
      <c r="K239" t="s">
        <v>1387</v>
      </c>
      <c r="L239" t="s">
        <v>1388</v>
      </c>
      <c r="M239" t="s">
        <v>1389</v>
      </c>
      <c r="N239" t="s">
        <v>1390</v>
      </c>
      <c r="O239" t="s">
        <v>26</v>
      </c>
      <c r="P239">
        <v>30</v>
      </c>
      <c r="Q239">
        <v>37.5</v>
      </c>
      <c r="R239">
        <v>30</v>
      </c>
      <c r="S239">
        <v>45</v>
      </c>
      <c r="T239" t="s">
        <v>1391</v>
      </c>
    </row>
    <row r="240" spans="1:20">
      <c r="A240">
        <v>295165</v>
      </c>
      <c r="B240" t="s">
        <v>1392</v>
      </c>
      <c r="C240" t="str">
        <f>"9780889368316"</f>
        <v>9780889368316</v>
      </c>
      <c r="D240" t="str">
        <f>"9781552503652"</f>
        <v>9781552503652</v>
      </c>
      <c r="E240" t="s">
        <v>479</v>
      </c>
      <c r="F240" t="s">
        <v>480</v>
      </c>
      <c r="G240" s="1">
        <v>35765</v>
      </c>
      <c r="J240" t="s">
        <v>1393</v>
      </c>
      <c r="K240" t="s">
        <v>1394</v>
      </c>
      <c r="L240" t="s">
        <v>1395</v>
      </c>
      <c r="M240">
        <v>616.93619999999999</v>
      </c>
      <c r="N240" t="s">
        <v>1324</v>
      </c>
      <c r="O240" t="s">
        <v>94</v>
      </c>
      <c r="P240">
        <v>25</v>
      </c>
      <c r="Q240">
        <v>31.25</v>
      </c>
      <c r="R240">
        <v>25</v>
      </c>
      <c r="S240">
        <v>37.5</v>
      </c>
      <c r="T240" t="s">
        <v>1396</v>
      </c>
    </row>
    <row r="241" spans="1:20">
      <c r="A241">
        <v>295166</v>
      </c>
      <c r="B241" t="s">
        <v>1397</v>
      </c>
      <c r="C241" t="str">
        <f>"9780889369542"</f>
        <v>9780889369542</v>
      </c>
      <c r="D241" t="str">
        <f>"9781552503669"</f>
        <v>9781552503669</v>
      </c>
      <c r="E241" t="s">
        <v>479</v>
      </c>
      <c r="F241" t="s">
        <v>480</v>
      </c>
      <c r="G241" s="1">
        <v>37226</v>
      </c>
      <c r="J241" t="s">
        <v>1398</v>
      </c>
      <c r="K241" t="s">
        <v>1399</v>
      </c>
      <c r="L241" t="s">
        <v>1400</v>
      </c>
      <c r="M241">
        <v>174.28</v>
      </c>
      <c r="N241" t="s">
        <v>1401</v>
      </c>
      <c r="O241" t="s">
        <v>94</v>
      </c>
      <c r="P241">
        <v>30</v>
      </c>
      <c r="Q241">
        <v>37.5</v>
      </c>
      <c r="R241">
        <v>30</v>
      </c>
      <c r="S241">
        <v>45</v>
      </c>
      <c r="T241" t="s">
        <v>1402</v>
      </c>
    </row>
    <row r="242" spans="1:20">
      <c r="A242">
        <v>295167</v>
      </c>
      <c r="B242" t="s">
        <v>1403</v>
      </c>
      <c r="C242" t="str">
        <f>"9780889368736"</f>
        <v>9780889368736</v>
      </c>
      <c r="D242" t="str">
        <f>"9781552502846"</f>
        <v>9781552502846</v>
      </c>
      <c r="E242" t="s">
        <v>479</v>
      </c>
      <c r="F242" t="s">
        <v>480</v>
      </c>
      <c r="G242" s="1">
        <v>36161</v>
      </c>
      <c r="J242" t="s">
        <v>1404</v>
      </c>
      <c r="K242" t="s">
        <v>416</v>
      </c>
      <c r="L242" t="s">
        <v>1405</v>
      </c>
      <c r="M242">
        <v>338.92609597000001</v>
      </c>
      <c r="N242" t="s">
        <v>1406</v>
      </c>
      <c r="O242" t="s">
        <v>26</v>
      </c>
      <c r="P242">
        <v>25</v>
      </c>
      <c r="Q242">
        <v>31.25</v>
      </c>
      <c r="R242">
        <v>25</v>
      </c>
      <c r="S242">
        <v>37.5</v>
      </c>
      <c r="T242" t="s">
        <v>1407</v>
      </c>
    </row>
    <row r="243" spans="1:20">
      <c r="A243">
        <v>295168</v>
      </c>
      <c r="B243" t="s">
        <v>1408</v>
      </c>
      <c r="C243" t="str">
        <f>"9780889369078"</f>
        <v>9780889369078</v>
      </c>
      <c r="D243" t="str">
        <f>"9781552502877"</f>
        <v>9781552502877</v>
      </c>
      <c r="E243" t="s">
        <v>479</v>
      </c>
      <c r="F243" t="s">
        <v>480</v>
      </c>
      <c r="G243" s="1">
        <v>36526</v>
      </c>
      <c r="J243" t="s">
        <v>1409</v>
      </c>
      <c r="K243" t="s">
        <v>802</v>
      </c>
      <c r="L243" t="s">
        <v>1410</v>
      </c>
      <c r="M243">
        <v>333.91091821999999</v>
      </c>
      <c r="N243" t="s">
        <v>1411</v>
      </c>
      <c r="O243" t="s">
        <v>26</v>
      </c>
      <c r="P243">
        <v>25</v>
      </c>
      <c r="Q243">
        <v>31.25</v>
      </c>
      <c r="R243">
        <v>25</v>
      </c>
      <c r="S243">
        <v>37.5</v>
      </c>
      <c r="T243" t="s">
        <v>1412</v>
      </c>
    </row>
    <row r="244" spans="1:20">
      <c r="A244">
        <v>295169</v>
      </c>
      <c r="B244" t="s">
        <v>1413</v>
      </c>
      <c r="C244" t="str">
        <f>"9780889369337"</f>
        <v>9780889369337</v>
      </c>
      <c r="D244" t="str">
        <f>"9781552503676"</f>
        <v>9781552503676</v>
      </c>
      <c r="E244" t="s">
        <v>479</v>
      </c>
      <c r="F244" t="s">
        <v>480</v>
      </c>
      <c r="G244" s="1">
        <v>36526</v>
      </c>
      <c r="J244" t="s">
        <v>1414</v>
      </c>
      <c r="K244" t="s">
        <v>1415</v>
      </c>
      <c r="L244" t="s">
        <v>1416</v>
      </c>
      <c r="M244">
        <v>628.97</v>
      </c>
      <c r="N244" t="s">
        <v>1417</v>
      </c>
      <c r="O244" t="s">
        <v>26</v>
      </c>
      <c r="P244">
        <v>25</v>
      </c>
      <c r="Q244">
        <v>31.25</v>
      </c>
      <c r="R244">
        <v>25</v>
      </c>
      <c r="S244">
        <v>37.5</v>
      </c>
      <c r="T244" t="s">
        <v>1418</v>
      </c>
    </row>
    <row r="245" spans="1:20">
      <c r="A245">
        <v>295203</v>
      </c>
      <c r="B245" t="s">
        <v>1419</v>
      </c>
      <c r="C245" t="str">
        <f>"9780889367722"</f>
        <v>9780889367722</v>
      </c>
      <c r="D245" t="str">
        <f>"9781552502556"</f>
        <v>9781552502556</v>
      </c>
      <c r="E245" t="s">
        <v>479</v>
      </c>
      <c r="F245" t="s">
        <v>480</v>
      </c>
      <c r="G245" s="1">
        <v>35065</v>
      </c>
      <c r="J245" t="s">
        <v>1420</v>
      </c>
      <c r="K245" t="s">
        <v>376</v>
      </c>
      <c r="L245" t="s">
        <v>1421</v>
      </c>
      <c r="M245" t="s">
        <v>1422</v>
      </c>
      <c r="N245" t="s">
        <v>1423</v>
      </c>
      <c r="O245" t="s">
        <v>26</v>
      </c>
      <c r="P245">
        <v>25</v>
      </c>
      <c r="Q245">
        <v>31.25</v>
      </c>
      <c r="R245">
        <v>25</v>
      </c>
      <c r="S245">
        <v>37.5</v>
      </c>
      <c r="T245" t="s">
        <v>1424</v>
      </c>
    </row>
    <row r="246" spans="1:20">
      <c r="A246">
        <v>295204</v>
      </c>
      <c r="B246" t="s">
        <v>1425</v>
      </c>
      <c r="C246" t="str">
        <f>"9780889367746"</f>
        <v>9780889367746</v>
      </c>
      <c r="D246" t="str">
        <f>"9781552503638"</f>
        <v>9781552503638</v>
      </c>
      <c r="E246" t="s">
        <v>479</v>
      </c>
      <c r="F246" t="s">
        <v>480</v>
      </c>
      <c r="G246" s="1">
        <v>35004</v>
      </c>
      <c r="J246" t="s">
        <v>1426</v>
      </c>
      <c r="K246" t="s">
        <v>1427</v>
      </c>
      <c r="L246" t="s">
        <v>1428</v>
      </c>
      <c r="M246" t="s">
        <v>1429</v>
      </c>
      <c r="N246" t="s">
        <v>1430</v>
      </c>
      <c r="O246" t="s">
        <v>26</v>
      </c>
      <c r="P246">
        <v>25</v>
      </c>
      <c r="Q246">
        <v>31.25</v>
      </c>
      <c r="R246">
        <v>25</v>
      </c>
      <c r="S246">
        <v>37.5</v>
      </c>
      <c r="T246" t="s">
        <v>1431</v>
      </c>
    </row>
    <row r="247" spans="1:20">
      <c r="A247">
        <v>295205</v>
      </c>
      <c r="B247" t="s">
        <v>1432</v>
      </c>
      <c r="C247" t="str">
        <f>"9780889368941"</f>
        <v>9780889368941</v>
      </c>
      <c r="D247" t="str">
        <f>"9781552500460"</f>
        <v>9781552500460</v>
      </c>
      <c r="E247" t="s">
        <v>479</v>
      </c>
      <c r="F247" t="s">
        <v>480</v>
      </c>
      <c r="G247" s="1">
        <v>36161</v>
      </c>
      <c r="J247" t="s">
        <v>862</v>
      </c>
      <c r="K247" t="s">
        <v>257</v>
      </c>
      <c r="L247" t="s">
        <v>1433</v>
      </c>
      <c r="M247" t="s">
        <v>1434</v>
      </c>
      <c r="N247" t="s">
        <v>1435</v>
      </c>
      <c r="O247" t="s">
        <v>94</v>
      </c>
      <c r="P247">
        <v>30</v>
      </c>
      <c r="Q247">
        <v>37.5</v>
      </c>
      <c r="R247">
        <v>30</v>
      </c>
      <c r="S247">
        <v>45</v>
      </c>
      <c r="T247" t="s">
        <v>1436</v>
      </c>
    </row>
    <row r="248" spans="1:20">
      <c r="A248">
        <v>295206</v>
      </c>
      <c r="B248" t="s">
        <v>1437</v>
      </c>
      <c r="C248" t="str">
        <f>"9780889368958"</f>
        <v>9780889368958</v>
      </c>
      <c r="D248" t="str">
        <f>"9781552502976"</f>
        <v>9781552502976</v>
      </c>
      <c r="E248" t="s">
        <v>479</v>
      </c>
      <c r="F248" t="s">
        <v>480</v>
      </c>
      <c r="G248" s="1">
        <v>36831</v>
      </c>
      <c r="J248" t="s">
        <v>1438</v>
      </c>
      <c r="K248" t="s">
        <v>899</v>
      </c>
      <c r="L248" t="s">
        <v>1439</v>
      </c>
      <c r="M248" t="s">
        <v>1440</v>
      </c>
      <c r="N248" t="s">
        <v>1441</v>
      </c>
      <c r="O248" t="s">
        <v>26</v>
      </c>
      <c r="P248">
        <v>35</v>
      </c>
      <c r="Q248">
        <v>43.75</v>
      </c>
      <c r="R248">
        <v>35</v>
      </c>
      <c r="S248">
        <v>52.5</v>
      </c>
      <c r="T248" t="s">
        <v>1442</v>
      </c>
    </row>
    <row r="249" spans="1:20">
      <c r="A249">
        <v>295207</v>
      </c>
      <c r="B249" t="s">
        <v>1443</v>
      </c>
      <c r="C249" t="str">
        <f>"9780889369924"</f>
        <v>9780889369924</v>
      </c>
      <c r="D249" t="str">
        <f>"9781552501061"</f>
        <v>9781552501061</v>
      </c>
      <c r="E249" t="s">
        <v>479</v>
      </c>
      <c r="F249" t="s">
        <v>480</v>
      </c>
      <c r="G249" s="1">
        <v>37622</v>
      </c>
      <c r="J249" t="s">
        <v>1444</v>
      </c>
      <c r="K249" t="s">
        <v>1445</v>
      </c>
      <c r="L249" t="s">
        <v>1446</v>
      </c>
      <c r="M249" t="s">
        <v>1447</v>
      </c>
      <c r="N249" t="s">
        <v>1448</v>
      </c>
      <c r="O249" t="s">
        <v>94</v>
      </c>
      <c r="P249">
        <v>40</v>
      </c>
      <c r="Q249">
        <v>50</v>
      </c>
      <c r="R249">
        <v>40</v>
      </c>
      <c r="S249">
        <v>60</v>
      </c>
      <c r="T249" t="s">
        <v>1449</v>
      </c>
    </row>
    <row r="250" spans="1:20">
      <c r="A250">
        <v>299564</v>
      </c>
      <c r="B250" t="s">
        <v>1450</v>
      </c>
      <c r="C250" t="str">
        <f>"9781895837827"</f>
        <v>9781895837827</v>
      </c>
      <c r="D250" t="str">
        <f>"9781897414897"</f>
        <v>9781897414897</v>
      </c>
      <c r="E250" t="s">
        <v>1119</v>
      </c>
      <c r="F250" t="s">
        <v>1120</v>
      </c>
      <c r="G250" s="1">
        <v>36418</v>
      </c>
      <c r="J250" t="s">
        <v>1451</v>
      </c>
      <c r="K250" t="s">
        <v>263</v>
      </c>
      <c r="L250" t="s">
        <v>1452</v>
      </c>
      <c r="M250" t="s">
        <v>1453</v>
      </c>
      <c r="N250" t="s">
        <v>1454</v>
      </c>
      <c r="O250" t="s">
        <v>26</v>
      </c>
      <c r="P250">
        <v>15.99</v>
      </c>
      <c r="R250">
        <v>15.99</v>
      </c>
      <c r="S250">
        <v>23.99</v>
      </c>
      <c r="T250" t="s">
        <v>1455</v>
      </c>
    </row>
    <row r="251" spans="1:20">
      <c r="A251">
        <v>299566</v>
      </c>
      <c r="B251" t="s">
        <v>1456</v>
      </c>
      <c r="C251" t="str">
        <f>"9781895837391"</f>
        <v>9781895837391</v>
      </c>
      <c r="D251" t="str">
        <f>"9781897415672"</f>
        <v>9781897415672</v>
      </c>
      <c r="E251" t="s">
        <v>1119</v>
      </c>
      <c r="F251" t="s">
        <v>1120</v>
      </c>
      <c r="G251" s="1">
        <v>37302</v>
      </c>
      <c r="J251" t="s">
        <v>1457</v>
      </c>
      <c r="K251" t="s">
        <v>1458</v>
      </c>
      <c r="L251" t="s">
        <v>1459</v>
      </c>
      <c r="M251" t="s">
        <v>1460</v>
      </c>
      <c r="N251" t="s">
        <v>1461</v>
      </c>
      <c r="O251" t="s">
        <v>26</v>
      </c>
      <c r="P251">
        <v>14.99</v>
      </c>
      <c r="R251">
        <v>14.99</v>
      </c>
      <c r="S251">
        <v>22.49</v>
      </c>
      <c r="T251" t="s">
        <v>1462</v>
      </c>
    </row>
    <row r="252" spans="1:20">
      <c r="A252">
        <v>299567</v>
      </c>
      <c r="B252" t="s">
        <v>1463</v>
      </c>
      <c r="C252" t="str">
        <f>"9781895837865"</f>
        <v>9781895837865</v>
      </c>
      <c r="D252" t="str">
        <f>"9781897414712"</f>
        <v>9781897414712</v>
      </c>
      <c r="E252" t="s">
        <v>1119</v>
      </c>
      <c r="F252" t="s">
        <v>1120</v>
      </c>
      <c r="G252" s="1">
        <v>36996</v>
      </c>
      <c r="K252" t="s">
        <v>1464</v>
      </c>
      <c r="L252" t="s">
        <v>1465</v>
      </c>
      <c r="M252" t="s">
        <v>1466</v>
      </c>
      <c r="N252" t="s">
        <v>1467</v>
      </c>
      <c r="O252" t="s">
        <v>26</v>
      </c>
      <c r="P252">
        <v>9.9499999999999993</v>
      </c>
      <c r="R252">
        <v>9.9499999999999993</v>
      </c>
      <c r="S252">
        <v>14.93</v>
      </c>
      <c r="T252" t="s">
        <v>1468</v>
      </c>
    </row>
    <row r="253" spans="1:20">
      <c r="A253">
        <v>299568</v>
      </c>
      <c r="B253" t="s">
        <v>1469</v>
      </c>
      <c r="C253" t="str">
        <f>"9781894663816"</f>
        <v>9781894663816</v>
      </c>
      <c r="D253" t="str">
        <f>"9781897414583"</f>
        <v>9781897414583</v>
      </c>
      <c r="E253" t="s">
        <v>1119</v>
      </c>
      <c r="F253" t="s">
        <v>1120</v>
      </c>
      <c r="G253" s="1">
        <v>38443</v>
      </c>
      <c r="J253" t="s">
        <v>1470</v>
      </c>
      <c r="K253" t="s">
        <v>1471</v>
      </c>
      <c r="L253" t="s">
        <v>1472</v>
      </c>
      <c r="M253" t="s">
        <v>1473</v>
      </c>
      <c r="N253" t="s">
        <v>1474</v>
      </c>
      <c r="O253" t="s">
        <v>26</v>
      </c>
      <c r="P253">
        <v>16.95</v>
      </c>
      <c r="R253">
        <v>16.95</v>
      </c>
      <c r="S253">
        <v>25.43</v>
      </c>
      <c r="T253" t="s">
        <v>1475</v>
      </c>
    </row>
    <row r="254" spans="1:20">
      <c r="A254">
        <v>299569</v>
      </c>
      <c r="B254" t="s">
        <v>1476</v>
      </c>
      <c r="C254" t="str">
        <f>"9781895837643"</f>
        <v>9781895837643</v>
      </c>
      <c r="D254" t="str">
        <f>"9781897414521"</f>
        <v>9781897414521</v>
      </c>
      <c r="E254" t="s">
        <v>1119</v>
      </c>
      <c r="F254" t="s">
        <v>1120</v>
      </c>
      <c r="G254" s="1">
        <v>36418</v>
      </c>
      <c r="J254" t="s">
        <v>1477</v>
      </c>
      <c r="K254" t="s">
        <v>1464</v>
      </c>
      <c r="L254" t="s">
        <v>1478</v>
      </c>
      <c r="M254" t="s">
        <v>1479</v>
      </c>
      <c r="N254" t="s">
        <v>1480</v>
      </c>
      <c r="O254" t="s">
        <v>26</v>
      </c>
      <c r="P254">
        <v>9.99</v>
      </c>
      <c r="R254">
        <v>9.99</v>
      </c>
      <c r="S254">
        <v>14.99</v>
      </c>
      <c r="T254" t="s">
        <v>1481</v>
      </c>
    </row>
    <row r="255" spans="1:20">
      <c r="A255">
        <v>299570</v>
      </c>
      <c r="B255" t="s">
        <v>1482</v>
      </c>
      <c r="C255" t="str">
        <f>"9781895837087"</f>
        <v>9781895837087</v>
      </c>
      <c r="D255" t="str">
        <f>"9781897414873"</f>
        <v>9781897414873</v>
      </c>
      <c r="E255" t="s">
        <v>1119</v>
      </c>
      <c r="F255" t="s">
        <v>1120</v>
      </c>
      <c r="G255" s="1">
        <v>36996</v>
      </c>
      <c r="J255" t="s">
        <v>1483</v>
      </c>
      <c r="K255" t="s">
        <v>291</v>
      </c>
      <c r="L255" t="s">
        <v>1484</v>
      </c>
      <c r="M255" t="s">
        <v>1485</v>
      </c>
      <c r="N255" t="s">
        <v>1486</v>
      </c>
      <c r="O255" t="s">
        <v>26</v>
      </c>
      <c r="P255">
        <v>15.95</v>
      </c>
      <c r="R255">
        <v>15.95</v>
      </c>
      <c r="S255">
        <v>23.93</v>
      </c>
      <c r="T255" t="s">
        <v>1487</v>
      </c>
    </row>
    <row r="256" spans="1:20">
      <c r="A256">
        <v>299571</v>
      </c>
      <c r="B256" t="s">
        <v>1488</v>
      </c>
      <c r="C256" t="str">
        <f>"9781894663915"</f>
        <v>9781894663915</v>
      </c>
      <c r="D256" t="str">
        <f>"9781897414262"</f>
        <v>9781897414262</v>
      </c>
      <c r="E256" t="s">
        <v>1119</v>
      </c>
      <c r="F256" t="s">
        <v>1120</v>
      </c>
      <c r="G256" s="1">
        <v>38443</v>
      </c>
      <c r="J256" t="s">
        <v>1489</v>
      </c>
      <c r="K256" t="s">
        <v>1458</v>
      </c>
      <c r="L256" t="s">
        <v>1490</v>
      </c>
      <c r="M256" t="s">
        <v>1491</v>
      </c>
      <c r="N256" t="s">
        <v>1492</v>
      </c>
      <c r="O256" t="s">
        <v>26</v>
      </c>
      <c r="P256">
        <v>7.95</v>
      </c>
      <c r="R256">
        <v>7.95</v>
      </c>
      <c r="S256">
        <v>11.93</v>
      </c>
      <c r="T256" t="s">
        <v>1493</v>
      </c>
    </row>
    <row r="257" spans="1:20">
      <c r="A257">
        <v>299572</v>
      </c>
      <c r="B257" t="s">
        <v>1494</v>
      </c>
      <c r="C257" t="str">
        <f>"9781895837025"</f>
        <v>9781895837025</v>
      </c>
      <c r="D257" t="str">
        <f>"9781897414729"</f>
        <v>9781897414729</v>
      </c>
      <c r="E257" t="s">
        <v>1119</v>
      </c>
      <c r="F257" t="s">
        <v>1120</v>
      </c>
      <c r="G257" s="1">
        <v>37026</v>
      </c>
      <c r="J257" t="s">
        <v>1495</v>
      </c>
      <c r="K257" t="s">
        <v>1464</v>
      </c>
      <c r="L257" t="s">
        <v>1496</v>
      </c>
      <c r="M257" t="s">
        <v>1497</v>
      </c>
      <c r="N257" t="s">
        <v>1498</v>
      </c>
      <c r="O257" t="s">
        <v>26</v>
      </c>
      <c r="P257">
        <v>9.9499999999999993</v>
      </c>
      <c r="R257">
        <v>9.9499999999999993</v>
      </c>
      <c r="S257">
        <v>14.93</v>
      </c>
      <c r="T257" t="s">
        <v>1499</v>
      </c>
    </row>
    <row r="258" spans="1:20">
      <c r="A258">
        <v>299573</v>
      </c>
      <c r="B258" t="s">
        <v>1500</v>
      </c>
      <c r="C258" t="str">
        <f>"9781894663861"</f>
        <v>9781894663861</v>
      </c>
      <c r="D258" t="str">
        <f>"9781897414514"</f>
        <v>9781897414514</v>
      </c>
      <c r="E258" t="s">
        <v>1119</v>
      </c>
      <c r="F258" t="s">
        <v>1120</v>
      </c>
      <c r="G258" s="1">
        <v>38443</v>
      </c>
      <c r="J258" t="s">
        <v>1501</v>
      </c>
      <c r="K258" t="s">
        <v>1458</v>
      </c>
      <c r="L258" t="s">
        <v>1502</v>
      </c>
      <c r="M258" t="s">
        <v>1503</v>
      </c>
      <c r="N258" t="s">
        <v>1504</v>
      </c>
      <c r="O258" t="s">
        <v>26</v>
      </c>
      <c r="P258">
        <v>16.95</v>
      </c>
      <c r="R258">
        <v>16.95</v>
      </c>
      <c r="S258">
        <v>25.43</v>
      </c>
      <c r="T258" t="s">
        <v>1505</v>
      </c>
    </row>
    <row r="259" spans="1:20">
      <c r="A259">
        <v>299574</v>
      </c>
      <c r="B259" t="s">
        <v>1506</v>
      </c>
      <c r="C259" t="str">
        <f>"9781894663083"</f>
        <v>9781894663083</v>
      </c>
      <c r="D259" t="str">
        <f>"9781897414408"</f>
        <v>9781897414408</v>
      </c>
      <c r="E259" t="s">
        <v>1119</v>
      </c>
      <c r="F259" t="s">
        <v>1120</v>
      </c>
      <c r="G259" s="1">
        <v>37514</v>
      </c>
      <c r="H259">
        <v>2</v>
      </c>
      <c r="J259" t="s">
        <v>1507</v>
      </c>
      <c r="K259" t="s">
        <v>1458</v>
      </c>
      <c r="L259" t="s">
        <v>1508</v>
      </c>
      <c r="M259" t="s">
        <v>1509</v>
      </c>
      <c r="N259" t="s">
        <v>1510</v>
      </c>
      <c r="O259" t="s">
        <v>26</v>
      </c>
      <c r="P259">
        <v>15.95</v>
      </c>
      <c r="R259">
        <v>15.95</v>
      </c>
      <c r="S259">
        <v>23.93</v>
      </c>
      <c r="T259" t="s">
        <v>1511</v>
      </c>
    </row>
    <row r="260" spans="1:20">
      <c r="A260">
        <v>299575</v>
      </c>
      <c r="B260" t="s">
        <v>1512</v>
      </c>
      <c r="C260" t="str">
        <f>"9781894663120"</f>
        <v>9781894663120</v>
      </c>
      <c r="D260" t="str">
        <f>"9781897414798"</f>
        <v>9781897414798</v>
      </c>
      <c r="E260" t="s">
        <v>1119</v>
      </c>
      <c r="F260" t="s">
        <v>1120</v>
      </c>
      <c r="G260" s="1">
        <v>37422</v>
      </c>
      <c r="J260" t="s">
        <v>1513</v>
      </c>
      <c r="K260" t="s">
        <v>1464</v>
      </c>
      <c r="L260" t="s">
        <v>1514</v>
      </c>
      <c r="M260" t="s">
        <v>1466</v>
      </c>
      <c r="N260" t="s">
        <v>1515</v>
      </c>
      <c r="O260" t="s">
        <v>26</v>
      </c>
      <c r="P260">
        <v>7.95</v>
      </c>
      <c r="R260">
        <v>7.95</v>
      </c>
      <c r="S260">
        <v>11.93</v>
      </c>
      <c r="T260" t="s">
        <v>1516</v>
      </c>
    </row>
    <row r="261" spans="1:20">
      <c r="A261">
        <v>299576</v>
      </c>
      <c r="B261" t="s">
        <v>1517</v>
      </c>
      <c r="C261" t="str">
        <f>"9781895837797"</f>
        <v>9781895837797</v>
      </c>
      <c r="D261" t="str">
        <f>"9781897414019"</f>
        <v>9781897414019</v>
      </c>
      <c r="E261" t="s">
        <v>1119</v>
      </c>
      <c r="F261" t="s">
        <v>1120</v>
      </c>
      <c r="G261" s="1">
        <v>37057</v>
      </c>
      <c r="J261" t="s">
        <v>1518</v>
      </c>
      <c r="K261" t="s">
        <v>1458</v>
      </c>
      <c r="L261" t="s">
        <v>1519</v>
      </c>
      <c r="M261" t="s">
        <v>1520</v>
      </c>
      <c r="N261" t="s">
        <v>1521</v>
      </c>
      <c r="O261" t="s">
        <v>26</v>
      </c>
      <c r="P261">
        <v>15.95</v>
      </c>
      <c r="R261">
        <v>15.95</v>
      </c>
      <c r="S261">
        <v>23.93</v>
      </c>
      <c r="T261" t="s">
        <v>1522</v>
      </c>
    </row>
    <row r="262" spans="1:20">
      <c r="A262">
        <v>299577</v>
      </c>
      <c r="B262" t="s">
        <v>1523</v>
      </c>
      <c r="C262" t="str">
        <f>"9781895837674"</f>
        <v>9781895837674</v>
      </c>
      <c r="D262" t="str">
        <f>"9781897414743"</f>
        <v>9781897414743</v>
      </c>
      <c r="E262" t="s">
        <v>1119</v>
      </c>
      <c r="F262" t="s">
        <v>1120</v>
      </c>
      <c r="G262" s="1">
        <v>37302</v>
      </c>
      <c r="J262" t="s">
        <v>1524</v>
      </c>
      <c r="K262" t="s">
        <v>1464</v>
      </c>
      <c r="L262" t="s">
        <v>1525</v>
      </c>
      <c r="M262" t="s">
        <v>1466</v>
      </c>
      <c r="N262" t="s">
        <v>1526</v>
      </c>
      <c r="O262" t="s">
        <v>26</v>
      </c>
      <c r="P262">
        <v>9.99</v>
      </c>
      <c r="R262">
        <v>9.99</v>
      </c>
      <c r="S262">
        <v>14.99</v>
      </c>
      <c r="T262" t="s">
        <v>1527</v>
      </c>
    </row>
    <row r="263" spans="1:20">
      <c r="A263">
        <v>299578</v>
      </c>
      <c r="B263" t="s">
        <v>1528</v>
      </c>
      <c r="C263" t="str">
        <f>"9781895837773"</f>
        <v>9781895837773</v>
      </c>
      <c r="D263" t="str">
        <f>"9781897414972"</f>
        <v>9781897414972</v>
      </c>
      <c r="E263" t="s">
        <v>1119</v>
      </c>
      <c r="F263" t="s">
        <v>1120</v>
      </c>
      <c r="G263" s="1">
        <v>36996</v>
      </c>
      <c r="J263" t="s">
        <v>1529</v>
      </c>
      <c r="K263" t="s">
        <v>1530</v>
      </c>
      <c r="L263" t="s">
        <v>1531</v>
      </c>
      <c r="M263" t="s">
        <v>1532</v>
      </c>
      <c r="N263" t="s">
        <v>1533</v>
      </c>
      <c r="O263" t="s">
        <v>26</v>
      </c>
      <c r="P263">
        <v>15.95</v>
      </c>
      <c r="R263">
        <v>15.95</v>
      </c>
      <c r="S263">
        <v>23.93</v>
      </c>
      <c r="T263" t="s">
        <v>1534</v>
      </c>
    </row>
    <row r="264" spans="1:20">
      <c r="A264">
        <v>299579</v>
      </c>
      <c r="B264" t="s">
        <v>1535</v>
      </c>
      <c r="C264" t="str">
        <f>"9781894663786"</f>
        <v>9781894663786</v>
      </c>
      <c r="D264" t="str">
        <f>"9781897415702"</f>
        <v>9781897415702</v>
      </c>
      <c r="E264" t="s">
        <v>1119</v>
      </c>
      <c r="F264" t="s">
        <v>1120</v>
      </c>
      <c r="G264" s="1">
        <v>38261</v>
      </c>
      <c r="J264" t="s">
        <v>1536</v>
      </c>
      <c r="K264" t="s">
        <v>1537</v>
      </c>
      <c r="L264" t="s">
        <v>1538</v>
      </c>
      <c r="M264" t="s">
        <v>1539</v>
      </c>
      <c r="N264" t="s">
        <v>1540</v>
      </c>
      <c r="O264" t="s">
        <v>26</v>
      </c>
      <c r="P264">
        <v>16.95</v>
      </c>
      <c r="R264">
        <v>16.95</v>
      </c>
      <c r="S264">
        <v>25.43</v>
      </c>
      <c r="T264" t="s">
        <v>1541</v>
      </c>
    </row>
    <row r="265" spans="1:20">
      <c r="A265">
        <v>299580</v>
      </c>
      <c r="B265" t="s">
        <v>1542</v>
      </c>
      <c r="C265" t="str">
        <f>"9781895837360"</f>
        <v>9781895837360</v>
      </c>
      <c r="D265" t="str">
        <f>"9781897414668"</f>
        <v>9781897414668</v>
      </c>
      <c r="E265" t="s">
        <v>1119</v>
      </c>
      <c r="F265" t="s">
        <v>1120</v>
      </c>
      <c r="G265" s="1">
        <v>35139</v>
      </c>
      <c r="J265" t="s">
        <v>1543</v>
      </c>
      <c r="K265" t="s">
        <v>1464</v>
      </c>
      <c r="L265" t="s">
        <v>1544</v>
      </c>
      <c r="M265" t="s">
        <v>1545</v>
      </c>
      <c r="N265" t="s">
        <v>1546</v>
      </c>
      <c r="O265" t="s">
        <v>26</v>
      </c>
      <c r="P265">
        <v>9.9499999999999993</v>
      </c>
      <c r="R265">
        <v>9.9499999999999993</v>
      </c>
      <c r="S265">
        <v>14.93</v>
      </c>
      <c r="T265" t="s">
        <v>1547</v>
      </c>
    </row>
    <row r="266" spans="1:20">
      <c r="A266">
        <v>299581</v>
      </c>
      <c r="B266" t="s">
        <v>1548</v>
      </c>
      <c r="C266" t="str">
        <f>"9781894663403"</f>
        <v>9781894663403</v>
      </c>
      <c r="D266" t="str">
        <f>"9781897414477"</f>
        <v>9781897414477</v>
      </c>
      <c r="E266" t="s">
        <v>1119</v>
      </c>
      <c r="F266" t="s">
        <v>1120</v>
      </c>
      <c r="G266" s="1">
        <v>37695</v>
      </c>
      <c r="H266">
        <v>2</v>
      </c>
      <c r="J266" t="s">
        <v>1549</v>
      </c>
      <c r="K266" t="s">
        <v>1550</v>
      </c>
      <c r="L266" t="s">
        <v>1551</v>
      </c>
      <c r="M266" t="s">
        <v>1532</v>
      </c>
      <c r="N266" t="s">
        <v>1552</v>
      </c>
      <c r="O266" t="s">
        <v>26</v>
      </c>
      <c r="P266">
        <v>16.95</v>
      </c>
      <c r="R266">
        <v>16.95</v>
      </c>
      <c r="S266">
        <v>25.43</v>
      </c>
      <c r="T266" t="s">
        <v>1553</v>
      </c>
    </row>
    <row r="267" spans="1:20">
      <c r="A267">
        <v>299582</v>
      </c>
      <c r="B267" t="s">
        <v>1554</v>
      </c>
      <c r="C267" t="str">
        <f>"9781894663311"</f>
        <v>9781894663311</v>
      </c>
      <c r="D267" t="str">
        <f>"9781897414965"</f>
        <v>9781897414965</v>
      </c>
      <c r="E267" t="s">
        <v>1119</v>
      </c>
      <c r="F267" t="s">
        <v>1120</v>
      </c>
      <c r="G267" s="1">
        <v>37544</v>
      </c>
      <c r="J267" t="s">
        <v>1555</v>
      </c>
      <c r="K267" t="s">
        <v>263</v>
      </c>
      <c r="L267" t="s">
        <v>1556</v>
      </c>
      <c r="M267" t="s">
        <v>1557</v>
      </c>
      <c r="N267" t="s">
        <v>1558</v>
      </c>
      <c r="O267" t="s">
        <v>26</v>
      </c>
      <c r="P267">
        <v>15.95</v>
      </c>
      <c r="R267">
        <v>15.95</v>
      </c>
      <c r="S267">
        <v>23.93</v>
      </c>
      <c r="T267" t="s">
        <v>1559</v>
      </c>
    </row>
    <row r="268" spans="1:20">
      <c r="A268">
        <v>299583</v>
      </c>
      <c r="B268" t="s">
        <v>1560</v>
      </c>
      <c r="C268" t="str">
        <f>"9781894663397"</f>
        <v>9781894663397</v>
      </c>
      <c r="D268" t="str">
        <f>"9781897414422"</f>
        <v>9781897414422</v>
      </c>
      <c r="E268" t="s">
        <v>1119</v>
      </c>
      <c r="F268" t="s">
        <v>1120</v>
      </c>
      <c r="G268" s="1">
        <v>37695</v>
      </c>
      <c r="J268" t="s">
        <v>1543</v>
      </c>
      <c r="K268" t="s">
        <v>1458</v>
      </c>
      <c r="L268" t="s">
        <v>1561</v>
      </c>
      <c r="M268" t="s">
        <v>1460</v>
      </c>
      <c r="N268" t="s">
        <v>1562</v>
      </c>
      <c r="O268" t="s">
        <v>26</v>
      </c>
      <c r="P268">
        <v>16.95</v>
      </c>
      <c r="R268">
        <v>16.95</v>
      </c>
      <c r="S268">
        <v>25.43</v>
      </c>
      <c r="T268" t="s">
        <v>1563</v>
      </c>
    </row>
    <row r="269" spans="1:20">
      <c r="A269">
        <v>299584</v>
      </c>
      <c r="B269" t="s">
        <v>1564</v>
      </c>
      <c r="C269" t="str">
        <f>"9781895837278"</f>
        <v>9781895837278</v>
      </c>
      <c r="D269" t="str">
        <f>"9781897414347"</f>
        <v>9781897414347</v>
      </c>
      <c r="E269" t="s">
        <v>1119</v>
      </c>
      <c r="F269" t="s">
        <v>1120</v>
      </c>
      <c r="G269" s="1">
        <v>35869</v>
      </c>
      <c r="J269" t="s">
        <v>1565</v>
      </c>
      <c r="K269" t="s">
        <v>1458</v>
      </c>
      <c r="L269" t="s">
        <v>1566</v>
      </c>
      <c r="M269" t="s">
        <v>1567</v>
      </c>
      <c r="N269" t="s">
        <v>1568</v>
      </c>
      <c r="O269" t="s">
        <v>26</v>
      </c>
      <c r="P269">
        <v>14.99</v>
      </c>
      <c r="R269">
        <v>14.99</v>
      </c>
      <c r="S269">
        <v>22.49</v>
      </c>
      <c r="T269" t="s">
        <v>1569</v>
      </c>
    </row>
    <row r="270" spans="1:20">
      <c r="A270">
        <v>299585</v>
      </c>
      <c r="B270" t="s">
        <v>1570</v>
      </c>
      <c r="C270" t="str">
        <f>"9781895837384"</f>
        <v>9781895837384</v>
      </c>
      <c r="D270" t="str">
        <f>"9781897414095"</f>
        <v>9781897414095</v>
      </c>
      <c r="E270" t="s">
        <v>1119</v>
      </c>
      <c r="F270" t="s">
        <v>1120</v>
      </c>
      <c r="G270" s="1">
        <v>35139</v>
      </c>
      <c r="J270" t="s">
        <v>1571</v>
      </c>
      <c r="K270" t="s">
        <v>1464</v>
      </c>
      <c r="L270" t="s">
        <v>1572</v>
      </c>
      <c r="M270" t="s">
        <v>1573</v>
      </c>
      <c r="N270" t="s">
        <v>1574</v>
      </c>
      <c r="O270" t="s">
        <v>26</v>
      </c>
      <c r="P270">
        <v>14.99</v>
      </c>
      <c r="R270">
        <v>14.99</v>
      </c>
      <c r="S270">
        <v>22.49</v>
      </c>
      <c r="T270" t="s">
        <v>1575</v>
      </c>
    </row>
    <row r="271" spans="1:20">
      <c r="A271">
        <v>299586</v>
      </c>
      <c r="B271" t="s">
        <v>1576</v>
      </c>
      <c r="C271" t="str">
        <f>"9781894663700"</f>
        <v>9781894663700</v>
      </c>
      <c r="D271" t="str">
        <f>"9781897414507"</f>
        <v>9781897414507</v>
      </c>
      <c r="E271" t="s">
        <v>1119</v>
      </c>
      <c r="F271" t="s">
        <v>1120</v>
      </c>
      <c r="G271" s="1">
        <v>38261</v>
      </c>
      <c r="J271" t="s">
        <v>1577</v>
      </c>
      <c r="K271" t="s">
        <v>1458</v>
      </c>
      <c r="L271" t="s">
        <v>1578</v>
      </c>
      <c r="M271" t="s">
        <v>1460</v>
      </c>
      <c r="N271" t="s">
        <v>1579</v>
      </c>
      <c r="O271" t="s">
        <v>26</v>
      </c>
      <c r="P271">
        <v>16.95</v>
      </c>
      <c r="R271">
        <v>16.95</v>
      </c>
      <c r="S271">
        <v>25.43</v>
      </c>
      <c r="T271" t="s">
        <v>1580</v>
      </c>
    </row>
    <row r="272" spans="1:20">
      <c r="A272">
        <v>299587</v>
      </c>
      <c r="B272" t="s">
        <v>1581</v>
      </c>
      <c r="C272" t="str">
        <f>"9781894663151"</f>
        <v>9781894663151</v>
      </c>
      <c r="D272" t="str">
        <f>"9781897415924"</f>
        <v>9781897415924</v>
      </c>
      <c r="E272" t="s">
        <v>1119</v>
      </c>
      <c r="F272" t="s">
        <v>1120</v>
      </c>
      <c r="G272" s="1">
        <v>37361</v>
      </c>
      <c r="J272" t="s">
        <v>1582</v>
      </c>
      <c r="K272" t="s">
        <v>1458</v>
      </c>
      <c r="L272" t="s">
        <v>1583</v>
      </c>
      <c r="M272" t="s">
        <v>1584</v>
      </c>
      <c r="N272" t="s">
        <v>1585</v>
      </c>
      <c r="O272" t="s">
        <v>26</v>
      </c>
      <c r="P272">
        <v>15.95</v>
      </c>
      <c r="R272">
        <v>15.95</v>
      </c>
      <c r="S272">
        <v>23.93</v>
      </c>
      <c r="T272" t="s">
        <v>1586</v>
      </c>
    </row>
    <row r="273" spans="1:20">
      <c r="A273">
        <v>299588</v>
      </c>
      <c r="B273" t="s">
        <v>1587</v>
      </c>
      <c r="C273" t="str">
        <f>"9781895837223"</f>
        <v>9781895837223</v>
      </c>
      <c r="D273" t="str">
        <f>"9781897415696"</f>
        <v>9781897415696</v>
      </c>
      <c r="E273" t="s">
        <v>1119</v>
      </c>
      <c r="F273" t="s">
        <v>1120</v>
      </c>
      <c r="G273" s="1">
        <v>37302</v>
      </c>
      <c r="J273" t="s">
        <v>1588</v>
      </c>
      <c r="K273" t="s">
        <v>1458</v>
      </c>
      <c r="L273" t="s">
        <v>1589</v>
      </c>
      <c r="M273" t="s">
        <v>1590</v>
      </c>
      <c r="N273" t="s">
        <v>1591</v>
      </c>
      <c r="O273" t="s">
        <v>26</v>
      </c>
      <c r="P273">
        <v>15.99</v>
      </c>
      <c r="R273">
        <v>15.99</v>
      </c>
      <c r="S273">
        <v>23.99</v>
      </c>
      <c r="T273" t="s">
        <v>1592</v>
      </c>
    </row>
    <row r="274" spans="1:20">
      <c r="A274">
        <v>299589</v>
      </c>
      <c r="B274" t="s">
        <v>1593</v>
      </c>
      <c r="C274" t="str">
        <f>"9781894663830"</f>
        <v>9781894663830</v>
      </c>
      <c r="D274" t="str">
        <f>"9781897414170"</f>
        <v>9781897414170</v>
      </c>
      <c r="E274" t="s">
        <v>1119</v>
      </c>
      <c r="F274" t="s">
        <v>1120</v>
      </c>
      <c r="G274" s="1">
        <v>38443</v>
      </c>
      <c r="J274" t="s">
        <v>1594</v>
      </c>
      <c r="K274" t="s">
        <v>1458</v>
      </c>
      <c r="L274" t="s">
        <v>1595</v>
      </c>
      <c r="M274" t="s">
        <v>1596</v>
      </c>
      <c r="N274" t="s">
        <v>1597</v>
      </c>
      <c r="O274" t="s">
        <v>26</v>
      </c>
      <c r="P274">
        <v>16.95</v>
      </c>
      <c r="R274">
        <v>16.95</v>
      </c>
      <c r="S274">
        <v>25.43</v>
      </c>
      <c r="T274" t="s">
        <v>1598</v>
      </c>
    </row>
    <row r="275" spans="1:20">
      <c r="A275">
        <v>299590</v>
      </c>
      <c r="B275" t="s">
        <v>1599</v>
      </c>
      <c r="C275" t="str">
        <f>"9781894663359"</f>
        <v>9781894663359</v>
      </c>
      <c r="D275" t="str">
        <f>"9781897415795"</f>
        <v>9781897415795</v>
      </c>
      <c r="E275" t="s">
        <v>1119</v>
      </c>
      <c r="F275" t="s">
        <v>1120</v>
      </c>
      <c r="G275" s="1">
        <v>37544</v>
      </c>
      <c r="J275" t="s">
        <v>1600</v>
      </c>
      <c r="K275" t="s">
        <v>278</v>
      </c>
      <c r="L275" t="s">
        <v>1601</v>
      </c>
      <c r="M275" t="s">
        <v>1602</v>
      </c>
      <c r="N275" t="s">
        <v>1603</v>
      </c>
      <c r="O275" t="s">
        <v>26</v>
      </c>
      <c r="P275">
        <v>15.95</v>
      </c>
      <c r="R275">
        <v>15.95</v>
      </c>
      <c r="S275">
        <v>23.93</v>
      </c>
      <c r="T275" t="s">
        <v>1604</v>
      </c>
    </row>
    <row r="276" spans="1:20">
      <c r="A276">
        <v>299591</v>
      </c>
      <c r="B276" t="s">
        <v>1605</v>
      </c>
      <c r="C276" t="str">
        <f>"9781895837698"</f>
        <v>9781895837698</v>
      </c>
      <c r="D276" t="str">
        <f>"9781897415689"</f>
        <v>9781897415689</v>
      </c>
      <c r="E276" t="s">
        <v>1119</v>
      </c>
      <c r="F276" t="s">
        <v>1120</v>
      </c>
      <c r="G276" s="1">
        <v>37302</v>
      </c>
      <c r="J276" t="s">
        <v>1606</v>
      </c>
      <c r="K276" t="s">
        <v>1471</v>
      </c>
      <c r="L276" t="s">
        <v>1607</v>
      </c>
      <c r="M276" t="s">
        <v>1608</v>
      </c>
      <c r="N276" t="s">
        <v>1609</v>
      </c>
      <c r="O276" t="s">
        <v>26</v>
      </c>
      <c r="P276">
        <v>15.99</v>
      </c>
      <c r="R276">
        <v>15.99</v>
      </c>
      <c r="S276">
        <v>23.99</v>
      </c>
      <c r="T276" t="s">
        <v>1610</v>
      </c>
    </row>
    <row r="277" spans="1:20">
      <c r="A277">
        <v>299593</v>
      </c>
      <c r="B277" t="s">
        <v>1611</v>
      </c>
      <c r="C277" t="str">
        <f>"9781894663724"</f>
        <v>9781894663724</v>
      </c>
      <c r="D277" t="str">
        <f>"9781897414620"</f>
        <v>9781897414620</v>
      </c>
      <c r="E277" t="s">
        <v>1119</v>
      </c>
      <c r="F277" t="s">
        <v>1120</v>
      </c>
      <c r="G277" s="1">
        <v>38261</v>
      </c>
      <c r="J277" t="s">
        <v>1612</v>
      </c>
      <c r="K277" t="s">
        <v>1613</v>
      </c>
      <c r="L277" t="s">
        <v>1614</v>
      </c>
      <c r="M277" t="s">
        <v>1615</v>
      </c>
      <c r="N277" t="s">
        <v>1616</v>
      </c>
      <c r="O277" t="s">
        <v>26</v>
      </c>
      <c r="P277">
        <v>7.95</v>
      </c>
      <c r="R277">
        <v>7.95</v>
      </c>
      <c r="S277">
        <v>11.93</v>
      </c>
      <c r="T277" t="s">
        <v>1617</v>
      </c>
    </row>
    <row r="278" spans="1:20">
      <c r="A278">
        <v>299594</v>
      </c>
      <c r="B278" t="s">
        <v>1618</v>
      </c>
      <c r="C278" t="str">
        <f>"9781894663717"</f>
        <v>9781894663717</v>
      </c>
      <c r="D278" t="str">
        <f>"9781897414613"</f>
        <v>9781897414613</v>
      </c>
      <c r="E278" t="s">
        <v>1119</v>
      </c>
      <c r="F278" t="s">
        <v>1120</v>
      </c>
      <c r="G278" s="1">
        <v>38261</v>
      </c>
      <c r="J278" t="s">
        <v>1612</v>
      </c>
      <c r="K278" t="s">
        <v>1619</v>
      </c>
      <c r="L278" t="s">
        <v>1620</v>
      </c>
      <c r="M278">
        <v>332.4</v>
      </c>
      <c r="N278" t="s">
        <v>1621</v>
      </c>
      <c r="O278" t="s">
        <v>26</v>
      </c>
      <c r="P278">
        <v>7.95</v>
      </c>
      <c r="R278">
        <v>7.95</v>
      </c>
      <c r="S278">
        <v>11.93</v>
      </c>
      <c r="T278" t="s">
        <v>1622</v>
      </c>
    </row>
    <row r="279" spans="1:20">
      <c r="A279">
        <v>299595</v>
      </c>
      <c r="B279" t="s">
        <v>1623</v>
      </c>
      <c r="C279" t="str">
        <f>"9781894663663"</f>
        <v>9781894663663</v>
      </c>
      <c r="D279" t="str">
        <f>"9781897415931"</f>
        <v>9781897415931</v>
      </c>
      <c r="E279" t="s">
        <v>1119</v>
      </c>
      <c r="F279" t="s">
        <v>1120</v>
      </c>
      <c r="G279" s="1">
        <v>38261</v>
      </c>
      <c r="H279">
        <v>2</v>
      </c>
      <c r="J279" t="s">
        <v>1624</v>
      </c>
      <c r="K279" t="s">
        <v>1625</v>
      </c>
      <c r="L279" t="s">
        <v>1626</v>
      </c>
      <c r="M279" t="s">
        <v>1627</v>
      </c>
      <c r="N279" t="s">
        <v>1628</v>
      </c>
      <c r="O279" t="s">
        <v>26</v>
      </c>
      <c r="P279">
        <v>16.95</v>
      </c>
      <c r="R279">
        <v>16.95</v>
      </c>
      <c r="S279">
        <v>25.43</v>
      </c>
      <c r="T279" t="s">
        <v>1629</v>
      </c>
    </row>
    <row r="280" spans="1:20">
      <c r="A280">
        <v>299596</v>
      </c>
      <c r="B280" t="s">
        <v>1630</v>
      </c>
      <c r="C280" t="str">
        <f>"9781895837216"</f>
        <v>9781895837216</v>
      </c>
      <c r="D280" t="str">
        <f>"9781897414682"</f>
        <v>9781897414682</v>
      </c>
      <c r="E280" t="s">
        <v>1119</v>
      </c>
      <c r="F280" t="s">
        <v>1120</v>
      </c>
      <c r="G280" s="1">
        <v>35869</v>
      </c>
      <c r="J280" t="s">
        <v>1543</v>
      </c>
      <c r="K280" t="s">
        <v>1464</v>
      </c>
      <c r="L280" t="s">
        <v>1631</v>
      </c>
      <c r="M280" t="s">
        <v>1497</v>
      </c>
      <c r="N280" t="s">
        <v>1546</v>
      </c>
      <c r="O280" t="s">
        <v>26</v>
      </c>
      <c r="P280">
        <v>9.9499999999999993</v>
      </c>
      <c r="R280">
        <v>9.9499999999999993</v>
      </c>
      <c r="S280">
        <v>14.93</v>
      </c>
      <c r="T280" t="s">
        <v>1632</v>
      </c>
    </row>
    <row r="281" spans="1:20">
      <c r="A281">
        <v>299598</v>
      </c>
      <c r="B281" t="s">
        <v>1633</v>
      </c>
      <c r="C281" t="str">
        <f>"9781895837261"</f>
        <v>9781895837261</v>
      </c>
      <c r="D281" t="str">
        <f>"9781897414071"</f>
        <v>9781897414071</v>
      </c>
      <c r="E281" t="s">
        <v>1119</v>
      </c>
      <c r="F281" t="s">
        <v>1120</v>
      </c>
      <c r="G281" s="1">
        <v>34865</v>
      </c>
      <c r="J281" t="s">
        <v>1634</v>
      </c>
      <c r="K281" t="s">
        <v>1458</v>
      </c>
      <c r="L281" t="s">
        <v>1635</v>
      </c>
      <c r="M281" t="s">
        <v>1636</v>
      </c>
      <c r="N281" t="s">
        <v>1637</v>
      </c>
      <c r="O281" t="s">
        <v>26</v>
      </c>
      <c r="P281">
        <v>9.99</v>
      </c>
      <c r="R281">
        <v>9.99</v>
      </c>
      <c r="S281">
        <v>14.99</v>
      </c>
      <c r="T281" t="s">
        <v>1638</v>
      </c>
    </row>
    <row r="282" spans="1:20">
      <c r="A282">
        <v>299599</v>
      </c>
      <c r="B282" t="s">
        <v>1639</v>
      </c>
      <c r="C282" t="str">
        <f>"9781894663960"</f>
        <v>9781894663960</v>
      </c>
      <c r="D282" t="str">
        <f>"9781897414606"</f>
        <v>9781897414606</v>
      </c>
      <c r="E282" t="s">
        <v>1119</v>
      </c>
      <c r="F282" t="s">
        <v>1120</v>
      </c>
      <c r="G282" s="1">
        <v>38596</v>
      </c>
      <c r="J282" t="s">
        <v>1640</v>
      </c>
      <c r="K282" t="s">
        <v>1471</v>
      </c>
      <c r="L282" t="s">
        <v>1641</v>
      </c>
      <c r="M282">
        <v>781.64599999999996</v>
      </c>
      <c r="N282" t="s">
        <v>1642</v>
      </c>
      <c r="O282" t="s">
        <v>26</v>
      </c>
      <c r="P282">
        <v>16.95</v>
      </c>
      <c r="R282">
        <v>16.95</v>
      </c>
      <c r="S282">
        <v>25.43</v>
      </c>
      <c r="T282" t="s">
        <v>1643</v>
      </c>
    </row>
    <row r="283" spans="1:20">
      <c r="A283">
        <v>299600</v>
      </c>
      <c r="B283" t="s">
        <v>1644</v>
      </c>
      <c r="C283" t="str">
        <f>"9781895837407"</f>
        <v>9781895837407</v>
      </c>
      <c r="D283" t="str">
        <f>"9781897415962"</f>
        <v>9781897415962</v>
      </c>
      <c r="E283" t="s">
        <v>1119</v>
      </c>
      <c r="F283" t="s">
        <v>1120</v>
      </c>
      <c r="G283" s="1">
        <v>35476</v>
      </c>
      <c r="J283" t="s">
        <v>1645</v>
      </c>
      <c r="K283" t="s">
        <v>1458</v>
      </c>
      <c r="L283" t="s">
        <v>1646</v>
      </c>
      <c r="M283" t="s">
        <v>1460</v>
      </c>
      <c r="N283" t="s">
        <v>1461</v>
      </c>
      <c r="O283" t="s">
        <v>26</v>
      </c>
      <c r="P283">
        <v>14.99</v>
      </c>
      <c r="R283">
        <v>14.99</v>
      </c>
      <c r="S283">
        <v>22.49</v>
      </c>
      <c r="T283" t="s">
        <v>1647</v>
      </c>
    </row>
    <row r="284" spans="1:20">
      <c r="A284">
        <v>299601</v>
      </c>
      <c r="B284" t="s">
        <v>1648</v>
      </c>
      <c r="C284" t="str">
        <f>"9781894663182"</f>
        <v>9781894663182</v>
      </c>
      <c r="D284" t="str">
        <f>"9781897414774"</f>
        <v>9781897414774</v>
      </c>
      <c r="E284" t="s">
        <v>1119</v>
      </c>
      <c r="F284" t="s">
        <v>1120</v>
      </c>
      <c r="G284" s="1">
        <v>37422</v>
      </c>
      <c r="J284" t="s">
        <v>1649</v>
      </c>
      <c r="K284" t="s">
        <v>1464</v>
      </c>
      <c r="L284" t="s">
        <v>1650</v>
      </c>
      <c r="M284" t="s">
        <v>1497</v>
      </c>
      <c r="N284" t="s">
        <v>1651</v>
      </c>
      <c r="O284" t="s">
        <v>26</v>
      </c>
      <c r="P284">
        <v>15.95</v>
      </c>
      <c r="R284">
        <v>15.95</v>
      </c>
      <c r="S284">
        <v>23.93</v>
      </c>
      <c r="T284" t="s">
        <v>1652</v>
      </c>
    </row>
    <row r="285" spans="1:20">
      <c r="A285">
        <v>299602</v>
      </c>
      <c r="B285" t="s">
        <v>1653</v>
      </c>
      <c r="C285" t="str">
        <f>"9781894663236"</f>
        <v>9781894663236</v>
      </c>
      <c r="D285" t="str">
        <f>"9781897415955"</f>
        <v>9781897415955</v>
      </c>
      <c r="E285" t="s">
        <v>1119</v>
      </c>
      <c r="F285" t="s">
        <v>1120</v>
      </c>
      <c r="G285" s="1">
        <v>37695</v>
      </c>
      <c r="J285" t="s">
        <v>1654</v>
      </c>
      <c r="K285" t="s">
        <v>1127</v>
      </c>
      <c r="L285" t="s">
        <v>1655</v>
      </c>
      <c r="M285" t="s">
        <v>1656</v>
      </c>
      <c r="N285" t="s">
        <v>1657</v>
      </c>
      <c r="O285" t="s">
        <v>26</v>
      </c>
      <c r="P285">
        <v>15.95</v>
      </c>
      <c r="R285">
        <v>15.95</v>
      </c>
      <c r="S285">
        <v>23.93</v>
      </c>
      <c r="T285" t="s">
        <v>1658</v>
      </c>
    </row>
    <row r="286" spans="1:20">
      <c r="A286">
        <v>299604</v>
      </c>
      <c r="B286" t="s">
        <v>1659</v>
      </c>
      <c r="C286" t="str">
        <f>"9781894663106"</f>
        <v>9781894663106</v>
      </c>
      <c r="D286" t="str">
        <f>"9781897415726"</f>
        <v>9781897415726</v>
      </c>
      <c r="E286" t="s">
        <v>1119</v>
      </c>
      <c r="F286" t="s">
        <v>1120</v>
      </c>
      <c r="G286" s="1">
        <v>37330</v>
      </c>
      <c r="J286" t="s">
        <v>1660</v>
      </c>
      <c r="K286" t="s">
        <v>263</v>
      </c>
      <c r="L286" t="s">
        <v>1661</v>
      </c>
      <c r="M286" t="s">
        <v>1662</v>
      </c>
      <c r="N286" t="s">
        <v>1663</v>
      </c>
      <c r="O286" t="s">
        <v>26</v>
      </c>
      <c r="P286">
        <v>15.99</v>
      </c>
      <c r="R286">
        <v>15.99</v>
      </c>
      <c r="S286">
        <v>23.99</v>
      </c>
      <c r="T286" t="s">
        <v>1664</v>
      </c>
    </row>
    <row r="287" spans="1:20">
      <c r="A287">
        <v>299605</v>
      </c>
      <c r="B287" t="s">
        <v>1665</v>
      </c>
      <c r="C287" t="str">
        <f>"9781897178270"</f>
        <v>9781897178270</v>
      </c>
      <c r="D287" t="str">
        <f>"9781897414859"</f>
        <v>9781897414859</v>
      </c>
      <c r="E287" t="s">
        <v>1119</v>
      </c>
      <c r="F287" t="s">
        <v>1120</v>
      </c>
      <c r="G287" s="1">
        <v>38961</v>
      </c>
      <c r="J287" t="s">
        <v>1666</v>
      </c>
      <c r="K287" t="s">
        <v>1464</v>
      </c>
      <c r="L287" t="s">
        <v>1667</v>
      </c>
      <c r="M287" t="s">
        <v>1668</v>
      </c>
      <c r="N287" t="s">
        <v>1669</v>
      </c>
      <c r="O287" t="s">
        <v>26</v>
      </c>
      <c r="P287">
        <v>9.9499999999999993</v>
      </c>
      <c r="R287">
        <v>9.9499999999999993</v>
      </c>
      <c r="S287">
        <v>14.93</v>
      </c>
      <c r="T287" t="s">
        <v>1670</v>
      </c>
    </row>
    <row r="288" spans="1:20">
      <c r="A288">
        <v>299606</v>
      </c>
      <c r="B288" t="s">
        <v>1671</v>
      </c>
      <c r="C288" t="str">
        <f>"9781895837131"</f>
        <v>9781895837131</v>
      </c>
      <c r="D288" t="str">
        <f>"9781897414736"</f>
        <v>9781897414736</v>
      </c>
      <c r="E288" t="s">
        <v>1119</v>
      </c>
      <c r="F288" t="s">
        <v>1120</v>
      </c>
      <c r="G288" s="1">
        <v>37302</v>
      </c>
      <c r="J288" t="s">
        <v>1672</v>
      </c>
      <c r="K288" t="s">
        <v>1464</v>
      </c>
      <c r="L288" t="s">
        <v>1673</v>
      </c>
      <c r="M288" t="s">
        <v>1497</v>
      </c>
      <c r="N288" t="s">
        <v>1546</v>
      </c>
      <c r="O288" t="s">
        <v>26</v>
      </c>
      <c r="P288">
        <v>9.99</v>
      </c>
      <c r="R288">
        <v>9.99</v>
      </c>
      <c r="S288">
        <v>14.99</v>
      </c>
      <c r="T288" t="s">
        <v>1674</v>
      </c>
    </row>
    <row r="289" spans="1:20">
      <c r="A289">
        <v>299607</v>
      </c>
      <c r="B289" t="s">
        <v>1675</v>
      </c>
      <c r="C289" t="str">
        <f>"9781894663694"</f>
        <v>9781894663694</v>
      </c>
      <c r="D289" t="str">
        <f>"9781897415719"</f>
        <v>9781897415719</v>
      </c>
      <c r="E289" t="s">
        <v>1119</v>
      </c>
      <c r="F289" t="s">
        <v>1120</v>
      </c>
      <c r="G289" s="1">
        <v>38261</v>
      </c>
      <c r="J289" t="s">
        <v>1676</v>
      </c>
      <c r="K289" t="s">
        <v>1458</v>
      </c>
      <c r="L289" t="s">
        <v>1677</v>
      </c>
      <c r="M289" t="s">
        <v>1678</v>
      </c>
      <c r="N289" t="s">
        <v>1679</v>
      </c>
      <c r="O289" t="s">
        <v>26</v>
      </c>
      <c r="P289">
        <v>16.95</v>
      </c>
      <c r="R289">
        <v>16.95</v>
      </c>
      <c r="S289">
        <v>25.43</v>
      </c>
      <c r="T289" t="s">
        <v>1680</v>
      </c>
    </row>
    <row r="290" spans="1:20">
      <c r="A290">
        <v>299609</v>
      </c>
      <c r="B290" t="s">
        <v>1681</v>
      </c>
      <c r="C290" t="str">
        <f>"9781894663946"</f>
        <v>9781894663946</v>
      </c>
      <c r="D290" t="str">
        <f>"9781897415870"</f>
        <v>9781897415870</v>
      </c>
      <c r="E290" t="s">
        <v>1119</v>
      </c>
      <c r="F290" t="s">
        <v>1120</v>
      </c>
      <c r="G290" s="1">
        <v>38596</v>
      </c>
      <c r="J290" t="s">
        <v>1682</v>
      </c>
      <c r="K290" t="s">
        <v>416</v>
      </c>
      <c r="L290" t="s">
        <v>1683</v>
      </c>
      <c r="M290">
        <v>332.6</v>
      </c>
      <c r="N290" t="s">
        <v>1684</v>
      </c>
      <c r="O290" t="s">
        <v>26</v>
      </c>
      <c r="P290">
        <v>16.95</v>
      </c>
      <c r="R290">
        <v>16.95</v>
      </c>
      <c r="S290">
        <v>25.43</v>
      </c>
      <c r="T290" t="s">
        <v>1685</v>
      </c>
    </row>
    <row r="291" spans="1:20">
      <c r="A291">
        <v>299610</v>
      </c>
      <c r="B291" t="s">
        <v>1686</v>
      </c>
      <c r="C291" t="str">
        <f>"9781894663649"</f>
        <v>9781894663649</v>
      </c>
      <c r="D291" t="str">
        <f>"9781897414224"</f>
        <v>9781897414224</v>
      </c>
      <c r="E291" t="s">
        <v>1119</v>
      </c>
      <c r="F291" t="s">
        <v>1120</v>
      </c>
      <c r="G291" s="1">
        <v>38061</v>
      </c>
      <c r="J291" t="s">
        <v>1687</v>
      </c>
      <c r="K291" t="s">
        <v>1458</v>
      </c>
      <c r="L291" t="s">
        <v>1688</v>
      </c>
      <c r="M291" t="s">
        <v>1460</v>
      </c>
      <c r="N291" t="s">
        <v>1689</v>
      </c>
      <c r="O291" t="s">
        <v>26</v>
      </c>
      <c r="P291">
        <v>16.95</v>
      </c>
      <c r="R291">
        <v>16.95</v>
      </c>
      <c r="S291">
        <v>25.43</v>
      </c>
      <c r="T291" t="s">
        <v>1690</v>
      </c>
    </row>
    <row r="292" spans="1:20">
      <c r="A292">
        <v>299611</v>
      </c>
      <c r="B292" t="s">
        <v>1691</v>
      </c>
      <c r="C292" t="str">
        <f>"9781894663755"</f>
        <v>9781894663755</v>
      </c>
      <c r="D292" t="str">
        <f>"9781897414255"</f>
        <v>9781897414255</v>
      </c>
      <c r="E292" t="s">
        <v>1119</v>
      </c>
      <c r="F292" t="s">
        <v>1120</v>
      </c>
      <c r="G292" s="1">
        <v>38261</v>
      </c>
      <c r="J292" t="s">
        <v>1489</v>
      </c>
      <c r="K292" t="s">
        <v>1458</v>
      </c>
      <c r="L292" t="s">
        <v>1692</v>
      </c>
      <c r="M292" t="s">
        <v>1693</v>
      </c>
      <c r="N292" t="s">
        <v>1694</v>
      </c>
      <c r="O292" t="s">
        <v>26</v>
      </c>
      <c r="P292">
        <v>16.95</v>
      </c>
      <c r="R292">
        <v>16.95</v>
      </c>
      <c r="S292">
        <v>25.43</v>
      </c>
      <c r="T292" t="s">
        <v>1695</v>
      </c>
    </row>
    <row r="293" spans="1:20">
      <c r="A293">
        <v>299612</v>
      </c>
      <c r="B293" t="s">
        <v>1696</v>
      </c>
      <c r="C293" t="str">
        <f>"9781895837902"</f>
        <v>9781895837902</v>
      </c>
      <c r="D293" t="str">
        <f>"9781897415986"</f>
        <v>9781897415986</v>
      </c>
      <c r="E293" t="s">
        <v>1119</v>
      </c>
      <c r="F293" t="s">
        <v>1120</v>
      </c>
      <c r="G293" s="1">
        <v>36418</v>
      </c>
      <c r="J293" t="s">
        <v>1697</v>
      </c>
      <c r="K293" t="s">
        <v>1458</v>
      </c>
      <c r="L293" t="s">
        <v>1698</v>
      </c>
      <c r="M293" t="s">
        <v>1460</v>
      </c>
      <c r="N293" t="s">
        <v>1699</v>
      </c>
      <c r="O293" t="s">
        <v>26</v>
      </c>
      <c r="P293">
        <v>15.99</v>
      </c>
      <c r="R293">
        <v>15.99</v>
      </c>
      <c r="S293">
        <v>23.99</v>
      </c>
      <c r="T293" t="s">
        <v>1700</v>
      </c>
    </row>
    <row r="294" spans="1:20">
      <c r="A294">
        <v>299613</v>
      </c>
      <c r="B294" t="s">
        <v>1701</v>
      </c>
      <c r="C294" t="str">
        <f>"9781897178003"</f>
        <v>9781897178003</v>
      </c>
      <c r="D294" t="str">
        <f>"9781897414835"</f>
        <v>9781897414835</v>
      </c>
      <c r="E294" t="s">
        <v>1119</v>
      </c>
      <c r="F294" t="s">
        <v>1120</v>
      </c>
      <c r="G294" s="1">
        <v>38596</v>
      </c>
      <c r="J294" t="s">
        <v>1702</v>
      </c>
      <c r="K294" t="s">
        <v>1464</v>
      </c>
      <c r="L294" t="s">
        <v>1703</v>
      </c>
      <c r="M294" t="s">
        <v>1704</v>
      </c>
      <c r="N294" t="s">
        <v>1705</v>
      </c>
      <c r="O294" t="s">
        <v>26</v>
      </c>
      <c r="P294">
        <v>9.9499999999999993</v>
      </c>
      <c r="R294">
        <v>9.9499999999999993</v>
      </c>
      <c r="S294">
        <v>14.93</v>
      </c>
      <c r="T294" t="s">
        <v>1706</v>
      </c>
    </row>
    <row r="295" spans="1:20">
      <c r="A295">
        <v>299614</v>
      </c>
      <c r="B295" t="s">
        <v>1707</v>
      </c>
      <c r="C295" t="str">
        <f>"9781895837438"</f>
        <v>9781895837438</v>
      </c>
      <c r="D295" t="str">
        <f>"9781897415665"</f>
        <v>9781897415665</v>
      </c>
      <c r="E295" t="s">
        <v>1119</v>
      </c>
      <c r="F295" t="s">
        <v>1120</v>
      </c>
      <c r="G295" s="1">
        <v>36053</v>
      </c>
      <c r="J295" t="s">
        <v>1708</v>
      </c>
      <c r="K295" t="s">
        <v>1709</v>
      </c>
      <c r="L295" t="s">
        <v>1710</v>
      </c>
      <c r="M295" t="s">
        <v>1711</v>
      </c>
      <c r="N295" t="s">
        <v>1712</v>
      </c>
      <c r="O295" t="s">
        <v>26</v>
      </c>
      <c r="P295">
        <v>4.99</v>
      </c>
      <c r="R295">
        <v>4.99</v>
      </c>
      <c r="S295">
        <v>7.49</v>
      </c>
      <c r="T295" t="s">
        <v>1713</v>
      </c>
    </row>
    <row r="296" spans="1:20">
      <c r="A296">
        <v>299616</v>
      </c>
      <c r="B296" t="s">
        <v>1714</v>
      </c>
      <c r="C296" t="str">
        <f>"9781894663670"</f>
        <v>9781894663670</v>
      </c>
      <c r="D296" t="str">
        <f>"9781897414958"</f>
        <v>9781897414958</v>
      </c>
      <c r="E296" t="s">
        <v>1119</v>
      </c>
      <c r="F296" t="s">
        <v>1120</v>
      </c>
      <c r="G296" s="1">
        <v>38261</v>
      </c>
      <c r="J296" t="s">
        <v>1555</v>
      </c>
      <c r="K296" t="s">
        <v>1715</v>
      </c>
      <c r="L296" t="s">
        <v>1716</v>
      </c>
      <c r="M296">
        <v>370.15</v>
      </c>
      <c r="N296" t="s">
        <v>1717</v>
      </c>
      <c r="O296" t="s">
        <v>26</v>
      </c>
      <c r="P296">
        <v>16.95</v>
      </c>
      <c r="R296">
        <v>16.95</v>
      </c>
      <c r="S296">
        <v>25.43</v>
      </c>
      <c r="T296" t="s">
        <v>1718</v>
      </c>
    </row>
    <row r="297" spans="1:20">
      <c r="A297">
        <v>299617</v>
      </c>
      <c r="B297" t="s">
        <v>1719</v>
      </c>
      <c r="C297" t="str">
        <f>"9781895837292"</f>
        <v>9781895837292</v>
      </c>
      <c r="D297" t="str">
        <f>"9781897414118"</f>
        <v>9781897414118</v>
      </c>
      <c r="E297" t="s">
        <v>1119</v>
      </c>
      <c r="F297" t="s">
        <v>1120</v>
      </c>
      <c r="G297" s="1">
        <v>35869</v>
      </c>
      <c r="J297" t="s">
        <v>1720</v>
      </c>
      <c r="K297" t="s">
        <v>1458</v>
      </c>
      <c r="L297" t="s">
        <v>1721</v>
      </c>
      <c r="M297" t="s">
        <v>1460</v>
      </c>
      <c r="N297" t="s">
        <v>1722</v>
      </c>
      <c r="O297" t="s">
        <v>26</v>
      </c>
      <c r="P297">
        <v>14.99</v>
      </c>
      <c r="R297">
        <v>14.99</v>
      </c>
      <c r="S297">
        <v>22.49</v>
      </c>
      <c r="T297" t="s">
        <v>1723</v>
      </c>
    </row>
    <row r="298" spans="1:20">
      <c r="A298">
        <v>299618</v>
      </c>
      <c r="B298" t="s">
        <v>1724</v>
      </c>
      <c r="C298" t="str">
        <f>"9781894663168"</f>
        <v>9781894663168</v>
      </c>
      <c r="D298" t="str">
        <f>"9781897414392"</f>
        <v>9781897414392</v>
      </c>
      <c r="E298" t="s">
        <v>1119</v>
      </c>
      <c r="F298" t="s">
        <v>1120</v>
      </c>
      <c r="G298" s="1">
        <v>37360</v>
      </c>
      <c r="J298" t="s">
        <v>1725</v>
      </c>
      <c r="K298" t="s">
        <v>1458</v>
      </c>
      <c r="L298" t="s">
        <v>1726</v>
      </c>
      <c r="M298" t="s">
        <v>1509</v>
      </c>
      <c r="N298" t="s">
        <v>1727</v>
      </c>
      <c r="O298" t="s">
        <v>26</v>
      </c>
      <c r="P298">
        <v>15.95</v>
      </c>
      <c r="R298">
        <v>15.95</v>
      </c>
      <c r="S298">
        <v>23.93</v>
      </c>
      <c r="T298" t="s">
        <v>1728</v>
      </c>
    </row>
    <row r="299" spans="1:20">
      <c r="A299">
        <v>299619</v>
      </c>
      <c r="B299" t="s">
        <v>1729</v>
      </c>
      <c r="C299" t="str">
        <f>"9781895837599"</f>
        <v>9781895837599</v>
      </c>
      <c r="D299" t="str">
        <f>"9781897414385"</f>
        <v>9781897414385</v>
      </c>
      <c r="E299" t="s">
        <v>1119</v>
      </c>
      <c r="F299" t="s">
        <v>1120</v>
      </c>
      <c r="G299" s="1">
        <v>37302</v>
      </c>
      <c r="J299" t="s">
        <v>1730</v>
      </c>
      <c r="K299" t="s">
        <v>1458</v>
      </c>
      <c r="L299" t="s">
        <v>1731</v>
      </c>
      <c r="M299" t="s">
        <v>1584</v>
      </c>
      <c r="N299" t="s">
        <v>1568</v>
      </c>
      <c r="O299" t="s">
        <v>26</v>
      </c>
      <c r="P299">
        <v>15.99</v>
      </c>
      <c r="R299">
        <v>15.99</v>
      </c>
      <c r="S299">
        <v>23.99</v>
      </c>
      <c r="T299" t="s">
        <v>1732</v>
      </c>
    </row>
    <row r="300" spans="1:20">
      <c r="A300">
        <v>299621</v>
      </c>
      <c r="B300" t="s">
        <v>1733</v>
      </c>
      <c r="C300" t="str">
        <f>"9781894663243"</f>
        <v>9781894663243</v>
      </c>
      <c r="D300" t="str">
        <f>"9781897415771"</f>
        <v>9781897415771</v>
      </c>
      <c r="E300" t="s">
        <v>1119</v>
      </c>
      <c r="F300" t="s">
        <v>1120</v>
      </c>
      <c r="G300" s="1">
        <v>37330</v>
      </c>
      <c r="J300" t="s">
        <v>1734</v>
      </c>
      <c r="K300" t="s">
        <v>278</v>
      </c>
      <c r="L300" t="s">
        <v>1735</v>
      </c>
      <c r="M300">
        <v>332.024</v>
      </c>
      <c r="N300" t="s">
        <v>1736</v>
      </c>
      <c r="O300" t="s">
        <v>26</v>
      </c>
      <c r="P300">
        <v>12.95</v>
      </c>
      <c r="R300">
        <v>12.95</v>
      </c>
      <c r="S300">
        <v>19.43</v>
      </c>
      <c r="T300" t="s">
        <v>1737</v>
      </c>
    </row>
    <row r="301" spans="1:20">
      <c r="A301">
        <v>299622</v>
      </c>
      <c r="B301" t="s">
        <v>1738</v>
      </c>
      <c r="C301" t="str">
        <f>"9781894663113"</f>
        <v>9781894663113</v>
      </c>
      <c r="D301" t="str">
        <f>"9781897414309"</f>
        <v>9781897414309</v>
      </c>
      <c r="E301" t="s">
        <v>1119</v>
      </c>
      <c r="F301" t="s">
        <v>1120</v>
      </c>
      <c r="G301" s="1">
        <v>37391</v>
      </c>
      <c r="J301" t="s">
        <v>1739</v>
      </c>
      <c r="K301" t="s">
        <v>1458</v>
      </c>
      <c r="L301" t="s">
        <v>1740</v>
      </c>
      <c r="M301" t="s">
        <v>1741</v>
      </c>
      <c r="N301" t="s">
        <v>1742</v>
      </c>
      <c r="O301" t="s">
        <v>26</v>
      </c>
      <c r="P301">
        <v>15.95</v>
      </c>
      <c r="R301">
        <v>15.95</v>
      </c>
      <c r="S301">
        <v>23.93</v>
      </c>
      <c r="T301" t="s">
        <v>1743</v>
      </c>
    </row>
    <row r="302" spans="1:20">
      <c r="A302">
        <v>299623</v>
      </c>
      <c r="B302" t="s">
        <v>1744</v>
      </c>
      <c r="C302" t="str">
        <f>"9781894663366"</f>
        <v>9781894663366</v>
      </c>
      <c r="D302" t="str">
        <f>"9781897414552"</f>
        <v>9781897414552</v>
      </c>
      <c r="E302" t="s">
        <v>1119</v>
      </c>
      <c r="F302" t="s">
        <v>1120</v>
      </c>
      <c r="G302" s="1">
        <v>37544</v>
      </c>
      <c r="J302" t="s">
        <v>1745</v>
      </c>
      <c r="K302" t="s">
        <v>1471</v>
      </c>
      <c r="L302" t="s">
        <v>1746</v>
      </c>
      <c r="M302" t="s">
        <v>1747</v>
      </c>
      <c r="N302" t="s">
        <v>1748</v>
      </c>
      <c r="O302" t="s">
        <v>26</v>
      </c>
      <c r="P302">
        <v>15.95</v>
      </c>
      <c r="R302">
        <v>15.95</v>
      </c>
      <c r="S302">
        <v>23.93</v>
      </c>
      <c r="T302" t="s">
        <v>1749</v>
      </c>
    </row>
    <row r="303" spans="1:20">
      <c r="A303">
        <v>299624</v>
      </c>
      <c r="B303" t="s">
        <v>1750</v>
      </c>
      <c r="C303" t="str">
        <f>"9781894663748"</f>
        <v>9781894663748</v>
      </c>
      <c r="D303" t="str">
        <f>"9781897414569"</f>
        <v>9781897414569</v>
      </c>
      <c r="E303" t="s">
        <v>1119</v>
      </c>
      <c r="F303" t="s">
        <v>1120</v>
      </c>
      <c r="G303" s="1">
        <v>38261</v>
      </c>
      <c r="J303" t="s">
        <v>1745</v>
      </c>
      <c r="K303" t="s">
        <v>1471</v>
      </c>
      <c r="L303" t="s">
        <v>1751</v>
      </c>
      <c r="M303" t="s">
        <v>1747</v>
      </c>
      <c r="N303" t="s">
        <v>1752</v>
      </c>
      <c r="O303" t="s">
        <v>26</v>
      </c>
      <c r="P303">
        <v>16.95</v>
      </c>
      <c r="R303">
        <v>16.95</v>
      </c>
      <c r="S303">
        <v>25.43</v>
      </c>
      <c r="T303" t="s">
        <v>1753</v>
      </c>
    </row>
    <row r="304" spans="1:20">
      <c r="A304">
        <v>299626</v>
      </c>
      <c r="B304" t="s">
        <v>1754</v>
      </c>
      <c r="C304" t="str">
        <f>"9781894663571"</f>
        <v>9781894663571</v>
      </c>
      <c r="D304" t="str">
        <f>"9781897414200"</f>
        <v>9781897414200</v>
      </c>
      <c r="E304" t="s">
        <v>1119</v>
      </c>
      <c r="F304" t="s">
        <v>1120</v>
      </c>
      <c r="G304" s="1">
        <v>38061</v>
      </c>
      <c r="J304" t="s">
        <v>1755</v>
      </c>
      <c r="K304" t="s">
        <v>1458</v>
      </c>
      <c r="L304" t="s">
        <v>1756</v>
      </c>
      <c r="M304" t="s">
        <v>1596</v>
      </c>
      <c r="N304" t="s">
        <v>1757</v>
      </c>
      <c r="O304" t="s">
        <v>26</v>
      </c>
      <c r="P304">
        <v>16.95</v>
      </c>
      <c r="R304">
        <v>16.95</v>
      </c>
      <c r="S304">
        <v>25.43</v>
      </c>
      <c r="T304" t="s">
        <v>1758</v>
      </c>
    </row>
    <row r="305" spans="1:20">
      <c r="A305">
        <v>299627</v>
      </c>
      <c r="B305" t="s">
        <v>1759</v>
      </c>
      <c r="C305" t="str">
        <f>"9781894663601"</f>
        <v>9781894663601</v>
      </c>
      <c r="D305" t="str">
        <f>"9781897414217"</f>
        <v>9781897414217</v>
      </c>
      <c r="E305" t="s">
        <v>1119</v>
      </c>
      <c r="F305" t="s">
        <v>1120</v>
      </c>
      <c r="G305" s="1">
        <v>38061</v>
      </c>
      <c r="J305" t="s">
        <v>1755</v>
      </c>
      <c r="K305" t="s">
        <v>1458</v>
      </c>
      <c r="L305" t="s">
        <v>1760</v>
      </c>
      <c r="M305" t="s">
        <v>1761</v>
      </c>
      <c r="N305" t="s">
        <v>1762</v>
      </c>
      <c r="O305" t="s">
        <v>26</v>
      </c>
      <c r="P305">
        <v>16.95</v>
      </c>
      <c r="R305">
        <v>16.95</v>
      </c>
      <c r="S305">
        <v>25.43</v>
      </c>
      <c r="T305" t="s">
        <v>1763</v>
      </c>
    </row>
    <row r="306" spans="1:20">
      <c r="A306">
        <v>299628</v>
      </c>
      <c r="B306" t="s">
        <v>1764</v>
      </c>
      <c r="C306" t="str">
        <f>"9781894663984"</f>
        <v>9781894663984</v>
      </c>
      <c r="D306" t="str">
        <f>"9781897414446"</f>
        <v>9781897414446</v>
      </c>
      <c r="E306" t="s">
        <v>1119</v>
      </c>
      <c r="F306" t="s">
        <v>1120</v>
      </c>
      <c r="G306" s="1">
        <v>38596</v>
      </c>
      <c r="J306" t="s">
        <v>1529</v>
      </c>
      <c r="K306" t="s">
        <v>1464</v>
      </c>
      <c r="L306" t="s">
        <v>1765</v>
      </c>
      <c r="M306" t="s">
        <v>1596</v>
      </c>
      <c r="N306" t="s">
        <v>1766</v>
      </c>
      <c r="O306" t="s">
        <v>26</v>
      </c>
      <c r="P306">
        <v>16.95</v>
      </c>
      <c r="R306">
        <v>16.95</v>
      </c>
      <c r="S306">
        <v>25.43</v>
      </c>
      <c r="T306" t="s">
        <v>1767</v>
      </c>
    </row>
    <row r="307" spans="1:20">
      <c r="A307">
        <v>299629</v>
      </c>
      <c r="B307" t="s">
        <v>1768</v>
      </c>
      <c r="C307" t="str">
        <f>"9781894663199"</f>
        <v>9781894663199</v>
      </c>
      <c r="D307" t="str">
        <f>"9781897414781"</f>
        <v>9781897414781</v>
      </c>
      <c r="E307" t="s">
        <v>1119</v>
      </c>
      <c r="F307" t="s">
        <v>1120</v>
      </c>
      <c r="G307" s="1">
        <v>37422</v>
      </c>
      <c r="J307" t="s">
        <v>1769</v>
      </c>
      <c r="K307" t="s">
        <v>1464</v>
      </c>
      <c r="L307" t="s">
        <v>1770</v>
      </c>
      <c r="M307" t="s">
        <v>1466</v>
      </c>
      <c r="N307" t="s">
        <v>1771</v>
      </c>
      <c r="O307" t="s">
        <v>26</v>
      </c>
      <c r="P307">
        <v>7.95</v>
      </c>
      <c r="R307">
        <v>7.95</v>
      </c>
      <c r="S307">
        <v>11.93</v>
      </c>
      <c r="T307" t="s">
        <v>1772</v>
      </c>
    </row>
    <row r="308" spans="1:20">
      <c r="A308">
        <v>299631</v>
      </c>
      <c r="B308" t="s">
        <v>1773</v>
      </c>
      <c r="C308" t="str">
        <f>"9781894663069"</f>
        <v>9781894663069</v>
      </c>
      <c r="D308" t="str">
        <f>"9781897414033"</f>
        <v>9781897414033</v>
      </c>
      <c r="E308" t="s">
        <v>1119</v>
      </c>
      <c r="F308" t="s">
        <v>1120</v>
      </c>
      <c r="G308" s="1">
        <v>37361</v>
      </c>
      <c r="J308" t="s">
        <v>1529</v>
      </c>
      <c r="K308" t="s">
        <v>1458</v>
      </c>
      <c r="L308" t="s">
        <v>1774</v>
      </c>
      <c r="M308" t="s">
        <v>1460</v>
      </c>
      <c r="N308" t="s">
        <v>1775</v>
      </c>
      <c r="O308" t="s">
        <v>26</v>
      </c>
      <c r="P308">
        <v>15.95</v>
      </c>
      <c r="R308">
        <v>15.95</v>
      </c>
      <c r="S308">
        <v>23.93</v>
      </c>
      <c r="T308" t="s">
        <v>1776</v>
      </c>
    </row>
    <row r="309" spans="1:20">
      <c r="A309">
        <v>299632</v>
      </c>
      <c r="B309" t="s">
        <v>1777</v>
      </c>
      <c r="C309" t="str">
        <f>"9781897178041"</f>
        <v>9781897178041</v>
      </c>
      <c r="D309" t="str">
        <f>"9781897414842"</f>
        <v>9781897414842</v>
      </c>
      <c r="E309" t="s">
        <v>1119</v>
      </c>
      <c r="F309" t="s">
        <v>1120</v>
      </c>
      <c r="G309" s="1">
        <v>38596</v>
      </c>
      <c r="J309" t="s">
        <v>1778</v>
      </c>
      <c r="K309" t="s">
        <v>1464</v>
      </c>
      <c r="L309" t="s">
        <v>1779</v>
      </c>
      <c r="M309" t="s">
        <v>1780</v>
      </c>
      <c r="N309" t="s">
        <v>1781</v>
      </c>
      <c r="O309" t="s">
        <v>26</v>
      </c>
      <c r="P309">
        <v>9.9499999999999993</v>
      </c>
      <c r="R309">
        <v>9.9499999999999993</v>
      </c>
      <c r="S309">
        <v>14.93</v>
      </c>
      <c r="T309" t="s">
        <v>1782</v>
      </c>
    </row>
    <row r="310" spans="1:20">
      <c r="A310">
        <v>299633</v>
      </c>
      <c r="B310" t="s">
        <v>1783</v>
      </c>
      <c r="C310" t="str">
        <f>"9781894663618"</f>
        <v>9781894663618</v>
      </c>
      <c r="D310" t="str">
        <f>"9781897414439"</f>
        <v>9781897414439</v>
      </c>
      <c r="E310" t="s">
        <v>1119</v>
      </c>
      <c r="F310" t="s">
        <v>1120</v>
      </c>
      <c r="G310" s="1">
        <v>38061</v>
      </c>
      <c r="J310" t="s">
        <v>1784</v>
      </c>
      <c r="K310" t="s">
        <v>1458</v>
      </c>
      <c r="L310" t="s">
        <v>1785</v>
      </c>
      <c r="M310" t="s">
        <v>1596</v>
      </c>
      <c r="N310" t="s">
        <v>1786</v>
      </c>
      <c r="O310" t="s">
        <v>26</v>
      </c>
      <c r="P310">
        <v>15.95</v>
      </c>
      <c r="R310">
        <v>15.95</v>
      </c>
      <c r="S310">
        <v>23.93</v>
      </c>
      <c r="T310" t="s">
        <v>1787</v>
      </c>
    </row>
    <row r="311" spans="1:20">
      <c r="A311">
        <v>299634</v>
      </c>
      <c r="B311" t="s">
        <v>1788</v>
      </c>
      <c r="C311" t="str">
        <f>"9781894663434"</f>
        <v>9781894663434</v>
      </c>
      <c r="D311" t="str">
        <f>"9781897414545"</f>
        <v>9781897414545</v>
      </c>
      <c r="E311" t="s">
        <v>1119</v>
      </c>
      <c r="F311" t="s">
        <v>1120</v>
      </c>
      <c r="G311" s="1">
        <v>37695</v>
      </c>
      <c r="J311" t="s">
        <v>1789</v>
      </c>
      <c r="K311" t="s">
        <v>1464</v>
      </c>
      <c r="L311" t="s">
        <v>1790</v>
      </c>
      <c r="M311">
        <v>810.9</v>
      </c>
      <c r="N311" t="s">
        <v>1791</v>
      </c>
      <c r="O311" t="s">
        <v>26</v>
      </c>
      <c r="P311">
        <v>16.95</v>
      </c>
      <c r="R311">
        <v>16.95</v>
      </c>
      <c r="S311">
        <v>25.43</v>
      </c>
      <c r="T311" t="s">
        <v>1792</v>
      </c>
    </row>
    <row r="312" spans="1:20">
      <c r="A312">
        <v>299636</v>
      </c>
      <c r="B312" t="s">
        <v>1793</v>
      </c>
      <c r="C312" t="str">
        <f>"9781897178010"</f>
        <v>9781897178010</v>
      </c>
      <c r="D312" t="str">
        <f>"9781897414590"</f>
        <v>9781897414590</v>
      </c>
      <c r="E312" t="s">
        <v>1119</v>
      </c>
      <c r="F312" t="s">
        <v>1120</v>
      </c>
      <c r="G312" s="1">
        <v>38596</v>
      </c>
      <c r="J312" t="s">
        <v>1794</v>
      </c>
      <c r="K312" t="s">
        <v>1471</v>
      </c>
      <c r="L312" t="s">
        <v>1795</v>
      </c>
      <c r="M312" t="s">
        <v>1796</v>
      </c>
      <c r="N312" t="s">
        <v>1797</v>
      </c>
      <c r="O312" t="s">
        <v>26</v>
      </c>
      <c r="P312">
        <v>16.95</v>
      </c>
      <c r="R312">
        <v>16.95</v>
      </c>
      <c r="S312">
        <v>25.43</v>
      </c>
      <c r="T312" t="s">
        <v>1798</v>
      </c>
    </row>
    <row r="313" spans="1:20">
      <c r="A313">
        <v>299637</v>
      </c>
      <c r="B313" t="s">
        <v>1799</v>
      </c>
      <c r="C313" t="str">
        <f>"9781894663878"</f>
        <v>9781894663878</v>
      </c>
      <c r="D313" t="str">
        <f>"9781897415849"</f>
        <v>9781897415849</v>
      </c>
      <c r="E313" t="s">
        <v>1119</v>
      </c>
      <c r="F313" t="s">
        <v>1120</v>
      </c>
      <c r="G313" s="1">
        <v>38443</v>
      </c>
      <c r="J313" t="s">
        <v>1800</v>
      </c>
      <c r="K313" t="s">
        <v>278</v>
      </c>
      <c r="L313" t="s">
        <v>1801</v>
      </c>
      <c r="M313">
        <v>332.024</v>
      </c>
      <c r="N313" t="s">
        <v>1802</v>
      </c>
      <c r="O313" t="s">
        <v>26</v>
      </c>
      <c r="P313">
        <v>16.95</v>
      </c>
      <c r="R313">
        <v>16.95</v>
      </c>
      <c r="S313">
        <v>25.43</v>
      </c>
      <c r="T313" t="s">
        <v>1803</v>
      </c>
    </row>
    <row r="314" spans="1:20">
      <c r="A314">
        <v>299640</v>
      </c>
      <c r="B314" t="s">
        <v>1804</v>
      </c>
      <c r="C314" t="str">
        <f>"9781894663908"</f>
        <v>9781894663908</v>
      </c>
      <c r="D314" t="str">
        <f>"9781897414903"</f>
        <v>9781897414903</v>
      </c>
      <c r="E314" t="s">
        <v>1119</v>
      </c>
      <c r="F314" t="s">
        <v>1120</v>
      </c>
      <c r="G314" s="1">
        <v>38443</v>
      </c>
      <c r="J314" t="s">
        <v>1805</v>
      </c>
      <c r="K314" t="s">
        <v>291</v>
      </c>
      <c r="L314" t="s">
        <v>1806</v>
      </c>
      <c r="M314">
        <v>967.30399999999997</v>
      </c>
      <c r="N314" t="s">
        <v>1807</v>
      </c>
      <c r="O314" t="s">
        <v>26</v>
      </c>
      <c r="P314">
        <v>16.95</v>
      </c>
      <c r="R314">
        <v>16.95</v>
      </c>
      <c r="S314">
        <v>25.43</v>
      </c>
      <c r="T314" t="s">
        <v>1808</v>
      </c>
    </row>
    <row r="315" spans="1:20">
      <c r="A315">
        <v>299642</v>
      </c>
      <c r="B315" t="s">
        <v>1809</v>
      </c>
      <c r="C315" t="str">
        <f>"9781895837650"</f>
        <v>9781895837650</v>
      </c>
      <c r="D315" t="str">
        <f>"9781897414750"</f>
        <v>9781897414750</v>
      </c>
      <c r="E315" t="s">
        <v>1119</v>
      </c>
      <c r="F315" t="s">
        <v>1120</v>
      </c>
      <c r="G315" s="1">
        <v>37302</v>
      </c>
      <c r="J315" t="s">
        <v>1810</v>
      </c>
      <c r="K315" t="s">
        <v>1464</v>
      </c>
      <c r="L315" t="s">
        <v>1811</v>
      </c>
      <c r="M315" t="s">
        <v>1545</v>
      </c>
      <c r="N315" t="s">
        <v>1526</v>
      </c>
      <c r="O315" t="s">
        <v>26</v>
      </c>
      <c r="P315">
        <v>9.99</v>
      </c>
      <c r="R315">
        <v>9.99</v>
      </c>
      <c r="S315">
        <v>14.99</v>
      </c>
      <c r="T315" t="s">
        <v>1812</v>
      </c>
    </row>
    <row r="316" spans="1:20">
      <c r="A316">
        <v>299643</v>
      </c>
      <c r="B316" t="s">
        <v>1813</v>
      </c>
      <c r="C316" t="str">
        <f>"9781897178287"</f>
        <v>9781897178287</v>
      </c>
      <c r="D316" t="str">
        <f>"9781897415887"</f>
        <v>9781897415887</v>
      </c>
      <c r="E316" t="s">
        <v>1119</v>
      </c>
      <c r="F316" t="s">
        <v>1120</v>
      </c>
      <c r="G316" s="1">
        <v>38961</v>
      </c>
      <c r="J316" t="s">
        <v>1800</v>
      </c>
      <c r="K316" t="s">
        <v>1814</v>
      </c>
      <c r="L316" t="s">
        <v>1815</v>
      </c>
      <c r="M316" t="s">
        <v>1816</v>
      </c>
      <c r="N316" t="s">
        <v>1817</v>
      </c>
      <c r="O316" t="s">
        <v>26</v>
      </c>
      <c r="P316">
        <v>16.95</v>
      </c>
      <c r="R316">
        <v>16.95</v>
      </c>
      <c r="S316">
        <v>25.43</v>
      </c>
      <c r="T316" t="s">
        <v>1818</v>
      </c>
    </row>
    <row r="317" spans="1:20">
      <c r="A317">
        <v>299644</v>
      </c>
      <c r="B317" t="s">
        <v>1819</v>
      </c>
      <c r="C317" t="str">
        <f>"9781894663823"</f>
        <v>9781894663823</v>
      </c>
      <c r="D317" t="str">
        <f>"9781897414866"</f>
        <v>9781897414866</v>
      </c>
      <c r="E317" t="s">
        <v>1119</v>
      </c>
      <c r="F317" t="s">
        <v>1120</v>
      </c>
      <c r="G317" s="1">
        <v>38443</v>
      </c>
      <c r="J317" t="s">
        <v>1702</v>
      </c>
      <c r="K317" t="s">
        <v>1464</v>
      </c>
      <c r="L317" t="s">
        <v>1820</v>
      </c>
      <c r="M317">
        <v>813</v>
      </c>
      <c r="N317" t="s">
        <v>1821</v>
      </c>
      <c r="O317" t="s">
        <v>26</v>
      </c>
      <c r="P317">
        <v>9.9499999999999993</v>
      </c>
      <c r="R317">
        <v>9.9499999999999993</v>
      </c>
      <c r="S317">
        <v>14.93</v>
      </c>
      <c r="T317" t="s">
        <v>1822</v>
      </c>
    </row>
    <row r="318" spans="1:20">
      <c r="A318">
        <v>299645</v>
      </c>
      <c r="B318" t="s">
        <v>1823</v>
      </c>
      <c r="C318" t="str">
        <f>"9781894663595"</f>
        <v>9781894663595</v>
      </c>
      <c r="D318" t="str">
        <f>"9781897414828"</f>
        <v>9781897414828</v>
      </c>
      <c r="E318" t="s">
        <v>1119</v>
      </c>
      <c r="F318" t="s">
        <v>1120</v>
      </c>
      <c r="G318" s="1">
        <v>38061</v>
      </c>
      <c r="J318" t="s">
        <v>1824</v>
      </c>
      <c r="K318" t="s">
        <v>1464</v>
      </c>
      <c r="L318" t="s">
        <v>1825</v>
      </c>
      <c r="M318" t="s">
        <v>1497</v>
      </c>
      <c r="N318" t="s">
        <v>1826</v>
      </c>
      <c r="O318" t="s">
        <v>26</v>
      </c>
      <c r="P318">
        <v>9.9499999999999993</v>
      </c>
      <c r="R318">
        <v>9.9499999999999993</v>
      </c>
      <c r="S318">
        <v>14.93</v>
      </c>
      <c r="T318" t="s">
        <v>1827</v>
      </c>
    </row>
    <row r="319" spans="1:20">
      <c r="A319">
        <v>299647</v>
      </c>
      <c r="B319" t="s">
        <v>1828</v>
      </c>
      <c r="C319" t="str">
        <f>"9781897178232"</f>
        <v>9781897178232</v>
      </c>
      <c r="D319" t="str">
        <f>"9781897414941"</f>
        <v>9781897414941</v>
      </c>
      <c r="E319" t="s">
        <v>1119</v>
      </c>
      <c r="F319" t="s">
        <v>1120</v>
      </c>
      <c r="G319" s="1">
        <v>38961</v>
      </c>
      <c r="J319" t="s">
        <v>1829</v>
      </c>
      <c r="K319" t="s">
        <v>1157</v>
      </c>
      <c r="L319" t="s">
        <v>1830</v>
      </c>
      <c r="M319">
        <v>646.70000000000005</v>
      </c>
      <c r="N319" t="s">
        <v>1831</v>
      </c>
      <c r="O319" t="s">
        <v>26</v>
      </c>
      <c r="P319">
        <v>16.95</v>
      </c>
      <c r="R319">
        <v>16.95</v>
      </c>
      <c r="S319">
        <v>25.43</v>
      </c>
      <c r="T319" t="s">
        <v>1832</v>
      </c>
    </row>
    <row r="320" spans="1:20">
      <c r="A320">
        <v>299648</v>
      </c>
      <c r="B320" t="s">
        <v>1833</v>
      </c>
      <c r="C320" t="str">
        <f>"9781895837100"</f>
        <v>9781895837100</v>
      </c>
      <c r="D320" t="str">
        <f>"9781897415917"</f>
        <v>9781897415917</v>
      </c>
      <c r="E320" t="s">
        <v>1119</v>
      </c>
      <c r="F320" t="s">
        <v>1120</v>
      </c>
      <c r="G320" s="1">
        <v>36965</v>
      </c>
      <c r="J320" t="s">
        <v>1834</v>
      </c>
      <c r="K320" t="s">
        <v>1835</v>
      </c>
      <c r="L320" t="s">
        <v>1836</v>
      </c>
      <c r="M320" t="s">
        <v>1837</v>
      </c>
      <c r="N320" t="s">
        <v>1838</v>
      </c>
      <c r="O320" t="s">
        <v>26</v>
      </c>
      <c r="P320">
        <v>15.95</v>
      </c>
      <c r="R320">
        <v>15.95</v>
      </c>
      <c r="S320">
        <v>23.93</v>
      </c>
      <c r="T320" t="s">
        <v>1839</v>
      </c>
    </row>
    <row r="321" spans="1:20">
      <c r="A321">
        <v>299649</v>
      </c>
      <c r="B321" t="s">
        <v>1840</v>
      </c>
      <c r="C321" t="str">
        <f>"9781894663564"</f>
        <v>9781894663564</v>
      </c>
      <c r="D321" t="str">
        <f>"9781897414576"</f>
        <v>9781897414576</v>
      </c>
      <c r="E321" t="s">
        <v>1119</v>
      </c>
      <c r="F321" t="s">
        <v>1120</v>
      </c>
      <c r="G321" s="1">
        <v>37895</v>
      </c>
      <c r="J321" t="s">
        <v>1841</v>
      </c>
      <c r="K321" t="s">
        <v>1471</v>
      </c>
      <c r="L321" t="s">
        <v>1842</v>
      </c>
      <c r="M321" t="s">
        <v>1843</v>
      </c>
      <c r="N321" t="s">
        <v>1844</v>
      </c>
      <c r="O321" t="s">
        <v>26</v>
      </c>
      <c r="P321">
        <v>16.95</v>
      </c>
      <c r="R321">
        <v>16.95</v>
      </c>
      <c r="S321">
        <v>25.43</v>
      </c>
      <c r="T321" t="s">
        <v>1845</v>
      </c>
    </row>
    <row r="322" spans="1:20">
      <c r="A322">
        <v>299650</v>
      </c>
      <c r="B322" t="s">
        <v>1846</v>
      </c>
      <c r="C322" t="str">
        <f>"9781897178324"</f>
        <v>9781897178324</v>
      </c>
      <c r="D322" t="str">
        <f>"9781897414231"</f>
        <v>9781897414231</v>
      </c>
      <c r="E322" t="s">
        <v>1119</v>
      </c>
      <c r="F322" t="s">
        <v>1120</v>
      </c>
      <c r="G322" s="1">
        <v>38961</v>
      </c>
      <c r="J322" t="s">
        <v>1847</v>
      </c>
      <c r="K322" t="s">
        <v>1458</v>
      </c>
      <c r="L322" t="s">
        <v>1848</v>
      </c>
      <c r="M322" t="s">
        <v>1849</v>
      </c>
      <c r="N322" t="s">
        <v>1850</v>
      </c>
      <c r="O322" t="s">
        <v>26</v>
      </c>
      <c r="P322">
        <v>16.95</v>
      </c>
      <c r="R322">
        <v>16.95</v>
      </c>
      <c r="S322">
        <v>25.43</v>
      </c>
      <c r="T322" t="s">
        <v>1851</v>
      </c>
    </row>
    <row r="323" spans="1:20">
      <c r="A323">
        <v>299652</v>
      </c>
      <c r="B323" t="s">
        <v>1852</v>
      </c>
      <c r="C323" t="str">
        <f>"9781897178294"</f>
        <v>9781897178294</v>
      </c>
      <c r="D323" t="str">
        <f>"9781897415733"</f>
        <v>9781897415733</v>
      </c>
      <c r="E323" t="s">
        <v>1119</v>
      </c>
      <c r="F323" t="s">
        <v>1120</v>
      </c>
      <c r="G323" s="1">
        <v>38961</v>
      </c>
      <c r="J323" t="s">
        <v>1853</v>
      </c>
      <c r="K323" t="s">
        <v>416</v>
      </c>
      <c r="L323" t="s">
        <v>1854</v>
      </c>
      <c r="M323" t="s">
        <v>1855</v>
      </c>
      <c r="N323" t="s">
        <v>1856</v>
      </c>
      <c r="O323" t="s">
        <v>26</v>
      </c>
      <c r="P323">
        <v>16.95</v>
      </c>
      <c r="R323">
        <v>16.95</v>
      </c>
      <c r="S323">
        <v>25.43</v>
      </c>
      <c r="T323" t="s">
        <v>1857</v>
      </c>
    </row>
    <row r="324" spans="1:20">
      <c r="A324">
        <v>299653</v>
      </c>
      <c r="B324" t="s">
        <v>1858</v>
      </c>
      <c r="C324" t="str">
        <f>"9781894663502"</f>
        <v>9781894663502</v>
      </c>
      <c r="D324" t="str">
        <f>"9781897414644"</f>
        <v>9781897414644</v>
      </c>
      <c r="E324" t="s">
        <v>1119</v>
      </c>
      <c r="F324" t="s">
        <v>1120</v>
      </c>
      <c r="G324" s="1">
        <v>37895</v>
      </c>
      <c r="J324" t="s">
        <v>1612</v>
      </c>
      <c r="K324" t="s">
        <v>1859</v>
      </c>
      <c r="L324" t="s">
        <v>1860</v>
      </c>
      <c r="M324" t="s">
        <v>1861</v>
      </c>
      <c r="N324" t="s">
        <v>1862</v>
      </c>
      <c r="O324" t="s">
        <v>26</v>
      </c>
      <c r="P324">
        <v>7.95</v>
      </c>
      <c r="R324">
        <v>7.95</v>
      </c>
      <c r="S324">
        <v>11.93</v>
      </c>
      <c r="T324" t="s">
        <v>1863</v>
      </c>
    </row>
    <row r="325" spans="1:20">
      <c r="A325">
        <v>299654</v>
      </c>
      <c r="B325" t="s">
        <v>1864</v>
      </c>
      <c r="C325" t="str">
        <f>"9781895837551"</f>
        <v>9781895837551</v>
      </c>
      <c r="D325" t="str">
        <f>"9781897414705"</f>
        <v>9781897414705</v>
      </c>
      <c r="E325" t="s">
        <v>1119</v>
      </c>
      <c r="F325" t="s">
        <v>1120</v>
      </c>
      <c r="G325" s="1">
        <v>36418</v>
      </c>
      <c r="J325" t="s">
        <v>1865</v>
      </c>
      <c r="K325" t="s">
        <v>1464</v>
      </c>
      <c r="L325" t="s">
        <v>1866</v>
      </c>
      <c r="M325" t="s">
        <v>1497</v>
      </c>
      <c r="N325" t="s">
        <v>1867</v>
      </c>
      <c r="O325" t="s">
        <v>26</v>
      </c>
      <c r="P325">
        <v>9.99</v>
      </c>
      <c r="R325">
        <v>9.99</v>
      </c>
      <c r="S325">
        <v>14.99</v>
      </c>
      <c r="T325" t="s">
        <v>1868</v>
      </c>
    </row>
    <row r="326" spans="1:20">
      <c r="A326">
        <v>299655</v>
      </c>
      <c r="B326" t="s">
        <v>1869</v>
      </c>
      <c r="C326" t="str">
        <f>"9781894663441"</f>
        <v>9781894663441</v>
      </c>
      <c r="D326" t="str">
        <f>"9781897414880"</f>
        <v>9781897414880</v>
      </c>
      <c r="E326" t="s">
        <v>1119</v>
      </c>
      <c r="F326" t="s">
        <v>1120</v>
      </c>
      <c r="G326" s="1">
        <v>37695</v>
      </c>
      <c r="J326" t="s">
        <v>1870</v>
      </c>
      <c r="K326" t="s">
        <v>423</v>
      </c>
      <c r="L326" t="s">
        <v>1871</v>
      </c>
      <c r="M326" t="s">
        <v>1872</v>
      </c>
      <c r="N326" t="s">
        <v>1873</v>
      </c>
      <c r="O326" t="s">
        <v>26</v>
      </c>
      <c r="P326">
        <v>16.95</v>
      </c>
      <c r="R326">
        <v>16.95</v>
      </c>
      <c r="S326">
        <v>25.43</v>
      </c>
      <c r="T326" t="s">
        <v>1874</v>
      </c>
    </row>
    <row r="327" spans="1:20">
      <c r="A327">
        <v>299656</v>
      </c>
      <c r="B327" t="s">
        <v>1875</v>
      </c>
      <c r="C327" t="str">
        <f>"9781895837759"</f>
        <v>9781895837759</v>
      </c>
      <c r="D327" t="str">
        <f>"9781897414378"</f>
        <v>9781897414378</v>
      </c>
      <c r="E327" t="s">
        <v>1119</v>
      </c>
      <c r="F327" t="s">
        <v>1120</v>
      </c>
      <c r="G327" s="1">
        <v>37026</v>
      </c>
      <c r="J327" t="s">
        <v>1784</v>
      </c>
      <c r="K327" t="s">
        <v>1458</v>
      </c>
      <c r="L327" t="s">
        <v>1876</v>
      </c>
      <c r="M327" t="s">
        <v>1460</v>
      </c>
      <c r="N327" t="s">
        <v>1877</v>
      </c>
      <c r="O327" t="s">
        <v>26</v>
      </c>
      <c r="P327">
        <v>15.95</v>
      </c>
      <c r="R327">
        <v>15.95</v>
      </c>
      <c r="S327">
        <v>23.93</v>
      </c>
      <c r="T327" t="s">
        <v>1878</v>
      </c>
    </row>
    <row r="328" spans="1:20">
      <c r="A328">
        <v>299657</v>
      </c>
      <c r="B328" t="s">
        <v>1879</v>
      </c>
      <c r="C328" t="str">
        <f>"9781894663557"</f>
        <v>9781894663557</v>
      </c>
      <c r="D328" t="str">
        <f>"9781897414811"</f>
        <v>9781897414811</v>
      </c>
      <c r="E328" t="s">
        <v>1119</v>
      </c>
      <c r="F328" t="s">
        <v>1120</v>
      </c>
      <c r="G328" s="1">
        <v>37895</v>
      </c>
      <c r="J328" t="s">
        <v>1880</v>
      </c>
      <c r="K328" t="s">
        <v>1464</v>
      </c>
      <c r="L328" t="s">
        <v>1881</v>
      </c>
      <c r="M328" t="s">
        <v>1882</v>
      </c>
      <c r="N328" t="s">
        <v>1883</v>
      </c>
      <c r="O328" t="s">
        <v>26</v>
      </c>
      <c r="P328">
        <v>9.9499999999999993</v>
      </c>
      <c r="R328">
        <v>9.9499999999999993</v>
      </c>
      <c r="S328">
        <v>14.93</v>
      </c>
      <c r="T328" t="s">
        <v>1884</v>
      </c>
    </row>
    <row r="329" spans="1:20">
      <c r="A329">
        <v>299658</v>
      </c>
      <c r="B329" t="s">
        <v>1885</v>
      </c>
      <c r="C329" t="str">
        <f>"9781895837452"</f>
        <v>9781895837452</v>
      </c>
      <c r="D329" t="str">
        <f>"9781897414484"</f>
        <v>9781897414484</v>
      </c>
      <c r="E329" t="s">
        <v>1119</v>
      </c>
      <c r="F329" t="s">
        <v>1120</v>
      </c>
      <c r="G329" s="1">
        <v>36053</v>
      </c>
      <c r="J329" t="s">
        <v>1886</v>
      </c>
      <c r="K329" t="s">
        <v>263</v>
      </c>
      <c r="L329" t="s">
        <v>1887</v>
      </c>
      <c r="M329">
        <v>303.39999999999998</v>
      </c>
      <c r="N329" t="s">
        <v>1888</v>
      </c>
      <c r="O329" t="s">
        <v>26</v>
      </c>
      <c r="P329">
        <v>16.95</v>
      </c>
      <c r="R329">
        <v>16.95</v>
      </c>
      <c r="S329">
        <v>25.43</v>
      </c>
      <c r="T329" t="s">
        <v>1889</v>
      </c>
    </row>
    <row r="330" spans="1:20">
      <c r="A330">
        <v>299659</v>
      </c>
      <c r="B330" t="s">
        <v>1890</v>
      </c>
      <c r="C330" t="str">
        <f>"9781894663298"</f>
        <v>9781894663298</v>
      </c>
      <c r="D330" t="str">
        <f>"9781897414927"</f>
        <v>9781897414927</v>
      </c>
      <c r="E330" t="s">
        <v>1119</v>
      </c>
      <c r="F330" t="s">
        <v>1120</v>
      </c>
      <c r="G330" s="1">
        <v>37544</v>
      </c>
      <c r="J330" t="s">
        <v>1891</v>
      </c>
      <c r="K330" t="s">
        <v>1892</v>
      </c>
      <c r="L330" t="s">
        <v>1893</v>
      </c>
      <c r="M330" t="s">
        <v>1894</v>
      </c>
      <c r="N330" t="s">
        <v>1895</v>
      </c>
      <c r="O330" t="s">
        <v>26</v>
      </c>
      <c r="P330">
        <v>15.95</v>
      </c>
      <c r="R330">
        <v>15.95</v>
      </c>
      <c r="S330">
        <v>23.93</v>
      </c>
      <c r="T330" t="s">
        <v>1896</v>
      </c>
    </row>
    <row r="331" spans="1:20">
      <c r="A331">
        <v>299660</v>
      </c>
      <c r="B331" t="s">
        <v>1897</v>
      </c>
      <c r="C331" t="str">
        <f>"9781894663922"</f>
        <v>9781894663922</v>
      </c>
      <c r="D331" t="str">
        <f>"9781897415863"</f>
        <v>9781897415863</v>
      </c>
      <c r="E331" t="s">
        <v>1119</v>
      </c>
      <c r="F331" t="s">
        <v>1120</v>
      </c>
      <c r="G331" s="1">
        <v>38443</v>
      </c>
      <c r="J331" t="s">
        <v>1898</v>
      </c>
      <c r="K331" t="s">
        <v>278</v>
      </c>
      <c r="L331" t="s">
        <v>1899</v>
      </c>
      <c r="M331" t="s">
        <v>1900</v>
      </c>
      <c r="N331" t="s">
        <v>1901</v>
      </c>
      <c r="O331" t="s">
        <v>26</v>
      </c>
      <c r="P331">
        <v>16.95</v>
      </c>
      <c r="R331">
        <v>16.95</v>
      </c>
      <c r="S331">
        <v>25.43</v>
      </c>
      <c r="T331" t="s">
        <v>1902</v>
      </c>
    </row>
    <row r="332" spans="1:20">
      <c r="A332">
        <v>299661</v>
      </c>
      <c r="B332" t="s">
        <v>1903</v>
      </c>
      <c r="C332" t="str">
        <f>"9781895837193"</f>
        <v>9781895837193</v>
      </c>
      <c r="D332" t="str">
        <f>"9781897414354"</f>
        <v>9781897414354</v>
      </c>
      <c r="E332" t="s">
        <v>1119</v>
      </c>
      <c r="F332" t="s">
        <v>1120</v>
      </c>
      <c r="G332" s="1">
        <v>35900</v>
      </c>
      <c r="J332" t="s">
        <v>1518</v>
      </c>
      <c r="K332" t="s">
        <v>1458</v>
      </c>
      <c r="L332" t="s">
        <v>1904</v>
      </c>
      <c r="M332" t="s">
        <v>1460</v>
      </c>
      <c r="N332" t="s">
        <v>1905</v>
      </c>
      <c r="O332" t="s">
        <v>26</v>
      </c>
      <c r="P332">
        <v>14.99</v>
      </c>
      <c r="R332">
        <v>14.99</v>
      </c>
      <c r="S332">
        <v>22.49</v>
      </c>
      <c r="T332" t="s">
        <v>1906</v>
      </c>
    </row>
    <row r="333" spans="1:20">
      <c r="A333">
        <v>299662</v>
      </c>
      <c r="B333" t="s">
        <v>1907</v>
      </c>
      <c r="C333" t="str">
        <f>"9781895837469"</f>
        <v>9781895837469</v>
      </c>
      <c r="D333" t="str">
        <f>"9781897414699"</f>
        <v>9781897414699</v>
      </c>
      <c r="E333" t="s">
        <v>1119</v>
      </c>
      <c r="F333" t="s">
        <v>1120</v>
      </c>
      <c r="G333" s="1">
        <v>36053</v>
      </c>
      <c r="J333" t="s">
        <v>1908</v>
      </c>
      <c r="K333" t="s">
        <v>1464</v>
      </c>
      <c r="L333" t="s">
        <v>1909</v>
      </c>
      <c r="M333" t="s">
        <v>1910</v>
      </c>
      <c r="N333" t="s">
        <v>1546</v>
      </c>
      <c r="O333" t="s">
        <v>26</v>
      </c>
      <c r="P333">
        <v>9.9499999999999993</v>
      </c>
      <c r="R333">
        <v>9.9499999999999993</v>
      </c>
      <c r="S333">
        <v>14.93</v>
      </c>
      <c r="T333" t="s">
        <v>1911</v>
      </c>
    </row>
    <row r="334" spans="1:20">
      <c r="A334">
        <v>299663</v>
      </c>
      <c r="B334" t="s">
        <v>1912</v>
      </c>
      <c r="C334" t="str">
        <f>"9781894663632"</f>
        <v>9781894663632</v>
      </c>
      <c r="D334" t="str">
        <f>"9781897414989"</f>
        <v>9781897414989</v>
      </c>
      <c r="E334" t="s">
        <v>1119</v>
      </c>
      <c r="F334" t="s">
        <v>1120</v>
      </c>
      <c r="G334" s="1">
        <v>38061</v>
      </c>
      <c r="J334" t="s">
        <v>1913</v>
      </c>
      <c r="K334" t="s">
        <v>263</v>
      </c>
      <c r="L334" t="s">
        <v>1914</v>
      </c>
      <c r="M334" t="s">
        <v>1915</v>
      </c>
      <c r="N334" t="s">
        <v>1916</v>
      </c>
      <c r="O334" t="s">
        <v>26</v>
      </c>
      <c r="P334">
        <v>16.95</v>
      </c>
      <c r="R334">
        <v>16.95</v>
      </c>
      <c r="S334">
        <v>25.43</v>
      </c>
      <c r="T334" t="s">
        <v>1917</v>
      </c>
    </row>
    <row r="335" spans="1:20">
      <c r="A335">
        <v>299664</v>
      </c>
      <c r="B335" t="s">
        <v>1918</v>
      </c>
      <c r="C335" t="str">
        <f>"9781894663540"</f>
        <v>9781894663540</v>
      </c>
      <c r="D335" t="str">
        <f>"9781897414248"</f>
        <v>9781897414248</v>
      </c>
      <c r="E335" t="s">
        <v>1119</v>
      </c>
      <c r="F335" t="s">
        <v>1120</v>
      </c>
      <c r="G335" s="1">
        <v>37895</v>
      </c>
      <c r="J335" t="s">
        <v>1919</v>
      </c>
      <c r="K335" t="s">
        <v>1458</v>
      </c>
      <c r="L335" t="s">
        <v>1920</v>
      </c>
      <c r="M335" t="s">
        <v>1460</v>
      </c>
      <c r="N335" t="s">
        <v>1921</v>
      </c>
      <c r="O335" t="s">
        <v>26</v>
      </c>
      <c r="P335">
        <v>16.95</v>
      </c>
      <c r="R335">
        <v>16.95</v>
      </c>
      <c r="S335">
        <v>25.43</v>
      </c>
      <c r="T335" t="s">
        <v>1922</v>
      </c>
    </row>
    <row r="336" spans="1:20">
      <c r="A336">
        <v>299666</v>
      </c>
      <c r="B336" t="s">
        <v>1923</v>
      </c>
      <c r="C336" t="str">
        <f>"9781895837155"</f>
        <v>9781895837155</v>
      </c>
      <c r="D336" t="str">
        <f>"9781897414194"</f>
        <v>9781897414194</v>
      </c>
      <c r="E336" t="s">
        <v>1119</v>
      </c>
      <c r="F336" t="s">
        <v>1120</v>
      </c>
      <c r="G336" s="1">
        <v>35688</v>
      </c>
      <c r="J336" t="s">
        <v>1924</v>
      </c>
      <c r="K336" t="s">
        <v>1458</v>
      </c>
      <c r="L336" t="s">
        <v>1925</v>
      </c>
      <c r="M336" t="s">
        <v>1460</v>
      </c>
      <c r="N336" t="s">
        <v>1926</v>
      </c>
      <c r="O336" t="s">
        <v>26</v>
      </c>
      <c r="P336">
        <v>14.99</v>
      </c>
      <c r="R336">
        <v>14.99</v>
      </c>
      <c r="S336">
        <v>22.49</v>
      </c>
      <c r="T336" t="s">
        <v>1927</v>
      </c>
    </row>
    <row r="337" spans="1:20">
      <c r="A337">
        <v>299667</v>
      </c>
      <c r="B337" t="s">
        <v>1928</v>
      </c>
      <c r="C337" t="str">
        <f>"9781895837872"</f>
        <v>9781895837872</v>
      </c>
      <c r="D337" t="str">
        <f>"9781897415948"</f>
        <v>9781897415948</v>
      </c>
      <c r="E337" t="s">
        <v>1119</v>
      </c>
      <c r="F337" t="s">
        <v>1120</v>
      </c>
      <c r="G337" s="1">
        <v>37026</v>
      </c>
      <c r="J337" t="s">
        <v>1929</v>
      </c>
      <c r="K337" t="s">
        <v>1930</v>
      </c>
      <c r="L337" t="s">
        <v>1931</v>
      </c>
      <c r="M337" t="s">
        <v>1932</v>
      </c>
      <c r="N337" t="s">
        <v>1933</v>
      </c>
      <c r="O337" t="s">
        <v>26</v>
      </c>
      <c r="P337">
        <v>16.95</v>
      </c>
      <c r="R337">
        <v>16.95</v>
      </c>
      <c r="S337">
        <v>25.43</v>
      </c>
      <c r="T337" t="s">
        <v>1934</v>
      </c>
    </row>
    <row r="338" spans="1:20">
      <c r="A338">
        <v>299668</v>
      </c>
      <c r="B338" t="s">
        <v>1935</v>
      </c>
      <c r="C338" t="str">
        <f>"9781894663250"</f>
        <v>9781894663250</v>
      </c>
      <c r="D338" t="str">
        <f>"9781897414804"</f>
        <v>9781897414804</v>
      </c>
      <c r="E338" t="s">
        <v>1119</v>
      </c>
      <c r="F338" t="s">
        <v>1120</v>
      </c>
      <c r="G338" s="1">
        <v>37544</v>
      </c>
      <c r="J338" t="s">
        <v>1936</v>
      </c>
      <c r="K338" t="s">
        <v>1464</v>
      </c>
      <c r="L338" t="s">
        <v>1937</v>
      </c>
      <c r="M338" t="s">
        <v>1466</v>
      </c>
      <c r="N338" t="s">
        <v>1938</v>
      </c>
      <c r="O338" t="s">
        <v>26</v>
      </c>
      <c r="P338">
        <v>7.95</v>
      </c>
      <c r="R338">
        <v>7.95</v>
      </c>
      <c r="S338">
        <v>11.93</v>
      </c>
      <c r="T338" t="s">
        <v>1939</v>
      </c>
    </row>
    <row r="339" spans="1:20">
      <c r="A339">
        <v>299669</v>
      </c>
      <c r="B339" t="s">
        <v>1940</v>
      </c>
      <c r="C339" t="str">
        <f>"9781894663496"</f>
        <v>9781894663496</v>
      </c>
      <c r="D339" t="str">
        <f>"9781897414637"</f>
        <v>9781897414637</v>
      </c>
      <c r="E339" t="s">
        <v>1119</v>
      </c>
      <c r="F339" t="s">
        <v>1120</v>
      </c>
      <c r="G339" s="1">
        <v>37895</v>
      </c>
      <c r="J339" t="s">
        <v>1941</v>
      </c>
      <c r="K339" t="s">
        <v>1942</v>
      </c>
      <c r="L339" t="s">
        <v>1943</v>
      </c>
      <c r="M339">
        <v>212.5</v>
      </c>
      <c r="N339" t="s">
        <v>1944</v>
      </c>
      <c r="O339" t="s">
        <v>26</v>
      </c>
      <c r="P339">
        <v>7.95</v>
      </c>
      <c r="R339">
        <v>7.95</v>
      </c>
      <c r="S339">
        <v>11.93</v>
      </c>
      <c r="T339" t="s">
        <v>1945</v>
      </c>
    </row>
    <row r="340" spans="1:20">
      <c r="A340">
        <v>299670</v>
      </c>
      <c r="B340" t="s">
        <v>1946</v>
      </c>
      <c r="C340" t="str">
        <f>"9781894663342"</f>
        <v>9781894663342</v>
      </c>
      <c r="D340" t="str">
        <f>"9781897414101"</f>
        <v>9781897414101</v>
      </c>
      <c r="E340" t="s">
        <v>1119</v>
      </c>
      <c r="F340" t="s">
        <v>1120</v>
      </c>
      <c r="G340" s="1">
        <v>37544</v>
      </c>
      <c r="J340" t="s">
        <v>1947</v>
      </c>
      <c r="K340" t="s">
        <v>1464</v>
      </c>
      <c r="L340" t="s">
        <v>1948</v>
      </c>
      <c r="M340">
        <v>811.00900000000001</v>
      </c>
      <c r="N340" t="s">
        <v>1949</v>
      </c>
      <c r="O340" t="s">
        <v>26</v>
      </c>
      <c r="P340">
        <v>15.95</v>
      </c>
      <c r="R340">
        <v>15.95</v>
      </c>
      <c r="S340">
        <v>23.93</v>
      </c>
      <c r="T340" t="s">
        <v>1950</v>
      </c>
    </row>
    <row r="341" spans="1:20">
      <c r="A341">
        <v>299671</v>
      </c>
      <c r="B341" t="s">
        <v>1951</v>
      </c>
      <c r="C341" t="str">
        <f>"9781894663953"</f>
        <v>9781894663953</v>
      </c>
      <c r="D341" t="str">
        <f>"9781897414057"</f>
        <v>9781897414057</v>
      </c>
      <c r="E341" t="s">
        <v>1119</v>
      </c>
      <c r="F341" t="s">
        <v>1120</v>
      </c>
      <c r="G341" s="1">
        <v>38596</v>
      </c>
      <c r="J341" t="s">
        <v>1952</v>
      </c>
      <c r="K341" t="s">
        <v>1458</v>
      </c>
      <c r="L341" t="s">
        <v>1953</v>
      </c>
      <c r="M341" t="s">
        <v>1460</v>
      </c>
      <c r="N341" t="s">
        <v>1954</v>
      </c>
      <c r="O341" t="s">
        <v>26</v>
      </c>
      <c r="P341">
        <v>15.95</v>
      </c>
      <c r="R341">
        <v>15.95</v>
      </c>
      <c r="S341">
        <v>23.93</v>
      </c>
      <c r="T341" t="s">
        <v>1955</v>
      </c>
    </row>
    <row r="342" spans="1:20">
      <c r="A342">
        <v>299672</v>
      </c>
      <c r="B342" t="s">
        <v>1956</v>
      </c>
      <c r="C342" t="str">
        <f>"9781895837704"</f>
        <v>9781895837704</v>
      </c>
      <c r="D342" t="str">
        <f>"9781897414125"</f>
        <v>9781897414125</v>
      </c>
      <c r="E342" t="s">
        <v>1119</v>
      </c>
      <c r="F342" t="s">
        <v>1120</v>
      </c>
      <c r="G342" s="1">
        <v>36418</v>
      </c>
      <c r="J342" t="s">
        <v>1957</v>
      </c>
      <c r="K342" t="s">
        <v>1458</v>
      </c>
      <c r="L342" t="s">
        <v>1958</v>
      </c>
      <c r="M342" t="s">
        <v>1959</v>
      </c>
      <c r="N342" t="s">
        <v>1960</v>
      </c>
      <c r="O342" t="s">
        <v>26</v>
      </c>
      <c r="P342">
        <v>15.99</v>
      </c>
      <c r="R342">
        <v>15.99</v>
      </c>
      <c r="S342">
        <v>23.99</v>
      </c>
      <c r="T342" t="s">
        <v>1961</v>
      </c>
    </row>
    <row r="343" spans="1:20">
      <c r="A343">
        <v>299673</v>
      </c>
      <c r="B343" t="s">
        <v>1962</v>
      </c>
      <c r="C343" t="str">
        <f>"9781897178249"</f>
        <v>9781897178249</v>
      </c>
      <c r="D343" t="str">
        <f>"9781897414149"</f>
        <v>9781897414149</v>
      </c>
      <c r="E343" t="s">
        <v>1119</v>
      </c>
      <c r="F343" t="s">
        <v>1120</v>
      </c>
      <c r="G343" s="1">
        <v>38961</v>
      </c>
      <c r="J343" t="s">
        <v>1489</v>
      </c>
      <c r="K343" t="s">
        <v>1458</v>
      </c>
      <c r="L343" t="s">
        <v>1963</v>
      </c>
      <c r="M343" t="s">
        <v>1503</v>
      </c>
      <c r="N343" t="s">
        <v>1964</v>
      </c>
      <c r="O343" t="s">
        <v>26</v>
      </c>
      <c r="P343">
        <v>16.95</v>
      </c>
      <c r="R343">
        <v>16.95</v>
      </c>
      <c r="S343">
        <v>25.43</v>
      </c>
      <c r="T343" t="s">
        <v>1965</v>
      </c>
    </row>
    <row r="344" spans="1:20">
      <c r="A344">
        <v>299676</v>
      </c>
      <c r="B344" t="s">
        <v>1966</v>
      </c>
      <c r="C344" t="str">
        <f>"9781894663175"</f>
        <v>9781894663175</v>
      </c>
      <c r="D344" t="str">
        <f>"9781897414026"</f>
        <v>9781897414026</v>
      </c>
      <c r="E344" t="s">
        <v>1119</v>
      </c>
      <c r="F344" t="s">
        <v>1120</v>
      </c>
      <c r="G344" s="1">
        <v>37361</v>
      </c>
      <c r="J344" t="s">
        <v>1967</v>
      </c>
      <c r="K344" t="s">
        <v>1458</v>
      </c>
      <c r="L344" t="s">
        <v>1968</v>
      </c>
      <c r="M344" t="s">
        <v>1460</v>
      </c>
      <c r="N344" t="s">
        <v>1969</v>
      </c>
      <c r="O344" t="s">
        <v>26</v>
      </c>
      <c r="P344">
        <v>15.95</v>
      </c>
      <c r="R344">
        <v>15.95</v>
      </c>
      <c r="S344">
        <v>23.93</v>
      </c>
      <c r="T344" t="s">
        <v>1970</v>
      </c>
    </row>
    <row r="345" spans="1:20">
      <c r="A345">
        <v>299677</v>
      </c>
      <c r="B345" t="s">
        <v>1971</v>
      </c>
      <c r="C345" t="str">
        <f>"9781894663977"</f>
        <v>9781894663977</v>
      </c>
      <c r="D345" t="str">
        <f>"9781897414279"</f>
        <v>9781897414279</v>
      </c>
      <c r="E345" t="s">
        <v>1119</v>
      </c>
      <c r="F345" t="s">
        <v>1120</v>
      </c>
      <c r="G345" s="1">
        <v>38596</v>
      </c>
      <c r="J345" t="s">
        <v>1489</v>
      </c>
      <c r="K345" t="s">
        <v>1458</v>
      </c>
      <c r="L345" t="s">
        <v>1972</v>
      </c>
      <c r="M345" t="s">
        <v>1509</v>
      </c>
      <c r="N345" t="s">
        <v>1973</v>
      </c>
      <c r="O345" t="s">
        <v>26</v>
      </c>
      <c r="P345">
        <v>16.95</v>
      </c>
      <c r="R345">
        <v>16.95</v>
      </c>
      <c r="S345">
        <v>25.43</v>
      </c>
      <c r="T345" t="s">
        <v>1974</v>
      </c>
    </row>
    <row r="346" spans="1:20">
      <c r="A346">
        <v>299678</v>
      </c>
      <c r="B346" t="s">
        <v>1975</v>
      </c>
      <c r="C346" t="str">
        <f>"9781894663274"</f>
        <v>9781894663274</v>
      </c>
      <c r="D346" t="str">
        <f>"9781897414415"</f>
        <v>9781897414415</v>
      </c>
      <c r="E346" t="s">
        <v>1119</v>
      </c>
      <c r="F346" t="s">
        <v>1120</v>
      </c>
      <c r="G346" s="1">
        <v>37531</v>
      </c>
      <c r="J346" t="s">
        <v>1518</v>
      </c>
      <c r="K346" t="s">
        <v>1458</v>
      </c>
      <c r="L346" t="s">
        <v>1976</v>
      </c>
      <c r="M346" t="s">
        <v>1460</v>
      </c>
      <c r="N346" t="s">
        <v>1977</v>
      </c>
      <c r="O346" t="s">
        <v>26</v>
      </c>
      <c r="P346">
        <v>15.95</v>
      </c>
      <c r="R346">
        <v>15.95</v>
      </c>
      <c r="S346">
        <v>23.93</v>
      </c>
      <c r="T346" t="s">
        <v>1978</v>
      </c>
    </row>
    <row r="347" spans="1:20">
      <c r="A347">
        <v>299679</v>
      </c>
      <c r="B347" t="s">
        <v>1979</v>
      </c>
      <c r="C347" t="str">
        <f>"9781897178263"</f>
        <v>9781897178263</v>
      </c>
      <c r="D347" t="str">
        <f>"9781897414064"</f>
        <v>9781897414064</v>
      </c>
      <c r="E347" t="s">
        <v>1119</v>
      </c>
      <c r="F347" t="s">
        <v>1120</v>
      </c>
      <c r="G347" s="1">
        <v>38961</v>
      </c>
      <c r="J347" t="s">
        <v>1980</v>
      </c>
      <c r="K347" t="s">
        <v>1458</v>
      </c>
      <c r="L347" t="s">
        <v>1981</v>
      </c>
      <c r="M347" t="s">
        <v>1982</v>
      </c>
      <c r="N347" t="s">
        <v>1983</v>
      </c>
      <c r="O347" t="s">
        <v>26</v>
      </c>
      <c r="P347">
        <v>16.95</v>
      </c>
      <c r="R347">
        <v>16.95</v>
      </c>
      <c r="S347">
        <v>25.43</v>
      </c>
      <c r="T347" t="s">
        <v>1984</v>
      </c>
    </row>
    <row r="348" spans="1:20">
      <c r="A348">
        <v>299680</v>
      </c>
      <c r="B348" t="s">
        <v>1985</v>
      </c>
      <c r="C348" t="str">
        <f>"9781895837476"</f>
        <v>9781895837476</v>
      </c>
      <c r="D348" t="str">
        <f>"9781897415894"</f>
        <v>9781897415894</v>
      </c>
      <c r="E348" t="s">
        <v>1119</v>
      </c>
      <c r="F348" t="s">
        <v>1120</v>
      </c>
      <c r="G348" s="1">
        <v>36418</v>
      </c>
      <c r="J348" t="s">
        <v>1986</v>
      </c>
      <c r="K348" t="s">
        <v>278</v>
      </c>
      <c r="L348" t="s">
        <v>1987</v>
      </c>
      <c r="M348" t="s">
        <v>1988</v>
      </c>
      <c r="N348" t="s">
        <v>1989</v>
      </c>
      <c r="O348" t="s">
        <v>26</v>
      </c>
      <c r="P348">
        <v>15.99</v>
      </c>
      <c r="R348">
        <v>15.99</v>
      </c>
      <c r="S348">
        <v>23.99</v>
      </c>
      <c r="T348" t="s">
        <v>1990</v>
      </c>
    </row>
    <row r="349" spans="1:20">
      <c r="A349">
        <v>299681</v>
      </c>
      <c r="B349" t="s">
        <v>1991</v>
      </c>
      <c r="C349" t="str">
        <f>"9781895837254"</f>
        <v>9781895837254</v>
      </c>
      <c r="D349" t="str">
        <f>"9781897414361"</f>
        <v>9781897414361</v>
      </c>
      <c r="E349" t="s">
        <v>1119</v>
      </c>
      <c r="F349" t="s">
        <v>1120</v>
      </c>
      <c r="G349" s="1">
        <v>35900</v>
      </c>
      <c r="J349" t="s">
        <v>1992</v>
      </c>
      <c r="K349" t="s">
        <v>1458</v>
      </c>
      <c r="L349" t="s">
        <v>1993</v>
      </c>
      <c r="M349" t="s">
        <v>1959</v>
      </c>
      <c r="N349" t="s">
        <v>1568</v>
      </c>
      <c r="O349" t="s">
        <v>26</v>
      </c>
      <c r="P349">
        <v>14.99</v>
      </c>
      <c r="R349">
        <v>14.99</v>
      </c>
      <c r="S349">
        <v>22.49</v>
      </c>
      <c r="T349" t="s">
        <v>1994</v>
      </c>
    </row>
    <row r="350" spans="1:20">
      <c r="A350">
        <v>299682</v>
      </c>
      <c r="B350" t="s">
        <v>1995</v>
      </c>
      <c r="C350" t="str">
        <f>"9781894663533"</f>
        <v>9781894663533</v>
      </c>
      <c r="D350" t="str">
        <f>"9781897414040"</f>
        <v>9781897414040</v>
      </c>
      <c r="E350" t="s">
        <v>1119</v>
      </c>
      <c r="F350" t="s">
        <v>1120</v>
      </c>
      <c r="G350" s="1">
        <v>37895</v>
      </c>
      <c r="J350" t="s">
        <v>1996</v>
      </c>
      <c r="K350" t="s">
        <v>1458</v>
      </c>
      <c r="L350" t="s">
        <v>1997</v>
      </c>
      <c r="M350" t="s">
        <v>1503</v>
      </c>
      <c r="N350" t="s">
        <v>1998</v>
      </c>
      <c r="O350" t="s">
        <v>26</v>
      </c>
      <c r="P350">
        <v>16.95</v>
      </c>
      <c r="R350">
        <v>16.95</v>
      </c>
      <c r="S350">
        <v>25.43</v>
      </c>
      <c r="T350" t="s">
        <v>1999</v>
      </c>
    </row>
    <row r="351" spans="1:20">
      <c r="A351">
        <v>299683</v>
      </c>
      <c r="B351" t="s">
        <v>2000</v>
      </c>
      <c r="C351" t="str">
        <f>"9781895837049"</f>
        <v>9781895837049</v>
      </c>
      <c r="D351" t="str">
        <f>"9781897414002"</f>
        <v>9781897414002</v>
      </c>
      <c r="E351" t="s">
        <v>1119</v>
      </c>
      <c r="F351" t="s">
        <v>1120</v>
      </c>
      <c r="G351" s="1">
        <v>37026</v>
      </c>
      <c r="J351" t="s">
        <v>1936</v>
      </c>
      <c r="K351" t="s">
        <v>1458</v>
      </c>
      <c r="L351" t="s">
        <v>2001</v>
      </c>
      <c r="M351" t="s">
        <v>1509</v>
      </c>
      <c r="N351" t="s">
        <v>2002</v>
      </c>
      <c r="O351" t="s">
        <v>26</v>
      </c>
      <c r="P351">
        <v>15.95</v>
      </c>
      <c r="R351">
        <v>15.95</v>
      </c>
      <c r="S351">
        <v>23.93</v>
      </c>
      <c r="T351" t="s">
        <v>2003</v>
      </c>
    </row>
    <row r="352" spans="1:20">
      <c r="A352">
        <v>299684</v>
      </c>
      <c r="B352" t="s">
        <v>2004</v>
      </c>
      <c r="C352" t="str">
        <f>"9781895837063"</f>
        <v>9781895837063</v>
      </c>
      <c r="D352" t="str">
        <f>"9781897414651"</f>
        <v>9781897414651</v>
      </c>
      <c r="E352" t="s">
        <v>1119</v>
      </c>
      <c r="F352" t="s">
        <v>1120</v>
      </c>
      <c r="G352" s="1">
        <v>37026</v>
      </c>
      <c r="J352" t="s">
        <v>2005</v>
      </c>
      <c r="K352" t="s">
        <v>1458</v>
      </c>
      <c r="L352" t="s">
        <v>2006</v>
      </c>
      <c r="M352" t="s">
        <v>2007</v>
      </c>
      <c r="N352" t="s">
        <v>2008</v>
      </c>
      <c r="O352" t="s">
        <v>26</v>
      </c>
      <c r="P352">
        <v>15.95</v>
      </c>
      <c r="R352">
        <v>15.95</v>
      </c>
      <c r="S352">
        <v>23.93</v>
      </c>
      <c r="T352" t="s">
        <v>2009</v>
      </c>
    </row>
    <row r="353" spans="1:20">
      <c r="A353">
        <v>299685</v>
      </c>
      <c r="B353" t="s">
        <v>2010</v>
      </c>
      <c r="C353" t="str">
        <f>"9781895837322"</f>
        <v>9781895837322</v>
      </c>
      <c r="D353" t="str">
        <f>"9781897414088"</f>
        <v>9781897414088</v>
      </c>
      <c r="E353" t="s">
        <v>1119</v>
      </c>
      <c r="F353" t="s">
        <v>1120</v>
      </c>
      <c r="G353" s="1">
        <v>34921</v>
      </c>
      <c r="J353" t="s">
        <v>1824</v>
      </c>
      <c r="K353" t="s">
        <v>1464</v>
      </c>
      <c r="L353" t="s">
        <v>2011</v>
      </c>
      <c r="M353" t="s">
        <v>2012</v>
      </c>
      <c r="N353" t="s">
        <v>2013</v>
      </c>
      <c r="O353" t="s">
        <v>26</v>
      </c>
      <c r="P353">
        <v>9.99</v>
      </c>
      <c r="R353">
        <v>9.99</v>
      </c>
      <c r="S353">
        <v>14.99</v>
      </c>
      <c r="T353" t="s">
        <v>2014</v>
      </c>
    </row>
    <row r="354" spans="1:20">
      <c r="A354">
        <v>299686</v>
      </c>
      <c r="B354" t="s">
        <v>2015</v>
      </c>
      <c r="C354" t="str">
        <f>"9781895837568"</f>
        <v>9781895837568</v>
      </c>
      <c r="D354" t="str">
        <f>"9781897415979"</f>
        <v>9781897415979</v>
      </c>
      <c r="E354" t="s">
        <v>1119</v>
      </c>
      <c r="F354" t="s">
        <v>1120</v>
      </c>
      <c r="G354" s="1">
        <v>36234</v>
      </c>
      <c r="J354" t="s">
        <v>1518</v>
      </c>
      <c r="K354" t="s">
        <v>1458</v>
      </c>
      <c r="L354" t="s">
        <v>2016</v>
      </c>
      <c r="M354" t="s">
        <v>1460</v>
      </c>
      <c r="N354" t="s">
        <v>2017</v>
      </c>
      <c r="O354" t="s">
        <v>26</v>
      </c>
      <c r="P354">
        <v>14.99</v>
      </c>
      <c r="R354">
        <v>14.99</v>
      </c>
      <c r="S354">
        <v>22.49</v>
      </c>
      <c r="T354" t="s">
        <v>2018</v>
      </c>
    </row>
    <row r="355" spans="1:20">
      <c r="A355">
        <v>299687</v>
      </c>
      <c r="B355" t="s">
        <v>2019</v>
      </c>
      <c r="C355" t="str">
        <f>"9781894663519"</f>
        <v>9781894663519</v>
      </c>
      <c r="D355" t="str">
        <f>"9781897414491"</f>
        <v>9781897414491</v>
      </c>
      <c r="E355" t="s">
        <v>1119</v>
      </c>
      <c r="F355" t="s">
        <v>1120</v>
      </c>
      <c r="G355" s="1">
        <v>37895</v>
      </c>
      <c r="J355" t="s">
        <v>1624</v>
      </c>
      <c r="K355" t="s">
        <v>263</v>
      </c>
      <c r="L355" t="s">
        <v>2020</v>
      </c>
      <c r="M355" t="s">
        <v>2021</v>
      </c>
      <c r="N355" t="s">
        <v>2022</v>
      </c>
      <c r="O355" t="s">
        <v>26</v>
      </c>
      <c r="P355">
        <v>16.95</v>
      </c>
      <c r="R355">
        <v>16.95</v>
      </c>
      <c r="S355">
        <v>25.43</v>
      </c>
      <c r="T355" t="s">
        <v>2023</v>
      </c>
    </row>
    <row r="356" spans="1:20">
      <c r="A356">
        <v>299688</v>
      </c>
      <c r="B356" t="s">
        <v>2024</v>
      </c>
      <c r="C356" t="str">
        <f>"9781897178256"</f>
        <v>9781897178256</v>
      </c>
      <c r="D356" t="str">
        <f>"9781897414156"</f>
        <v>9781897414156</v>
      </c>
      <c r="E356" t="s">
        <v>1119</v>
      </c>
      <c r="F356" t="s">
        <v>1120</v>
      </c>
      <c r="G356" s="1">
        <v>38961</v>
      </c>
      <c r="J356" t="s">
        <v>2025</v>
      </c>
      <c r="K356" t="s">
        <v>1458</v>
      </c>
      <c r="L356" t="s">
        <v>2026</v>
      </c>
      <c r="M356" t="s">
        <v>1503</v>
      </c>
      <c r="N356" t="s">
        <v>2027</v>
      </c>
      <c r="O356" t="s">
        <v>26</v>
      </c>
      <c r="P356">
        <v>16.95</v>
      </c>
      <c r="R356">
        <v>16.95</v>
      </c>
      <c r="S356">
        <v>25.43</v>
      </c>
      <c r="T356" t="s">
        <v>2028</v>
      </c>
    </row>
    <row r="357" spans="1:20">
      <c r="A357">
        <v>299690</v>
      </c>
      <c r="B357" t="s">
        <v>2029</v>
      </c>
      <c r="C357" t="str">
        <f>"9781894663304"</f>
        <v>9781894663304</v>
      </c>
      <c r="D357" t="str">
        <f>"9781897415788"</f>
        <v>9781897415788</v>
      </c>
      <c r="E357" t="s">
        <v>1119</v>
      </c>
      <c r="F357" t="s">
        <v>1120</v>
      </c>
      <c r="G357" s="1">
        <v>37544</v>
      </c>
      <c r="J357" t="s">
        <v>1734</v>
      </c>
      <c r="K357" t="s">
        <v>305</v>
      </c>
      <c r="L357" t="s">
        <v>2030</v>
      </c>
      <c r="M357" t="s">
        <v>2031</v>
      </c>
      <c r="N357" t="s">
        <v>2032</v>
      </c>
      <c r="O357" t="s">
        <v>26</v>
      </c>
      <c r="P357">
        <v>15.95</v>
      </c>
      <c r="R357">
        <v>15.95</v>
      </c>
      <c r="S357">
        <v>23.93</v>
      </c>
      <c r="T357" t="s">
        <v>2033</v>
      </c>
    </row>
    <row r="358" spans="1:20">
      <c r="A358">
        <v>299691</v>
      </c>
      <c r="B358" t="s">
        <v>2034</v>
      </c>
      <c r="C358" t="str">
        <f>"9781894663892"</f>
        <v>9781894663892</v>
      </c>
      <c r="D358" t="str">
        <f>"9781897415856"</f>
        <v>9781897415856</v>
      </c>
      <c r="E358" t="s">
        <v>1119</v>
      </c>
      <c r="F358" t="s">
        <v>1120</v>
      </c>
      <c r="G358" s="1">
        <v>38443</v>
      </c>
      <c r="J358" t="s">
        <v>1121</v>
      </c>
      <c r="K358" t="s">
        <v>416</v>
      </c>
      <c r="L358" t="s">
        <v>2035</v>
      </c>
      <c r="M358" t="s">
        <v>2036</v>
      </c>
      <c r="N358" t="s">
        <v>2037</v>
      </c>
      <c r="O358" t="s">
        <v>26</v>
      </c>
      <c r="P358">
        <v>16.95</v>
      </c>
      <c r="R358">
        <v>16.95</v>
      </c>
      <c r="S358">
        <v>25.43</v>
      </c>
      <c r="T358" t="s">
        <v>2038</v>
      </c>
    </row>
    <row r="359" spans="1:20">
      <c r="A359">
        <v>299692</v>
      </c>
      <c r="B359" t="s">
        <v>2039</v>
      </c>
      <c r="C359" t="str">
        <f>"9781894663465"</f>
        <v>9781894663465</v>
      </c>
      <c r="D359" t="str">
        <f>"9781897414132"</f>
        <v>9781897414132</v>
      </c>
      <c r="E359" t="s">
        <v>1119</v>
      </c>
      <c r="F359" t="s">
        <v>1120</v>
      </c>
      <c r="G359" s="1">
        <v>37695</v>
      </c>
      <c r="J359" t="s">
        <v>2040</v>
      </c>
      <c r="K359" t="s">
        <v>263</v>
      </c>
      <c r="L359" t="s">
        <v>2041</v>
      </c>
      <c r="M359" t="s">
        <v>2042</v>
      </c>
      <c r="N359" t="s">
        <v>2043</v>
      </c>
      <c r="O359" t="s">
        <v>26</v>
      </c>
      <c r="P359">
        <v>16.95</v>
      </c>
      <c r="R359">
        <v>16.95</v>
      </c>
      <c r="S359">
        <v>25.43</v>
      </c>
      <c r="T359" t="s">
        <v>2044</v>
      </c>
    </row>
    <row r="360" spans="1:20">
      <c r="A360">
        <v>299693</v>
      </c>
      <c r="B360" t="s">
        <v>2045</v>
      </c>
      <c r="C360" t="str">
        <f>"9781897178225"</f>
        <v>9781897178225</v>
      </c>
      <c r="D360" t="str">
        <f>"9781897414934"</f>
        <v>9781897414934</v>
      </c>
      <c r="E360" t="s">
        <v>1119</v>
      </c>
      <c r="F360" t="s">
        <v>1120</v>
      </c>
      <c r="G360" s="1">
        <v>38961</v>
      </c>
      <c r="J360" t="s">
        <v>2046</v>
      </c>
      <c r="K360" t="s">
        <v>1127</v>
      </c>
      <c r="L360" t="s">
        <v>2047</v>
      </c>
      <c r="M360" t="s">
        <v>2048</v>
      </c>
      <c r="N360" t="s">
        <v>2049</v>
      </c>
      <c r="O360" t="s">
        <v>26</v>
      </c>
      <c r="P360">
        <v>16.95</v>
      </c>
      <c r="R360">
        <v>16.95</v>
      </c>
      <c r="S360">
        <v>25.43</v>
      </c>
      <c r="T360" t="s">
        <v>2050</v>
      </c>
    </row>
    <row r="361" spans="1:20">
      <c r="A361">
        <v>299696</v>
      </c>
      <c r="B361" t="s">
        <v>2051</v>
      </c>
      <c r="C361" t="str">
        <f>"9781894663793"</f>
        <v>9781894663793</v>
      </c>
      <c r="D361" t="str">
        <f>"9781897415825"</f>
        <v>9781897415825</v>
      </c>
      <c r="E361" t="s">
        <v>1119</v>
      </c>
      <c r="F361" t="s">
        <v>1120</v>
      </c>
      <c r="G361" s="1">
        <v>38261</v>
      </c>
      <c r="J361" t="s">
        <v>2052</v>
      </c>
      <c r="K361" t="s">
        <v>278</v>
      </c>
      <c r="L361" t="s">
        <v>2053</v>
      </c>
      <c r="M361" t="s">
        <v>2054</v>
      </c>
      <c r="N361" t="s">
        <v>2055</v>
      </c>
      <c r="O361" t="s">
        <v>26</v>
      </c>
      <c r="P361">
        <v>16.95</v>
      </c>
      <c r="R361">
        <v>16.95</v>
      </c>
      <c r="S361">
        <v>25.43</v>
      </c>
      <c r="T361" t="s">
        <v>2056</v>
      </c>
    </row>
    <row r="362" spans="1:20">
      <c r="A362">
        <v>299698</v>
      </c>
      <c r="B362" t="s">
        <v>2057</v>
      </c>
      <c r="C362" t="str">
        <f>"9781895837728"</f>
        <v>9781895837728</v>
      </c>
      <c r="D362" t="str">
        <f>"9781897415757"</f>
        <v>9781897415757</v>
      </c>
      <c r="E362" t="s">
        <v>1119</v>
      </c>
      <c r="F362" t="s">
        <v>1120</v>
      </c>
      <c r="G362" s="1">
        <v>36418</v>
      </c>
      <c r="J362" t="s">
        <v>1600</v>
      </c>
      <c r="K362" t="s">
        <v>305</v>
      </c>
      <c r="L362" t="s">
        <v>2058</v>
      </c>
      <c r="M362" t="s">
        <v>2059</v>
      </c>
      <c r="N362" t="s">
        <v>2060</v>
      </c>
      <c r="O362" t="s">
        <v>26</v>
      </c>
      <c r="P362">
        <v>15.99</v>
      </c>
      <c r="R362">
        <v>15.99</v>
      </c>
      <c r="S362">
        <v>23.99</v>
      </c>
      <c r="T362" t="s">
        <v>2061</v>
      </c>
    </row>
    <row r="363" spans="1:20">
      <c r="A363">
        <v>299699</v>
      </c>
      <c r="B363" t="s">
        <v>2062</v>
      </c>
      <c r="C363" t="str">
        <f>"9781895837339"</f>
        <v>9781895837339</v>
      </c>
      <c r="D363" t="str">
        <f>"9781897415740"</f>
        <v>9781897415740</v>
      </c>
      <c r="E363" t="s">
        <v>1119</v>
      </c>
      <c r="F363" t="s">
        <v>1120</v>
      </c>
      <c r="G363" s="1">
        <v>36053</v>
      </c>
      <c r="J363" t="s">
        <v>2063</v>
      </c>
      <c r="K363" t="s">
        <v>416</v>
      </c>
      <c r="L363" t="s">
        <v>2064</v>
      </c>
      <c r="M363" t="s">
        <v>2065</v>
      </c>
      <c r="N363" t="s">
        <v>2066</v>
      </c>
      <c r="O363" t="s">
        <v>26</v>
      </c>
      <c r="P363">
        <v>15.99</v>
      </c>
      <c r="R363">
        <v>15.99</v>
      </c>
      <c r="S363">
        <v>23.99</v>
      </c>
      <c r="T363" t="s">
        <v>2067</v>
      </c>
    </row>
    <row r="364" spans="1:20">
      <c r="A364">
        <v>299701</v>
      </c>
      <c r="B364" t="s">
        <v>2068</v>
      </c>
      <c r="C364" t="str">
        <f>"9781894663847"</f>
        <v>9781894663847</v>
      </c>
      <c r="D364" t="str">
        <f>"9781897414187"</f>
        <v>9781897414187</v>
      </c>
      <c r="E364" t="s">
        <v>1119</v>
      </c>
      <c r="F364" t="s">
        <v>1120</v>
      </c>
      <c r="G364" s="1">
        <v>38443</v>
      </c>
      <c r="J364" t="s">
        <v>1594</v>
      </c>
      <c r="K364" t="s">
        <v>1458</v>
      </c>
      <c r="L364" t="s">
        <v>2069</v>
      </c>
      <c r="M364" t="s">
        <v>1596</v>
      </c>
      <c r="N364" t="s">
        <v>2070</v>
      </c>
      <c r="O364" t="s">
        <v>26</v>
      </c>
      <c r="P364">
        <v>16.95</v>
      </c>
      <c r="R364">
        <v>16.95</v>
      </c>
      <c r="S364">
        <v>25.43</v>
      </c>
      <c r="T364" t="s">
        <v>2071</v>
      </c>
    </row>
    <row r="365" spans="1:20">
      <c r="A365">
        <v>299702</v>
      </c>
      <c r="B365" t="s">
        <v>2072</v>
      </c>
      <c r="C365" t="str">
        <f>"9781897178065"</f>
        <v>9781897178065</v>
      </c>
      <c r="D365" t="str">
        <f>"9781897415900"</f>
        <v>9781897415900</v>
      </c>
      <c r="E365" t="s">
        <v>1119</v>
      </c>
      <c r="F365" t="s">
        <v>1120</v>
      </c>
      <c r="G365" s="1">
        <v>38961</v>
      </c>
      <c r="J365" t="s">
        <v>1582</v>
      </c>
      <c r="K365" t="s">
        <v>2073</v>
      </c>
      <c r="L365" t="s">
        <v>2074</v>
      </c>
      <c r="M365" t="s">
        <v>2075</v>
      </c>
      <c r="N365" t="s">
        <v>2076</v>
      </c>
      <c r="O365" t="s">
        <v>26</v>
      </c>
      <c r="P365">
        <v>16.95</v>
      </c>
      <c r="R365">
        <v>16.95</v>
      </c>
      <c r="S365">
        <v>25.43</v>
      </c>
      <c r="T365" t="s">
        <v>2077</v>
      </c>
    </row>
    <row r="366" spans="1:20">
      <c r="A366">
        <v>299703</v>
      </c>
      <c r="B366" t="s">
        <v>2078</v>
      </c>
      <c r="C366" t="str">
        <f>"9781895837179"</f>
        <v>9781895837179</v>
      </c>
      <c r="D366" t="str">
        <f>"9781897414767"</f>
        <v>9781897414767</v>
      </c>
      <c r="E366" t="s">
        <v>1119</v>
      </c>
      <c r="F366" t="s">
        <v>1120</v>
      </c>
      <c r="G366" s="1">
        <v>37302</v>
      </c>
      <c r="J366" t="s">
        <v>2079</v>
      </c>
      <c r="K366" t="s">
        <v>1464</v>
      </c>
      <c r="L366" t="s">
        <v>2080</v>
      </c>
      <c r="M366" t="s">
        <v>2081</v>
      </c>
      <c r="N366" t="s">
        <v>2013</v>
      </c>
      <c r="O366" t="s">
        <v>26</v>
      </c>
      <c r="P366">
        <v>9.99</v>
      </c>
      <c r="R366">
        <v>9.99</v>
      </c>
      <c r="S366">
        <v>14.99</v>
      </c>
      <c r="T366" t="s">
        <v>2082</v>
      </c>
    </row>
    <row r="367" spans="1:20">
      <c r="A367">
        <v>299704</v>
      </c>
      <c r="B367" t="s">
        <v>2083</v>
      </c>
      <c r="C367" t="str">
        <f>"9781895837001"</f>
        <v>9781895837001</v>
      </c>
      <c r="D367" t="str">
        <f>"9781897415993"</f>
        <v>9781897415993</v>
      </c>
      <c r="E367" t="s">
        <v>1119</v>
      </c>
      <c r="F367" t="s">
        <v>1120</v>
      </c>
      <c r="G367" s="1">
        <v>37026</v>
      </c>
      <c r="J367" t="s">
        <v>1697</v>
      </c>
      <c r="K367" t="s">
        <v>1458</v>
      </c>
      <c r="L367" t="s">
        <v>2084</v>
      </c>
      <c r="M367" t="s">
        <v>1460</v>
      </c>
      <c r="N367" t="s">
        <v>2085</v>
      </c>
      <c r="O367" t="s">
        <v>26</v>
      </c>
      <c r="P367">
        <v>15.95</v>
      </c>
      <c r="R367">
        <v>15.95</v>
      </c>
      <c r="S367">
        <v>23.93</v>
      </c>
      <c r="T367" t="s">
        <v>2086</v>
      </c>
    </row>
    <row r="368" spans="1:20">
      <c r="A368">
        <v>299706</v>
      </c>
      <c r="B368" t="s">
        <v>2087</v>
      </c>
      <c r="C368" t="str">
        <f>"9781895837346"</f>
        <v>9781895837346</v>
      </c>
      <c r="D368" t="str">
        <f>"9781897414323"</f>
        <v>9781897414323</v>
      </c>
      <c r="E368" t="s">
        <v>1119</v>
      </c>
      <c r="F368" t="s">
        <v>1120</v>
      </c>
      <c r="G368" s="1">
        <v>35139</v>
      </c>
      <c r="J368" t="s">
        <v>1518</v>
      </c>
      <c r="K368" t="s">
        <v>1458</v>
      </c>
      <c r="L368" t="s">
        <v>2088</v>
      </c>
      <c r="M368" t="s">
        <v>1460</v>
      </c>
      <c r="N368" t="s">
        <v>2089</v>
      </c>
      <c r="O368" t="s">
        <v>26</v>
      </c>
      <c r="P368">
        <v>14.99</v>
      </c>
      <c r="R368">
        <v>14.99</v>
      </c>
      <c r="S368">
        <v>22.49</v>
      </c>
      <c r="T368" t="s">
        <v>2090</v>
      </c>
    </row>
    <row r="369" spans="1:20">
      <c r="A369">
        <v>299708</v>
      </c>
      <c r="B369" t="s">
        <v>2091</v>
      </c>
      <c r="C369" t="str">
        <f>"9781894663526"</f>
        <v>9781894663526</v>
      </c>
      <c r="D369" t="str">
        <f>"9781897414538"</f>
        <v>9781897414538</v>
      </c>
      <c r="E369" t="s">
        <v>1119</v>
      </c>
      <c r="F369" t="s">
        <v>1120</v>
      </c>
      <c r="G369" s="1">
        <v>37895</v>
      </c>
      <c r="J369" t="s">
        <v>2092</v>
      </c>
      <c r="K369" t="s">
        <v>1464</v>
      </c>
      <c r="L369" t="s">
        <v>2093</v>
      </c>
      <c r="M369" t="s">
        <v>2094</v>
      </c>
      <c r="N369" t="s">
        <v>2095</v>
      </c>
      <c r="O369" t="s">
        <v>26</v>
      </c>
      <c r="P369">
        <v>16.95</v>
      </c>
      <c r="R369">
        <v>16.95</v>
      </c>
      <c r="S369">
        <v>25.43</v>
      </c>
      <c r="T369" t="s">
        <v>2096</v>
      </c>
    </row>
    <row r="370" spans="1:20">
      <c r="A370">
        <v>299710</v>
      </c>
      <c r="B370" t="s">
        <v>2097</v>
      </c>
      <c r="C370" t="str">
        <f>"9781895837032"</f>
        <v>9781895837032</v>
      </c>
      <c r="D370" t="str">
        <f>"9781897414675"</f>
        <v>9781897414675</v>
      </c>
      <c r="E370" t="s">
        <v>1119</v>
      </c>
      <c r="F370" t="s">
        <v>1120</v>
      </c>
      <c r="G370" s="1">
        <v>35535</v>
      </c>
      <c r="J370" t="s">
        <v>2098</v>
      </c>
      <c r="K370" t="s">
        <v>1464</v>
      </c>
      <c r="L370" t="s">
        <v>2099</v>
      </c>
      <c r="M370" t="s">
        <v>1545</v>
      </c>
      <c r="N370" t="s">
        <v>1546</v>
      </c>
      <c r="O370" t="s">
        <v>26</v>
      </c>
      <c r="P370">
        <v>9.9499999999999993</v>
      </c>
      <c r="R370">
        <v>9.9499999999999993</v>
      </c>
      <c r="S370">
        <v>14.93</v>
      </c>
      <c r="T370" t="s">
        <v>2100</v>
      </c>
    </row>
    <row r="371" spans="1:20">
      <c r="A371">
        <v>306088</v>
      </c>
      <c r="B371" t="s">
        <v>2101</v>
      </c>
      <c r="C371" t="str">
        <f>"9781853396632"</f>
        <v>9781853396632</v>
      </c>
      <c r="D371" t="str">
        <f>"9781552503423"</f>
        <v>9781552503423</v>
      </c>
      <c r="E371" t="s">
        <v>479</v>
      </c>
      <c r="F371" t="s">
        <v>480</v>
      </c>
      <c r="G371" s="1">
        <v>39202</v>
      </c>
      <c r="J371" t="s">
        <v>2102</v>
      </c>
      <c r="K371" t="s">
        <v>899</v>
      </c>
      <c r="L371" t="s">
        <v>2103</v>
      </c>
      <c r="M371">
        <v>306.45999999999998</v>
      </c>
      <c r="N371" t="s">
        <v>2104</v>
      </c>
      <c r="O371" t="s">
        <v>26</v>
      </c>
      <c r="P371">
        <v>35</v>
      </c>
      <c r="Q371">
        <v>43.75</v>
      </c>
      <c r="R371">
        <v>35</v>
      </c>
      <c r="S371">
        <v>52.5</v>
      </c>
      <c r="T371" t="s">
        <v>2105</v>
      </c>
    </row>
    <row r="372" spans="1:20">
      <c r="A372">
        <v>306089</v>
      </c>
      <c r="B372" t="s">
        <v>2106</v>
      </c>
      <c r="C372" t="str">
        <f>"9788171886227"</f>
        <v>9788171886227</v>
      </c>
      <c r="D372" t="str">
        <f>"9781552503492"</f>
        <v>9781552503492</v>
      </c>
      <c r="E372" t="s">
        <v>479</v>
      </c>
      <c r="F372" t="s">
        <v>480</v>
      </c>
      <c r="G372" s="1">
        <v>39401</v>
      </c>
      <c r="J372" t="s">
        <v>2107</v>
      </c>
      <c r="K372" t="s">
        <v>416</v>
      </c>
      <c r="L372" t="s">
        <v>2108</v>
      </c>
      <c r="M372" t="s">
        <v>2109</v>
      </c>
      <c r="N372" t="s">
        <v>2110</v>
      </c>
      <c r="O372" t="s">
        <v>26</v>
      </c>
      <c r="P372">
        <v>40</v>
      </c>
      <c r="Q372">
        <v>50</v>
      </c>
      <c r="R372">
        <v>40</v>
      </c>
      <c r="S372">
        <v>60</v>
      </c>
      <c r="T372" t="s">
        <v>2111</v>
      </c>
    </row>
    <row r="373" spans="1:20">
      <c r="A373">
        <v>306090</v>
      </c>
      <c r="B373" t="s">
        <v>2112</v>
      </c>
      <c r="C373" t="str">
        <f>"9788175965218"</f>
        <v>9788175965218</v>
      </c>
      <c r="D373" t="str">
        <f>"9781552503683"</f>
        <v>9781552503683</v>
      </c>
      <c r="E373" t="s">
        <v>479</v>
      </c>
      <c r="F373" t="s">
        <v>480</v>
      </c>
      <c r="G373" s="1">
        <v>39083</v>
      </c>
      <c r="J373" t="s">
        <v>2113</v>
      </c>
      <c r="K373" t="s">
        <v>2114</v>
      </c>
      <c r="L373" t="s">
        <v>2115</v>
      </c>
      <c r="M373" t="s">
        <v>2116</v>
      </c>
      <c r="N373" t="s">
        <v>2117</v>
      </c>
      <c r="O373" t="s">
        <v>26</v>
      </c>
      <c r="P373">
        <v>25</v>
      </c>
      <c r="Q373">
        <v>31.25</v>
      </c>
      <c r="R373">
        <v>25</v>
      </c>
      <c r="S373">
        <v>37.5</v>
      </c>
      <c r="T373" t="s">
        <v>2118</v>
      </c>
    </row>
    <row r="374" spans="1:20">
      <c r="A374">
        <v>306091</v>
      </c>
      <c r="B374" t="s">
        <v>2119</v>
      </c>
      <c r="C374" t="str">
        <f>"9788474269154"</f>
        <v>9788474269154</v>
      </c>
      <c r="D374" t="str">
        <f>"9781552503508"</f>
        <v>9781552503508</v>
      </c>
      <c r="E374" t="s">
        <v>479</v>
      </c>
      <c r="F374" t="s">
        <v>480</v>
      </c>
      <c r="G374" s="1">
        <v>39083</v>
      </c>
      <c r="J374" t="s">
        <v>2120</v>
      </c>
      <c r="K374" t="s">
        <v>568</v>
      </c>
      <c r="L374" t="s">
        <v>2121</v>
      </c>
      <c r="M374">
        <v>327</v>
      </c>
      <c r="N374" t="s">
        <v>2122</v>
      </c>
      <c r="O374" t="s">
        <v>485</v>
      </c>
      <c r="P374">
        <v>25</v>
      </c>
      <c r="Q374">
        <v>31.25</v>
      </c>
      <c r="R374">
        <v>25</v>
      </c>
      <c r="S374">
        <v>37.5</v>
      </c>
      <c r="T374" t="s">
        <v>2123</v>
      </c>
    </row>
    <row r="375" spans="1:20">
      <c r="A375">
        <v>312182</v>
      </c>
      <c r="B375" t="s">
        <v>2124</v>
      </c>
      <c r="C375" t="str">
        <f>"9781592215799"</f>
        <v>9781592215799</v>
      </c>
      <c r="D375" t="str">
        <f>"9781552503690"</f>
        <v>9781552503690</v>
      </c>
      <c r="E375" t="s">
        <v>479</v>
      </c>
      <c r="F375" t="s">
        <v>480</v>
      </c>
      <c r="G375" s="1">
        <v>39245</v>
      </c>
      <c r="J375" t="s">
        <v>2125</v>
      </c>
      <c r="K375" t="s">
        <v>467</v>
      </c>
      <c r="L375" t="s">
        <v>2126</v>
      </c>
      <c r="M375" t="s">
        <v>2127</v>
      </c>
      <c r="N375" t="s">
        <v>2128</v>
      </c>
      <c r="O375" t="s">
        <v>26</v>
      </c>
      <c r="P375">
        <v>30</v>
      </c>
      <c r="Q375">
        <v>37.5</v>
      </c>
      <c r="R375">
        <v>30</v>
      </c>
      <c r="S375">
        <v>45</v>
      </c>
      <c r="T375" t="s">
        <v>2129</v>
      </c>
    </row>
    <row r="376" spans="1:20">
      <c r="A376">
        <v>316342</v>
      </c>
      <c r="B376" t="s">
        <v>2130</v>
      </c>
      <c r="C376" t="str">
        <f>"9780865715134"</f>
        <v>9780865715134</v>
      </c>
      <c r="D376" t="str">
        <f>"9781550923391"</f>
        <v>9781550923391</v>
      </c>
      <c r="E376" t="s">
        <v>249</v>
      </c>
      <c r="F376" t="s">
        <v>249</v>
      </c>
      <c r="G376" s="1">
        <v>38384</v>
      </c>
      <c r="J376" t="s">
        <v>415</v>
      </c>
      <c r="K376" t="s">
        <v>263</v>
      </c>
      <c r="L376" t="s">
        <v>2131</v>
      </c>
      <c r="M376">
        <v>363.45</v>
      </c>
      <c r="N376" t="s">
        <v>2132</v>
      </c>
      <c r="O376" t="s">
        <v>26</v>
      </c>
      <c r="P376">
        <v>15.95</v>
      </c>
      <c r="R376">
        <v>15.95</v>
      </c>
      <c r="S376">
        <v>23.93</v>
      </c>
      <c r="T376" t="s">
        <v>2133</v>
      </c>
    </row>
    <row r="377" spans="1:20">
      <c r="A377">
        <v>316343</v>
      </c>
      <c r="B377" t="s">
        <v>2134</v>
      </c>
      <c r="C377" t="str">
        <f>"9780865715806"</f>
        <v>9780865715806</v>
      </c>
      <c r="D377" t="str">
        <f>"9781550923407"</f>
        <v>9781550923407</v>
      </c>
      <c r="E377" t="s">
        <v>249</v>
      </c>
      <c r="F377" t="s">
        <v>249</v>
      </c>
      <c r="G377" s="1">
        <v>39234</v>
      </c>
      <c r="J377" t="s">
        <v>2135</v>
      </c>
      <c r="K377" t="s">
        <v>2136</v>
      </c>
      <c r="L377" t="s">
        <v>2137</v>
      </c>
      <c r="M377">
        <v>628.14200000000005</v>
      </c>
      <c r="N377" t="s">
        <v>2138</v>
      </c>
      <c r="O377" t="s">
        <v>26</v>
      </c>
      <c r="P377">
        <v>24.95</v>
      </c>
      <c r="R377">
        <v>24.95</v>
      </c>
      <c r="S377">
        <v>37.43</v>
      </c>
      <c r="T377" t="s">
        <v>2139</v>
      </c>
    </row>
    <row r="378" spans="1:20">
      <c r="A378">
        <v>316344</v>
      </c>
      <c r="B378" t="s">
        <v>2140</v>
      </c>
      <c r="C378" t="str">
        <f>"9780865715967"</f>
        <v>9780865715967</v>
      </c>
      <c r="D378" t="str">
        <f>"9781550923414"</f>
        <v>9781550923414</v>
      </c>
      <c r="E378" t="s">
        <v>249</v>
      </c>
      <c r="F378" t="s">
        <v>249</v>
      </c>
      <c r="G378" s="1">
        <v>39326</v>
      </c>
      <c r="J378" t="s">
        <v>2141</v>
      </c>
      <c r="K378" t="s">
        <v>416</v>
      </c>
      <c r="L378" t="s">
        <v>2142</v>
      </c>
      <c r="M378" t="s">
        <v>2143</v>
      </c>
      <c r="N378" t="s">
        <v>2144</v>
      </c>
      <c r="O378" t="s">
        <v>26</v>
      </c>
      <c r="P378">
        <v>19.95</v>
      </c>
      <c r="R378">
        <v>19.95</v>
      </c>
      <c r="S378">
        <v>29.93</v>
      </c>
      <c r="T378" t="s">
        <v>2145</v>
      </c>
    </row>
    <row r="379" spans="1:20">
      <c r="A379">
        <v>316345</v>
      </c>
      <c r="B379" t="s">
        <v>2146</v>
      </c>
      <c r="C379" t="str">
        <f>"9780865715813"</f>
        <v>9780865715813</v>
      </c>
      <c r="D379" t="str">
        <f>"9781550923421"</f>
        <v>9781550923421</v>
      </c>
      <c r="E379" t="s">
        <v>249</v>
      </c>
      <c r="F379" t="s">
        <v>249</v>
      </c>
      <c r="G379" s="1">
        <v>39234</v>
      </c>
      <c r="J379" t="s">
        <v>2147</v>
      </c>
      <c r="K379" t="s">
        <v>263</v>
      </c>
      <c r="L379" t="s">
        <v>2148</v>
      </c>
      <c r="M379" t="s">
        <v>2149</v>
      </c>
      <c r="N379" t="s">
        <v>2150</v>
      </c>
      <c r="O379" t="s">
        <v>26</v>
      </c>
      <c r="P379">
        <v>21.95</v>
      </c>
      <c r="R379">
        <v>21.95</v>
      </c>
      <c r="S379">
        <v>32.93</v>
      </c>
      <c r="T379" t="s">
        <v>2151</v>
      </c>
    </row>
    <row r="380" spans="1:20">
      <c r="A380">
        <v>316347</v>
      </c>
      <c r="B380" t="s">
        <v>2152</v>
      </c>
      <c r="C380" t="str">
        <f>"9780865715998"</f>
        <v>9780865715998</v>
      </c>
      <c r="D380" t="str">
        <f>"9781550923445"</f>
        <v>9781550923445</v>
      </c>
      <c r="E380" t="s">
        <v>249</v>
      </c>
      <c r="F380" t="s">
        <v>249</v>
      </c>
      <c r="G380" s="1">
        <v>39326</v>
      </c>
      <c r="J380" t="s">
        <v>2153</v>
      </c>
      <c r="K380" t="s">
        <v>2154</v>
      </c>
      <c r="L380" t="s">
        <v>2155</v>
      </c>
      <c r="M380" t="s">
        <v>2156</v>
      </c>
      <c r="N380" t="s">
        <v>2157</v>
      </c>
      <c r="O380" t="s">
        <v>26</v>
      </c>
      <c r="P380">
        <v>17.95</v>
      </c>
      <c r="R380">
        <v>17.95</v>
      </c>
      <c r="S380">
        <v>26.93</v>
      </c>
      <c r="T380" t="s">
        <v>2158</v>
      </c>
    </row>
    <row r="381" spans="1:20">
      <c r="A381">
        <v>316349</v>
      </c>
      <c r="B381" t="s">
        <v>2159</v>
      </c>
      <c r="C381" t="str">
        <f>"9780865715943"</f>
        <v>9780865715943</v>
      </c>
      <c r="D381" t="str">
        <f>"9781550923469"</f>
        <v>9781550923469</v>
      </c>
      <c r="E381" t="s">
        <v>249</v>
      </c>
      <c r="F381" t="s">
        <v>249</v>
      </c>
      <c r="G381" s="1">
        <v>39356</v>
      </c>
      <c r="J381" t="s">
        <v>2160</v>
      </c>
      <c r="K381" t="s">
        <v>2161</v>
      </c>
      <c r="L381" t="s">
        <v>2162</v>
      </c>
      <c r="M381" t="s">
        <v>2163</v>
      </c>
      <c r="N381" t="s">
        <v>2164</v>
      </c>
      <c r="O381" t="s">
        <v>26</v>
      </c>
      <c r="P381">
        <v>11.95</v>
      </c>
      <c r="R381">
        <v>11.95</v>
      </c>
      <c r="S381">
        <v>17.93</v>
      </c>
      <c r="T381" t="s">
        <v>2165</v>
      </c>
    </row>
    <row r="382" spans="1:20">
      <c r="A382">
        <v>316350</v>
      </c>
      <c r="B382" t="s">
        <v>2166</v>
      </c>
      <c r="C382" t="str">
        <f>"9780865715844"</f>
        <v>9780865715844</v>
      </c>
      <c r="D382" t="str">
        <f>"9781550923476"</f>
        <v>9781550923476</v>
      </c>
      <c r="E382" t="s">
        <v>249</v>
      </c>
      <c r="F382" t="s">
        <v>249</v>
      </c>
      <c r="G382" s="1">
        <v>39203</v>
      </c>
      <c r="J382" t="s">
        <v>2167</v>
      </c>
      <c r="K382" t="s">
        <v>2154</v>
      </c>
      <c r="L382" t="s">
        <v>2168</v>
      </c>
      <c r="M382" t="s">
        <v>2169</v>
      </c>
      <c r="N382" t="s">
        <v>2170</v>
      </c>
      <c r="O382" t="s">
        <v>26</v>
      </c>
      <c r="P382">
        <v>17.95</v>
      </c>
      <c r="R382">
        <v>17.95</v>
      </c>
      <c r="S382">
        <v>26.93</v>
      </c>
      <c r="T382" t="s">
        <v>2171</v>
      </c>
    </row>
    <row r="383" spans="1:20">
      <c r="A383">
        <v>316351</v>
      </c>
      <c r="B383" t="s">
        <v>2172</v>
      </c>
      <c r="C383" t="str">
        <f>"9780865715554"</f>
        <v>9780865715554</v>
      </c>
      <c r="D383" t="str">
        <f>"9781550923483"</f>
        <v>9781550923483</v>
      </c>
      <c r="E383" t="s">
        <v>249</v>
      </c>
      <c r="F383" t="s">
        <v>249</v>
      </c>
      <c r="G383" s="1">
        <v>38869</v>
      </c>
      <c r="I383" t="s">
        <v>367</v>
      </c>
      <c r="J383" t="s">
        <v>2173</v>
      </c>
      <c r="K383" t="s">
        <v>271</v>
      </c>
      <c r="L383" t="s">
        <v>2174</v>
      </c>
      <c r="M383" t="s">
        <v>2175</v>
      </c>
      <c r="N383" t="s">
        <v>2176</v>
      </c>
      <c r="O383" t="s">
        <v>26</v>
      </c>
      <c r="P383">
        <v>17.95</v>
      </c>
      <c r="R383">
        <v>17.95</v>
      </c>
      <c r="S383">
        <v>26.93</v>
      </c>
      <c r="T383" t="s">
        <v>2177</v>
      </c>
    </row>
    <row r="384" spans="1:20">
      <c r="A384">
        <v>316352</v>
      </c>
      <c r="B384" t="s">
        <v>2178</v>
      </c>
      <c r="C384" t="str">
        <f>"9780865715851"</f>
        <v>9780865715851</v>
      </c>
      <c r="D384" t="str">
        <f>"9781550923490"</f>
        <v>9781550923490</v>
      </c>
      <c r="E384" t="s">
        <v>249</v>
      </c>
      <c r="F384" t="s">
        <v>249</v>
      </c>
      <c r="G384" s="1">
        <v>39264</v>
      </c>
      <c r="J384" t="s">
        <v>2179</v>
      </c>
      <c r="K384" t="s">
        <v>2180</v>
      </c>
      <c r="L384" t="s">
        <v>2181</v>
      </c>
      <c r="M384">
        <v>333.79399999999998</v>
      </c>
      <c r="N384" t="s">
        <v>2182</v>
      </c>
      <c r="O384" t="s">
        <v>26</v>
      </c>
      <c r="P384">
        <v>19.95</v>
      </c>
      <c r="R384">
        <v>19.95</v>
      </c>
      <c r="S384">
        <v>29.93</v>
      </c>
      <c r="T384" t="s">
        <v>2183</v>
      </c>
    </row>
    <row r="385" spans="1:20">
      <c r="A385">
        <v>316353</v>
      </c>
      <c r="B385" t="s">
        <v>2184</v>
      </c>
      <c r="C385" t="str">
        <f>"9780865715936"</f>
        <v>9780865715936</v>
      </c>
      <c r="D385" t="str">
        <f>"9781550923506"</f>
        <v>9781550923506</v>
      </c>
      <c r="E385" t="s">
        <v>249</v>
      </c>
      <c r="F385" t="s">
        <v>249</v>
      </c>
      <c r="G385" s="1">
        <v>39387</v>
      </c>
      <c r="J385" t="s">
        <v>2185</v>
      </c>
      <c r="K385" t="s">
        <v>323</v>
      </c>
      <c r="L385" t="s">
        <v>2186</v>
      </c>
      <c r="M385">
        <v>693.8</v>
      </c>
      <c r="N385" t="s">
        <v>2187</v>
      </c>
      <c r="O385" t="s">
        <v>26</v>
      </c>
      <c r="P385">
        <v>22.95</v>
      </c>
      <c r="R385">
        <v>22.95</v>
      </c>
      <c r="S385">
        <v>34.43</v>
      </c>
      <c r="T385" t="s">
        <v>2188</v>
      </c>
    </row>
    <row r="386" spans="1:20">
      <c r="A386">
        <v>316354</v>
      </c>
      <c r="B386" t="s">
        <v>2189</v>
      </c>
      <c r="C386" t="str">
        <f>"9780865715721"</f>
        <v>9780865715721</v>
      </c>
      <c r="D386" t="str">
        <f>"9781550923513"</f>
        <v>9781550923513</v>
      </c>
      <c r="E386" t="s">
        <v>249</v>
      </c>
      <c r="F386" t="s">
        <v>249</v>
      </c>
      <c r="G386" s="1">
        <v>39356</v>
      </c>
      <c r="J386" t="s">
        <v>2190</v>
      </c>
      <c r="K386" t="s">
        <v>2191</v>
      </c>
      <c r="L386" t="s">
        <v>2192</v>
      </c>
      <c r="M386" t="s">
        <v>2193</v>
      </c>
      <c r="N386" t="s">
        <v>2194</v>
      </c>
      <c r="O386" t="s">
        <v>26</v>
      </c>
      <c r="P386">
        <v>18.95</v>
      </c>
      <c r="R386">
        <v>18.95</v>
      </c>
      <c r="S386">
        <v>28.43</v>
      </c>
      <c r="T386" t="s">
        <v>2195</v>
      </c>
    </row>
    <row r="387" spans="1:20">
      <c r="A387">
        <v>316355</v>
      </c>
      <c r="B387" t="s">
        <v>2196</v>
      </c>
      <c r="C387" t="str">
        <f>"9780865715745"</f>
        <v>9780865715745</v>
      </c>
      <c r="D387" t="str">
        <f>"9781550923520"</f>
        <v>9781550923520</v>
      </c>
      <c r="E387" t="s">
        <v>249</v>
      </c>
      <c r="F387" t="s">
        <v>249</v>
      </c>
      <c r="G387" s="1">
        <v>39356</v>
      </c>
      <c r="J387" t="s">
        <v>2197</v>
      </c>
      <c r="K387" t="s">
        <v>856</v>
      </c>
      <c r="L387" t="s">
        <v>2198</v>
      </c>
      <c r="M387" t="s">
        <v>2199</v>
      </c>
      <c r="N387" t="s">
        <v>2200</v>
      </c>
      <c r="O387" t="s">
        <v>26</v>
      </c>
      <c r="P387">
        <v>15.95</v>
      </c>
      <c r="R387">
        <v>15.95</v>
      </c>
      <c r="S387">
        <v>23.93</v>
      </c>
      <c r="T387" t="s">
        <v>2201</v>
      </c>
    </row>
    <row r="388" spans="1:20">
      <c r="A388">
        <v>317934</v>
      </c>
      <c r="B388" t="s">
        <v>2202</v>
      </c>
      <c r="C388" t="str">
        <f>"9781592215775"</f>
        <v>9781592215775</v>
      </c>
      <c r="D388" t="str">
        <f>"9781552503355"</f>
        <v>9781552503355</v>
      </c>
      <c r="E388" t="s">
        <v>479</v>
      </c>
      <c r="F388" t="s">
        <v>480</v>
      </c>
      <c r="G388" s="1">
        <v>39436</v>
      </c>
      <c r="J388" t="s">
        <v>2203</v>
      </c>
      <c r="K388" t="s">
        <v>416</v>
      </c>
      <c r="L388" t="s">
        <v>2204</v>
      </c>
      <c r="M388">
        <v>338.96</v>
      </c>
      <c r="N388" t="s">
        <v>2205</v>
      </c>
      <c r="O388" t="s">
        <v>26</v>
      </c>
      <c r="P388">
        <v>30</v>
      </c>
      <c r="Q388">
        <v>37.5</v>
      </c>
      <c r="R388">
        <v>30</v>
      </c>
      <c r="S388">
        <v>45</v>
      </c>
      <c r="T388" t="s">
        <v>2206</v>
      </c>
    </row>
    <row r="389" spans="1:20">
      <c r="A389">
        <v>320331</v>
      </c>
      <c r="B389" t="s">
        <v>2207</v>
      </c>
      <c r="C389" t="str">
        <f>"9789707220553"</f>
        <v>9789707220553</v>
      </c>
      <c r="D389" t="str">
        <f>"9781552503416"</f>
        <v>9781552503416</v>
      </c>
      <c r="E389" t="s">
        <v>479</v>
      </c>
      <c r="F389" t="s">
        <v>480</v>
      </c>
      <c r="G389" s="1">
        <v>39083</v>
      </c>
      <c r="J389" t="s">
        <v>2208</v>
      </c>
      <c r="K389" t="s">
        <v>76</v>
      </c>
      <c r="L389" t="s">
        <v>2209</v>
      </c>
      <c r="M389">
        <v>630</v>
      </c>
      <c r="N389" t="s">
        <v>2210</v>
      </c>
      <c r="O389" t="s">
        <v>485</v>
      </c>
      <c r="P389">
        <v>20</v>
      </c>
      <c r="Q389">
        <v>25</v>
      </c>
      <c r="R389">
        <v>20</v>
      </c>
      <c r="S389">
        <v>30</v>
      </c>
      <c r="T389" t="s">
        <v>2211</v>
      </c>
    </row>
    <row r="390" spans="1:20">
      <c r="A390">
        <v>327898</v>
      </c>
      <c r="B390" t="s">
        <v>2212</v>
      </c>
      <c r="C390" t="str">
        <f>"9780415436113"</f>
        <v>9780415436113</v>
      </c>
      <c r="D390" t="str">
        <f>"9781552503737"</f>
        <v>9781552503737</v>
      </c>
      <c r="E390" t="s">
        <v>479</v>
      </c>
      <c r="F390" t="s">
        <v>480</v>
      </c>
      <c r="G390" s="1">
        <v>39448</v>
      </c>
      <c r="I390" t="s">
        <v>2213</v>
      </c>
      <c r="J390" t="s">
        <v>2214</v>
      </c>
      <c r="K390" t="s">
        <v>278</v>
      </c>
      <c r="L390" t="s">
        <v>2215</v>
      </c>
      <c r="M390">
        <v>331.12095399999998</v>
      </c>
      <c r="N390" t="s">
        <v>2216</v>
      </c>
      <c r="O390" t="s">
        <v>26</v>
      </c>
      <c r="P390">
        <v>50</v>
      </c>
      <c r="Q390">
        <v>62.5</v>
      </c>
      <c r="R390">
        <v>50</v>
      </c>
      <c r="S390">
        <v>75</v>
      </c>
      <c r="T390" t="s">
        <v>2217</v>
      </c>
    </row>
    <row r="391" spans="1:20">
      <c r="A391">
        <v>327899</v>
      </c>
      <c r="B391" t="s">
        <v>2218</v>
      </c>
      <c r="C391" t="str">
        <f>"9781844074297"</f>
        <v>9781844074297</v>
      </c>
      <c r="D391" t="str">
        <f>"9781552503973"</f>
        <v>9781552503973</v>
      </c>
      <c r="E391" t="s">
        <v>479</v>
      </c>
      <c r="F391" t="s">
        <v>480</v>
      </c>
      <c r="G391" s="1">
        <v>39483</v>
      </c>
      <c r="J391" t="s">
        <v>2219</v>
      </c>
      <c r="K391" t="s">
        <v>525</v>
      </c>
      <c r="L391" t="s">
        <v>2220</v>
      </c>
      <c r="M391" t="s">
        <v>829</v>
      </c>
      <c r="N391" t="s">
        <v>2221</v>
      </c>
      <c r="O391" t="s">
        <v>26</v>
      </c>
      <c r="P391">
        <v>35</v>
      </c>
      <c r="Q391">
        <v>43.75</v>
      </c>
      <c r="R391">
        <v>35</v>
      </c>
      <c r="S391">
        <v>52.5</v>
      </c>
      <c r="T391" t="s">
        <v>2222</v>
      </c>
    </row>
    <row r="392" spans="1:20">
      <c r="A392">
        <v>327900</v>
      </c>
      <c r="B392" t="s">
        <v>2223</v>
      </c>
      <c r="C392" t="str">
        <f>"9789588307213"</f>
        <v>9789588307213</v>
      </c>
      <c r="D392" t="str">
        <f>"9781552503768"</f>
        <v>9781552503768</v>
      </c>
      <c r="E392" t="s">
        <v>479</v>
      </c>
      <c r="F392" t="s">
        <v>480</v>
      </c>
      <c r="G392" s="1">
        <v>39417</v>
      </c>
      <c r="J392" t="s">
        <v>2224</v>
      </c>
      <c r="K392" t="s">
        <v>263</v>
      </c>
      <c r="L392" t="s">
        <v>2225</v>
      </c>
      <c r="M392">
        <v>305.42</v>
      </c>
      <c r="N392" t="s">
        <v>2226</v>
      </c>
      <c r="O392" t="s">
        <v>485</v>
      </c>
      <c r="P392">
        <v>30</v>
      </c>
      <c r="Q392">
        <v>37.5</v>
      </c>
      <c r="R392">
        <v>30</v>
      </c>
      <c r="S392">
        <v>45</v>
      </c>
      <c r="T392" t="s">
        <v>2227</v>
      </c>
    </row>
    <row r="393" spans="1:20">
      <c r="A393">
        <v>327901</v>
      </c>
      <c r="B393" t="s">
        <v>2228</v>
      </c>
      <c r="C393" t="str">
        <f>"9781592215973"</f>
        <v>9781592215973</v>
      </c>
      <c r="D393" t="str">
        <f>"9781552503706"</f>
        <v>9781552503706</v>
      </c>
      <c r="E393" t="s">
        <v>479</v>
      </c>
      <c r="F393" t="s">
        <v>480</v>
      </c>
      <c r="G393" s="1">
        <v>39548</v>
      </c>
      <c r="J393" t="s">
        <v>2229</v>
      </c>
      <c r="K393" t="s">
        <v>1082</v>
      </c>
      <c r="L393" t="s">
        <v>2230</v>
      </c>
      <c r="M393" t="s">
        <v>2231</v>
      </c>
      <c r="N393" t="s">
        <v>2232</v>
      </c>
      <c r="O393" t="s">
        <v>26</v>
      </c>
      <c r="P393">
        <v>30</v>
      </c>
      <c r="Q393">
        <v>37.5</v>
      </c>
      <c r="R393">
        <v>30</v>
      </c>
      <c r="S393">
        <v>45</v>
      </c>
      <c r="T393" t="s">
        <v>2233</v>
      </c>
    </row>
    <row r="394" spans="1:20">
      <c r="A394">
        <v>327902</v>
      </c>
      <c r="B394" t="s">
        <v>2234</v>
      </c>
      <c r="C394" t="str">
        <f>"9780761936732"</f>
        <v>9780761936732</v>
      </c>
      <c r="D394" t="str">
        <f>"9781552503782"</f>
        <v>9781552503782</v>
      </c>
      <c r="E394" t="s">
        <v>479</v>
      </c>
      <c r="F394" t="s">
        <v>480</v>
      </c>
      <c r="G394" s="1">
        <v>39448</v>
      </c>
      <c r="J394" t="s">
        <v>2235</v>
      </c>
      <c r="K394" t="s">
        <v>305</v>
      </c>
      <c r="L394" t="s">
        <v>2236</v>
      </c>
      <c r="M394">
        <v>384.60950000000003</v>
      </c>
      <c r="N394" t="s">
        <v>2237</v>
      </c>
      <c r="O394" t="s">
        <v>26</v>
      </c>
      <c r="P394">
        <v>15</v>
      </c>
      <c r="Q394">
        <v>18.75</v>
      </c>
      <c r="R394">
        <v>15</v>
      </c>
      <c r="S394">
        <v>22.5</v>
      </c>
      <c r="T394" t="s">
        <v>2238</v>
      </c>
    </row>
    <row r="395" spans="1:20">
      <c r="A395">
        <v>327903</v>
      </c>
      <c r="B395" t="s">
        <v>2239</v>
      </c>
      <c r="C395" t="str">
        <f>"9788175965638"</f>
        <v>9788175965638</v>
      </c>
      <c r="D395" t="str">
        <f>"9781552503713"</f>
        <v>9781552503713</v>
      </c>
      <c r="E395" t="s">
        <v>479</v>
      </c>
      <c r="F395" t="s">
        <v>480</v>
      </c>
      <c r="G395" s="1">
        <v>39083</v>
      </c>
      <c r="J395" t="s">
        <v>2240</v>
      </c>
      <c r="K395" t="s">
        <v>416</v>
      </c>
      <c r="L395" t="s">
        <v>2241</v>
      </c>
      <c r="M395" t="s">
        <v>2242</v>
      </c>
      <c r="N395" t="s">
        <v>2243</v>
      </c>
      <c r="O395" t="s">
        <v>26</v>
      </c>
      <c r="P395">
        <v>20</v>
      </c>
      <c r="Q395">
        <v>25</v>
      </c>
      <c r="R395">
        <v>20</v>
      </c>
      <c r="S395">
        <v>30</v>
      </c>
      <c r="T395" t="s">
        <v>2244</v>
      </c>
    </row>
    <row r="396" spans="1:20">
      <c r="A396">
        <v>327904</v>
      </c>
      <c r="B396" t="s">
        <v>2245</v>
      </c>
      <c r="C396" t="str">
        <f>"9789992261644"</f>
        <v>9789992261644</v>
      </c>
      <c r="D396" t="str">
        <f>"9781552503409"</f>
        <v>9781552503409</v>
      </c>
      <c r="E396" t="s">
        <v>479</v>
      </c>
      <c r="F396" t="s">
        <v>480</v>
      </c>
      <c r="G396" s="1">
        <v>39447</v>
      </c>
      <c r="J396" t="s">
        <v>2246</v>
      </c>
      <c r="K396" t="s">
        <v>467</v>
      </c>
      <c r="L396" t="s">
        <v>2247</v>
      </c>
      <c r="M396">
        <v>320.97280999999998</v>
      </c>
      <c r="N396" t="s">
        <v>2248</v>
      </c>
      <c r="O396" t="s">
        <v>485</v>
      </c>
      <c r="P396">
        <v>45</v>
      </c>
      <c r="Q396">
        <v>56.25</v>
      </c>
      <c r="R396">
        <v>45</v>
      </c>
      <c r="S396">
        <v>67.5</v>
      </c>
      <c r="T396" t="s">
        <v>2249</v>
      </c>
    </row>
    <row r="397" spans="1:20">
      <c r="A397">
        <v>340732</v>
      </c>
      <c r="B397" t="s">
        <v>2250</v>
      </c>
      <c r="C397" t="str">
        <f>"9781552504024"</f>
        <v>9781552504024</v>
      </c>
      <c r="D397" t="str">
        <f>"9781552504055"</f>
        <v>9781552504055</v>
      </c>
      <c r="E397" t="s">
        <v>479</v>
      </c>
      <c r="F397" t="s">
        <v>480</v>
      </c>
      <c r="G397" s="1">
        <v>39448</v>
      </c>
      <c r="I397" t="s">
        <v>2251</v>
      </c>
      <c r="J397" t="s">
        <v>2252</v>
      </c>
      <c r="K397" t="s">
        <v>416</v>
      </c>
      <c r="L397" t="s">
        <v>2253</v>
      </c>
      <c r="M397" t="s">
        <v>2254</v>
      </c>
      <c r="N397" t="s">
        <v>2255</v>
      </c>
      <c r="O397" t="s">
        <v>26</v>
      </c>
      <c r="P397">
        <v>20</v>
      </c>
      <c r="Q397">
        <v>25</v>
      </c>
      <c r="R397">
        <v>20</v>
      </c>
      <c r="S397">
        <v>30</v>
      </c>
      <c r="T397" t="s">
        <v>2256</v>
      </c>
    </row>
    <row r="398" spans="1:20">
      <c r="A398">
        <v>349983</v>
      </c>
      <c r="B398" t="s">
        <v>2257</v>
      </c>
      <c r="C398" t="str">
        <f>"9789241563536"</f>
        <v>9789241563536</v>
      </c>
      <c r="D398" t="str">
        <f>"9789240683068"</f>
        <v>9789240683068</v>
      </c>
      <c r="E398" t="s">
        <v>2258</v>
      </c>
      <c r="F398" t="s">
        <v>2258</v>
      </c>
      <c r="G398" s="1">
        <v>39427</v>
      </c>
      <c r="J398" t="s">
        <v>2259</v>
      </c>
      <c r="K398" t="s">
        <v>2260</v>
      </c>
      <c r="L398" t="s">
        <v>2261</v>
      </c>
      <c r="M398">
        <v>617.10084600000005</v>
      </c>
      <c r="N398" t="s">
        <v>2262</v>
      </c>
      <c r="O398" t="s">
        <v>26</v>
      </c>
      <c r="P398">
        <v>15</v>
      </c>
      <c r="Q398">
        <v>18.75</v>
      </c>
      <c r="R398">
        <v>15</v>
      </c>
      <c r="S398">
        <v>22.5</v>
      </c>
      <c r="T398" t="s">
        <v>2263</v>
      </c>
    </row>
    <row r="399" spans="1:20">
      <c r="A399">
        <v>353173</v>
      </c>
      <c r="B399" t="s">
        <v>2264</v>
      </c>
      <c r="C399" t="str">
        <f>"9780415461351"</f>
        <v>9780415461351</v>
      </c>
      <c r="D399" t="str">
        <f>"9781552503805"</f>
        <v>9781552503805</v>
      </c>
      <c r="E399" t="s">
        <v>479</v>
      </c>
      <c r="F399" t="s">
        <v>2265</v>
      </c>
      <c r="G399" s="1">
        <v>39448</v>
      </c>
      <c r="J399" t="s">
        <v>2266</v>
      </c>
      <c r="K399" t="s">
        <v>2267</v>
      </c>
      <c r="L399" t="s">
        <v>2268</v>
      </c>
      <c r="M399">
        <v>341.483</v>
      </c>
      <c r="N399" t="s">
        <v>2269</v>
      </c>
      <c r="O399" t="s">
        <v>26</v>
      </c>
      <c r="P399">
        <v>46</v>
      </c>
      <c r="Q399">
        <v>57.5</v>
      </c>
      <c r="R399">
        <v>46</v>
      </c>
      <c r="S399">
        <v>69</v>
      </c>
      <c r="T399" t="s">
        <v>2270</v>
      </c>
    </row>
    <row r="400" spans="1:20">
      <c r="A400">
        <v>353174</v>
      </c>
      <c r="B400" t="s">
        <v>2271</v>
      </c>
      <c r="C400" t="str">
        <f>"9780761936749"</f>
        <v>9780761936749</v>
      </c>
      <c r="D400" t="str">
        <f>"9781552503775"</f>
        <v>9781552503775</v>
      </c>
      <c r="E400" t="s">
        <v>479</v>
      </c>
      <c r="F400" t="s">
        <v>2272</v>
      </c>
      <c r="G400" s="1">
        <v>39456</v>
      </c>
      <c r="J400" t="s">
        <v>2273</v>
      </c>
      <c r="K400" t="s">
        <v>263</v>
      </c>
      <c r="M400" t="s">
        <v>2274</v>
      </c>
      <c r="N400" t="s">
        <v>2275</v>
      </c>
      <c r="O400" t="s">
        <v>26</v>
      </c>
      <c r="P400">
        <v>43</v>
      </c>
      <c r="Q400">
        <v>53.75</v>
      </c>
      <c r="R400">
        <v>43</v>
      </c>
      <c r="S400">
        <v>64.5</v>
      </c>
      <c r="T400" t="s">
        <v>2276</v>
      </c>
    </row>
    <row r="401" spans="1:20">
      <c r="A401">
        <v>353175</v>
      </c>
      <c r="B401" t="s">
        <v>2277</v>
      </c>
      <c r="C401" t="str">
        <f>"9781552504031"</f>
        <v>9781552504031</v>
      </c>
      <c r="D401" t="str">
        <f>"9781552504062"</f>
        <v>9781552504062</v>
      </c>
      <c r="E401" t="s">
        <v>479</v>
      </c>
      <c r="F401" t="s">
        <v>480</v>
      </c>
      <c r="G401" s="1">
        <v>39645</v>
      </c>
      <c r="I401" t="s">
        <v>573</v>
      </c>
      <c r="J401" t="s">
        <v>2252</v>
      </c>
      <c r="K401" t="s">
        <v>305</v>
      </c>
      <c r="L401" t="s">
        <v>2278</v>
      </c>
      <c r="M401">
        <v>658.00917240000001</v>
      </c>
      <c r="N401" t="s">
        <v>2255</v>
      </c>
      <c r="O401" t="s">
        <v>94</v>
      </c>
      <c r="P401">
        <v>20</v>
      </c>
      <c r="Q401">
        <v>25</v>
      </c>
      <c r="R401">
        <v>20</v>
      </c>
      <c r="S401">
        <v>30</v>
      </c>
      <c r="T401" t="s">
        <v>2279</v>
      </c>
    </row>
    <row r="402" spans="1:20">
      <c r="A402">
        <v>353176</v>
      </c>
      <c r="B402" t="s">
        <v>2280</v>
      </c>
      <c r="C402" t="str">
        <f>"9781552504048"</f>
        <v>9781552504048</v>
      </c>
      <c r="D402" t="str">
        <f>"9781552504079"</f>
        <v>9781552504079</v>
      </c>
      <c r="E402" t="s">
        <v>479</v>
      </c>
      <c r="F402" t="s">
        <v>480</v>
      </c>
      <c r="G402" s="1">
        <v>39645</v>
      </c>
      <c r="I402" t="s">
        <v>573</v>
      </c>
      <c r="J402" t="s">
        <v>2252</v>
      </c>
      <c r="K402" t="s">
        <v>278</v>
      </c>
      <c r="L402" t="s">
        <v>2281</v>
      </c>
      <c r="M402" t="s">
        <v>2282</v>
      </c>
      <c r="N402" t="s">
        <v>2255</v>
      </c>
      <c r="O402" t="s">
        <v>485</v>
      </c>
      <c r="P402">
        <v>20</v>
      </c>
      <c r="Q402">
        <v>25</v>
      </c>
      <c r="R402">
        <v>20</v>
      </c>
      <c r="S402">
        <v>30</v>
      </c>
      <c r="T402" t="s">
        <v>2283</v>
      </c>
    </row>
    <row r="403" spans="1:20">
      <c r="A403">
        <v>353177</v>
      </c>
      <c r="B403" t="s">
        <v>2284</v>
      </c>
      <c r="C403" t="str">
        <f>"9781552504093"</f>
        <v>9781552504093</v>
      </c>
      <c r="D403" t="str">
        <f>"9781552504116"</f>
        <v>9781552504116</v>
      </c>
      <c r="E403" t="s">
        <v>479</v>
      </c>
      <c r="F403" t="s">
        <v>480</v>
      </c>
      <c r="G403" s="1">
        <v>39448</v>
      </c>
      <c r="H403">
        <v>2</v>
      </c>
      <c r="I403" t="s">
        <v>573</v>
      </c>
      <c r="J403" t="s">
        <v>621</v>
      </c>
      <c r="K403" t="s">
        <v>1082</v>
      </c>
      <c r="L403" t="s">
        <v>2285</v>
      </c>
      <c r="M403" t="s">
        <v>2286</v>
      </c>
      <c r="N403" t="s">
        <v>2287</v>
      </c>
      <c r="O403" t="s">
        <v>26</v>
      </c>
      <c r="P403">
        <v>20</v>
      </c>
      <c r="Q403">
        <v>25</v>
      </c>
      <c r="R403">
        <v>20</v>
      </c>
      <c r="S403">
        <v>30</v>
      </c>
      <c r="T403" t="s">
        <v>2288</v>
      </c>
    </row>
    <row r="404" spans="1:20">
      <c r="A404">
        <v>353178</v>
      </c>
      <c r="B404" t="s">
        <v>2289</v>
      </c>
      <c r="C404" t="str">
        <f>"9781552504109"</f>
        <v>9781552504109</v>
      </c>
      <c r="D404" t="str">
        <f>"9781552504123"</f>
        <v>9781552504123</v>
      </c>
      <c r="E404" t="s">
        <v>479</v>
      </c>
      <c r="F404" t="s">
        <v>480</v>
      </c>
      <c r="G404" s="1">
        <v>39448</v>
      </c>
      <c r="I404" t="s">
        <v>573</v>
      </c>
      <c r="J404" t="s">
        <v>621</v>
      </c>
      <c r="K404" t="s">
        <v>376</v>
      </c>
      <c r="L404" t="s">
        <v>2290</v>
      </c>
      <c r="M404" t="s">
        <v>2291</v>
      </c>
      <c r="N404" t="s">
        <v>2287</v>
      </c>
      <c r="O404" t="s">
        <v>94</v>
      </c>
      <c r="P404">
        <v>20</v>
      </c>
      <c r="Q404">
        <v>25</v>
      </c>
      <c r="R404">
        <v>20</v>
      </c>
      <c r="S404">
        <v>30</v>
      </c>
      <c r="T404" t="s">
        <v>2292</v>
      </c>
    </row>
    <row r="405" spans="1:20">
      <c r="A405">
        <v>353179</v>
      </c>
      <c r="B405" t="s">
        <v>2293</v>
      </c>
      <c r="C405" t="str">
        <f>"9788175966017"</f>
        <v>9788175966017</v>
      </c>
      <c r="D405" t="str">
        <f>"9781552504086"</f>
        <v>9781552504086</v>
      </c>
      <c r="E405" t="s">
        <v>479</v>
      </c>
      <c r="F405" t="s">
        <v>2294</v>
      </c>
      <c r="G405" s="1">
        <v>39448</v>
      </c>
      <c r="J405" t="s">
        <v>2295</v>
      </c>
      <c r="K405" t="s">
        <v>257</v>
      </c>
      <c r="L405" t="s">
        <v>2296</v>
      </c>
      <c r="M405">
        <v>378.51</v>
      </c>
      <c r="N405" t="s">
        <v>2297</v>
      </c>
      <c r="O405" t="s">
        <v>26</v>
      </c>
      <c r="P405">
        <v>32</v>
      </c>
      <c r="Q405">
        <v>40</v>
      </c>
      <c r="R405">
        <v>32</v>
      </c>
      <c r="S405">
        <v>48</v>
      </c>
      <c r="T405" t="s">
        <v>2298</v>
      </c>
    </row>
    <row r="406" spans="1:20">
      <c r="A406">
        <v>353180</v>
      </c>
      <c r="B406" t="s">
        <v>2299</v>
      </c>
      <c r="C406" t="str">
        <f>"9782763785950"</f>
        <v>9782763785950</v>
      </c>
      <c r="D406" t="str">
        <f>"9781552503454"</f>
        <v>9781552503454</v>
      </c>
      <c r="E406" t="s">
        <v>479</v>
      </c>
      <c r="F406" t="s">
        <v>480</v>
      </c>
      <c r="G406" s="1">
        <v>39783</v>
      </c>
      <c r="J406" t="s">
        <v>2300</v>
      </c>
      <c r="K406" t="s">
        <v>416</v>
      </c>
      <c r="L406" t="s">
        <v>2301</v>
      </c>
      <c r="M406">
        <v>338.91</v>
      </c>
      <c r="N406" t="s">
        <v>2302</v>
      </c>
      <c r="O406" t="s">
        <v>94</v>
      </c>
      <c r="P406">
        <v>40</v>
      </c>
      <c r="Q406">
        <v>50</v>
      </c>
      <c r="R406">
        <v>40</v>
      </c>
      <c r="S406">
        <v>60</v>
      </c>
      <c r="T406" t="s">
        <v>2303</v>
      </c>
    </row>
    <row r="407" spans="1:20">
      <c r="A407">
        <v>353181</v>
      </c>
      <c r="B407" t="s">
        <v>2304</v>
      </c>
      <c r="C407" t="str">
        <f>"9780387784328"</f>
        <v>9780387784328</v>
      </c>
      <c r="D407" t="str">
        <f>"9781552504017"</f>
        <v>9781552504017</v>
      </c>
      <c r="E407" t="s">
        <v>479</v>
      </c>
      <c r="F407" t="s">
        <v>2305</v>
      </c>
      <c r="G407" s="1">
        <v>39660</v>
      </c>
      <c r="H407">
        <v>1</v>
      </c>
      <c r="J407" t="s">
        <v>2306</v>
      </c>
      <c r="K407" t="s">
        <v>416</v>
      </c>
      <c r="L407" t="s">
        <v>2307</v>
      </c>
      <c r="M407">
        <v>338.60480971999999</v>
      </c>
      <c r="N407" t="s">
        <v>2308</v>
      </c>
      <c r="O407" t="s">
        <v>26</v>
      </c>
      <c r="P407">
        <v>109</v>
      </c>
      <c r="Q407">
        <v>136.25</v>
      </c>
      <c r="R407">
        <v>109</v>
      </c>
      <c r="S407">
        <v>163.5</v>
      </c>
      <c r="T407" t="s">
        <v>2309</v>
      </c>
    </row>
    <row r="408" spans="1:20">
      <c r="A408">
        <v>369567</v>
      </c>
      <c r="B408" t="s">
        <v>2310</v>
      </c>
      <c r="C408" t="str">
        <f>""</f>
        <v/>
      </c>
      <c r="D408" t="str">
        <f>"9781552504147"</f>
        <v>9781552504147</v>
      </c>
      <c r="E408" t="s">
        <v>479</v>
      </c>
      <c r="F408" t="s">
        <v>2265</v>
      </c>
      <c r="G408" s="1">
        <v>39448</v>
      </c>
      <c r="J408" t="s">
        <v>2311</v>
      </c>
      <c r="K408" t="s">
        <v>2312</v>
      </c>
      <c r="L408" t="s">
        <v>2313</v>
      </c>
      <c r="M408" t="s">
        <v>2314</v>
      </c>
      <c r="N408" t="s">
        <v>2315</v>
      </c>
      <c r="O408" t="s">
        <v>26</v>
      </c>
      <c r="P408">
        <v>50</v>
      </c>
      <c r="Q408">
        <v>62.5</v>
      </c>
      <c r="R408">
        <v>50</v>
      </c>
      <c r="S408">
        <v>75</v>
      </c>
      <c r="T408" t="s">
        <v>2316</v>
      </c>
    </row>
    <row r="409" spans="1:20">
      <c r="A409">
        <v>369568</v>
      </c>
      <c r="B409" t="s">
        <v>2317</v>
      </c>
      <c r="C409" t="str">
        <f>"9781868144532"</f>
        <v>9781868144532</v>
      </c>
      <c r="D409" t="str">
        <f>"9781552504260"</f>
        <v>9781552504260</v>
      </c>
      <c r="E409" t="s">
        <v>479</v>
      </c>
      <c r="F409" t="s">
        <v>2318</v>
      </c>
      <c r="G409" s="1">
        <v>39325</v>
      </c>
      <c r="J409" t="s">
        <v>2319</v>
      </c>
      <c r="K409" t="s">
        <v>467</v>
      </c>
      <c r="L409" t="s">
        <v>2320</v>
      </c>
      <c r="M409">
        <v>327.11609679999998</v>
      </c>
      <c r="N409" t="s">
        <v>2321</v>
      </c>
      <c r="O409" t="s">
        <v>26</v>
      </c>
      <c r="P409">
        <v>40</v>
      </c>
      <c r="Q409">
        <v>50</v>
      </c>
      <c r="R409">
        <v>40</v>
      </c>
      <c r="S409">
        <v>60</v>
      </c>
      <c r="T409" t="s">
        <v>2322</v>
      </c>
    </row>
    <row r="410" spans="1:20">
      <c r="A410">
        <v>369569</v>
      </c>
      <c r="B410" t="s">
        <v>2323</v>
      </c>
      <c r="C410" t="str">
        <f>"9789588307497"</f>
        <v>9789588307497</v>
      </c>
      <c r="D410" t="str">
        <f>"9781552504208"</f>
        <v>9781552504208</v>
      </c>
      <c r="E410" t="s">
        <v>479</v>
      </c>
      <c r="F410" t="s">
        <v>2324</v>
      </c>
      <c r="G410" s="1">
        <v>39448</v>
      </c>
      <c r="J410" t="s">
        <v>2325</v>
      </c>
      <c r="K410" t="s">
        <v>964</v>
      </c>
      <c r="L410" t="s">
        <v>2326</v>
      </c>
      <c r="M410" t="s">
        <v>2327</v>
      </c>
      <c r="N410" t="s">
        <v>2328</v>
      </c>
      <c r="O410" t="s">
        <v>485</v>
      </c>
      <c r="P410">
        <v>40</v>
      </c>
      <c r="Q410">
        <v>50</v>
      </c>
      <c r="R410">
        <v>40</v>
      </c>
      <c r="S410">
        <v>60</v>
      </c>
      <c r="T410" t="s">
        <v>2329</v>
      </c>
    </row>
    <row r="411" spans="1:20">
      <c r="A411">
        <v>407915</v>
      </c>
      <c r="B411" t="s">
        <v>2330</v>
      </c>
      <c r="C411" t="str">
        <f>"9788178298900"</f>
        <v>9788178298900</v>
      </c>
      <c r="D411" t="str">
        <f>"9781552504185"</f>
        <v>9781552504185</v>
      </c>
      <c r="E411" t="s">
        <v>479</v>
      </c>
      <c r="F411" t="s">
        <v>2272</v>
      </c>
      <c r="G411" s="1">
        <v>39448</v>
      </c>
      <c r="J411" t="s">
        <v>2331</v>
      </c>
      <c r="K411" t="s">
        <v>263</v>
      </c>
      <c r="L411" t="s">
        <v>2332</v>
      </c>
      <c r="M411">
        <v>300.72000000000003</v>
      </c>
      <c r="N411" t="s">
        <v>2333</v>
      </c>
      <c r="O411" t="s">
        <v>26</v>
      </c>
      <c r="P411">
        <v>35</v>
      </c>
      <c r="Q411">
        <v>43.75</v>
      </c>
      <c r="R411">
        <v>35</v>
      </c>
      <c r="S411">
        <v>52.5</v>
      </c>
      <c r="T411" t="s">
        <v>2334</v>
      </c>
    </row>
    <row r="412" spans="1:20">
      <c r="A412">
        <v>434145</v>
      </c>
      <c r="B412" t="s">
        <v>2335</v>
      </c>
      <c r="C412" t="str">
        <f>"9781848131927"</f>
        <v>9781848131927</v>
      </c>
      <c r="D412" t="str">
        <f>"9781552503997"</f>
        <v>9781552503997</v>
      </c>
      <c r="E412" t="s">
        <v>479</v>
      </c>
      <c r="F412" t="s">
        <v>2336</v>
      </c>
      <c r="G412" s="1">
        <v>39912</v>
      </c>
      <c r="J412" t="s">
        <v>2337</v>
      </c>
      <c r="K412" t="s">
        <v>2338</v>
      </c>
      <c r="L412" t="s">
        <v>2339</v>
      </c>
      <c r="M412">
        <v>305.42095999999998</v>
      </c>
      <c r="N412" t="s">
        <v>2340</v>
      </c>
      <c r="O412" t="s">
        <v>26</v>
      </c>
      <c r="P412">
        <v>35</v>
      </c>
      <c r="Q412">
        <v>43.75</v>
      </c>
      <c r="R412">
        <v>35</v>
      </c>
      <c r="S412">
        <v>52.5</v>
      </c>
      <c r="T412" t="s">
        <v>2341</v>
      </c>
    </row>
    <row r="413" spans="1:20">
      <c r="A413">
        <v>434146</v>
      </c>
      <c r="B413" t="s">
        <v>2342</v>
      </c>
      <c r="C413" t="str">
        <f>"9781853396755"</f>
        <v>9781853396755</v>
      </c>
      <c r="D413" t="str">
        <f>"9781552504161"</f>
        <v>9781552504161</v>
      </c>
      <c r="E413" t="s">
        <v>479</v>
      </c>
      <c r="F413" t="s">
        <v>2343</v>
      </c>
      <c r="G413" s="1">
        <v>39692</v>
      </c>
      <c r="J413" t="s">
        <v>2344</v>
      </c>
      <c r="K413" t="s">
        <v>278</v>
      </c>
      <c r="L413" t="s">
        <v>2345</v>
      </c>
      <c r="M413">
        <v>338.9</v>
      </c>
      <c r="N413" t="s">
        <v>2346</v>
      </c>
      <c r="O413" t="s">
        <v>26</v>
      </c>
      <c r="P413">
        <v>35</v>
      </c>
      <c r="Q413">
        <v>43.75</v>
      </c>
      <c r="R413">
        <v>35</v>
      </c>
      <c r="S413">
        <v>52.5</v>
      </c>
      <c r="T413" t="s">
        <v>2347</v>
      </c>
    </row>
    <row r="414" spans="1:20">
      <c r="A414">
        <v>434156</v>
      </c>
      <c r="B414" t="s">
        <v>2348</v>
      </c>
      <c r="C414" t="str">
        <f>"9780889368019"</f>
        <v>9780889368019</v>
      </c>
      <c r="D414" t="str">
        <f>"9781552504482"</f>
        <v>9781552504482</v>
      </c>
      <c r="E414" t="s">
        <v>479</v>
      </c>
      <c r="F414" t="s">
        <v>2349</v>
      </c>
      <c r="G414" s="1">
        <v>35217</v>
      </c>
      <c r="J414" t="s">
        <v>2350</v>
      </c>
      <c r="K414" t="s">
        <v>278</v>
      </c>
      <c r="L414" t="s">
        <v>2351</v>
      </c>
      <c r="M414">
        <v>338.9</v>
      </c>
      <c r="N414" t="s">
        <v>2352</v>
      </c>
      <c r="O414" t="s">
        <v>26</v>
      </c>
      <c r="P414">
        <v>35</v>
      </c>
      <c r="Q414">
        <v>43.75</v>
      </c>
      <c r="R414">
        <v>35</v>
      </c>
      <c r="S414">
        <v>52.5</v>
      </c>
      <c r="T414" t="s">
        <v>2353</v>
      </c>
    </row>
    <row r="415" spans="1:20">
      <c r="A415">
        <v>434157</v>
      </c>
      <c r="B415" t="s">
        <v>2354</v>
      </c>
      <c r="C415" t="str">
        <f>"9789793361055"</f>
        <v>9789793361055</v>
      </c>
      <c r="D415" t="str">
        <f>"9781552500682"</f>
        <v>9781552500682</v>
      </c>
      <c r="E415" t="s">
        <v>479</v>
      </c>
      <c r="F415" t="s">
        <v>2355</v>
      </c>
      <c r="G415" s="1">
        <v>37956</v>
      </c>
      <c r="J415" t="s">
        <v>2356</v>
      </c>
      <c r="K415" t="s">
        <v>543</v>
      </c>
      <c r="L415" t="s">
        <v>2357</v>
      </c>
      <c r="M415" t="s">
        <v>2358</v>
      </c>
      <c r="N415" t="s">
        <v>2359</v>
      </c>
      <c r="O415" t="s">
        <v>485</v>
      </c>
      <c r="P415">
        <v>20</v>
      </c>
      <c r="Q415">
        <v>25</v>
      </c>
      <c r="R415">
        <v>20</v>
      </c>
      <c r="S415">
        <v>30</v>
      </c>
      <c r="T415" t="s">
        <v>2360</v>
      </c>
    </row>
    <row r="416" spans="1:20">
      <c r="A416">
        <v>434159</v>
      </c>
      <c r="B416" t="s">
        <v>2361</v>
      </c>
      <c r="C416" t="str">
        <f>"9780887283130"</f>
        <v>9780887283130</v>
      </c>
      <c r="D416" t="str">
        <f>"9781552504437"</f>
        <v>9781552504437</v>
      </c>
      <c r="E416" t="s">
        <v>479</v>
      </c>
      <c r="F416" t="s">
        <v>2355</v>
      </c>
      <c r="G416" s="1">
        <v>39722</v>
      </c>
      <c r="J416" t="s">
        <v>2362</v>
      </c>
      <c r="K416" t="s">
        <v>1550</v>
      </c>
      <c r="L416" t="s">
        <v>2363</v>
      </c>
      <c r="M416" t="s">
        <v>2364</v>
      </c>
      <c r="N416" t="s">
        <v>2365</v>
      </c>
      <c r="O416" t="s">
        <v>26</v>
      </c>
      <c r="P416">
        <v>20</v>
      </c>
      <c r="Q416">
        <v>25</v>
      </c>
      <c r="R416">
        <v>20</v>
      </c>
      <c r="S416">
        <v>30</v>
      </c>
      <c r="T416" t="s">
        <v>2366</v>
      </c>
    </row>
    <row r="417" spans="1:20">
      <c r="A417">
        <v>448482</v>
      </c>
      <c r="B417" t="s">
        <v>2367</v>
      </c>
      <c r="C417" t="str">
        <f>"9781552504321"</f>
        <v>9781552504321</v>
      </c>
      <c r="D417" t="str">
        <f>"9781552504352"</f>
        <v>9781552504352</v>
      </c>
      <c r="E417" t="s">
        <v>479</v>
      </c>
      <c r="F417" t="s">
        <v>480</v>
      </c>
      <c r="G417" s="1">
        <v>39814</v>
      </c>
      <c r="I417" t="s">
        <v>2368</v>
      </c>
      <c r="J417" t="s">
        <v>2369</v>
      </c>
      <c r="K417" t="s">
        <v>899</v>
      </c>
      <c r="L417" t="s">
        <v>2370</v>
      </c>
      <c r="M417">
        <v>362.55250917000001</v>
      </c>
      <c r="N417" t="s">
        <v>2371</v>
      </c>
      <c r="O417" t="s">
        <v>26</v>
      </c>
      <c r="P417">
        <v>20</v>
      </c>
      <c r="Q417">
        <v>25</v>
      </c>
      <c r="R417">
        <v>20</v>
      </c>
      <c r="S417">
        <v>30</v>
      </c>
      <c r="T417" t="s">
        <v>2372</v>
      </c>
    </row>
    <row r="418" spans="1:20">
      <c r="A418">
        <v>468502</v>
      </c>
      <c r="B418" t="s">
        <v>2373</v>
      </c>
      <c r="C418" t="str">
        <f>"9789004153813"</f>
        <v>9789004153813</v>
      </c>
      <c r="D418" t="str">
        <f>"9789047410911"</f>
        <v>9789047410911</v>
      </c>
      <c r="E418" t="s">
        <v>2374</v>
      </c>
      <c r="F418" t="s">
        <v>2374</v>
      </c>
      <c r="G418" s="1">
        <v>38995</v>
      </c>
      <c r="H418">
        <v>1</v>
      </c>
      <c r="J418" t="s">
        <v>2375</v>
      </c>
      <c r="K418" t="s">
        <v>525</v>
      </c>
      <c r="L418" t="s">
        <v>2376</v>
      </c>
      <c r="M418">
        <v>341</v>
      </c>
      <c r="N418" t="s">
        <v>2377</v>
      </c>
      <c r="O418" t="s">
        <v>26</v>
      </c>
      <c r="P418">
        <v>213</v>
      </c>
      <c r="Q418">
        <v>266.25</v>
      </c>
      <c r="R418">
        <v>213</v>
      </c>
      <c r="S418">
        <v>319.5</v>
      </c>
      <c r="T418" t="s">
        <v>2378</v>
      </c>
    </row>
    <row r="419" spans="1:20">
      <c r="A419">
        <v>471327</v>
      </c>
      <c r="B419" t="s">
        <v>2379</v>
      </c>
      <c r="C419" t="str">
        <f>"9781779220721"</f>
        <v>9781779220721</v>
      </c>
      <c r="D419" t="str">
        <f>"9781552504246"</f>
        <v>9781552504246</v>
      </c>
      <c r="E419" t="s">
        <v>479</v>
      </c>
      <c r="F419" t="s">
        <v>2380</v>
      </c>
      <c r="G419" s="1">
        <v>39814</v>
      </c>
      <c r="J419" t="s">
        <v>2381</v>
      </c>
      <c r="K419" t="s">
        <v>757</v>
      </c>
      <c r="L419" t="s">
        <v>2382</v>
      </c>
      <c r="M419">
        <v>333.70967999999999</v>
      </c>
      <c r="N419" t="s">
        <v>2383</v>
      </c>
      <c r="O419" t="s">
        <v>26</v>
      </c>
      <c r="P419">
        <v>15</v>
      </c>
      <c r="Q419">
        <v>18.75</v>
      </c>
      <c r="R419">
        <v>15</v>
      </c>
      <c r="S419">
        <v>22.5</v>
      </c>
      <c r="T419" t="s">
        <v>2384</v>
      </c>
    </row>
    <row r="420" spans="1:20">
      <c r="A420">
        <v>478308</v>
      </c>
      <c r="B420" t="s">
        <v>2385</v>
      </c>
      <c r="C420" t="str">
        <f>"9780865715486"</f>
        <v>9780865715486</v>
      </c>
      <c r="D420" t="str">
        <f>"9781550924015"</f>
        <v>9781550924015</v>
      </c>
      <c r="E420" t="s">
        <v>249</v>
      </c>
      <c r="F420" t="s">
        <v>249</v>
      </c>
      <c r="G420" s="1">
        <v>38749</v>
      </c>
      <c r="J420" t="s">
        <v>2386</v>
      </c>
      <c r="K420" t="s">
        <v>2387</v>
      </c>
      <c r="L420" t="s">
        <v>2388</v>
      </c>
      <c r="M420" t="s">
        <v>2389</v>
      </c>
      <c r="N420" t="s">
        <v>2390</v>
      </c>
      <c r="O420" t="s">
        <v>26</v>
      </c>
      <c r="P420">
        <v>17.95</v>
      </c>
      <c r="R420">
        <v>17.95</v>
      </c>
      <c r="S420">
        <v>26.93</v>
      </c>
      <c r="T420" t="s">
        <v>2391</v>
      </c>
    </row>
    <row r="421" spans="1:20">
      <c r="A421">
        <v>478310</v>
      </c>
      <c r="B421" t="s">
        <v>2392</v>
      </c>
      <c r="C421" t="str">
        <f>"9780865715752"</f>
        <v>9780865715752</v>
      </c>
      <c r="D421" t="str">
        <f>"9781550923650"</f>
        <v>9781550923650</v>
      </c>
      <c r="E421" t="s">
        <v>249</v>
      </c>
      <c r="F421" t="s">
        <v>249</v>
      </c>
      <c r="G421" s="1">
        <v>39114</v>
      </c>
      <c r="J421" t="s">
        <v>2393</v>
      </c>
      <c r="K421" t="s">
        <v>263</v>
      </c>
      <c r="L421" t="s">
        <v>2394</v>
      </c>
      <c r="M421" t="s">
        <v>2395</v>
      </c>
      <c r="N421" t="s">
        <v>2396</v>
      </c>
      <c r="O421" t="s">
        <v>26</v>
      </c>
      <c r="P421">
        <v>19.95</v>
      </c>
      <c r="R421">
        <v>19.95</v>
      </c>
      <c r="S421">
        <v>29.93</v>
      </c>
      <c r="T421" t="s">
        <v>2397</v>
      </c>
    </row>
    <row r="422" spans="1:20">
      <c r="A422">
        <v>478311</v>
      </c>
      <c r="B422" t="s">
        <v>2398</v>
      </c>
      <c r="C422" t="str">
        <f>"9780865714885"</f>
        <v>9780865714885</v>
      </c>
      <c r="D422" t="str">
        <f>"9781550923902"</f>
        <v>9781550923902</v>
      </c>
      <c r="E422" t="s">
        <v>249</v>
      </c>
      <c r="F422" t="s">
        <v>249</v>
      </c>
      <c r="G422" s="1">
        <v>37773</v>
      </c>
      <c r="J422" t="s">
        <v>2399</v>
      </c>
      <c r="K422" t="s">
        <v>2387</v>
      </c>
      <c r="L422" t="s">
        <v>2400</v>
      </c>
      <c r="M422">
        <v>641.50900000000001</v>
      </c>
      <c r="N422" t="s">
        <v>2401</v>
      </c>
      <c r="O422" t="s">
        <v>26</v>
      </c>
      <c r="P422">
        <v>23.95</v>
      </c>
      <c r="R422">
        <v>23.95</v>
      </c>
      <c r="S422">
        <v>35.93</v>
      </c>
      <c r="T422" t="s">
        <v>2402</v>
      </c>
    </row>
    <row r="423" spans="1:20">
      <c r="A423">
        <v>478312</v>
      </c>
      <c r="B423" t="s">
        <v>2403</v>
      </c>
      <c r="C423" t="str">
        <f>"9780865716131"</f>
        <v>9780865716131</v>
      </c>
      <c r="D423" t="str">
        <f>"9781550923926"</f>
        <v>9781550923926</v>
      </c>
      <c r="E423" t="s">
        <v>249</v>
      </c>
      <c r="F423" t="s">
        <v>249</v>
      </c>
      <c r="G423" s="1">
        <v>39600</v>
      </c>
      <c r="J423" t="s">
        <v>2404</v>
      </c>
      <c r="K423" t="s">
        <v>2405</v>
      </c>
      <c r="L423" t="s">
        <v>2406</v>
      </c>
      <c r="M423" t="s">
        <v>2407</v>
      </c>
      <c r="N423" t="s">
        <v>2408</v>
      </c>
      <c r="O423" t="s">
        <v>26</v>
      </c>
      <c r="P423">
        <v>29.95</v>
      </c>
      <c r="R423">
        <v>29.95</v>
      </c>
      <c r="S423">
        <v>44.93</v>
      </c>
      <c r="T423" t="s">
        <v>2409</v>
      </c>
    </row>
    <row r="424" spans="1:20">
      <c r="A424">
        <v>478316</v>
      </c>
      <c r="B424" t="s">
        <v>2410</v>
      </c>
      <c r="C424" t="str">
        <f>"9780865713840"</f>
        <v>9780865713840</v>
      </c>
      <c r="D424" t="str">
        <f>"9781550923995"</f>
        <v>9781550923995</v>
      </c>
      <c r="E424" t="s">
        <v>249</v>
      </c>
      <c r="F424" t="s">
        <v>249</v>
      </c>
      <c r="G424" s="1">
        <v>36161</v>
      </c>
      <c r="I424" t="s">
        <v>303</v>
      </c>
      <c r="J424" t="s">
        <v>2411</v>
      </c>
      <c r="K424" t="s">
        <v>305</v>
      </c>
      <c r="L424" t="s">
        <v>2412</v>
      </c>
      <c r="M424" t="s">
        <v>307</v>
      </c>
      <c r="N424" t="s">
        <v>2413</v>
      </c>
      <c r="O424" t="s">
        <v>26</v>
      </c>
      <c r="P424">
        <v>16.95</v>
      </c>
      <c r="R424">
        <v>16.95</v>
      </c>
      <c r="S424">
        <v>25.43</v>
      </c>
      <c r="T424" t="s">
        <v>2414</v>
      </c>
    </row>
    <row r="425" spans="1:20">
      <c r="A425">
        <v>478324</v>
      </c>
      <c r="B425" t="s">
        <v>2415</v>
      </c>
      <c r="C425" t="str">
        <f>"9781551521312"</f>
        <v>9781551521312</v>
      </c>
      <c r="D425" t="str">
        <f>"9781551523125"</f>
        <v>9781551523125</v>
      </c>
      <c r="E425" t="s">
        <v>2416</v>
      </c>
      <c r="F425" t="s">
        <v>2416</v>
      </c>
      <c r="G425" s="1">
        <v>37895</v>
      </c>
      <c r="I425" t="s">
        <v>2417</v>
      </c>
      <c r="J425" t="s">
        <v>2418</v>
      </c>
      <c r="K425" t="s">
        <v>291</v>
      </c>
      <c r="L425" t="s">
        <v>2419</v>
      </c>
      <c r="M425" t="s">
        <v>2420</v>
      </c>
      <c r="N425" t="s">
        <v>2421</v>
      </c>
      <c r="O425" t="s">
        <v>26</v>
      </c>
      <c r="P425">
        <v>16.95</v>
      </c>
      <c r="R425">
        <v>16.95</v>
      </c>
      <c r="S425">
        <v>25.43</v>
      </c>
      <c r="T425" t="s">
        <v>2422</v>
      </c>
    </row>
    <row r="426" spans="1:20">
      <c r="A426">
        <v>478326</v>
      </c>
      <c r="B426" t="s">
        <v>2423</v>
      </c>
      <c r="C426" t="str">
        <f>"9780865715271"</f>
        <v>9780865715271</v>
      </c>
      <c r="D426" t="str">
        <f>"9781550923797"</f>
        <v>9781550923797</v>
      </c>
      <c r="E426" t="s">
        <v>249</v>
      </c>
      <c r="F426" t="s">
        <v>249</v>
      </c>
      <c r="G426" s="1">
        <v>38869</v>
      </c>
      <c r="J426" t="s">
        <v>2424</v>
      </c>
      <c r="K426" t="s">
        <v>263</v>
      </c>
      <c r="L426" t="s">
        <v>2425</v>
      </c>
      <c r="M426" t="s">
        <v>2426</v>
      </c>
      <c r="N426" t="s">
        <v>2427</v>
      </c>
      <c r="O426" t="s">
        <v>26</v>
      </c>
      <c r="P426">
        <v>21.95</v>
      </c>
      <c r="R426">
        <v>21.95</v>
      </c>
      <c r="S426">
        <v>32.93</v>
      </c>
      <c r="T426" t="s">
        <v>2428</v>
      </c>
    </row>
    <row r="427" spans="1:20">
      <c r="A427">
        <v>478327</v>
      </c>
      <c r="B427" t="s">
        <v>2429</v>
      </c>
      <c r="C427" t="str">
        <f>"9780865715660"</f>
        <v>9780865715660</v>
      </c>
      <c r="D427" t="str">
        <f>"9781550923582"</f>
        <v>9781550923582</v>
      </c>
      <c r="E427" t="s">
        <v>249</v>
      </c>
      <c r="F427" t="s">
        <v>249</v>
      </c>
      <c r="G427" s="1">
        <v>39387</v>
      </c>
      <c r="I427" t="s">
        <v>2430</v>
      </c>
      <c r="J427" t="s">
        <v>2431</v>
      </c>
      <c r="K427" t="s">
        <v>2432</v>
      </c>
      <c r="L427" t="s">
        <v>2433</v>
      </c>
      <c r="M427">
        <v>179.3</v>
      </c>
      <c r="N427" t="s">
        <v>2434</v>
      </c>
      <c r="O427" t="s">
        <v>26</v>
      </c>
      <c r="P427">
        <v>24.95</v>
      </c>
      <c r="R427">
        <v>24.95</v>
      </c>
      <c r="S427">
        <v>37.43</v>
      </c>
      <c r="T427" t="s">
        <v>2435</v>
      </c>
    </row>
    <row r="428" spans="1:20">
      <c r="A428">
        <v>478339</v>
      </c>
      <c r="B428" t="s">
        <v>2436</v>
      </c>
      <c r="C428" t="str">
        <f>"9780865716056"</f>
        <v>9780865716056</v>
      </c>
      <c r="D428" t="str">
        <f>"9781550923636"</f>
        <v>9781550923636</v>
      </c>
      <c r="E428" t="s">
        <v>249</v>
      </c>
      <c r="F428" t="s">
        <v>249</v>
      </c>
      <c r="G428" s="1">
        <v>39630</v>
      </c>
      <c r="J428" t="s">
        <v>2437</v>
      </c>
      <c r="K428" t="s">
        <v>305</v>
      </c>
      <c r="L428" t="s">
        <v>2438</v>
      </c>
      <c r="M428">
        <v>658.40830000000005</v>
      </c>
      <c r="N428" t="s">
        <v>2439</v>
      </c>
      <c r="O428" t="s">
        <v>26</v>
      </c>
      <c r="P428">
        <v>17.95</v>
      </c>
      <c r="R428">
        <v>17.95</v>
      </c>
      <c r="S428">
        <v>26.93</v>
      </c>
      <c r="T428" t="s">
        <v>2440</v>
      </c>
    </row>
    <row r="429" spans="1:20">
      <c r="A429">
        <v>478343</v>
      </c>
      <c r="B429" t="s">
        <v>2441</v>
      </c>
      <c r="C429" t="str">
        <f>"9780865714915"</f>
        <v>9780865714915</v>
      </c>
      <c r="D429" t="str">
        <f>"9781550924008"</f>
        <v>9781550924008</v>
      </c>
      <c r="E429" t="s">
        <v>249</v>
      </c>
      <c r="F429" t="s">
        <v>249</v>
      </c>
      <c r="G429" s="1">
        <v>38078</v>
      </c>
      <c r="J429" t="s">
        <v>2442</v>
      </c>
      <c r="K429" t="s">
        <v>442</v>
      </c>
      <c r="L429" t="s">
        <v>2443</v>
      </c>
      <c r="M429" t="s">
        <v>2444</v>
      </c>
      <c r="N429" t="s">
        <v>2445</v>
      </c>
      <c r="O429" t="s">
        <v>26</v>
      </c>
      <c r="P429">
        <v>24.95</v>
      </c>
      <c r="R429">
        <v>24.95</v>
      </c>
      <c r="S429">
        <v>37.43</v>
      </c>
      <c r="T429" t="s">
        <v>2446</v>
      </c>
    </row>
    <row r="430" spans="1:20">
      <c r="A430">
        <v>478346</v>
      </c>
      <c r="B430" t="s">
        <v>2447</v>
      </c>
      <c r="C430" t="str">
        <f>"9780865715875"</f>
        <v>9780865715875</v>
      </c>
      <c r="D430" t="str">
        <f>"9781550923803"</f>
        <v>9781550923803</v>
      </c>
      <c r="E430" t="s">
        <v>249</v>
      </c>
      <c r="F430" t="s">
        <v>249</v>
      </c>
      <c r="G430" s="1">
        <v>39173</v>
      </c>
      <c r="J430" t="s">
        <v>2448</v>
      </c>
      <c r="K430" t="s">
        <v>2449</v>
      </c>
      <c r="L430" t="s">
        <v>2450</v>
      </c>
      <c r="M430" t="s">
        <v>2451</v>
      </c>
      <c r="N430" t="s">
        <v>2452</v>
      </c>
      <c r="O430" t="s">
        <v>26</v>
      </c>
      <c r="P430">
        <v>11.95</v>
      </c>
      <c r="R430">
        <v>11.95</v>
      </c>
      <c r="S430">
        <v>17.93</v>
      </c>
      <c r="T430" t="s">
        <v>2453</v>
      </c>
    </row>
    <row r="431" spans="1:20">
      <c r="A431">
        <v>478347</v>
      </c>
      <c r="B431" t="s">
        <v>2454</v>
      </c>
      <c r="C431" t="str">
        <f>"9780865716476"</f>
        <v>9780865716476</v>
      </c>
      <c r="D431" t="str">
        <f>"9781550924305"</f>
        <v>9781550924305</v>
      </c>
      <c r="E431" t="s">
        <v>249</v>
      </c>
      <c r="F431" t="s">
        <v>249</v>
      </c>
      <c r="G431" s="1">
        <v>39965</v>
      </c>
      <c r="J431" t="s">
        <v>2455</v>
      </c>
      <c r="K431" t="s">
        <v>263</v>
      </c>
      <c r="L431" t="s">
        <v>2456</v>
      </c>
      <c r="M431" t="s">
        <v>2457</v>
      </c>
      <c r="N431" t="s">
        <v>2458</v>
      </c>
      <c r="O431" t="s">
        <v>26</v>
      </c>
      <c r="P431">
        <v>21.95</v>
      </c>
      <c r="R431">
        <v>21.95</v>
      </c>
      <c r="S431">
        <v>32.93</v>
      </c>
      <c r="T431" t="s">
        <v>2459</v>
      </c>
    </row>
    <row r="432" spans="1:20">
      <c r="A432">
        <v>478349</v>
      </c>
      <c r="B432" t="s">
        <v>2460</v>
      </c>
      <c r="C432" t="str">
        <f>"9780865714984"</f>
        <v>9780865714984</v>
      </c>
      <c r="D432" t="str">
        <f>"9781550923872"</f>
        <v>9781550923872</v>
      </c>
      <c r="E432" t="s">
        <v>249</v>
      </c>
      <c r="F432" t="s">
        <v>249</v>
      </c>
      <c r="G432" s="1">
        <v>38231</v>
      </c>
      <c r="J432" t="s">
        <v>2461</v>
      </c>
      <c r="K432" t="s">
        <v>2462</v>
      </c>
      <c r="L432" t="s">
        <v>2463</v>
      </c>
      <c r="M432" t="s">
        <v>2464</v>
      </c>
      <c r="N432" t="s">
        <v>2465</v>
      </c>
      <c r="O432" t="s">
        <v>26</v>
      </c>
      <c r="P432">
        <v>29.95</v>
      </c>
      <c r="R432">
        <v>29.95</v>
      </c>
      <c r="S432">
        <v>44.93</v>
      </c>
      <c r="T432" t="s">
        <v>2466</v>
      </c>
    </row>
    <row r="433" spans="1:20">
      <c r="A433">
        <v>478362</v>
      </c>
      <c r="B433" t="s">
        <v>2467</v>
      </c>
      <c r="C433" t="str">
        <f>"9780865716001"</f>
        <v>9780865716001</v>
      </c>
      <c r="D433" t="str">
        <f>"9781550923865"</f>
        <v>9781550923865</v>
      </c>
      <c r="E433" t="s">
        <v>249</v>
      </c>
      <c r="F433" t="s">
        <v>249</v>
      </c>
      <c r="G433" s="1">
        <v>39448</v>
      </c>
      <c r="H433">
        <v>3</v>
      </c>
      <c r="J433" t="s">
        <v>2468</v>
      </c>
      <c r="K433" t="s">
        <v>323</v>
      </c>
      <c r="L433" t="s">
        <v>2469</v>
      </c>
      <c r="M433" t="s">
        <v>2470</v>
      </c>
      <c r="N433" t="s">
        <v>2471</v>
      </c>
      <c r="O433" t="s">
        <v>26</v>
      </c>
      <c r="P433">
        <v>37.950000000000003</v>
      </c>
      <c r="R433">
        <v>37.950000000000003</v>
      </c>
      <c r="S433">
        <v>56.93</v>
      </c>
      <c r="T433" t="s">
        <v>2472</v>
      </c>
    </row>
    <row r="434" spans="1:20">
      <c r="A434">
        <v>478367</v>
      </c>
      <c r="B434" t="s">
        <v>2473</v>
      </c>
      <c r="C434" t="str">
        <f>"9780865716438"</f>
        <v>9780865716438</v>
      </c>
      <c r="D434" t="str">
        <f>"9781550924282"</f>
        <v>9781550924282</v>
      </c>
      <c r="E434" t="s">
        <v>249</v>
      </c>
      <c r="F434" t="s">
        <v>249</v>
      </c>
      <c r="G434" s="1">
        <v>39934</v>
      </c>
      <c r="J434" t="s">
        <v>2474</v>
      </c>
      <c r="K434" t="s">
        <v>695</v>
      </c>
      <c r="L434" t="s">
        <v>2475</v>
      </c>
      <c r="M434" t="s">
        <v>2476</v>
      </c>
      <c r="N434" t="s">
        <v>2477</v>
      </c>
      <c r="O434" t="s">
        <v>26</v>
      </c>
      <c r="P434">
        <v>19.95</v>
      </c>
      <c r="R434">
        <v>19.95</v>
      </c>
      <c r="S434">
        <v>29.93</v>
      </c>
      <c r="T434" t="s">
        <v>2478</v>
      </c>
    </row>
    <row r="435" spans="1:20">
      <c r="A435">
        <v>478372</v>
      </c>
      <c r="B435" t="s">
        <v>2479</v>
      </c>
      <c r="C435" t="str">
        <f>"9780865715578"</f>
        <v>9780865715578</v>
      </c>
      <c r="D435" t="str">
        <f>"9781550924053"</f>
        <v>9781550924053</v>
      </c>
      <c r="E435" t="s">
        <v>249</v>
      </c>
      <c r="F435" t="s">
        <v>249</v>
      </c>
      <c r="G435" s="1">
        <v>39873</v>
      </c>
      <c r="J435" t="s">
        <v>2480</v>
      </c>
      <c r="K435" t="s">
        <v>257</v>
      </c>
      <c r="L435" t="s">
        <v>2481</v>
      </c>
      <c r="M435">
        <v>378</v>
      </c>
      <c r="N435" t="s">
        <v>2482</v>
      </c>
      <c r="O435" t="s">
        <v>26</v>
      </c>
      <c r="P435">
        <v>19.95</v>
      </c>
      <c r="R435">
        <v>19.95</v>
      </c>
      <c r="S435">
        <v>29.93</v>
      </c>
      <c r="T435" t="s">
        <v>2483</v>
      </c>
    </row>
    <row r="436" spans="1:20">
      <c r="A436">
        <v>478376</v>
      </c>
      <c r="B436" t="s">
        <v>2484</v>
      </c>
      <c r="C436" t="str">
        <f>"9780865716162"</f>
        <v>9780865716162</v>
      </c>
      <c r="D436" t="str">
        <f>"9781550924251"</f>
        <v>9781550924251</v>
      </c>
      <c r="E436" t="s">
        <v>249</v>
      </c>
      <c r="F436" t="s">
        <v>249</v>
      </c>
      <c r="G436" s="1">
        <v>39722</v>
      </c>
      <c r="J436" t="s">
        <v>2485</v>
      </c>
      <c r="K436" t="s">
        <v>76</v>
      </c>
      <c r="L436" t="s">
        <v>2486</v>
      </c>
      <c r="M436">
        <v>634.95600000000002</v>
      </c>
      <c r="N436" t="s">
        <v>2487</v>
      </c>
      <c r="O436" t="s">
        <v>26</v>
      </c>
      <c r="P436">
        <v>24.95</v>
      </c>
      <c r="R436">
        <v>24.95</v>
      </c>
      <c r="S436">
        <v>37.43</v>
      </c>
      <c r="T436" t="s">
        <v>2488</v>
      </c>
    </row>
    <row r="437" spans="1:20">
      <c r="A437">
        <v>478379</v>
      </c>
      <c r="B437" t="s">
        <v>2489</v>
      </c>
      <c r="C437" t="str">
        <f>"9780865716506"</f>
        <v>9780865716506</v>
      </c>
      <c r="D437" t="str">
        <f>"9781550924312"</f>
        <v>9781550924312</v>
      </c>
      <c r="E437" t="s">
        <v>249</v>
      </c>
      <c r="F437" t="s">
        <v>249</v>
      </c>
      <c r="G437" s="1">
        <v>40057</v>
      </c>
      <c r="J437" t="s">
        <v>2490</v>
      </c>
      <c r="K437" t="s">
        <v>2491</v>
      </c>
      <c r="L437" t="s">
        <v>2492</v>
      </c>
      <c r="M437" t="s">
        <v>2493</v>
      </c>
      <c r="N437" t="s">
        <v>2494</v>
      </c>
      <c r="O437" t="s">
        <v>26</v>
      </c>
      <c r="P437">
        <v>16.95</v>
      </c>
      <c r="R437">
        <v>16.95</v>
      </c>
      <c r="S437">
        <v>25.43</v>
      </c>
      <c r="T437" t="s">
        <v>2495</v>
      </c>
    </row>
    <row r="438" spans="1:20">
      <c r="A438">
        <v>478393</v>
      </c>
      <c r="B438" t="s">
        <v>2496</v>
      </c>
      <c r="C438" t="str">
        <f>"9780865715547"</f>
        <v>9780865715547</v>
      </c>
      <c r="D438" t="str">
        <f>"9781550924145"</f>
        <v>9781550924145</v>
      </c>
      <c r="E438" t="s">
        <v>249</v>
      </c>
      <c r="F438" t="s">
        <v>249</v>
      </c>
      <c r="G438" s="1">
        <v>38991</v>
      </c>
      <c r="J438" t="s">
        <v>2497</v>
      </c>
      <c r="K438" t="s">
        <v>2498</v>
      </c>
      <c r="L438" t="s">
        <v>2499</v>
      </c>
      <c r="M438">
        <v>158.1</v>
      </c>
      <c r="N438" t="s">
        <v>2500</v>
      </c>
      <c r="O438" t="s">
        <v>26</v>
      </c>
      <c r="P438">
        <v>16.95</v>
      </c>
      <c r="R438">
        <v>16.95</v>
      </c>
      <c r="S438">
        <v>25.43</v>
      </c>
      <c r="T438" t="s">
        <v>2501</v>
      </c>
    </row>
    <row r="439" spans="1:20">
      <c r="A439">
        <v>478394</v>
      </c>
      <c r="B439" t="s">
        <v>2502</v>
      </c>
      <c r="C439" t="str">
        <f>"9781551522180"</f>
        <v>9781551522180</v>
      </c>
      <c r="D439" t="str">
        <f>"9781551523002"</f>
        <v>9781551523002</v>
      </c>
      <c r="E439" t="s">
        <v>2416</v>
      </c>
      <c r="F439" t="s">
        <v>2416</v>
      </c>
      <c r="G439" s="1">
        <v>39173</v>
      </c>
      <c r="J439" t="s">
        <v>2503</v>
      </c>
      <c r="K439" t="s">
        <v>1471</v>
      </c>
      <c r="L439" t="s">
        <v>2504</v>
      </c>
      <c r="M439">
        <v>700.10299999999995</v>
      </c>
      <c r="N439" t="s">
        <v>2505</v>
      </c>
      <c r="O439" t="s">
        <v>26</v>
      </c>
      <c r="P439">
        <v>23.95</v>
      </c>
      <c r="R439">
        <v>23.95</v>
      </c>
      <c r="S439">
        <v>35.93</v>
      </c>
      <c r="T439" t="s">
        <v>2506</v>
      </c>
    </row>
    <row r="440" spans="1:20">
      <c r="A440">
        <v>478400</v>
      </c>
      <c r="B440" t="s">
        <v>2507</v>
      </c>
      <c r="C440" t="str">
        <f>"9780865716520"</f>
        <v>9780865716520</v>
      </c>
      <c r="D440" t="str">
        <f>"9781550924404"</f>
        <v>9781550924404</v>
      </c>
      <c r="E440" t="s">
        <v>249</v>
      </c>
      <c r="F440" t="s">
        <v>249</v>
      </c>
      <c r="G440" s="1">
        <v>40118</v>
      </c>
      <c r="J440" t="s">
        <v>2508</v>
      </c>
      <c r="K440" t="s">
        <v>2509</v>
      </c>
      <c r="L440" t="s">
        <v>2510</v>
      </c>
      <c r="M440" t="s">
        <v>2511</v>
      </c>
      <c r="N440" t="s">
        <v>2512</v>
      </c>
      <c r="O440" t="s">
        <v>26</v>
      </c>
      <c r="P440">
        <v>19.95</v>
      </c>
      <c r="R440">
        <v>19.95</v>
      </c>
      <c r="S440">
        <v>29.93</v>
      </c>
      <c r="T440" t="s">
        <v>2513</v>
      </c>
    </row>
    <row r="441" spans="1:20">
      <c r="A441">
        <v>478401</v>
      </c>
      <c r="B441" t="s">
        <v>2514</v>
      </c>
      <c r="C441" t="str">
        <f>"9780865716148"</f>
        <v>9780865716148</v>
      </c>
      <c r="D441" t="str">
        <f>"9781550923735"</f>
        <v>9781550923735</v>
      </c>
      <c r="E441" t="s">
        <v>249</v>
      </c>
      <c r="F441" t="s">
        <v>249</v>
      </c>
      <c r="G441" s="1">
        <v>39692</v>
      </c>
      <c r="J441" t="s">
        <v>2508</v>
      </c>
      <c r="K441" t="s">
        <v>2387</v>
      </c>
      <c r="L441" t="s">
        <v>2515</v>
      </c>
      <c r="M441">
        <v>640</v>
      </c>
      <c r="N441" t="s">
        <v>2516</v>
      </c>
      <c r="O441" t="s">
        <v>26</v>
      </c>
      <c r="P441">
        <v>18.95</v>
      </c>
      <c r="R441">
        <v>18.95</v>
      </c>
      <c r="S441">
        <v>28.43</v>
      </c>
      <c r="T441" t="s">
        <v>2517</v>
      </c>
    </row>
    <row r="442" spans="1:20">
      <c r="A442">
        <v>478454</v>
      </c>
      <c r="B442" t="s">
        <v>2518</v>
      </c>
      <c r="C442" t="str">
        <f>"9781551522197"</f>
        <v>9781551522197</v>
      </c>
      <c r="D442" t="str">
        <f>"9781551523200"</f>
        <v>9781551523200</v>
      </c>
      <c r="E442" t="s">
        <v>2416</v>
      </c>
      <c r="F442" t="s">
        <v>2416</v>
      </c>
      <c r="G442" s="1">
        <v>39234</v>
      </c>
      <c r="J442" t="s">
        <v>2519</v>
      </c>
      <c r="K442" t="s">
        <v>1458</v>
      </c>
      <c r="L442" t="s">
        <v>2520</v>
      </c>
      <c r="M442">
        <v>818.54089999999997</v>
      </c>
      <c r="N442" t="s">
        <v>2521</v>
      </c>
      <c r="O442" t="s">
        <v>26</v>
      </c>
      <c r="P442">
        <v>16.95</v>
      </c>
      <c r="R442">
        <v>16.95</v>
      </c>
      <c r="S442">
        <v>25.43</v>
      </c>
      <c r="T442" t="s">
        <v>2522</v>
      </c>
    </row>
    <row r="443" spans="1:20">
      <c r="A443">
        <v>478455</v>
      </c>
      <c r="B443" t="s">
        <v>2523</v>
      </c>
      <c r="C443" t="str">
        <f>"9780865716551"</f>
        <v>9780865716551</v>
      </c>
      <c r="D443" t="str">
        <f>"9781550924367"</f>
        <v>9781550924367</v>
      </c>
      <c r="E443" t="s">
        <v>249</v>
      </c>
      <c r="F443" t="s">
        <v>249</v>
      </c>
      <c r="G443" s="1">
        <v>40057</v>
      </c>
      <c r="J443" t="s">
        <v>2524</v>
      </c>
      <c r="K443" t="s">
        <v>257</v>
      </c>
      <c r="L443" t="s">
        <v>2525</v>
      </c>
      <c r="M443" t="s">
        <v>2526</v>
      </c>
      <c r="N443" t="s">
        <v>2527</v>
      </c>
      <c r="O443" t="s">
        <v>26</v>
      </c>
      <c r="P443">
        <v>19.95</v>
      </c>
      <c r="R443">
        <v>19.95</v>
      </c>
      <c r="S443">
        <v>29.93</v>
      </c>
      <c r="T443" t="s">
        <v>2528</v>
      </c>
    </row>
    <row r="444" spans="1:20">
      <c r="A444">
        <v>478479</v>
      </c>
      <c r="B444" t="s">
        <v>2529</v>
      </c>
      <c r="C444" t="str">
        <f>"9781551521633"</f>
        <v>9781551521633</v>
      </c>
      <c r="D444" t="str">
        <f>"9781551523088"</f>
        <v>9781551523088</v>
      </c>
      <c r="E444" t="s">
        <v>2416</v>
      </c>
      <c r="F444" t="s">
        <v>2416</v>
      </c>
      <c r="G444" s="1">
        <v>38292</v>
      </c>
      <c r="J444" t="s">
        <v>2530</v>
      </c>
      <c r="K444" t="s">
        <v>1550</v>
      </c>
      <c r="L444" t="s">
        <v>2531</v>
      </c>
      <c r="M444" t="s">
        <v>2532</v>
      </c>
      <c r="N444" t="s">
        <v>2533</v>
      </c>
      <c r="O444" t="s">
        <v>26</v>
      </c>
      <c r="P444">
        <v>16.95</v>
      </c>
      <c r="R444">
        <v>16.95</v>
      </c>
      <c r="S444">
        <v>25.43</v>
      </c>
      <c r="T444" t="s">
        <v>2534</v>
      </c>
    </row>
    <row r="445" spans="1:20">
      <c r="A445">
        <v>478486</v>
      </c>
      <c r="B445" t="s">
        <v>2535</v>
      </c>
      <c r="C445" t="str">
        <f>"9780865716216"</f>
        <v>9780865716216</v>
      </c>
      <c r="D445" t="str">
        <f>"9781550924336"</f>
        <v>9781550924336</v>
      </c>
      <c r="E445" t="s">
        <v>249</v>
      </c>
      <c r="F445" t="s">
        <v>249</v>
      </c>
      <c r="G445" s="1">
        <v>40057</v>
      </c>
      <c r="J445" t="s">
        <v>329</v>
      </c>
      <c r="K445" t="s">
        <v>2536</v>
      </c>
      <c r="L445" t="s">
        <v>2537</v>
      </c>
      <c r="M445">
        <v>621.31244000000004</v>
      </c>
      <c r="N445" t="s">
        <v>2538</v>
      </c>
      <c r="O445" t="s">
        <v>26</v>
      </c>
      <c r="P445">
        <v>26.95</v>
      </c>
      <c r="R445">
        <v>26.95</v>
      </c>
      <c r="S445">
        <v>40.43</v>
      </c>
      <c r="T445" t="s">
        <v>2539</v>
      </c>
    </row>
    <row r="446" spans="1:20">
      <c r="A446">
        <v>478488</v>
      </c>
      <c r="B446" t="s">
        <v>2540</v>
      </c>
      <c r="C446" t="str">
        <f>"9780865715783"</f>
        <v>9780865715783</v>
      </c>
      <c r="D446" t="str">
        <f>"9781550923834"</f>
        <v>9781550923834</v>
      </c>
      <c r="E446" t="s">
        <v>249</v>
      </c>
      <c r="F446" t="s">
        <v>249</v>
      </c>
      <c r="G446" s="1">
        <v>39203</v>
      </c>
      <c r="I446" t="s">
        <v>2541</v>
      </c>
      <c r="J446" t="s">
        <v>2542</v>
      </c>
      <c r="K446" t="s">
        <v>263</v>
      </c>
      <c r="L446" t="s">
        <v>2543</v>
      </c>
      <c r="M446" t="s">
        <v>2544</v>
      </c>
      <c r="N446" t="s">
        <v>2545</v>
      </c>
      <c r="O446" t="s">
        <v>26</v>
      </c>
      <c r="P446">
        <v>24.99</v>
      </c>
      <c r="R446">
        <v>24.99</v>
      </c>
      <c r="S446">
        <v>37.49</v>
      </c>
      <c r="T446" t="s">
        <v>2546</v>
      </c>
    </row>
    <row r="447" spans="1:20">
      <c r="A447">
        <v>478498</v>
      </c>
      <c r="B447" t="s">
        <v>2547</v>
      </c>
      <c r="C447" t="str">
        <f>"9780865715790"</f>
        <v>9780865715790</v>
      </c>
      <c r="D447" t="str">
        <f>"9781550923544"</f>
        <v>9781550923544</v>
      </c>
      <c r="E447" t="s">
        <v>249</v>
      </c>
      <c r="F447" t="s">
        <v>249</v>
      </c>
      <c r="G447" s="1">
        <v>39234</v>
      </c>
      <c r="J447" t="s">
        <v>2548</v>
      </c>
      <c r="K447" t="s">
        <v>305</v>
      </c>
      <c r="L447" t="s">
        <v>2549</v>
      </c>
      <c r="M447" t="s">
        <v>307</v>
      </c>
      <c r="N447" t="s">
        <v>2550</v>
      </c>
      <c r="O447" t="s">
        <v>26</v>
      </c>
      <c r="P447">
        <v>19.95</v>
      </c>
      <c r="R447">
        <v>19.95</v>
      </c>
      <c r="S447">
        <v>29.93</v>
      </c>
      <c r="T447" t="s">
        <v>2551</v>
      </c>
    </row>
    <row r="448" spans="1:20">
      <c r="A448">
        <v>478504</v>
      </c>
      <c r="B448" t="s">
        <v>2552</v>
      </c>
      <c r="C448" t="str">
        <f>"9781551521411"</f>
        <v>9781551521411</v>
      </c>
      <c r="D448" t="str">
        <f>"9781551523132"</f>
        <v>9781551523132</v>
      </c>
      <c r="E448" t="s">
        <v>2416</v>
      </c>
      <c r="F448" t="s">
        <v>2416</v>
      </c>
      <c r="G448" s="1">
        <v>37987</v>
      </c>
      <c r="J448" t="s">
        <v>2553</v>
      </c>
      <c r="K448" t="s">
        <v>1082</v>
      </c>
      <c r="L448" t="s">
        <v>2554</v>
      </c>
      <c r="M448" t="s">
        <v>2555</v>
      </c>
      <c r="N448" t="s">
        <v>2556</v>
      </c>
      <c r="O448" t="s">
        <v>26</v>
      </c>
      <c r="P448">
        <v>16.95</v>
      </c>
      <c r="R448">
        <v>16.95</v>
      </c>
      <c r="S448">
        <v>25.43</v>
      </c>
      <c r="T448" t="s">
        <v>2557</v>
      </c>
    </row>
    <row r="449" spans="1:20">
      <c r="A449">
        <v>478514</v>
      </c>
      <c r="B449" t="s">
        <v>2558</v>
      </c>
      <c r="C449" t="str">
        <f>"9780865714847"</f>
        <v>9780865714847</v>
      </c>
      <c r="D449" t="str">
        <f>"9781550923988"</f>
        <v>9781550923988</v>
      </c>
      <c r="E449" t="s">
        <v>249</v>
      </c>
      <c r="F449" t="s">
        <v>249</v>
      </c>
      <c r="G449" s="1">
        <v>37803</v>
      </c>
      <c r="J449" t="s">
        <v>2559</v>
      </c>
      <c r="K449" t="s">
        <v>2560</v>
      </c>
      <c r="L449" t="s">
        <v>2561</v>
      </c>
      <c r="M449" t="s">
        <v>2562</v>
      </c>
      <c r="N449" t="s">
        <v>2563</v>
      </c>
      <c r="O449" t="s">
        <v>26</v>
      </c>
      <c r="P449">
        <v>22.95</v>
      </c>
      <c r="R449">
        <v>22.95</v>
      </c>
      <c r="S449">
        <v>34.43</v>
      </c>
      <c r="T449" t="s">
        <v>2564</v>
      </c>
    </row>
    <row r="450" spans="1:20">
      <c r="A450">
        <v>478516</v>
      </c>
      <c r="B450" t="s">
        <v>2565</v>
      </c>
      <c r="C450" t="str">
        <f>"9780865716018"</f>
        <v>9780865716018</v>
      </c>
      <c r="D450" t="str">
        <f>"9781550923933"</f>
        <v>9781550923933</v>
      </c>
      <c r="E450" t="s">
        <v>249</v>
      </c>
      <c r="F450" t="s">
        <v>249</v>
      </c>
      <c r="G450" s="1">
        <v>39753</v>
      </c>
      <c r="J450" t="s">
        <v>2566</v>
      </c>
      <c r="K450" t="s">
        <v>2387</v>
      </c>
      <c r="L450" t="s">
        <v>2567</v>
      </c>
      <c r="M450" t="s">
        <v>2568</v>
      </c>
      <c r="N450" t="s">
        <v>2569</v>
      </c>
      <c r="O450" t="s">
        <v>26</v>
      </c>
      <c r="P450">
        <v>29.95</v>
      </c>
      <c r="R450">
        <v>29.95</v>
      </c>
      <c r="S450">
        <v>44.93</v>
      </c>
      <c r="T450" t="s">
        <v>2570</v>
      </c>
    </row>
    <row r="451" spans="1:20">
      <c r="A451">
        <v>478519</v>
      </c>
      <c r="B451" t="s">
        <v>2571</v>
      </c>
      <c r="C451" t="str">
        <f>"9780865716285"</f>
        <v>9780865716285</v>
      </c>
      <c r="D451" t="str">
        <f>"9781550924114"</f>
        <v>9781550924114</v>
      </c>
      <c r="E451" t="s">
        <v>249</v>
      </c>
      <c r="F451" t="s">
        <v>249</v>
      </c>
      <c r="G451" s="1">
        <v>39753</v>
      </c>
      <c r="J451" t="s">
        <v>2572</v>
      </c>
      <c r="K451" t="s">
        <v>356</v>
      </c>
      <c r="L451" t="s">
        <v>2573</v>
      </c>
      <c r="M451" t="s">
        <v>2574</v>
      </c>
      <c r="N451" t="s">
        <v>2575</v>
      </c>
      <c r="O451" t="s">
        <v>26</v>
      </c>
      <c r="P451">
        <v>17.95</v>
      </c>
      <c r="R451">
        <v>17.95</v>
      </c>
      <c r="S451">
        <v>26.93</v>
      </c>
      <c r="T451" t="s">
        <v>2576</v>
      </c>
    </row>
    <row r="452" spans="1:20">
      <c r="A452">
        <v>478523</v>
      </c>
      <c r="B452" t="s">
        <v>2577</v>
      </c>
      <c r="C452" t="str">
        <f>"9780865714892"</f>
        <v>9780865714892</v>
      </c>
      <c r="D452" t="str">
        <f>"9781550924237"</f>
        <v>9781550924237</v>
      </c>
      <c r="E452" t="s">
        <v>249</v>
      </c>
      <c r="F452" t="s">
        <v>249</v>
      </c>
      <c r="G452" s="1">
        <v>37773</v>
      </c>
      <c r="J452" t="s">
        <v>2578</v>
      </c>
      <c r="K452" t="s">
        <v>473</v>
      </c>
      <c r="L452" t="s">
        <v>2579</v>
      </c>
      <c r="M452">
        <v>322.39999999999998</v>
      </c>
      <c r="N452" t="s">
        <v>2580</v>
      </c>
      <c r="O452" t="s">
        <v>26</v>
      </c>
      <c r="P452">
        <v>17.95</v>
      </c>
      <c r="R452">
        <v>17.95</v>
      </c>
      <c r="S452">
        <v>26.93</v>
      </c>
      <c r="T452" t="s">
        <v>2581</v>
      </c>
    </row>
    <row r="453" spans="1:20">
      <c r="A453">
        <v>478531</v>
      </c>
      <c r="B453" t="s">
        <v>2582</v>
      </c>
      <c r="C453" t="str">
        <f>"9780865716117"</f>
        <v>9780865716117</v>
      </c>
      <c r="D453" t="str">
        <f>"9781550924138"</f>
        <v>9781550924138</v>
      </c>
      <c r="E453" t="s">
        <v>249</v>
      </c>
      <c r="F453" t="s">
        <v>249</v>
      </c>
      <c r="G453" s="1">
        <v>39934</v>
      </c>
      <c r="H453">
        <v>2</v>
      </c>
      <c r="J453" t="s">
        <v>2583</v>
      </c>
      <c r="K453" t="s">
        <v>856</v>
      </c>
      <c r="L453" t="s">
        <v>2584</v>
      </c>
      <c r="M453">
        <v>334.1</v>
      </c>
      <c r="N453" t="s">
        <v>2585</v>
      </c>
      <c r="O453" t="s">
        <v>26</v>
      </c>
      <c r="P453">
        <v>34.950000000000003</v>
      </c>
      <c r="R453">
        <v>34.950000000000003</v>
      </c>
      <c r="S453">
        <v>52.43</v>
      </c>
      <c r="T453" t="s">
        <v>2586</v>
      </c>
    </row>
    <row r="454" spans="1:20">
      <c r="A454">
        <v>478549</v>
      </c>
      <c r="B454" t="s">
        <v>2587</v>
      </c>
      <c r="C454" t="str">
        <f>"9780865716032"</f>
        <v>9780865716032</v>
      </c>
      <c r="D454" t="str">
        <f>"9781550923575"</f>
        <v>9781550923575</v>
      </c>
      <c r="E454" t="s">
        <v>249</v>
      </c>
      <c r="F454" t="s">
        <v>249</v>
      </c>
      <c r="G454" s="1">
        <v>39569</v>
      </c>
      <c r="J454" t="s">
        <v>2588</v>
      </c>
      <c r="K454" t="s">
        <v>416</v>
      </c>
      <c r="L454" t="s">
        <v>2589</v>
      </c>
      <c r="M454">
        <v>338.97565900000001</v>
      </c>
      <c r="N454" t="s">
        <v>2590</v>
      </c>
      <c r="O454" t="s">
        <v>26</v>
      </c>
      <c r="P454">
        <v>17.95</v>
      </c>
      <c r="R454">
        <v>17.95</v>
      </c>
      <c r="S454">
        <v>26.93</v>
      </c>
      <c r="T454" t="s">
        <v>2591</v>
      </c>
    </row>
    <row r="455" spans="1:20">
      <c r="A455">
        <v>478550</v>
      </c>
      <c r="B455" t="s">
        <v>2592</v>
      </c>
      <c r="C455" t="str">
        <f>"9780865715417"</f>
        <v>9780865715417</v>
      </c>
      <c r="D455" t="str">
        <f>"9781550923674"</f>
        <v>9781550923674</v>
      </c>
      <c r="E455" t="s">
        <v>249</v>
      </c>
      <c r="F455" t="s">
        <v>249</v>
      </c>
      <c r="G455" s="1">
        <v>38626</v>
      </c>
      <c r="J455" t="s">
        <v>2588</v>
      </c>
      <c r="K455" t="s">
        <v>416</v>
      </c>
      <c r="L455" t="s">
        <v>2593</v>
      </c>
      <c r="M455" t="s">
        <v>2594</v>
      </c>
      <c r="N455" t="s">
        <v>2595</v>
      </c>
      <c r="O455" t="s">
        <v>26</v>
      </c>
      <c r="P455">
        <v>16.95</v>
      </c>
      <c r="R455">
        <v>16.95</v>
      </c>
      <c r="S455">
        <v>25.43</v>
      </c>
      <c r="T455" t="s">
        <v>2596</v>
      </c>
    </row>
    <row r="456" spans="1:20">
      <c r="A456">
        <v>478551</v>
      </c>
      <c r="B456" t="s">
        <v>2597</v>
      </c>
      <c r="C456" t="str">
        <f>"9780865715912"</f>
        <v>9780865715912</v>
      </c>
      <c r="D456" t="str">
        <f>"9781550923605"</f>
        <v>9781550923605</v>
      </c>
      <c r="E456" t="s">
        <v>249</v>
      </c>
      <c r="F456" t="s">
        <v>249</v>
      </c>
      <c r="G456" s="1">
        <v>39387</v>
      </c>
      <c r="H456" t="s">
        <v>2598</v>
      </c>
      <c r="J456" t="s">
        <v>2599</v>
      </c>
      <c r="K456" t="s">
        <v>416</v>
      </c>
      <c r="L456" t="s">
        <v>2600</v>
      </c>
      <c r="M456">
        <v>331.702</v>
      </c>
      <c r="N456" t="s">
        <v>2601</v>
      </c>
      <c r="O456" t="s">
        <v>26</v>
      </c>
      <c r="P456">
        <v>16.989999999999998</v>
      </c>
      <c r="R456">
        <v>16.989999999999998</v>
      </c>
      <c r="S456">
        <v>25.49</v>
      </c>
      <c r="T456" t="s">
        <v>2602</v>
      </c>
    </row>
    <row r="457" spans="1:20">
      <c r="A457">
        <v>478562</v>
      </c>
      <c r="B457" t="s">
        <v>2603</v>
      </c>
      <c r="C457" t="str">
        <f>"9780865715448"</f>
        <v>9780865715448</v>
      </c>
      <c r="D457" t="str">
        <f>"9781550924152"</f>
        <v>9781550924152</v>
      </c>
      <c r="E457" t="s">
        <v>249</v>
      </c>
      <c r="F457" t="s">
        <v>249</v>
      </c>
      <c r="G457" s="1">
        <v>38718</v>
      </c>
      <c r="J457" t="s">
        <v>262</v>
      </c>
      <c r="K457" t="s">
        <v>1625</v>
      </c>
      <c r="L457" t="s">
        <v>2604</v>
      </c>
      <c r="M457">
        <v>641.44000000000005</v>
      </c>
      <c r="N457" t="s">
        <v>2605</v>
      </c>
      <c r="O457" t="s">
        <v>26</v>
      </c>
      <c r="P457">
        <v>15.95</v>
      </c>
      <c r="R457">
        <v>15.95</v>
      </c>
      <c r="S457">
        <v>23.93</v>
      </c>
      <c r="T457" t="s">
        <v>2606</v>
      </c>
    </row>
    <row r="458" spans="1:20">
      <c r="A458">
        <v>478564</v>
      </c>
      <c r="B458" t="s">
        <v>2607</v>
      </c>
      <c r="C458" t="str">
        <f>"9780865715905"</f>
        <v>9780865715905</v>
      </c>
      <c r="D458" t="str">
        <f>"9781550923681"</f>
        <v>9781550923681</v>
      </c>
      <c r="E458" t="s">
        <v>249</v>
      </c>
      <c r="F458" t="s">
        <v>249</v>
      </c>
      <c r="G458" s="1">
        <v>39479</v>
      </c>
      <c r="J458" t="s">
        <v>2608</v>
      </c>
      <c r="K458" t="s">
        <v>2609</v>
      </c>
      <c r="L458" t="s">
        <v>2610</v>
      </c>
      <c r="M458" t="s">
        <v>2611</v>
      </c>
      <c r="N458" t="s">
        <v>2612</v>
      </c>
      <c r="O458" t="s">
        <v>26</v>
      </c>
      <c r="P458">
        <v>17.95</v>
      </c>
      <c r="R458">
        <v>17.95</v>
      </c>
      <c r="S458">
        <v>26.93</v>
      </c>
      <c r="T458" t="s">
        <v>2613</v>
      </c>
    </row>
    <row r="459" spans="1:20">
      <c r="A459">
        <v>478571</v>
      </c>
      <c r="B459" t="s">
        <v>2614</v>
      </c>
      <c r="C459" t="str">
        <f>"9780865714878"</f>
        <v>9780865714878</v>
      </c>
      <c r="D459" t="str">
        <f>"9781550924176"</f>
        <v>9781550924176</v>
      </c>
      <c r="E459" t="s">
        <v>249</v>
      </c>
      <c r="F459" t="s">
        <v>249</v>
      </c>
      <c r="G459" s="1">
        <v>38078</v>
      </c>
      <c r="J459" t="s">
        <v>2615</v>
      </c>
      <c r="K459" t="s">
        <v>263</v>
      </c>
      <c r="L459" t="s">
        <v>2616</v>
      </c>
      <c r="M459">
        <v>303.3</v>
      </c>
      <c r="N459" t="s">
        <v>2617</v>
      </c>
      <c r="O459" t="s">
        <v>26</v>
      </c>
      <c r="P459">
        <v>16.95</v>
      </c>
      <c r="R459">
        <v>16.95</v>
      </c>
      <c r="S459">
        <v>25.43</v>
      </c>
      <c r="T459" t="s">
        <v>2618</v>
      </c>
    </row>
    <row r="460" spans="1:20">
      <c r="A460">
        <v>478574</v>
      </c>
      <c r="B460" t="s">
        <v>2619</v>
      </c>
      <c r="C460" t="str">
        <f>"9780865716698"</f>
        <v>9780865716698</v>
      </c>
      <c r="D460" t="str">
        <f>"9781550924244"</f>
        <v>9781550924244</v>
      </c>
      <c r="E460" t="s">
        <v>249</v>
      </c>
      <c r="F460" t="s">
        <v>249</v>
      </c>
      <c r="G460" s="1">
        <v>40269</v>
      </c>
      <c r="J460" t="s">
        <v>2620</v>
      </c>
      <c r="K460" t="s">
        <v>257</v>
      </c>
      <c r="L460" t="s">
        <v>2621</v>
      </c>
      <c r="M460" t="s">
        <v>2622</v>
      </c>
      <c r="N460" t="s">
        <v>2623</v>
      </c>
      <c r="O460" t="s">
        <v>26</v>
      </c>
      <c r="P460">
        <v>16.95</v>
      </c>
      <c r="R460">
        <v>16.95</v>
      </c>
      <c r="S460">
        <v>25.43</v>
      </c>
      <c r="T460" t="s">
        <v>2624</v>
      </c>
    </row>
    <row r="461" spans="1:20">
      <c r="A461">
        <v>478575</v>
      </c>
      <c r="B461" t="s">
        <v>2625</v>
      </c>
      <c r="C461" t="str">
        <f>"9781551521992"</f>
        <v>9781551521992</v>
      </c>
      <c r="D461" t="str">
        <f>"9781551522791"</f>
        <v>9781551522791</v>
      </c>
      <c r="E461" t="s">
        <v>2416</v>
      </c>
      <c r="F461" t="s">
        <v>2416</v>
      </c>
      <c r="G461" s="1">
        <v>38808</v>
      </c>
      <c r="J461" t="s">
        <v>2626</v>
      </c>
      <c r="K461" t="s">
        <v>2387</v>
      </c>
      <c r="L461" t="s">
        <v>2627</v>
      </c>
      <c r="M461">
        <v>641.5</v>
      </c>
      <c r="N461" t="s">
        <v>2628</v>
      </c>
      <c r="O461" t="s">
        <v>26</v>
      </c>
      <c r="P461">
        <v>21.95</v>
      </c>
      <c r="R461">
        <v>21.95</v>
      </c>
      <c r="S461">
        <v>32.93</v>
      </c>
      <c r="T461" t="s">
        <v>2629</v>
      </c>
    </row>
    <row r="462" spans="1:20">
      <c r="A462">
        <v>478576</v>
      </c>
      <c r="B462" t="s">
        <v>2630</v>
      </c>
      <c r="C462" t="str">
        <f>"9781551521893"</f>
        <v>9781551521893</v>
      </c>
      <c r="D462" t="str">
        <f>"9781551523026"</f>
        <v>9781551523026</v>
      </c>
      <c r="E462" t="s">
        <v>2416</v>
      </c>
      <c r="F462" t="s">
        <v>2416</v>
      </c>
      <c r="G462" s="1">
        <v>38596</v>
      </c>
      <c r="J462" t="s">
        <v>2631</v>
      </c>
      <c r="K462" t="s">
        <v>263</v>
      </c>
      <c r="L462" t="s">
        <v>2632</v>
      </c>
      <c r="M462" t="s">
        <v>2633</v>
      </c>
      <c r="N462" t="s">
        <v>2634</v>
      </c>
      <c r="O462" t="s">
        <v>26</v>
      </c>
      <c r="P462">
        <v>16.95</v>
      </c>
      <c r="R462">
        <v>16.95</v>
      </c>
      <c r="S462">
        <v>25.43</v>
      </c>
      <c r="T462" t="s">
        <v>2635</v>
      </c>
    </row>
    <row r="463" spans="1:20">
      <c r="A463">
        <v>478584</v>
      </c>
      <c r="B463" t="s">
        <v>2636</v>
      </c>
      <c r="C463" t="str">
        <f>"9781551522364"</f>
        <v>9781551522364</v>
      </c>
      <c r="D463" t="str">
        <f>"9781551522777"</f>
        <v>9781551522777</v>
      </c>
      <c r="E463" t="s">
        <v>2416</v>
      </c>
      <c r="F463" t="s">
        <v>2416</v>
      </c>
      <c r="G463" s="1">
        <v>39569</v>
      </c>
      <c r="J463" t="s">
        <v>2637</v>
      </c>
      <c r="K463" t="s">
        <v>263</v>
      </c>
      <c r="L463" t="s">
        <v>2638</v>
      </c>
      <c r="M463">
        <v>306.76600000000002</v>
      </c>
      <c r="N463" t="s">
        <v>2639</v>
      </c>
      <c r="O463" t="s">
        <v>26</v>
      </c>
      <c r="P463">
        <v>19.95</v>
      </c>
      <c r="R463">
        <v>19.95</v>
      </c>
      <c r="S463">
        <v>29.93</v>
      </c>
      <c r="T463" t="s">
        <v>2640</v>
      </c>
    </row>
    <row r="464" spans="1:20">
      <c r="A464">
        <v>478596</v>
      </c>
      <c r="B464" t="s">
        <v>2641</v>
      </c>
      <c r="C464" t="str">
        <f>"9780865716094"</f>
        <v>9780865716094</v>
      </c>
      <c r="D464" t="str">
        <f>"9781550923964"</f>
        <v>9781550923964</v>
      </c>
      <c r="E464" t="s">
        <v>249</v>
      </c>
      <c r="F464" t="s">
        <v>249</v>
      </c>
      <c r="G464" s="1">
        <v>39692</v>
      </c>
      <c r="J464" t="s">
        <v>2642</v>
      </c>
      <c r="K464" t="s">
        <v>263</v>
      </c>
      <c r="L464" t="s">
        <v>2643</v>
      </c>
      <c r="M464" t="s">
        <v>2644</v>
      </c>
      <c r="N464" t="s">
        <v>2645</v>
      </c>
      <c r="O464" t="s">
        <v>26</v>
      </c>
      <c r="P464">
        <v>19.95</v>
      </c>
      <c r="R464">
        <v>19.95</v>
      </c>
      <c r="S464">
        <v>29.93</v>
      </c>
      <c r="T464" t="s">
        <v>2646</v>
      </c>
    </row>
    <row r="465" spans="1:20">
      <c r="A465">
        <v>478597</v>
      </c>
      <c r="B465" t="s">
        <v>2647</v>
      </c>
      <c r="C465" t="str">
        <f>"9780865716391"</f>
        <v>9780865716391</v>
      </c>
      <c r="D465" t="str">
        <f>"9781550924398"</f>
        <v>9781550924398</v>
      </c>
      <c r="E465" t="s">
        <v>249</v>
      </c>
      <c r="F465" t="s">
        <v>249</v>
      </c>
      <c r="G465" s="1">
        <v>40087</v>
      </c>
      <c r="J465" t="s">
        <v>2642</v>
      </c>
      <c r="K465" t="s">
        <v>2648</v>
      </c>
      <c r="L465" t="s">
        <v>2649</v>
      </c>
      <c r="M465" t="s">
        <v>2650</v>
      </c>
      <c r="N465" t="s">
        <v>2651</v>
      </c>
      <c r="O465" t="s">
        <v>26</v>
      </c>
      <c r="P465">
        <v>18.95</v>
      </c>
      <c r="R465">
        <v>18.95</v>
      </c>
      <c r="S465">
        <v>28.43</v>
      </c>
      <c r="T465" t="s">
        <v>2652</v>
      </c>
    </row>
    <row r="466" spans="1:20">
      <c r="A466">
        <v>478599</v>
      </c>
      <c r="B466" t="s">
        <v>2653</v>
      </c>
      <c r="C466" t="str">
        <f>"9780865716124"</f>
        <v>9780865716124</v>
      </c>
      <c r="D466" t="str">
        <f>"9781550924206"</f>
        <v>9781550924206</v>
      </c>
      <c r="E466" t="s">
        <v>249</v>
      </c>
      <c r="F466" t="s">
        <v>249</v>
      </c>
      <c r="G466" s="1">
        <v>39630</v>
      </c>
      <c r="J466" t="s">
        <v>2654</v>
      </c>
      <c r="K466" t="s">
        <v>2655</v>
      </c>
      <c r="L466" t="s">
        <v>2656</v>
      </c>
      <c r="M466">
        <v>629.25379999999996</v>
      </c>
      <c r="N466" t="s">
        <v>2657</v>
      </c>
      <c r="O466" t="s">
        <v>26</v>
      </c>
      <c r="P466">
        <v>18.95</v>
      </c>
      <c r="R466">
        <v>18.95</v>
      </c>
      <c r="S466">
        <v>28.43</v>
      </c>
      <c r="T466" t="s">
        <v>2658</v>
      </c>
    </row>
    <row r="467" spans="1:20">
      <c r="A467">
        <v>478607</v>
      </c>
      <c r="B467" t="s">
        <v>2659</v>
      </c>
      <c r="C467" t="str">
        <f>"9780865716292"</f>
        <v>9780865716292</v>
      </c>
      <c r="D467" t="str">
        <f>"9781550923940"</f>
        <v>9781550923940</v>
      </c>
      <c r="E467" t="s">
        <v>249</v>
      </c>
      <c r="F467" t="s">
        <v>249</v>
      </c>
      <c r="G467" s="1">
        <v>39753</v>
      </c>
      <c r="J467" t="s">
        <v>2660</v>
      </c>
      <c r="K467" t="s">
        <v>263</v>
      </c>
      <c r="L467" t="s">
        <v>2661</v>
      </c>
      <c r="M467">
        <v>307.76</v>
      </c>
      <c r="N467" t="s">
        <v>2662</v>
      </c>
      <c r="O467" t="s">
        <v>26</v>
      </c>
      <c r="P467">
        <v>27.95</v>
      </c>
      <c r="R467">
        <v>27.95</v>
      </c>
      <c r="S467">
        <v>41.93</v>
      </c>
      <c r="T467" t="s">
        <v>2663</v>
      </c>
    </row>
    <row r="468" spans="1:20">
      <c r="A468">
        <v>478612</v>
      </c>
      <c r="B468" t="s">
        <v>2664</v>
      </c>
      <c r="C468" t="str">
        <f>"9780865715158"</f>
        <v>9780865715158</v>
      </c>
      <c r="D468" t="str">
        <f>"9781550923957"</f>
        <v>9781550923957</v>
      </c>
      <c r="E468" t="s">
        <v>249</v>
      </c>
      <c r="F468" t="s">
        <v>249</v>
      </c>
      <c r="G468" s="1">
        <v>38231</v>
      </c>
      <c r="J468" t="s">
        <v>2665</v>
      </c>
      <c r="K468" t="s">
        <v>263</v>
      </c>
      <c r="L468" t="s">
        <v>2666</v>
      </c>
      <c r="M468">
        <v>303.69</v>
      </c>
      <c r="N468" t="s">
        <v>2667</v>
      </c>
      <c r="O468" t="s">
        <v>26</v>
      </c>
      <c r="P468">
        <v>19.95</v>
      </c>
      <c r="R468">
        <v>19.95</v>
      </c>
      <c r="S468">
        <v>29.93</v>
      </c>
      <c r="T468" t="s">
        <v>2668</v>
      </c>
    </row>
    <row r="469" spans="1:20">
      <c r="A469">
        <v>478618</v>
      </c>
      <c r="B469" t="s">
        <v>2669</v>
      </c>
      <c r="C469" t="str">
        <f>"9780865716339"</f>
        <v>9780865716339</v>
      </c>
      <c r="D469" t="str">
        <f>"9781550924091"</f>
        <v>9781550924091</v>
      </c>
      <c r="E469" t="s">
        <v>249</v>
      </c>
      <c r="F469" t="s">
        <v>249</v>
      </c>
      <c r="G469" s="1">
        <v>39904</v>
      </c>
      <c r="J469" t="s">
        <v>2670</v>
      </c>
      <c r="K469" t="s">
        <v>1150</v>
      </c>
      <c r="L469" t="s">
        <v>2671</v>
      </c>
      <c r="M469">
        <v>796.6</v>
      </c>
      <c r="N469" t="s">
        <v>2672</v>
      </c>
      <c r="O469" t="s">
        <v>26</v>
      </c>
      <c r="P469">
        <v>14.95</v>
      </c>
      <c r="R469">
        <v>14.95</v>
      </c>
      <c r="S469">
        <v>22.43</v>
      </c>
      <c r="T469" t="s">
        <v>2673</v>
      </c>
    </row>
    <row r="470" spans="1:20">
      <c r="A470">
        <v>478619</v>
      </c>
      <c r="B470" t="s">
        <v>2674</v>
      </c>
      <c r="C470" t="str">
        <f>"9780865716575"</f>
        <v>9780865716575</v>
      </c>
      <c r="D470" t="str">
        <f>"9781550924329"</f>
        <v>9781550924329</v>
      </c>
      <c r="E470" t="s">
        <v>249</v>
      </c>
      <c r="F470" t="s">
        <v>249</v>
      </c>
      <c r="G470" s="1">
        <v>40057</v>
      </c>
      <c r="J470" t="s">
        <v>2670</v>
      </c>
      <c r="K470" t="s">
        <v>2675</v>
      </c>
      <c r="L470" t="s">
        <v>2676</v>
      </c>
      <c r="M470" t="s">
        <v>2677</v>
      </c>
      <c r="N470" t="s">
        <v>2678</v>
      </c>
      <c r="O470" t="s">
        <v>26</v>
      </c>
      <c r="P470">
        <v>16.95</v>
      </c>
      <c r="R470">
        <v>16.95</v>
      </c>
      <c r="S470">
        <v>25.43</v>
      </c>
      <c r="T470" t="s">
        <v>2679</v>
      </c>
    </row>
    <row r="471" spans="1:20">
      <c r="A471">
        <v>478621</v>
      </c>
      <c r="B471" t="s">
        <v>2680</v>
      </c>
      <c r="C471" t="str">
        <f>"9780865715639"</f>
        <v>9780865715639</v>
      </c>
      <c r="D471" t="str">
        <f>"9781550924022"</f>
        <v>9781550924022</v>
      </c>
      <c r="E471" t="s">
        <v>249</v>
      </c>
      <c r="F471" t="s">
        <v>249</v>
      </c>
      <c r="G471" s="1">
        <v>38961</v>
      </c>
      <c r="J471" t="s">
        <v>2681</v>
      </c>
      <c r="K471" t="s">
        <v>1180</v>
      </c>
      <c r="L471" t="s">
        <v>2682</v>
      </c>
      <c r="M471" t="s">
        <v>2683</v>
      </c>
      <c r="N471" t="s">
        <v>2684</v>
      </c>
      <c r="O471" t="s">
        <v>26</v>
      </c>
      <c r="P471">
        <v>16.95</v>
      </c>
      <c r="R471">
        <v>16.95</v>
      </c>
      <c r="S471">
        <v>25.43</v>
      </c>
      <c r="T471" t="s">
        <v>2685</v>
      </c>
    </row>
    <row r="472" spans="1:20">
      <c r="A472">
        <v>478622</v>
      </c>
      <c r="B472" t="s">
        <v>2686</v>
      </c>
      <c r="C472" t="str">
        <f>"9780865716568"</f>
        <v>9780865716568</v>
      </c>
      <c r="D472" t="str">
        <f>"9781550924299"</f>
        <v>9781550924299</v>
      </c>
      <c r="E472" t="s">
        <v>249</v>
      </c>
      <c r="F472" t="s">
        <v>249</v>
      </c>
      <c r="G472" s="1">
        <v>39995</v>
      </c>
      <c r="J472" t="s">
        <v>422</v>
      </c>
      <c r="K472" t="s">
        <v>757</v>
      </c>
      <c r="L472" t="s">
        <v>2687</v>
      </c>
      <c r="M472">
        <v>333.822</v>
      </c>
      <c r="N472" t="s">
        <v>2688</v>
      </c>
      <c r="O472" t="s">
        <v>26</v>
      </c>
      <c r="P472">
        <v>18.95</v>
      </c>
      <c r="R472">
        <v>18.95</v>
      </c>
      <c r="T472" t="s">
        <v>2689</v>
      </c>
    </row>
    <row r="473" spans="1:20">
      <c r="A473">
        <v>478636</v>
      </c>
      <c r="B473" t="s">
        <v>2690</v>
      </c>
      <c r="C473" t="str">
        <f>"9781551521329"</f>
        <v>9781551521329</v>
      </c>
      <c r="D473" t="str">
        <f>"9781551523118"</f>
        <v>9781551523118</v>
      </c>
      <c r="E473" t="s">
        <v>2416</v>
      </c>
      <c r="F473" t="s">
        <v>2416</v>
      </c>
      <c r="G473" s="1">
        <v>37895</v>
      </c>
      <c r="I473" t="s">
        <v>2417</v>
      </c>
      <c r="J473" t="s">
        <v>2691</v>
      </c>
      <c r="K473" t="s">
        <v>1150</v>
      </c>
      <c r="L473" t="s">
        <v>2692</v>
      </c>
      <c r="M473">
        <v>796.81200000000001</v>
      </c>
      <c r="N473" t="s">
        <v>2693</v>
      </c>
      <c r="O473" t="s">
        <v>26</v>
      </c>
      <c r="P473">
        <v>16.95</v>
      </c>
      <c r="R473">
        <v>16.95</v>
      </c>
      <c r="S473">
        <v>25.43</v>
      </c>
      <c r="T473" t="s">
        <v>2694</v>
      </c>
    </row>
    <row r="474" spans="1:20">
      <c r="A474">
        <v>478637</v>
      </c>
      <c r="B474" t="s">
        <v>2695</v>
      </c>
      <c r="C474" t="str">
        <f>"9781551521787"</f>
        <v>9781551521787</v>
      </c>
      <c r="D474" t="str">
        <f>"9781551523040"</f>
        <v>9781551523040</v>
      </c>
      <c r="E474" t="s">
        <v>2416</v>
      </c>
      <c r="F474" t="s">
        <v>2416</v>
      </c>
      <c r="G474" s="1">
        <v>38443</v>
      </c>
      <c r="J474" t="s">
        <v>2696</v>
      </c>
      <c r="K474" t="s">
        <v>1063</v>
      </c>
      <c r="L474" t="s">
        <v>2697</v>
      </c>
      <c r="M474" t="s">
        <v>2698</v>
      </c>
      <c r="N474" t="s">
        <v>2699</v>
      </c>
      <c r="O474" t="s">
        <v>26</v>
      </c>
      <c r="P474">
        <v>19.95</v>
      </c>
      <c r="R474">
        <v>19.95</v>
      </c>
      <c r="S474">
        <v>29.93</v>
      </c>
      <c r="T474" t="s">
        <v>2700</v>
      </c>
    </row>
    <row r="475" spans="1:20">
      <c r="A475">
        <v>478649</v>
      </c>
      <c r="B475" t="s">
        <v>2701</v>
      </c>
      <c r="C475" t="str">
        <f>"9781551521480"</f>
        <v>9781551521480</v>
      </c>
      <c r="D475" t="str">
        <f>"9781551523095"</f>
        <v>9781551523095</v>
      </c>
      <c r="E475" t="s">
        <v>2416</v>
      </c>
      <c r="F475" t="s">
        <v>2416</v>
      </c>
      <c r="G475" s="1">
        <v>38078</v>
      </c>
      <c r="J475" t="s">
        <v>2702</v>
      </c>
      <c r="K475" t="s">
        <v>1471</v>
      </c>
      <c r="L475" t="s">
        <v>2703</v>
      </c>
      <c r="M475" t="s">
        <v>2704</v>
      </c>
      <c r="N475" t="s">
        <v>2705</v>
      </c>
      <c r="O475" t="s">
        <v>26</v>
      </c>
      <c r="P475">
        <v>17.95</v>
      </c>
      <c r="R475">
        <v>17.95</v>
      </c>
      <c r="S475">
        <v>26.93</v>
      </c>
      <c r="T475" t="s">
        <v>2706</v>
      </c>
    </row>
    <row r="476" spans="1:20">
      <c r="A476">
        <v>478678</v>
      </c>
      <c r="B476" t="s">
        <v>2707</v>
      </c>
      <c r="C476" t="str">
        <f>"9781551522920"</f>
        <v>9781551522920</v>
      </c>
      <c r="D476" t="str">
        <f>"9781551523583"</f>
        <v>9781551523583</v>
      </c>
      <c r="E476" t="s">
        <v>2416</v>
      </c>
      <c r="F476" t="s">
        <v>2416</v>
      </c>
      <c r="G476" s="1">
        <v>40269</v>
      </c>
      <c r="J476" t="s">
        <v>2708</v>
      </c>
      <c r="K476" t="s">
        <v>1464</v>
      </c>
      <c r="L476" t="s">
        <v>2709</v>
      </c>
      <c r="M476">
        <v>811.54</v>
      </c>
      <c r="N476" t="s">
        <v>2710</v>
      </c>
      <c r="O476" t="s">
        <v>26</v>
      </c>
      <c r="P476">
        <v>19.95</v>
      </c>
      <c r="R476">
        <v>19.95</v>
      </c>
      <c r="S476">
        <v>29.93</v>
      </c>
      <c r="T476" t="s">
        <v>2711</v>
      </c>
    </row>
    <row r="477" spans="1:20">
      <c r="A477">
        <v>478717</v>
      </c>
      <c r="B477" t="s">
        <v>2712</v>
      </c>
      <c r="C477" t="str">
        <f>"9780865715516"</f>
        <v>9780865715516</v>
      </c>
      <c r="D477" t="str">
        <f>"9781550923827"</f>
        <v>9781550923827</v>
      </c>
      <c r="E477" t="s">
        <v>249</v>
      </c>
      <c r="F477" t="s">
        <v>249</v>
      </c>
      <c r="G477" s="1">
        <v>39873</v>
      </c>
      <c r="J477" t="s">
        <v>2713</v>
      </c>
      <c r="K477" t="s">
        <v>2387</v>
      </c>
      <c r="L477" t="s">
        <v>2714</v>
      </c>
      <c r="M477">
        <v>641.56359999999995</v>
      </c>
      <c r="N477" t="s">
        <v>2715</v>
      </c>
      <c r="O477" t="s">
        <v>26</v>
      </c>
      <c r="P477">
        <v>25.95</v>
      </c>
      <c r="R477">
        <v>25.95</v>
      </c>
      <c r="S477">
        <v>38.93</v>
      </c>
      <c r="T477" t="s">
        <v>2716</v>
      </c>
    </row>
    <row r="478" spans="1:20">
      <c r="A478">
        <v>478735</v>
      </c>
      <c r="B478" t="s">
        <v>2717</v>
      </c>
      <c r="C478" t="str">
        <f>"9781551521916"</f>
        <v>9781551521916</v>
      </c>
      <c r="D478" t="str">
        <f>"9781551523576"</f>
        <v>9781551523576</v>
      </c>
      <c r="E478" t="s">
        <v>2416</v>
      </c>
      <c r="F478" t="s">
        <v>2416</v>
      </c>
      <c r="G478" s="1">
        <v>38596</v>
      </c>
      <c r="I478" t="s">
        <v>2718</v>
      </c>
      <c r="J478" t="s">
        <v>2719</v>
      </c>
      <c r="K478" t="s">
        <v>1458</v>
      </c>
      <c r="L478" t="s">
        <v>2720</v>
      </c>
      <c r="M478">
        <v>813.54</v>
      </c>
      <c r="N478" t="s">
        <v>2721</v>
      </c>
      <c r="O478" t="s">
        <v>26</v>
      </c>
      <c r="P478">
        <v>17.95</v>
      </c>
      <c r="R478">
        <v>17.95</v>
      </c>
      <c r="S478">
        <v>26.93</v>
      </c>
      <c r="T478" t="s">
        <v>2722</v>
      </c>
    </row>
    <row r="479" spans="1:20">
      <c r="A479">
        <v>478742</v>
      </c>
      <c r="B479" t="s">
        <v>2723</v>
      </c>
      <c r="C479" t="str">
        <f>"9780865715592"</f>
        <v>9780865715592</v>
      </c>
      <c r="D479" t="str">
        <f>"9781550923780"</f>
        <v>9781550923780</v>
      </c>
      <c r="E479" t="s">
        <v>249</v>
      </c>
      <c r="F479" t="s">
        <v>249</v>
      </c>
      <c r="G479" s="1">
        <v>38869</v>
      </c>
      <c r="J479" t="s">
        <v>2724</v>
      </c>
      <c r="K479" t="s">
        <v>2725</v>
      </c>
      <c r="L479" t="s">
        <v>2726</v>
      </c>
      <c r="M479">
        <v>333.79399999999998</v>
      </c>
      <c r="N479" t="s">
        <v>2727</v>
      </c>
      <c r="O479" t="s">
        <v>26</v>
      </c>
      <c r="P479">
        <v>16.95</v>
      </c>
      <c r="R479">
        <v>16.95</v>
      </c>
      <c r="S479">
        <v>25.43</v>
      </c>
      <c r="T479" t="s">
        <v>2728</v>
      </c>
    </row>
    <row r="480" spans="1:20">
      <c r="A480">
        <v>478750</v>
      </c>
      <c r="B480" t="s">
        <v>2729</v>
      </c>
      <c r="C480" t="str">
        <f>"9780865716070"</f>
        <v>9780865716070</v>
      </c>
      <c r="D480" t="str">
        <f>"9781550923629"</f>
        <v>9781550923629</v>
      </c>
      <c r="E480" t="s">
        <v>249</v>
      </c>
      <c r="F480" t="s">
        <v>249</v>
      </c>
      <c r="G480" s="1">
        <v>39600</v>
      </c>
      <c r="J480" t="s">
        <v>2730</v>
      </c>
      <c r="K480" t="s">
        <v>1056</v>
      </c>
      <c r="L480" t="s">
        <v>2731</v>
      </c>
      <c r="M480" t="s">
        <v>2732</v>
      </c>
      <c r="N480" t="s">
        <v>2733</v>
      </c>
      <c r="O480" t="s">
        <v>26</v>
      </c>
      <c r="P480">
        <v>19.95</v>
      </c>
      <c r="R480">
        <v>19.95</v>
      </c>
      <c r="S480">
        <v>29.93</v>
      </c>
      <c r="T480" t="s">
        <v>2734</v>
      </c>
    </row>
    <row r="481" spans="1:20">
      <c r="A481">
        <v>478759</v>
      </c>
      <c r="B481" t="s">
        <v>2735</v>
      </c>
      <c r="C481" t="str">
        <f>"9781551522654"</f>
        <v>9781551522654</v>
      </c>
      <c r="D481" t="str">
        <f>"9781551523538"</f>
        <v>9781551523538</v>
      </c>
      <c r="E481" t="s">
        <v>2416</v>
      </c>
      <c r="F481" t="s">
        <v>2416</v>
      </c>
      <c r="G481" s="1">
        <v>40118</v>
      </c>
      <c r="J481" t="s">
        <v>2736</v>
      </c>
      <c r="K481" t="s">
        <v>1464</v>
      </c>
      <c r="L481" t="s">
        <v>2737</v>
      </c>
      <c r="M481" t="s">
        <v>2738</v>
      </c>
      <c r="N481" t="s">
        <v>2739</v>
      </c>
      <c r="O481" t="s">
        <v>26</v>
      </c>
      <c r="P481">
        <v>13.95</v>
      </c>
      <c r="R481">
        <v>13.95</v>
      </c>
      <c r="S481">
        <v>20.93</v>
      </c>
      <c r="T481" t="s">
        <v>2740</v>
      </c>
    </row>
    <row r="482" spans="1:20">
      <c r="A482">
        <v>478760</v>
      </c>
      <c r="B482" t="s">
        <v>2741</v>
      </c>
      <c r="C482" t="str">
        <f>"9780865716599"</f>
        <v>9780865716599</v>
      </c>
      <c r="D482" t="str">
        <f>"9781550924411"</f>
        <v>9781550924411</v>
      </c>
      <c r="E482" t="s">
        <v>249</v>
      </c>
      <c r="F482" t="s">
        <v>249</v>
      </c>
      <c r="G482" s="1">
        <v>40057</v>
      </c>
      <c r="J482" t="s">
        <v>2742</v>
      </c>
      <c r="K482" t="s">
        <v>278</v>
      </c>
      <c r="L482" t="s">
        <v>2743</v>
      </c>
      <c r="M482">
        <v>338.92700000000002</v>
      </c>
      <c r="N482" t="s">
        <v>2744</v>
      </c>
      <c r="O482" t="s">
        <v>26</v>
      </c>
      <c r="P482">
        <v>22.95</v>
      </c>
      <c r="R482">
        <v>22.95</v>
      </c>
      <c r="S482">
        <v>34.43</v>
      </c>
      <c r="T482" t="s">
        <v>2745</v>
      </c>
    </row>
    <row r="483" spans="1:20">
      <c r="A483">
        <v>478783</v>
      </c>
      <c r="B483" t="s">
        <v>2746</v>
      </c>
      <c r="C483" t="str">
        <f>"9780865715653"</f>
        <v>9780865715653</v>
      </c>
      <c r="D483" t="str">
        <f>"9781550923766"</f>
        <v>9781550923766</v>
      </c>
      <c r="E483" t="s">
        <v>249</v>
      </c>
      <c r="F483" t="s">
        <v>249</v>
      </c>
      <c r="G483" s="1">
        <v>38991</v>
      </c>
      <c r="J483" t="s">
        <v>2747</v>
      </c>
      <c r="K483" t="s">
        <v>416</v>
      </c>
      <c r="L483" t="s">
        <v>2748</v>
      </c>
      <c r="M483">
        <v>338.19</v>
      </c>
      <c r="N483" t="s">
        <v>2749</v>
      </c>
      <c r="O483" t="s">
        <v>26</v>
      </c>
      <c r="P483">
        <v>11.95</v>
      </c>
      <c r="R483">
        <v>11.95</v>
      </c>
      <c r="S483">
        <v>17.93</v>
      </c>
      <c r="T483" t="s">
        <v>2750</v>
      </c>
    </row>
    <row r="484" spans="1:20">
      <c r="A484">
        <v>478794</v>
      </c>
      <c r="B484" t="s">
        <v>2751</v>
      </c>
      <c r="C484" t="str">
        <f>"9781551522623"</f>
        <v>9781551522623</v>
      </c>
      <c r="D484" t="str">
        <f>"9781551523507"</f>
        <v>9781551523507</v>
      </c>
      <c r="E484" t="s">
        <v>2416</v>
      </c>
      <c r="F484" t="s">
        <v>2416</v>
      </c>
      <c r="G484" s="1">
        <v>40087</v>
      </c>
      <c r="I484" t="s">
        <v>2752</v>
      </c>
      <c r="J484" t="s">
        <v>2753</v>
      </c>
      <c r="K484" t="s">
        <v>1471</v>
      </c>
      <c r="L484" t="s">
        <v>2754</v>
      </c>
      <c r="M484">
        <v>791.43719999999996</v>
      </c>
      <c r="N484" t="s">
        <v>2755</v>
      </c>
      <c r="O484" t="s">
        <v>26</v>
      </c>
      <c r="P484">
        <v>14.95</v>
      </c>
      <c r="R484">
        <v>14.95</v>
      </c>
      <c r="S484">
        <v>22.43</v>
      </c>
      <c r="T484" t="s">
        <v>2756</v>
      </c>
    </row>
    <row r="485" spans="1:20">
      <c r="A485">
        <v>478800</v>
      </c>
      <c r="B485" t="s">
        <v>2757</v>
      </c>
      <c r="C485" t="str">
        <f>"9780865715523"</f>
        <v>9780865715523</v>
      </c>
      <c r="D485" t="str">
        <f>"9781550923773"</f>
        <v>9781550923773</v>
      </c>
      <c r="E485" t="s">
        <v>249</v>
      </c>
      <c r="F485" t="s">
        <v>249</v>
      </c>
      <c r="G485" s="1">
        <v>38808</v>
      </c>
      <c r="J485" t="s">
        <v>2758</v>
      </c>
      <c r="K485" t="s">
        <v>2759</v>
      </c>
      <c r="L485" t="s">
        <v>2760</v>
      </c>
      <c r="M485" t="s">
        <v>2761</v>
      </c>
      <c r="N485" t="s">
        <v>2762</v>
      </c>
      <c r="O485" t="s">
        <v>26</v>
      </c>
      <c r="P485">
        <v>27.95</v>
      </c>
      <c r="R485">
        <v>27.95</v>
      </c>
      <c r="S485">
        <v>41.93</v>
      </c>
      <c r="T485" t="s">
        <v>2763</v>
      </c>
    </row>
    <row r="486" spans="1:20">
      <c r="A486">
        <v>478817</v>
      </c>
      <c r="B486" t="s">
        <v>2764</v>
      </c>
      <c r="C486" t="str">
        <f>"9780865715219"</f>
        <v>9780865715219</v>
      </c>
      <c r="D486" t="str">
        <f>"9781550923759"</f>
        <v>9781550923759</v>
      </c>
      <c r="E486" t="s">
        <v>249</v>
      </c>
      <c r="F486" t="s">
        <v>249</v>
      </c>
      <c r="G486" s="1">
        <v>38777</v>
      </c>
      <c r="I486" t="s">
        <v>367</v>
      </c>
      <c r="J486" t="s">
        <v>2765</v>
      </c>
      <c r="K486" t="s">
        <v>323</v>
      </c>
      <c r="L486" t="s">
        <v>2766</v>
      </c>
      <c r="M486" t="s">
        <v>2767</v>
      </c>
      <c r="N486" t="s">
        <v>2768</v>
      </c>
      <c r="O486" t="s">
        <v>26</v>
      </c>
      <c r="P486">
        <v>27.95</v>
      </c>
      <c r="R486">
        <v>27.95</v>
      </c>
      <c r="S486">
        <v>41.93</v>
      </c>
      <c r="T486" t="s">
        <v>2769</v>
      </c>
    </row>
    <row r="487" spans="1:20">
      <c r="A487">
        <v>478818</v>
      </c>
      <c r="B487" t="s">
        <v>2770</v>
      </c>
      <c r="C487" t="str">
        <f>"9780865715080"</f>
        <v>9780865715080</v>
      </c>
      <c r="D487" t="str">
        <f>"9781550924213"</f>
        <v>9781550924213</v>
      </c>
      <c r="E487" t="s">
        <v>249</v>
      </c>
      <c r="F487" t="s">
        <v>249</v>
      </c>
      <c r="G487" s="1">
        <v>38078</v>
      </c>
      <c r="J487" t="s">
        <v>2765</v>
      </c>
      <c r="K487" t="s">
        <v>387</v>
      </c>
      <c r="L487" t="s">
        <v>2771</v>
      </c>
      <c r="M487">
        <v>694.2</v>
      </c>
      <c r="N487" t="s">
        <v>2772</v>
      </c>
      <c r="O487" t="s">
        <v>26</v>
      </c>
      <c r="P487">
        <v>22.95</v>
      </c>
      <c r="R487">
        <v>22.95</v>
      </c>
      <c r="S487">
        <v>34.43</v>
      </c>
      <c r="T487" t="s">
        <v>2773</v>
      </c>
    </row>
    <row r="488" spans="1:20">
      <c r="A488">
        <v>478819</v>
      </c>
      <c r="B488" t="s">
        <v>2774</v>
      </c>
      <c r="C488" t="str">
        <f>"9780865715974"</f>
        <v>9780865715974</v>
      </c>
      <c r="D488" t="str">
        <f>"9781550923599"</f>
        <v>9781550923599</v>
      </c>
      <c r="E488" t="s">
        <v>249</v>
      </c>
      <c r="F488" t="s">
        <v>249</v>
      </c>
      <c r="G488" s="1">
        <v>39479</v>
      </c>
      <c r="J488" t="s">
        <v>2765</v>
      </c>
      <c r="K488" t="s">
        <v>323</v>
      </c>
      <c r="L488" t="s">
        <v>2775</v>
      </c>
      <c r="M488" t="s">
        <v>2776</v>
      </c>
      <c r="N488" t="s">
        <v>2777</v>
      </c>
      <c r="O488" t="s">
        <v>26</v>
      </c>
      <c r="P488">
        <v>25.95</v>
      </c>
      <c r="R488">
        <v>25.95</v>
      </c>
      <c r="S488">
        <v>38.93</v>
      </c>
      <c r="T488" t="s">
        <v>2778</v>
      </c>
    </row>
    <row r="489" spans="1:20">
      <c r="A489">
        <v>478823</v>
      </c>
      <c r="B489" t="s">
        <v>2779</v>
      </c>
      <c r="C489" t="str">
        <f>"9780865715820"</f>
        <v>9780865715820</v>
      </c>
      <c r="D489" t="str">
        <f>"9781550923643"</f>
        <v>9781550923643</v>
      </c>
      <c r="E489" t="s">
        <v>249</v>
      </c>
      <c r="F489" t="s">
        <v>249</v>
      </c>
      <c r="G489" s="1">
        <v>39173</v>
      </c>
      <c r="J489" t="s">
        <v>2780</v>
      </c>
      <c r="K489" t="s">
        <v>263</v>
      </c>
      <c r="L489" t="s">
        <v>2781</v>
      </c>
      <c r="M489" t="s">
        <v>2782</v>
      </c>
      <c r="N489" t="s">
        <v>2783</v>
      </c>
      <c r="O489" t="s">
        <v>26</v>
      </c>
      <c r="P489">
        <v>17.95</v>
      </c>
      <c r="R489">
        <v>17.95</v>
      </c>
      <c r="S489">
        <v>26.93</v>
      </c>
      <c r="T489" t="s">
        <v>2784</v>
      </c>
    </row>
    <row r="490" spans="1:20">
      <c r="A490">
        <v>478825</v>
      </c>
      <c r="B490" t="s">
        <v>2785</v>
      </c>
      <c r="C490" t="str">
        <f>"9780865716490"</f>
        <v>9780865716490</v>
      </c>
      <c r="D490" t="str">
        <f>"9781550923889"</f>
        <v>9781550923889</v>
      </c>
      <c r="E490" t="s">
        <v>249</v>
      </c>
      <c r="F490" t="s">
        <v>249</v>
      </c>
      <c r="G490" s="1">
        <v>39934</v>
      </c>
      <c r="J490" t="s">
        <v>2786</v>
      </c>
      <c r="K490" t="s">
        <v>695</v>
      </c>
      <c r="L490" t="s">
        <v>2787</v>
      </c>
      <c r="M490" t="s">
        <v>2788</v>
      </c>
      <c r="N490" t="s">
        <v>2789</v>
      </c>
      <c r="O490" t="s">
        <v>26</v>
      </c>
      <c r="P490">
        <v>14.95</v>
      </c>
      <c r="R490">
        <v>14.95</v>
      </c>
      <c r="S490">
        <v>22.43</v>
      </c>
      <c r="T490" t="s">
        <v>2790</v>
      </c>
    </row>
    <row r="491" spans="1:20">
      <c r="A491">
        <v>478845</v>
      </c>
      <c r="B491" t="s">
        <v>2791</v>
      </c>
      <c r="C491" t="str">
        <f>"9780865715929"</f>
        <v>9780865715929</v>
      </c>
      <c r="D491" t="str">
        <f>"9781550923568"</f>
        <v>9781550923568</v>
      </c>
      <c r="E491" t="s">
        <v>249</v>
      </c>
      <c r="F491" t="s">
        <v>249</v>
      </c>
      <c r="G491" s="1">
        <v>39630</v>
      </c>
      <c r="J491" t="s">
        <v>2792</v>
      </c>
      <c r="K491" t="s">
        <v>1150</v>
      </c>
      <c r="L491" t="s">
        <v>2793</v>
      </c>
      <c r="M491" t="s">
        <v>2794</v>
      </c>
      <c r="N491" t="s">
        <v>2795</v>
      </c>
      <c r="O491" t="s">
        <v>26</v>
      </c>
      <c r="P491">
        <v>19.95</v>
      </c>
      <c r="R491">
        <v>19.95</v>
      </c>
      <c r="S491">
        <v>29.93</v>
      </c>
      <c r="T491" t="s">
        <v>2796</v>
      </c>
    </row>
    <row r="492" spans="1:20">
      <c r="A492">
        <v>478855</v>
      </c>
      <c r="B492" t="s">
        <v>2797</v>
      </c>
      <c r="C492" t="str">
        <f>"9780865714830"</f>
        <v>9780865714830</v>
      </c>
      <c r="D492" t="str">
        <f>"9781550924121"</f>
        <v>9781550924121</v>
      </c>
      <c r="E492" t="s">
        <v>249</v>
      </c>
      <c r="F492" t="s">
        <v>249</v>
      </c>
      <c r="G492" s="1">
        <v>37742</v>
      </c>
      <c r="J492" t="s">
        <v>2798</v>
      </c>
      <c r="K492" t="s">
        <v>2799</v>
      </c>
      <c r="L492" t="s">
        <v>2800</v>
      </c>
      <c r="M492" t="s">
        <v>2801</v>
      </c>
      <c r="N492" t="s">
        <v>2802</v>
      </c>
      <c r="O492" t="s">
        <v>26</v>
      </c>
      <c r="P492">
        <v>16.95</v>
      </c>
      <c r="R492">
        <v>16.95</v>
      </c>
      <c r="S492">
        <v>25.43</v>
      </c>
      <c r="T492" t="s">
        <v>2803</v>
      </c>
    </row>
    <row r="493" spans="1:20">
      <c r="A493">
        <v>478864</v>
      </c>
      <c r="B493" t="s">
        <v>2804</v>
      </c>
      <c r="C493" t="str">
        <f>"9780865715530"</f>
        <v>9780865715530</v>
      </c>
      <c r="D493" t="str">
        <f>"9781550923858"</f>
        <v>9781550923858</v>
      </c>
      <c r="E493" t="s">
        <v>249</v>
      </c>
      <c r="F493" t="s">
        <v>249</v>
      </c>
      <c r="G493" s="1">
        <v>38808</v>
      </c>
      <c r="I493" t="s">
        <v>367</v>
      </c>
      <c r="J493" t="s">
        <v>2805</v>
      </c>
      <c r="K493" t="s">
        <v>76</v>
      </c>
      <c r="L493" t="s">
        <v>2806</v>
      </c>
      <c r="M493">
        <v>635</v>
      </c>
      <c r="N493" t="s">
        <v>2807</v>
      </c>
      <c r="O493" t="s">
        <v>26</v>
      </c>
      <c r="P493">
        <v>21.95</v>
      </c>
      <c r="R493">
        <v>21.95</v>
      </c>
      <c r="S493">
        <v>32.93</v>
      </c>
      <c r="T493" t="s">
        <v>2808</v>
      </c>
    </row>
    <row r="494" spans="1:20">
      <c r="A494">
        <v>478869</v>
      </c>
      <c r="B494" t="s">
        <v>2809</v>
      </c>
      <c r="C494" t="str">
        <f>"9781551521299"</f>
        <v>9781551521299</v>
      </c>
      <c r="D494" t="str">
        <f>"9781551523057"</f>
        <v>9781551523057</v>
      </c>
      <c r="E494" t="s">
        <v>2416</v>
      </c>
      <c r="F494" t="s">
        <v>2416</v>
      </c>
      <c r="G494" s="1">
        <v>38231</v>
      </c>
      <c r="J494" t="s">
        <v>2810</v>
      </c>
      <c r="K494" t="s">
        <v>2811</v>
      </c>
      <c r="L494" t="s">
        <v>2812</v>
      </c>
      <c r="M494" t="s">
        <v>2813</v>
      </c>
      <c r="N494" t="s">
        <v>2814</v>
      </c>
      <c r="O494" t="s">
        <v>26</v>
      </c>
      <c r="P494">
        <v>17.95</v>
      </c>
      <c r="R494">
        <v>17.95</v>
      </c>
      <c r="S494">
        <v>26.93</v>
      </c>
      <c r="T494" t="s">
        <v>2815</v>
      </c>
    </row>
    <row r="495" spans="1:20">
      <c r="A495">
        <v>478872</v>
      </c>
      <c r="B495" t="s">
        <v>2816</v>
      </c>
      <c r="C495" t="str">
        <f>"9780865715677"</f>
        <v>9780865715677</v>
      </c>
      <c r="D495" t="str">
        <f>"9781550923742"</f>
        <v>9781550923742</v>
      </c>
      <c r="E495" t="s">
        <v>249</v>
      </c>
      <c r="F495" t="s">
        <v>249</v>
      </c>
      <c r="G495" s="1">
        <v>39022</v>
      </c>
      <c r="J495" t="s">
        <v>2817</v>
      </c>
      <c r="K495" t="s">
        <v>2818</v>
      </c>
      <c r="L495" t="s">
        <v>2819</v>
      </c>
      <c r="M495" t="s">
        <v>2820</v>
      </c>
      <c r="N495" t="s">
        <v>2821</v>
      </c>
      <c r="O495" t="s">
        <v>26</v>
      </c>
      <c r="P495">
        <v>16.95</v>
      </c>
      <c r="R495">
        <v>16.95</v>
      </c>
      <c r="S495">
        <v>25.43</v>
      </c>
      <c r="T495" t="s">
        <v>2822</v>
      </c>
    </row>
    <row r="496" spans="1:20">
      <c r="A496">
        <v>478881</v>
      </c>
      <c r="B496" t="s">
        <v>2823</v>
      </c>
      <c r="C496" t="str">
        <f>"9780865715691"</f>
        <v>9780865715691</v>
      </c>
      <c r="D496" t="str">
        <f>"9781550923698"</f>
        <v>9781550923698</v>
      </c>
      <c r="E496" t="s">
        <v>249</v>
      </c>
      <c r="F496" t="s">
        <v>249</v>
      </c>
      <c r="G496" s="1">
        <v>39022</v>
      </c>
      <c r="J496" t="s">
        <v>2824</v>
      </c>
      <c r="K496" t="s">
        <v>2825</v>
      </c>
      <c r="L496" t="s">
        <v>2826</v>
      </c>
      <c r="M496" t="s">
        <v>2827</v>
      </c>
      <c r="N496" t="s">
        <v>2828</v>
      </c>
      <c r="O496" t="s">
        <v>26</v>
      </c>
      <c r="P496">
        <v>12.95</v>
      </c>
      <c r="R496">
        <v>12.95</v>
      </c>
      <c r="S496">
        <v>19.43</v>
      </c>
      <c r="T496" t="s">
        <v>2829</v>
      </c>
    </row>
    <row r="497" spans="1:20">
      <c r="A497">
        <v>478896</v>
      </c>
      <c r="B497" t="s">
        <v>2830</v>
      </c>
      <c r="C497" t="str">
        <f>"9780865715837"</f>
        <v>9780865715837</v>
      </c>
      <c r="D497" t="str">
        <f>"9781550923896"</f>
        <v>9781550923896</v>
      </c>
      <c r="E497" t="s">
        <v>249</v>
      </c>
      <c r="F497" t="s">
        <v>249</v>
      </c>
      <c r="G497" s="1">
        <v>39173</v>
      </c>
      <c r="J497" t="s">
        <v>2831</v>
      </c>
      <c r="K497" t="s">
        <v>2832</v>
      </c>
      <c r="L497" t="s">
        <v>2833</v>
      </c>
      <c r="M497" t="s">
        <v>2834</v>
      </c>
      <c r="N497" t="s">
        <v>2835</v>
      </c>
      <c r="O497" t="s">
        <v>26</v>
      </c>
      <c r="P497">
        <v>19.95</v>
      </c>
      <c r="R497">
        <v>19.95</v>
      </c>
      <c r="S497">
        <v>29.93</v>
      </c>
      <c r="T497" t="s">
        <v>2836</v>
      </c>
    </row>
    <row r="498" spans="1:20">
      <c r="A498">
        <v>478899</v>
      </c>
      <c r="B498" t="s">
        <v>2837</v>
      </c>
      <c r="C498" t="str">
        <f>"9781551522630"</f>
        <v>9781551522630</v>
      </c>
      <c r="D498" t="str">
        <f>"9781551523491"</f>
        <v>9781551523491</v>
      </c>
      <c r="E498" t="s">
        <v>2416</v>
      </c>
      <c r="F498" t="s">
        <v>2416</v>
      </c>
      <c r="G498" s="1">
        <v>40087</v>
      </c>
      <c r="I498" t="s">
        <v>2752</v>
      </c>
      <c r="J498" t="s">
        <v>2838</v>
      </c>
      <c r="K498" t="s">
        <v>1471</v>
      </c>
      <c r="L498" t="s">
        <v>2839</v>
      </c>
      <c r="M498">
        <v>791.43719999999996</v>
      </c>
      <c r="N498" t="s">
        <v>2840</v>
      </c>
      <c r="O498" t="s">
        <v>26</v>
      </c>
      <c r="P498">
        <v>14.95</v>
      </c>
      <c r="R498">
        <v>14.95</v>
      </c>
      <c r="S498">
        <v>22.43</v>
      </c>
      <c r="T498" t="s">
        <v>2841</v>
      </c>
    </row>
    <row r="499" spans="1:20">
      <c r="A499">
        <v>478915</v>
      </c>
      <c r="B499" t="s">
        <v>2842</v>
      </c>
      <c r="C499" t="str">
        <f>"9780865715127"</f>
        <v>9780865715127</v>
      </c>
      <c r="D499" t="str">
        <f>"9781550924077"</f>
        <v>9781550924077</v>
      </c>
      <c r="E499" t="s">
        <v>249</v>
      </c>
      <c r="F499" t="s">
        <v>249</v>
      </c>
      <c r="G499" s="1">
        <v>38261</v>
      </c>
      <c r="J499" t="s">
        <v>250</v>
      </c>
      <c r="K499" t="s">
        <v>257</v>
      </c>
      <c r="L499" t="s">
        <v>2843</v>
      </c>
      <c r="M499" t="s">
        <v>2844</v>
      </c>
      <c r="N499" t="s">
        <v>2845</v>
      </c>
      <c r="O499" t="s">
        <v>26</v>
      </c>
      <c r="P499">
        <v>15.95</v>
      </c>
      <c r="R499">
        <v>15.95</v>
      </c>
      <c r="S499">
        <v>23.93</v>
      </c>
      <c r="T499" t="s">
        <v>2846</v>
      </c>
    </row>
    <row r="500" spans="1:20">
      <c r="A500">
        <v>478919</v>
      </c>
      <c r="B500" t="s">
        <v>2847</v>
      </c>
      <c r="C500" t="str">
        <f>"9780865716247"</f>
        <v>9780865716247</v>
      </c>
      <c r="D500" t="str">
        <f>"9781550923841"</f>
        <v>9781550923841</v>
      </c>
      <c r="E500" t="s">
        <v>249</v>
      </c>
      <c r="F500" t="s">
        <v>249</v>
      </c>
      <c r="G500" s="1">
        <v>39692</v>
      </c>
      <c r="J500" t="s">
        <v>2848</v>
      </c>
      <c r="K500" t="s">
        <v>2509</v>
      </c>
      <c r="L500" t="s">
        <v>2849</v>
      </c>
      <c r="M500">
        <v>641.4</v>
      </c>
      <c r="N500" t="s">
        <v>2850</v>
      </c>
      <c r="O500" t="s">
        <v>26</v>
      </c>
      <c r="P500">
        <v>16.95</v>
      </c>
      <c r="R500">
        <v>16.95</v>
      </c>
      <c r="S500">
        <v>25.43</v>
      </c>
      <c r="T500" t="s">
        <v>2851</v>
      </c>
    </row>
    <row r="501" spans="1:20">
      <c r="A501">
        <v>478923</v>
      </c>
      <c r="B501" t="s">
        <v>2852</v>
      </c>
      <c r="C501" t="str">
        <f>"9780865716582"</f>
        <v>9780865716582</v>
      </c>
      <c r="D501" t="str">
        <f>"9781550924275"</f>
        <v>9781550924275</v>
      </c>
      <c r="E501" t="s">
        <v>249</v>
      </c>
      <c r="F501" t="s">
        <v>249</v>
      </c>
      <c r="G501" s="1">
        <v>39995</v>
      </c>
      <c r="J501" t="s">
        <v>2853</v>
      </c>
      <c r="K501" t="s">
        <v>305</v>
      </c>
      <c r="L501" t="s">
        <v>2854</v>
      </c>
      <c r="M501" t="s">
        <v>2855</v>
      </c>
      <c r="N501" t="s">
        <v>2856</v>
      </c>
      <c r="O501" t="s">
        <v>26</v>
      </c>
      <c r="P501">
        <v>19.95</v>
      </c>
      <c r="R501">
        <v>19.95</v>
      </c>
      <c r="S501">
        <v>29.93</v>
      </c>
      <c r="T501" t="s">
        <v>2857</v>
      </c>
    </row>
    <row r="502" spans="1:20">
      <c r="A502">
        <v>478934</v>
      </c>
      <c r="B502" t="s">
        <v>2858</v>
      </c>
      <c r="C502" t="str">
        <f>"9780865716100"</f>
        <v>9780865716100</v>
      </c>
      <c r="D502" t="str">
        <f>"9781550923612"</f>
        <v>9781550923612</v>
      </c>
      <c r="E502" t="s">
        <v>249</v>
      </c>
      <c r="F502" t="s">
        <v>249</v>
      </c>
      <c r="G502" s="1">
        <v>39569</v>
      </c>
      <c r="J502" t="s">
        <v>2190</v>
      </c>
      <c r="K502" t="s">
        <v>2859</v>
      </c>
      <c r="L502" t="s">
        <v>2860</v>
      </c>
      <c r="M502" t="s">
        <v>2861</v>
      </c>
      <c r="N502" t="s">
        <v>2862</v>
      </c>
      <c r="O502" t="s">
        <v>26</v>
      </c>
      <c r="P502">
        <v>19.95</v>
      </c>
      <c r="R502">
        <v>19.95</v>
      </c>
      <c r="S502">
        <v>29.93</v>
      </c>
      <c r="T502" t="s">
        <v>2863</v>
      </c>
    </row>
    <row r="503" spans="1:20">
      <c r="A503">
        <v>478939</v>
      </c>
      <c r="B503" t="s">
        <v>2864</v>
      </c>
      <c r="C503" t="str">
        <f>"9780865715738"</f>
        <v>9780865715738</v>
      </c>
      <c r="D503" t="str">
        <f>"9781550924220"</f>
        <v>9781550924220</v>
      </c>
      <c r="E503" t="s">
        <v>249</v>
      </c>
      <c r="F503" t="s">
        <v>249</v>
      </c>
      <c r="G503" s="1">
        <v>38961</v>
      </c>
      <c r="J503" t="s">
        <v>2865</v>
      </c>
      <c r="K503" t="s">
        <v>1550</v>
      </c>
      <c r="L503" t="s">
        <v>2866</v>
      </c>
      <c r="M503">
        <v>973.93100000000004</v>
      </c>
      <c r="N503" t="s">
        <v>2867</v>
      </c>
      <c r="O503" t="s">
        <v>26</v>
      </c>
      <c r="P503">
        <v>24.95</v>
      </c>
      <c r="R503">
        <v>24.95</v>
      </c>
      <c r="S503">
        <v>37.43</v>
      </c>
      <c r="T503" t="s">
        <v>2868</v>
      </c>
    </row>
    <row r="504" spans="1:20">
      <c r="A504">
        <v>480284</v>
      </c>
      <c r="B504" t="s">
        <v>2869</v>
      </c>
      <c r="C504" t="str">
        <f>"9788132100843"</f>
        <v>9788132100843</v>
      </c>
      <c r="D504" t="str">
        <f>"9781525504563"</f>
        <v>9781525504563</v>
      </c>
      <c r="E504" t="s">
        <v>479</v>
      </c>
      <c r="F504" t="s">
        <v>2870</v>
      </c>
      <c r="G504" s="1">
        <v>39994</v>
      </c>
      <c r="H504">
        <v>1</v>
      </c>
      <c r="J504" t="s">
        <v>2871</v>
      </c>
      <c r="K504" t="s">
        <v>2872</v>
      </c>
      <c r="L504" t="s">
        <v>2873</v>
      </c>
      <c r="M504">
        <v>371.334</v>
      </c>
      <c r="N504" t="s">
        <v>2874</v>
      </c>
      <c r="O504" t="s">
        <v>26</v>
      </c>
      <c r="P504">
        <v>43</v>
      </c>
      <c r="Q504">
        <v>53.75</v>
      </c>
      <c r="R504">
        <v>43</v>
      </c>
      <c r="S504">
        <v>64.5</v>
      </c>
      <c r="T504" t="s">
        <v>2875</v>
      </c>
    </row>
    <row r="505" spans="1:20">
      <c r="A505">
        <v>480285</v>
      </c>
      <c r="B505" t="s">
        <v>2876</v>
      </c>
      <c r="C505" t="str">
        <f>"9789048130856"</f>
        <v>9789048130856</v>
      </c>
      <c r="D505" t="str">
        <f>"9789048130870"</f>
        <v>9789048130870</v>
      </c>
      <c r="E505" t="s">
        <v>479</v>
      </c>
      <c r="F505" t="s">
        <v>2305</v>
      </c>
      <c r="G505" s="1">
        <v>40087</v>
      </c>
      <c r="H505">
        <v>1</v>
      </c>
      <c r="J505" t="s">
        <v>2877</v>
      </c>
      <c r="K505" t="s">
        <v>76</v>
      </c>
      <c r="L505" t="s">
        <v>2878</v>
      </c>
      <c r="M505">
        <v>639.80949999999996</v>
      </c>
      <c r="N505" t="s">
        <v>2879</v>
      </c>
      <c r="O505" t="s">
        <v>26</v>
      </c>
      <c r="P505">
        <v>129</v>
      </c>
      <c r="Q505">
        <v>161.25</v>
      </c>
      <c r="R505">
        <v>129</v>
      </c>
      <c r="S505">
        <v>193.5</v>
      </c>
      <c r="T505" t="s">
        <v>2880</v>
      </c>
    </row>
    <row r="506" spans="1:20">
      <c r="A506">
        <v>480287</v>
      </c>
      <c r="B506" t="s">
        <v>2881</v>
      </c>
      <c r="C506" t="str">
        <f>"9781441909053"</f>
        <v>9781441909053</v>
      </c>
      <c r="D506" t="str">
        <f>"9781441908438"</f>
        <v>9781441908438</v>
      </c>
      <c r="E506" t="s">
        <v>479</v>
      </c>
      <c r="F506" t="s">
        <v>2305</v>
      </c>
      <c r="G506" s="1">
        <v>40026</v>
      </c>
      <c r="H506">
        <v>1</v>
      </c>
      <c r="J506" t="s">
        <v>2882</v>
      </c>
      <c r="K506" t="s">
        <v>899</v>
      </c>
      <c r="L506" t="s">
        <v>2883</v>
      </c>
      <c r="M506">
        <v>362.50099999999998</v>
      </c>
      <c r="N506" t="s">
        <v>2884</v>
      </c>
      <c r="O506" t="s">
        <v>26</v>
      </c>
      <c r="P506">
        <v>199</v>
      </c>
      <c r="Q506">
        <v>248.75</v>
      </c>
      <c r="R506">
        <v>199</v>
      </c>
      <c r="S506">
        <v>298.5</v>
      </c>
      <c r="T506" t="s">
        <v>2885</v>
      </c>
    </row>
    <row r="507" spans="1:20">
      <c r="A507">
        <v>480547</v>
      </c>
      <c r="B507" t="s">
        <v>2886</v>
      </c>
      <c r="C507" t="str">
        <f>"9780761456612"</f>
        <v>9780761456612</v>
      </c>
      <c r="D507" t="str">
        <f>"9789814435314"</f>
        <v>9789814435314</v>
      </c>
      <c r="E507" t="s">
        <v>2887</v>
      </c>
      <c r="F507" t="s">
        <v>2888</v>
      </c>
      <c r="G507" s="1">
        <v>40193</v>
      </c>
      <c r="H507">
        <v>6</v>
      </c>
      <c r="I507" t="s">
        <v>2889</v>
      </c>
      <c r="J507" t="s">
        <v>2890</v>
      </c>
      <c r="K507" t="s">
        <v>291</v>
      </c>
      <c r="L507" t="s">
        <v>2891</v>
      </c>
      <c r="M507">
        <v>971.07</v>
      </c>
      <c r="N507" t="s">
        <v>2892</v>
      </c>
      <c r="O507" t="s">
        <v>26</v>
      </c>
      <c r="P507">
        <v>12.75</v>
      </c>
      <c r="Q507">
        <v>15.94</v>
      </c>
      <c r="R507">
        <v>12.75</v>
      </c>
      <c r="S507">
        <v>19.13</v>
      </c>
      <c r="T507" t="s">
        <v>2893</v>
      </c>
    </row>
    <row r="508" spans="1:20">
      <c r="A508">
        <v>487614</v>
      </c>
      <c r="B508" t="s">
        <v>2894</v>
      </c>
      <c r="C508" t="str">
        <f>"9781441912084"</f>
        <v>9781441912084</v>
      </c>
      <c r="D508" t="str">
        <f>"9781552504598"</f>
        <v>9781552504598</v>
      </c>
      <c r="E508" t="s">
        <v>479</v>
      </c>
      <c r="F508" t="s">
        <v>2305</v>
      </c>
      <c r="G508" s="1">
        <v>40148</v>
      </c>
      <c r="H508">
        <v>1</v>
      </c>
      <c r="J508" t="s">
        <v>2895</v>
      </c>
      <c r="K508" t="s">
        <v>416</v>
      </c>
      <c r="L508" t="s">
        <v>2896</v>
      </c>
      <c r="M508" t="s">
        <v>2897</v>
      </c>
      <c r="N508" t="s">
        <v>2898</v>
      </c>
      <c r="O508" t="s">
        <v>26</v>
      </c>
      <c r="P508">
        <v>119</v>
      </c>
      <c r="Q508">
        <v>148.75</v>
      </c>
      <c r="R508">
        <v>119</v>
      </c>
      <c r="S508">
        <v>178.5</v>
      </c>
      <c r="T508" t="s">
        <v>2899</v>
      </c>
    </row>
    <row r="509" spans="1:20">
      <c r="A509">
        <v>487615</v>
      </c>
      <c r="B509" t="s">
        <v>2900</v>
      </c>
      <c r="C509" t="str">
        <f>"9789588307824"</f>
        <v>9789588307824</v>
      </c>
      <c r="D509" t="str">
        <f>"9781552504680"</f>
        <v>9781552504680</v>
      </c>
      <c r="E509" t="s">
        <v>479</v>
      </c>
      <c r="F509" t="s">
        <v>2324</v>
      </c>
      <c r="G509" s="1">
        <v>40179</v>
      </c>
      <c r="H509">
        <v>1</v>
      </c>
      <c r="J509" t="s">
        <v>660</v>
      </c>
      <c r="K509" t="s">
        <v>257</v>
      </c>
      <c r="L509" t="s">
        <v>2901</v>
      </c>
      <c r="M509">
        <v>371.3</v>
      </c>
      <c r="N509" t="s">
        <v>2902</v>
      </c>
      <c r="O509" t="s">
        <v>485</v>
      </c>
      <c r="P509">
        <v>34</v>
      </c>
      <c r="Q509">
        <v>42.5</v>
      </c>
      <c r="R509">
        <v>34</v>
      </c>
      <c r="S509">
        <v>51</v>
      </c>
      <c r="T509" t="s">
        <v>2903</v>
      </c>
    </row>
    <row r="510" spans="1:20">
      <c r="A510">
        <v>496465</v>
      </c>
      <c r="B510" t="s">
        <v>2904</v>
      </c>
      <c r="C510" t="str">
        <f>"9780865716230"</f>
        <v>9780865716230</v>
      </c>
      <c r="D510" t="str">
        <f>"9781550924268"</f>
        <v>9781550924268</v>
      </c>
      <c r="E510" t="s">
        <v>249</v>
      </c>
      <c r="F510" t="s">
        <v>249</v>
      </c>
      <c r="G510" s="1">
        <v>39934</v>
      </c>
      <c r="J510" t="s">
        <v>2905</v>
      </c>
      <c r="K510" t="s">
        <v>278</v>
      </c>
      <c r="L510" t="s">
        <v>2906</v>
      </c>
      <c r="M510" t="s">
        <v>2907</v>
      </c>
      <c r="N510" t="s">
        <v>2908</v>
      </c>
      <c r="O510" t="s">
        <v>26</v>
      </c>
      <c r="P510">
        <v>19.95</v>
      </c>
      <c r="R510">
        <v>19.95</v>
      </c>
      <c r="S510">
        <v>29.93</v>
      </c>
      <c r="T510" t="s">
        <v>2909</v>
      </c>
    </row>
    <row r="511" spans="1:20">
      <c r="A511">
        <v>515434</v>
      </c>
      <c r="B511" t="s">
        <v>2910</v>
      </c>
      <c r="C511" t="str">
        <f>"9780865716605"</f>
        <v>9780865716605</v>
      </c>
      <c r="D511" t="str">
        <f>"9781550924534"</f>
        <v>9781550924534</v>
      </c>
      <c r="E511" t="s">
        <v>249</v>
      </c>
      <c r="F511" t="s">
        <v>249</v>
      </c>
      <c r="G511" s="1">
        <v>40299</v>
      </c>
      <c r="J511" t="s">
        <v>2911</v>
      </c>
      <c r="K511" t="s">
        <v>305</v>
      </c>
      <c r="L511" t="s">
        <v>2912</v>
      </c>
      <c r="M511">
        <v>388</v>
      </c>
      <c r="N511" t="s">
        <v>2913</v>
      </c>
      <c r="O511" t="s">
        <v>26</v>
      </c>
      <c r="P511">
        <v>26.95</v>
      </c>
      <c r="R511">
        <v>26.95</v>
      </c>
      <c r="S511">
        <v>40.43</v>
      </c>
      <c r="T511" t="s">
        <v>2914</v>
      </c>
    </row>
    <row r="512" spans="1:20">
      <c r="A512">
        <v>515437</v>
      </c>
      <c r="B512" t="s">
        <v>2915</v>
      </c>
      <c r="C512" t="str">
        <f>"9780865716179"</f>
        <v>9780865716179</v>
      </c>
      <c r="D512" t="str">
        <f>"9781550924473"</f>
        <v>9781550924473</v>
      </c>
      <c r="E512" t="s">
        <v>249</v>
      </c>
      <c r="F512" t="s">
        <v>249</v>
      </c>
      <c r="G512" s="1">
        <v>40330</v>
      </c>
      <c r="I512" t="s">
        <v>2916</v>
      </c>
      <c r="J512" t="s">
        <v>329</v>
      </c>
      <c r="K512" t="s">
        <v>2917</v>
      </c>
      <c r="L512" t="s">
        <v>2918</v>
      </c>
      <c r="M512">
        <v>333.92</v>
      </c>
      <c r="N512" t="s">
        <v>2919</v>
      </c>
      <c r="O512" t="s">
        <v>26</v>
      </c>
      <c r="P512">
        <v>12.95</v>
      </c>
      <c r="R512">
        <v>12.95</v>
      </c>
      <c r="S512">
        <v>19.43</v>
      </c>
      <c r="T512" t="s">
        <v>2920</v>
      </c>
    </row>
    <row r="513" spans="1:20">
      <c r="A513">
        <v>515439</v>
      </c>
      <c r="B513" t="s">
        <v>2921</v>
      </c>
      <c r="C513" t="str">
        <f>"9780865716414"</f>
        <v>9780865716414</v>
      </c>
      <c r="D513" t="str">
        <f>"9781550924503"</f>
        <v>9781550924503</v>
      </c>
      <c r="E513" t="s">
        <v>249</v>
      </c>
      <c r="F513" t="s">
        <v>249</v>
      </c>
      <c r="G513" s="1">
        <v>40299</v>
      </c>
      <c r="J513" t="s">
        <v>2922</v>
      </c>
      <c r="K513" t="s">
        <v>1011</v>
      </c>
      <c r="L513" t="s">
        <v>2923</v>
      </c>
      <c r="M513" t="s">
        <v>2924</v>
      </c>
      <c r="N513" t="s">
        <v>2925</v>
      </c>
      <c r="O513" t="s">
        <v>26</v>
      </c>
      <c r="P513">
        <v>17.95</v>
      </c>
      <c r="R513">
        <v>17.95</v>
      </c>
      <c r="S513">
        <v>26.93</v>
      </c>
      <c r="T513" t="s">
        <v>2926</v>
      </c>
    </row>
    <row r="514" spans="1:20">
      <c r="A514">
        <v>515441</v>
      </c>
      <c r="B514" t="s">
        <v>2927</v>
      </c>
      <c r="C514" t="str">
        <f>"9780865716650"</f>
        <v>9780865716650</v>
      </c>
      <c r="D514" t="str">
        <f>"9781550924442"</f>
        <v>9781550924442</v>
      </c>
      <c r="E514" t="s">
        <v>249</v>
      </c>
      <c r="F514" t="s">
        <v>249</v>
      </c>
      <c r="G514" s="1">
        <v>40269</v>
      </c>
      <c r="J514" t="s">
        <v>2928</v>
      </c>
      <c r="K514" t="s">
        <v>76</v>
      </c>
      <c r="L514" t="s">
        <v>2929</v>
      </c>
      <c r="M514" t="s">
        <v>2930</v>
      </c>
      <c r="N514" t="s">
        <v>2931</v>
      </c>
      <c r="O514" t="s">
        <v>26</v>
      </c>
      <c r="P514">
        <v>19.95</v>
      </c>
      <c r="R514">
        <v>19.95</v>
      </c>
      <c r="S514">
        <v>29.93</v>
      </c>
      <c r="T514" t="s">
        <v>2932</v>
      </c>
    </row>
    <row r="515" spans="1:20">
      <c r="A515">
        <v>515445</v>
      </c>
      <c r="B515" t="s">
        <v>2933</v>
      </c>
      <c r="C515" t="str">
        <f>"9780865716407"</f>
        <v>9780865716407</v>
      </c>
      <c r="D515" t="str">
        <f>"9781550924527"</f>
        <v>9781550924527</v>
      </c>
      <c r="E515" t="s">
        <v>249</v>
      </c>
      <c r="F515" t="s">
        <v>249</v>
      </c>
      <c r="G515" s="1">
        <v>40238</v>
      </c>
      <c r="J515" t="s">
        <v>2934</v>
      </c>
      <c r="K515" t="s">
        <v>387</v>
      </c>
      <c r="L515" t="s">
        <v>2935</v>
      </c>
      <c r="M515">
        <v>690.24</v>
      </c>
      <c r="N515" t="s">
        <v>2936</v>
      </c>
      <c r="O515" t="s">
        <v>26</v>
      </c>
      <c r="P515">
        <v>37.950000000000003</v>
      </c>
      <c r="R515">
        <v>37.950000000000003</v>
      </c>
      <c r="S515">
        <v>56.93</v>
      </c>
      <c r="T515" t="s">
        <v>2937</v>
      </c>
    </row>
    <row r="516" spans="1:20">
      <c r="A516">
        <v>515447</v>
      </c>
      <c r="B516" t="s">
        <v>2938</v>
      </c>
      <c r="C516" t="str">
        <f>"9780865716155"</f>
        <v>9780865716155</v>
      </c>
      <c r="D516" t="str">
        <f>"9781550924510"</f>
        <v>9781550924510</v>
      </c>
      <c r="E516" t="s">
        <v>249</v>
      </c>
      <c r="F516" t="s">
        <v>249</v>
      </c>
      <c r="G516" s="1">
        <v>40299</v>
      </c>
      <c r="J516" t="s">
        <v>2939</v>
      </c>
      <c r="K516" t="s">
        <v>467</v>
      </c>
      <c r="L516" t="s">
        <v>2940</v>
      </c>
      <c r="M516" t="s">
        <v>2941</v>
      </c>
      <c r="N516" t="s">
        <v>2942</v>
      </c>
      <c r="O516" t="s">
        <v>26</v>
      </c>
      <c r="P516">
        <v>16.95</v>
      </c>
      <c r="R516">
        <v>16.95</v>
      </c>
      <c r="S516">
        <v>25.43</v>
      </c>
      <c r="T516" t="s">
        <v>2943</v>
      </c>
    </row>
    <row r="517" spans="1:20">
      <c r="A517">
        <v>533905</v>
      </c>
      <c r="B517" t="s">
        <v>2944</v>
      </c>
      <c r="C517" t="str">
        <f>"9789588307695"</f>
        <v>9789588307695</v>
      </c>
      <c r="D517" t="str">
        <f>"9781552504499"</f>
        <v>9781552504499</v>
      </c>
      <c r="E517" t="s">
        <v>479</v>
      </c>
      <c r="F517" t="s">
        <v>2324</v>
      </c>
      <c r="G517" s="1">
        <v>39814</v>
      </c>
      <c r="J517" t="s">
        <v>2344</v>
      </c>
      <c r="K517" t="s">
        <v>2945</v>
      </c>
      <c r="L517" t="s">
        <v>2946</v>
      </c>
      <c r="M517">
        <v>330.5</v>
      </c>
      <c r="N517" t="s">
        <v>2346</v>
      </c>
      <c r="O517" t="s">
        <v>485</v>
      </c>
      <c r="P517">
        <v>34</v>
      </c>
      <c r="Q517">
        <v>42.5</v>
      </c>
      <c r="R517">
        <v>34</v>
      </c>
      <c r="S517">
        <v>51</v>
      </c>
      <c r="T517" t="s">
        <v>2947</v>
      </c>
    </row>
    <row r="518" spans="1:20">
      <c r="A518">
        <v>533906</v>
      </c>
      <c r="B518" t="s">
        <v>2948</v>
      </c>
      <c r="C518" t="str">
        <f>"9780796922496"</f>
        <v>9780796922496</v>
      </c>
      <c r="D518" t="str">
        <f>"9781552504734"</f>
        <v>9781552504734</v>
      </c>
      <c r="E518" t="s">
        <v>479</v>
      </c>
      <c r="F518" t="s">
        <v>2949</v>
      </c>
      <c r="G518" s="1">
        <v>40179</v>
      </c>
      <c r="J518" t="s">
        <v>2950</v>
      </c>
      <c r="K518" t="s">
        <v>2951</v>
      </c>
      <c r="L518" t="s">
        <v>2952</v>
      </c>
      <c r="M518">
        <v>496.02850000000001</v>
      </c>
      <c r="N518" t="s">
        <v>2953</v>
      </c>
      <c r="O518" t="s">
        <v>26</v>
      </c>
      <c r="P518">
        <v>18</v>
      </c>
      <c r="Q518">
        <v>22.5</v>
      </c>
      <c r="R518">
        <v>18</v>
      </c>
      <c r="S518">
        <v>27</v>
      </c>
      <c r="T518" t="s">
        <v>2954</v>
      </c>
    </row>
    <row r="519" spans="1:20">
      <c r="A519">
        <v>533907</v>
      </c>
      <c r="B519" t="s">
        <v>2955</v>
      </c>
      <c r="C519" t="str">
        <f>"9781853396984"</f>
        <v>9781853396984</v>
      </c>
      <c r="D519" t="str">
        <f>"9781552504666"</f>
        <v>9781552504666</v>
      </c>
      <c r="E519" t="s">
        <v>479</v>
      </c>
      <c r="F519" t="s">
        <v>2343</v>
      </c>
      <c r="G519" s="1">
        <v>40179</v>
      </c>
      <c r="J519" t="s">
        <v>2956</v>
      </c>
      <c r="K519" t="s">
        <v>2957</v>
      </c>
      <c r="L519" t="s">
        <v>2958</v>
      </c>
      <c r="M519">
        <v>628.43095600000004</v>
      </c>
      <c r="N519" t="s">
        <v>2959</v>
      </c>
      <c r="O519" t="s">
        <v>26</v>
      </c>
      <c r="P519">
        <v>43</v>
      </c>
      <c r="Q519">
        <v>53.75</v>
      </c>
      <c r="R519">
        <v>43</v>
      </c>
      <c r="S519">
        <v>64.5</v>
      </c>
      <c r="T519" t="s">
        <v>2960</v>
      </c>
    </row>
    <row r="520" spans="1:20">
      <c r="A520">
        <v>535694</v>
      </c>
      <c r="B520" t="s">
        <v>2961</v>
      </c>
      <c r="C520" t="str">
        <f>""</f>
        <v/>
      </c>
      <c r="D520" t="str">
        <f>"9781607806738"</f>
        <v>9781607806738</v>
      </c>
      <c r="E520" t="s">
        <v>2962</v>
      </c>
      <c r="F520" t="s">
        <v>2962</v>
      </c>
      <c r="G520" s="1">
        <v>40179</v>
      </c>
      <c r="H520">
        <v>2</v>
      </c>
      <c r="J520" t="s">
        <v>2962</v>
      </c>
      <c r="K520" t="s">
        <v>2963</v>
      </c>
      <c r="L520" t="s">
        <v>2964</v>
      </c>
      <c r="M520" t="s">
        <v>2965</v>
      </c>
      <c r="N520" t="s">
        <v>2966</v>
      </c>
      <c r="O520" t="s">
        <v>26</v>
      </c>
      <c r="P520">
        <v>37.6</v>
      </c>
      <c r="R520">
        <v>37.6</v>
      </c>
      <c r="T520" t="s">
        <v>2967</v>
      </c>
    </row>
    <row r="521" spans="1:20">
      <c r="A521">
        <v>544613</v>
      </c>
      <c r="B521" t="s">
        <v>2968</v>
      </c>
      <c r="C521" t="str">
        <f>"9781551520438"</f>
        <v>9781551520438</v>
      </c>
      <c r="D521" t="str">
        <f>"9781551523309"</f>
        <v>9781551523309</v>
      </c>
      <c r="E521" t="s">
        <v>2416</v>
      </c>
      <c r="F521" t="s">
        <v>2416</v>
      </c>
      <c r="G521" s="1">
        <v>37438</v>
      </c>
      <c r="J521" t="s">
        <v>2969</v>
      </c>
      <c r="K521" t="s">
        <v>291</v>
      </c>
      <c r="L521" t="s">
        <v>2970</v>
      </c>
      <c r="M521">
        <v>971</v>
      </c>
      <c r="N521" t="s">
        <v>2971</v>
      </c>
      <c r="O521" t="s">
        <v>26</v>
      </c>
      <c r="P521">
        <v>19.95</v>
      </c>
      <c r="R521">
        <v>19.95</v>
      </c>
      <c r="S521">
        <v>29.93</v>
      </c>
      <c r="T521" t="s">
        <v>2972</v>
      </c>
    </row>
    <row r="522" spans="1:20">
      <c r="A522">
        <v>544615</v>
      </c>
      <c r="B522" t="s">
        <v>2973</v>
      </c>
      <c r="C522" t="str">
        <f>"9781551520155"</f>
        <v>9781551520155</v>
      </c>
      <c r="D522" t="str">
        <f>"9781551523378"</f>
        <v>9781551523378</v>
      </c>
      <c r="E522" t="s">
        <v>2416</v>
      </c>
      <c r="F522" t="s">
        <v>2416</v>
      </c>
      <c r="G522" s="1">
        <v>37438</v>
      </c>
      <c r="J522" t="s">
        <v>2974</v>
      </c>
      <c r="K522" t="s">
        <v>2975</v>
      </c>
      <c r="L522" t="s">
        <v>2976</v>
      </c>
      <c r="M522" t="s">
        <v>2977</v>
      </c>
      <c r="N522" t="s">
        <v>2978</v>
      </c>
      <c r="O522" t="s">
        <v>26</v>
      </c>
      <c r="P522">
        <v>12.95</v>
      </c>
      <c r="R522">
        <v>12.95</v>
      </c>
      <c r="S522">
        <v>19.43</v>
      </c>
      <c r="T522" t="s">
        <v>2979</v>
      </c>
    </row>
    <row r="523" spans="1:20">
      <c r="A523">
        <v>544625</v>
      </c>
      <c r="B523" t="s">
        <v>2980</v>
      </c>
      <c r="C523" t="str">
        <f>"9780889781894"</f>
        <v>9780889781894</v>
      </c>
      <c r="D523" t="str">
        <f>"9781551523354"</f>
        <v>9781551523354</v>
      </c>
      <c r="E523" t="s">
        <v>2416</v>
      </c>
      <c r="F523" t="s">
        <v>2416</v>
      </c>
      <c r="G523" s="1">
        <v>37438</v>
      </c>
      <c r="J523" t="s">
        <v>2981</v>
      </c>
      <c r="K523" t="s">
        <v>2982</v>
      </c>
      <c r="L523" t="s">
        <v>2983</v>
      </c>
      <c r="M523" t="s">
        <v>2984</v>
      </c>
      <c r="N523" t="s">
        <v>2985</v>
      </c>
      <c r="O523" t="s">
        <v>26</v>
      </c>
      <c r="P523">
        <v>13.95</v>
      </c>
      <c r="R523">
        <v>13.95</v>
      </c>
      <c r="S523">
        <v>20.93</v>
      </c>
      <c r="T523" t="s">
        <v>2986</v>
      </c>
    </row>
    <row r="524" spans="1:20">
      <c r="A524">
        <v>544635</v>
      </c>
      <c r="B524" t="s">
        <v>2987</v>
      </c>
      <c r="C524" t="str">
        <f>"9781551520360"</f>
        <v>9781551520360</v>
      </c>
      <c r="D524" t="str">
        <f>"9781551523347"</f>
        <v>9781551523347</v>
      </c>
      <c r="E524" t="s">
        <v>2416</v>
      </c>
      <c r="F524" t="s">
        <v>2416</v>
      </c>
      <c r="G524" s="1">
        <v>37438</v>
      </c>
      <c r="J524" t="s">
        <v>2988</v>
      </c>
      <c r="K524" t="s">
        <v>291</v>
      </c>
      <c r="L524" t="s">
        <v>2989</v>
      </c>
      <c r="M524" t="s">
        <v>2990</v>
      </c>
      <c r="N524" t="s">
        <v>2991</v>
      </c>
      <c r="O524" t="s">
        <v>26</v>
      </c>
      <c r="P524">
        <v>15.95</v>
      </c>
      <c r="R524">
        <v>15.95</v>
      </c>
      <c r="S524">
        <v>23.93</v>
      </c>
      <c r="T524" t="s">
        <v>2992</v>
      </c>
    </row>
    <row r="525" spans="1:20">
      <c r="A525">
        <v>544637</v>
      </c>
      <c r="B525" t="s">
        <v>2993</v>
      </c>
      <c r="C525" t="str">
        <f>"9781551522005"</f>
        <v>9781551522005</v>
      </c>
      <c r="D525" t="str">
        <f>"9781551523217"</f>
        <v>9781551523217</v>
      </c>
      <c r="E525" t="s">
        <v>2416</v>
      </c>
      <c r="F525" t="s">
        <v>2416</v>
      </c>
      <c r="G525" s="1">
        <v>38808</v>
      </c>
      <c r="J525" t="s">
        <v>2994</v>
      </c>
      <c r="K525" t="s">
        <v>1892</v>
      </c>
      <c r="L525" t="s">
        <v>2995</v>
      </c>
      <c r="M525" t="s">
        <v>2996</v>
      </c>
      <c r="N525" t="s">
        <v>2997</v>
      </c>
      <c r="O525" t="s">
        <v>26</v>
      </c>
      <c r="P525">
        <v>21.95</v>
      </c>
      <c r="R525">
        <v>21.95</v>
      </c>
      <c r="S525">
        <v>32.93</v>
      </c>
      <c r="T525" t="s">
        <v>2998</v>
      </c>
    </row>
    <row r="526" spans="1:20">
      <c r="A526">
        <v>544645</v>
      </c>
      <c r="B526" t="s">
        <v>2999</v>
      </c>
      <c r="C526" t="str">
        <f>"9781551520476"</f>
        <v>9781551520476</v>
      </c>
      <c r="D526" t="str">
        <f>"9781551523361"</f>
        <v>9781551523361</v>
      </c>
      <c r="E526" t="s">
        <v>2416</v>
      </c>
      <c r="F526" t="s">
        <v>2416</v>
      </c>
      <c r="G526" s="1">
        <v>37438</v>
      </c>
      <c r="H526">
        <v>10</v>
      </c>
      <c r="J526" t="s">
        <v>3000</v>
      </c>
      <c r="K526" t="s">
        <v>291</v>
      </c>
      <c r="L526" t="s">
        <v>3001</v>
      </c>
      <c r="M526" t="s">
        <v>3002</v>
      </c>
      <c r="N526" t="s">
        <v>3003</v>
      </c>
      <c r="O526" t="s">
        <v>26</v>
      </c>
      <c r="P526">
        <v>18.95</v>
      </c>
      <c r="R526">
        <v>18.95</v>
      </c>
      <c r="S526">
        <v>28.43</v>
      </c>
      <c r="T526" t="s">
        <v>3004</v>
      </c>
    </row>
    <row r="527" spans="1:20">
      <c r="A527">
        <v>544646</v>
      </c>
      <c r="B527" t="s">
        <v>3005</v>
      </c>
      <c r="C527" t="str">
        <f>"9780889782525"</f>
        <v>9780889782525</v>
      </c>
      <c r="D527" t="str">
        <f>"9781551523279"</f>
        <v>9781551523279</v>
      </c>
      <c r="E527" t="s">
        <v>2416</v>
      </c>
      <c r="F527" t="s">
        <v>2416</v>
      </c>
      <c r="G527" s="1">
        <v>37438</v>
      </c>
      <c r="J527" t="s">
        <v>3000</v>
      </c>
      <c r="K527" t="s">
        <v>263</v>
      </c>
      <c r="L527" t="s">
        <v>3006</v>
      </c>
      <c r="N527" t="s">
        <v>3007</v>
      </c>
      <c r="O527" t="s">
        <v>26</v>
      </c>
      <c r="P527">
        <v>12.95</v>
      </c>
      <c r="R527">
        <v>12.95</v>
      </c>
      <c r="S527">
        <v>19.43</v>
      </c>
      <c r="T527" t="s">
        <v>3008</v>
      </c>
    </row>
    <row r="528" spans="1:20">
      <c r="A528">
        <v>544647</v>
      </c>
      <c r="B528" t="s">
        <v>3009</v>
      </c>
      <c r="C528" t="str">
        <f>"9781551520537"</f>
        <v>9781551520537</v>
      </c>
      <c r="D528" t="str">
        <f>"9781551523255"</f>
        <v>9781551523255</v>
      </c>
      <c r="E528" t="s">
        <v>2416</v>
      </c>
      <c r="F528" t="s">
        <v>2416</v>
      </c>
      <c r="G528" s="1">
        <v>37438</v>
      </c>
      <c r="J528" t="s">
        <v>3000</v>
      </c>
      <c r="K528" t="s">
        <v>525</v>
      </c>
      <c r="L528" t="s">
        <v>3010</v>
      </c>
      <c r="M528">
        <v>345.71105089000002</v>
      </c>
      <c r="N528" t="s">
        <v>3011</v>
      </c>
      <c r="O528" t="s">
        <v>26</v>
      </c>
      <c r="P528">
        <v>12.95</v>
      </c>
      <c r="R528">
        <v>12.95</v>
      </c>
      <c r="S528">
        <v>19.43</v>
      </c>
      <c r="T528" t="s">
        <v>3012</v>
      </c>
    </row>
    <row r="529" spans="1:20">
      <c r="A529">
        <v>544654</v>
      </c>
      <c r="B529" t="s">
        <v>3013</v>
      </c>
      <c r="C529" t="str">
        <f>"9780889781863"</f>
        <v>9780889781863</v>
      </c>
      <c r="D529" t="str">
        <f>"9781551523316"</f>
        <v>9781551523316</v>
      </c>
      <c r="E529" t="s">
        <v>2416</v>
      </c>
      <c r="F529" t="s">
        <v>2416</v>
      </c>
      <c r="G529" s="1">
        <v>37438</v>
      </c>
      <c r="J529" t="s">
        <v>3014</v>
      </c>
      <c r="K529" t="s">
        <v>2982</v>
      </c>
      <c r="L529" t="s">
        <v>3015</v>
      </c>
      <c r="M529" t="s">
        <v>3016</v>
      </c>
      <c r="N529" t="s">
        <v>3017</v>
      </c>
      <c r="O529" t="s">
        <v>26</v>
      </c>
      <c r="P529">
        <v>12.95</v>
      </c>
      <c r="R529">
        <v>12.95</v>
      </c>
      <c r="S529">
        <v>19.43</v>
      </c>
      <c r="T529" t="s">
        <v>3018</v>
      </c>
    </row>
    <row r="530" spans="1:20">
      <c r="A530">
        <v>544655</v>
      </c>
      <c r="B530" t="s">
        <v>3019</v>
      </c>
      <c r="C530" t="str">
        <f>"9780889782303"</f>
        <v>9780889782303</v>
      </c>
      <c r="D530" t="str">
        <f>"9781551523323"</f>
        <v>9781551523323</v>
      </c>
      <c r="E530" t="s">
        <v>2416</v>
      </c>
      <c r="F530" t="s">
        <v>2416</v>
      </c>
      <c r="G530" s="1">
        <v>37438</v>
      </c>
      <c r="J530" t="s">
        <v>3020</v>
      </c>
      <c r="K530" t="s">
        <v>2982</v>
      </c>
      <c r="L530" t="s">
        <v>3021</v>
      </c>
      <c r="M530" t="s">
        <v>3022</v>
      </c>
      <c r="N530" t="s">
        <v>3023</v>
      </c>
      <c r="O530" t="s">
        <v>26</v>
      </c>
      <c r="P530">
        <v>12.95</v>
      </c>
      <c r="R530">
        <v>12.95</v>
      </c>
      <c r="S530">
        <v>19.43</v>
      </c>
      <c r="T530" t="s">
        <v>3024</v>
      </c>
    </row>
    <row r="531" spans="1:20">
      <c r="A531">
        <v>544656</v>
      </c>
      <c r="B531" t="s">
        <v>3025</v>
      </c>
      <c r="C531" t="str">
        <f>"9780889782631"</f>
        <v>9780889782631</v>
      </c>
      <c r="D531" t="str">
        <f>"9781551523330"</f>
        <v>9781551523330</v>
      </c>
      <c r="E531" t="s">
        <v>2416</v>
      </c>
      <c r="F531" t="s">
        <v>2416</v>
      </c>
      <c r="G531" s="1">
        <v>37438</v>
      </c>
      <c r="J531" t="s">
        <v>3026</v>
      </c>
      <c r="K531" t="s">
        <v>1530</v>
      </c>
      <c r="L531" t="s">
        <v>3027</v>
      </c>
      <c r="M531">
        <v>305.89600000000002</v>
      </c>
      <c r="N531" t="s">
        <v>3023</v>
      </c>
      <c r="O531" t="s">
        <v>26</v>
      </c>
      <c r="P531">
        <v>12.95</v>
      </c>
      <c r="R531">
        <v>12.95</v>
      </c>
      <c r="S531">
        <v>19.43</v>
      </c>
      <c r="T531" t="s">
        <v>3028</v>
      </c>
    </row>
    <row r="532" spans="1:20">
      <c r="A532">
        <v>547505</v>
      </c>
      <c r="B532" t="s">
        <v>3029</v>
      </c>
      <c r="C532" t="str">
        <f>"9781553653745"</f>
        <v>9781553653745</v>
      </c>
      <c r="D532" t="str">
        <f>"9781926685021"</f>
        <v>9781926685021</v>
      </c>
      <c r="E532" t="s">
        <v>3030</v>
      </c>
      <c r="F532" t="s">
        <v>3030</v>
      </c>
      <c r="G532" s="1">
        <v>39995</v>
      </c>
      <c r="H532">
        <v>6</v>
      </c>
      <c r="J532" t="s">
        <v>3031</v>
      </c>
      <c r="K532" t="s">
        <v>3032</v>
      </c>
      <c r="L532" t="s">
        <v>3033</v>
      </c>
      <c r="M532">
        <v>917.11304500000006</v>
      </c>
      <c r="N532" t="s">
        <v>3034</v>
      </c>
      <c r="O532" t="s">
        <v>26</v>
      </c>
      <c r="P532">
        <v>15.95</v>
      </c>
      <c r="R532">
        <v>15.95</v>
      </c>
      <c r="S532">
        <v>23.93</v>
      </c>
      <c r="T532" t="s">
        <v>3035</v>
      </c>
    </row>
    <row r="533" spans="1:20">
      <c r="A533">
        <v>547506</v>
      </c>
      <c r="B533" t="s">
        <v>3036</v>
      </c>
      <c r="C533" t="str">
        <f>"9781553652373"</f>
        <v>9781553652373</v>
      </c>
      <c r="D533" t="str">
        <f>"9781926685335"</f>
        <v>9781926685335</v>
      </c>
      <c r="E533" t="s">
        <v>3030</v>
      </c>
      <c r="F533" t="s">
        <v>3030</v>
      </c>
      <c r="G533" s="1">
        <v>39995</v>
      </c>
      <c r="J533" t="s">
        <v>3037</v>
      </c>
      <c r="K533" t="s">
        <v>263</v>
      </c>
      <c r="L533" t="s">
        <v>3038</v>
      </c>
      <c r="M533">
        <v>361.2097</v>
      </c>
      <c r="N533" t="s">
        <v>3039</v>
      </c>
      <c r="O533" t="s">
        <v>26</v>
      </c>
      <c r="P533">
        <v>17.95</v>
      </c>
      <c r="R533">
        <v>17.95</v>
      </c>
      <c r="S533">
        <v>26.93</v>
      </c>
      <c r="T533" t="s">
        <v>3040</v>
      </c>
    </row>
    <row r="534" spans="1:20">
      <c r="A534">
        <v>547508</v>
      </c>
      <c r="B534" t="s">
        <v>3041</v>
      </c>
      <c r="C534" t="str">
        <f>"9781553652977"</f>
        <v>9781553652977</v>
      </c>
      <c r="D534" t="str">
        <f>"9781926685106"</f>
        <v>9781926685106</v>
      </c>
      <c r="E534" t="s">
        <v>3030</v>
      </c>
      <c r="F534" t="s">
        <v>3030</v>
      </c>
      <c r="G534" s="1">
        <v>39995</v>
      </c>
      <c r="J534" t="s">
        <v>3042</v>
      </c>
      <c r="K534" t="s">
        <v>3043</v>
      </c>
      <c r="L534" t="s">
        <v>3044</v>
      </c>
      <c r="M534" t="s">
        <v>3045</v>
      </c>
      <c r="N534" t="s">
        <v>3046</v>
      </c>
      <c r="O534" t="s">
        <v>26</v>
      </c>
      <c r="P534">
        <v>22.95</v>
      </c>
      <c r="R534">
        <v>22.95</v>
      </c>
      <c r="S534">
        <v>34.43</v>
      </c>
      <c r="T534" t="s">
        <v>3047</v>
      </c>
    </row>
    <row r="535" spans="1:20">
      <c r="A535">
        <v>547510</v>
      </c>
      <c r="B535" t="s">
        <v>3048</v>
      </c>
      <c r="C535" t="str">
        <f>"9781553651499"</f>
        <v>9781553651499</v>
      </c>
      <c r="D535" t="str">
        <f>"9781771641838"</f>
        <v>9781771641838</v>
      </c>
      <c r="E535" t="s">
        <v>3030</v>
      </c>
      <c r="F535" t="s">
        <v>3030</v>
      </c>
      <c r="G535" s="1">
        <v>39995</v>
      </c>
      <c r="J535" t="s">
        <v>3049</v>
      </c>
      <c r="K535" t="s">
        <v>1150</v>
      </c>
      <c r="L535" t="s">
        <v>3050</v>
      </c>
      <c r="M535">
        <v>796.96209199999998</v>
      </c>
      <c r="N535" t="s">
        <v>3051</v>
      </c>
      <c r="O535" t="s">
        <v>26</v>
      </c>
      <c r="P535">
        <v>18.95</v>
      </c>
      <c r="R535">
        <v>18.95</v>
      </c>
      <c r="S535">
        <v>28.43</v>
      </c>
      <c r="T535" t="s">
        <v>3052</v>
      </c>
    </row>
    <row r="536" spans="1:20">
      <c r="A536">
        <v>547511</v>
      </c>
      <c r="B536" t="s">
        <v>3053</v>
      </c>
      <c r="C536" t="str">
        <f>"9781550545180"</f>
        <v>9781550545180</v>
      </c>
      <c r="D536" t="str">
        <f>"9781926685250"</f>
        <v>9781926685250</v>
      </c>
      <c r="E536" t="s">
        <v>3030</v>
      </c>
      <c r="F536" t="s">
        <v>3030</v>
      </c>
      <c r="G536" s="1">
        <v>40914</v>
      </c>
      <c r="J536" t="s">
        <v>3054</v>
      </c>
      <c r="K536" t="s">
        <v>3055</v>
      </c>
      <c r="L536" t="s">
        <v>3056</v>
      </c>
      <c r="M536" t="s">
        <v>3057</v>
      </c>
      <c r="N536" t="s">
        <v>3058</v>
      </c>
      <c r="O536" t="s">
        <v>26</v>
      </c>
      <c r="P536">
        <v>12.95</v>
      </c>
      <c r="R536">
        <v>12.95</v>
      </c>
      <c r="S536">
        <v>19.43</v>
      </c>
      <c r="T536" t="s">
        <v>3059</v>
      </c>
    </row>
    <row r="537" spans="1:20">
      <c r="A537">
        <v>547514</v>
      </c>
      <c r="B537" t="s">
        <v>3060</v>
      </c>
      <c r="C537" t="str">
        <f>"9781553651161"</f>
        <v>9781553651161</v>
      </c>
      <c r="D537" t="str">
        <f>"9781926685328"</f>
        <v>9781926685328</v>
      </c>
      <c r="E537" t="s">
        <v>3030</v>
      </c>
      <c r="F537" t="s">
        <v>3030</v>
      </c>
      <c r="G537" s="1">
        <v>39995</v>
      </c>
      <c r="J537" t="s">
        <v>3061</v>
      </c>
      <c r="K537" t="s">
        <v>1471</v>
      </c>
      <c r="L537" t="s">
        <v>3062</v>
      </c>
      <c r="M537" t="s">
        <v>2704</v>
      </c>
      <c r="N537" t="s">
        <v>3063</v>
      </c>
      <c r="O537" t="s">
        <v>26</v>
      </c>
      <c r="P537">
        <v>16.95</v>
      </c>
      <c r="R537">
        <v>16.95</v>
      </c>
      <c r="S537">
        <v>25.43</v>
      </c>
      <c r="T537" t="s">
        <v>3064</v>
      </c>
    </row>
    <row r="538" spans="1:20">
      <c r="A538">
        <v>547515</v>
      </c>
      <c r="B538" t="s">
        <v>3065</v>
      </c>
      <c r="C538" t="str">
        <f>"9781553650904"</f>
        <v>9781553650904</v>
      </c>
      <c r="D538" t="str">
        <f>"9781926685526"</f>
        <v>9781926685526</v>
      </c>
      <c r="E538" t="s">
        <v>3066</v>
      </c>
      <c r="F538" t="s">
        <v>3066</v>
      </c>
      <c r="G538" s="1">
        <v>38452</v>
      </c>
      <c r="J538" t="s">
        <v>3067</v>
      </c>
      <c r="K538" t="s">
        <v>3068</v>
      </c>
      <c r="L538" t="s">
        <v>3069</v>
      </c>
      <c r="M538" t="s">
        <v>3070</v>
      </c>
      <c r="N538" t="s">
        <v>3071</v>
      </c>
      <c r="O538" t="s">
        <v>26</v>
      </c>
      <c r="P538">
        <v>17.95</v>
      </c>
      <c r="R538">
        <v>17.95</v>
      </c>
      <c r="S538">
        <v>26.93</v>
      </c>
      <c r="T538" t="s">
        <v>3072</v>
      </c>
    </row>
    <row r="539" spans="1:20">
      <c r="A539">
        <v>547519</v>
      </c>
      <c r="B539" t="s">
        <v>3073</v>
      </c>
      <c r="C539" t="str">
        <f>"9781553653264"</f>
        <v>9781553653264</v>
      </c>
      <c r="D539" t="str">
        <f>"9781926685151"</f>
        <v>9781926685151</v>
      </c>
      <c r="E539" t="s">
        <v>3030</v>
      </c>
      <c r="F539" t="s">
        <v>3030</v>
      </c>
      <c r="G539" s="1">
        <v>39995</v>
      </c>
      <c r="I539" t="s">
        <v>3074</v>
      </c>
      <c r="J539" t="s">
        <v>3075</v>
      </c>
      <c r="K539" t="s">
        <v>1464</v>
      </c>
      <c r="L539" t="s">
        <v>3076</v>
      </c>
      <c r="M539">
        <v>808.8032154</v>
      </c>
      <c r="N539" t="s">
        <v>3077</v>
      </c>
      <c r="O539" t="s">
        <v>26</v>
      </c>
      <c r="P539">
        <v>22.95</v>
      </c>
      <c r="R539">
        <v>22.95</v>
      </c>
      <c r="S539">
        <v>34.43</v>
      </c>
      <c r="T539" t="s">
        <v>3078</v>
      </c>
    </row>
    <row r="540" spans="1:20">
      <c r="A540">
        <v>547521</v>
      </c>
      <c r="B540" t="s">
        <v>3079</v>
      </c>
      <c r="C540" t="str">
        <f>"9781553652687"</f>
        <v>9781553652687</v>
      </c>
      <c r="D540" t="str">
        <f>"9781926812229"</f>
        <v>9781926812229</v>
      </c>
      <c r="E540" t="s">
        <v>3030</v>
      </c>
      <c r="F540" t="s">
        <v>3030</v>
      </c>
      <c r="G540" s="1">
        <v>40118</v>
      </c>
      <c r="J540" t="s">
        <v>3080</v>
      </c>
      <c r="K540" t="s">
        <v>3081</v>
      </c>
      <c r="L540" t="s">
        <v>3082</v>
      </c>
      <c r="M540">
        <v>70.92</v>
      </c>
      <c r="N540" t="s">
        <v>3083</v>
      </c>
      <c r="O540" t="s">
        <v>26</v>
      </c>
      <c r="P540">
        <v>14</v>
      </c>
      <c r="R540">
        <v>14</v>
      </c>
      <c r="S540">
        <v>21</v>
      </c>
      <c r="T540" t="s">
        <v>3084</v>
      </c>
    </row>
    <row r="541" spans="1:20">
      <c r="A541">
        <v>547524</v>
      </c>
      <c r="B541" t="s">
        <v>3085</v>
      </c>
      <c r="C541" t="str">
        <f>"9781553650386"</f>
        <v>9781553650386</v>
      </c>
      <c r="D541" t="str">
        <f>"9781926685502"</f>
        <v>9781926685502</v>
      </c>
      <c r="E541" t="s">
        <v>3030</v>
      </c>
      <c r="F541" t="s">
        <v>3030</v>
      </c>
      <c r="G541" s="1">
        <v>39995</v>
      </c>
      <c r="J541" t="s">
        <v>3086</v>
      </c>
      <c r="K541" t="s">
        <v>1150</v>
      </c>
      <c r="L541" t="s">
        <v>3087</v>
      </c>
      <c r="M541" t="s">
        <v>3088</v>
      </c>
      <c r="N541" t="s">
        <v>3089</v>
      </c>
      <c r="O541" t="s">
        <v>26</v>
      </c>
      <c r="P541">
        <v>9.9499999999999993</v>
      </c>
      <c r="R541">
        <v>9.9499999999999993</v>
      </c>
      <c r="S541">
        <v>14.93</v>
      </c>
      <c r="T541" t="s">
        <v>3090</v>
      </c>
    </row>
    <row r="542" spans="1:20">
      <c r="A542">
        <v>547525</v>
      </c>
      <c r="B542" t="s">
        <v>3091</v>
      </c>
      <c r="C542" t="str">
        <f>"9781553650454"</f>
        <v>9781553650454</v>
      </c>
      <c r="D542" t="str">
        <f>"9781926685748"</f>
        <v>9781926685748</v>
      </c>
      <c r="E542" t="s">
        <v>3092</v>
      </c>
      <c r="F542" t="s">
        <v>3093</v>
      </c>
      <c r="G542" s="1">
        <v>39995</v>
      </c>
      <c r="J542" t="s">
        <v>3094</v>
      </c>
      <c r="K542" t="s">
        <v>3095</v>
      </c>
      <c r="L542" t="s">
        <v>3096</v>
      </c>
      <c r="M542" t="s">
        <v>3097</v>
      </c>
      <c r="N542" t="s">
        <v>3098</v>
      </c>
      <c r="O542" t="s">
        <v>26</v>
      </c>
      <c r="P542">
        <v>14</v>
      </c>
      <c r="R542">
        <v>14</v>
      </c>
      <c r="S542">
        <v>21</v>
      </c>
      <c r="T542" t="s">
        <v>3099</v>
      </c>
    </row>
    <row r="543" spans="1:20">
      <c r="A543">
        <v>547526</v>
      </c>
      <c r="B543" t="s">
        <v>3100</v>
      </c>
      <c r="C543" t="str">
        <f>"9781553652007"</f>
        <v>9781553652007</v>
      </c>
      <c r="D543" t="str">
        <f>"9781926685267"</f>
        <v>9781926685267</v>
      </c>
      <c r="E543" t="s">
        <v>3030</v>
      </c>
      <c r="F543" t="s">
        <v>3030</v>
      </c>
      <c r="G543" s="1">
        <v>39995</v>
      </c>
      <c r="J543" t="s">
        <v>3101</v>
      </c>
      <c r="K543" t="s">
        <v>1471</v>
      </c>
      <c r="L543" t="s">
        <v>3102</v>
      </c>
      <c r="M543">
        <v>781.64309200000002</v>
      </c>
      <c r="N543" t="s">
        <v>3103</v>
      </c>
      <c r="O543" t="s">
        <v>26</v>
      </c>
      <c r="P543">
        <v>18.95</v>
      </c>
      <c r="R543">
        <v>18.95</v>
      </c>
      <c r="S543">
        <v>28.43</v>
      </c>
      <c r="T543" t="s">
        <v>3104</v>
      </c>
    </row>
    <row r="544" spans="1:20">
      <c r="A544">
        <v>547529</v>
      </c>
      <c r="B544" t="s">
        <v>3105</v>
      </c>
      <c r="C544" t="str">
        <f>"9781550549751"</f>
        <v>9781550549751</v>
      </c>
      <c r="D544" t="str">
        <f>"9781926685618"</f>
        <v>9781926685618</v>
      </c>
      <c r="E544" t="s">
        <v>3092</v>
      </c>
      <c r="F544" t="s">
        <v>3093</v>
      </c>
      <c r="G544" s="1">
        <v>39995</v>
      </c>
      <c r="J544" t="s">
        <v>3106</v>
      </c>
      <c r="K544" t="s">
        <v>291</v>
      </c>
      <c r="L544" t="s">
        <v>3107</v>
      </c>
      <c r="M544" t="s">
        <v>3108</v>
      </c>
      <c r="N544" t="s">
        <v>3109</v>
      </c>
      <c r="O544" t="s">
        <v>26</v>
      </c>
      <c r="P544">
        <v>14</v>
      </c>
      <c r="R544">
        <v>14</v>
      </c>
      <c r="S544">
        <v>21</v>
      </c>
      <c r="T544" t="s">
        <v>3110</v>
      </c>
    </row>
    <row r="545" spans="1:20">
      <c r="A545">
        <v>547530</v>
      </c>
      <c r="B545" t="s">
        <v>3111</v>
      </c>
      <c r="C545" t="str">
        <f>"9781553656104"</f>
        <v>9781553656104</v>
      </c>
      <c r="D545" t="str">
        <f>"9781926685649"</f>
        <v>9781926685649</v>
      </c>
      <c r="E545" t="s">
        <v>3092</v>
      </c>
      <c r="F545" t="s">
        <v>3093</v>
      </c>
      <c r="G545" s="1">
        <v>39995</v>
      </c>
      <c r="J545" t="s">
        <v>3112</v>
      </c>
      <c r="K545" t="s">
        <v>3113</v>
      </c>
      <c r="L545" t="s">
        <v>3114</v>
      </c>
      <c r="M545">
        <v>641.87</v>
      </c>
      <c r="N545" t="s">
        <v>3115</v>
      </c>
      <c r="O545" t="s">
        <v>26</v>
      </c>
      <c r="P545">
        <v>9.99</v>
      </c>
      <c r="R545">
        <v>9.99</v>
      </c>
      <c r="S545">
        <v>14.99</v>
      </c>
      <c r="T545" t="s">
        <v>3116</v>
      </c>
    </row>
    <row r="546" spans="1:20">
      <c r="A546">
        <v>547531</v>
      </c>
      <c r="B546" t="s">
        <v>3117</v>
      </c>
      <c r="C546" t="str">
        <f>"9781553651376"</f>
        <v>9781553651376</v>
      </c>
      <c r="D546" t="str">
        <f>"9781926685724"</f>
        <v>9781926685724</v>
      </c>
      <c r="E546" t="s">
        <v>3092</v>
      </c>
      <c r="F546" t="s">
        <v>3093</v>
      </c>
      <c r="G546" s="1">
        <v>40914</v>
      </c>
      <c r="J546" t="s">
        <v>3118</v>
      </c>
      <c r="K546" t="s">
        <v>291</v>
      </c>
      <c r="L546" t="s">
        <v>3119</v>
      </c>
      <c r="M546" t="s">
        <v>3120</v>
      </c>
      <c r="N546" t="s">
        <v>3121</v>
      </c>
      <c r="O546" t="s">
        <v>26</v>
      </c>
      <c r="P546">
        <v>15.95</v>
      </c>
      <c r="R546">
        <v>15.95</v>
      </c>
      <c r="S546">
        <v>23.93</v>
      </c>
      <c r="T546" t="s">
        <v>3122</v>
      </c>
    </row>
    <row r="547" spans="1:20">
      <c r="A547">
        <v>547533</v>
      </c>
      <c r="B547" t="s">
        <v>3123</v>
      </c>
      <c r="C547" t="str">
        <f>"9781553652717"</f>
        <v>9781553652717</v>
      </c>
      <c r="D547" t="str">
        <f>"9781926685182"</f>
        <v>9781926685182</v>
      </c>
      <c r="E547" t="s">
        <v>3030</v>
      </c>
      <c r="F547" t="s">
        <v>3030</v>
      </c>
      <c r="G547" s="1">
        <v>39995</v>
      </c>
      <c r="J547" t="s">
        <v>3124</v>
      </c>
      <c r="K547" t="s">
        <v>1445</v>
      </c>
      <c r="L547" t="s">
        <v>3125</v>
      </c>
      <c r="M547">
        <v>615.95399999999995</v>
      </c>
      <c r="N547" t="s">
        <v>3126</v>
      </c>
      <c r="O547" t="s">
        <v>26</v>
      </c>
      <c r="P547">
        <v>18.95</v>
      </c>
      <c r="R547">
        <v>18.95</v>
      </c>
      <c r="S547">
        <v>28.43</v>
      </c>
      <c r="T547" t="s">
        <v>3127</v>
      </c>
    </row>
    <row r="548" spans="1:20">
      <c r="A548">
        <v>547534</v>
      </c>
      <c r="B548" t="s">
        <v>3128</v>
      </c>
      <c r="C548" t="str">
        <f>"9781550548433"</f>
        <v>9781550548433</v>
      </c>
      <c r="D548" t="str">
        <f>"9781926685342"</f>
        <v>9781926685342</v>
      </c>
      <c r="E548" t="s">
        <v>3030</v>
      </c>
      <c r="F548" t="s">
        <v>3030</v>
      </c>
      <c r="G548" s="1">
        <v>39995</v>
      </c>
      <c r="J548" t="s">
        <v>3129</v>
      </c>
      <c r="K548" t="s">
        <v>1150</v>
      </c>
      <c r="L548" t="s">
        <v>3130</v>
      </c>
      <c r="M548">
        <v>796.96199999999999</v>
      </c>
      <c r="N548" t="s">
        <v>3131</v>
      </c>
      <c r="O548" t="s">
        <v>26</v>
      </c>
      <c r="P548">
        <v>7.95</v>
      </c>
      <c r="R548">
        <v>7.95</v>
      </c>
      <c r="S548">
        <v>11.93</v>
      </c>
      <c r="T548" t="s">
        <v>3132</v>
      </c>
    </row>
    <row r="549" spans="1:20">
      <c r="A549">
        <v>547535</v>
      </c>
      <c r="B549" t="s">
        <v>3133</v>
      </c>
      <c r="C549" t="str">
        <f>"9781553651192"</f>
        <v>9781553651192</v>
      </c>
      <c r="D549" t="str">
        <f>"9781926685434"</f>
        <v>9781926685434</v>
      </c>
      <c r="E549" t="s">
        <v>3030</v>
      </c>
      <c r="F549" t="s">
        <v>3030</v>
      </c>
      <c r="G549" s="1">
        <v>39995</v>
      </c>
      <c r="J549" t="s">
        <v>3129</v>
      </c>
      <c r="K549" t="s">
        <v>1150</v>
      </c>
      <c r="L549" t="s">
        <v>3134</v>
      </c>
      <c r="M549">
        <v>796.96199999999999</v>
      </c>
      <c r="N549" t="s">
        <v>3135</v>
      </c>
      <c r="O549" t="s">
        <v>26</v>
      </c>
      <c r="P549">
        <v>14.95</v>
      </c>
      <c r="R549">
        <v>14.95</v>
      </c>
      <c r="S549">
        <v>22.43</v>
      </c>
      <c r="T549" t="s">
        <v>3136</v>
      </c>
    </row>
    <row r="550" spans="1:20">
      <c r="A550">
        <v>557372</v>
      </c>
      <c r="B550" t="s">
        <v>3137</v>
      </c>
      <c r="C550" t="str">
        <f>"9781553652748"</f>
        <v>9781553652748</v>
      </c>
      <c r="D550" t="str">
        <f>"9781926685243"</f>
        <v>9781926685243</v>
      </c>
      <c r="E550" t="s">
        <v>3030</v>
      </c>
      <c r="F550" t="s">
        <v>3030</v>
      </c>
      <c r="G550" s="1">
        <v>39995</v>
      </c>
      <c r="J550" t="s">
        <v>3138</v>
      </c>
      <c r="K550" t="s">
        <v>1150</v>
      </c>
      <c r="L550" t="s">
        <v>3139</v>
      </c>
      <c r="M550">
        <v>796.96263999999996</v>
      </c>
      <c r="N550" t="s">
        <v>3140</v>
      </c>
      <c r="O550" t="s">
        <v>26</v>
      </c>
      <c r="P550">
        <v>15.95</v>
      </c>
      <c r="R550">
        <v>15.95</v>
      </c>
      <c r="S550">
        <v>23.93</v>
      </c>
      <c r="T550" t="s">
        <v>3141</v>
      </c>
    </row>
    <row r="551" spans="1:20">
      <c r="A551">
        <v>557373</v>
      </c>
      <c r="B551" t="s">
        <v>3142</v>
      </c>
      <c r="C551" t="str">
        <f>"9781550548600"</f>
        <v>9781550548600</v>
      </c>
      <c r="D551" t="str">
        <f>"9781926685427"</f>
        <v>9781926685427</v>
      </c>
      <c r="E551" t="s">
        <v>3030</v>
      </c>
      <c r="F551" t="s">
        <v>3030</v>
      </c>
      <c r="G551" s="1">
        <v>39995</v>
      </c>
      <c r="J551" t="s">
        <v>3138</v>
      </c>
      <c r="K551" t="s">
        <v>1150</v>
      </c>
      <c r="L551" t="s">
        <v>3143</v>
      </c>
      <c r="M551" t="s">
        <v>3144</v>
      </c>
      <c r="N551" t="s">
        <v>3145</v>
      </c>
      <c r="O551" t="s">
        <v>26</v>
      </c>
      <c r="P551">
        <v>9.9499999999999993</v>
      </c>
      <c r="R551">
        <v>9.9499999999999993</v>
      </c>
      <c r="S551">
        <v>14.93</v>
      </c>
      <c r="T551" t="s">
        <v>3146</v>
      </c>
    </row>
    <row r="552" spans="1:20">
      <c r="A552">
        <v>557374</v>
      </c>
      <c r="B552" t="s">
        <v>3147</v>
      </c>
      <c r="C552" t="str">
        <f>"9781553652939"</f>
        <v>9781553652939</v>
      </c>
      <c r="D552" t="str">
        <f>"9781926685144"</f>
        <v>9781926685144</v>
      </c>
      <c r="E552" t="s">
        <v>3030</v>
      </c>
      <c r="F552" t="s">
        <v>3030</v>
      </c>
      <c r="G552" s="1">
        <v>39995</v>
      </c>
      <c r="J552" t="s">
        <v>3148</v>
      </c>
      <c r="K552" t="s">
        <v>3149</v>
      </c>
      <c r="L552" t="s">
        <v>3150</v>
      </c>
      <c r="M552">
        <v>363.70524999999998</v>
      </c>
      <c r="N552" t="s">
        <v>3151</v>
      </c>
      <c r="O552" t="s">
        <v>26</v>
      </c>
      <c r="P552">
        <v>14.95</v>
      </c>
      <c r="R552">
        <v>14.95</v>
      </c>
      <c r="S552">
        <v>22.43</v>
      </c>
      <c r="T552" t="s">
        <v>3152</v>
      </c>
    </row>
    <row r="553" spans="1:20">
      <c r="A553">
        <v>557377</v>
      </c>
      <c r="B553" t="s">
        <v>3153</v>
      </c>
      <c r="C553" t="str">
        <f>"9781550549263"</f>
        <v>9781550549263</v>
      </c>
      <c r="D553" t="str">
        <f>"9781926685212"</f>
        <v>9781926685212</v>
      </c>
      <c r="E553" t="s">
        <v>3030</v>
      </c>
      <c r="F553" t="s">
        <v>3030</v>
      </c>
      <c r="G553" s="1">
        <v>39995</v>
      </c>
      <c r="J553" t="s">
        <v>3154</v>
      </c>
      <c r="K553" t="s">
        <v>330</v>
      </c>
      <c r="L553" t="s">
        <v>3155</v>
      </c>
      <c r="M553" t="s">
        <v>3156</v>
      </c>
      <c r="N553" t="s">
        <v>3157</v>
      </c>
      <c r="O553" t="s">
        <v>26</v>
      </c>
      <c r="P553">
        <v>16</v>
      </c>
      <c r="R553">
        <v>16</v>
      </c>
      <c r="S553">
        <v>24</v>
      </c>
      <c r="T553" t="s">
        <v>3158</v>
      </c>
    </row>
    <row r="554" spans="1:20">
      <c r="A554">
        <v>557378</v>
      </c>
      <c r="B554" t="s">
        <v>3159</v>
      </c>
      <c r="C554" t="str">
        <f>"9781553650317"</f>
        <v>9781553650317</v>
      </c>
      <c r="D554" t="str">
        <f>"9781926685199"</f>
        <v>9781926685199</v>
      </c>
      <c r="E554" t="s">
        <v>3030</v>
      </c>
      <c r="F554" t="s">
        <v>3030</v>
      </c>
      <c r="G554" s="1">
        <v>39995</v>
      </c>
      <c r="J554" t="s">
        <v>3154</v>
      </c>
      <c r="K554" t="s">
        <v>2154</v>
      </c>
      <c r="L554" t="s">
        <v>3160</v>
      </c>
      <c r="M554" t="s">
        <v>2156</v>
      </c>
      <c r="N554" t="s">
        <v>3161</v>
      </c>
      <c r="O554" t="s">
        <v>26</v>
      </c>
      <c r="P554">
        <v>14</v>
      </c>
      <c r="R554">
        <v>14</v>
      </c>
      <c r="S554">
        <v>21</v>
      </c>
      <c r="T554" t="s">
        <v>3162</v>
      </c>
    </row>
    <row r="555" spans="1:20">
      <c r="A555">
        <v>557382</v>
      </c>
      <c r="B555" t="s">
        <v>3163</v>
      </c>
      <c r="C555" t="str">
        <f>"9781553651260"</f>
        <v>9781553651260</v>
      </c>
      <c r="D555" t="str">
        <f>"9781926685533"</f>
        <v>9781926685533</v>
      </c>
      <c r="E555" t="s">
        <v>3030</v>
      </c>
      <c r="F555" t="s">
        <v>3030</v>
      </c>
      <c r="G555" s="1">
        <v>39995</v>
      </c>
      <c r="J555" t="s">
        <v>3164</v>
      </c>
      <c r="K555" t="s">
        <v>57</v>
      </c>
      <c r="L555" t="s">
        <v>3165</v>
      </c>
      <c r="M555">
        <v>582.16</v>
      </c>
      <c r="N555" t="s">
        <v>3166</v>
      </c>
      <c r="O555" t="s">
        <v>26</v>
      </c>
      <c r="P555">
        <v>14</v>
      </c>
      <c r="R555">
        <v>14</v>
      </c>
      <c r="S555">
        <v>21</v>
      </c>
      <c r="T555" t="s">
        <v>3167</v>
      </c>
    </row>
    <row r="556" spans="1:20">
      <c r="A556">
        <v>557387</v>
      </c>
      <c r="B556" t="s">
        <v>3168</v>
      </c>
      <c r="C556" t="str">
        <f>"9781553654858"</f>
        <v>9781553654858</v>
      </c>
      <c r="D556" t="str">
        <f>"9781926706771"</f>
        <v>9781926706771</v>
      </c>
      <c r="E556" t="s">
        <v>3030</v>
      </c>
      <c r="F556" t="s">
        <v>3030</v>
      </c>
      <c r="G556" s="1">
        <v>40148</v>
      </c>
      <c r="J556" t="s">
        <v>3169</v>
      </c>
      <c r="K556" t="s">
        <v>3170</v>
      </c>
      <c r="L556" t="s">
        <v>3171</v>
      </c>
      <c r="M556">
        <v>363.73874000000001</v>
      </c>
      <c r="N556" t="s">
        <v>3172</v>
      </c>
      <c r="O556" t="s">
        <v>26</v>
      </c>
      <c r="P556">
        <v>11.99</v>
      </c>
      <c r="R556">
        <v>11.99</v>
      </c>
      <c r="S556">
        <v>17.989999999999998</v>
      </c>
      <c r="T556" t="s">
        <v>3173</v>
      </c>
    </row>
    <row r="557" spans="1:20">
      <c r="A557">
        <v>557396</v>
      </c>
      <c r="B557" t="s">
        <v>3174</v>
      </c>
      <c r="C557" t="str">
        <f>"9781553653974"</f>
        <v>9781553653974</v>
      </c>
      <c r="D557" t="str">
        <f>"9781926685441"</f>
        <v>9781926685441</v>
      </c>
      <c r="E557" t="s">
        <v>3030</v>
      </c>
      <c r="F557" t="s">
        <v>3030</v>
      </c>
      <c r="G557" s="1">
        <v>39934</v>
      </c>
      <c r="J557" t="s">
        <v>3175</v>
      </c>
      <c r="K557" t="s">
        <v>3176</v>
      </c>
      <c r="L557" t="s">
        <v>3177</v>
      </c>
      <c r="M557" t="s">
        <v>3178</v>
      </c>
      <c r="N557" t="s">
        <v>3179</v>
      </c>
      <c r="O557" t="s">
        <v>26</v>
      </c>
      <c r="P557">
        <v>15.95</v>
      </c>
      <c r="R557">
        <v>15.95</v>
      </c>
      <c r="S557">
        <v>23.93</v>
      </c>
      <c r="T557" t="s">
        <v>3180</v>
      </c>
    </row>
    <row r="558" spans="1:20">
      <c r="A558">
        <v>557397</v>
      </c>
      <c r="B558" t="s">
        <v>3181</v>
      </c>
      <c r="C558" t="str">
        <f>"9781553651581"</f>
        <v>9781553651581</v>
      </c>
      <c r="D558" t="str">
        <f>"9781926685298"</f>
        <v>9781926685298</v>
      </c>
      <c r="E558" t="s">
        <v>3030</v>
      </c>
      <c r="F558" t="s">
        <v>3030</v>
      </c>
      <c r="G558" s="1">
        <v>39995</v>
      </c>
      <c r="J558" t="s">
        <v>3182</v>
      </c>
      <c r="K558" t="s">
        <v>1150</v>
      </c>
      <c r="L558" t="s">
        <v>3183</v>
      </c>
      <c r="M558">
        <v>796.42520000000002</v>
      </c>
      <c r="N558" t="s">
        <v>3184</v>
      </c>
      <c r="O558" t="s">
        <v>26</v>
      </c>
      <c r="P558">
        <v>14</v>
      </c>
      <c r="R558">
        <v>14</v>
      </c>
      <c r="S558">
        <v>21</v>
      </c>
      <c r="T558" t="s">
        <v>3185</v>
      </c>
    </row>
    <row r="559" spans="1:20">
      <c r="A559">
        <v>557398</v>
      </c>
      <c r="B559" t="s">
        <v>3186</v>
      </c>
      <c r="C559" t="str">
        <f>"9781553652199"</f>
        <v>9781553652199</v>
      </c>
      <c r="D559" t="str">
        <f>"9781926685557"</f>
        <v>9781926685557</v>
      </c>
      <c r="E559" t="s">
        <v>3030</v>
      </c>
      <c r="F559" t="s">
        <v>3030</v>
      </c>
      <c r="G559" s="1">
        <v>39995</v>
      </c>
      <c r="J559" t="s">
        <v>3187</v>
      </c>
      <c r="K559" t="s">
        <v>1082</v>
      </c>
      <c r="L559" t="s">
        <v>3188</v>
      </c>
      <c r="M559">
        <v>613.71759999999995</v>
      </c>
      <c r="N559" t="s">
        <v>3189</v>
      </c>
      <c r="O559" t="s">
        <v>26</v>
      </c>
      <c r="P559">
        <v>12.95</v>
      </c>
      <c r="R559">
        <v>12.95</v>
      </c>
      <c r="S559">
        <v>19.43</v>
      </c>
      <c r="T559" t="s">
        <v>3190</v>
      </c>
    </row>
    <row r="560" spans="1:20">
      <c r="A560">
        <v>557401</v>
      </c>
      <c r="B560" t="s">
        <v>3191</v>
      </c>
      <c r="C560" t="str">
        <f>"9781553654377"</f>
        <v>9781553654377</v>
      </c>
      <c r="D560" t="str">
        <f>"9781926685410"</f>
        <v>9781926685410</v>
      </c>
      <c r="E560" t="s">
        <v>3030</v>
      </c>
      <c r="F560" t="s">
        <v>3030</v>
      </c>
      <c r="G560" s="1">
        <v>39995</v>
      </c>
      <c r="J560" t="s">
        <v>3192</v>
      </c>
      <c r="K560" t="s">
        <v>263</v>
      </c>
      <c r="L560" t="s">
        <v>3193</v>
      </c>
      <c r="M560">
        <v>305.23500000000001</v>
      </c>
      <c r="N560" t="s">
        <v>3194</v>
      </c>
      <c r="O560" t="s">
        <v>26</v>
      </c>
      <c r="P560">
        <v>12.95</v>
      </c>
      <c r="R560">
        <v>12.95</v>
      </c>
      <c r="S560">
        <v>19.43</v>
      </c>
      <c r="T560" t="s">
        <v>3195</v>
      </c>
    </row>
    <row r="561" spans="1:20">
      <c r="A561">
        <v>557402</v>
      </c>
      <c r="B561" t="s">
        <v>3196</v>
      </c>
      <c r="C561" t="str">
        <f>"9781553651222"</f>
        <v>9781553651222</v>
      </c>
      <c r="D561" t="str">
        <f>"9781926685519"</f>
        <v>9781926685519</v>
      </c>
      <c r="E561" t="s">
        <v>3030</v>
      </c>
      <c r="F561" t="s">
        <v>3030</v>
      </c>
      <c r="G561" s="1">
        <v>39995</v>
      </c>
      <c r="J561" t="s">
        <v>3197</v>
      </c>
      <c r="K561" t="s">
        <v>1150</v>
      </c>
      <c r="L561" t="s">
        <v>3198</v>
      </c>
      <c r="M561" t="s">
        <v>3199</v>
      </c>
      <c r="N561" t="s">
        <v>3200</v>
      </c>
      <c r="O561" t="s">
        <v>26</v>
      </c>
      <c r="P561">
        <v>12.95</v>
      </c>
      <c r="R561">
        <v>12.95</v>
      </c>
      <c r="S561">
        <v>19.43</v>
      </c>
      <c r="T561" t="s">
        <v>3201</v>
      </c>
    </row>
    <row r="562" spans="1:20">
      <c r="A562">
        <v>557405</v>
      </c>
      <c r="B562" t="s">
        <v>3202</v>
      </c>
      <c r="C562" t="str">
        <f>"9781553653752"</f>
        <v>9781553653752</v>
      </c>
      <c r="D562" t="str">
        <f>"9781926685052"</f>
        <v>9781926685052</v>
      </c>
      <c r="E562" t="s">
        <v>3030</v>
      </c>
      <c r="F562" t="s">
        <v>3030</v>
      </c>
      <c r="G562" s="1">
        <v>39995</v>
      </c>
      <c r="J562" t="s">
        <v>3203</v>
      </c>
      <c r="K562" t="s">
        <v>3176</v>
      </c>
      <c r="L562" t="s">
        <v>3204</v>
      </c>
      <c r="M562">
        <v>304.2</v>
      </c>
      <c r="N562" t="s">
        <v>3205</v>
      </c>
      <c r="O562" t="s">
        <v>26</v>
      </c>
      <c r="P562">
        <v>16</v>
      </c>
      <c r="R562">
        <v>16</v>
      </c>
      <c r="S562">
        <v>24</v>
      </c>
      <c r="T562" t="s">
        <v>3206</v>
      </c>
    </row>
    <row r="563" spans="1:20">
      <c r="A563">
        <v>557421</v>
      </c>
      <c r="B563" t="s">
        <v>3207</v>
      </c>
      <c r="C563" t="str">
        <f>"9781553651109"</f>
        <v>9781553651109</v>
      </c>
      <c r="D563" t="str">
        <f>"9781926685786"</f>
        <v>9781926685786</v>
      </c>
      <c r="E563" t="s">
        <v>3092</v>
      </c>
      <c r="F563" t="s">
        <v>3093</v>
      </c>
      <c r="G563" s="1">
        <v>39995</v>
      </c>
      <c r="J563" t="s">
        <v>3208</v>
      </c>
      <c r="K563" t="s">
        <v>1471</v>
      </c>
      <c r="L563" t="s">
        <v>3209</v>
      </c>
      <c r="M563">
        <v>759.11</v>
      </c>
      <c r="N563" t="s">
        <v>3210</v>
      </c>
      <c r="O563" t="s">
        <v>26</v>
      </c>
      <c r="P563">
        <v>15.95</v>
      </c>
      <c r="R563">
        <v>15.95</v>
      </c>
      <c r="S563">
        <v>23.93</v>
      </c>
      <c r="T563" t="s">
        <v>3211</v>
      </c>
    </row>
    <row r="564" spans="1:20">
      <c r="A564">
        <v>557422</v>
      </c>
      <c r="B564" t="s">
        <v>3212</v>
      </c>
      <c r="C564" t="str">
        <f>"9781553650843"</f>
        <v>9781553650843</v>
      </c>
      <c r="D564" t="str">
        <f>"9781926685823"</f>
        <v>9781926685823</v>
      </c>
      <c r="E564" t="s">
        <v>3092</v>
      </c>
      <c r="F564" t="s">
        <v>3093</v>
      </c>
      <c r="G564" s="1">
        <v>39995</v>
      </c>
      <c r="J564" t="s">
        <v>3213</v>
      </c>
      <c r="K564" t="s">
        <v>2073</v>
      </c>
      <c r="L564" t="s">
        <v>3214</v>
      </c>
      <c r="M564" t="s">
        <v>3215</v>
      </c>
      <c r="N564" t="s">
        <v>3216</v>
      </c>
      <c r="O564" t="s">
        <v>26</v>
      </c>
      <c r="P564">
        <v>9.99</v>
      </c>
      <c r="R564">
        <v>9.99</v>
      </c>
      <c r="S564">
        <v>14.99</v>
      </c>
      <c r="T564" t="s">
        <v>3217</v>
      </c>
    </row>
    <row r="565" spans="1:20">
      <c r="A565">
        <v>557424</v>
      </c>
      <c r="B565" t="s">
        <v>3218</v>
      </c>
      <c r="C565" t="str">
        <f>"9781553652564"</f>
        <v>9781553652564</v>
      </c>
      <c r="D565" t="str">
        <f>"9781926685090"</f>
        <v>9781926685090</v>
      </c>
      <c r="E565" t="s">
        <v>3030</v>
      </c>
      <c r="F565" t="s">
        <v>3030</v>
      </c>
      <c r="G565" s="1">
        <v>39934</v>
      </c>
      <c r="J565" t="s">
        <v>3067</v>
      </c>
      <c r="K565" t="s">
        <v>3219</v>
      </c>
      <c r="L565" t="s">
        <v>3220</v>
      </c>
      <c r="M565">
        <v>917.1</v>
      </c>
      <c r="N565" t="s">
        <v>3221</v>
      </c>
      <c r="O565" t="s">
        <v>26</v>
      </c>
      <c r="P565">
        <v>18.95</v>
      </c>
      <c r="R565">
        <v>18.95</v>
      </c>
      <c r="S565">
        <v>28.43</v>
      </c>
      <c r="T565" t="s">
        <v>3222</v>
      </c>
    </row>
    <row r="566" spans="1:20">
      <c r="A566">
        <v>557425</v>
      </c>
      <c r="B566" t="s">
        <v>3223</v>
      </c>
      <c r="C566" t="str">
        <f>"9781553652403"</f>
        <v>9781553652403</v>
      </c>
      <c r="D566" t="str">
        <f>"9781926685564"</f>
        <v>9781926685564</v>
      </c>
      <c r="E566" t="s">
        <v>3030</v>
      </c>
      <c r="F566" t="s">
        <v>3030</v>
      </c>
      <c r="G566" s="1">
        <v>39995</v>
      </c>
      <c r="J566" t="s">
        <v>3224</v>
      </c>
      <c r="K566" t="s">
        <v>2963</v>
      </c>
      <c r="L566" t="s">
        <v>3225</v>
      </c>
      <c r="M566">
        <v>914.61048300000004</v>
      </c>
      <c r="N566" t="s">
        <v>3226</v>
      </c>
      <c r="O566" t="s">
        <v>26</v>
      </c>
      <c r="P566">
        <v>14</v>
      </c>
      <c r="R566">
        <v>14</v>
      </c>
      <c r="S566">
        <v>21</v>
      </c>
      <c r="T566" t="s">
        <v>3227</v>
      </c>
    </row>
    <row r="567" spans="1:20">
      <c r="A567">
        <v>557428</v>
      </c>
      <c r="B567" t="s">
        <v>3228</v>
      </c>
      <c r="C567" t="str">
        <f>"9781553650713"</f>
        <v>9781553650713</v>
      </c>
      <c r="D567" t="str">
        <f>"9781926685601"</f>
        <v>9781926685601</v>
      </c>
      <c r="E567" t="s">
        <v>3092</v>
      </c>
      <c r="F567" t="s">
        <v>3093</v>
      </c>
      <c r="G567" s="1">
        <v>39995</v>
      </c>
      <c r="J567" t="s">
        <v>3229</v>
      </c>
      <c r="K567" t="s">
        <v>3230</v>
      </c>
      <c r="L567" t="s">
        <v>3231</v>
      </c>
      <c r="M567">
        <v>910.45</v>
      </c>
      <c r="N567" t="s">
        <v>3232</v>
      </c>
      <c r="O567" t="s">
        <v>26</v>
      </c>
      <c r="P567">
        <v>20</v>
      </c>
      <c r="R567">
        <v>20</v>
      </c>
      <c r="S567">
        <v>30</v>
      </c>
      <c r="T567" t="s">
        <v>3233</v>
      </c>
    </row>
    <row r="568" spans="1:20">
      <c r="A568">
        <v>557429</v>
      </c>
      <c r="B568" t="s">
        <v>3234</v>
      </c>
      <c r="C568" t="str">
        <f>"9781550549768"</f>
        <v>9781550549768</v>
      </c>
      <c r="D568" t="str">
        <f>"9781926685366"</f>
        <v>9781926685366</v>
      </c>
      <c r="E568" t="s">
        <v>3030</v>
      </c>
      <c r="F568" t="s">
        <v>3030</v>
      </c>
      <c r="G568" s="1">
        <v>39995</v>
      </c>
      <c r="H568">
        <v>5</v>
      </c>
      <c r="J568" t="s">
        <v>3235</v>
      </c>
      <c r="K568" t="s">
        <v>1150</v>
      </c>
      <c r="L568" t="s">
        <v>3236</v>
      </c>
      <c r="M568" t="s">
        <v>3237</v>
      </c>
      <c r="N568" t="s">
        <v>3238</v>
      </c>
      <c r="O568" t="s">
        <v>26</v>
      </c>
      <c r="P568">
        <v>14.95</v>
      </c>
      <c r="R568">
        <v>14.95</v>
      </c>
      <c r="S568">
        <v>22.43</v>
      </c>
      <c r="T568" t="s">
        <v>3239</v>
      </c>
    </row>
    <row r="569" spans="1:20">
      <c r="A569">
        <v>557436</v>
      </c>
      <c r="B569" t="s">
        <v>3240</v>
      </c>
      <c r="C569" t="str">
        <f>"9781553651420"</f>
        <v>9781553651420</v>
      </c>
      <c r="D569" t="str">
        <f>"9781926685595"</f>
        <v>9781926685595</v>
      </c>
      <c r="E569" t="s">
        <v>3092</v>
      </c>
      <c r="F569" t="s">
        <v>3093</v>
      </c>
      <c r="G569" s="1">
        <v>39995</v>
      </c>
      <c r="J569" t="s">
        <v>3241</v>
      </c>
      <c r="K569" t="s">
        <v>263</v>
      </c>
      <c r="L569" t="s">
        <v>3242</v>
      </c>
      <c r="M569" t="s">
        <v>3243</v>
      </c>
      <c r="N569" t="s">
        <v>3244</v>
      </c>
      <c r="O569" t="s">
        <v>26</v>
      </c>
      <c r="P569">
        <v>14.95</v>
      </c>
      <c r="R569">
        <v>14.95</v>
      </c>
      <c r="S569">
        <v>22.43</v>
      </c>
      <c r="T569" t="s">
        <v>3245</v>
      </c>
    </row>
    <row r="570" spans="1:20">
      <c r="A570">
        <v>557447</v>
      </c>
      <c r="B570" t="s">
        <v>3246</v>
      </c>
      <c r="C570" t="str">
        <f>"9781553652441"</f>
        <v>9781553652441</v>
      </c>
      <c r="D570" t="str">
        <f>"9781926685120"</f>
        <v>9781926685120</v>
      </c>
      <c r="E570" t="s">
        <v>3030</v>
      </c>
      <c r="F570" t="s">
        <v>3030</v>
      </c>
      <c r="G570" s="1">
        <v>39995</v>
      </c>
      <c r="J570" t="s">
        <v>3075</v>
      </c>
      <c r="K570" t="s">
        <v>1464</v>
      </c>
      <c r="L570" t="s">
        <v>3247</v>
      </c>
      <c r="M570" t="s">
        <v>3248</v>
      </c>
      <c r="N570" t="s">
        <v>3249</v>
      </c>
      <c r="O570" t="s">
        <v>26</v>
      </c>
      <c r="P570">
        <v>22.95</v>
      </c>
      <c r="R570">
        <v>22.95</v>
      </c>
      <c r="S570">
        <v>34.43</v>
      </c>
      <c r="T570" t="s">
        <v>3250</v>
      </c>
    </row>
    <row r="571" spans="1:20">
      <c r="A571">
        <v>557449</v>
      </c>
      <c r="B571" t="s">
        <v>3251</v>
      </c>
      <c r="C571" t="str">
        <f>"9781553653905"</f>
        <v>9781553653905</v>
      </c>
      <c r="D571" t="str">
        <f>"9781926685304"</f>
        <v>9781926685304</v>
      </c>
      <c r="E571" t="s">
        <v>3030</v>
      </c>
      <c r="F571" t="s">
        <v>3030</v>
      </c>
      <c r="G571" s="1">
        <v>40269</v>
      </c>
      <c r="J571" t="s">
        <v>3252</v>
      </c>
      <c r="K571" t="s">
        <v>3253</v>
      </c>
      <c r="L571" t="s">
        <v>3254</v>
      </c>
      <c r="M571">
        <v>640</v>
      </c>
      <c r="N571" t="s">
        <v>3255</v>
      </c>
      <c r="O571" t="s">
        <v>26</v>
      </c>
      <c r="P571">
        <v>14</v>
      </c>
      <c r="R571">
        <v>14</v>
      </c>
      <c r="S571">
        <v>21</v>
      </c>
      <c r="T571" t="s">
        <v>3256</v>
      </c>
    </row>
    <row r="572" spans="1:20">
      <c r="A572">
        <v>557453</v>
      </c>
      <c r="B572" t="s">
        <v>3257</v>
      </c>
      <c r="C572" t="str">
        <f>"9781553654285"</f>
        <v>9781553654285</v>
      </c>
      <c r="D572" t="str">
        <f>"9781926685656"</f>
        <v>9781926685656</v>
      </c>
      <c r="E572" t="s">
        <v>3092</v>
      </c>
      <c r="F572" t="s">
        <v>3093</v>
      </c>
      <c r="G572" s="1">
        <v>39995</v>
      </c>
      <c r="J572" t="s">
        <v>3258</v>
      </c>
      <c r="K572" t="s">
        <v>3219</v>
      </c>
      <c r="L572" t="s">
        <v>3259</v>
      </c>
      <c r="M572" t="s">
        <v>3260</v>
      </c>
      <c r="N572" t="s">
        <v>3261</v>
      </c>
      <c r="O572" t="s">
        <v>26</v>
      </c>
      <c r="P572">
        <v>18.95</v>
      </c>
      <c r="R572">
        <v>18.95</v>
      </c>
      <c r="S572">
        <v>28.43</v>
      </c>
      <c r="T572" t="s">
        <v>3262</v>
      </c>
    </row>
    <row r="573" spans="1:20">
      <c r="A573">
        <v>557459</v>
      </c>
      <c r="B573" t="s">
        <v>3263</v>
      </c>
      <c r="C573" t="str">
        <f>"9781553651987"</f>
        <v>9781553651987</v>
      </c>
      <c r="D573" t="str">
        <f>"9781926685489"</f>
        <v>9781926685489</v>
      </c>
      <c r="E573" t="s">
        <v>3030</v>
      </c>
      <c r="F573" t="s">
        <v>3030</v>
      </c>
      <c r="G573" s="1">
        <v>40914</v>
      </c>
      <c r="J573" t="s">
        <v>1687</v>
      </c>
      <c r="K573" t="s">
        <v>76</v>
      </c>
      <c r="L573" t="s">
        <v>3264</v>
      </c>
      <c r="M573" t="s">
        <v>3265</v>
      </c>
      <c r="N573" t="s">
        <v>3266</v>
      </c>
      <c r="O573" t="s">
        <v>26</v>
      </c>
      <c r="P573">
        <v>14</v>
      </c>
      <c r="R573">
        <v>14</v>
      </c>
      <c r="S573">
        <v>21</v>
      </c>
      <c r="T573" t="s">
        <v>3267</v>
      </c>
    </row>
    <row r="574" spans="1:20">
      <c r="A574">
        <v>557468</v>
      </c>
      <c r="B574" t="s">
        <v>3268</v>
      </c>
      <c r="C574" t="str">
        <f>"9781553650669"</f>
        <v>9781553650669</v>
      </c>
      <c r="D574" t="str">
        <f>"9781926685588"</f>
        <v>9781926685588</v>
      </c>
      <c r="E574" t="s">
        <v>3030</v>
      </c>
      <c r="F574" t="s">
        <v>3030</v>
      </c>
      <c r="G574" s="1">
        <v>39995</v>
      </c>
      <c r="J574" t="s">
        <v>3269</v>
      </c>
      <c r="K574" t="s">
        <v>3270</v>
      </c>
      <c r="L574" t="s">
        <v>3271</v>
      </c>
      <c r="M574">
        <v>305.31</v>
      </c>
      <c r="N574" t="s">
        <v>3272</v>
      </c>
      <c r="O574" t="s">
        <v>26</v>
      </c>
      <c r="P574">
        <v>15.95</v>
      </c>
      <c r="R574">
        <v>15.95</v>
      </c>
      <c r="S574">
        <v>23.93</v>
      </c>
      <c r="T574" t="s">
        <v>3273</v>
      </c>
    </row>
    <row r="575" spans="1:20">
      <c r="A575">
        <v>557469</v>
      </c>
      <c r="B575" t="s">
        <v>3274</v>
      </c>
      <c r="C575" t="str">
        <f>"9781553650645"</f>
        <v>9781553650645</v>
      </c>
      <c r="D575" t="str">
        <f>"9781926685076"</f>
        <v>9781926685076</v>
      </c>
      <c r="E575" t="s">
        <v>3030</v>
      </c>
      <c r="F575" t="s">
        <v>3030</v>
      </c>
      <c r="G575" s="1">
        <v>39934</v>
      </c>
      <c r="J575" t="s">
        <v>3275</v>
      </c>
      <c r="K575" t="s">
        <v>1150</v>
      </c>
      <c r="L575" t="s">
        <v>3276</v>
      </c>
      <c r="M575" t="s">
        <v>3277</v>
      </c>
      <c r="N575" t="s">
        <v>3278</v>
      </c>
      <c r="O575" t="s">
        <v>26</v>
      </c>
      <c r="P575">
        <v>14</v>
      </c>
      <c r="R575">
        <v>14</v>
      </c>
      <c r="S575">
        <v>21</v>
      </c>
      <c r="T575" t="s">
        <v>3279</v>
      </c>
    </row>
    <row r="576" spans="1:20">
      <c r="A576">
        <v>557475</v>
      </c>
      <c r="B576" t="s">
        <v>3280</v>
      </c>
      <c r="C576" t="str">
        <f>"9781553651277"</f>
        <v>9781553651277</v>
      </c>
      <c r="D576" t="str">
        <f>"9781926685403"</f>
        <v>9781926685403</v>
      </c>
      <c r="E576" t="s">
        <v>3030</v>
      </c>
      <c r="F576" t="s">
        <v>3030</v>
      </c>
      <c r="G576" s="1">
        <v>39995</v>
      </c>
      <c r="J576" t="s">
        <v>3281</v>
      </c>
      <c r="K576" t="s">
        <v>305</v>
      </c>
      <c r="L576" t="s">
        <v>3282</v>
      </c>
      <c r="M576" t="s">
        <v>3283</v>
      </c>
      <c r="N576" t="s">
        <v>3284</v>
      </c>
      <c r="O576" t="s">
        <v>26</v>
      </c>
      <c r="P576">
        <v>18.95</v>
      </c>
      <c r="R576">
        <v>18.95</v>
      </c>
      <c r="S576">
        <v>28.43</v>
      </c>
      <c r="T576" t="s">
        <v>3285</v>
      </c>
    </row>
    <row r="577" spans="1:20">
      <c r="A577">
        <v>557494</v>
      </c>
      <c r="B577" t="s">
        <v>3286</v>
      </c>
      <c r="C577" t="str">
        <f>"9781553653271"</f>
        <v>9781553653271</v>
      </c>
      <c r="D577" t="str">
        <f>"9781926685205"</f>
        <v>9781926685205</v>
      </c>
      <c r="E577" t="s">
        <v>3030</v>
      </c>
      <c r="F577" t="s">
        <v>3030</v>
      </c>
      <c r="G577" s="1">
        <v>39995</v>
      </c>
      <c r="I577" t="s">
        <v>3074</v>
      </c>
      <c r="J577" t="s">
        <v>3287</v>
      </c>
      <c r="K577" t="s">
        <v>1464</v>
      </c>
      <c r="L577" t="s">
        <v>3288</v>
      </c>
      <c r="M577">
        <v>808.84936400000004</v>
      </c>
      <c r="N577" t="s">
        <v>3289</v>
      </c>
      <c r="O577" t="s">
        <v>26</v>
      </c>
      <c r="P577">
        <v>22.95</v>
      </c>
      <c r="R577">
        <v>22.95</v>
      </c>
      <c r="S577">
        <v>34.43</v>
      </c>
      <c r="T577" t="s">
        <v>3290</v>
      </c>
    </row>
    <row r="578" spans="1:20">
      <c r="A578">
        <v>557499</v>
      </c>
      <c r="B578" t="s">
        <v>3291</v>
      </c>
      <c r="C578" t="str">
        <f>"9781553651666"</f>
        <v>9781553651666</v>
      </c>
      <c r="D578" t="str">
        <f>"9781926685496"</f>
        <v>9781926685496</v>
      </c>
      <c r="E578" t="s">
        <v>3030</v>
      </c>
      <c r="F578" t="s">
        <v>3030</v>
      </c>
      <c r="G578" s="1">
        <v>39934</v>
      </c>
      <c r="J578" t="s">
        <v>3292</v>
      </c>
      <c r="K578" t="s">
        <v>2154</v>
      </c>
      <c r="L578" t="s">
        <v>3293</v>
      </c>
      <c r="M578">
        <v>304.2</v>
      </c>
      <c r="N578" t="s">
        <v>3294</v>
      </c>
      <c r="O578" t="s">
        <v>26</v>
      </c>
      <c r="P578">
        <v>14.95</v>
      </c>
      <c r="R578">
        <v>14.95</v>
      </c>
      <c r="S578">
        <v>22.43</v>
      </c>
      <c r="T578" t="s">
        <v>3295</v>
      </c>
    </row>
    <row r="579" spans="1:20">
      <c r="A579">
        <v>557500</v>
      </c>
      <c r="B579" t="s">
        <v>3296</v>
      </c>
      <c r="C579" t="str">
        <f>"9781553652816"</f>
        <v>9781553652816</v>
      </c>
      <c r="D579" t="str">
        <f>"9781926685137"</f>
        <v>9781926685137</v>
      </c>
      <c r="E579" t="s">
        <v>3030</v>
      </c>
      <c r="F579" t="s">
        <v>3030</v>
      </c>
      <c r="G579" s="1">
        <v>39995</v>
      </c>
      <c r="J579" t="s">
        <v>3292</v>
      </c>
      <c r="K579" t="s">
        <v>727</v>
      </c>
      <c r="L579" t="s">
        <v>3297</v>
      </c>
      <c r="M579" t="s">
        <v>3298</v>
      </c>
      <c r="N579" t="s">
        <v>3299</v>
      </c>
      <c r="O579" t="s">
        <v>26</v>
      </c>
      <c r="P579">
        <v>14.95</v>
      </c>
      <c r="R579">
        <v>14.95</v>
      </c>
      <c r="S579">
        <v>22.43</v>
      </c>
      <c r="T579" t="s">
        <v>3300</v>
      </c>
    </row>
    <row r="580" spans="1:20">
      <c r="A580">
        <v>557504</v>
      </c>
      <c r="B580" t="s">
        <v>3301</v>
      </c>
      <c r="C580" t="str">
        <f>"9781553650355"</f>
        <v>9781553650355</v>
      </c>
      <c r="D580" t="str">
        <f>"9781926685069"</f>
        <v>9781926685069</v>
      </c>
      <c r="E580" t="s">
        <v>3030</v>
      </c>
      <c r="F580" t="s">
        <v>3030</v>
      </c>
      <c r="G580" s="1">
        <v>39995</v>
      </c>
      <c r="J580" t="s">
        <v>3302</v>
      </c>
      <c r="K580" t="s">
        <v>179</v>
      </c>
      <c r="L580" t="s">
        <v>3303</v>
      </c>
      <c r="M580" t="s">
        <v>3304</v>
      </c>
      <c r="N580" t="s">
        <v>3305</v>
      </c>
      <c r="O580" t="s">
        <v>26</v>
      </c>
      <c r="P580">
        <v>15</v>
      </c>
      <c r="R580">
        <v>15</v>
      </c>
      <c r="S580">
        <v>22.5</v>
      </c>
      <c r="T580" t="s">
        <v>3306</v>
      </c>
    </row>
    <row r="581" spans="1:20">
      <c r="A581">
        <v>557511</v>
      </c>
      <c r="B581" t="s">
        <v>3307</v>
      </c>
      <c r="C581" t="str">
        <f>"9781553652700"</f>
        <v>9781553652700</v>
      </c>
      <c r="D581" t="str">
        <f>"9781926685014"</f>
        <v>9781926685014</v>
      </c>
      <c r="E581" t="s">
        <v>3030</v>
      </c>
      <c r="F581" t="s">
        <v>3030</v>
      </c>
      <c r="G581" s="1">
        <v>39873</v>
      </c>
      <c r="J581" t="s">
        <v>3124</v>
      </c>
      <c r="K581" t="s">
        <v>3308</v>
      </c>
      <c r="L581" t="s">
        <v>3309</v>
      </c>
      <c r="M581">
        <v>614.55999999999995</v>
      </c>
      <c r="N581" t="s">
        <v>3310</v>
      </c>
      <c r="O581" t="s">
        <v>26</v>
      </c>
      <c r="P581">
        <v>14.95</v>
      </c>
      <c r="R581">
        <v>14.95</v>
      </c>
      <c r="S581">
        <v>22.43</v>
      </c>
      <c r="T581" t="s">
        <v>3311</v>
      </c>
    </row>
    <row r="582" spans="1:20">
      <c r="A582">
        <v>557512</v>
      </c>
      <c r="B582" t="s">
        <v>3312</v>
      </c>
      <c r="C582" t="str">
        <f>"9781553652038"</f>
        <v>9781553652038</v>
      </c>
      <c r="D582" t="str">
        <f>"9781926685373"</f>
        <v>9781926685373</v>
      </c>
      <c r="E582" t="s">
        <v>3030</v>
      </c>
      <c r="F582" t="s">
        <v>3030</v>
      </c>
      <c r="G582" s="1">
        <v>39995</v>
      </c>
      <c r="J582" t="s">
        <v>3129</v>
      </c>
      <c r="K582" t="s">
        <v>1150</v>
      </c>
      <c r="L582" t="s">
        <v>3313</v>
      </c>
      <c r="M582">
        <v>796.96199999999999</v>
      </c>
      <c r="N582" t="s">
        <v>3135</v>
      </c>
      <c r="O582" t="s">
        <v>26</v>
      </c>
      <c r="P582">
        <v>8.9499999999999993</v>
      </c>
      <c r="R582">
        <v>8.9499999999999993</v>
      </c>
      <c r="S582">
        <v>13.43</v>
      </c>
      <c r="T582" t="s">
        <v>3314</v>
      </c>
    </row>
    <row r="583" spans="1:20">
      <c r="A583">
        <v>557513</v>
      </c>
      <c r="B583" t="s">
        <v>3315</v>
      </c>
      <c r="C583" t="str">
        <f>"9781553653288"</f>
        <v>9781553653288</v>
      </c>
      <c r="D583" t="str">
        <f>"9781926685113"</f>
        <v>9781926685113</v>
      </c>
      <c r="E583" t="s">
        <v>3030</v>
      </c>
      <c r="F583" t="s">
        <v>3030</v>
      </c>
      <c r="G583" s="1">
        <v>39995</v>
      </c>
      <c r="J583" t="s">
        <v>3129</v>
      </c>
      <c r="K583" t="s">
        <v>1150</v>
      </c>
      <c r="L583" t="s">
        <v>3316</v>
      </c>
      <c r="M583">
        <v>796.96199999999999</v>
      </c>
      <c r="N583" t="s">
        <v>3135</v>
      </c>
      <c r="O583" t="s">
        <v>26</v>
      </c>
      <c r="P583">
        <v>8.9499999999999993</v>
      </c>
      <c r="R583">
        <v>8.9499999999999993</v>
      </c>
      <c r="S583">
        <v>13.43</v>
      </c>
      <c r="T583" t="s">
        <v>3317</v>
      </c>
    </row>
    <row r="584" spans="1:20">
      <c r="A584">
        <v>557514</v>
      </c>
      <c r="B584" t="s">
        <v>3318</v>
      </c>
      <c r="C584" t="str">
        <f>"9781553650614"</f>
        <v>9781553650614</v>
      </c>
      <c r="D584" t="str">
        <f>"9781926685229"</f>
        <v>9781926685229</v>
      </c>
      <c r="E584" t="s">
        <v>3030</v>
      </c>
      <c r="F584" t="s">
        <v>3030</v>
      </c>
      <c r="G584" s="1">
        <v>39995</v>
      </c>
      <c r="J584" t="s">
        <v>3129</v>
      </c>
      <c r="K584" t="s">
        <v>1150</v>
      </c>
      <c r="L584" t="s">
        <v>3319</v>
      </c>
      <c r="M584">
        <v>796.96199999999999</v>
      </c>
      <c r="N584" t="s">
        <v>3131</v>
      </c>
      <c r="O584" t="s">
        <v>26</v>
      </c>
      <c r="P584">
        <v>8.9499999999999993</v>
      </c>
      <c r="R584">
        <v>8.9499999999999993</v>
      </c>
      <c r="S584">
        <v>13.43</v>
      </c>
      <c r="T584" t="s">
        <v>3320</v>
      </c>
    </row>
    <row r="585" spans="1:20">
      <c r="A585">
        <v>557521</v>
      </c>
      <c r="B585" t="s">
        <v>3321</v>
      </c>
      <c r="C585" t="str">
        <f>"9781553650911"</f>
        <v>9781553650911</v>
      </c>
      <c r="D585" t="str">
        <f>"9781926685700"</f>
        <v>9781926685700</v>
      </c>
      <c r="E585" t="s">
        <v>3092</v>
      </c>
      <c r="F585" t="s">
        <v>3093</v>
      </c>
      <c r="G585" s="1">
        <v>39995</v>
      </c>
      <c r="J585" t="s">
        <v>3322</v>
      </c>
      <c r="K585" t="s">
        <v>291</v>
      </c>
      <c r="L585" t="s">
        <v>3323</v>
      </c>
      <c r="M585">
        <v>940.54214210922703</v>
      </c>
      <c r="N585" t="s">
        <v>3324</v>
      </c>
      <c r="O585" t="s">
        <v>26</v>
      </c>
      <c r="P585">
        <v>19.95</v>
      </c>
      <c r="R585">
        <v>19.95</v>
      </c>
      <c r="S585">
        <v>29.93</v>
      </c>
      <c r="T585" t="s">
        <v>3325</v>
      </c>
    </row>
    <row r="586" spans="1:20">
      <c r="A586">
        <v>557522</v>
      </c>
      <c r="B586" t="s">
        <v>3326</v>
      </c>
      <c r="C586" t="str">
        <f>"9781550545579"</f>
        <v>9781550545579</v>
      </c>
      <c r="D586" t="str">
        <f>"9781926706023"</f>
        <v>9781926706023</v>
      </c>
      <c r="E586" t="s">
        <v>3092</v>
      </c>
      <c r="F586" t="s">
        <v>3093</v>
      </c>
      <c r="G586" s="1">
        <v>39995</v>
      </c>
      <c r="J586" t="s">
        <v>3322</v>
      </c>
      <c r="K586" t="s">
        <v>291</v>
      </c>
      <c r="L586" t="s">
        <v>3327</v>
      </c>
      <c r="M586" t="s">
        <v>3328</v>
      </c>
      <c r="N586" t="s">
        <v>3329</v>
      </c>
      <c r="O586" t="s">
        <v>26</v>
      </c>
      <c r="P586">
        <v>19.95</v>
      </c>
      <c r="R586">
        <v>19.95</v>
      </c>
      <c r="S586">
        <v>29.93</v>
      </c>
      <c r="T586" t="s">
        <v>3330</v>
      </c>
    </row>
    <row r="587" spans="1:20">
      <c r="A587">
        <v>557523</v>
      </c>
      <c r="B587" t="s">
        <v>3331</v>
      </c>
      <c r="C587" t="str">
        <f>"9781553650683"</f>
        <v>9781553650683</v>
      </c>
      <c r="D587" t="str">
        <f>"9781926685816"</f>
        <v>9781926685816</v>
      </c>
      <c r="E587" t="s">
        <v>3092</v>
      </c>
      <c r="F587" t="s">
        <v>3093</v>
      </c>
      <c r="G587" s="1">
        <v>39995</v>
      </c>
      <c r="J587" t="s">
        <v>3322</v>
      </c>
      <c r="K587" t="s">
        <v>291</v>
      </c>
      <c r="L587" t="s">
        <v>3332</v>
      </c>
      <c r="M587" t="s">
        <v>3333</v>
      </c>
      <c r="N587" t="s">
        <v>3334</v>
      </c>
      <c r="O587" t="s">
        <v>26</v>
      </c>
      <c r="P587">
        <v>19.95</v>
      </c>
      <c r="R587">
        <v>19.95</v>
      </c>
      <c r="S587">
        <v>29.93</v>
      </c>
      <c r="T587" t="s">
        <v>3335</v>
      </c>
    </row>
    <row r="588" spans="1:20">
      <c r="A588">
        <v>557524</v>
      </c>
      <c r="B588" t="s">
        <v>3336</v>
      </c>
      <c r="C588" t="str">
        <f>"9781553654049"</f>
        <v>9781553654049</v>
      </c>
      <c r="D588" t="str">
        <f>"9781926685809"</f>
        <v>9781926685809</v>
      </c>
      <c r="E588" t="s">
        <v>3092</v>
      </c>
      <c r="F588" t="s">
        <v>3093</v>
      </c>
      <c r="G588" s="1">
        <v>39995</v>
      </c>
      <c r="J588" t="s">
        <v>3322</v>
      </c>
      <c r="K588" t="s">
        <v>291</v>
      </c>
      <c r="L588" t="s">
        <v>3337</v>
      </c>
      <c r="M588" t="s">
        <v>3338</v>
      </c>
      <c r="N588" t="s">
        <v>3339</v>
      </c>
      <c r="O588" t="s">
        <v>26</v>
      </c>
      <c r="P588">
        <v>22.95</v>
      </c>
      <c r="R588">
        <v>22.95</v>
      </c>
      <c r="S588">
        <v>34.43</v>
      </c>
      <c r="T588" t="s">
        <v>3340</v>
      </c>
    </row>
    <row r="589" spans="1:20">
      <c r="A589">
        <v>565322</v>
      </c>
      <c r="B589" t="s">
        <v>3341</v>
      </c>
      <c r="C589" t="str">
        <f>"9780776606750"</f>
        <v>9780776606750</v>
      </c>
      <c r="D589" t="str">
        <f>"9780776617749"</f>
        <v>9780776617749</v>
      </c>
      <c r="E589" t="s">
        <v>3342</v>
      </c>
      <c r="F589" t="s">
        <v>3342</v>
      </c>
      <c r="G589" s="1">
        <v>39557</v>
      </c>
      <c r="I589" t="s">
        <v>3343</v>
      </c>
      <c r="J589" t="s">
        <v>3344</v>
      </c>
      <c r="K589" t="s">
        <v>1458</v>
      </c>
      <c r="L589" t="s">
        <v>3345</v>
      </c>
      <c r="M589">
        <v>813.52</v>
      </c>
      <c r="N589" t="s">
        <v>3346</v>
      </c>
      <c r="O589" t="s">
        <v>26</v>
      </c>
      <c r="P589">
        <v>23.98</v>
      </c>
      <c r="Q589">
        <v>14.99</v>
      </c>
      <c r="R589">
        <v>11.99</v>
      </c>
      <c r="S589">
        <v>17.989999999999998</v>
      </c>
      <c r="T589" t="s">
        <v>3347</v>
      </c>
    </row>
    <row r="590" spans="1:20">
      <c r="A590">
        <v>565323</v>
      </c>
      <c r="B590" t="s">
        <v>3348</v>
      </c>
      <c r="C590" t="str">
        <f>"9780776606651"</f>
        <v>9780776606651</v>
      </c>
      <c r="D590" t="str">
        <f>"9780776617572"</f>
        <v>9780776617572</v>
      </c>
      <c r="E590" t="s">
        <v>3342</v>
      </c>
      <c r="F590" t="s">
        <v>3342</v>
      </c>
      <c r="G590" s="1">
        <v>39506</v>
      </c>
      <c r="I590" t="s">
        <v>3349</v>
      </c>
      <c r="J590" t="s">
        <v>3350</v>
      </c>
      <c r="K590" t="s">
        <v>1464</v>
      </c>
      <c r="L590" t="s">
        <v>3351</v>
      </c>
      <c r="M590">
        <v>811.54</v>
      </c>
      <c r="N590" t="s">
        <v>3352</v>
      </c>
      <c r="O590" t="s">
        <v>26</v>
      </c>
      <c r="P590">
        <v>39.979999999999997</v>
      </c>
      <c r="Q590">
        <v>24.99</v>
      </c>
      <c r="R590">
        <v>19.989999999999998</v>
      </c>
      <c r="S590">
        <v>29.99</v>
      </c>
      <c r="T590" t="s">
        <v>3353</v>
      </c>
    </row>
    <row r="591" spans="1:20">
      <c r="A591">
        <v>565324</v>
      </c>
      <c r="B591" t="s">
        <v>3354</v>
      </c>
      <c r="C591" t="str">
        <f>"9780776607061"</f>
        <v>9780776607061</v>
      </c>
      <c r="D591" t="str">
        <f>"9780776617794"</f>
        <v>9780776617794</v>
      </c>
      <c r="E591" t="s">
        <v>3342</v>
      </c>
      <c r="F591" t="s">
        <v>3342</v>
      </c>
      <c r="G591" s="1">
        <v>39984</v>
      </c>
      <c r="I591" t="s">
        <v>3355</v>
      </c>
      <c r="J591" t="s">
        <v>3356</v>
      </c>
      <c r="K591" t="s">
        <v>467</v>
      </c>
      <c r="L591" t="s">
        <v>3357</v>
      </c>
      <c r="M591">
        <v>351.71</v>
      </c>
      <c r="N591" t="s">
        <v>3358</v>
      </c>
      <c r="O591" t="s">
        <v>26</v>
      </c>
      <c r="P591">
        <v>33.979999999999997</v>
      </c>
      <c r="Q591">
        <v>21.24</v>
      </c>
      <c r="R591">
        <v>16.989999999999998</v>
      </c>
      <c r="S591">
        <v>25.49</v>
      </c>
      <c r="T591" t="s">
        <v>3359</v>
      </c>
    </row>
    <row r="592" spans="1:20">
      <c r="A592">
        <v>565325</v>
      </c>
      <c r="B592" t="s">
        <v>3360</v>
      </c>
      <c r="C592" t="str">
        <f>"9782760307131"</f>
        <v>9782760307131</v>
      </c>
      <c r="D592" t="str">
        <f>"9782760317987"</f>
        <v>9782760317987</v>
      </c>
      <c r="E592" t="s">
        <v>3361</v>
      </c>
      <c r="F592" t="s">
        <v>3361</v>
      </c>
      <c r="G592" s="1">
        <v>40360</v>
      </c>
      <c r="I592" t="s">
        <v>3362</v>
      </c>
      <c r="J592" t="s">
        <v>3363</v>
      </c>
      <c r="K592" t="s">
        <v>263</v>
      </c>
      <c r="L592" t="s">
        <v>3364</v>
      </c>
      <c r="M592" t="s">
        <v>3365</v>
      </c>
      <c r="N592" t="s">
        <v>3366</v>
      </c>
      <c r="O592" t="s">
        <v>94</v>
      </c>
      <c r="P592">
        <v>155.97999999999999</v>
      </c>
      <c r="Q592">
        <v>97.49</v>
      </c>
      <c r="R592">
        <v>77.989999999999995</v>
      </c>
      <c r="S592">
        <v>116.99</v>
      </c>
      <c r="T592" t="s">
        <v>3367</v>
      </c>
    </row>
    <row r="593" spans="1:20">
      <c r="A593">
        <v>565326</v>
      </c>
      <c r="B593" t="s">
        <v>3368</v>
      </c>
      <c r="C593" t="str">
        <f>"9780776606965"</f>
        <v>9780776606965</v>
      </c>
      <c r="D593" t="str">
        <f>"9780776618036"</f>
        <v>9780776618036</v>
      </c>
      <c r="E593" t="s">
        <v>3342</v>
      </c>
      <c r="F593" t="s">
        <v>3342</v>
      </c>
      <c r="G593" s="1">
        <v>40075</v>
      </c>
      <c r="I593" t="s">
        <v>3343</v>
      </c>
      <c r="J593" t="s">
        <v>3369</v>
      </c>
      <c r="K593" t="s">
        <v>1464</v>
      </c>
      <c r="L593" t="s">
        <v>3370</v>
      </c>
      <c r="M593">
        <v>813.52</v>
      </c>
      <c r="N593" t="s">
        <v>3371</v>
      </c>
      <c r="O593" t="s">
        <v>26</v>
      </c>
      <c r="P593">
        <v>23.98</v>
      </c>
      <c r="Q593">
        <v>14.99</v>
      </c>
      <c r="R593">
        <v>11.99</v>
      </c>
      <c r="S593">
        <v>17.989999999999998</v>
      </c>
      <c r="T593" t="s">
        <v>3372</v>
      </c>
    </row>
    <row r="594" spans="1:20">
      <c r="A594">
        <v>565328</v>
      </c>
      <c r="B594" t="s">
        <v>3373</v>
      </c>
      <c r="C594" t="str">
        <f>"9780776606842"</f>
        <v>9780776606842</v>
      </c>
      <c r="D594" t="str">
        <f>"9780776617770"</f>
        <v>9780776617770</v>
      </c>
      <c r="E594" t="s">
        <v>3342</v>
      </c>
      <c r="F594" t="s">
        <v>3342</v>
      </c>
      <c r="G594" s="1">
        <v>39704</v>
      </c>
      <c r="I594" t="s">
        <v>3355</v>
      </c>
      <c r="J594" t="s">
        <v>3374</v>
      </c>
      <c r="K594" t="s">
        <v>467</v>
      </c>
      <c r="L594" t="s">
        <v>3375</v>
      </c>
      <c r="M594" t="s">
        <v>3376</v>
      </c>
      <c r="N594" t="s">
        <v>3377</v>
      </c>
      <c r="O594" t="s">
        <v>26</v>
      </c>
      <c r="P594">
        <v>29.98</v>
      </c>
      <c r="Q594">
        <v>18.739999999999998</v>
      </c>
      <c r="R594">
        <v>14.99</v>
      </c>
      <c r="S594">
        <v>22.49</v>
      </c>
      <c r="T594" t="s">
        <v>3378</v>
      </c>
    </row>
    <row r="595" spans="1:20">
      <c r="A595">
        <v>565330</v>
      </c>
      <c r="B595" t="s">
        <v>3379</v>
      </c>
      <c r="C595" t="str">
        <f>"9780776607016"</f>
        <v>9780776607016</v>
      </c>
      <c r="D595" t="str">
        <f>"9780776618012"</f>
        <v>9780776618012</v>
      </c>
      <c r="E595" t="s">
        <v>3342</v>
      </c>
      <c r="F595" t="s">
        <v>3342</v>
      </c>
      <c r="G595" s="1">
        <v>40360</v>
      </c>
      <c r="I595" t="s">
        <v>3380</v>
      </c>
      <c r="J595" t="s">
        <v>3381</v>
      </c>
      <c r="K595" t="s">
        <v>1859</v>
      </c>
      <c r="L595" t="s">
        <v>3382</v>
      </c>
      <c r="M595">
        <v>191</v>
      </c>
      <c r="N595" t="s">
        <v>3383</v>
      </c>
      <c r="O595" t="s">
        <v>26</v>
      </c>
      <c r="P595">
        <v>33.979999999999997</v>
      </c>
      <c r="Q595">
        <v>21.24</v>
      </c>
      <c r="R595">
        <v>16.989999999999998</v>
      </c>
      <c r="S595">
        <v>25.49</v>
      </c>
      <c r="T595" t="s">
        <v>3384</v>
      </c>
    </row>
    <row r="596" spans="1:20">
      <c r="A596">
        <v>565332</v>
      </c>
      <c r="B596" t="s">
        <v>3385</v>
      </c>
      <c r="C596" t="str">
        <f>"9780776607092"</f>
        <v>9780776607092</v>
      </c>
      <c r="D596" t="str">
        <f>"9780776617800"</f>
        <v>9780776617800</v>
      </c>
      <c r="E596" t="s">
        <v>3342</v>
      </c>
      <c r="F596" t="s">
        <v>3342</v>
      </c>
      <c r="G596" s="1">
        <v>39921</v>
      </c>
      <c r="J596" t="s">
        <v>3386</v>
      </c>
      <c r="K596" t="s">
        <v>263</v>
      </c>
      <c r="L596" t="s">
        <v>3387</v>
      </c>
      <c r="M596">
        <v>305.0951</v>
      </c>
      <c r="N596" t="s">
        <v>3388</v>
      </c>
      <c r="O596" t="s">
        <v>26</v>
      </c>
      <c r="P596">
        <v>29.98</v>
      </c>
      <c r="Q596">
        <v>18.739999999999998</v>
      </c>
      <c r="R596">
        <v>14.99</v>
      </c>
      <c r="S596">
        <v>22.49</v>
      </c>
      <c r="T596" t="s">
        <v>3389</v>
      </c>
    </row>
    <row r="597" spans="1:20">
      <c r="A597">
        <v>565335</v>
      </c>
      <c r="B597" t="s">
        <v>3390</v>
      </c>
      <c r="C597" t="str">
        <f>"9780776606699"</f>
        <v>9780776606699</v>
      </c>
      <c r="D597" t="str">
        <f>"9780776617695"</f>
        <v>9780776617695</v>
      </c>
      <c r="E597" t="s">
        <v>3342</v>
      </c>
      <c r="F597" t="s">
        <v>3342</v>
      </c>
      <c r="G597" s="1">
        <v>39469</v>
      </c>
      <c r="I597" t="s">
        <v>3355</v>
      </c>
      <c r="J597" t="s">
        <v>3391</v>
      </c>
      <c r="K597" t="s">
        <v>278</v>
      </c>
      <c r="L597" t="s">
        <v>3392</v>
      </c>
      <c r="M597">
        <v>338.060971</v>
      </c>
      <c r="N597" t="s">
        <v>3393</v>
      </c>
      <c r="O597" t="s">
        <v>26</v>
      </c>
      <c r="P597">
        <v>29.98</v>
      </c>
      <c r="Q597">
        <v>18.739999999999998</v>
      </c>
      <c r="R597">
        <v>14.99</v>
      </c>
      <c r="S597">
        <v>22.49</v>
      </c>
      <c r="T597" t="s">
        <v>3394</v>
      </c>
    </row>
    <row r="598" spans="1:20">
      <c r="A598">
        <v>565340</v>
      </c>
      <c r="B598" t="s">
        <v>3395</v>
      </c>
      <c r="C598" t="str">
        <f>"9780776606798"</f>
        <v>9780776606798</v>
      </c>
      <c r="D598" t="str">
        <f>"9780776617763"</f>
        <v>9780776617763</v>
      </c>
      <c r="E598" t="s">
        <v>3342</v>
      </c>
      <c r="F598" t="s">
        <v>3342</v>
      </c>
      <c r="G598" s="1">
        <v>39704</v>
      </c>
      <c r="I598" t="s">
        <v>3396</v>
      </c>
      <c r="J598" t="s">
        <v>3397</v>
      </c>
      <c r="K598" t="s">
        <v>291</v>
      </c>
      <c r="L598" t="s">
        <v>3398</v>
      </c>
      <c r="M598">
        <v>971.00496999999996</v>
      </c>
      <c r="N598" t="s">
        <v>3399</v>
      </c>
      <c r="O598" t="s">
        <v>26</v>
      </c>
      <c r="P598">
        <v>45.98</v>
      </c>
      <c r="Q598">
        <v>28.74</v>
      </c>
      <c r="R598">
        <v>22.99</v>
      </c>
      <c r="S598">
        <v>34.49</v>
      </c>
      <c r="T598" t="s">
        <v>3400</v>
      </c>
    </row>
    <row r="599" spans="1:20">
      <c r="A599">
        <v>565341</v>
      </c>
      <c r="B599" t="s">
        <v>3401</v>
      </c>
      <c r="C599" t="str">
        <f>"9780776606712"</f>
        <v>9780776606712</v>
      </c>
      <c r="D599" t="str">
        <f>"9780776617473"</f>
        <v>9780776617473</v>
      </c>
      <c r="E599" t="s">
        <v>3342</v>
      </c>
      <c r="F599" t="s">
        <v>3342</v>
      </c>
      <c r="G599" s="1">
        <v>39517</v>
      </c>
      <c r="I599" t="s">
        <v>3402</v>
      </c>
      <c r="J599" t="s">
        <v>3403</v>
      </c>
      <c r="K599" t="s">
        <v>1464</v>
      </c>
      <c r="L599" t="s">
        <v>3404</v>
      </c>
      <c r="M599">
        <v>813</v>
      </c>
      <c r="N599" t="s">
        <v>3405</v>
      </c>
      <c r="O599" t="s">
        <v>26</v>
      </c>
      <c r="P599">
        <v>33.979999999999997</v>
      </c>
      <c r="Q599">
        <v>21.24</v>
      </c>
      <c r="R599">
        <v>16.989999999999998</v>
      </c>
      <c r="S599">
        <v>25.49</v>
      </c>
      <c r="T599" t="s">
        <v>3406</v>
      </c>
    </row>
    <row r="600" spans="1:20">
      <c r="A600">
        <v>565344</v>
      </c>
      <c r="B600" t="s">
        <v>3407</v>
      </c>
      <c r="C600" t="str">
        <f>"9780776606774"</f>
        <v>9780776606774</v>
      </c>
      <c r="D600" t="str">
        <f>"9780776617756"</f>
        <v>9780776617756</v>
      </c>
      <c r="E600" t="s">
        <v>3342</v>
      </c>
      <c r="F600" t="s">
        <v>3342</v>
      </c>
      <c r="G600" s="1">
        <v>39578</v>
      </c>
      <c r="I600" t="s">
        <v>3408</v>
      </c>
      <c r="J600" t="s">
        <v>3409</v>
      </c>
      <c r="K600" t="s">
        <v>1458</v>
      </c>
      <c r="L600" t="s">
        <v>3410</v>
      </c>
      <c r="M600" t="s">
        <v>1509</v>
      </c>
      <c r="N600" t="s">
        <v>3411</v>
      </c>
      <c r="O600" t="s">
        <v>26</v>
      </c>
      <c r="P600">
        <v>23.98</v>
      </c>
      <c r="Q600">
        <v>14.99</v>
      </c>
      <c r="R600">
        <v>11.99</v>
      </c>
      <c r="S600">
        <v>17.989999999999998</v>
      </c>
      <c r="T600" t="s">
        <v>3412</v>
      </c>
    </row>
    <row r="601" spans="1:20">
      <c r="A601">
        <v>565345</v>
      </c>
      <c r="B601" t="s">
        <v>3413</v>
      </c>
      <c r="C601" t="str">
        <f>"9780776606620"</f>
        <v>9780776606620</v>
      </c>
      <c r="D601" t="str">
        <f>"9780776617541"</f>
        <v>9780776617541</v>
      </c>
      <c r="E601" t="s">
        <v>3342</v>
      </c>
      <c r="F601" t="s">
        <v>3342</v>
      </c>
      <c r="G601" s="1">
        <v>39478</v>
      </c>
      <c r="I601" t="s">
        <v>3380</v>
      </c>
      <c r="J601" t="s">
        <v>3414</v>
      </c>
      <c r="K601" t="s">
        <v>1859</v>
      </c>
      <c r="L601" t="s">
        <v>3415</v>
      </c>
      <c r="M601">
        <v>191</v>
      </c>
      <c r="N601" t="s">
        <v>3416</v>
      </c>
      <c r="O601" t="s">
        <v>26</v>
      </c>
      <c r="P601">
        <v>33.979999999999997</v>
      </c>
      <c r="Q601">
        <v>21.24</v>
      </c>
      <c r="R601">
        <v>16.989999999999998</v>
      </c>
      <c r="S601">
        <v>25.49</v>
      </c>
      <c r="T601" t="s">
        <v>3417</v>
      </c>
    </row>
    <row r="602" spans="1:20">
      <c r="A602">
        <v>565346</v>
      </c>
      <c r="B602" t="s">
        <v>3418</v>
      </c>
      <c r="C602" t="str">
        <f>"9782760307025"</f>
        <v>9782760307025</v>
      </c>
      <c r="D602" t="str">
        <f>"9782760317994"</f>
        <v>9782760317994</v>
      </c>
      <c r="E602" t="s">
        <v>3361</v>
      </c>
      <c r="F602" t="s">
        <v>3361</v>
      </c>
      <c r="G602" s="1">
        <v>40360</v>
      </c>
      <c r="I602" t="s">
        <v>3419</v>
      </c>
      <c r="J602" t="s">
        <v>3420</v>
      </c>
      <c r="K602" t="s">
        <v>3421</v>
      </c>
      <c r="L602" t="s">
        <v>3422</v>
      </c>
      <c r="M602">
        <v>302.2244</v>
      </c>
      <c r="N602" t="s">
        <v>3423</v>
      </c>
      <c r="O602" t="s">
        <v>94</v>
      </c>
      <c r="P602">
        <v>155.97999999999999</v>
      </c>
      <c r="Q602">
        <v>97.49</v>
      </c>
      <c r="R602">
        <v>77.989999999999995</v>
      </c>
      <c r="S602">
        <v>116.99</v>
      </c>
      <c r="T602" t="s">
        <v>3424</v>
      </c>
    </row>
    <row r="603" spans="1:20">
      <c r="A603">
        <v>565347</v>
      </c>
      <c r="B603" t="s">
        <v>3425</v>
      </c>
      <c r="C603" t="str">
        <f>"9780776606736"</f>
        <v>9780776606736</v>
      </c>
      <c r="D603" t="str">
        <f>"9780776617503"</f>
        <v>9780776617503</v>
      </c>
      <c r="E603" t="s">
        <v>3342</v>
      </c>
      <c r="F603" t="s">
        <v>3342</v>
      </c>
      <c r="G603" s="1">
        <v>39560</v>
      </c>
      <c r="I603" t="s">
        <v>3355</v>
      </c>
      <c r="J603" t="s">
        <v>3426</v>
      </c>
      <c r="K603" t="s">
        <v>1550</v>
      </c>
      <c r="L603" t="s">
        <v>3427</v>
      </c>
      <c r="M603">
        <v>305.800971</v>
      </c>
      <c r="N603" t="s">
        <v>3428</v>
      </c>
      <c r="O603" t="s">
        <v>26</v>
      </c>
      <c r="P603">
        <v>29.98</v>
      </c>
      <c r="Q603">
        <v>18.739999999999998</v>
      </c>
      <c r="R603">
        <v>14.99</v>
      </c>
      <c r="S603">
        <v>22.49</v>
      </c>
      <c r="T603" t="s">
        <v>3429</v>
      </c>
    </row>
    <row r="604" spans="1:20">
      <c r="A604">
        <v>565348</v>
      </c>
      <c r="B604" t="s">
        <v>3430</v>
      </c>
      <c r="C604" t="str">
        <f>"9780776607030"</f>
        <v>9780776607030</v>
      </c>
      <c r="D604" t="str">
        <f>"9780776617787"</f>
        <v>9780776617787</v>
      </c>
      <c r="E604" t="s">
        <v>3342</v>
      </c>
      <c r="F604" t="s">
        <v>3342</v>
      </c>
      <c r="G604" s="1">
        <v>39921</v>
      </c>
      <c r="I604" t="s">
        <v>3355</v>
      </c>
      <c r="J604" t="s">
        <v>3426</v>
      </c>
      <c r="K604" t="s">
        <v>263</v>
      </c>
      <c r="L604" t="s">
        <v>3431</v>
      </c>
      <c r="M604">
        <v>300.10000000000002</v>
      </c>
      <c r="N604" t="s">
        <v>3432</v>
      </c>
      <c r="O604" t="s">
        <v>26</v>
      </c>
      <c r="P604">
        <v>29.98</v>
      </c>
      <c r="Q604">
        <v>18.739999999999998</v>
      </c>
      <c r="R604">
        <v>14.99</v>
      </c>
      <c r="S604">
        <v>22.49</v>
      </c>
      <c r="T604" t="s">
        <v>3433</v>
      </c>
    </row>
    <row r="605" spans="1:20">
      <c r="A605">
        <v>565349</v>
      </c>
      <c r="B605" t="s">
        <v>3434</v>
      </c>
      <c r="C605" t="str">
        <f>"9782760306745"</f>
        <v>9782760306745</v>
      </c>
      <c r="D605" t="str">
        <f>"9782760317673"</f>
        <v>9782760317673</v>
      </c>
      <c r="E605" t="s">
        <v>3361</v>
      </c>
      <c r="F605" t="s">
        <v>3361</v>
      </c>
      <c r="G605" s="1">
        <v>39564</v>
      </c>
      <c r="I605" t="s">
        <v>3435</v>
      </c>
      <c r="J605" t="s">
        <v>3426</v>
      </c>
      <c r="K605" t="s">
        <v>1550</v>
      </c>
      <c r="L605" t="s">
        <v>3436</v>
      </c>
      <c r="M605">
        <v>305.8</v>
      </c>
      <c r="N605" t="s">
        <v>3437</v>
      </c>
      <c r="O605" t="s">
        <v>94</v>
      </c>
      <c r="P605">
        <v>33.979999999999997</v>
      </c>
      <c r="Q605">
        <v>21.24</v>
      </c>
      <c r="R605">
        <v>16.989999999999998</v>
      </c>
      <c r="S605">
        <v>25.49</v>
      </c>
      <c r="T605" t="s">
        <v>3438</v>
      </c>
    </row>
    <row r="606" spans="1:20">
      <c r="A606">
        <v>565350</v>
      </c>
      <c r="B606" t="s">
        <v>3439</v>
      </c>
      <c r="C606" t="str">
        <f>"9780776606958"</f>
        <v>9780776606958</v>
      </c>
      <c r="D606" t="str">
        <f>"9780776618005"</f>
        <v>9780776618005</v>
      </c>
      <c r="E606" t="s">
        <v>3342</v>
      </c>
      <c r="F606" t="s">
        <v>3342</v>
      </c>
      <c r="G606" s="1">
        <v>40360</v>
      </c>
      <c r="I606" t="s">
        <v>3349</v>
      </c>
      <c r="J606" t="s">
        <v>3440</v>
      </c>
      <c r="K606" t="s">
        <v>1464</v>
      </c>
      <c r="L606" t="s">
        <v>3441</v>
      </c>
      <c r="M606">
        <v>801.95092</v>
      </c>
      <c r="N606" t="s">
        <v>3442</v>
      </c>
      <c r="O606" t="s">
        <v>26</v>
      </c>
      <c r="P606">
        <v>39.979999999999997</v>
      </c>
      <c r="Q606">
        <v>24.99</v>
      </c>
      <c r="R606">
        <v>19.989999999999998</v>
      </c>
      <c r="S606">
        <v>29.99</v>
      </c>
      <c r="T606" t="s">
        <v>3443</v>
      </c>
    </row>
    <row r="607" spans="1:20">
      <c r="A607">
        <v>565351</v>
      </c>
      <c r="B607" t="s">
        <v>3444</v>
      </c>
      <c r="C607" t="str">
        <f>"9780776606668"</f>
        <v>9780776606668</v>
      </c>
      <c r="D607" t="str">
        <f>"9780776617497"</f>
        <v>9780776617497</v>
      </c>
      <c r="E607" t="s">
        <v>3342</v>
      </c>
      <c r="F607" t="s">
        <v>3342</v>
      </c>
      <c r="G607" s="1">
        <v>39556</v>
      </c>
      <c r="I607" t="s">
        <v>3445</v>
      </c>
      <c r="J607" t="s">
        <v>3446</v>
      </c>
      <c r="K607" t="s">
        <v>1186</v>
      </c>
      <c r="L607" t="s">
        <v>3447</v>
      </c>
      <c r="M607" t="s">
        <v>3448</v>
      </c>
      <c r="N607" t="s">
        <v>3449</v>
      </c>
      <c r="O607" t="s">
        <v>26</v>
      </c>
      <c r="P607">
        <v>85.98</v>
      </c>
      <c r="Q607">
        <v>53.74</v>
      </c>
      <c r="R607">
        <v>42.99</v>
      </c>
      <c r="S607">
        <v>64.489999999999995</v>
      </c>
      <c r="T607" t="s">
        <v>3450</v>
      </c>
    </row>
    <row r="608" spans="1:20">
      <c r="A608">
        <v>565353</v>
      </c>
      <c r="B608" t="s">
        <v>3451</v>
      </c>
      <c r="C608" t="str">
        <f>"9780776606637"</f>
        <v>9780776606637</v>
      </c>
      <c r="D608" t="str">
        <f>"9780776617640"</f>
        <v>9780776617640</v>
      </c>
      <c r="E608" t="s">
        <v>3342</v>
      </c>
      <c r="F608" t="s">
        <v>3342</v>
      </c>
      <c r="G608" s="1">
        <v>39449</v>
      </c>
      <c r="I608" t="s">
        <v>3380</v>
      </c>
      <c r="J608" t="s">
        <v>3452</v>
      </c>
      <c r="K608" t="s">
        <v>1859</v>
      </c>
      <c r="L608" t="s">
        <v>3453</v>
      </c>
      <c r="M608">
        <v>111</v>
      </c>
      <c r="N608" t="s">
        <v>3454</v>
      </c>
      <c r="O608" t="s">
        <v>26</v>
      </c>
      <c r="P608">
        <v>33.979999999999997</v>
      </c>
      <c r="Q608">
        <v>21.24</v>
      </c>
      <c r="R608">
        <v>16.989999999999998</v>
      </c>
      <c r="S608">
        <v>25.49</v>
      </c>
      <c r="T608" t="s">
        <v>3455</v>
      </c>
    </row>
    <row r="609" spans="1:20">
      <c r="A609">
        <v>565355</v>
      </c>
      <c r="B609" t="s">
        <v>3456</v>
      </c>
      <c r="C609" t="str">
        <f>"9780776607009"</f>
        <v>9780776607009</v>
      </c>
      <c r="D609" t="str">
        <f>"9780776618029"</f>
        <v>9780776618029</v>
      </c>
      <c r="E609" t="s">
        <v>3342</v>
      </c>
      <c r="F609" t="s">
        <v>3342</v>
      </c>
      <c r="G609" s="1">
        <v>40360</v>
      </c>
      <c r="J609" t="s">
        <v>3457</v>
      </c>
      <c r="K609" t="s">
        <v>467</v>
      </c>
      <c r="L609" t="s">
        <v>3458</v>
      </c>
      <c r="M609" t="s">
        <v>3459</v>
      </c>
      <c r="N609" t="s">
        <v>3460</v>
      </c>
      <c r="O609" t="s">
        <v>26</v>
      </c>
      <c r="P609">
        <v>29.98</v>
      </c>
      <c r="Q609">
        <v>18.739999999999998</v>
      </c>
      <c r="R609">
        <v>14.99</v>
      </c>
      <c r="S609">
        <v>22.49</v>
      </c>
      <c r="T609" t="s">
        <v>3461</v>
      </c>
    </row>
    <row r="610" spans="1:20">
      <c r="A610">
        <v>565480</v>
      </c>
      <c r="B610" t="s">
        <v>3462</v>
      </c>
      <c r="C610" t="str">
        <f>"9781553658276"</f>
        <v>9781553658276</v>
      </c>
      <c r="D610" t="str">
        <f>"9781553656296"</f>
        <v>9781553656296</v>
      </c>
      <c r="E610" t="s">
        <v>3030</v>
      </c>
      <c r="F610" t="s">
        <v>3030</v>
      </c>
      <c r="G610" s="1">
        <v>40452</v>
      </c>
      <c r="J610" t="s">
        <v>3463</v>
      </c>
      <c r="K610" t="s">
        <v>1464</v>
      </c>
      <c r="L610" t="s">
        <v>3464</v>
      </c>
      <c r="M610">
        <v>818.54089999999997</v>
      </c>
      <c r="N610" t="s">
        <v>3465</v>
      </c>
      <c r="O610" t="s">
        <v>26</v>
      </c>
      <c r="P610">
        <v>14.95</v>
      </c>
      <c r="R610">
        <v>14.95</v>
      </c>
      <c r="S610">
        <v>22.43</v>
      </c>
      <c r="T610" t="s">
        <v>3466</v>
      </c>
    </row>
    <row r="611" spans="1:20">
      <c r="A611">
        <v>565501</v>
      </c>
      <c r="B611" t="s">
        <v>3467</v>
      </c>
      <c r="C611" t="str">
        <f>"9780865716681"</f>
        <v>9780865716681</v>
      </c>
      <c r="D611" t="str">
        <f>"9781550924497"</f>
        <v>9781550924497</v>
      </c>
      <c r="E611" t="s">
        <v>249</v>
      </c>
      <c r="F611" t="s">
        <v>249</v>
      </c>
      <c r="G611" s="1">
        <v>40360</v>
      </c>
      <c r="I611" t="s">
        <v>367</v>
      </c>
      <c r="J611" t="s">
        <v>3468</v>
      </c>
      <c r="K611" t="s">
        <v>387</v>
      </c>
      <c r="L611" t="s">
        <v>3469</v>
      </c>
      <c r="M611">
        <v>697.78</v>
      </c>
      <c r="N611" t="s">
        <v>3470</v>
      </c>
      <c r="O611" t="s">
        <v>26</v>
      </c>
      <c r="P611">
        <v>24.95</v>
      </c>
      <c r="R611">
        <v>24.95</v>
      </c>
      <c r="S611">
        <v>37.43</v>
      </c>
      <c r="T611" t="s">
        <v>3471</v>
      </c>
    </row>
    <row r="612" spans="1:20">
      <c r="A612">
        <v>565642</v>
      </c>
      <c r="B612" t="s">
        <v>3472</v>
      </c>
      <c r="C612" t="str">
        <f>"9780865714755"</f>
        <v>9780865714755</v>
      </c>
      <c r="D612" t="str">
        <f>"9781550924671"</f>
        <v>9781550924671</v>
      </c>
      <c r="E612" t="s">
        <v>249</v>
      </c>
      <c r="F612" t="s">
        <v>249</v>
      </c>
      <c r="G612" s="1">
        <v>37622</v>
      </c>
      <c r="I612" t="s">
        <v>269</v>
      </c>
      <c r="J612" t="s">
        <v>2765</v>
      </c>
      <c r="K612" t="s">
        <v>387</v>
      </c>
      <c r="L612" t="s">
        <v>3473</v>
      </c>
      <c r="M612" t="s">
        <v>3474</v>
      </c>
      <c r="N612" t="s">
        <v>3475</v>
      </c>
      <c r="O612" t="s">
        <v>26</v>
      </c>
      <c r="P612">
        <v>26.95</v>
      </c>
      <c r="R612">
        <v>26.95</v>
      </c>
      <c r="S612">
        <v>40.43</v>
      </c>
      <c r="T612" t="s">
        <v>3476</v>
      </c>
    </row>
    <row r="613" spans="1:20">
      <c r="A613">
        <v>565682</v>
      </c>
      <c r="B613" t="s">
        <v>3477</v>
      </c>
      <c r="C613" t="str">
        <f>"9780865716704"</f>
        <v>9780865716704</v>
      </c>
      <c r="D613" t="str">
        <f>"9781550924459"</f>
        <v>9781550924459</v>
      </c>
      <c r="E613" t="s">
        <v>249</v>
      </c>
      <c r="F613" t="s">
        <v>249</v>
      </c>
      <c r="G613" s="1">
        <v>40360</v>
      </c>
      <c r="J613" t="s">
        <v>2190</v>
      </c>
      <c r="K613" t="s">
        <v>3478</v>
      </c>
      <c r="L613" t="s">
        <v>3479</v>
      </c>
      <c r="M613" t="s">
        <v>3480</v>
      </c>
      <c r="N613" t="s">
        <v>3481</v>
      </c>
      <c r="O613" t="s">
        <v>26</v>
      </c>
      <c r="P613">
        <v>24.95</v>
      </c>
      <c r="R613">
        <v>24.95</v>
      </c>
      <c r="S613">
        <v>37.43</v>
      </c>
      <c r="T613" t="s">
        <v>3482</v>
      </c>
    </row>
    <row r="614" spans="1:20">
      <c r="A614">
        <v>589753</v>
      </c>
      <c r="B614" t="s">
        <v>3483</v>
      </c>
      <c r="C614" t="str">
        <f>"9781553655398"</f>
        <v>9781553655398</v>
      </c>
      <c r="D614" t="str">
        <f>"9781926685779"</f>
        <v>9781926685779</v>
      </c>
      <c r="E614" t="s">
        <v>3092</v>
      </c>
      <c r="F614" t="s">
        <v>3093</v>
      </c>
      <c r="G614" s="1">
        <v>39995</v>
      </c>
      <c r="J614" t="s">
        <v>3322</v>
      </c>
      <c r="K614" t="s">
        <v>291</v>
      </c>
      <c r="L614" t="s">
        <v>3484</v>
      </c>
      <c r="M614">
        <v>940.54215799999997</v>
      </c>
      <c r="N614" t="s">
        <v>3485</v>
      </c>
      <c r="O614" t="s">
        <v>26</v>
      </c>
      <c r="P614">
        <v>19.95</v>
      </c>
      <c r="R614">
        <v>19.95</v>
      </c>
      <c r="S614">
        <v>29.93</v>
      </c>
      <c r="T614" t="s">
        <v>3486</v>
      </c>
    </row>
    <row r="615" spans="1:20">
      <c r="A615">
        <v>610818</v>
      </c>
      <c r="B615" t="s">
        <v>3487</v>
      </c>
      <c r="C615" t="str">
        <f>"9781550026764"</f>
        <v>9781550026764</v>
      </c>
      <c r="D615" t="str">
        <f>"9781459722354"</f>
        <v>9781459722354</v>
      </c>
      <c r="E615" t="s">
        <v>3488</v>
      </c>
      <c r="F615" t="s">
        <v>3488</v>
      </c>
      <c r="G615" s="1">
        <v>39083</v>
      </c>
      <c r="J615" t="s">
        <v>3489</v>
      </c>
      <c r="K615" t="s">
        <v>3490</v>
      </c>
      <c r="L615" t="s">
        <v>3491</v>
      </c>
      <c r="M615">
        <v>332.63</v>
      </c>
      <c r="N615" t="s">
        <v>3492</v>
      </c>
      <c r="O615" t="s">
        <v>26</v>
      </c>
      <c r="P615">
        <v>11.99</v>
      </c>
      <c r="R615">
        <v>11.99</v>
      </c>
      <c r="S615">
        <v>17.989999999999998</v>
      </c>
      <c r="T615" t="s">
        <v>3493</v>
      </c>
    </row>
    <row r="616" spans="1:20">
      <c r="A616">
        <v>610828</v>
      </c>
      <c r="B616" t="s">
        <v>3494</v>
      </c>
      <c r="C616" t="str">
        <f>"9781550026627"</f>
        <v>9781550026627</v>
      </c>
      <c r="D616" t="str">
        <f>"9781550029086"</f>
        <v>9781550029086</v>
      </c>
      <c r="E616" t="s">
        <v>3488</v>
      </c>
      <c r="F616" t="s">
        <v>3488</v>
      </c>
      <c r="G616" s="1">
        <v>39083</v>
      </c>
      <c r="I616" t="s">
        <v>3495</v>
      </c>
      <c r="J616" t="s">
        <v>3496</v>
      </c>
      <c r="K616" t="s">
        <v>3497</v>
      </c>
      <c r="L616" t="s">
        <v>3498</v>
      </c>
      <c r="M616">
        <v>302.209</v>
      </c>
      <c r="N616" t="s">
        <v>3499</v>
      </c>
      <c r="O616" t="s">
        <v>26</v>
      </c>
      <c r="P616">
        <v>9.99</v>
      </c>
      <c r="R616">
        <v>9.99</v>
      </c>
      <c r="S616">
        <v>14.99</v>
      </c>
      <c r="T616" t="s">
        <v>3500</v>
      </c>
    </row>
    <row r="617" spans="1:20">
      <c r="A617">
        <v>610829</v>
      </c>
      <c r="B617" t="s">
        <v>3501</v>
      </c>
      <c r="C617" t="str">
        <f>"9781550026757"</f>
        <v>9781550026757</v>
      </c>
      <c r="D617" t="str">
        <f>"9781459722385"</f>
        <v>9781459722385</v>
      </c>
      <c r="E617" t="s">
        <v>3488</v>
      </c>
      <c r="F617" t="s">
        <v>3488</v>
      </c>
      <c r="G617" s="1">
        <v>39171</v>
      </c>
      <c r="J617" t="s">
        <v>3502</v>
      </c>
      <c r="K617" t="s">
        <v>1471</v>
      </c>
      <c r="L617" t="s">
        <v>3503</v>
      </c>
      <c r="M617">
        <v>759.11</v>
      </c>
      <c r="N617" t="s">
        <v>3504</v>
      </c>
      <c r="O617" t="s">
        <v>26</v>
      </c>
      <c r="P617">
        <v>29.99</v>
      </c>
      <c r="R617">
        <v>29.99</v>
      </c>
      <c r="S617">
        <v>44.99</v>
      </c>
      <c r="T617" t="s">
        <v>3505</v>
      </c>
    </row>
    <row r="618" spans="1:20">
      <c r="A618">
        <v>610892</v>
      </c>
      <c r="B618" t="s">
        <v>3506</v>
      </c>
      <c r="C618" t="str">
        <f>"9781550025378"</f>
        <v>9781550025378</v>
      </c>
      <c r="D618" t="str">
        <f>"9781554880003"</f>
        <v>9781554880003</v>
      </c>
      <c r="E618" t="s">
        <v>3488</v>
      </c>
      <c r="F618" t="s">
        <v>3488</v>
      </c>
      <c r="G618" s="1">
        <v>38231</v>
      </c>
      <c r="J618" t="s">
        <v>3507</v>
      </c>
      <c r="K618" t="s">
        <v>1458</v>
      </c>
      <c r="L618" t="s">
        <v>3508</v>
      </c>
      <c r="M618" t="s">
        <v>1460</v>
      </c>
      <c r="N618" t="s">
        <v>3509</v>
      </c>
      <c r="O618" t="s">
        <v>26</v>
      </c>
      <c r="P618">
        <v>9.99</v>
      </c>
      <c r="R618">
        <v>9.99</v>
      </c>
      <c r="S618">
        <v>14.99</v>
      </c>
      <c r="T618" t="s">
        <v>3510</v>
      </c>
    </row>
    <row r="619" spans="1:20">
      <c r="A619">
        <v>610908</v>
      </c>
      <c r="B619" t="s">
        <v>3511</v>
      </c>
      <c r="C619" t="str">
        <f>"9781550024104"</f>
        <v>9781550024104</v>
      </c>
      <c r="D619" t="str">
        <f>"9781459720626"</f>
        <v>9781459720626</v>
      </c>
      <c r="E619" t="s">
        <v>3488</v>
      </c>
      <c r="F619" t="s">
        <v>3488</v>
      </c>
      <c r="G619" s="1">
        <v>37500</v>
      </c>
      <c r="J619" t="s">
        <v>3512</v>
      </c>
      <c r="K619" t="s">
        <v>3513</v>
      </c>
      <c r="L619" t="s">
        <v>3514</v>
      </c>
      <c r="M619" t="s">
        <v>3515</v>
      </c>
      <c r="N619" t="s">
        <v>3516</v>
      </c>
      <c r="O619" t="s">
        <v>26</v>
      </c>
      <c r="P619">
        <v>11.99</v>
      </c>
      <c r="R619">
        <v>11.99</v>
      </c>
      <c r="S619">
        <v>17.989999999999998</v>
      </c>
      <c r="T619" t="s">
        <v>3517</v>
      </c>
    </row>
    <row r="620" spans="1:20">
      <c r="A620">
        <v>610910</v>
      </c>
      <c r="B620" t="s">
        <v>3518</v>
      </c>
      <c r="C620" t="str">
        <f>"9781550024982"</f>
        <v>9781550024982</v>
      </c>
      <c r="D620" t="str">
        <f>"9781459720633"</f>
        <v>9781459720633</v>
      </c>
      <c r="E620" t="s">
        <v>3488</v>
      </c>
      <c r="F620" t="s">
        <v>3488</v>
      </c>
      <c r="G620" s="1">
        <v>38047</v>
      </c>
      <c r="I620" t="s">
        <v>3519</v>
      </c>
      <c r="J620" t="s">
        <v>3520</v>
      </c>
      <c r="K620" t="s">
        <v>30</v>
      </c>
      <c r="L620" t="s">
        <v>3521</v>
      </c>
      <c r="M620">
        <v>551.46</v>
      </c>
      <c r="N620" t="s">
        <v>3522</v>
      </c>
      <c r="O620" t="s">
        <v>26</v>
      </c>
      <c r="P620">
        <v>11.99</v>
      </c>
      <c r="R620">
        <v>11.99</v>
      </c>
      <c r="S620">
        <v>17.989999999999998</v>
      </c>
      <c r="T620" t="s">
        <v>3523</v>
      </c>
    </row>
    <row r="621" spans="1:20">
      <c r="A621">
        <v>610991</v>
      </c>
      <c r="B621" t="s">
        <v>3524</v>
      </c>
      <c r="C621" t="str">
        <f>"9781550022384"</f>
        <v>9781550022384</v>
      </c>
      <c r="D621" t="str">
        <f>"9781459722378"</f>
        <v>9781459722378</v>
      </c>
      <c r="E621" t="s">
        <v>3488</v>
      </c>
      <c r="F621" t="s">
        <v>3488</v>
      </c>
      <c r="G621" s="1">
        <v>35074</v>
      </c>
      <c r="J621" t="s">
        <v>3525</v>
      </c>
      <c r="K621" t="s">
        <v>1471</v>
      </c>
      <c r="L621" t="s">
        <v>3526</v>
      </c>
      <c r="M621">
        <v>700</v>
      </c>
      <c r="N621" t="s">
        <v>3527</v>
      </c>
      <c r="O621" t="s">
        <v>26</v>
      </c>
      <c r="P621">
        <v>14.99</v>
      </c>
      <c r="R621">
        <v>14.99</v>
      </c>
      <c r="S621">
        <v>22.49</v>
      </c>
      <c r="T621" t="s">
        <v>3528</v>
      </c>
    </row>
    <row r="622" spans="1:20">
      <c r="A622">
        <v>611004</v>
      </c>
      <c r="B622" t="s">
        <v>3529</v>
      </c>
      <c r="C622" t="str">
        <f>"9781550027341"</f>
        <v>9781550027341</v>
      </c>
      <c r="D622" t="str">
        <f>"9781459720466"</f>
        <v>9781459720466</v>
      </c>
      <c r="E622" t="s">
        <v>3488</v>
      </c>
      <c r="F622" t="s">
        <v>3488</v>
      </c>
      <c r="G622" s="1">
        <v>39355</v>
      </c>
      <c r="J622" t="s">
        <v>3530</v>
      </c>
      <c r="K622" t="s">
        <v>1464</v>
      </c>
      <c r="L622" t="s">
        <v>3531</v>
      </c>
      <c r="M622" t="s">
        <v>3532</v>
      </c>
      <c r="N622" t="s">
        <v>3533</v>
      </c>
      <c r="O622" t="s">
        <v>26</v>
      </c>
      <c r="P622">
        <v>14.99</v>
      </c>
      <c r="R622">
        <v>14.99</v>
      </c>
      <c r="S622">
        <v>22.49</v>
      </c>
      <c r="T622" t="s">
        <v>3534</v>
      </c>
    </row>
    <row r="623" spans="1:20">
      <c r="A623">
        <v>611016</v>
      </c>
      <c r="B623" t="s">
        <v>3535</v>
      </c>
      <c r="C623" t="str">
        <f>"9780920474976"</f>
        <v>9780920474976</v>
      </c>
      <c r="D623" t="str">
        <f>"9781554881628"</f>
        <v>9781554881628</v>
      </c>
      <c r="E623" t="s">
        <v>3488</v>
      </c>
      <c r="F623" t="s">
        <v>3536</v>
      </c>
      <c r="G623" s="1">
        <v>39594</v>
      </c>
      <c r="H623">
        <v>2</v>
      </c>
      <c r="J623" t="s">
        <v>3537</v>
      </c>
      <c r="K623" t="s">
        <v>291</v>
      </c>
      <c r="L623" t="s">
        <v>3538</v>
      </c>
      <c r="M623" t="s">
        <v>3539</v>
      </c>
      <c r="N623" t="s">
        <v>3540</v>
      </c>
      <c r="O623" t="s">
        <v>26</v>
      </c>
      <c r="P623">
        <v>19.989999999999998</v>
      </c>
      <c r="R623">
        <v>19.989999999999998</v>
      </c>
      <c r="S623">
        <v>29.99</v>
      </c>
      <c r="T623" t="s">
        <v>3541</v>
      </c>
    </row>
    <row r="624" spans="1:20">
      <c r="A624">
        <v>611044</v>
      </c>
      <c r="B624" t="s">
        <v>3542</v>
      </c>
      <c r="C624" t="str">
        <f>"9781550025057"</f>
        <v>9781550025057</v>
      </c>
      <c r="D624" t="str">
        <f>"9781554881918"</f>
        <v>9781554881918</v>
      </c>
      <c r="E624" t="s">
        <v>3488</v>
      </c>
      <c r="F624" t="s">
        <v>3488</v>
      </c>
      <c r="G624" s="1">
        <v>38078</v>
      </c>
      <c r="J624" t="s">
        <v>3543</v>
      </c>
      <c r="K624" t="s">
        <v>291</v>
      </c>
      <c r="L624" t="s">
        <v>3544</v>
      </c>
      <c r="M624" t="s">
        <v>3545</v>
      </c>
      <c r="N624" t="s">
        <v>3546</v>
      </c>
      <c r="O624" t="s">
        <v>26</v>
      </c>
      <c r="P624">
        <v>14.99</v>
      </c>
      <c r="R624">
        <v>14.99</v>
      </c>
      <c r="S624">
        <v>22.49</v>
      </c>
      <c r="T624" t="s">
        <v>3547</v>
      </c>
    </row>
    <row r="625" spans="1:20">
      <c r="A625">
        <v>611064</v>
      </c>
      <c r="B625" t="s">
        <v>3548</v>
      </c>
      <c r="C625" t="str">
        <f>"9781550021882"</f>
        <v>9781550021882</v>
      </c>
      <c r="D625" t="str">
        <f>"9781459722392"</f>
        <v>9781459722392</v>
      </c>
      <c r="E625" t="s">
        <v>3488</v>
      </c>
      <c r="F625" t="s">
        <v>3488</v>
      </c>
      <c r="G625" s="1">
        <v>41786</v>
      </c>
      <c r="J625" t="s">
        <v>3549</v>
      </c>
      <c r="K625" t="s">
        <v>1471</v>
      </c>
      <c r="L625" t="s">
        <v>3550</v>
      </c>
      <c r="M625">
        <v>759.11</v>
      </c>
      <c r="N625" t="s">
        <v>3551</v>
      </c>
      <c r="O625" t="s">
        <v>26</v>
      </c>
      <c r="P625">
        <v>24.99</v>
      </c>
      <c r="R625">
        <v>24.99</v>
      </c>
      <c r="S625">
        <v>37.49</v>
      </c>
      <c r="T625" t="s">
        <v>3552</v>
      </c>
    </row>
    <row r="626" spans="1:20">
      <c r="A626">
        <v>611113</v>
      </c>
      <c r="B626" t="s">
        <v>3553</v>
      </c>
      <c r="C626" t="str">
        <f>"9781550020212"</f>
        <v>9781550020212</v>
      </c>
      <c r="D626" t="str">
        <f>"9781459722408"</f>
        <v>9781459722408</v>
      </c>
      <c r="E626" t="s">
        <v>3488</v>
      </c>
      <c r="F626" t="s">
        <v>3488</v>
      </c>
      <c r="G626" s="1">
        <v>41786</v>
      </c>
      <c r="J626" t="s">
        <v>3554</v>
      </c>
      <c r="K626" t="s">
        <v>1471</v>
      </c>
      <c r="L626" t="s">
        <v>3555</v>
      </c>
      <c r="M626">
        <v>759.2</v>
      </c>
      <c r="N626" t="s">
        <v>3556</v>
      </c>
      <c r="O626" t="s">
        <v>26</v>
      </c>
      <c r="P626">
        <v>9.99</v>
      </c>
      <c r="R626">
        <v>9.99</v>
      </c>
      <c r="S626">
        <v>14.99</v>
      </c>
      <c r="T626" t="s">
        <v>3557</v>
      </c>
    </row>
    <row r="627" spans="1:20">
      <c r="A627">
        <v>611208</v>
      </c>
      <c r="B627" t="s">
        <v>3558</v>
      </c>
      <c r="C627" t="str">
        <f>"9781550023152"</f>
        <v>9781550023152</v>
      </c>
      <c r="D627" t="str">
        <f>"9781459722415"</f>
        <v>9781459722415</v>
      </c>
      <c r="E627" t="s">
        <v>3488</v>
      </c>
      <c r="F627" t="s">
        <v>3488</v>
      </c>
      <c r="G627" s="1">
        <v>36069</v>
      </c>
      <c r="J627" t="s">
        <v>3525</v>
      </c>
      <c r="K627" t="s">
        <v>1471</v>
      </c>
      <c r="L627" t="s">
        <v>3559</v>
      </c>
      <c r="M627" t="s">
        <v>3560</v>
      </c>
      <c r="N627" t="s">
        <v>3561</v>
      </c>
      <c r="O627" t="s">
        <v>26</v>
      </c>
      <c r="P627">
        <v>14.99</v>
      </c>
      <c r="R627">
        <v>14.99</v>
      </c>
      <c r="S627">
        <v>22.49</v>
      </c>
      <c r="T627" t="s">
        <v>3562</v>
      </c>
    </row>
    <row r="628" spans="1:20">
      <c r="A628">
        <v>611235</v>
      </c>
      <c r="B628" t="s">
        <v>3563</v>
      </c>
      <c r="C628" t="str">
        <f>"9781550024753"</f>
        <v>9781550024753</v>
      </c>
      <c r="D628" t="str">
        <f>"9781554884766"</f>
        <v>9781554884766</v>
      </c>
      <c r="E628" t="s">
        <v>3488</v>
      </c>
      <c r="F628" t="s">
        <v>3488</v>
      </c>
      <c r="G628" s="1">
        <v>37895</v>
      </c>
      <c r="I628" t="s">
        <v>3564</v>
      </c>
      <c r="J628" t="s">
        <v>3565</v>
      </c>
      <c r="K628" t="s">
        <v>1458</v>
      </c>
      <c r="L628" t="s">
        <v>3566</v>
      </c>
      <c r="M628">
        <v>813.54</v>
      </c>
      <c r="N628" t="s">
        <v>3567</v>
      </c>
      <c r="O628" t="s">
        <v>26</v>
      </c>
      <c r="P628">
        <v>8.99</v>
      </c>
      <c r="R628">
        <v>8.99</v>
      </c>
      <c r="S628">
        <v>13.49</v>
      </c>
      <c r="T628" t="s">
        <v>3568</v>
      </c>
    </row>
    <row r="629" spans="1:20">
      <c r="A629">
        <v>611262</v>
      </c>
      <c r="B629" t="s">
        <v>3569</v>
      </c>
      <c r="C629" t="str">
        <f>"9781550026344"</f>
        <v>9781550026344</v>
      </c>
      <c r="D629" t="str">
        <f>"9781554885039"</f>
        <v>9781554885039</v>
      </c>
      <c r="E629" t="s">
        <v>3488</v>
      </c>
      <c r="F629" t="s">
        <v>3488</v>
      </c>
      <c r="G629" s="1">
        <v>38961</v>
      </c>
      <c r="I629" t="s">
        <v>3570</v>
      </c>
      <c r="J629" t="s">
        <v>3571</v>
      </c>
      <c r="K629" t="s">
        <v>3572</v>
      </c>
      <c r="L629" t="s">
        <v>3573</v>
      </c>
      <c r="M629" t="s">
        <v>3574</v>
      </c>
      <c r="N629" t="s">
        <v>3575</v>
      </c>
      <c r="O629" t="s">
        <v>26</v>
      </c>
      <c r="P629">
        <v>8.99</v>
      </c>
      <c r="R629">
        <v>8.99</v>
      </c>
      <c r="S629">
        <v>13.49</v>
      </c>
      <c r="T629" t="s">
        <v>3576</v>
      </c>
    </row>
    <row r="630" spans="1:20">
      <c r="A630">
        <v>611267</v>
      </c>
      <c r="B630" t="s">
        <v>3577</v>
      </c>
      <c r="C630" t="str">
        <f>"9780888784162"</f>
        <v>9780888784162</v>
      </c>
      <c r="D630" t="str">
        <f>"9781459702608"</f>
        <v>9781459702608</v>
      </c>
      <c r="E630" t="s">
        <v>3488</v>
      </c>
      <c r="F630" t="s">
        <v>3488</v>
      </c>
      <c r="G630" s="1">
        <v>37211</v>
      </c>
      <c r="J630" t="s">
        <v>3578</v>
      </c>
      <c r="K630" t="s">
        <v>1458</v>
      </c>
      <c r="L630" t="s">
        <v>3579</v>
      </c>
      <c r="M630" t="s">
        <v>3580</v>
      </c>
      <c r="N630" t="s">
        <v>3581</v>
      </c>
      <c r="O630" t="s">
        <v>26</v>
      </c>
      <c r="P630">
        <v>9.99</v>
      </c>
      <c r="R630">
        <v>9.99</v>
      </c>
      <c r="S630">
        <v>14.99</v>
      </c>
      <c r="T630" t="s">
        <v>3582</v>
      </c>
    </row>
    <row r="631" spans="1:20">
      <c r="A631">
        <v>611298</v>
      </c>
      <c r="B631" t="s">
        <v>3583</v>
      </c>
      <c r="C631" t="str">
        <f>"9781550028270"</f>
        <v>9781550028270</v>
      </c>
      <c r="D631" t="str">
        <f>"9781459703049"</f>
        <v>9781459703049</v>
      </c>
      <c r="E631" t="s">
        <v>3488</v>
      </c>
      <c r="F631" t="s">
        <v>3488</v>
      </c>
      <c r="G631" s="1">
        <v>39881</v>
      </c>
      <c r="H631">
        <v>2</v>
      </c>
      <c r="J631" t="s">
        <v>3584</v>
      </c>
      <c r="K631" t="s">
        <v>3585</v>
      </c>
      <c r="L631" t="s">
        <v>3586</v>
      </c>
      <c r="M631" t="s">
        <v>3574</v>
      </c>
      <c r="N631" t="s">
        <v>3587</v>
      </c>
      <c r="O631" t="s">
        <v>26</v>
      </c>
      <c r="P631">
        <v>8.99</v>
      </c>
      <c r="R631">
        <v>8.99</v>
      </c>
      <c r="S631">
        <v>13.49</v>
      </c>
      <c r="T631" t="s">
        <v>3588</v>
      </c>
    </row>
    <row r="632" spans="1:20">
      <c r="A632">
        <v>611310</v>
      </c>
      <c r="B632" t="s">
        <v>3589</v>
      </c>
      <c r="C632" t="str">
        <f>"9780888783738"</f>
        <v>9780888783738</v>
      </c>
      <c r="D632" t="str">
        <f>"9781554885527"</f>
        <v>9781554885527</v>
      </c>
      <c r="E632" t="s">
        <v>3488</v>
      </c>
      <c r="F632" t="s">
        <v>3488</v>
      </c>
      <c r="G632" s="1">
        <v>35324</v>
      </c>
      <c r="J632" t="s">
        <v>3590</v>
      </c>
      <c r="K632" t="s">
        <v>1458</v>
      </c>
      <c r="L632" t="s">
        <v>3591</v>
      </c>
      <c r="M632" t="s">
        <v>1567</v>
      </c>
      <c r="N632" t="s">
        <v>3592</v>
      </c>
      <c r="O632" t="s">
        <v>26</v>
      </c>
      <c r="P632">
        <v>9.99</v>
      </c>
      <c r="R632">
        <v>9.99</v>
      </c>
      <c r="S632">
        <v>14.99</v>
      </c>
      <c r="T632" t="s">
        <v>3593</v>
      </c>
    </row>
    <row r="633" spans="1:20">
      <c r="A633">
        <v>611312</v>
      </c>
      <c r="B633" t="s">
        <v>3594</v>
      </c>
      <c r="C633" t="str">
        <f>"9780888783745"</f>
        <v>9780888783745</v>
      </c>
      <c r="D633" t="str">
        <f>"9781554885541"</f>
        <v>9781554885541</v>
      </c>
      <c r="E633" t="s">
        <v>3488</v>
      </c>
      <c r="F633" t="s">
        <v>3488</v>
      </c>
      <c r="G633" s="1">
        <v>35521</v>
      </c>
      <c r="J633" t="s">
        <v>3595</v>
      </c>
      <c r="K633" t="s">
        <v>1458</v>
      </c>
      <c r="L633" t="s">
        <v>3596</v>
      </c>
      <c r="M633" t="s">
        <v>3580</v>
      </c>
      <c r="N633" t="s">
        <v>3597</v>
      </c>
      <c r="O633" t="s">
        <v>26</v>
      </c>
      <c r="P633">
        <v>9.99</v>
      </c>
      <c r="R633">
        <v>9.99</v>
      </c>
      <c r="S633">
        <v>14.99</v>
      </c>
      <c r="T633" t="s">
        <v>3598</v>
      </c>
    </row>
    <row r="634" spans="1:20">
      <c r="A634">
        <v>611333</v>
      </c>
      <c r="B634" t="s">
        <v>3599</v>
      </c>
      <c r="C634" t="str">
        <f>"9780888783868"</f>
        <v>9780888783868</v>
      </c>
      <c r="D634" t="str">
        <f>"9781554885756"</f>
        <v>9781554885756</v>
      </c>
      <c r="E634" t="s">
        <v>3488</v>
      </c>
      <c r="F634" t="s">
        <v>3488</v>
      </c>
      <c r="G634" s="1">
        <v>36054</v>
      </c>
      <c r="J634" t="s">
        <v>3600</v>
      </c>
      <c r="K634" t="s">
        <v>3572</v>
      </c>
      <c r="L634" t="s">
        <v>3601</v>
      </c>
      <c r="M634" t="s">
        <v>1460</v>
      </c>
      <c r="N634" t="s">
        <v>3602</v>
      </c>
      <c r="O634" t="s">
        <v>26</v>
      </c>
      <c r="P634">
        <v>9.99</v>
      </c>
      <c r="R634">
        <v>9.99</v>
      </c>
      <c r="S634">
        <v>14.99</v>
      </c>
      <c r="T634" t="s">
        <v>3603</v>
      </c>
    </row>
    <row r="635" spans="1:20">
      <c r="A635">
        <v>611353</v>
      </c>
      <c r="B635" t="s">
        <v>3604</v>
      </c>
      <c r="C635" t="str">
        <f>"9780888783639"</f>
        <v>9780888783639</v>
      </c>
      <c r="D635" t="str">
        <f>"9781554885961"</f>
        <v>9781554885961</v>
      </c>
      <c r="E635" t="s">
        <v>3488</v>
      </c>
      <c r="F635" t="s">
        <v>3488</v>
      </c>
      <c r="G635" s="1">
        <v>34896</v>
      </c>
      <c r="J635" t="s">
        <v>3605</v>
      </c>
      <c r="K635" t="s">
        <v>1458</v>
      </c>
      <c r="L635" t="s">
        <v>3606</v>
      </c>
      <c r="M635" t="s">
        <v>1460</v>
      </c>
      <c r="N635" t="s">
        <v>3607</v>
      </c>
      <c r="O635" t="s">
        <v>26</v>
      </c>
      <c r="P635">
        <v>7.99</v>
      </c>
      <c r="R635">
        <v>7.99</v>
      </c>
      <c r="S635">
        <v>11.99</v>
      </c>
      <c r="T635" t="s">
        <v>3608</v>
      </c>
    </row>
    <row r="636" spans="1:20">
      <c r="A636">
        <v>611369</v>
      </c>
      <c r="B636" t="s">
        <v>3609</v>
      </c>
      <c r="C636" t="str">
        <f>"9781550028102"</f>
        <v>9781550028102</v>
      </c>
      <c r="D636" t="str">
        <f>"9781554886128"</f>
        <v>9781554886128</v>
      </c>
      <c r="E636" t="s">
        <v>3488</v>
      </c>
      <c r="F636" t="s">
        <v>3488</v>
      </c>
      <c r="G636" s="1">
        <v>39640</v>
      </c>
      <c r="J636" t="s">
        <v>3610</v>
      </c>
      <c r="K636" t="s">
        <v>3572</v>
      </c>
      <c r="L636" t="s">
        <v>3611</v>
      </c>
      <c r="M636" t="s">
        <v>3612</v>
      </c>
      <c r="N636" t="s">
        <v>3613</v>
      </c>
      <c r="O636" t="s">
        <v>26</v>
      </c>
      <c r="P636">
        <v>8.99</v>
      </c>
      <c r="R636">
        <v>8.99</v>
      </c>
      <c r="S636">
        <v>13.49</v>
      </c>
      <c r="T636" t="s">
        <v>3614</v>
      </c>
    </row>
    <row r="637" spans="1:20">
      <c r="A637">
        <v>611382</v>
      </c>
      <c r="B637" t="s">
        <v>3615</v>
      </c>
      <c r="C637" t="str">
        <f>"9780888783851"</f>
        <v>9780888783851</v>
      </c>
      <c r="D637" t="str">
        <f>"9781554886258"</f>
        <v>9781554886258</v>
      </c>
      <c r="E637" t="s">
        <v>3488</v>
      </c>
      <c r="F637" t="s">
        <v>3488</v>
      </c>
      <c r="G637" s="1">
        <v>35855</v>
      </c>
      <c r="J637" t="s">
        <v>3616</v>
      </c>
      <c r="K637" t="s">
        <v>3617</v>
      </c>
      <c r="L637" t="s">
        <v>3618</v>
      </c>
      <c r="M637">
        <v>813.54</v>
      </c>
      <c r="N637" t="s">
        <v>3619</v>
      </c>
      <c r="O637" t="s">
        <v>26</v>
      </c>
      <c r="P637">
        <v>7.99</v>
      </c>
      <c r="R637">
        <v>7.99</v>
      </c>
      <c r="S637">
        <v>11.99</v>
      </c>
      <c r="T637" t="s">
        <v>3620</v>
      </c>
    </row>
    <row r="638" spans="1:20">
      <c r="A638">
        <v>611398</v>
      </c>
      <c r="B638" t="s">
        <v>3621</v>
      </c>
      <c r="C638" t="str">
        <f>"9781550027181"</f>
        <v>9781550027181</v>
      </c>
      <c r="D638" t="str">
        <f>"9781459703025"</f>
        <v>9781459703025</v>
      </c>
      <c r="E638" t="s">
        <v>3488</v>
      </c>
      <c r="F638" t="s">
        <v>3488</v>
      </c>
      <c r="G638" s="1">
        <v>39881</v>
      </c>
      <c r="J638" t="s">
        <v>3622</v>
      </c>
      <c r="K638" t="s">
        <v>3572</v>
      </c>
      <c r="L638" t="s">
        <v>3623</v>
      </c>
      <c r="M638" t="s">
        <v>3574</v>
      </c>
      <c r="N638" t="s">
        <v>3624</v>
      </c>
      <c r="O638" t="s">
        <v>26</v>
      </c>
      <c r="P638">
        <v>8.99</v>
      </c>
      <c r="R638">
        <v>8.99</v>
      </c>
      <c r="S638">
        <v>13.49</v>
      </c>
      <c r="T638" t="s">
        <v>3625</v>
      </c>
    </row>
    <row r="639" spans="1:20">
      <c r="A639">
        <v>611399</v>
      </c>
      <c r="B639" t="s">
        <v>3626</v>
      </c>
      <c r="C639" t="str">
        <f>"9781550028300"</f>
        <v>9781550028300</v>
      </c>
      <c r="D639" t="str">
        <f>"9781459703070"</f>
        <v>9781459703070</v>
      </c>
      <c r="E639" t="s">
        <v>3488</v>
      </c>
      <c r="F639" t="s">
        <v>3488</v>
      </c>
      <c r="G639" s="1">
        <v>39874</v>
      </c>
      <c r="J639" t="s">
        <v>3571</v>
      </c>
      <c r="K639" t="s">
        <v>3572</v>
      </c>
      <c r="L639" t="s">
        <v>3627</v>
      </c>
      <c r="M639" t="s">
        <v>3574</v>
      </c>
      <c r="N639" t="s">
        <v>3628</v>
      </c>
      <c r="O639" t="s">
        <v>26</v>
      </c>
      <c r="P639">
        <v>8.99</v>
      </c>
      <c r="R639">
        <v>8.99</v>
      </c>
      <c r="S639">
        <v>13.49</v>
      </c>
      <c r="T639" t="s">
        <v>3629</v>
      </c>
    </row>
    <row r="640" spans="1:20">
      <c r="A640">
        <v>611411</v>
      </c>
      <c r="B640" t="s">
        <v>3630</v>
      </c>
      <c r="C640" t="str">
        <f>"9780888784346"</f>
        <v>9780888784346</v>
      </c>
      <c r="D640" t="str">
        <f>"9781554886548"</f>
        <v>9781554886548</v>
      </c>
      <c r="E640" t="s">
        <v>3488</v>
      </c>
      <c r="F640" t="s">
        <v>3488</v>
      </c>
      <c r="G640" s="1">
        <v>37575</v>
      </c>
      <c r="J640" t="s">
        <v>3631</v>
      </c>
      <c r="K640" t="s">
        <v>1458</v>
      </c>
      <c r="L640" t="s">
        <v>3632</v>
      </c>
      <c r="M640" t="s">
        <v>3580</v>
      </c>
      <c r="N640" t="s">
        <v>3633</v>
      </c>
      <c r="O640" t="s">
        <v>26</v>
      </c>
      <c r="P640">
        <v>9.99</v>
      </c>
      <c r="R640">
        <v>9.99</v>
      </c>
      <c r="S640">
        <v>14.99</v>
      </c>
      <c r="T640" t="s">
        <v>3634</v>
      </c>
    </row>
    <row r="641" spans="1:20">
      <c r="A641">
        <v>611427</v>
      </c>
      <c r="B641" t="s">
        <v>3635</v>
      </c>
      <c r="C641" t="str">
        <f>"9781554881758"</f>
        <v>9781554881758</v>
      </c>
      <c r="D641" t="str">
        <f>"9781459703100"</f>
        <v>9781459703100</v>
      </c>
      <c r="E641" t="s">
        <v>3488</v>
      </c>
      <c r="F641" t="s">
        <v>3488</v>
      </c>
      <c r="G641" s="1">
        <v>39867</v>
      </c>
      <c r="J641" t="s">
        <v>3636</v>
      </c>
      <c r="K641" t="s">
        <v>3637</v>
      </c>
      <c r="L641" t="s">
        <v>3638</v>
      </c>
      <c r="M641" t="s">
        <v>3574</v>
      </c>
      <c r="N641" t="s">
        <v>3639</v>
      </c>
      <c r="O641" t="s">
        <v>26</v>
      </c>
      <c r="P641">
        <v>11.99</v>
      </c>
      <c r="R641">
        <v>11.99</v>
      </c>
      <c r="S641">
        <v>17.989999999999998</v>
      </c>
      <c r="T641" t="s">
        <v>3640</v>
      </c>
    </row>
    <row r="642" spans="1:20">
      <c r="A642">
        <v>611428</v>
      </c>
      <c r="B642" t="s">
        <v>3641</v>
      </c>
      <c r="C642" t="str">
        <f>"9780888784209"</f>
        <v>9780888784209</v>
      </c>
      <c r="D642" t="str">
        <f>"9781459702622"</f>
        <v>9781459702622</v>
      </c>
      <c r="E642" t="s">
        <v>3488</v>
      </c>
      <c r="F642" t="s">
        <v>3488</v>
      </c>
      <c r="G642" s="1">
        <v>38961</v>
      </c>
      <c r="J642" t="s">
        <v>3636</v>
      </c>
      <c r="K642" t="s">
        <v>1458</v>
      </c>
      <c r="L642" t="s">
        <v>3642</v>
      </c>
      <c r="M642">
        <v>813.54</v>
      </c>
      <c r="N642" t="s">
        <v>3643</v>
      </c>
      <c r="O642" t="s">
        <v>26</v>
      </c>
      <c r="P642">
        <v>5.95</v>
      </c>
      <c r="R642">
        <v>5.95</v>
      </c>
      <c r="S642">
        <v>8.93</v>
      </c>
      <c r="T642" t="s">
        <v>3644</v>
      </c>
    </row>
    <row r="643" spans="1:20">
      <c r="A643">
        <v>611429</v>
      </c>
      <c r="B643" t="s">
        <v>3645</v>
      </c>
      <c r="C643" t="str">
        <f>"9781550026313"</f>
        <v>9781550026313</v>
      </c>
      <c r="D643" t="str">
        <f>"9781459702974"</f>
        <v>9781459702974</v>
      </c>
      <c r="E643" t="s">
        <v>3488</v>
      </c>
      <c r="F643" t="s">
        <v>3488</v>
      </c>
      <c r="G643" s="1">
        <v>38961</v>
      </c>
      <c r="J643" t="s">
        <v>3636</v>
      </c>
      <c r="K643" t="s">
        <v>3646</v>
      </c>
      <c r="L643" t="s">
        <v>3647</v>
      </c>
      <c r="M643" t="s">
        <v>3574</v>
      </c>
      <c r="N643" t="s">
        <v>3648</v>
      </c>
      <c r="O643" t="s">
        <v>26</v>
      </c>
      <c r="P643">
        <v>10.99</v>
      </c>
      <c r="R643">
        <v>10.99</v>
      </c>
      <c r="S643">
        <v>16.489999999999998</v>
      </c>
      <c r="T643" t="s">
        <v>3649</v>
      </c>
    </row>
    <row r="644" spans="1:20">
      <c r="A644">
        <v>611435</v>
      </c>
      <c r="B644" t="s">
        <v>3650</v>
      </c>
      <c r="C644" t="str">
        <f>"9781550025842"</f>
        <v>9781550025842</v>
      </c>
      <c r="D644" t="str">
        <f>"9781554886791"</f>
        <v>9781554886791</v>
      </c>
      <c r="E644" t="s">
        <v>3488</v>
      </c>
      <c r="F644" t="s">
        <v>3488</v>
      </c>
      <c r="G644" s="1">
        <v>39141</v>
      </c>
      <c r="J644" t="s">
        <v>3651</v>
      </c>
      <c r="K644" t="s">
        <v>1458</v>
      </c>
      <c r="L644" t="s">
        <v>3652</v>
      </c>
      <c r="M644">
        <v>813.54</v>
      </c>
      <c r="O644" t="s">
        <v>26</v>
      </c>
      <c r="P644">
        <v>9.99</v>
      </c>
      <c r="R644">
        <v>9.99</v>
      </c>
      <c r="S644">
        <v>14.99</v>
      </c>
      <c r="T644" t="s">
        <v>3653</v>
      </c>
    </row>
    <row r="645" spans="1:20">
      <c r="A645">
        <v>611436</v>
      </c>
      <c r="B645" t="s">
        <v>3654</v>
      </c>
      <c r="C645" t="str">
        <f>"9780888783790"</f>
        <v>9780888783790</v>
      </c>
      <c r="D645" t="str">
        <f>"9781554886807"</f>
        <v>9781554886807</v>
      </c>
      <c r="E645" t="s">
        <v>3488</v>
      </c>
      <c r="F645" t="s">
        <v>3488</v>
      </c>
      <c r="G645" s="1">
        <v>35674</v>
      </c>
      <c r="J645" t="s">
        <v>3655</v>
      </c>
      <c r="K645" t="s">
        <v>3572</v>
      </c>
      <c r="L645" t="s">
        <v>3656</v>
      </c>
      <c r="M645">
        <v>813</v>
      </c>
      <c r="N645" t="s">
        <v>3657</v>
      </c>
      <c r="O645" t="s">
        <v>26</v>
      </c>
      <c r="P645">
        <v>4.99</v>
      </c>
      <c r="R645">
        <v>4.99</v>
      </c>
      <c r="S645">
        <v>7.49</v>
      </c>
      <c r="T645" t="s">
        <v>3658</v>
      </c>
    </row>
    <row r="646" spans="1:20">
      <c r="A646">
        <v>611444</v>
      </c>
      <c r="B646" t="s">
        <v>3659</v>
      </c>
      <c r="C646" t="str">
        <f>"9781550026535"</f>
        <v>9781550026535</v>
      </c>
      <c r="D646" t="str">
        <f>"9781554886883"</f>
        <v>9781554886883</v>
      </c>
      <c r="E646" t="s">
        <v>3488</v>
      </c>
      <c r="F646" t="s">
        <v>3488</v>
      </c>
      <c r="G646" s="1">
        <v>34075</v>
      </c>
      <c r="J646" t="s">
        <v>3660</v>
      </c>
      <c r="K646" t="s">
        <v>3572</v>
      </c>
      <c r="L646" t="s">
        <v>3661</v>
      </c>
      <c r="M646" t="s">
        <v>3574</v>
      </c>
      <c r="N646" t="s">
        <v>3662</v>
      </c>
      <c r="O646" t="s">
        <v>26</v>
      </c>
      <c r="P646">
        <v>8.99</v>
      </c>
      <c r="R646">
        <v>8.99</v>
      </c>
      <c r="S646">
        <v>13.49</v>
      </c>
      <c r="T646" t="s">
        <v>3663</v>
      </c>
    </row>
    <row r="647" spans="1:20">
      <c r="A647">
        <v>611446</v>
      </c>
      <c r="B647" t="s">
        <v>3664</v>
      </c>
      <c r="C647" t="str">
        <f>"9780888783844"</f>
        <v>9780888783844</v>
      </c>
      <c r="D647" t="str">
        <f>"9781554886906"</f>
        <v>9781554886906</v>
      </c>
      <c r="E647" t="s">
        <v>3488</v>
      </c>
      <c r="F647" t="s">
        <v>3488</v>
      </c>
      <c r="G647" s="1">
        <v>38961</v>
      </c>
      <c r="J647" t="s">
        <v>3571</v>
      </c>
      <c r="K647" t="s">
        <v>3572</v>
      </c>
      <c r="L647" t="s">
        <v>3665</v>
      </c>
      <c r="M647">
        <v>813</v>
      </c>
      <c r="N647" t="s">
        <v>3666</v>
      </c>
      <c r="O647" t="s">
        <v>26</v>
      </c>
      <c r="P647">
        <v>8.99</v>
      </c>
      <c r="R647">
        <v>8.99</v>
      </c>
      <c r="S647">
        <v>13.49</v>
      </c>
      <c r="T647" t="s">
        <v>3667</v>
      </c>
    </row>
    <row r="648" spans="1:20">
      <c r="A648">
        <v>611447</v>
      </c>
      <c r="B648" t="s">
        <v>3668</v>
      </c>
      <c r="C648" t="str">
        <f>"9781554884377"</f>
        <v>9781554884377</v>
      </c>
      <c r="D648" t="str">
        <f>"9781459703124"</f>
        <v>9781459703124</v>
      </c>
      <c r="E648" t="s">
        <v>3488</v>
      </c>
      <c r="F648" t="s">
        <v>3488</v>
      </c>
      <c r="G648" s="1">
        <v>39874</v>
      </c>
      <c r="J648" t="s">
        <v>3571</v>
      </c>
      <c r="K648" t="s">
        <v>3572</v>
      </c>
      <c r="L648" t="s">
        <v>3669</v>
      </c>
      <c r="M648" t="s">
        <v>3574</v>
      </c>
      <c r="N648" t="s">
        <v>3670</v>
      </c>
      <c r="O648" t="s">
        <v>26</v>
      </c>
      <c r="P648">
        <v>8.99</v>
      </c>
      <c r="R648">
        <v>8.99</v>
      </c>
      <c r="S648">
        <v>13.49</v>
      </c>
      <c r="T648" t="s">
        <v>3671</v>
      </c>
    </row>
    <row r="649" spans="1:20">
      <c r="A649">
        <v>611448</v>
      </c>
      <c r="B649" t="s">
        <v>3672</v>
      </c>
      <c r="C649" t="str">
        <f>"9781550025675"</f>
        <v>9781550025675</v>
      </c>
      <c r="D649" t="str">
        <f>"9781554886920"</f>
        <v>9781554886920</v>
      </c>
      <c r="E649" t="s">
        <v>3488</v>
      </c>
      <c r="F649" t="s">
        <v>3488</v>
      </c>
      <c r="G649" s="1">
        <v>38605</v>
      </c>
      <c r="J649" t="s">
        <v>3673</v>
      </c>
      <c r="K649" t="s">
        <v>1458</v>
      </c>
      <c r="L649" t="s">
        <v>3674</v>
      </c>
      <c r="M649" t="s">
        <v>1509</v>
      </c>
      <c r="N649" t="s">
        <v>3675</v>
      </c>
      <c r="O649" t="s">
        <v>26</v>
      </c>
      <c r="P649">
        <v>9.99</v>
      </c>
      <c r="R649">
        <v>9.99</v>
      </c>
      <c r="S649">
        <v>14.99</v>
      </c>
      <c r="T649" t="s">
        <v>3676</v>
      </c>
    </row>
    <row r="650" spans="1:20">
      <c r="A650">
        <v>611477</v>
      </c>
      <c r="B650" t="s">
        <v>3677</v>
      </c>
      <c r="C650" t="str">
        <f>"9780888822390"</f>
        <v>9780888822390</v>
      </c>
      <c r="D650" t="str">
        <f>"9781770700338"</f>
        <v>9781770700338</v>
      </c>
      <c r="E650" t="s">
        <v>3488</v>
      </c>
      <c r="F650" t="s">
        <v>3488</v>
      </c>
      <c r="G650" s="1">
        <v>37135</v>
      </c>
      <c r="I650" t="s">
        <v>3564</v>
      </c>
      <c r="J650" t="s">
        <v>3565</v>
      </c>
      <c r="K650" t="s">
        <v>1458</v>
      </c>
      <c r="L650" t="s">
        <v>3678</v>
      </c>
      <c r="M650">
        <v>813.54</v>
      </c>
      <c r="N650" t="s">
        <v>3679</v>
      </c>
      <c r="O650" t="s">
        <v>26</v>
      </c>
      <c r="P650">
        <v>8.99</v>
      </c>
      <c r="R650">
        <v>8.99</v>
      </c>
      <c r="S650">
        <v>13.49</v>
      </c>
      <c r="T650" t="s">
        <v>3680</v>
      </c>
    </row>
    <row r="651" spans="1:20">
      <c r="A651">
        <v>611527</v>
      </c>
      <c r="B651" t="s">
        <v>3681</v>
      </c>
      <c r="C651" t="str">
        <f>"9781550022766"</f>
        <v>9781550022766</v>
      </c>
      <c r="D651" t="str">
        <f>"9781770700833"</f>
        <v>9781770700833</v>
      </c>
      <c r="E651" t="s">
        <v>3488</v>
      </c>
      <c r="F651" t="s">
        <v>3488</v>
      </c>
      <c r="G651" s="1">
        <v>35674</v>
      </c>
      <c r="J651" t="s">
        <v>3682</v>
      </c>
      <c r="K651" t="s">
        <v>1464</v>
      </c>
      <c r="L651" t="s">
        <v>3683</v>
      </c>
      <c r="M651" t="s">
        <v>3684</v>
      </c>
      <c r="N651" t="s">
        <v>3685</v>
      </c>
      <c r="O651" t="s">
        <v>26</v>
      </c>
      <c r="P651">
        <v>12.99</v>
      </c>
      <c r="R651">
        <v>12.99</v>
      </c>
      <c r="S651">
        <v>19.489999999999998</v>
      </c>
      <c r="T651" t="s">
        <v>3686</v>
      </c>
    </row>
    <row r="652" spans="1:20">
      <c r="A652">
        <v>611548</v>
      </c>
      <c r="B652" t="s">
        <v>3687</v>
      </c>
      <c r="C652" t="str">
        <f>"9781550023695"</f>
        <v>9781550023695</v>
      </c>
      <c r="D652" t="str">
        <f>"9781770701052"</f>
        <v>9781770701052</v>
      </c>
      <c r="E652" t="s">
        <v>3488</v>
      </c>
      <c r="F652" t="s">
        <v>3488</v>
      </c>
      <c r="G652" s="1">
        <v>37135</v>
      </c>
      <c r="J652" t="s">
        <v>3322</v>
      </c>
      <c r="K652" t="s">
        <v>291</v>
      </c>
      <c r="L652" t="s">
        <v>3688</v>
      </c>
      <c r="M652" t="s">
        <v>3689</v>
      </c>
      <c r="N652" t="s">
        <v>3690</v>
      </c>
      <c r="O652" t="s">
        <v>26</v>
      </c>
      <c r="P652">
        <v>11.99</v>
      </c>
      <c r="R652">
        <v>11.99</v>
      </c>
      <c r="S652">
        <v>17.989999999999998</v>
      </c>
      <c r="T652" t="s">
        <v>3691</v>
      </c>
    </row>
    <row r="653" spans="1:20">
      <c r="A653">
        <v>611573</v>
      </c>
      <c r="B653" t="s">
        <v>3692</v>
      </c>
      <c r="C653" t="str">
        <f>"9781550024173"</f>
        <v>9781550024173</v>
      </c>
      <c r="D653" t="str">
        <f>"9781770701304"</f>
        <v>9781770701304</v>
      </c>
      <c r="E653" t="s">
        <v>3488</v>
      </c>
      <c r="F653" t="s">
        <v>3488</v>
      </c>
      <c r="G653" s="1">
        <v>41898</v>
      </c>
      <c r="I653" t="s">
        <v>3693</v>
      </c>
      <c r="J653" t="s">
        <v>3322</v>
      </c>
      <c r="K653" t="s">
        <v>1458</v>
      </c>
      <c r="L653" t="s">
        <v>3694</v>
      </c>
      <c r="M653">
        <v>813.6</v>
      </c>
      <c r="N653" t="s">
        <v>3695</v>
      </c>
      <c r="O653" t="s">
        <v>26</v>
      </c>
      <c r="P653">
        <v>8.99</v>
      </c>
      <c r="R653">
        <v>8.99</v>
      </c>
      <c r="S653">
        <v>13.49</v>
      </c>
      <c r="T653" t="s">
        <v>3696</v>
      </c>
    </row>
    <row r="654" spans="1:20">
      <c r="A654">
        <v>611622</v>
      </c>
      <c r="B654" t="s">
        <v>3697</v>
      </c>
      <c r="C654" t="str">
        <f>"9781550025231"</f>
        <v>9781550025231</v>
      </c>
      <c r="D654" t="str">
        <f>"9781770701793"</f>
        <v>9781770701793</v>
      </c>
      <c r="E654" t="s">
        <v>3488</v>
      </c>
      <c r="F654" t="s">
        <v>3488</v>
      </c>
      <c r="G654" s="1">
        <v>38261</v>
      </c>
      <c r="K654" t="s">
        <v>3230</v>
      </c>
      <c r="L654" t="s">
        <v>3698</v>
      </c>
      <c r="M654" t="s">
        <v>3699</v>
      </c>
      <c r="N654" t="s">
        <v>3700</v>
      </c>
      <c r="O654" t="s">
        <v>26</v>
      </c>
      <c r="P654">
        <v>14.99</v>
      </c>
      <c r="R654">
        <v>14.99</v>
      </c>
      <c r="S654">
        <v>22.49</v>
      </c>
      <c r="T654" t="s">
        <v>3701</v>
      </c>
    </row>
    <row r="655" spans="1:20">
      <c r="A655">
        <v>611625</v>
      </c>
      <c r="B655" t="s">
        <v>3702</v>
      </c>
      <c r="C655" t="str">
        <f>"9781550025323"</f>
        <v>9781550025323</v>
      </c>
      <c r="D655" t="str">
        <f>"9781770701823"</f>
        <v>9781770701823</v>
      </c>
      <c r="E655" t="s">
        <v>3488</v>
      </c>
      <c r="F655" t="s">
        <v>3488</v>
      </c>
      <c r="G655" s="1">
        <v>38231</v>
      </c>
      <c r="I655" t="s">
        <v>3693</v>
      </c>
      <c r="J655" t="s">
        <v>3322</v>
      </c>
      <c r="K655" t="s">
        <v>1458</v>
      </c>
      <c r="L655" t="s">
        <v>3703</v>
      </c>
      <c r="M655" t="s">
        <v>1509</v>
      </c>
      <c r="N655" t="s">
        <v>3704</v>
      </c>
      <c r="O655" t="s">
        <v>26</v>
      </c>
      <c r="P655">
        <v>8.99</v>
      </c>
      <c r="R655">
        <v>8.99</v>
      </c>
      <c r="S655">
        <v>13.49</v>
      </c>
      <c r="T655" t="s">
        <v>3705</v>
      </c>
    </row>
    <row r="656" spans="1:20">
      <c r="A656">
        <v>611639</v>
      </c>
      <c r="B656" t="s">
        <v>3706</v>
      </c>
      <c r="C656" t="str">
        <f>"9781550025651"</f>
        <v>9781550025651</v>
      </c>
      <c r="D656" t="str">
        <f>"9781770701960"</f>
        <v>9781770701960</v>
      </c>
      <c r="E656" t="s">
        <v>3488</v>
      </c>
      <c r="F656" t="s">
        <v>3488</v>
      </c>
      <c r="G656" s="1">
        <v>38473</v>
      </c>
      <c r="I656" t="s">
        <v>3707</v>
      </c>
      <c r="J656" t="s">
        <v>3708</v>
      </c>
      <c r="K656" t="s">
        <v>1458</v>
      </c>
      <c r="L656" t="s">
        <v>3709</v>
      </c>
      <c r="M656" t="s">
        <v>1509</v>
      </c>
      <c r="N656" t="s">
        <v>3710</v>
      </c>
      <c r="O656" t="s">
        <v>26</v>
      </c>
      <c r="P656">
        <v>8.99</v>
      </c>
      <c r="R656">
        <v>8.99</v>
      </c>
      <c r="S656">
        <v>13.49</v>
      </c>
      <c r="T656" t="s">
        <v>3711</v>
      </c>
    </row>
    <row r="657" spans="1:20">
      <c r="A657">
        <v>611690</v>
      </c>
      <c r="B657" t="s">
        <v>3712</v>
      </c>
      <c r="C657" t="str">
        <f>"9781550026733"</f>
        <v>9781550026733</v>
      </c>
      <c r="D657" t="str">
        <f>"9781770702479"</f>
        <v>9781770702479</v>
      </c>
      <c r="E657" t="s">
        <v>3488</v>
      </c>
      <c r="F657" t="s">
        <v>3488</v>
      </c>
      <c r="G657" s="1">
        <v>39385</v>
      </c>
      <c r="I657" t="s">
        <v>3713</v>
      </c>
      <c r="J657" t="s">
        <v>3636</v>
      </c>
      <c r="K657" t="s">
        <v>3572</v>
      </c>
      <c r="L657" t="s">
        <v>3714</v>
      </c>
      <c r="M657" t="s">
        <v>3574</v>
      </c>
      <c r="N657" t="s">
        <v>3715</v>
      </c>
      <c r="O657" t="s">
        <v>26</v>
      </c>
      <c r="P657">
        <v>11.99</v>
      </c>
      <c r="R657">
        <v>11.99</v>
      </c>
      <c r="S657">
        <v>17.989999999999998</v>
      </c>
      <c r="T657" t="s">
        <v>3716</v>
      </c>
    </row>
    <row r="658" spans="1:20">
      <c r="A658">
        <v>611693</v>
      </c>
      <c r="B658" t="s">
        <v>3717</v>
      </c>
      <c r="C658" t="str">
        <f>"9781550026818"</f>
        <v>9781550026818</v>
      </c>
      <c r="D658" t="str">
        <f>"9781770702509"</f>
        <v>9781770702509</v>
      </c>
      <c r="E658" t="s">
        <v>3488</v>
      </c>
      <c r="F658" t="s">
        <v>3488</v>
      </c>
      <c r="G658" s="1">
        <v>39171</v>
      </c>
      <c r="I658" t="s">
        <v>3707</v>
      </c>
      <c r="J658" t="s">
        <v>3708</v>
      </c>
      <c r="K658" t="s">
        <v>1458</v>
      </c>
      <c r="L658" t="s">
        <v>3718</v>
      </c>
      <c r="M658" t="s">
        <v>1509</v>
      </c>
      <c r="N658" t="s">
        <v>3719</v>
      </c>
      <c r="O658" t="s">
        <v>26</v>
      </c>
      <c r="P658">
        <v>8.99</v>
      </c>
      <c r="R658">
        <v>8.99</v>
      </c>
      <c r="S658">
        <v>13.49</v>
      </c>
      <c r="T658" t="s">
        <v>3720</v>
      </c>
    </row>
    <row r="659" spans="1:20">
      <c r="A659">
        <v>611746</v>
      </c>
      <c r="B659" t="s">
        <v>3721</v>
      </c>
      <c r="C659" t="str">
        <f>"9781896219103"</f>
        <v>9781896219103</v>
      </c>
      <c r="D659" t="str">
        <f>"9781770703032"</f>
        <v>9781770703032</v>
      </c>
      <c r="E659" t="s">
        <v>3488</v>
      </c>
      <c r="F659" t="s">
        <v>3536</v>
      </c>
      <c r="G659" s="1">
        <v>39217</v>
      </c>
      <c r="H659">
        <v>2</v>
      </c>
      <c r="J659" t="s">
        <v>3722</v>
      </c>
      <c r="K659" t="s">
        <v>1530</v>
      </c>
      <c r="L659" t="s">
        <v>3723</v>
      </c>
      <c r="M659" t="s">
        <v>3724</v>
      </c>
      <c r="N659" t="s">
        <v>3725</v>
      </c>
      <c r="O659" t="s">
        <v>26</v>
      </c>
      <c r="P659">
        <v>23.99</v>
      </c>
      <c r="R659">
        <v>23.99</v>
      </c>
      <c r="S659">
        <v>35.99</v>
      </c>
      <c r="T659" t="s">
        <v>3726</v>
      </c>
    </row>
    <row r="660" spans="1:20">
      <c r="A660">
        <v>611780</v>
      </c>
      <c r="B660" t="s">
        <v>3727</v>
      </c>
      <c r="C660" t="str">
        <f>"9781550028133"</f>
        <v>9781550028133</v>
      </c>
      <c r="D660" t="str">
        <f>"9781770703377"</f>
        <v>9781770703377</v>
      </c>
      <c r="E660" t="s">
        <v>3488</v>
      </c>
      <c r="F660" t="s">
        <v>3488</v>
      </c>
      <c r="G660" s="1">
        <v>39594</v>
      </c>
      <c r="I660" t="s">
        <v>3707</v>
      </c>
      <c r="J660" t="s">
        <v>3708</v>
      </c>
      <c r="K660" t="s">
        <v>1458</v>
      </c>
      <c r="L660" t="s">
        <v>3728</v>
      </c>
      <c r="M660" t="s">
        <v>1509</v>
      </c>
      <c r="N660" t="s">
        <v>3710</v>
      </c>
      <c r="O660" t="s">
        <v>26</v>
      </c>
      <c r="P660">
        <v>8.99</v>
      </c>
      <c r="R660">
        <v>8.99</v>
      </c>
      <c r="S660">
        <v>13.49</v>
      </c>
      <c r="T660" t="s">
        <v>3729</v>
      </c>
    </row>
    <row r="661" spans="1:20">
      <c r="A661">
        <v>611789</v>
      </c>
      <c r="B661" t="s">
        <v>3730</v>
      </c>
      <c r="C661" t="str">
        <f>"9781550028379"</f>
        <v>9781550028379</v>
      </c>
      <c r="D661" t="str">
        <f>"9781770703469"</f>
        <v>9781770703469</v>
      </c>
      <c r="E661" t="s">
        <v>3488</v>
      </c>
      <c r="F661" t="s">
        <v>3488</v>
      </c>
      <c r="G661" s="1">
        <v>39825</v>
      </c>
      <c r="J661" t="s">
        <v>3731</v>
      </c>
      <c r="K661" t="s">
        <v>3572</v>
      </c>
      <c r="L661" t="s">
        <v>3732</v>
      </c>
      <c r="M661" t="s">
        <v>1509</v>
      </c>
      <c r="N661" t="s">
        <v>3733</v>
      </c>
      <c r="O661" t="s">
        <v>26</v>
      </c>
      <c r="P661">
        <v>8.99</v>
      </c>
      <c r="R661">
        <v>8.99</v>
      </c>
      <c r="S661">
        <v>13.49</v>
      </c>
      <c r="T661" t="s">
        <v>3734</v>
      </c>
    </row>
    <row r="662" spans="1:20">
      <c r="A662">
        <v>611791</v>
      </c>
      <c r="B662" t="s">
        <v>3735</v>
      </c>
      <c r="C662" t="str">
        <f>"9781550028409"</f>
        <v>9781550028409</v>
      </c>
      <c r="D662" t="str">
        <f>"9781770703483"</f>
        <v>9781770703483</v>
      </c>
      <c r="E662" t="s">
        <v>3488</v>
      </c>
      <c r="F662" t="s">
        <v>3488</v>
      </c>
      <c r="G662" s="1">
        <v>39825</v>
      </c>
      <c r="J662" t="s">
        <v>3736</v>
      </c>
      <c r="K662" t="s">
        <v>3572</v>
      </c>
      <c r="L662" t="s">
        <v>3737</v>
      </c>
      <c r="M662" t="s">
        <v>3612</v>
      </c>
      <c r="N662" t="s">
        <v>3738</v>
      </c>
      <c r="O662" t="s">
        <v>26</v>
      </c>
      <c r="P662">
        <v>8.99</v>
      </c>
      <c r="R662">
        <v>8.99</v>
      </c>
      <c r="S662">
        <v>13.49</v>
      </c>
      <c r="T662" t="s">
        <v>3739</v>
      </c>
    </row>
    <row r="663" spans="1:20">
      <c r="A663">
        <v>611798</v>
      </c>
      <c r="B663" t="s">
        <v>3740</v>
      </c>
      <c r="C663" t="str">
        <f>"9781550028478"</f>
        <v>9781550028478</v>
      </c>
      <c r="D663" t="str">
        <f>"9781770703551"</f>
        <v>9781770703551</v>
      </c>
      <c r="E663" t="s">
        <v>3488</v>
      </c>
      <c r="F663" t="s">
        <v>3488</v>
      </c>
      <c r="G663" s="1">
        <v>39832</v>
      </c>
      <c r="J663" t="s">
        <v>3741</v>
      </c>
      <c r="K663" t="s">
        <v>3572</v>
      </c>
      <c r="L663" t="s">
        <v>3742</v>
      </c>
      <c r="M663" t="s">
        <v>1460</v>
      </c>
      <c r="N663" t="s">
        <v>3743</v>
      </c>
      <c r="O663" t="s">
        <v>26</v>
      </c>
      <c r="P663">
        <v>8.99</v>
      </c>
      <c r="R663">
        <v>8.99</v>
      </c>
      <c r="S663">
        <v>13.49</v>
      </c>
      <c r="T663" t="s">
        <v>3744</v>
      </c>
    </row>
    <row r="664" spans="1:20">
      <c r="A664">
        <v>611801</v>
      </c>
      <c r="B664" t="s">
        <v>3745</v>
      </c>
      <c r="C664" t="str">
        <f>"9781550028508"</f>
        <v>9781550028508</v>
      </c>
      <c r="D664" t="str">
        <f>"9781770703582"</f>
        <v>9781770703582</v>
      </c>
      <c r="E664" t="s">
        <v>3488</v>
      </c>
      <c r="F664" t="s">
        <v>3488</v>
      </c>
      <c r="G664" s="1">
        <v>39824</v>
      </c>
      <c r="I664" t="s">
        <v>3746</v>
      </c>
      <c r="J664" t="s">
        <v>3747</v>
      </c>
      <c r="K664" t="s">
        <v>3572</v>
      </c>
      <c r="L664" t="s">
        <v>3748</v>
      </c>
      <c r="M664" t="s">
        <v>1460</v>
      </c>
      <c r="N664" t="s">
        <v>3749</v>
      </c>
      <c r="O664" t="s">
        <v>26</v>
      </c>
      <c r="P664">
        <v>3.99</v>
      </c>
      <c r="R664">
        <v>3.99</v>
      </c>
      <c r="S664">
        <v>5.99</v>
      </c>
      <c r="T664" t="s">
        <v>3750</v>
      </c>
    </row>
    <row r="665" spans="1:20">
      <c r="A665">
        <v>611806</v>
      </c>
      <c r="B665" t="s">
        <v>3751</v>
      </c>
      <c r="C665" t="str">
        <f>"9781550028553"</f>
        <v>9781550028553</v>
      </c>
      <c r="D665" t="str">
        <f>"9781770703636"</f>
        <v>9781770703636</v>
      </c>
      <c r="E665" t="s">
        <v>3488</v>
      </c>
      <c r="F665" t="s">
        <v>3488</v>
      </c>
      <c r="G665" s="1">
        <v>39853</v>
      </c>
      <c r="I665" t="s">
        <v>3752</v>
      </c>
      <c r="J665" t="s">
        <v>3753</v>
      </c>
      <c r="K665" t="s">
        <v>1458</v>
      </c>
      <c r="L665" t="s">
        <v>3754</v>
      </c>
      <c r="M665" t="s">
        <v>1509</v>
      </c>
      <c r="N665" t="s">
        <v>3755</v>
      </c>
      <c r="O665" t="s">
        <v>26</v>
      </c>
      <c r="P665">
        <v>8.99</v>
      </c>
      <c r="R665">
        <v>8.99</v>
      </c>
      <c r="S665">
        <v>13.49</v>
      </c>
      <c r="T665" t="s">
        <v>3756</v>
      </c>
    </row>
    <row r="666" spans="1:20">
      <c r="A666">
        <v>611807</v>
      </c>
      <c r="B666" t="s">
        <v>3757</v>
      </c>
      <c r="C666" t="str">
        <f>"9781550028591"</f>
        <v>9781550028591</v>
      </c>
      <c r="D666" t="str">
        <f>"9781770703643"</f>
        <v>9781770703643</v>
      </c>
      <c r="E666" t="s">
        <v>3488</v>
      </c>
      <c r="F666" t="s">
        <v>3488</v>
      </c>
      <c r="G666" s="1">
        <v>39881</v>
      </c>
      <c r="I666" t="s">
        <v>3758</v>
      </c>
      <c r="J666" t="s">
        <v>3759</v>
      </c>
      <c r="K666" t="s">
        <v>1458</v>
      </c>
      <c r="L666" t="s">
        <v>3760</v>
      </c>
      <c r="M666" t="s">
        <v>1460</v>
      </c>
      <c r="N666" t="s">
        <v>3761</v>
      </c>
      <c r="O666" t="s">
        <v>26</v>
      </c>
      <c r="P666">
        <v>8.99</v>
      </c>
      <c r="R666">
        <v>8.99</v>
      </c>
      <c r="S666">
        <v>13.49</v>
      </c>
      <c r="T666" t="s">
        <v>3762</v>
      </c>
    </row>
    <row r="667" spans="1:20">
      <c r="A667">
        <v>611820</v>
      </c>
      <c r="B667" t="s">
        <v>3763</v>
      </c>
      <c r="C667" t="str">
        <f>"9781550028775"</f>
        <v>9781550028775</v>
      </c>
      <c r="D667" t="str">
        <f>"9781770703773"</f>
        <v>9781770703773</v>
      </c>
      <c r="E667" t="s">
        <v>3488</v>
      </c>
      <c r="F667" t="s">
        <v>3488</v>
      </c>
      <c r="G667" s="1">
        <v>39853</v>
      </c>
      <c r="I667" t="s">
        <v>3764</v>
      </c>
      <c r="J667" t="s">
        <v>3765</v>
      </c>
      <c r="K667" t="s">
        <v>1458</v>
      </c>
      <c r="L667" t="s">
        <v>3766</v>
      </c>
      <c r="M667" t="s">
        <v>3215</v>
      </c>
      <c r="N667" t="s">
        <v>3767</v>
      </c>
      <c r="O667" t="s">
        <v>26</v>
      </c>
      <c r="P667">
        <v>9.99</v>
      </c>
      <c r="R667">
        <v>9.99</v>
      </c>
      <c r="S667">
        <v>14.99</v>
      </c>
      <c r="T667" t="s">
        <v>3768</v>
      </c>
    </row>
    <row r="668" spans="1:20">
      <c r="A668">
        <v>611821</v>
      </c>
      <c r="B668" t="s">
        <v>3769</v>
      </c>
      <c r="C668" t="str">
        <f>"9781550028782"</f>
        <v>9781550028782</v>
      </c>
      <c r="D668" t="str">
        <f>"9781770703780"</f>
        <v>9781770703780</v>
      </c>
      <c r="E668" t="s">
        <v>3488</v>
      </c>
      <c r="F668" t="s">
        <v>3488</v>
      </c>
      <c r="G668" s="1">
        <v>39874</v>
      </c>
      <c r="I668" t="s">
        <v>3764</v>
      </c>
      <c r="J668" t="s">
        <v>3765</v>
      </c>
      <c r="K668" t="s">
        <v>1458</v>
      </c>
      <c r="L668" t="s">
        <v>3770</v>
      </c>
      <c r="M668" t="s">
        <v>3215</v>
      </c>
      <c r="N668" t="s">
        <v>3771</v>
      </c>
      <c r="O668" t="s">
        <v>26</v>
      </c>
      <c r="P668">
        <v>9.99</v>
      </c>
      <c r="R668">
        <v>9.99</v>
      </c>
      <c r="S668">
        <v>14.99</v>
      </c>
      <c r="T668" t="s">
        <v>3772</v>
      </c>
    </row>
    <row r="669" spans="1:20">
      <c r="A669">
        <v>611828</v>
      </c>
      <c r="B669" t="s">
        <v>3773</v>
      </c>
      <c r="C669" t="str">
        <f>"9781554882304"</f>
        <v>9781554882304</v>
      </c>
      <c r="D669" t="str">
        <f>"9781770703865"</f>
        <v>9781770703865</v>
      </c>
      <c r="E669" t="s">
        <v>3488</v>
      </c>
      <c r="F669" t="s">
        <v>3488</v>
      </c>
      <c r="G669" s="1">
        <v>39937</v>
      </c>
      <c r="J669" t="s">
        <v>3774</v>
      </c>
      <c r="K669" t="s">
        <v>1458</v>
      </c>
      <c r="L669" t="s">
        <v>3775</v>
      </c>
      <c r="M669" t="s">
        <v>3612</v>
      </c>
      <c r="N669" t="s">
        <v>3776</v>
      </c>
      <c r="O669" t="s">
        <v>26</v>
      </c>
      <c r="P669">
        <v>8.99</v>
      </c>
      <c r="R669">
        <v>8.99</v>
      </c>
      <c r="S669">
        <v>13.49</v>
      </c>
      <c r="T669" t="s">
        <v>3777</v>
      </c>
    </row>
    <row r="670" spans="1:20">
      <c r="A670">
        <v>611843</v>
      </c>
      <c r="B670" t="s">
        <v>3778</v>
      </c>
      <c r="C670" t="str">
        <f>"9781554884056"</f>
        <v>9781554884056</v>
      </c>
      <c r="D670" t="str">
        <f>"9781770704015"</f>
        <v>9781770704015</v>
      </c>
      <c r="E670" t="s">
        <v>3488</v>
      </c>
      <c r="F670" t="s">
        <v>3488</v>
      </c>
      <c r="G670" s="1">
        <v>39916</v>
      </c>
      <c r="I670" t="s">
        <v>3779</v>
      </c>
      <c r="J670" t="s">
        <v>3780</v>
      </c>
      <c r="K670" t="s">
        <v>1458</v>
      </c>
      <c r="L670" t="s">
        <v>3781</v>
      </c>
      <c r="M670" t="s">
        <v>1509</v>
      </c>
      <c r="N670" t="s">
        <v>3782</v>
      </c>
      <c r="O670" t="s">
        <v>26</v>
      </c>
      <c r="P670">
        <v>8.99</v>
      </c>
      <c r="R670">
        <v>8.99</v>
      </c>
      <c r="S670">
        <v>13.49</v>
      </c>
      <c r="T670" t="s">
        <v>3783</v>
      </c>
    </row>
    <row r="671" spans="1:20">
      <c r="A671">
        <v>617510</v>
      </c>
      <c r="B671" t="s">
        <v>3784</v>
      </c>
      <c r="C671" t="str">
        <f>"9781897425015"</f>
        <v>9781897425015</v>
      </c>
      <c r="D671" t="str">
        <f>"9781897425169"</f>
        <v>9781897425169</v>
      </c>
      <c r="E671" t="s">
        <v>3785</v>
      </c>
      <c r="F671" t="s">
        <v>3786</v>
      </c>
      <c r="G671" s="1">
        <v>39508</v>
      </c>
      <c r="J671" t="s">
        <v>3787</v>
      </c>
      <c r="K671" t="s">
        <v>291</v>
      </c>
      <c r="L671" t="s">
        <v>3788</v>
      </c>
      <c r="M671" t="s">
        <v>3789</v>
      </c>
      <c r="N671" t="s">
        <v>3790</v>
      </c>
      <c r="O671" t="s">
        <v>26</v>
      </c>
      <c r="P671">
        <v>29.95</v>
      </c>
      <c r="Q671">
        <v>37.44</v>
      </c>
      <c r="R671">
        <v>29.95</v>
      </c>
      <c r="S671">
        <v>44.93</v>
      </c>
      <c r="T671" t="s">
        <v>3791</v>
      </c>
    </row>
    <row r="672" spans="1:20">
      <c r="A672">
        <v>617513</v>
      </c>
      <c r="B672" t="s">
        <v>3792</v>
      </c>
      <c r="C672" t="str">
        <f>"9781897425022"</f>
        <v>9781897425022</v>
      </c>
      <c r="D672" t="str">
        <f>"9781897425152"</f>
        <v>9781897425152</v>
      </c>
      <c r="E672" t="s">
        <v>3785</v>
      </c>
      <c r="F672" t="s">
        <v>3786</v>
      </c>
      <c r="G672" s="1">
        <v>39479</v>
      </c>
      <c r="J672" t="s">
        <v>3793</v>
      </c>
      <c r="K672" t="s">
        <v>3794</v>
      </c>
      <c r="L672" t="s">
        <v>3795</v>
      </c>
      <c r="M672" t="s">
        <v>3796</v>
      </c>
      <c r="N672" t="s">
        <v>3797</v>
      </c>
      <c r="O672" t="s">
        <v>26</v>
      </c>
      <c r="P672">
        <v>29.95</v>
      </c>
      <c r="Q672">
        <v>37.44</v>
      </c>
      <c r="R672">
        <v>29.95</v>
      </c>
      <c r="S672">
        <v>44.93</v>
      </c>
      <c r="T672" t="s">
        <v>3798</v>
      </c>
    </row>
    <row r="673" spans="1:20">
      <c r="A673">
        <v>617514</v>
      </c>
      <c r="B673" t="s">
        <v>3799</v>
      </c>
      <c r="C673" t="str">
        <f>"9781897425084"</f>
        <v>9781897425084</v>
      </c>
      <c r="D673" t="str">
        <f>"9781897425077"</f>
        <v>9781897425077</v>
      </c>
      <c r="E673" t="s">
        <v>3785</v>
      </c>
      <c r="F673" t="s">
        <v>3786</v>
      </c>
      <c r="G673" s="1">
        <v>39569</v>
      </c>
      <c r="H673">
        <v>2</v>
      </c>
      <c r="I673" t="s">
        <v>3800</v>
      </c>
      <c r="J673" t="s">
        <v>3801</v>
      </c>
      <c r="K673" t="s">
        <v>257</v>
      </c>
      <c r="L673" t="s">
        <v>3802</v>
      </c>
      <c r="M673">
        <v>371.334</v>
      </c>
      <c r="N673" t="s">
        <v>3803</v>
      </c>
      <c r="O673" t="s">
        <v>26</v>
      </c>
      <c r="P673">
        <v>39.950000000000003</v>
      </c>
      <c r="Q673">
        <v>49.94</v>
      </c>
      <c r="R673">
        <v>39.950000000000003</v>
      </c>
      <c r="S673">
        <v>59.93</v>
      </c>
      <c r="T673" t="s">
        <v>3804</v>
      </c>
    </row>
    <row r="674" spans="1:20">
      <c r="A674">
        <v>617515</v>
      </c>
      <c r="B674" t="s">
        <v>3805</v>
      </c>
      <c r="C674" t="str">
        <f>"9781897425336"</f>
        <v>9781897425336</v>
      </c>
      <c r="D674" t="str">
        <f>"9781897425343"</f>
        <v>9781897425343</v>
      </c>
      <c r="E674" t="s">
        <v>3785</v>
      </c>
      <c r="F674" t="s">
        <v>3786</v>
      </c>
      <c r="G674" s="1">
        <v>39783</v>
      </c>
      <c r="I674" t="s">
        <v>3806</v>
      </c>
      <c r="J674" t="s">
        <v>3807</v>
      </c>
      <c r="K674" t="s">
        <v>1464</v>
      </c>
      <c r="L674" t="s">
        <v>3808</v>
      </c>
      <c r="M674" t="s">
        <v>1545</v>
      </c>
      <c r="N674" t="s">
        <v>3809</v>
      </c>
      <c r="O674" t="s">
        <v>26</v>
      </c>
      <c r="P674">
        <v>19.95</v>
      </c>
      <c r="Q674">
        <v>24.94</v>
      </c>
      <c r="R674">
        <v>19.95</v>
      </c>
      <c r="S674">
        <v>29.93</v>
      </c>
      <c r="T674" t="s">
        <v>3810</v>
      </c>
    </row>
    <row r="675" spans="1:20">
      <c r="A675">
        <v>617516</v>
      </c>
      <c r="B675" t="s">
        <v>3811</v>
      </c>
      <c r="C675" t="str">
        <f>"9781897425046"</f>
        <v>9781897425046</v>
      </c>
      <c r="D675" t="str">
        <f>"9781897425091"</f>
        <v>9781897425091</v>
      </c>
      <c r="E675" t="s">
        <v>3785</v>
      </c>
      <c r="F675" t="s">
        <v>3786</v>
      </c>
      <c r="G675" s="1">
        <v>39479</v>
      </c>
      <c r="J675" t="s">
        <v>3812</v>
      </c>
      <c r="K675" t="s">
        <v>76</v>
      </c>
      <c r="L675" t="s">
        <v>3813</v>
      </c>
      <c r="M675" t="s">
        <v>3814</v>
      </c>
      <c r="N675" t="s">
        <v>3815</v>
      </c>
      <c r="O675" t="s">
        <v>26</v>
      </c>
      <c r="P675">
        <v>35.950000000000003</v>
      </c>
      <c r="Q675">
        <v>44.94</v>
      </c>
      <c r="R675">
        <v>35.950000000000003</v>
      </c>
      <c r="S675">
        <v>53.93</v>
      </c>
      <c r="T675" t="s">
        <v>3816</v>
      </c>
    </row>
    <row r="676" spans="1:20">
      <c r="A676">
        <v>617517</v>
      </c>
      <c r="B676" t="s">
        <v>3817</v>
      </c>
      <c r="C676" t="str">
        <f>"9781897425107"</f>
        <v>9781897425107</v>
      </c>
      <c r="D676" t="str">
        <f>"9781897425114"</f>
        <v>9781897425114</v>
      </c>
      <c r="E676" t="s">
        <v>3785</v>
      </c>
      <c r="F676" t="s">
        <v>3786</v>
      </c>
      <c r="G676" s="1">
        <v>39600</v>
      </c>
      <c r="J676" t="s">
        <v>3818</v>
      </c>
      <c r="K676" t="s">
        <v>291</v>
      </c>
      <c r="L676" t="s">
        <v>3819</v>
      </c>
      <c r="M676">
        <v>971.23019999999997</v>
      </c>
      <c r="N676" t="s">
        <v>3820</v>
      </c>
      <c r="O676" t="s">
        <v>26</v>
      </c>
      <c r="P676">
        <v>29.95</v>
      </c>
      <c r="Q676">
        <v>37.44</v>
      </c>
      <c r="R676">
        <v>29.95</v>
      </c>
      <c r="S676">
        <v>44.93</v>
      </c>
      <c r="T676" t="s">
        <v>3821</v>
      </c>
    </row>
    <row r="677" spans="1:20">
      <c r="A677">
        <v>617519</v>
      </c>
      <c r="B677" t="s">
        <v>3822</v>
      </c>
      <c r="C677" t="str">
        <f>"9781897425053"</f>
        <v>9781897425053</v>
      </c>
      <c r="D677" t="str">
        <f>"9781897425121"</f>
        <v>9781897425121</v>
      </c>
      <c r="E677" t="s">
        <v>3785</v>
      </c>
      <c r="F677" t="s">
        <v>3786</v>
      </c>
      <c r="G677" s="1">
        <v>39539</v>
      </c>
      <c r="I677" t="s">
        <v>3823</v>
      </c>
      <c r="J677" t="s">
        <v>3824</v>
      </c>
      <c r="K677" t="s">
        <v>3825</v>
      </c>
      <c r="L677" t="s">
        <v>3826</v>
      </c>
      <c r="M677" t="s">
        <v>3827</v>
      </c>
      <c r="N677" t="s">
        <v>3828</v>
      </c>
      <c r="O677" t="s">
        <v>26</v>
      </c>
      <c r="P677">
        <v>29.95</v>
      </c>
      <c r="Q677">
        <v>37.44</v>
      </c>
      <c r="R677">
        <v>29.95</v>
      </c>
      <c r="S677">
        <v>44.93</v>
      </c>
      <c r="T677" t="s">
        <v>3829</v>
      </c>
    </row>
    <row r="678" spans="1:20">
      <c r="A678">
        <v>617520</v>
      </c>
      <c r="B678" t="s">
        <v>3830</v>
      </c>
      <c r="C678" t="str">
        <f>"9781897425220"</f>
        <v>9781897425220</v>
      </c>
      <c r="D678" t="str">
        <f>"9781897425237"</f>
        <v>9781897425237</v>
      </c>
      <c r="E678" t="s">
        <v>3785</v>
      </c>
      <c r="F678" t="s">
        <v>3786</v>
      </c>
      <c r="G678" s="1">
        <v>39569</v>
      </c>
      <c r="I678" t="s">
        <v>3831</v>
      </c>
      <c r="J678" t="s">
        <v>3832</v>
      </c>
      <c r="K678" t="s">
        <v>263</v>
      </c>
      <c r="L678" t="s">
        <v>3833</v>
      </c>
      <c r="M678">
        <v>305.310971</v>
      </c>
      <c r="N678" t="s">
        <v>3834</v>
      </c>
      <c r="O678" t="s">
        <v>26</v>
      </c>
      <c r="P678">
        <v>24.95</v>
      </c>
      <c r="Q678">
        <v>31.19</v>
      </c>
      <c r="R678">
        <v>24.95</v>
      </c>
      <c r="S678">
        <v>37.43</v>
      </c>
      <c r="T678" t="s">
        <v>3835</v>
      </c>
    </row>
    <row r="679" spans="1:20">
      <c r="A679">
        <v>617522</v>
      </c>
      <c r="B679" t="s">
        <v>3836</v>
      </c>
      <c r="C679" t="str">
        <f>"9781897425268"</f>
        <v>9781897425268</v>
      </c>
      <c r="D679" t="str">
        <f>"9781897425275"</f>
        <v>9781897425275</v>
      </c>
      <c r="E679" t="s">
        <v>3785</v>
      </c>
      <c r="F679" t="s">
        <v>3786</v>
      </c>
      <c r="G679" s="1">
        <v>39722</v>
      </c>
      <c r="I679" t="s">
        <v>3837</v>
      </c>
      <c r="J679" t="s">
        <v>3838</v>
      </c>
      <c r="K679" t="s">
        <v>1458</v>
      </c>
      <c r="L679" t="s">
        <v>3839</v>
      </c>
      <c r="M679">
        <v>812.60799999999995</v>
      </c>
      <c r="N679" t="s">
        <v>3840</v>
      </c>
      <c r="O679" t="s">
        <v>26</v>
      </c>
      <c r="P679">
        <v>39.950000000000003</v>
      </c>
      <c r="Q679">
        <v>49.94</v>
      </c>
      <c r="R679">
        <v>39.950000000000003</v>
      </c>
      <c r="S679">
        <v>59.93</v>
      </c>
      <c r="T679" t="s">
        <v>3841</v>
      </c>
    </row>
    <row r="680" spans="1:20">
      <c r="A680">
        <v>619005</v>
      </c>
      <c r="B680" t="s">
        <v>3842</v>
      </c>
      <c r="C680" t="str">
        <f>"9781553654063"</f>
        <v>9781553654063</v>
      </c>
      <c r="D680" t="str">
        <f>"9781926685922"</f>
        <v>9781926685922</v>
      </c>
      <c r="E680" t="s">
        <v>3092</v>
      </c>
      <c r="F680" t="s">
        <v>3093</v>
      </c>
      <c r="G680" s="1">
        <v>39995</v>
      </c>
      <c r="J680" t="s">
        <v>3843</v>
      </c>
      <c r="K680" t="s">
        <v>305</v>
      </c>
      <c r="L680" t="s">
        <v>3844</v>
      </c>
      <c r="M680">
        <v>382.09710000000001</v>
      </c>
      <c r="N680" t="s">
        <v>3845</v>
      </c>
      <c r="O680" t="s">
        <v>26</v>
      </c>
      <c r="P680">
        <v>19.95</v>
      </c>
      <c r="R680">
        <v>19.95</v>
      </c>
      <c r="S680">
        <v>29.93</v>
      </c>
      <c r="T680" t="s">
        <v>3846</v>
      </c>
    </row>
    <row r="681" spans="1:20">
      <c r="A681">
        <v>619012</v>
      </c>
      <c r="B681" t="s">
        <v>3847</v>
      </c>
      <c r="C681" t="str">
        <f>"9781553652205"</f>
        <v>9781553652205</v>
      </c>
      <c r="D681" t="str">
        <f>"9781926685861"</f>
        <v>9781926685861</v>
      </c>
      <c r="E681" t="s">
        <v>3092</v>
      </c>
      <c r="F681" t="s">
        <v>3093</v>
      </c>
      <c r="G681" s="1">
        <v>40148</v>
      </c>
      <c r="K681" t="s">
        <v>3848</v>
      </c>
      <c r="L681" t="s">
        <v>3849</v>
      </c>
      <c r="M681">
        <v>863</v>
      </c>
      <c r="N681" t="s">
        <v>3850</v>
      </c>
      <c r="O681" t="s">
        <v>26</v>
      </c>
      <c r="P681">
        <v>15.95</v>
      </c>
      <c r="R681">
        <v>15.95</v>
      </c>
      <c r="S681">
        <v>23.93</v>
      </c>
      <c r="T681" t="s">
        <v>3851</v>
      </c>
    </row>
    <row r="682" spans="1:20">
      <c r="A682">
        <v>619041</v>
      </c>
      <c r="B682" t="s">
        <v>3852</v>
      </c>
      <c r="C682" t="str">
        <f>"9781553653394"</f>
        <v>9781553653394</v>
      </c>
      <c r="D682" t="str">
        <f>"9781926685717"</f>
        <v>9781926685717</v>
      </c>
      <c r="E682" t="s">
        <v>3092</v>
      </c>
      <c r="F682" t="s">
        <v>3093</v>
      </c>
      <c r="G682" s="1">
        <v>40148</v>
      </c>
      <c r="J682" t="s">
        <v>3853</v>
      </c>
      <c r="K682" t="s">
        <v>2963</v>
      </c>
      <c r="L682" t="s">
        <v>3854</v>
      </c>
      <c r="M682" t="s">
        <v>3855</v>
      </c>
      <c r="N682" t="s">
        <v>3856</v>
      </c>
      <c r="O682" t="s">
        <v>26</v>
      </c>
      <c r="P682">
        <v>14</v>
      </c>
      <c r="R682">
        <v>14</v>
      </c>
      <c r="S682">
        <v>21</v>
      </c>
      <c r="T682" t="s">
        <v>3857</v>
      </c>
    </row>
    <row r="683" spans="1:20">
      <c r="A683">
        <v>619156</v>
      </c>
      <c r="B683" t="s">
        <v>3858</v>
      </c>
      <c r="C683" t="str">
        <f>"9781553653127"</f>
        <v>9781553653127</v>
      </c>
      <c r="D683" t="str">
        <f>"9781926685762"</f>
        <v>9781926685762</v>
      </c>
      <c r="E683" t="s">
        <v>3092</v>
      </c>
      <c r="F683" t="s">
        <v>3093</v>
      </c>
      <c r="G683" s="1">
        <v>39995</v>
      </c>
      <c r="J683" t="s">
        <v>3859</v>
      </c>
      <c r="K683" t="s">
        <v>3860</v>
      </c>
      <c r="L683" t="s">
        <v>3861</v>
      </c>
      <c r="M683" t="s">
        <v>3580</v>
      </c>
      <c r="N683" t="s">
        <v>3862</v>
      </c>
      <c r="O683" t="s">
        <v>26</v>
      </c>
      <c r="P683">
        <v>14.95</v>
      </c>
      <c r="R683">
        <v>14.95</v>
      </c>
      <c r="S683">
        <v>22.43</v>
      </c>
      <c r="T683" t="s">
        <v>3863</v>
      </c>
    </row>
    <row r="684" spans="1:20">
      <c r="A684">
        <v>624068</v>
      </c>
      <c r="B684" t="s">
        <v>3864</v>
      </c>
      <c r="C684" t="str">
        <f>"9781897425305"</f>
        <v>9781897425305</v>
      </c>
      <c r="D684" t="str">
        <f>"9781897425312"</f>
        <v>9781897425312</v>
      </c>
      <c r="E684" t="s">
        <v>3785</v>
      </c>
      <c r="F684" t="s">
        <v>3786</v>
      </c>
      <c r="G684" s="1">
        <v>39845</v>
      </c>
      <c r="J684" t="s">
        <v>3865</v>
      </c>
      <c r="K684" t="s">
        <v>1464</v>
      </c>
      <c r="L684" t="s">
        <v>3866</v>
      </c>
      <c r="M684">
        <v>810.99712299999999</v>
      </c>
      <c r="N684" t="s">
        <v>3867</v>
      </c>
      <c r="O684" t="s">
        <v>26</v>
      </c>
      <c r="P684">
        <v>34.950000000000003</v>
      </c>
      <c r="Q684">
        <v>43.69</v>
      </c>
      <c r="R684">
        <v>34.950000000000003</v>
      </c>
      <c r="S684">
        <v>52.43</v>
      </c>
      <c r="T684" t="s">
        <v>3868</v>
      </c>
    </row>
    <row r="685" spans="1:20">
      <c r="A685">
        <v>624071</v>
      </c>
      <c r="B685" t="s">
        <v>3869</v>
      </c>
      <c r="C685" t="str">
        <f>"9781897425497"</f>
        <v>9781897425497</v>
      </c>
      <c r="D685" t="str">
        <f>"9781897425503"</f>
        <v>9781897425503</v>
      </c>
      <c r="E685" t="s">
        <v>3785</v>
      </c>
      <c r="F685" t="s">
        <v>3786</v>
      </c>
      <c r="G685" s="1">
        <v>40026</v>
      </c>
      <c r="I685" t="s">
        <v>3870</v>
      </c>
      <c r="J685" t="s">
        <v>3871</v>
      </c>
      <c r="K685" t="s">
        <v>1530</v>
      </c>
      <c r="L685" t="s">
        <v>3872</v>
      </c>
      <c r="M685" t="s">
        <v>3873</v>
      </c>
      <c r="N685" t="s">
        <v>3874</v>
      </c>
      <c r="O685" t="s">
        <v>26</v>
      </c>
      <c r="P685">
        <v>24.95</v>
      </c>
      <c r="Q685">
        <v>31.19</v>
      </c>
      <c r="R685">
        <v>24.95</v>
      </c>
      <c r="S685">
        <v>37.43</v>
      </c>
      <c r="T685" t="s">
        <v>3875</v>
      </c>
    </row>
    <row r="686" spans="1:20">
      <c r="A686">
        <v>624074</v>
      </c>
      <c r="B686" t="s">
        <v>3876</v>
      </c>
      <c r="C686" t="str">
        <f>"9781897425282"</f>
        <v>9781897425282</v>
      </c>
      <c r="D686" t="str">
        <f>"9781897425299"</f>
        <v>9781897425299</v>
      </c>
      <c r="E686" t="s">
        <v>3785</v>
      </c>
      <c r="F686" t="s">
        <v>3786</v>
      </c>
      <c r="G686" s="1">
        <v>39814</v>
      </c>
      <c r="I686" t="s">
        <v>3831</v>
      </c>
      <c r="J686" t="s">
        <v>3877</v>
      </c>
      <c r="K686" t="s">
        <v>3878</v>
      </c>
      <c r="L686" t="s">
        <v>3879</v>
      </c>
      <c r="M686" t="s">
        <v>3880</v>
      </c>
      <c r="N686" t="s">
        <v>3881</v>
      </c>
      <c r="O686" t="s">
        <v>26</v>
      </c>
      <c r="P686">
        <v>24.95</v>
      </c>
      <c r="Q686">
        <v>31.19</v>
      </c>
      <c r="R686">
        <v>24.95</v>
      </c>
      <c r="S686">
        <v>37.43</v>
      </c>
      <c r="T686" t="s">
        <v>3882</v>
      </c>
    </row>
    <row r="687" spans="1:20">
      <c r="A687">
        <v>624080</v>
      </c>
      <c r="B687" t="s">
        <v>3883</v>
      </c>
      <c r="C687" t="str">
        <f>"9781897425374"</f>
        <v>9781897425374</v>
      </c>
      <c r="D687" t="str">
        <f>"9781897425381"</f>
        <v>9781897425381</v>
      </c>
      <c r="E687" t="s">
        <v>3785</v>
      </c>
      <c r="F687" t="s">
        <v>3786</v>
      </c>
      <c r="G687" s="1">
        <v>40026</v>
      </c>
      <c r="J687" t="s">
        <v>3884</v>
      </c>
      <c r="K687" t="s">
        <v>291</v>
      </c>
      <c r="L687" t="s">
        <v>3885</v>
      </c>
      <c r="M687" t="s">
        <v>3886</v>
      </c>
      <c r="N687" t="s">
        <v>3887</v>
      </c>
      <c r="O687" t="s">
        <v>26</v>
      </c>
      <c r="P687">
        <v>29.95</v>
      </c>
      <c r="Q687">
        <v>37.44</v>
      </c>
      <c r="R687">
        <v>29.95</v>
      </c>
      <c r="S687">
        <v>44.93</v>
      </c>
      <c r="T687" t="s">
        <v>3888</v>
      </c>
    </row>
    <row r="688" spans="1:20">
      <c r="A688">
        <v>625062</v>
      </c>
      <c r="B688" t="s">
        <v>3889</v>
      </c>
      <c r="C688" t="str">
        <f>"9780865716773"</f>
        <v>9780865716773</v>
      </c>
      <c r="D688" t="str">
        <f>"9781550924596"</f>
        <v>9781550924596</v>
      </c>
      <c r="E688" t="s">
        <v>249</v>
      </c>
      <c r="F688" t="s">
        <v>249</v>
      </c>
      <c r="G688" s="1">
        <v>40505</v>
      </c>
      <c r="J688" t="s">
        <v>3890</v>
      </c>
      <c r="K688" t="s">
        <v>3891</v>
      </c>
      <c r="L688" t="s">
        <v>3892</v>
      </c>
      <c r="M688" t="s">
        <v>3893</v>
      </c>
      <c r="N688" t="s">
        <v>3894</v>
      </c>
      <c r="O688" t="s">
        <v>26</v>
      </c>
      <c r="P688">
        <v>17.95</v>
      </c>
      <c r="R688">
        <v>17.95</v>
      </c>
      <c r="T688" t="s">
        <v>3895</v>
      </c>
    </row>
    <row r="689" spans="1:20">
      <c r="A689">
        <v>625123</v>
      </c>
      <c r="B689" t="s">
        <v>3896</v>
      </c>
      <c r="C689" t="str">
        <f>"9780865716766"</f>
        <v>9780865716766</v>
      </c>
      <c r="D689" t="str">
        <f>"9781550924565"</f>
        <v>9781550924565</v>
      </c>
      <c r="E689" t="s">
        <v>249</v>
      </c>
      <c r="F689" t="s">
        <v>249</v>
      </c>
      <c r="G689" s="1">
        <v>40505</v>
      </c>
      <c r="J689" t="s">
        <v>3897</v>
      </c>
      <c r="K689" t="s">
        <v>1082</v>
      </c>
      <c r="L689" t="s">
        <v>3898</v>
      </c>
      <c r="M689">
        <v>363.19290000000001</v>
      </c>
      <c r="N689" t="s">
        <v>3899</v>
      </c>
      <c r="O689" t="s">
        <v>26</v>
      </c>
      <c r="P689">
        <v>21.95</v>
      </c>
      <c r="R689">
        <v>21.95</v>
      </c>
      <c r="T689" t="s">
        <v>3900</v>
      </c>
    </row>
    <row r="690" spans="1:20">
      <c r="A690">
        <v>625146</v>
      </c>
      <c r="B690" t="s">
        <v>3901</v>
      </c>
      <c r="C690" t="str">
        <f>"9780865716797"</f>
        <v>9780865716797</v>
      </c>
      <c r="D690" t="str">
        <f>"9781550924589"</f>
        <v>9781550924589</v>
      </c>
      <c r="E690" t="s">
        <v>249</v>
      </c>
      <c r="F690" t="s">
        <v>249</v>
      </c>
      <c r="G690" s="1">
        <v>40505</v>
      </c>
      <c r="J690" t="s">
        <v>3902</v>
      </c>
      <c r="K690" t="s">
        <v>2387</v>
      </c>
      <c r="L690" t="s">
        <v>3903</v>
      </c>
      <c r="M690" t="s">
        <v>3904</v>
      </c>
      <c r="N690" t="s">
        <v>3905</v>
      </c>
      <c r="O690" t="s">
        <v>26</v>
      </c>
      <c r="P690">
        <v>24.95</v>
      </c>
      <c r="R690">
        <v>24.95</v>
      </c>
      <c r="T690" t="s">
        <v>3906</v>
      </c>
    </row>
    <row r="691" spans="1:20">
      <c r="A691">
        <v>625170</v>
      </c>
      <c r="B691" t="s">
        <v>3907</v>
      </c>
      <c r="C691" t="str">
        <f>"9780865716513"</f>
        <v>9780865716513</v>
      </c>
      <c r="D691" t="str">
        <f>"9781550924619"</f>
        <v>9781550924619</v>
      </c>
      <c r="E691" t="s">
        <v>249</v>
      </c>
      <c r="F691" t="s">
        <v>249</v>
      </c>
      <c r="G691" s="1">
        <v>40484</v>
      </c>
      <c r="J691" t="s">
        <v>3908</v>
      </c>
      <c r="K691" t="s">
        <v>416</v>
      </c>
      <c r="L691" t="s">
        <v>3909</v>
      </c>
      <c r="M691">
        <v>334</v>
      </c>
      <c r="N691" t="s">
        <v>3910</v>
      </c>
      <c r="O691" t="s">
        <v>26</v>
      </c>
      <c r="P691">
        <v>21.95</v>
      </c>
      <c r="R691">
        <v>21.95</v>
      </c>
      <c r="T691" t="s">
        <v>3911</v>
      </c>
    </row>
    <row r="692" spans="1:20">
      <c r="A692">
        <v>625195</v>
      </c>
      <c r="B692" t="s">
        <v>3912</v>
      </c>
      <c r="C692" t="str">
        <f>"9780865716759"</f>
        <v>9780865716759</v>
      </c>
      <c r="D692" t="str">
        <f>"9781550924640"</f>
        <v>9781550924640</v>
      </c>
      <c r="E692" t="s">
        <v>249</v>
      </c>
      <c r="F692" t="s">
        <v>249</v>
      </c>
      <c r="G692" s="1">
        <v>40505</v>
      </c>
      <c r="J692" t="s">
        <v>335</v>
      </c>
      <c r="K692" t="s">
        <v>423</v>
      </c>
      <c r="L692" t="s">
        <v>3913</v>
      </c>
      <c r="M692">
        <v>333.72097477099999</v>
      </c>
      <c r="N692" t="s">
        <v>3914</v>
      </c>
      <c r="O692" t="s">
        <v>26</v>
      </c>
      <c r="P692">
        <v>19.95</v>
      </c>
      <c r="R692">
        <v>19.95</v>
      </c>
      <c r="T692" t="s">
        <v>3915</v>
      </c>
    </row>
    <row r="693" spans="1:20">
      <c r="A693">
        <v>625459</v>
      </c>
      <c r="B693" t="s">
        <v>3916</v>
      </c>
      <c r="C693" t="str">
        <f>"9781897425138"</f>
        <v>9781897425138</v>
      </c>
      <c r="D693" t="str">
        <f>"9781897425145"</f>
        <v>9781897425145</v>
      </c>
      <c r="E693" t="s">
        <v>3785</v>
      </c>
      <c r="F693" t="s">
        <v>3786</v>
      </c>
      <c r="G693" s="1">
        <v>39814</v>
      </c>
      <c r="I693" t="s">
        <v>3823</v>
      </c>
      <c r="J693" t="s">
        <v>3824</v>
      </c>
      <c r="K693" t="s">
        <v>263</v>
      </c>
      <c r="L693" t="s">
        <v>3917</v>
      </c>
      <c r="M693">
        <v>307.14160971233798</v>
      </c>
      <c r="N693" t="s">
        <v>3918</v>
      </c>
      <c r="O693" t="s">
        <v>26</v>
      </c>
      <c r="P693">
        <v>29.95</v>
      </c>
      <c r="Q693">
        <v>37.44</v>
      </c>
      <c r="R693">
        <v>29.95</v>
      </c>
      <c r="S693">
        <v>44.93</v>
      </c>
      <c r="T693" t="s">
        <v>3919</v>
      </c>
    </row>
    <row r="694" spans="1:20">
      <c r="A694">
        <v>634469</v>
      </c>
      <c r="B694" t="s">
        <v>3920</v>
      </c>
      <c r="C694" t="str">
        <f>"9781551523743"</f>
        <v>9781551523743</v>
      </c>
      <c r="D694" t="str">
        <f>"9781551523873"</f>
        <v>9781551523873</v>
      </c>
      <c r="E694" t="s">
        <v>2416</v>
      </c>
      <c r="F694" t="s">
        <v>2416</v>
      </c>
      <c r="G694" s="1">
        <v>40673</v>
      </c>
      <c r="J694" t="s">
        <v>3921</v>
      </c>
      <c r="K694" t="s">
        <v>263</v>
      </c>
      <c r="L694" t="s">
        <v>3922</v>
      </c>
      <c r="M694">
        <v>305.800971</v>
      </c>
      <c r="N694" t="s">
        <v>3923</v>
      </c>
      <c r="O694" t="s">
        <v>26</v>
      </c>
      <c r="P694">
        <v>18.95</v>
      </c>
      <c r="R694">
        <v>18.95</v>
      </c>
      <c r="T694" t="s">
        <v>3924</v>
      </c>
    </row>
    <row r="695" spans="1:20">
      <c r="A695">
        <v>647871</v>
      </c>
      <c r="B695" t="s">
        <v>3925</v>
      </c>
      <c r="C695" t="str">
        <f>"9782747218139"</f>
        <v>9782747218139</v>
      </c>
      <c r="D695" t="str">
        <f>"9781552504741"</f>
        <v>9781552504741</v>
      </c>
      <c r="E695" t="s">
        <v>479</v>
      </c>
      <c r="F695" t="s">
        <v>3926</v>
      </c>
      <c r="G695" s="1">
        <v>40179</v>
      </c>
      <c r="J695" t="s">
        <v>3927</v>
      </c>
      <c r="K695" t="s">
        <v>278</v>
      </c>
      <c r="L695" t="s">
        <v>3928</v>
      </c>
      <c r="M695">
        <v>338.910956</v>
      </c>
      <c r="N695" t="s">
        <v>3929</v>
      </c>
      <c r="O695" t="s">
        <v>26</v>
      </c>
      <c r="P695">
        <v>135</v>
      </c>
      <c r="Q695">
        <v>168.75</v>
      </c>
      <c r="R695">
        <v>135</v>
      </c>
      <c r="S695">
        <v>202.5</v>
      </c>
      <c r="T695" t="s">
        <v>3930</v>
      </c>
    </row>
    <row r="696" spans="1:20">
      <c r="A696">
        <v>653314</v>
      </c>
      <c r="B696" t="s">
        <v>3931</v>
      </c>
      <c r="C696" t="str">
        <f>"9782760306820"</f>
        <v>9782760306820</v>
      </c>
      <c r="D696" t="str">
        <f>"9782760317864"</f>
        <v>9782760317864</v>
      </c>
      <c r="E696" t="s">
        <v>3342</v>
      </c>
      <c r="F696" t="s">
        <v>3342</v>
      </c>
      <c r="G696" s="1">
        <v>39848</v>
      </c>
      <c r="J696" t="s">
        <v>3932</v>
      </c>
      <c r="K696" t="s">
        <v>1530</v>
      </c>
      <c r="L696" t="s">
        <v>3933</v>
      </c>
      <c r="M696" t="s">
        <v>3934</v>
      </c>
      <c r="N696" t="s">
        <v>3935</v>
      </c>
      <c r="O696" t="s">
        <v>94</v>
      </c>
      <c r="P696">
        <v>49.98</v>
      </c>
      <c r="Q696">
        <v>31.24</v>
      </c>
      <c r="R696">
        <v>24.99</v>
      </c>
      <c r="S696">
        <v>37.49</v>
      </c>
      <c r="T696" t="s">
        <v>3936</v>
      </c>
    </row>
    <row r="697" spans="1:20">
      <c r="A697">
        <v>653315</v>
      </c>
      <c r="B697" t="s">
        <v>3937</v>
      </c>
      <c r="C697" t="str">
        <f>"9782760306318"</f>
        <v>9782760306318</v>
      </c>
      <c r="D697" t="str">
        <f>"9782760316638"</f>
        <v>9782760316638</v>
      </c>
      <c r="E697" t="s">
        <v>3342</v>
      </c>
      <c r="F697" t="s">
        <v>3342</v>
      </c>
      <c r="G697" s="1">
        <v>39263</v>
      </c>
      <c r="I697" t="s">
        <v>3396</v>
      </c>
      <c r="J697" t="s">
        <v>3938</v>
      </c>
      <c r="K697" t="s">
        <v>3939</v>
      </c>
      <c r="L697" t="s">
        <v>3940</v>
      </c>
      <c r="M697">
        <v>839.10997142799999</v>
      </c>
      <c r="N697" t="s">
        <v>3941</v>
      </c>
      <c r="O697" t="s">
        <v>94</v>
      </c>
      <c r="P697">
        <v>39.979999999999997</v>
      </c>
      <c r="Q697">
        <v>24.99</v>
      </c>
      <c r="R697">
        <v>19.989999999999998</v>
      </c>
      <c r="S697">
        <v>29.99</v>
      </c>
      <c r="T697" t="s">
        <v>3942</v>
      </c>
    </row>
    <row r="698" spans="1:20">
      <c r="A698">
        <v>653318</v>
      </c>
      <c r="B698" t="s">
        <v>3943</v>
      </c>
      <c r="C698" t="str">
        <f>"9782760307353"</f>
        <v>9782760307353</v>
      </c>
      <c r="D698" t="str">
        <f>"9782760319103"</f>
        <v>9782760319103</v>
      </c>
      <c r="E698" t="s">
        <v>3361</v>
      </c>
      <c r="F698" t="s">
        <v>3361</v>
      </c>
      <c r="G698" s="1">
        <v>40497</v>
      </c>
      <c r="I698" t="s">
        <v>3445</v>
      </c>
      <c r="J698" t="s">
        <v>3944</v>
      </c>
      <c r="K698" t="s">
        <v>263</v>
      </c>
      <c r="L698" t="s">
        <v>3945</v>
      </c>
      <c r="M698">
        <v>364.0711</v>
      </c>
      <c r="N698" t="s">
        <v>3946</v>
      </c>
      <c r="O698" t="s">
        <v>26</v>
      </c>
      <c r="P698">
        <v>159.97999999999999</v>
      </c>
      <c r="Q698">
        <v>99.99</v>
      </c>
      <c r="R698">
        <v>79.989999999999995</v>
      </c>
      <c r="S698">
        <v>119.99</v>
      </c>
      <c r="T698" t="s">
        <v>3947</v>
      </c>
    </row>
    <row r="699" spans="1:20">
      <c r="A699">
        <v>653324</v>
      </c>
      <c r="B699" t="s">
        <v>3948</v>
      </c>
      <c r="C699" t="str">
        <f>"9782760307049"</f>
        <v>9782760307049</v>
      </c>
      <c r="D699" t="str">
        <f>"9782760319486"</f>
        <v>9782760319486</v>
      </c>
      <c r="E699" t="s">
        <v>3361</v>
      </c>
      <c r="F699" t="s">
        <v>3361</v>
      </c>
      <c r="G699" s="1">
        <v>40803</v>
      </c>
      <c r="I699" t="s">
        <v>3949</v>
      </c>
      <c r="J699" t="s">
        <v>3950</v>
      </c>
      <c r="K699" t="s">
        <v>3951</v>
      </c>
      <c r="L699" t="s">
        <v>3952</v>
      </c>
      <c r="M699">
        <v>537</v>
      </c>
      <c r="N699" t="s">
        <v>3953</v>
      </c>
      <c r="O699" t="s">
        <v>26</v>
      </c>
      <c r="P699">
        <v>0</v>
      </c>
      <c r="Q699">
        <v>0</v>
      </c>
      <c r="R699">
        <v>0</v>
      </c>
      <c r="S699">
        <v>0</v>
      </c>
      <c r="T699" t="s">
        <v>3954</v>
      </c>
    </row>
    <row r="700" spans="1:20">
      <c r="A700">
        <v>653337</v>
      </c>
      <c r="B700" t="s">
        <v>3955</v>
      </c>
      <c r="C700" t="str">
        <f>"9780776603858"</f>
        <v>9780776603858</v>
      </c>
      <c r="D700" t="str">
        <f>"9780776616735"</f>
        <v>9780776616735</v>
      </c>
      <c r="E700" t="s">
        <v>3342</v>
      </c>
      <c r="F700" t="s">
        <v>3342</v>
      </c>
      <c r="G700" s="1">
        <v>33970</v>
      </c>
      <c r="I700" t="s">
        <v>3956</v>
      </c>
      <c r="J700" t="s">
        <v>3957</v>
      </c>
      <c r="K700" t="s">
        <v>1458</v>
      </c>
      <c r="L700" t="s">
        <v>3958</v>
      </c>
      <c r="M700" t="s">
        <v>3959</v>
      </c>
      <c r="N700" t="s">
        <v>3960</v>
      </c>
      <c r="O700" t="s">
        <v>26</v>
      </c>
      <c r="P700">
        <v>23.98</v>
      </c>
      <c r="Q700">
        <v>14.99</v>
      </c>
      <c r="R700">
        <v>11.99</v>
      </c>
      <c r="S700">
        <v>17.989999999999998</v>
      </c>
      <c r="T700" t="s">
        <v>3961</v>
      </c>
    </row>
    <row r="701" spans="1:20">
      <c r="A701">
        <v>653338</v>
      </c>
      <c r="B701" t="s">
        <v>3962</v>
      </c>
      <c r="C701" t="str">
        <f>"9780776603346"</f>
        <v>9780776603346</v>
      </c>
      <c r="D701" t="str">
        <f>"9780776617145"</f>
        <v>9780776617145</v>
      </c>
      <c r="E701" t="s">
        <v>3342</v>
      </c>
      <c r="F701" t="s">
        <v>3342</v>
      </c>
      <c r="G701" s="1">
        <v>33604</v>
      </c>
      <c r="J701" t="s">
        <v>3963</v>
      </c>
      <c r="K701" t="s">
        <v>1464</v>
      </c>
      <c r="L701" t="s">
        <v>3964</v>
      </c>
      <c r="M701">
        <v>811.00900000000001</v>
      </c>
      <c r="N701" t="s">
        <v>3965</v>
      </c>
      <c r="O701" t="s">
        <v>26</v>
      </c>
      <c r="P701">
        <v>29.98</v>
      </c>
      <c r="Q701">
        <v>18.739999999999998</v>
      </c>
      <c r="R701">
        <v>14.99</v>
      </c>
      <c r="S701">
        <v>22.49</v>
      </c>
      <c r="T701" t="s">
        <v>3966</v>
      </c>
    </row>
    <row r="702" spans="1:20">
      <c r="A702">
        <v>653339</v>
      </c>
      <c r="B702" t="s">
        <v>3967</v>
      </c>
      <c r="C702" t="str">
        <f>"9780776604855"</f>
        <v>9780776604855</v>
      </c>
      <c r="D702" t="str">
        <f>"9780776615301"</f>
        <v>9780776615301</v>
      </c>
      <c r="E702" t="s">
        <v>3342</v>
      </c>
      <c r="F702" t="s">
        <v>3342</v>
      </c>
      <c r="G702" s="1">
        <v>36311</v>
      </c>
      <c r="J702" t="s">
        <v>3968</v>
      </c>
      <c r="K702" t="s">
        <v>263</v>
      </c>
      <c r="L702" t="s">
        <v>3969</v>
      </c>
      <c r="M702">
        <v>360.5</v>
      </c>
      <c r="N702" t="s">
        <v>3970</v>
      </c>
      <c r="O702" t="s">
        <v>26</v>
      </c>
      <c r="P702">
        <v>33.979999999999997</v>
      </c>
      <c r="Q702">
        <v>21.24</v>
      </c>
      <c r="R702">
        <v>16.989999999999998</v>
      </c>
      <c r="S702">
        <v>25.49</v>
      </c>
      <c r="T702" t="s">
        <v>3971</v>
      </c>
    </row>
    <row r="703" spans="1:20">
      <c r="A703">
        <v>653340</v>
      </c>
      <c r="B703" t="s">
        <v>3972</v>
      </c>
      <c r="C703" t="str">
        <f>"9780776604558"</f>
        <v>9780776604558</v>
      </c>
      <c r="D703" t="str">
        <f>"9780776615967"</f>
        <v>9780776615967</v>
      </c>
      <c r="E703" t="s">
        <v>3342</v>
      </c>
      <c r="F703" t="s">
        <v>3342</v>
      </c>
      <c r="G703" s="1">
        <v>36199</v>
      </c>
      <c r="I703" t="s">
        <v>3973</v>
      </c>
      <c r="J703" t="s">
        <v>3974</v>
      </c>
      <c r="K703" t="s">
        <v>3975</v>
      </c>
      <c r="L703" t="s">
        <v>3976</v>
      </c>
      <c r="M703" t="s">
        <v>3977</v>
      </c>
      <c r="N703" t="s">
        <v>3978</v>
      </c>
      <c r="O703" t="s">
        <v>26</v>
      </c>
      <c r="P703">
        <v>29.98</v>
      </c>
      <c r="Q703">
        <v>18.739999999999998</v>
      </c>
      <c r="R703">
        <v>14.99</v>
      </c>
      <c r="S703">
        <v>22.49</v>
      </c>
      <c r="T703" t="s">
        <v>3979</v>
      </c>
    </row>
    <row r="704" spans="1:20">
      <c r="A704">
        <v>653341</v>
      </c>
      <c r="B704" t="s">
        <v>3980</v>
      </c>
      <c r="C704" t="str">
        <f>"9780776648149"</f>
        <v>9780776648149</v>
      </c>
      <c r="D704" t="str">
        <f>"9780776617275"</f>
        <v>9780776617275</v>
      </c>
      <c r="E704" t="s">
        <v>3342</v>
      </c>
      <c r="F704" t="s">
        <v>3342</v>
      </c>
      <c r="G704" s="1">
        <v>31048</v>
      </c>
      <c r="I704" t="s">
        <v>3981</v>
      </c>
      <c r="J704" t="s">
        <v>3982</v>
      </c>
      <c r="K704" t="s">
        <v>1464</v>
      </c>
      <c r="L704" t="s">
        <v>3983</v>
      </c>
      <c r="M704" t="s">
        <v>3984</v>
      </c>
      <c r="N704" t="s">
        <v>3985</v>
      </c>
      <c r="O704" t="s">
        <v>26</v>
      </c>
      <c r="P704">
        <v>29.98</v>
      </c>
      <c r="Q704">
        <v>18.739999999999998</v>
      </c>
      <c r="R704">
        <v>14.99</v>
      </c>
      <c r="S704">
        <v>22.49</v>
      </c>
      <c r="T704" t="s">
        <v>3986</v>
      </c>
    </row>
    <row r="705" spans="1:20">
      <c r="A705">
        <v>653342</v>
      </c>
      <c r="B705" t="s">
        <v>3987</v>
      </c>
      <c r="C705" t="str">
        <f>"9780776643861"</f>
        <v>9780776643861</v>
      </c>
      <c r="D705" t="str">
        <f>"9780776617091"</f>
        <v>9780776617091</v>
      </c>
      <c r="E705" t="s">
        <v>3342</v>
      </c>
      <c r="F705" t="s">
        <v>3342</v>
      </c>
      <c r="G705" s="1">
        <v>29221</v>
      </c>
      <c r="I705" t="s">
        <v>3349</v>
      </c>
      <c r="J705" t="s">
        <v>3988</v>
      </c>
      <c r="K705" t="s">
        <v>1464</v>
      </c>
      <c r="L705" t="s">
        <v>3989</v>
      </c>
      <c r="M705">
        <v>818</v>
      </c>
      <c r="N705" t="s">
        <v>3990</v>
      </c>
      <c r="O705" t="s">
        <v>26</v>
      </c>
      <c r="P705">
        <v>19.98</v>
      </c>
      <c r="Q705">
        <v>12.49</v>
      </c>
      <c r="R705">
        <v>9.99</v>
      </c>
      <c r="S705">
        <v>14.99</v>
      </c>
      <c r="T705" t="s">
        <v>3991</v>
      </c>
    </row>
    <row r="706" spans="1:20">
      <c r="A706">
        <v>653343</v>
      </c>
      <c r="B706" t="s">
        <v>3992</v>
      </c>
      <c r="C706" t="str">
        <f>"9780776605913"</f>
        <v>9780776605913</v>
      </c>
      <c r="D706" t="str">
        <f>"9780776616674"</f>
        <v>9780776616674</v>
      </c>
      <c r="E706" t="s">
        <v>3342</v>
      </c>
      <c r="F706" t="s">
        <v>3342</v>
      </c>
      <c r="G706" s="1">
        <v>38472</v>
      </c>
      <c r="J706" t="s">
        <v>3993</v>
      </c>
      <c r="K706" t="s">
        <v>3994</v>
      </c>
      <c r="L706" t="s">
        <v>3995</v>
      </c>
      <c r="M706" t="s">
        <v>3996</v>
      </c>
      <c r="N706" t="s">
        <v>3997</v>
      </c>
      <c r="O706" t="s">
        <v>26</v>
      </c>
      <c r="P706">
        <v>49.98</v>
      </c>
      <c r="Q706">
        <v>31.24</v>
      </c>
      <c r="R706">
        <v>24.99</v>
      </c>
      <c r="S706">
        <v>37.49</v>
      </c>
      <c r="T706" t="s">
        <v>3998</v>
      </c>
    </row>
    <row r="707" spans="1:20">
      <c r="A707">
        <v>653344</v>
      </c>
      <c r="B707" t="s">
        <v>3999</v>
      </c>
      <c r="C707" t="str">
        <f>"9780776602998"</f>
        <v>9780776602998</v>
      </c>
      <c r="D707" t="str">
        <f>"9780776617138"</f>
        <v>9780776617138</v>
      </c>
      <c r="E707" t="s">
        <v>3342</v>
      </c>
      <c r="F707" t="s">
        <v>3342</v>
      </c>
      <c r="G707" s="1">
        <v>33239</v>
      </c>
      <c r="J707" t="s">
        <v>4000</v>
      </c>
      <c r="K707" t="s">
        <v>1464</v>
      </c>
      <c r="L707" t="s">
        <v>4001</v>
      </c>
      <c r="M707" t="s">
        <v>4002</v>
      </c>
      <c r="N707" t="s">
        <v>4003</v>
      </c>
      <c r="O707" t="s">
        <v>26</v>
      </c>
      <c r="P707">
        <v>23.98</v>
      </c>
      <c r="Q707">
        <v>14.99</v>
      </c>
      <c r="R707">
        <v>11.99</v>
      </c>
      <c r="S707">
        <v>17.989999999999998</v>
      </c>
      <c r="T707" t="s">
        <v>4004</v>
      </c>
    </row>
    <row r="708" spans="1:20">
      <c r="A708">
        <v>653345</v>
      </c>
      <c r="B708" t="s">
        <v>4005</v>
      </c>
      <c r="C708" t="str">
        <f>"9780776604992"</f>
        <v>9780776604992</v>
      </c>
      <c r="D708" t="str">
        <f>"9780776616025"</f>
        <v>9780776616025</v>
      </c>
      <c r="E708" t="s">
        <v>3342</v>
      </c>
      <c r="F708" t="s">
        <v>3342</v>
      </c>
      <c r="G708" s="1">
        <v>36445</v>
      </c>
      <c r="I708" t="s">
        <v>4006</v>
      </c>
      <c r="J708" t="s">
        <v>4007</v>
      </c>
      <c r="K708" t="s">
        <v>1892</v>
      </c>
      <c r="L708" t="s">
        <v>4008</v>
      </c>
      <c r="M708">
        <v>212</v>
      </c>
      <c r="N708" t="s">
        <v>4009</v>
      </c>
      <c r="O708" t="s">
        <v>26</v>
      </c>
      <c r="P708">
        <v>33.979999999999997</v>
      </c>
      <c r="Q708">
        <v>21.24</v>
      </c>
      <c r="R708">
        <v>16.989999999999998</v>
      </c>
      <c r="S708">
        <v>25.49</v>
      </c>
      <c r="T708" t="s">
        <v>4010</v>
      </c>
    </row>
    <row r="709" spans="1:20">
      <c r="A709">
        <v>653346</v>
      </c>
      <c r="B709" t="s">
        <v>4011</v>
      </c>
      <c r="C709" t="str">
        <f>"9780776604244"</f>
        <v>9780776604244</v>
      </c>
      <c r="D709" t="str">
        <f>"9780776616957"</f>
        <v>9780776616957</v>
      </c>
      <c r="E709" t="s">
        <v>3342</v>
      </c>
      <c r="F709" t="s">
        <v>3342</v>
      </c>
      <c r="G709" s="1">
        <v>35720</v>
      </c>
      <c r="I709" t="s">
        <v>3956</v>
      </c>
      <c r="J709" t="s">
        <v>4012</v>
      </c>
      <c r="K709" t="s">
        <v>1458</v>
      </c>
      <c r="L709" t="s">
        <v>4013</v>
      </c>
      <c r="M709" t="s">
        <v>4014</v>
      </c>
      <c r="N709" t="s">
        <v>4015</v>
      </c>
      <c r="O709" t="s">
        <v>26</v>
      </c>
      <c r="P709">
        <v>19.98</v>
      </c>
      <c r="Q709">
        <v>12.49</v>
      </c>
      <c r="R709">
        <v>9.99</v>
      </c>
      <c r="S709">
        <v>14.99</v>
      </c>
      <c r="T709" t="s">
        <v>4016</v>
      </c>
    </row>
    <row r="710" spans="1:20">
      <c r="A710">
        <v>653347</v>
      </c>
      <c r="B710" t="s">
        <v>4017</v>
      </c>
      <c r="C710" t="str">
        <f>"9780776605418"</f>
        <v>9780776605418</v>
      </c>
      <c r="D710" t="str">
        <f>"9780776615325"</f>
        <v>9780776615325</v>
      </c>
      <c r="E710" t="s">
        <v>3342</v>
      </c>
      <c r="F710" t="s">
        <v>3342</v>
      </c>
      <c r="G710" s="1">
        <v>37231</v>
      </c>
      <c r="I710" t="s">
        <v>3396</v>
      </c>
      <c r="J710" t="s">
        <v>4018</v>
      </c>
      <c r="K710" t="s">
        <v>1530</v>
      </c>
      <c r="L710" t="s">
        <v>4019</v>
      </c>
      <c r="M710" t="s">
        <v>4020</v>
      </c>
      <c r="N710" t="s">
        <v>4021</v>
      </c>
      <c r="O710" t="s">
        <v>26</v>
      </c>
      <c r="P710">
        <v>23.98</v>
      </c>
      <c r="Q710">
        <v>14.99</v>
      </c>
      <c r="R710">
        <v>11.99</v>
      </c>
      <c r="S710">
        <v>17.989999999999998</v>
      </c>
      <c r="T710" t="s">
        <v>4022</v>
      </c>
    </row>
    <row r="711" spans="1:20">
      <c r="A711">
        <v>653348</v>
      </c>
      <c r="B711" t="s">
        <v>4023</v>
      </c>
      <c r="C711" t="str">
        <f>"9780776603605"</f>
        <v>9780776603605</v>
      </c>
      <c r="D711" t="str">
        <f>"9780776615714"</f>
        <v>9780776615714</v>
      </c>
      <c r="E711" t="s">
        <v>3342</v>
      </c>
      <c r="F711" t="s">
        <v>3342</v>
      </c>
      <c r="G711" s="1">
        <v>34335</v>
      </c>
      <c r="I711" t="s">
        <v>3349</v>
      </c>
      <c r="J711" t="s">
        <v>4024</v>
      </c>
      <c r="K711" t="s">
        <v>1464</v>
      </c>
      <c r="L711" t="s">
        <v>4025</v>
      </c>
      <c r="M711" t="s">
        <v>4026</v>
      </c>
      <c r="N711" t="s">
        <v>4027</v>
      </c>
      <c r="O711" t="s">
        <v>26</v>
      </c>
      <c r="P711">
        <v>19.98</v>
      </c>
      <c r="Q711">
        <v>12.49</v>
      </c>
      <c r="R711">
        <v>9.99</v>
      </c>
      <c r="S711">
        <v>14.99</v>
      </c>
      <c r="T711" t="s">
        <v>4028</v>
      </c>
    </row>
    <row r="712" spans="1:20">
      <c r="A712">
        <v>653351</v>
      </c>
      <c r="B712" t="s">
        <v>4029</v>
      </c>
      <c r="C712" t="str">
        <f>"9780776605043"</f>
        <v>9780776605043</v>
      </c>
      <c r="D712" t="str">
        <f>"9780776617282"</f>
        <v>9780776617282</v>
      </c>
      <c r="E712" t="s">
        <v>3342</v>
      </c>
      <c r="F712" t="s">
        <v>3342</v>
      </c>
      <c r="G712" s="1">
        <v>36649</v>
      </c>
      <c r="I712" t="s">
        <v>3981</v>
      </c>
      <c r="J712" t="s">
        <v>4030</v>
      </c>
      <c r="K712" t="s">
        <v>1464</v>
      </c>
      <c r="L712" t="s">
        <v>4031</v>
      </c>
      <c r="M712" t="s">
        <v>4032</v>
      </c>
      <c r="N712" t="s">
        <v>4033</v>
      </c>
      <c r="O712" t="s">
        <v>26</v>
      </c>
      <c r="P712">
        <v>0</v>
      </c>
      <c r="Q712">
        <v>0</v>
      </c>
      <c r="R712">
        <v>0</v>
      </c>
      <c r="S712">
        <v>0</v>
      </c>
      <c r="T712" t="s">
        <v>4034</v>
      </c>
    </row>
    <row r="713" spans="1:20">
      <c r="A713">
        <v>653352</v>
      </c>
      <c r="B713" t="s">
        <v>4035</v>
      </c>
      <c r="C713" t="str">
        <f>"9780776604725"</f>
        <v>9780776604725</v>
      </c>
      <c r="D713" t="str">
        <f>"9780776616001"</f>
        <v>9780776616001</v>
      </c>
      <c r="E713" t="s">
        <v>3342</v>
      </c>
      <c r="F713" t="s">
        <v>3342</v>
      </c>
      <c r="G713" s="1">
        <v>35982</v>
      </c>
      <c r="I713" t="s">
        <v>4006</v>
      </c>
      <c r="J713" t="s">
        <v>4036</v>
      </c>
      <c r="K713" t="s">
        <v>1550</v>
      </c>
      <c r="L713" t="s">
        <v>4037</v>
      </c>
      <c r="M713">
        <v>300</v>
      </c>
      <c r="N713" t="s">
        <v>4038</v>
      </c>
      <c r="O713" t="s">
        <v>26</v>
      </c>
      <c r="P713">
        <v>33.979999999999997</v>
      </c>
      <c r="Q713">
        <v>21.24</v>
      </c>
      <c r="R713">
        <v>16.989999999999998</v>
      </c>
      <c r="S713">
        <v>25.49</v>
      </c>
      <c r="T713" t="s">
        <v>4039</v>
      </c>
    </row>
    <row r="714" spans="1:20">
      <c r="A714">
        <v>653353</v>
      </c>
      <c r="B714" t="s">
        <v>4040</v>
      </c>
      <c r="C714" t="str">
        <f>"9780776605319"</f>
        <v>9780776605319</v>
      </c>
      <c r="D714" t="str">
        <f>"9780776616865"</f>
        <v>9780776616865</v>
      </c>
      <c r="E714" t="s">
        <v>3342</v>
      </c>
      <c r="F714" t="s">
        <v>3342</v>
      </c>
      <c r="G714" s="1">
        <v>37075</v>
      </c>
      <c r="I714" t="s">
        <v>3349</v>
      </c>
      <c r="J714" t="s">
        <v>4041</v>
      </c>
      <c r="K714" t="s">
        <v>1464</v>
      </c>
      <c r="L714" t="s">
        <v>4042</v>
      </c>
      <c r="M714">
        <v>813</v>
      </c>
      <c r="N714" t="s">
        <v>4043</v>
      </c>
      <c r="O714" t="s">
        <v>26</v>
      </c>
      <c r="P714">
        <v>21.98</v>
      </c>
      <c r="Q714">
        <v>13.74</v>
      </c>
      <c r="R714">
        <v>10.99</v>
      </c>
      <c r="S714">
        <v>16.489999999999998</v>
      </c>
      <c r="T714" t="s">
        <v>4044</v>
      </c>
    </row>
    <row r="715" spans="1:20">
      <c r="A715">
        <v>653354</v>
      </c>
      <c r="B715" t="s">
        <v>4045</v>
      </c>
      <c r="C715" t="str">
        <f>"9780776604978"</f>
        <v>9780776604978</v>
      </c>
      <c r="D715" t="str">
        <f>"9780776616759"</f>
        <v>9780776616759</v>
      </c>
      <c r="E715" t="s">
        <v>3342</v>
      </c>
      <c r="F715" t="s">
        <v>3342</v>
      </c>
      <c r="G715" s="1">
        <v>36405</v>
      </c>
      <c r="I715" t="s">
        <v>4006</v>
      </c>
      <c r="J715" t="s">
        <v>4046</v>
      </c>
      <c r="K715" t="s">
        <v>3230</v>
      </c>
      <c r="L715" t="s">
        <v>4047</v>
      </c>
      <c r="M715" t="s">
        <v>4048</v>
      </c>
      <c r="N715" t="s">
        <v>4049</v>
      </c>
      <c r="O715" t="s">
        <v>26</v>
      </c>
      <c r="P715">
        <v>29.98</v>
      </c>
      <c r="Q715">
        <v>18.739999999999998</v>
      </c>
      <c r="R715">
        <v>14.99</v>
      </c>
      <c r="S715">
        <v>22.49</v>
      </c>
      <c r="T715" t="s">
        <v>4050</v>
      </c>
    </row>
    <row r="716" spans="1:20">
      <c r="A716">
        <v>653355</v>
      </c>
      <c r="B716" t="s">
        <v>4051</v>
      </c>
      <c r="C716" t="str">
        <f>"9780776605968"</f>
        <v>9780776605968</v>
      </c>
      <c r="D716" t="str">
        <f>"9780776615332"</f>
        <v>9780776615332</v>
      </c>
      <c r="E716" t="s">
        <v>3342</v>
      </c>
      <c r="F716" t="s">
        <v>3342</v>
      </c>
      <c r="G716" s="1">
        <v>38441</v>
      </c>
      <c r="I716" t="s">
        <v>3355</v>
      </c>
      <c r="J716" t="s">
        <v>4052</v>
      </c>
      <c r="K716" t="s">
        <v>1530</v>
      </c>
      <c r="L716" t="s">
        <v>4053</v>
      </c>
      <c r="M716" t="s">
        <v>4054</v>
      </c>
      <c r="N716" t="s">
        <v>4055</v>
      </c>
      <c r="O716" t="s">
        <v>26</v>
      </c>
      <c r="P716">
        <v>33.979999999999997</v>
      </c>
      <c r="Q716">
        <v>21.24</v>
      </c>
      <c r="R716">
        <v>16.989999999999998</v>
      </c>
      <c r="S716">
        <v>25.49</v>
      </c>
      <c r="T716" t="s">
        <v>4056</v>
      </c>
    </row>
    <row r="717" spans="1:20">
      <c r="A717">
        <v>653356</v>
      </c>
      <c r="B717" t="s">
        <v>4057</v>
      </c>
      <c r="C717" t="str">
        <f>"9780776605531"</f>
        <v>9780776605531</v>
      </c>
      <c r="D717" t="str">
        <f>"9780776615974"</f>
        <v>9780776615974</v>
      </c>
      <c r="E717" t="s">
        <v>3342</v>
      </c>
      <c r="F717" t="s">
        <v>3342</v>
      </c>
      <c r="G717" s="1">
        <v>38044</v>
      </c>
      <c r="I717" t="s">
        <v>3355</v>
      </c>
      <c r="J717" t="s">
        <v>4058</v>
      </c>
      <c r="K717" t="s">
        <v>467</v>
      </c>
      <c r="L717" t="s">
        <v>4059</v>
      </c>
      <c r="M717" t="s">
        <v>4060</v>
      </c>
      <c r="N717" t="s">
        <v>4061</v>
      </c>
      <c r="O717" t="s">
        <v>26</v>
      </c>
      <c r="P717">
        <v>131.97999999999999</v>
      </c>
      <c r="Q717">
        <v>82.49</v>
      </c>
      <c r="R717">
        <v>65.989999999999995</v>
      </c>
      <c r="S717">
        <v>98.99</v>
      </c>
      <c r="T717" t="s">
        <v>4062</v>
      </c>
    </row>
    <row r="718" spans="1:20">
      <c r="A718">
        <v>653357</v>
      </c>
      <c r="B718" t="s">
        <v>4063</v>
      </c>
      <c r="C718" t="str">
        <f>"9780776604251"</f>
        <v>9780776604251</v>
      </c>
      <c r="D718" t="str">
        <f>"9780776616889"</f>
        <v>9780776616889</v>
      </c>
      <c r="E718" t="s">
        <v>3342</v>
      </c>
      <c r="F718" t="s">
        <v>3342</v>
      </c>
      <c r="G718" s="1">
        <v>35720</v>
      </c>
      <c r="I718" t="s">
        <v>3380</v>
      </c>
      <c r="J718" t="s">
        <v>4064</v>
      </c>
      <c r="K718" t="s">
        <v>1859</v>
      </c>
      <c r="L718" t="s">
        <v>4065</v>
      </c>
      <c r="M718" t="s">
        <v>4066</v>
      </c>
      <c r="N718" t="s">
        <v>4067</v>
      </c>
      <c r="O718" t="s">
        <v>26</v>
      </c>
      <c r="P718">
        <v>29.98</v>
      </c>
      <c r="Q718">
        <v>18.739999999999998</v>
      </c>
      <c r="R718">
        <v>14.99</v>
      </c>
      <c r="S718">
        <v>22.49</v>
      </c>
      <c r="T718" t="s">
        <v>4068</v>
      </c>
    </row>
    <row r="719" spans="1:20">
      <c r="A719">
        <v>653358</v>
      </c>
      <c r="B719" t="s">
        <v>4069</v>
      </c>
      <c r="C719" t="str">
        <f>"9780776603971"</f>
        <v>9780776603971</v>
      </c>
      <c r="D719" t="str">
        <f>"9780776615370"</f>
        <v>9780776615370</v>
      </c>
      <c r="E719" t="s">
        <v>3342</v>
      </c>
      <c r="F719" t="s">
        <v>3342</v>
      </c>
      <c r="G719" s="1">
        <v>34335</v>
      </c>
      <c r="I719" t="s">
        <v>3380</v>
      </c>
      <c r="J719" t="s">
        <v>4070</v>
      </c>
      <c r="K719" t="s">
        <v>1859</v>
      </c>
      <c r="L719" t="s">
        <v>4071</v>
      </c>
      <c r="M719">
        <v>121</v>
      </c>
      <c r="N719" t="s">
        <v>4072</v>
      </c>
      <c r="O719" t="s">
        <v>26</v>
      </c>
      <c r="P719">
        <v>29.98</v>
      </c>
      <c r="Q719">
        <v>18.739999999999998</v>
      </c>
      <c r="R719">
        <v>14.99</v>
      </c>
      <c r="S719">
        <v>22.49</v>
      </c>
      <c r="T719" t="s">
        <v>4073</v>
      </c>
    </row>
    <row r="720" spans="1:20">
      <c r="A720">
        <v>653359</v>
      </c>
      <c r="B720" t="s">
        <v>4074</v>
      </c>
      <c r="C720" t="str">
        <f>"9780776605333"</f>
        <v>9780776605333</v>
      </c>
      <c r="D720" t="str">
        <f>"9780776616902"</f>
        <v>9780776616902</v>
      </c>
      <c r="E720" t="s">
        <v>3342</v>
      </c>
      <c r="F720" t="s">
        <v>3342</v>
      </c>
      <c r="G720" s="1">
        <v>37316</v>
      </c>
      <c r="I720" t="s">
        <v>3355</v>
      </c>
      <c r="J720" t="s">
        <v>4075</v>
      </c>
      <c r="K720" t="s">
        <v>1214</v>
      </c>
      <c r="L720" t="s">
        <v>4076</v>
      </c>
      <c r="M720">
        <v>320.89999999999998</v>
      </c>
      <c r="N720" t="s">
        <v>4077</v>
      </c>
      <c r="O720" t="s">
        <v>26</v>
      </c>
      <c r="P720">
        <v>29.98</v>
      </c>
      <c r="Q720">
        <v>18.739999999999998</v>
      </c>
      <c r="R720">
        <v>14.99</v>
      </c>
      <c r="S720">
        <v>22.49</v>
      </c>
      <c r="T720" t="s">
        <v>4078</v>
      </c>
    </row>
    <row r="721" spans="1:20">
      <c r="A721">
        <v>653361</v>
      </c>
      <c r="B721" t="s">
        <v>4079</v>
      </c>
      <c r="C721" t="str">
        <f>"9780776606248"</f>
        <v>9780776606248</v>
      </c>
      <c r="D721" t="str">
        <f>"9780776615615"</f>
        <v>9780776615615</v>
      </c>
      <c r="E721" t="s">
        <v>3342</v>
      </c>
      <c r="F721" t="s">
        <v>3342</v>
      </c>
      <c r="G721" s="1">
        <v>38926</v>
      </c>
      <c r="I721" t="s">
        <v>3402</v>
      </c>
      <c r="J721" t="s">
        <v>4080</v>
      </c>
      <c r="K721" t="s">
        <v>4081</v>
      </c>
      <c r="L721" t="s">
        <v>4082</v>
      </c>
      <c r="M721" t="s">
        <v>4083</v>
      </c>
      <c r="N721" t="s">
        <v>4084</v>
      </c>
      <c r="O721" t="s">
        <v>26</v>
      </c>
      <c r="P721">
        <v>45.98</v>
      </c>
      <c r="Q721">
        <v>28.74</v>
      </c>
      <c r="R721">
        <v>22.99</v>
      </c>
      <c r="S721">
        <v>34.49</v>
      </c>
      <c r="T721" t="s">
        <v>4085</v>
      </c>
    </row>
    <row r="722" spans="1:20">
      <c r="A722">
        <v>653362</v>
      </c>
      <c r="B722" t="s">
        <v>4086</v>
      </c>
      <c r="C722" t="str">
        <f>"9780776606415"</f>
        <v>9780776606415</v>
      </c>
      <c r="D722" t="str">
        <f>"9780776616049"</f>
        <v>9780776616049</v>
      </c>
      <c r="E722" t="s">
        <v>3342</v>
      </c>
      <c r="F722" t="s">
        <v>3342</v>
      </c>
      <c r="G722" s="1">
        <v>39121</v>
      </c>
      <c r="I722" t="s">
        <v>3355</v>
      </c>
      <c r="J722" t="s">
        <v>4087</v>
      </c>
      <c r="K722" t="s">
        <v>467</v>
      </c>
      <c r="L722" t="s">
        <v>4088</v>
      </c>
      <c r="M722">
        <v>352.7</v>
      </c>
      <c r="N722" t="s">
        <v>4089</v>
      </c>
      <c r="O722" t="s">
        <v>26</v>
      </c>
      <c r="P722">
        <v>19.98</v>
      </c>
      <c r="Q722">
        <v>12.49</v>
      </c>
      <c r="R722">
        <v>9.99</v>
      </c>
      <c r="S722">
        <v>14.99</v>
      </c>
      <c r="T722" t="s">
        <v>4090</v>
      </c>
    </row>
    <row r="723" spans="1:20">
      <c r="A723">
        <v>653363</v>
      </c>
      <c r="B723" t="s">
        <v>4091</v>
      </c>
      <c r="C723" t="str">
        <f>"9780776605159"</f>
        <v>9780776605159</v>
      </c>
      <c r="D723" t="str">
        <f>"9780776615424"</f>
        <v>9780776615424</v>
      </c>
      <c r="E723" t="s">
        <v>3342</v>
      </c>
      <c r="F723" t="s">
        <v>3342</v>
      </c>
      <c r="G723" s="1">
        <v>36641</v>
      </c>
      <c r="I723" t="s">
        <v>3380</v>
      </c>
      <c r="J723" t="s">
        <v>4092</v>
      </c>
      <c r="K723" t="s">
        <v>4093</v>
      </c>
      <c r="L723" t="s">
        <v>4094</v>
      </c>
      <c r="M723">
        <v>179.7</v>
      </c>
      <c r="N723" t="s">
        <v>4095</v>
      </c>
      <c r="O723" t="s">
        <v>26</v>
      </c>
      <c r="P723">
        <v>23.98</v>
      </c>
      <c r="Q723">
        <v>14.99</v>
      </c>
      <c r="R723">
        <v>11.99</v>
      </c>
      <c r="S723">
        <v>17.989999999999998</v>
      </c>
      <c r="T723" t="s">
        <v>4096</v>
      </c>
    </row>
    <row r="724" spans="1:20">
      <c r="A724">
        <v>653365</v>
      </c>
      <c r="B724" t="s">
        <v>4097</v>
      </c>
      <c r="C724" t="str">
        <f>"9780776604831"</f>
        <v>9780776604831</v>
      </c>
      <c r="D724" t="str">
        <f>"9780776615509"</f>
        <v>9780776615509</v>
      </c>
      <c r="E724" t="s">
        <v>3342</v>
      </c>
      <c r="F724" t="s">
        <v>3342</v>
      </c>
      <c r="G724" s="1">
        <v>36167</v>
      </c>
      <c r="I724" t="s">
        <v>3349</v>
      </c>
      <c r="J724" t="s">
        <v>4098</v>
      </c>
      <c r="K724" t="s">
        <v>1464</v>
      </c>
      <c r="L724" t="s">
        <v>4099</v>
      </c>
      <c r="M724" t="s">
        <v>4100</v>
      </c>
      <c r="N724" t="s">
        <v>4101</v>
      </c>
      <c r="O724" t="s">
        <v>26</v>
      </c>
      <c r="P724">
        <v>23.98</v>
      </c>
      <c r="Q724">
        <v>14.99</v>
      </c>
      <c r="R724">
        <v>11.99</v>
      </c>
      <c r="S724">
        <v>17.989999999999998</v>
      </c>
      <c r="T724" t="s">
        <v>4102</v>
      </c>
    </row>
    <row r="725" spans="1:20">
      <c r="A725">
        <v>653367</v>
      </c>
      <c r="B725" t="s">
        <v>4103</v>
      </c>
      <c r="C725" t="str">
        <f>"9780776604480"</f>
        <v>9780776604480</v>
      </c>
      <c r="D725" t="str">
        <f>"9780776617350"</f>
        <v>9780776617350</v>
      </c>
      <c r="E725" t="s">
        <v>3342</v>
      </c>
      <c r="F725" t="s">
        <v>3342</v>
      </c>
      <c r="G725" s="1">
        <v>35720</v>
      </c>
      <c r="I725" t="s">
        <v>3402</v>
      </c>
      <c r="J725" t="s">
        <v>4104</v>
      </c>
      <c r="K725" t="s">
        <v>4081</v>
      </c>
      <c r="L725" t="s">
        <v>4105</v>
      </c>
      <c r="M725" t="s">
        <v>4106</v>
      </c>
      <c r="N725" t="s">
        <v>4107</v>
      </c>
      <c r="O725" t="s">
        <v>26</v>
      </c>
      <c r="P725">
        <v>23.98</v>
      </c>
      <c r="Q725">
        <v>14.99</v>
      </c>
      <c r="R725">
        <v>11.99</v>
      </c>
      <c r="S725">
        <v>17.989999999999998</v>
      </c>
      <c r="T725" t="s">
        <v>4108</v>
      </c>
    </row>
    <row r="726" spans="1:20">
      <c r="A726">
        <v>653368</v>
      </c>
      <c r="B726" t="s">
        <v>4109</v>
      </c>
      <c r="C726" t="str">
        <f>"9780776604442"</f>
        <v>9780776604442</v>
      </c>
      <c r="D726" t="str">
        <f>"9780776616605"</f>
        <v>9780776616605</v>
      </c>
      <c r="E726" t="s">
        <v>3342</v>
      </c>
      <c r="F726" t="s">
        <v>3342</v>
      </c>
      <c r="G726" s="1">
        <v>35934</v>
      </c>
      <c r="I726" t="s">
        <v>4110</v>
      </c>
      <c r="J726" t="s">
        <v>4111</v>
      </c>
      <c r="K726" t="s">
        <v>4112</v>
      </c>
      <c r="L726" t="s">
        <v>4113</v>
      </c>
      <c r="M726" t="s">
        <v>4114</v>
      </c>
      <c r="N726" t="s">
        <v>4115</v>
      </c>
      <c r="O726" t="s">
        <v>26</v>
      </c>
      <c r="P726">
        <v>23.98</v>
      </c>
      <c r="Q726">
        <v>14.99</v>
      </c>
      <c r="R726">
        <v>11.99</v>
      </c>
      <c r="S726">
        <v>17.989999999999998</v>
      </c>
      <c r="T726" t="s">
        <v>4116</v>
      </c>
    </row>
    <row r="727" spans="1:20">
      <c r="A727">
        <v>653369</v>
      </c>
      <c r="B727" t="s">
        <v>4117</v>
      </c>
      <c r="C727" t="str">
        <f>"9780776604411"</f>
        <v>9780776604411</v>
      </c>
      <c r="D727" t="str">
        <f>"9780776615837"</f>
        <v>9780776615837</v>
      </c>
      <c r="E727" t="s">
        <v>3342</v>
      </c>
      <c r="F727" t="s">
        <v>3342</v>
      </c>
      <c r="G727" s="1">
        <v>35720</v>
      </c>
      <c r="I727" t="s">
        <v>3349</v>
      </c>
      <c r="J727" t="s">
        <v>3780</v>
      </c>
      <c r="K727" t="s">
        <v>1464</v>
      </c>
      <c r="L727" t="s">
        <v>4118</v>
      </c>
      <c r="M727">
        <v>810.9</v>
      </c>
      <c r="N727" t="s">
        <v>4119</v>
      </c>
      <c r="O727" t="s">
        <v>26</v>
      </c>
      <c r="P727">
        <v>25.98</v>
      </c>
      <c r="Q727">
        <v>16.239999999999998</v>
      </c>
      <c r="R727">
        <v>12.99</v>
      </c>
      <c r="S727">
        <v>19.489999999999998</v>
      </c>
      <c r="T727" t="s">
        <v>4120</v>
      </c>
    </row>
    <row r="728" spans="1:20">
      <c r="A728">
        <v>653370</v>
      </c>
      <c r="B728" t="s">
        <v>4121</v>
      </c>
      <c r="C728" t="str">
        <f>"9780776604817"</f>
        <v>9780776604817</v>
      </c>
      <c r="D728" t="str">
        <f>"9780776616858"</f>
        <v>9780776616858</v>
      </c>
      <c r="E728" t="s">
        <v>3342</v>
      </c>
      <c r="F728" t="s">
        <v>3342</v>
      </c>
      <c r="G728" s="1">
        <v>36146</v>
      </c>
      <c r="I728" t="s">
        <v>3973</v>
      </c>
      <c r="J728" t="s">
        <v>4122</v>
      </c>
      <c r="K728" t="s">
        <v>4123</v>
      </c>
      <c r="L728" t="s">
        <v>4124</v>
      </c>
      <c r="M728">
        <v>300</v>
      </c>
      <c r="N728" t="s">
        <v>4125</v>
      </c>
      <c r="O728" t="s">
        <v>26</v>
      </c>
      <c r="P728">
        <v>25.98</v>
      </c>
      <c r="Q728">
        <v>16.239999999999998</v>
      </c>
      <c r="R728">
        <v>12.99</v>
      </c>
      <c r="S728">
        <v>19.489999999999998</v>
      </c>
      <c r="T728" t="s">
        <v>4126</v>
      </c>
    </row>
    <row r="729" spans="1:20">
      <c r="A729">
        <v>653372</v>
      </c>
      <c r="B729" t="s">
        <v>4127</v>
      </c>
      <c r="C729" t="str">
        <f>"9780776604787"</f>
        <v>9780776604787</v>
      </c>
      <c r="D729" t="str">
        <f>"9780776615318"</f>
        <v>9780776615318</v>
      </c>
      <c r="E729" t="s">
        <v>3342</v>
      </c>
      <c r="F729" t="s">
        <v>3342</v>
      </c>
      <c r="G729" s="1">
        <v>36273</v>
      </c>
      <c r="I729" t="s">
        <v>4110</v>
      </c>
      <c r="J729" t="s">
        <v>4128</v>
      </c>
      <c r="K729" t="s">
        <v>1892</v>
      </c>
      <c r="L729" t="s">
        <v>4129</v>
      </c>
      <c r="M729">
        <v>261.836209</v>
      </c>
      <c r="N729" t="s">
        <v>4130</v>
      </c>
      <c r="O729" t="s">
        <v>26</v>
      </c>
      <c r="P729">
        <v>33.979999999999997</v>
      </c>
      <c r="Q729">
        <v>21.24</v>
      </c>
      <c r="R729">
        <v>16.989999999999998</v>
      </c>
      <c r="S729">
        <v>25.49</v>
      </c>
      <c r="T729" t="s">
        <v>4131</v>
      </c>
    </row>
    <row r="730" spans="1:20">
      <c r="A730">
        <v>653373</v>
      </c>
      <c r="B730" t="s">
        <v>4132</v>
      </c>
      <c r="C730" t="str">
        <f>"9780776602868"</f>
        <v>9780776602868</v>
      </c>
      <c r="D730" t="str">
        <f>"9780776615493"</f>
        <v>9780776615493</v>
      </c>
      <c r="E730" t="s">
        <v>3342</v>
      </c>
      <c r="F730" t="s">
        <v>3342</v>
      </c>
      <c r="G730" s="1">
        <v>32874</v>
      </c>
      <c r="I730" t="s">
        <v>3349</v>
      </c>
      <c r="J730" t="s">
        <v>4133</v>
      </c>
      <c r="K730" t="s">
        <v>1464</v>
      </c>
      <c r="L730" t="s">
        <v>4134</v>
      </c>
      <c r="M730" t="s">
        <v>4135</v>
      </c>
      <c r="N730" t="s">
        <v>4136</v>
      </c>
      <c r="O730" t="s">
        <v>26</v>
      </c>
      <c r="P730">
        <v>19.98</v>
      </c>
      <c r="Q730">
        <v>12.49</v>
      </c>
      <c r="R730">
        <v>9.99</v>
      </c>
      <c r="S730">
        <v>14.99</v>
      </c>
      <c r="T730" t="s">
        <v>4137</v>
      </c>
    </row>
    <row r="731" spans="1:20">
      <c r="A731">
        <v>653374</v>
      </c>
      <c r="B731" t="s">
        <v>4138</v>
      </c>
      <c r="C731" t="str">
        <f>"9780776603230"</f>
        <v>9780776603230</v>
      </c>
      <c r="D731" t="str">
        <f>"9780776616643"</f>
        <v>9780776616643</v>
      </c>
      <c r="E731" t="s">
        <v>3342</v>
      </c>
      <c r="F731" t="s">
        <v>3342</v>
      </c>
      <c r="G731" s="1">
        <v>35721</v>
      </c>
      <c r="I731" t="s">
        <v>3956</v>
      </c>
      <c r="J731" t="s">
        <v>4139</v>
      </c>
      <c r="K731" t="s">
        <v>1458</v>
      </c>
      <c r="L731" t="s">
        <v>4140</v>
      </c>
      <c r="M731" t="s">
        <v>3959</v>
      </c>
      <c r="N731" t="s">
        <v>4141</v>
      </c>
      <c r="O731" t="s">
        <v>26</v>
      </c>
      <c r="P731">
        <v>23.98</v>
      </c>
      <c r="Q731">
        <v>14.99</v>
      </c>
      <c r="R731">
        <v>11.99</v>
      </c>
      <c r="S731">
        <v>17.989999999999998</v>
      </c>
      <c r="T731" t="s">
        <v>4142</v>
      </c>
    </row>
    <row r="732" spans="1:20">
      <c r="A732">
        <v>653375</v>
      </c>
      <c r="B732" t="s">
        <v>4143</v>
      </c>
      <c r="C732" t="str">
        <f>"9780776605258"</f>
        <v>9780776605258</v>
      </c>
      <c r="D732" t="str">
        <f>"9780776615882"</f>
        <v>9780776615882</v>
      </c>
      <c r="E732" t="s">
        <v>3342</v>
      </c>
      <c r="F732" t="s">
        <v>3342</v>
      </c>
      <c r="G732" s="1">
        <v>37068</v>
      </c>
      <c r="J732" t="s">
        <v>4144</v>
      </c>
      <c r="K732" t="s">
        <v>4145</v>
      </c>
      <c r="L732" t="s">
        <v>4146</v>
      </c>
      <c r="M732">
        <v>600</v>
      </c>
      <c r="N732" t="s">
        <v>4147</v>
      </c>
      <c r="O732" t="s">
        <v>26</v>
      </c>
      <c r="P732">
        <v>33.979999999999997</v>
      </c>
      <c r="Q732">
        <v>21.24</v>
      </c>
      <c r="R732">
        <v>16.989999999999998</v>
      </c>
      <c r="S732">
        <v>25.49</v>
      </c>
      <c r="T732" t="s">
        <v>4148</v>
      </c>
    </row>
    <row r="733" spans="1:20">
      <c r="A733">
        <v>653376</v>
      </c>
      <c r="B733" t="s">
        <v>4149</v>
      </c>
      <c r="C733" t="str">
        <f>"9780776605975"</f>
        <v>9780776605975</v>
      </c>
      <c r="D733" t="str">
        <f>"9780776615349"</f>
        <v>9780776615349</v>
      </c>
      <c r="E733" t="s">
        <v>3342</v>
      </c>
      <c r="F733" t="s">
        <v>3342</v>
      </c>
      <c r="G733" s="1">
        <v>38533</v>
      </c>
      <c r="J733" t="s">
        <v>4150</v>
      </c>
      <c r="K733" t="s">
        <v>2260</v>
      </c>
      <c r="L733" t="s">
        <v>4151</v>
      </c>
      <c r="M733" t="s">
        <v>4152</v>
      </c>
      <c r="N733" t="s">
        <v>4153</v>
      </c>
      <c r="O733" t="s">
        <v>26</v>
      </c>
      <c r="P733">
        <v>33.979999999999997</v>
      </c>
      <c r="Q733">
        <v>21.24</v>
      </c>
      <c r="R733">
        <v>16.989999999999998</v>
      </c>
      <c r="S733">
        <v>25.49</v>
      </c>
      <c r="T733" t="s">
        <v>4154</v>
      </c>
    </row>
    <row r="734" spans="1:20">
      <c r="A734">
        <v>653378</v>
      </c>
      <c r="B734" t="s">
        <v>4155</v>
      </c>
      <c r="C734" t="str">
        <f>"9780776605289"</f>
        <v>9780776605289</v>
      </c>
      <c r="D734" t="str">
        <f>"9780776615486"</f>
        <v>9780776615486</v>
      </c>
      <c r="E734" t="s">
        <v>3342</v>
      </c>
      <c r="F734" t="s">
        <v>3342</v>
      </c>
      <c r="G734" s="1">
        <v>36770</v>
      </c>
      <c r="I734" t="s">
        <v>4156</v>
      </c>
      <c r="J734" t="s">
        <v>4157</v>
      </c>
      <c r="K734" t="s">
        <v>4158</v>
      </c>
      <c r="L734" t="s">
        <v>4159</v>
      </c>
      <c r="M734">
        <v>341.24220000000003</v>
      </c>
      <c r="N734" t="s">
        <v>4160</v>
      </c>
      <c r="O734" t="s">
        <v>26</v>
      </c>
      <c r="P734">
        <v>119.98</v>
      </c>
      <c r="Q734">
        <v>74.989999999999995</v>
      </c>
      <c r="R734">
        <v>59.99</v>
      </c>
      <c r="S734">
        <v>89.99</v>
      </c>
      <c r="T734" t="s">
        <v>4161</v>
      </c>
    </row>
    <row r="735" spans="1:20">
      <c r="A735">
        <v>653379</v>
      </c>
      <c r="B735" t="s">
        <v>4162</v>
      </c>
      <c r="C735" t="str">
        <f>"9780776606507"</f>
        <v>9780776606507</v>
      </c>
      <c r="D735" t="str">
        <f>"9780776617718"</f>
        <v>9780776617718</v>
      </c>
      <c r="E735" t="s">
        <v>3342</v>
      </c>
      <c r="F735" t="s">
        <v>3342</v>
      </c>
      <c r="G735" s="1">
        <v>39331</v>
      </c>
      <c r="I735" t="s">
        <v>4163</v>
      </c>
      <c r="J735" t="s">
        <v>4164</v>
      </c>
      <c r="K735" t="s">
        <v>416</v>
      </c>
      <c r="L735" t="s">
        <v>4165</v>
      </c>
      <c r="M735" t="s">
        <v>4166</v>
      </c>
      <c r="N735" t="s">
        <v>4167</v>
      </c>
      <c r="O735" t="s">
        <v>26</v>
      </c>
      <c r="P735">
        <v>39.979999999999997</v>
      </c>
      <c r="Q735">
        <v>24.99</v>
      </c>
      <c r="R735">
        <v>19.989999999999998</v>
      </c>
      <c r="S735">
        <v>29.99</v>
      </c>
      <c r="T735" t="s">
        <v>4168</v>
      </c>
    </row>
    <row r="736" spans="1:20">
      <c r="A736">
        <v>653380</v>
      </c>
      <c r="B736" t="s">
        <v>4169</v>
      </c>
      <c r="C736" t="str">
        <f>"9780776605845"</f>
        <v>9780776605845</v>
      </c>
      <c r="D736" t="str">
        <f>"9780776617367"</f>
        <v>9780776617367</v>
      </c>
      <c r="E736" t="s">
        <v>3342</v>
      </c>
      <c r="F736" t="s">
        <v>3342</v>
      </c>
      <c r="G736" s="1">
        <v>38199</v>
      </c>
      <c r="I736" t="s">
        <v>3402</v>
      </c>
      <c r="J736" t="s">
        <v>4170</v>
      </c>
      <c r="K736" t="s">
        <v>4081</v>
      </c>
      <c r="L736" t="s">
        <v>4171</v>
      </c>
      <c r="M736" t="s">
        <v>4172</v>
      </c>
      <c r="N736" t="s">
        <v>4173</v>
      </c>
      <c r="O736" t="s">
        <v>26</v>
      </c>
      <c r="P736">
        <v>29.98</v>
      </c>
      <c r="Q736">
        <v>18.739999999999998</v>
      </c>
      <c r="R736">
        <v>14.99</v>
      </c>
      <c r="S736">
        <v>22.49</v>
      </c>
      <c r="T736" t="s">
        <v>4174</v>
      </c>
    </row>
    <row r="737" spans="1:20">
      <c r="A737">
        <v>653381</v>
      </c>
      <c r="B737" t="s">
        <v>4175</v>
      </c>
      <c r="C737" t="str">
        <f>"9780776601465"</f>
        <v>9780776601465</v>
      </c>
      <c r="D737" t="str">
        <f>"9780776616940"</f>
        <v>9780776616940</v>
      </c>
      <c r="E737" t="s">
        <v>3342</v>
      </c>
      <c r="F737" t="s">
        <v>3342</v>
      </c>
      <c r="G737" s="1">
        <v>31413</v>
      </c>
      <c r="I737" t="s">
        <v>3349</v>
      </c>
      <c r="J737" t="s">
        <v>4176</v>
      </c>
      <c r="K737" t="s">
        <v>1464</v>
      </c>
      <c r="L737" t="s">
        <v>4177</v>
      </c>
      <c r="M737" t="s">
        <v>4178</v>
      </c>
      <c r="N737" t="s">
        <v>4179</v>
      </c>
      <c r="O737" t="s">
        <v>26</v>
      </c>
      <c r="P737">
        <v>19.98</v>
      </c>
      <c r="Q737">
        <v>12.49</v>
      </c>
      <c r="R737">
        <v>9.99</v>
      </c>
      <c r="S737">
        <v>14.99</v>
      </c>
      <c r="T737" t="s">
        <v>4180</v>
      </c>
    </row>
    <row r="738" spans="1:20">
      <c r="A738">
        <v>653382</v>
      </c>
      <c r="B738" t="s">
        <v>4181</v>
      </c>
      <c r="C738" t="str">
        <f>"9780776605111"</f>
        <v>9780776605111</v>
      </c>
      <c r="D738" t="str">
        <f>"9780776615912"</f>
        <v>9780776615912</v>
      </c>
      <c r="E738" t="s">
        <v>3342</v>
      </c>
      <c r="F738" t="s">
        <v>3342</v>
      </c>
      <c r="G738" s="1">
        <v>36453</v>
      </c>
      <c r="I738" t="s">
        <v>4006</v>
      </c>
      <c r="J738" t="s">
        <v>4182</v>
      </c>
      <c r="K738" t="s">
        <v>263</v>
      </c>
      <c r="L738" t="s">
        <v>4183</v>
      </c>
      <c r="M738">
        <v>300</v>
      </c>
      <c r="N738" t="s">
        <v>4184</v>
      </c>
      <c r="O738" t="s">
        <v>26</v>
      </c>
      <c r="P738">
        <v>33.979999999999997</v>
      </c>
      <c r="Q738">
        <v>21.24</v>
      </c>
      <c r="R738">
        <v>16.989999999999998</v>
      </c>
      <c r="S738">
        <v>25.49</v>
      </c>
      <c r="T738" t="s">
        <v>4185</v>
      </c>
    </row>
    <row r="739" spans="1:20">
      <c r="A739">
        <v>653383</v>
      </c>
      <c r="B739" t="s">
        <v>4186</v>
      </c>
      <c r="C739" t="str">
        <f>"9780776603261"</f>
        <v>9780776603261</v>
      </c>
      <c r="D739" t="str">
        <f>"9780776617411"</f>
        <v>9780776617411</v>
      </c>
      <c r="E739" t="s">
        <v>3342</v>
      </c>
      <c r="F739" t="s">
        <v>3342</v>
      </c>
      <c r="G739" s="1">
        <v>35721</v>
      </c>
      <c r="I739" t="s">
        <v>3956</v>
      </c>
      <c r="J739" t="s">
        <v>4187</v>
      </c>
      <c r="K739" t="s">
        <v>1458</v>
      </c>
      <c r="L739" t="s">
        <v>4188</v>
      </c>
      <c r="M739" t="s">
        <v>4189</v>
      </c>
      <c r="N739" t="s">
        <v>4190</v>
      </c>
      <c r="O739" t="s">
        <v>26</v>
      </c>
      <c r="P739">
        <v>21.98</v>
      </c>
      <c r="Q739">
        <v>13.74</v>
      </c>
      <c r="R739">
        <v>10.99</v>
      </c>
      <c r="S739">
        <v>16.489999999999998</v>
      </c>
      <c r="T739" t="s">
        <v>4191</v>
      </c>
    </row>
    <row r="740" spans="1:20">
      <c r="A740">
        <v>653384</v>
      </c>
      <c r="B740" t="s">
        <v>4192</v>
      </c>
      <c r="C740" t="str">
        <f>"9780776605050"</f>
        <v>9780776605050</v>
      </c>
      <c r="D740" t="str">
        <f>"9780776615806"</f>
        <v>9780776615806</v>
      </c>
      <c r="E740" t="s">
        <v>3342</v>
      </c>
      <c r="F740" t="s">
        <v>3342</v>
      </c>
      <c r="G740" s="1">
        <v>36466</v>
      </c>
      <c r="I740" t="s">
        <v>3349</v>
      </c>
      <c r="J740" t="s">
        <v>4193</v>
      </c>
      <c r="K740" t="s">
        <v>1464</v>
      </c>
      <c r="L740" t="s">
        <v>4194</v>
      </c>
      <c r="M740">
        <v>813</v>
      </c>
      <c r="N740" t="s">
        <v>4195</v>
      </c>
      <c r="O740" t="s">
        <v>26</v>
      </c>
      <c r="P740">
        <v>23.98</v>
      </c>
      <c r="Q740">
        <v>14.99</v>
      </c>
      <c r="R740">
        <v>11.99</v>
      </c>
      <c r="S740">
        <v>17.989999999999998</v>
      </c>
      <c r="T740" t="s">
        <v>4196</v>
      </c>
    </row>
    <row r="741" spans="1:20">
      <c r="A741">
        <v>653385</v>
      </c>
      <c r="B741" t="s">
        <v>4197</v>
      </c>
      <c r="C741" t="str">
        <f>"9780776605241"</f>
        <v>9780776605241</v>
      </c>
      <c r="D741" t="str">
        <f>"9780776615608"</f>
        <v>9780776615608</v>
      </c>
      <c r="E741" t="s">
        <v>3342</v>
      </c>
      <c r="F741" t="s">
        <v>3342</v>
      </c>
      <c r="G741" s="1">
        <v>36857</v>
      </c>
      <c r="I741" t="s">
        <v>3402</v>
      </c>
      <c r="J741" t="s">
        <v>4198</v>
      </c>
      <c r="K741" t="s">
        <v>356</v>
      </c>
      <c r="L741" t="s">
        <v>4199</v>
      </c>
      <c r="M741">
        <v>303.48</v>
      </c>
      <c r="N741" t="s">
        <v>4200</v>
      </c>
      <c r="O741" t="s">
        <v>26</v>
      </c>
      <c r="P741">
        <v>29.98</v>
      </c>
      <c r="Q741">
        <v>18.739999999999998</v>
      </c>
      <c r="R741">
        <v>14.99</v>
      </c>
      <c r="S741">
        <v>22.49</v>
      </c>
      <c r="T741" t="s">
        <v>4201</v>
      </c>
    </row>
    <row r="742" spans="1:20">
      <c r="A742">
        <v>653387</v>
      </c>
      <c r="B742" t="s">
        <v>4202</v>
      </c>
      <c r="C742" t="str">
        <f>"9780776648057"</f>
        <v>9780776648057</v>
      </c>
      <c r="D742" t="str">
        <f>"9780776617251"</f>
        <v>9780776617251</v>
      </c>
      <c r="E742" t="s">
        <v>3342</v>
      </c>
      <c r="F742" t="s">
        <v>3342</v>
      </c>
      <c r="G742" s="1">
        <v>28491</v>
      </c>
      <c r="I742" t="s">
        <v>3981</v>
      </c>
      <c r="J742" t="s">
        <v>4203</v>
      </c>
      <c r="K742" t="s">
        <v>1464</v>
      </c>
      <c r="L742" t="s">
        <v>4204</v>
      </c>
      <c r="M742" t="s">
        <v>3984</v>
      </c>
      <c r="N742" t="s">
        <v>4205</v>
      </c>
      <c r="O742" t="s">
        <v>26</v>
      </c>
      <c r="P742">
        <v>33.979999999999997</v>
      </c>
      <c r="Q742">
        <v>21.24</v>
      </c>
      <c r="R742">
        <v>16.989999999999998</v>
      </c>
      <c r="S742">
        <v>25.49</v>
      </c>
      <c r="T742" t="s">
        <v>4206</v>
      </c>
    </row>
    <row r="743" spans="1:20">
      <c r="A743">
        <v>653389</v>
      </c>
      <c r="B743" t="s">
        <v>4207</v>
      </c>
      <c r="C743" t="str">
        <f>"9780776606491"</f>
        <v>9780776606491</v>
      </c>
      <c r="D743" t="str">
        <f>"9780776617688"</f>
        <v>9780776617688</v>
      </c>
      <c r="E743" t="s">
        <v>3342</v>
      </c>
      <c r="F743" t="s">
        <v>3342</v>
      </c>
      <c r="G743" s="1">
        <v>39390</v>
      </c>
      <c r="I743" t="s">
        <v>3343</v>
      </c>
      <c r="J743" t="s">
        <v>4208</v>
      </c>
      <c r="K743" t="s">
        <v>1458</v>
      </c>
      <c r="L743" t="s">
        <v>4209</v>
      </c>
      <c r="N743" t="s">
        <v>4210</v>
      </c>
      <c r="O743" t="s">
        <v>26</v>
      </c>
      <c r="P743">
        <v>23.98</v>
      </c>
      <c r="Q743">
        <v>14.99</v>
      </c>
      <c r="R743">
        <v>11.99</v>
      </c>
      <c r="S743">
        <v>17.989999999999998</v>
      </c>
      <c r="T743" t="s">
        <v>4211</v>
      </c>
    </row>
    <row r="744" spans="1:20">
      <c r="A744">
        <v>653390</v>
      </c>
      <c r="B744" t="s">
        <v>4212</v>
      </c>
      <c r="C744" t="str">
        <f>"9780776605777"</f>
        <v>9780776605777</v>
      </c>
      <c r="D744" t="str">
        <f>"9780776616094"</f>
        <v>9780776616094</v>
      </c>
      <c r="E744" t="s">
        <v>3342</v>
      </c>
      <c r="F744" t="s">
        <v>3342</v>
      </c>
      <c r="G744" s="1">
        <v>38160</v>
      </c>
      <c r="I744" t="s">
        <v>3349</v>
      </c>
      <c r="J744" t="s">
        <v>4213</v>
      </c>
      <c r="K744" t="s">
        <v>1464</v>
      </c>
      <c r="L744" t="s">
        <v>4214</v>
      </c>
      <c r="M744" t="s">
        <v>4215</v>
      </c>
      <c r="N744" t="s">
        <v>4216</v>
      </c>
      <c r="O744" t="s">
        <v>26</v>
      </c>
      <c r="P744">
        <v>39.979999999999997</v>
      </c>
      <c r="Q744">
        <v>24.99</v>
      </c>
      <c r="R744">
        <v>19.989999999999998</v>
      </c>
      <c r="S744">
        <v>29.99</v>
      </c>
      <c r="T744" t="s">
        <v>4217</v>
      </c>
    </row>
    <row r="745" spans="1:20">
      <c r="A745">
        <v>653391</v>
      </c>
      <c r="B745" t="s">
        <v>4218</v>
      </c>
      <c r="C745" t="str">
        <f>"9780776605197"</f>
        <v>9780776605197</v>
      </c>
      <c r="D745" t="str">
        <f>"9780776617114"</f>
        <v>9780776617114</v>
      </c>
      <c r="E745" t="s">
        <v>3342</v>
      </c>
      <c r="F745" t="s">
        <v>3342</v>
      </c>
      <c r="G745" s="1">
        <v>36853</v>
      </c>
      <c r="I745" t="s">
        <v>3380</v>
      </c>
      <c r="J745" t="s">
        <v>4219</v>
      </c>
      <c r="K745" t="s">
        <v>1859</v>
      </c>
      <c r="L745" t="s">
        <v>4220</v>
      </c>
      <c r="M745">
        <v>121</v>
      </c>
      <c r="N745" t="s">
        <v>4221</v>
      </c>
      <c r="O745" t="s">
        <v>26</v>
      </c>
      <c r="P745">
        <v>19.98</v>
      </c>
      <c r="Q745">
        <v>12.49</v>
      </c>
      <c r="R745">
        <v>9.99</v>
      </c>
      <c r="S745">
        <v>14.99</v>
      </c>
      <c r="T745" t="s">
        <v>4222</v>
      </c>
    </row>
    <row r="746" spans="1:20">
      <c r="A746">
        <v>653392</v>
      </c>
      <c r="B746" t="s">
        <v>4223</v>
      </c>
      <c r="C746" t="str">
        <f>"9780776603292"</f>
        <v>9780776603292</v>
      </c>
      <c r="D746" t="str">
        <f>"9780776615981"</f>
        <v>9780776615981</v>
      </c>
      <c r="E746" t="s">
        <v>3342</v>
      </c>
      <c r="F746" t="s">
        <v>3342</v>
      </c>
      <c r="G746" s="1">
        <v>33604</v>
      </c>
      <c r="I746" t="s">
        <v>3349</v>
      </c>
      <c r="J746" t="s">
        <v>3780</v>
      </c>
      <c r="K746" t="s">
        <v>1464</v>
      </c>
      <c r="L746" t="s">
        <v>4224</v>
      </c>
      <c r="N746" t="s">
        <v>4225</v>
      </c>
      <c r="O746" t="s">
        <v>26</v>
      </c>
      <c r="P746">
        <v>19.98</v>
      </c>
      <c r="Q746">
        <v>12.49</v>
      </c>
      <c r="R746">
        <v>9.99</v>
      </c>
      <c r="S746">
        <v>14.99</v>
      </c>
      <c r="T746" t="s">
        <v>4226</v>
      </c>
    </row>
    <row r="747" spans="1:20">
      <c r="A747">
        <v>653393</v>
      </c>
      <c r="B747" t="s">
        <v>4227</v>
      </c>
      <c r="C747" t="str">
        <f>"9780776603551"</f>
        <v>9780776603551</v>
      </c>
      <c r="D747" t="str">
        <f>"9780776617374"</f>
        <v>9780776617374</v>
      </c>
      <c r="E747" t="s">
        <v>3342</v>
      </c>
      <c r="F747" t="s">
        <v>3342</v>
      </c>
      <c r="G747" s="1">
        <v>33604</v>
      </c>
      <c r="I747" t="s">
        <v>3380</v>
      </c>
      <c r="J747" t="s">
        <v>4228</v>
      </c>
      <c r="K747" t="s">
        <v>3219</v>
      </c>
      <c r="L747" t="s">
        <v>4229</v>
      </c>
      <c r="M747">
        <v>901</v>
      </c>
      <c r="N747" t="s">
        <v>4230</v>
      </c>
      <c r="O747" t="s">
        <v>26</v>
      </c>
      <c r="P747">
        <v>29.98</v>
      </c>
      <c r="Q747">
        <v>18.739999999999998</v>
      </c>
      <c r="R747">
        <v>14.99</v>
      </c>
      <c r="S747">
        <v>22.49</v>
      </c>
      <c r="T747" t="s">
        <v>4231</v>
      </c>
    </row>
    <row r="748" spans="1:20">
      <c r="A748">
        <v>653394</v>
      </c>
      <c r="B748" t="s">
        <v>4232</v>
      </c>
      <c r="C748" t="str">
        <f>"9780776605012"</f>
        <v>9780776605012</v>
      </c>
      <c r="D748" t="str">
        <f>"9780776616148"</f>
        <v>9780776616148</v>
      </c>
      <c r="E748" t="s">
        <v>3342</v>
      </c>
      <c r="F748" t="s">
        <v>3342</v>
      </c>
      <c r="G748" s="1">
        <v>36311</v>
      </c>
      <c r="I748" t="s">
        <v>3402</v>
      </c>
      <c r="J748" t="s">
        <v>4233</v>
      </c>
      <c r="K748" t="s">
        <v>467</v>
      </c>
      <c r="L748" t="s">
        <v>4234</v>
      </c>
      <c r="M748">
        <v>327.10000000000002</v>
      </c>
      <c r="N748" t="s">
        <v>4235</v>
      </c>
      <c r="O748" t="s">
        <v>26</v>
      </c>
      <c r="P748">
        <v>29.98</v>
      </c>
      <c r="Q748">
        <v>18.739999999999998</v>
      </c>
      <c r="R748">
        <v>14.99</v>
      </c>
      <c r="S748">
        <v>22.49</v>
      </c>
      <c r="T748" t="s">
        <v>4236</v>
      </c>
    </row>
    <row r="749" spans="1:20">
      <c r="A749">
        <v>653395</v>
      </c>
      <c r="B749" t="s">
        <v>4237</v>
      </c>
      <c r="C749" t="str">
        <f>"9780776605517"</f>
        <v>9780776605517</v>
      </c>
      <c r="D749" t="str">
        <f>"9780776617039"</f>
        <v>9780776617039</v>
      </c>
      <c r="E749" t="s">
        <v>3342</v>
      </c>
      <c r="F749" t="s">
        <v>3342</v>
      </c>
      <c r="G749" s="1">
        <v>37782</v>
      </c>
      <c r="I749" t="s">
        <v>3396</v>
      </c>
      <c r="J749" t="s">
        <v>4238</v>
      </c>
      <c r="K749" t="s">
        <v>291</v>
      </c>
      <c r="L749" t="s">
        <v>4239</v>
      </c>
      <c r="M749" t="s">
        <v>4240</v>
      </c>
      <c r="N749" t="s">
        <v>4241</v>
      </c>
      <c r="O749" t="s">
        <v>26</v>
      </c>
      <c r="P749">
        <v>49.98</v>
      </c>
      <c r="Q749">
        <v>31.24</v>
      </c>
      <c r="R749">
        <v>24.99</v>
      </c>
      <c r="S749">
        <v>37.49</v>
      </c>
      <c r="T749" t="s">
        <v>4242</v>
      </c>
    </row>
    <row r="750" spans="1:20">
      <c r="A750">
        <v>653396</v>
      </c>
      <c r="B750" t="s">
        <v>4243</v>
      </c>
      <c r="C750" t="str">
        <f>"9780776606545"</f>
        <v>9780776606545</v>
      </c>
      <c r="D750" t="str">
        <f>"9780776617725"</f>
        <v>9780776617725</v>
      </c>
      <c r="E750" t="s">
        <v>3342</v>
      </c>
      <c r="F750" t="s">
        <v>3342</v>
      </c>
      <c r="G750" s="1">
        <v>39370</v>
      </c>
      <c r="I750" t="s">
        <v>3355</v>
      </c>
      <c r="J750" t="s">
        <v>4244</v>
      </c>
      <c r="K750" t="s">
        <v>568</v>
      </c>
      <c r="L750" t="s">
        <v>4245</v>
      </c>
      <c r="M750">
        <v>305.8</v>
      </c>
      <c r="N750" t="s">
        <v>4246</v>
      </c>
      <c r="O750" t="s">
        <v>26</v>
      </c>
      <c r="P750">
        <v>29.98</v>
      </c>
      <c r="Q750">
        <v>18.739999999999998</v>
      </c>
      <c r="R750">
        <v>14.99</v>
      </c>
      <c r="S750">
        <v>22.49</v>
      </c>
      <c r="T750" t="s">
        <v>4247</v>
      </c>
    </row>
    <row r="751" spans="1:20">
      <c r="A751">
        <v>653399</v>
      </c>
      <c r="B751" t="s">
        <v>4248</v>
      </c>
      <c r="C751" t="str">
        <f>"9780776601748"</f>
        <v>9780776601748</v>
      </c>
      <c r="D751" t="str">
        <f>"9780776617312"</f>
        <v>9780776617312</v>
      </c>
      <c r="E751" t="s">
        <v>3342</v>
      </c>
      <c r="F751" t="s">
        <v>3342</v>
      </c>
      <c r="G751" s="1">
        <v>32143</v>
      </c>
      <c r="J751" t="s">
        <v>4249</v>
      </c>
      <c r="K751" t="s">
        <v>2387</v>
      </c>
      <c r="L751" t="s">
        <v>4250</v>
      </c>
      <c r="M751">
        <v>641.5</v>
      </c>
      <c r="N751" t="s">
        <v>4251</v>
      </c>
      <c r="O751" t="s">
        <v>26</v>
      </c>
      <c r="P751">
        <v>124</v>
      </c>
      <c r="Q751">
        <v>77.5</v>
      </c>
      <c r="R751">
        <v>62</v>
      </c>
      <c r="S751">
        <v>93</v>
      </c>
      <c r="T751" t="s">
        <v>4252</v>
      </c>
    </row>
    <row r="752" spans="1:20">
      <c r="A752">
        <v>653400</v>
      </c>
      <c r="B752" t="s">
        <v>4253</v>
      </c>
      <c r="C752" t="str">
        <f>"9780887721106"</f>
        <v>9780887721106</v>
      </c>
      <c r="D752" t="str">
        <f>"9780776617220"</f>
        <v>9780776617220</v>
      </c>
      <c r="E752" t="s">
        <v>4254</v>
      </c>
      <c r="F752" t="s">
        <v>4254</v>
      </c>
      <c r="G752" s="1">
        <v>25628</v>
      </c>
      <c r="J752" t="s">
        <v>4255</v>
      </c>
      <c r="K752" t="s">
        <v>1859</v>
      </c>
      <c r="L752" t="s">
        <v>4256</v>
      </c>
      <c r="M752">
        <v>194</v>
      </c>
      <c r="N752" t="s">
        <v>4257</v>
      </c>
      <c r="O752" t="s">
        <v>26</v>
      </c>
      <c r="P752">
        <v>19.98</v>
      </c>
      <c r="Q752">
        <v>12.49</v>
      </c>
      <c r="R752">
        <v>9.99</v>
      </c>
      <c r="S752">
        <v>14.99</v>
      </c>
      <c r="T752" t="s">
        <v>4258</v>
      </c>
    </row>
    <row r="753" spans="1:20">
      <c r="A753">
        <v>653401</v>
      </c>
      <c r="B753" t="s">
        <v>4259</v>
      </c>
      <c r="C753" t="str">
        <f>"9780776604237"</f>
        <v>9780776604237</v>
      </c>
      <c r="D753" t="str">
        <f>"9780776616926"</f>
        <v>9780776616926</v>
      </c>
      <c r="E753" t="s">
        <v>3342</v>
      </c>
      <c r="F753" t="s">
        <v>3342</v>
      </c>
      <c r="G753" s="1">
        <v>35065</v>
      </c>
      <c r="I753" t="s">
        <v>3380</v>
      </c>
      <c r="J753" t="s">
        <v>4260</v>
      </c>
      <c r="K753" t="s">
        <v>4261</v>
      </c>
      <c r="L753" t="s">
        <v>4262</v>
      </c>
      <c r="M753">
        <v>415</v>
      </c>
      <c r="N753" t="s">
        <v>4263</v>
      </c>
      <c r="O753" t="s">
        <v>26</v>
      </c>
      <c r="P753">
        <v>29.98</v>
      </c>
      <c r="Q753">
        <v>18.739999999999998</v>
      </c>
      <c r="R753">
        <v>14.99</v>
      </c>
      <c r="S753">
        <v>22.49</v>
      </c>
      <c r="T753" t="s">
        <v>4264</v>
      </c>
    </row>
    <row r="754" spans="1:20">
      <c r="A754">
        <v>653402</v>
      </c>
      <c r="B754" t="s">
        <v>4265</v>
      </c>
      <c r="C754" t="str">
        <f>"9780776606453"</f>
        <v>9780776606453</v>
      </c>
      <c r="D754" t="str">
        <f>"9780776617701"</f>
        <v>9780776617701</v>
      </c>
      <c r="E754" t="s">
        <v>3342</v>
      </c>
      <c r="F754" t="s">
        <v>3342</v>
      </c>
      <c r="G754" s="1">
        <v>39275</v>
      </c>
      <c r="I754" t="s">
        <v>3349</v>
      </c>
      <c r="J754" t="s">
        <v>4266</v>
      </c>
      <c r="K754" t="s">
        <v>1464</v>
      </c>
      <c r="L754" t="s">
        <v>4267</v>
      </c>
      <c r="M754" t="s">
        <v>4268</v>
      </c>
      <c r="N754" t="s">
        <v>4269</v>
      </c>
      <c r="O754" t="s">
        <v>26</v>
      </c>
      <c r="P754">
        <v>45.98</v>
      </c>
      <c r="Q754">
        <v>28.74</v>
      </c>
      <c r="R754">
        <v>22.99</v>
      </c>
      <c r="S754">
        <v>34.49</v>
      </c>
      <c r="T754" t="s">
        <v>4270</v>
      </c>
    </row>
    <row r="755" spans="1:20">
      <c r="A755">
        <v>653403</v>
      </c>
      <c r="B755" t="s">
        <v>4271</v>
      </c>
      <c r="C755" t="str">
        <f>"9780776604930"</f>
        <v>9780776604930</v>
      </c>
      <c r="D755" t="str">
        <f>"9780776615738"</f>
        <v>9780776615738</v>
      </c>
      <c r="E755" t="s">
        <v>3342</v>
      </c>
      <c r="F755" t="s">
        <v>3342</v>
      </c>
      <c r="G755" s="1">
        <v>36427</v>
      </c>
      <c r="I755" t="s">
        <v>3396</v>
      </c>
      <c r="J755" t="s">
        <v>4272</v>
      </c>
      <c r="K755" t="s">
        <v>4273</v>
      </c>
      <c r="L755" t="s">
        <v>4274</v>
      </c>
      <c r="M755">
        <v>303.48</v>
      </c>
      <c r="N755" t="s">
        <v>4275</v>
      </c>
      <c r="O755" t="s">
        <v>26</v>
      </c>
      <c r="P755">
        <v>29.98</v>
      </c>
      <c r="Q755">
        <v>18.739999999999998</v>
      </c>
      <c r="R755">
        <v>14.99</v>
      </c>
      <c r="S755">
        <v>22.49</v>
      </c>
      <c r="T755" t="s">
        <v>4276</v>
      </c>
    </row>
    <row r="756" spans="1:20">
      <c r="A756">
        <v>653404</v>
      </c>
      <c r="B756" t="s">
        <v>4277</v>
      </c>
      <c r="C756" t="str">
        <f>"9780776604466"</f>
        <v>9780776604466</v>
      </c>
      <c r="D756" t="str">
        <f>"9780776616582"</f>
        <v>9780776616582</v>
      </c>
      <c r="E756" t="s">
        <v>3342</v>
      </c>
      <c r="F756" t="s">
        <v>3342</v>
      </c>
      <c r="G756" s="1">
        <v>37068</v>
      </c>
      <c r="I756" t="s">
        <v>3349</v>
      </c>
      <c r="J756" t="s">
        <v>4176</v>
      </c>
      <c r="K756" t="s">
        <v>1464</v>
      </c>
      <c r="L756" t="s">
        <v>4278</v>
      </c>
      <c r="N756" t="s">
        <v>4279</v>
      </c>
      <c r="O756" t="s">
        <v>26</v>
      </c>
      <c r="P756">
        <v>19.98</v>
      </c>
      <c r="Q756">
        <v>12.49</v>
      </c>
      <c r="R756">
        <v>9.99</v>
      </c>
      <c r="S756">
        <v>14.99</v>
      </c>
      <c r="T756" t="s">
        <v>4280</v>
      </c>
    </row>
    <row r="757" spans="1:20">
      <c r="A757">
        <v>653405</v>
      </c>
      <c r="B757" t="s">
        <v>4281</v>
      </c>
      <c r="C757" t="str">
        <f>"9780776606026"</f>
        <v>9780776606026</v>
      </c>
      <c r="D757" t="str">
        <f>"9780776617084"</f>
        <v>9780776617084</v>
      </c>
      <c r="E757" t="s">
        <v>3342</v>
      </c>
      <c r="F757" t="s">
        <v>3342</v>
      </c>
      <c r="G757" s="1">
        <v>38596</v>
      </c>
      <c r="J757" t="s">
        <v>4282</v>
      </c>
      <c r="K757" t="s">
        <v>3421</v>
      </c>
      <c r="L757" t="s">
        <v>4283</v>
      </c>
      <c r="M757" t="s">
        <v>4284</v>
      </c>
      <c r="N757" t="s">
        <v>4285</v>
      </c>
      <c r="O757" t="s">
        <v>26</v>
      </c>
      <c r="P757">
        <v>29.98</v>
      </c>
      <c r="Q757">
        <v>18.739999999999998</v>
      </c>
      <c r="R757">
        <v>14.99</v>
      </c>
      <c r="S757">
        <v>22.49</v>
      </c>
      <c r="T757" t="s">
        <v>4286</v>
      </c>
    </row>
    <row r="758" spans="1:20">
      <c r="A758">
        <v>653406</v>
      </c>
      <c r="B758" t="s">
        <v>4287</v>
      </c>
      <c r="C758" t="str">
        <f>"9780776605432"</f>
        <v>9780776605432</v>
      </c>
      <c r="D758" t="str">
        <f>"9780776615578"</f>
        <v>9780776615578</v>
      </c>
      <c r="E758" t="s">
        <v>3342</v>
      </c>
      <c r="F758" t="s">
        <v>3342</v>
      </c>
      <c r="G758" s="1">
        <v>37590</v>
      </c>
      <c r="I758" t="s">
        <v>3396</v>
      </c>
      <c r="J758" t="s">
        <v>4288</v>
      </c>
      <c r="K758" t="s">
        <v>467</v>
      </c>
      <c r="L758" t="s">
        <v>4289</v>
      </c>
      <c r="M758" t="s">
        <v>4290</v>
      </c>
      <c r="N758" t="s">
        <v>4291</v>
      </c>
      <c r="O758" t="s">
        <v>26</v>
      </c>
      <c r="P758">
        <v>23.98</v>
      </c>
      <c r="Q758">
        <v>14.99</v>
      </c>
      <c r="R758">
        <v>11.99</v>
      </c>
      <c r="S758">
        <v>17.989999999999998</v>
      </c>
      <c r="T758" t="s">
        <v>4292</v>
      </c>
    </row>
    <row r="759" spans="1:20">
      <c r="A759">
        <v>653407</v>
      </c>
      <c r="B759" t="s">
        <v>4293</v>
      </c>
      <c r="C759" t="str">
        <f>"9780776604169"</f>
        <v>9780776604169</v>
      </c>
      <c r="D759" t="str">
        <f>"9780776616599"</f>
        <v>9780776616599</v>
      </c>
      <c r="E759" t="s">
        <v>3342</v>
      </c>
      <c r="F759" t="s">
        <v>3342</v>
      </c>
      <c r="G759" s="1">
        <v>34700</v>
      </c>
      <c r="I759" t="s">
        <v>4110</v>
      </c>
      <c r="J759" t="s">
        <v>4294</v>
      </c>
      <c r="K759" t="s">
        <v>291</v>
      </c>
      <c r="L759" t="s">
        <v>4295</v>
      </c>
      <c r="M759" t="s">
        <v>4296</v>
      </c>
      <c r="N759" t="s">
        <v>4297</v>
      </c>
      <c r="O759" t="s">
        <v>26</v>
      </c>
      <c r="P759">
        <v>19.98</v>
      </c>
      <c r="Q759">
        <v>12.49</v>
      </c>
      <c r="R759">
        <v>9.99</v>
      </c>
      <c r="S759">
        <v>14.99</v>
      </c>
      <c r="T759" t="s">
        <v>4298</v>
      </c>
    </row>
    <row r="760" spans="1:20">
      <c r="A760">
        <v>653408</v>
      </c>
      <c r="B760" t="s">
        <v>4299</v>
      </c>
      <c r="C760" t="str">
        <f>"9780776606286"</f>
        <v>9780776606286</v>
      </c>
      <c r="D760" t="str">
        <f>"9780776617664"</f>
        <v>9780776617664</v>
      </c>
      <c r="E760" t="s">
        <v>3342</v>
      </c>
      <c r="F760" t="s">
        <v>3342</v>
      </c>
      <c r="G760" s="1">
        <v>39331</v>
      </c>
      <c r="I760" t="s">
        <v>3402</v>
      </c>
      <c r="J760" t="s">
        <v>4300</v>
      </c>
      <c r="K760" t="s">
        <v>3939</v>
      </c>
      <c r="L760" t="s">
        <v>4301</v>
      </c>
      <c r="M760" t="s">
        <v>4302</v>
      </c>
      <c r="N760" t="s">
        <v>4303</v>
      </c>
      <c r="O760" t="s">
        <v>26</v>
      </c>
      <c r="P760">
        <v>39.979999999999997</v>
      </c>
      <c r="Q760">
        <v>24.99</v>
      </c>
      <c r="R760">
        <v>19.989999999999998</v>
      </c>
      <c r="S760">
        <v>29.99</v>
      </c>
      <c r="T760" t="s">
        <v>4304</v>
      </c>
    </row>
    <row r="761" spans="1:20">
      <c r="A761">
        <v>653409</v>
      </c>
      <c r="B761" t="s">
        <v>4305</v>
      </c>
      <c r="C761" t="str">
        <f>"9780776604572"</f>
        <v>9780776604572</v>
      </c>
      <c r="D761" t="str">
        <f>"9780776617190"</f>
        <v>9780776617190</v>
      </c>
      <c r="E761" t="s">
        <v>3342</v>
      </c>
      <c r="F761" t="s">
        <v>3342</v>
      </c>
      <c r="G761" s="1">
        <v>36020</v>
      </c>
      <c r="I761" t="s">
        <v>3402</v>
      </c>
      <c r="J761" t="s">
        <v>4306</v>
      </c>
      <c r="K761" t="s">
        <v>1214</v>
      </c>
      <c r="L761" t="s">
        <v>4307</v>
      </c>
      <c r="M761" t="s">
        <v>4308</v>
      </c>
      <c r="N761" t="s">
        <v>4309</v>
      </c>
      <c r="O761" t="s">
        <v>26</v>
      </c>
      <c r="P761">
        <v>23.98</v>
      </c>
      <c r="Q761">
        <v>14.99</v>
      </c>
      <c r="R761">
        <v>11.99</v>
      </c>
      <c r="S761">
        <v>17.989999999999998</v>
      </c>
      <c r="T761" t="s">
        <v>4310</v>
      </c>
    </row>
    <row r="762" spans="1:20">
      <c r="A762">
        <v>653410</v>
      </c>
      <c r="B762" t="s">
        <v>4311</v>
      </c>
      <c r="C762" t="str">
        <f>"9780776602066"</f>
        <v>9780776602066</v>
      </c>
      <c r="D762" t="str">
        <f>"9780776617268"</f>
        <v>9780776617268</v>
      </c>
      <c r="E762" t="s">
        <v>3342</v>
      </c>
      <c r="F762" t="s">
        <v>3342</v>
      </c>
      <c r="G762" s="1">
        <v>32874</v>
      </c>
      <c r="I762" t="s">
        <v>3981</v>
      </c>
      <c r="J762" t="s">
        <v>4312</v>
      </c>
      <c r="K762" t="s">
        <v>1464</v>
      </c>
      <c r="L762" t="s">
        <v>4313</v>
      </c>
      <c r="M762" t="s">
        <v>3984</v>
      </c>
      <c r="N762" t="s">
        <v>4314</v>
      </c>
      <c r="O762" t="s">
        <v>26</v>
      </c>
      <c r="P762">
        <v>25.98</v>
      </c>
      <c r="Q762">
        <v>16.239999999999998</v>
      </c>
      <c r="R762">
        <v>12.99</v>
      </c>
      <c r="S762">
        <v>19.489999999999998</v>
      </c>
      <c r="T762" t="s">
        <v>4315</v>
      </c>
    </row>
    <row r="763" spans="1:20">
      <c r="A763">
        <v>653411</v>
      </c>
      <c r="B763" t="s">
        <v>4316</v>
      </c>
      <c r="C763" t="str">
        <f>"9780776605388"</f>
        <v>9780776605388</v>
      </c>
      <c r="D763" t="str">
        <f>"9780776615677"</f>
        <v>9780776615677</v>
      </c>
      <c r="E763" t="s">
        <v>3342</v>
      </c>
      <c r="F763" t="s">
        <v>3342</v>
      </c>
      <c r="G763" s="1">
        <v>37363</v>
      </c>
      <c r="I763" t="s">
        <v>4317</v>
      </c>
      <c r="J763" t="s">
        <v>4318</v>
      </c>
      <c r="K763" t="s">
        <v>4081</v>
      </c>
      <c r="L763" t="s">
        <v>4319</v>
      </c>
      <c r="M763" t="s">
        <v>4320</v>
      </c>
      <c r="N763" t="s">
        <v>4321</v>
      </c>
      <c r="O763" t="s">
        <v>26</v>
      </c>
      <c r="P763">
        <v>25.98</v>
      </c>
      <c r="Q763">
        <v>16.239999999999998</v>
      </c>
      <c r="R763">
        <v>12.99</v>
      </c>
      <c r="S763">
        <v>19.489999999999998</v>
      </c>
      <c r="T763" t="s">
        <v>4322</v>
      </c>
    </row>
    <row r="764" spans="1:20">
      <c r="A764">
        <v>653412</v>
      </c>
      <c r="B764" t="s">
        <v>4323</v>
      </c>
      <c r="C764" t="str">
        <f>"9780776605579"</f>
        <v>9780776605579</v>
      </c>
      <c r="D764" t="str">
        <f>"9780776615547"</f>
        <v>9780776615547</v>
      </c>
      <c r="E764" t="s">
        <v>3342</v>
      </c>
      <c r="F764" t="s">
        <v>3342</v>
      </c>
      <c r="G764" s="1">
        <v>38041</v>
      </c>
      <c r="I764" t="s">
        <v>4110</v>
      </c>
      <c r="J764" t="s">
        <v>4324</v>
      </c>
      <c r="K764" t="s">
        <v>1892</v>
      </c>
      <c r="L764" t="s">
        <v>4325</v>
      </c>
      <c r="M764" t="s">
        <v>4326</v>
      </c>
      <c r="N764" t="s">
        <v>4327</v>
      </c>
      <c r="O764" t="s">
        <v>26</v>
      </c>
      <c r="P764">
        <v>69.98</v>
      </c>
      <c r="Q764">
        <v>43.74</v>
      </c>
      <c r="R764">
        <v>34.99</v>
      </c>
      <c r="S764">
        <v>52.49</v>
      </c>
      <c r="T764" t="s">
        <v>4328</v>
      </c>
    </row>
    <row r="765" spans="1:20">
      <c r="A765">
        <v>653413</v>
      </c>
      <c r="B765" t="s">
        <v>4329</v>
      </c>
      <c r="C765" t="str">
        <f>"9780776601632"</f>
        <v>9780776601632</v>
      </c>
      <c r="D765" t="str">
        <f>"9780776617428"</f>
        <v>9780776617428</v>
      </c>
      <c r="E765" t="s">
        <v>3342</v>
      </c>
      <c r="F765" t="s">
        <v>3342</v>
      </c>
      <c r="G765" s="1">
        <v>32143</v>
      </c>
      <c r="J765" t="s">
        <v>4330</v>
      </c>
      <c r="K765" t="s">
        <v>473</v>
      </c>
      <c r="L765" t="s">
        <v>4331</v>
      </c>
      <c r="M765" t="s">
        <v>4332</v>
      </c>
      <c r="N765" t="s">
        <v>4333</v>
      </c>
      <c r="O765" t="s">
        <v>26</v>
      </c>
      <c r="P765">
        <v>25.98</v>
      </c>
      <c r="Q765">
        <v>16.239999999999998</v>
      </c>
      <c r="R765">
        <v>12.99</v>
      </c>
      <c r="S765">
        <v>19.489999999999998</v>
      </c>
      <c r="T765" t="s">
        <v>4334</v>
      </c>
    </row>
    <row r="766" spans="1:20">
      <c r="A766">
        <v>653414</v>
      </c>
      <c r="B766" t="s">
        <v>4335</v>
      </c>
      <c r="C766" t="str">
        <f>"9780776630267"</f>
        <v>9780776630267</v>
      </c>
      <c r="D766" t="str">
        <f>"9780776616117"</f>
        <v>9780776616117</v>
      </c>
      <c r="E766" t="s">
        <v>3342</v>
      </c>
      <c r="F766" t="s">
        <v>3342</v>
      </c>
      <c r="G766" s="1">
        <v>38035</v>
      </c>
      <c r="I766" t="s">
        <v>3380</v>
      </c>
      <c r="J766" t="s">
        <v>4336</v>
      </c>
      <c r="K766" t="s">
        <v>1859</v>
      </c>
      <c r="L766" t="s">
        <v>4337</v>
      </c>
      <c r="M766">
        <v>193</v>
      </c>
      <c r="N766" t="s">
        <v>4338</v>
      </c>
      <c r="O766" t="s">
        <v>26</v>
      </c>
      <c r="P766">
        <v>39.979999999999997</v>
      </c>
      <c r="Q766">
        <v>24.99</v>
      </c>
      <c r="R766">
        <v>19.989999999999998</v>
      </c>
      <c r="S766">
        <v>29.99</v>
      </c>
      <c r="T766" t="s">
        <v>4339</v>
      </c>
    </row>
    <row r="767" spans="1:20">
      <c r="A767">
        <v>653415</v>
      </c>
      <c r="B767" t="s">
        <v>4340</v>
      </c>
      <c r="C767" t="str">
        <f>"9780776606163"</f>
        <v>9780776606163</v>
      </c>
      <c r="D767" t="str">
        <f>"9780776616179"</f>
        <v>9780776616179</v>
      </c>
      <c r="E767" t="s">
        <v>3342</v>
      </c>
      <c r="F767" t="s">
        <v>3342</v>
      </c>
      <c r="G767" s="1">
        <v>38687</v>
      </c>
      <c r="I767" t="s">
        <v>3380</v>
      </c>
      <c r="J767" t="s">
        <v>4341</v>
      </c>
      <c r="K767" t="s">
        <v>1859</v>
      </c>
      <c r="L767" t="s">
        <v>4342</v>
      </c>
      <c r="M767">
        <v>198.9</v>
      </c>
      <c r="N767" t="s">
        <v>4343</v>
      </c>
      <c r="O767" t="s">
        <v>26</v>
      </c>
      <c r="P767">
        <v>25.98</v>
      </c>
      <c r="Q767">
        <v>16.239999999999998</v>
      </c>
      <c r="R767">
        <v>12.99</v>
      </c>
      <c r="S767">
        <v>19.489999999999998</v>
      </c>
      <c r="T767" t="s">
        <v>4344</v>
      </c>
    </row>
    <row r="768" spans="1:20">
      <c r="A768">
        <v>653417</v>
      </c>
      <c r="B768" t="s">
        <v>4345</v>
      </c>
      <c r="C768" t="str">
        <f>"9780776605739"</f>
        <v>9780776605739</v>
      </c>
      <c r="D768" t="str">
        <f>"9780776615400"</f>
        <v>9780776615400</v>
      </c>
      <c r="E768" t="s">
        <v>3342</v>
      </c>
      <c r="F768" t="s">
        <v>3342</v>
      </c>
      <c r="G768" s="1">
        <v>38167</v>
      </c>
      <c r="J768" t="s">
        <v>4346</v>
      </c>
      <c r="K768" t="s">
        <v>4347</v>
      </c>
      <c r="L768" t="s">
        <v>4348</v>
      </c>
      <c r="M768" t="s">
        <v>4349</v>
      </c>
      <c r="N768" t="s">
        <v>4350</v>
      </c>
      <c r="O768" t="s">
        <v>26</v>
      </c>
      <c r="P768">
        <v>59.98</v>
      </c>
      <c r="Q768">
        <v>37.49</v>
      </c>
      <c r="R768">
        <v>29.99</v>
      </c>
      <c r="S768">
        <v>44.99</v>
      </c>
      <c r="T768" t="s">
        <v>4351</v>
      </c>
    </row>
    <row r="769" spans="1:20">
      <c r="A769">
        <v>653418</v>
      </c>
      <c r="B769" t="s">
        <v>4352</v>
      </c>
      <c r="C769" t="str">
        <f>"9780776605593"</f>
        <v>9780776605593</v>
      </c>
      <c r="D769" t="str">
        <f>"9780776617053"</f>
        <v>9780776617053</v>
      </c>
      <c r="E769" t="s">
        <v>3342</v>
      </c>
      <c r="F769" t="s">
        <v>3342</v>
      </c>
      <c r="G769" s="1">
        <v>38470</v>
      </c>
      <c r="I769" t="s">
        <v>4353</v>
      </c>
      <c r="J769" t="s">
        <v>4354</v>
      </c>
      <c r="K769" t="s">
        <v>291</v>
      </c>
      <c r="L769" t="s">
        <v>4355</v>
      </c>
      <c r="M769" t="s">
        <v>4356</v>
      </c>
      <c r="N769" t="s">
        <v>4357</v>
      </c>
      <c r="O769" t="s">
        <v>26</v>
      </c>
      <c r="P769">
        <v>65.98</v>
      </c>
      <c r="Q769">
        <v>41.24</v>
      </c>
      <c r="R769">
        <v>32.99</v>
      </c>
      <c r="S769">
        <v>49.49</v>
      </c>
      <c r="T769" t="s">
        <v>4358</v>
      </c>
    </row>
    <row r="770" spans="1:20">
      <c r="A770">
        <v>653419</v>
      </c>
      <c r="B770" t="s">
        <v>4359</v>
      </c>
      <c r="C770" t="str">
        <f>"9780776605944"</f>
        <v>9780776605944</v>
      </c>
      <c r="D770" t="str">
        <f>"9780776617176"</f>
        <v>9780776617176</v>
      </c>
      <c r="E770" t="s">
        <v>3342</v>
      </c>
      <c r="F770" t="s">
        <v>3342</v>
      </c>
      <c r="G770" s="1">
        <v>38545</v>
      </c>
      <c r="I770" t="s">
        <v>3355</v>
      </c>
      <c r="J770" t="s">
        <v>3426</v>
      </c>
      <c r="K770" t="s">
        <v>467</v>
      </c>
      <c r="L770" t="s">
        <v>4360</v>
      </c>
      <c r="M770">
        <v>320.10000000000002</v>
      </c>
      <c r="N770" t="s">
        <v>4361</v>
      </c>
      <c r="O770" t="s">
        <v>26</v>
      </c>
      <c r="P770">
        <v>33.979999999999997</v>
      </c>
      <c r="Q770">
        <v>21.24</v>
      </c>
      <c r="R770">
        <v>16.989999999999998</v>
      </c>
      <c r="S770">
        <v>25.49</v>
      </c>
      <c r="T770" t="s">
        <v>4362</v>
      </c>
    </row>
    <row r="771" spans="1:20">
      <c r="A771">
        <v>653420</v>
      </c>
      <c r="B771" t="s">
        <v>4363</v>
      </c>
      <c r="C771" t="str">
        <f>"9780776606279"</f>
        <v>9780776606279</v>
      </c>
      <c r="D771" t="str">
        <f>"9780776616537"</f>
        <v>9780776616537</v>
      </c>
      <c r="E771" t="s">
        <v>3342</v>
      </c>
      <c r="F771" t="s">
        <v>3342</v>
      </c>
      <c r="G771" s="1">
        <v>38988</v>
      </c>
      <c r="I771" t="s">
        <v>3402</v>
      </c>
      <c r="J771" t="s">
        <v>4318</v>
      </c>
      <c r="K771" t="s">
        <v>4081</v>
      </c>
      <c r="L771" t="s">
        <v>4364</v>
      </c>
      <c r="M771">
        <v>401</v>
      </c>
      <c r="N771" t="s">
        <v>4365</v>
      </c>
      <c r="O771" t="s">
        <v>26</v>
      </c>
      <c r="P771">
        <v>33.979999999999997</v>
      </c>
      <c r="Q771">
        <v>21.24</v>
      </c>
      <c r="R771">
        <v>16.989999999999998</v>
      </c>
      <c r="S771">
        <v>25.49</v>
      </c>
      <c r="T771" t="s">
        <v>4366</v>
      </c>
    </row>
    <row r="772" spans="1:20">
      <c r="A772">
        <v>653422</v>
      </c>
      <c r="B772" t="s">
        <v>4367</v>
      </c>
      <c r="C772" t="str">
        <f>"9780776605562"</f>
        <v>9780776605562</v>
      </c>
      <c r="D772" t="str">
        <f>"9780776617435"</f>
        <v>9780776617435</v>
      </c>
      <c r="E772" t="s">
        <v>3342</v>
      </c>
      <c r="F772" t="s">
        <v>3342</v>
      </c>
      <c r="G772" s="1">
        <v>37846</v>
      </c>
      <c r="I772" t="s">
        <v>3349</v>
      </c>
      <c r="J772" t="s">
        <v>4368</v>
      </c>
      <c r="K772" t="s">
        <v>1464</v>
      </c>
      <c r="L772" t="s">
        <v>4369</v>
      </c>
      <c r="M772" t="s">
        <v>4370</v>
      </c>
      <c r="N772" t="s">
        <v>4371</v>
      </c>
      <c r="O772" t="s">
        <v>26</v>
      </c>
      <c r="P772">
        <v>23.98</v>
      </c>
      <c r="Q772">
        <v>14.99</v>
      </c>
      <c r="R772">
        <v>11.99</v>
      </c>
      <c r="S772">
        <v>17.989999999999998</v>
      </c>
      <c r="T772" t="s">
        <v>4372</v>
      </c>
    </row>
    <row r="773" spans="1:20">
      <c r="A773">
        <v>653423</v>
      </c>
      <c r="B773" t="s">
        <v>4373</v>
      </c>
      <c r="C773" t="str">
        <f>"9780776606200"</f>
        <v>9780776606200</v>
      </c>
      <c r="D773" t="str">
        <f>"9780776615530"</f>
        <v>9780776615530</v>
      </c>
      <c r="E773" t="s">
        <v>3342</v>
      </c>
      <c r="F773" t="s">
        <v>3342</v>
      </c>
      <c r="G773" s="1">
        <v>38896</v>
      </c>
      <c r="J773" t="s">
        <v>4374</v>
      </c>
      <c r="K773" t="s">
        <v>525</v>
      </c>
      <c r="L773" t="s">
        <v>4375</v>
      </c>
      <c r="M773" t="s">
        <v>4376</v>
      </c>
      <c r="N773" t="s">
        <v>4377</v>
      </c>
      <c r="O773" t="s">
        <v>26</v>
      </c>
      <c r="P773">
        <v>33.979999999999997</v>
      </c>
      <c r="Q773">
        <v>21.24</v>
      </c>
      <c r="R773">
        <v>16.989999999999998</v>
      </c>
      <c r="S773">
        <v>25.49</v>
      </c>
      <c r="T773" t="s">
        <v>4378</v>
      </c>
    </row>
    <row r="774" spans="1:20">
      <c r="A774">
        <v>653424</v>
      </c>
      <c r="B774" t="s">
        <v>4379</v>
      </c>
      <c r="C774" t="str">
        <f>"9780776605999"</f>
        <v>9780776605999</v>
      </c>
      <c r="D774" t="str">
        <f>"9780776617046"</f>
        <v>9780776617046</v>
      </c>
      <c r="E774" t="s">
        <v>3342</v>
      </c>
      <c r="F774" t="s">
        <v>3342</v>
      </c>
      <c r="G774" s="1">
        <v>38545</v>
      </c>
      <c r="I774" t="s">
        <v>3349</v>
      </c>
      <c r="J774" t="s">
        <v>4380</v>
      </c>
      <c r="K774" t="s">
        <v>1464</v>
      </c>
      <c r="L774" t="s">
        <v>4381</v>
      </c>
      <c r="M774" t="s">
        <v>4382</v>
      </c>
      <c r="N774" t="s">
        <v>4383</v>
      </c>
      <c r="O774" t="s">
        <v>26</v>
      </c>
      <c r="P774">
        <v>33.979999999999997</v>
      </c>
      <c r="Q774">
        <v>21.24</v>
      </c>
      <c r="R774">
        <v>16.989999999999998</v>
      </c>
      <c r="S774">
        <v>25.49</v>
      </c>
      <c r="T774" t="s">
        <v>4384</v>
      </c>
    </row>
    <row r="775" spans="1:20">
      <c r="A775">
        <v>653426</v>
      </c>
      <c r="B775" t="s">
        <v>4385</v>
      </c>
      <c r="C775" t="str">
        <f>"9780776605456"</f>
        <v>9780776605456</v>
      </c>
      <c r="D775" t="str">
        <f>"9780776616667"</f>
        <v>9780776616667</v>
      </c>
      <c r="E775" t="s">
        <v>3342</v>
      </c>
      <c r="F775" t="s">
        <v>3342</v>
      </c>
      <c r="G775" s="1">
        <v>37734</v>
      </c>
      <c r="I775" t="s">
        <v>4110</v>
      </c>
      <c r="J775" t="s">
        <v>4386</v>
      </c>
      <c r="K775" t="s">
        <v>291</v>
      </c>
      <c r="L775" t="s">
        <v>4387</v>
      </c>
      <c r="M775" t="s">
        <v>4388</v>
      </c>
      <c r="N775" t="s">
        <v>4389</v>
      </c>
      <c r="O775" t="s">
        <v>26</v>
      </c>
      <c r="P775">
        <v>49.98</v>
      </c>
      <c r="Q775">
        <v>31.24</v>
      </c>
      <c r="R775">
        <v>24.99</v>
      </c>
      <c r="S775">
        <v>37.49</v>
      </c>
      <c r="T775" t="s">
        <v>4390</v>
      </c>
    </row>
    <row r="776" spans="1:20">
      <c r="A776">
        <v>653427</v>
      </c>
      <c r="B776" t="s">
        <v>4391</v>
      </c>
      <c r="C776" t="str">
        <f>"9780776606576"</f>
        <v>9780776606576</v>
      </c>
      <c r="D776" t="str">
        <f>"9780776616315"</f>
        <v>9780776616315</v>
      </c>
      <c r="E776" t="s">
        <v>3342</v>
      </c>
      <c r="F776" t="s">
        <v>3342</v>
      </c>
      <c r="G776" s="1">
        <v>39234</v>
      </c>
      <c r="I776" t="s">
        <v>4006</v>
      </c>
      <c r="J776" t="s">
        <v>4392</v>
      </c>
      <c r="K776" t="s">
        <v>4081</v>
      </c>
      <c r="L776" t="s">
        <v>4393</v>
      </c>
      <c r="M776">
        <v>418.00700000000001</v>
      </c>
      <c r="N776" t="s">
        <v>4394</v>
      </c>
      <c r="O776" t="s">
        <v>26</v>
      </c>
      <c r="P776">
        <v>29.98</v>
      </c>
      <c r="Q776">
        <v>18.739999999999998</v>
      </c>
      <c r="R776">
        <v>14.99</v>
      </c>
      <c r="S776">
        <v>22.49</v>
      </c>
      <c r="T776" t="s">
        <v>4395</v>
      </c>
    </row>
    <row r="777" spans="1:20">
      <c r="A777">
        <v>653428</v>
      </c>
      <c r="B777" t="s">
        <v>4396</v>
      </c>
      <c r="C777" t="str">
        <f>"9780776604039"</f>
        <v>9780776604039</v>
      </c>
      <c r="D777" t="str">
        <f>"9780776615776"</f>
        <v>9780776615776</v>
      </c>
      <c r="E777" t="s">
        <v>3342</v>
      </c>
      <c r="F777" t="s">
        <v>3342</v>
      </c>
      <c r="G777" s="1">
        <v>34700</v>
      </c>
      <c r="J777" t="s">
        <v>4397</v>
      </c>
      <c r="K777" t="s">
        <v>1464</v>
      </c>
      <c r="L777" t="s">
        <v>4398</v>
      </c>
      <c r="M777" t="s">
        <v>1460</v>
      </c>
      <c r="N777" t="s">
        <v>4399</v>
      </c>
      <c r="O777" t="s">
        <v>26</v>
      </c>
      <c r="P777">
        <v>19.98</v>
      </c>
      <c r="Q777">
        <v>12.49</v>
      </c>
      <c r="R777">
        <v>9.99</v>
      </c>
      <c r="S777">
        <v>14.99</v>
      </c>
      <c r="T777" t="s">
        <v>4400</v>
      </c>
    </row>
    <row r="778" spans="1:20">
      <c r="A778">
        <v>653429</v>
      </c>
      <c r="B778" t="s">
        <v>4401</v>
      </c>
      <c r="C778" t="str">
        <f>"9780776605265"</f>
        <v>9780776605265</v>
      </c>
      <c r="D778" t="str">
        <f>"9780776616100"</f>
        <v>9780776616100</v>
      </c>
      <c r="E778" t="s">
        <v>3342</v>
      </c>
      <c r="F778" t="s">
        <v>3342</v>
      </c>
      <c r="G778" s="1">
        <v>36944</v>
      </c>
      <c r="I778" t="s">
        <v>3380</v>
      </c>
      <c r="J778" t="s">
        <v>4402</v>
      </c>
      <c r="K778" t="s">
        <v>4403</v>
      </c>
      <c r="L778" t="s">
        <v>4404</v>
      </c>
      <c r="M778">
        <v>300</v>
      </c>
      <c r="N778" t="s">
        <v>4405</v>
      </c>
      <c r="O778" t="s">
        <v>26</v>
      </c>
      <c r="P778">
        <v>29.98</v>
      </c>
      <c r="Q778">
        <v>18.739999999999998</v>
      </c>
      <c r="R778">
        <v>14.99</v>
      </c>
      <c r="S778">
        <v>22.49</v>
      </c>
      <c r="T778" t="s">
        <v>4406</v>
      </c>
    </row>
    <row r="779" spans="1:20">
      <c r="A779">
        <v>653430</v>
      </c>
      <c r="B779" t="s">
        <v>4407</v>
      </c>
      <c r="C779" t="str">
        <f>"9780776635538"</f>
        <v>9780776635538</v>
      </c>
      <c r="D779" t="str">
        <f>"9780776616773"</f>
        <v>9780776616773</v>
      </c>
      <c r="E779" t="s">
        <v>3342</v>
      </c>
      <c r="F779" t="s">
        <v>3342</v>
      </c>
      <c r="G779" s="1">
        <v>38609</v>
      </c>
      <c r="I779" t="s">
        <v>4006</v>
      </c>
      <c r="J779" t="s">
        <v>4408</v>
      </c>
      <c r="K779" t="s">
        <v>263</v>
      </c>
      <c r="L779" t="s">
        <v>4409</v>
      </c>
      <c r="M779">
        <v>362.73</v>
      </c>
      <c r="N779" t="s">
        <v>4410</v>
      </c>
      <c r="O779" t="s">
        <v>26</v>
      </c>
      <c r="P779">
        <v>39.979999999999997</v>
      </c>
      <c r="Q779">
        <v>24.99</v>
      </c>
      <c r="R779">
        <v>19.989999999999998</v>
      </c>
      <c r="S779">
        <v>29.99</v>
      </c>
      <c r="T779" t="s">
        <v>4411</v>
      </c>
    </row>
    <row r="780" spans="1:20">
      <c r="A780">
        <v>653431</v>
      </c>
      <c r="B780" t="s">
        <v>4412</v>
      </c>
      <c r="C780" t="str">
        <f>"9780776606439"</f>
        <v>9780776606439</v>
      </c>
      <c r="D780" t="str">
        <f>"9780776616568"</f>
        <v>9780776616568</v>
      </c>
      <c r="E780" t="s">
        <v>3342</v>
      </c>
      <c r="F780" t="s">
        <v>3342</v>
      </c>
      <c r="G780" s="1">
        <v>39142</v>
      </c>
      <c r="J780" t="s">
        <v>4413</v>
      </c>
      <c r="K780" t="s">
        <v>263</v>
      </c>
      <c r="L780" t="s">
        <v>4414</v>
      </c>
      <c r="M780">
        <v>362.73090000000002</v>
      </c>
      <c r="N780" t="s">
        <v>4415</v>
      </c>
      <c r="O780" t="s">
        <v>26</v>
      </c>
      <c r="P780">
        <v>23.98</v>
      </c>
      <c r="Q780">
        <v>14.99</v>
      </c>
      <c r="R780">
        <v>11.99</v>
      </c>
      <c r="S780">
        <v>17.989999999999998</v>
      </c>
      <c r="T780" t="s">
        <v>4416</v>
      </c>
    </row>
    <row r="781" spans="1:20">
      <c r="A781">
        <v>653433</v>
      </c>
      <c r="B781" t="s">
        <v>4417</v>
      </c>
      <c r="C781" t="str">
        <f>"9780776601076"</f>
        <v>9780776601076</v>
      </c>
      <c r="D781" t="str">
        <f>"9780776617299"</f>
        <v>9780776617299</v>
      </c>
      <c r="E781" t="s">
        <v>3342</v>
      </c>
      <c r="F781" t="s">
        <v>3342</v>
      </c>
      <c r="G781" s="1">
        <v>35720</v>
      </c>
      <c r="I781" t="s">
        <v>3981</v>
      </c>
      <c r="J781" t="s">
        <v>4418</v>
      </c>
      <c r="K781" t="s">
        <v>1464</v>
      </c>
      <c r="L781" t="s">
        <v>4419</v>
      </c>
      <c r="M781" t="s">
        <v>3984</v>
      </c>
      <c r="N781" t="s">
        <v>4033</v>
      </c>
      <c r="O781" t="s">
        <v>26</v>
      </c>
      <c r="P781">
        <v>0</v>
      </c>
      <c r="Q781">
        <v>0</v>
      </c>
      <c r="R781">
        <v>0</v>
      </c>
      <c r="S781">
        <v>0</v>
      </c>
      <c r="T781" t="s">
        <v>4420</v>
      </c>
    </row>
    <row r="782" spans="1:20">
      <c r="A782">
        <v>653434</v>
      </c>
      <c r="B782" t="s">
        <v>4421</v>
      </c>
      <c r="C782" t="str">
        <f>"9780887720260"</f>
        <v>9780887720260</v>
      </c>
      <c r="D782" t="str">
        <f>"9780776616803"</f>
        <v>9780776616803</v>
      </c>
      <c r="E782" t="s">
        <v>4254</v>
      </c>
      <c r="F782" t="s">
        <v>4254</v>
      </c>
      <c r="G782" s="1">
        <v>35878</v>
      </c>
      <c r="J782" t="s">
        <v>4422</v>
      </c>
      <c r="K782" t="s">
        <v>291</v>
      </c>
      <c r="L782" t="s">
        <v>4423</v>
      </c>
      <c r="M782" t="s">
        <v>4424</v>
      </c>
      <c r="N782" t="s">
        <v>4425</v>
      </c>
      <c r="O782" t="s">
        <v>26</v>
      </c>
      <c r="P782">
        <v>21.98</v>
      </c>
      <c r="Q782">
        <v>13.74</v>
      </c>
      <c r="R782">
        <v>10.99</v>
      </c>
      <c r="S782">
        <v>16.489999999999998</v>
      </c>
      <c r="T782" t="s">
        <v>4426</v>
      </c>
    </row>
    <row r="783" spans="1:20">
      <c r="A783">
        <v>653435</v>
      </c>
      <c r="B783" t="s">
        <v>4427</v>
      </c>
      <c r="C783" t="str">
        <f>"9780776605142"</f>
        <v>9780776605142</v>
      </c>
      <c r="D783" t="str">
        <f>"9780776616155"</f>
        <v>9780776616155</v>
      </c>
      <c r="E783" t="s">
        <v>3342</v>
      </c>
      <c r="F783" t="s">
        <v>3342</v>
      </c>
      <c r="G783" s="1">
        <v>36661</v>
      </c>
      <c r="I783" t="s">
        <v>3380</v>
      </c>
      <c r="J783" t="s">
        <v>4428</v>
      </c>
      <c r="K783" t="s">
        <v>291</v>
      </c>
      <c r="L783" t="s">
        <v>4429</v>
      </c>
      <c r="M783">
        <v>971</v>
      </c>
      <c r="N783" t="s">
        <v>4430</v>
      </c>
      <c r="O783" t="s">
        <v>26</v>
      </c>
      <c r="P783">
        <v>29.98</v>
      </c>
      <c r="Q783">
        <v>18.739999999999998</v>
      </c>
      <c r="R783">
        <v>14.99</v>
      </c>
      <c r="S783">
        <v>22.49</v>
      </c>
      <c r="T783" t="s">
        <v>4431</v>
      </c>
    </row>
    <row r="784" spans="1:20">
      <c r="A784">
        <v>653436</v>
      </c>
      <c r="B784" t="s">
        <v>4432</v>
      </c>
      <c r="C784" t="str">
        <f>"9780776604886"</f>
        <v>9780776604886</v>
      </c>
      <c r="D784" t="str">
        <f>"9780776616056"</f>
        <v>9780776616056</v>
      </c>
      <c r="E784" t="s">
        <v>3342</v>
      </c>
      <c r="F784" t="s">
        <v>3342</v>
      </c>
      <c r="G784" s="1">
        <v>36270</v>
      </c>
      <c r="I784" t="s">
        <v>3355</v>
      </c>
      <c r="J784" t="s">
        <v>3426</v>
      </c>
      <c r="K784" t="s">
        <v>4433</v>
      </c>
      <c r="L784" t="s">
        <v>4434</v>
      </c>
      <c r="M784">
        <v>658</v>
      </c>
      <c r="N784" t="s">
        <v>4435</v>
      </c>
      <c r="O784" t="s">
        <v>26</v>
      </c>
      <c r="P784">
        <v>29.98</v>
      </c>
      <c r="Q784">
        <v>18.739999999999998</v>
      </c>
      <c r="R784">
        <v>14.99</v>
      </c>
      <c r="S784">
        <v>22.49</v>
      </c>
      <c r="T784" t="s">
        <v>4436</v>
      </c>
    </row>
    <row r="785" spans="1:20">
      <c r="A785">
        <v>653438</v>
      </c>
      <c r="B785" t="s">
        <v>4437</v>
      </c>
      <c r="C785" t="str">
        <f>"9780776603278"</f>
        <v>9780776603278</v>
      </c>
      <c r="D785" t="str">
        <f>"9780776617329"</f>
        <v>9780776617329</v>
      </c>
      <c r="E785" t="s">
        <v>3342</v>
      </c>
      <c r="F785" t="s">
        <v>3342</v>
      </c>
      <c r="G785" s="1">
        <v>33239</v>
      </c>
      <c r="J785" t="s">
        <v>4438</v>
      </c>
      <c r="K785" t="s">
        <v>4347</v>
      </c>
      <c r="L785" t="s">
        <v>4439</v>
      </c>
      <c r="M785" t="s">
        <v>4440</v>
      </c>
      <c r="N785" t="s">
        <v>4441</v>
      </c>
      <c r="O785" t="s">
        <v>26</v>
      </c>
      <c r="P785">
        <v>33.979999999999997</v>
      </c>
      <c r="Q785">
        <v>21.24</v>
      </c>
      <c r="R785">
        <v>16.989999999999998</v>
      </c>
      <c r="S785">
        <v>25.49</v>
      </c>
      <c r="T785" t="s">
        <v>4442</v>
      </c>
    </row>
    <row r="786" spans="1:20">
      <c r="A786">
        <v>653439</v>
      </c>
      <c r="B786" t="s">
        <v>4443</v>
      </c>
      <c r="C786" t="str">
        <f>"9780776606514"</f>
        <v>9780776606514</v>
      </c>
      <c r="D786" t="str">
        <f>"9780776615516"</f>
        <v>9780776615516</v>
      </c>
      <c r="E786" t="s">
        <v>3342</v>
      </c>
      <c r="F786" t="s">
        <v>3342</v>
      </c>
      <c r="G786" s="1">
        <v>39207</v>
      </c>
      <c r="I786" t="s">
        <v>3355</v>
      </c>
      <c r="J786" t="s">
        <v>4444</v>
      </c>
      <c r="K786" t="s">
        <v>467</v>
      </c>
      <c r="L786" t="s">
        <v>4445</v>
      </c>
      <c r="M786" t="s">
        <v>4446</v>
      </c>
      <c r="N786" t="s">
        <v>4447</v>
      </c>
      <c r="O786" t="s">
        <v>26</v>
      </c>
      <c r="P786">
        <v>33.979999999999997</v>
      </c>
      <c r="Q786">
        <v>21.24</v>
      </c>
      <c r="R786">
        <v>16.989999999999998</v>
      </c>
      <c r="S786">
        <v>25.49</v>
      </c>
      <c r="T786" t="s">
        <v>4448</v>
      </c>
    </row>
    <row r="787" spans="1:20">
      <c r="A787">
        <v>653440</v>
      </c>
      <c r="B787" t="s">
        <v>4449</v>
      </c>
      <c r="C787" t="str">
        <f>"9780776604763"</f>
        <v>9780776604763</v>
      </c>
      <c r="D787" t="str">
        <f>"9780776617121"</f>
        <v>9780776617121</v>
      </c>
      <c r="E787" t="s">
        <v>3342</v>
      </c>
      <c r="F787" t="s">
        <v>3342</v>
      </c>
      <c r="G787" s="1">
        <v>36124</v>
      </c>
      <c r="J787" t="s">
        <v>4450</v>
      </c>
      <c r="K787" t="s">
        <v>291</v>
      </c>
      <c r="L787" t="s">
        <v>4451</v>
      </c>
      <c r="M787" t="s">
        <v>4452</v>
      </c>
      <c r="N787" t="s">
        <v>4453</v>
      </c>
      <c r="O787" t="s">
        <v>26</v>
      </c>
      <c r="P787">
        <v>39.979999999999997</v>
      </c>
      <c r="Q787">
        <v>24.99</v>
      </c>
      <c r="R787">
        <v>19.989999999999998</v>
      </c>
      <c r="S787">
        <v>29.99</v>
      </c>
      <c r="T787" t="s">
        <v>4454</v>
      </c>
    </row>
    <row r="788" spans="1:20">
      <c r="A788">
        <v>653441</v>
      </c>
      <c r="B788" t="s">
        <v>4455</v>
      </c>
      <c r="C788" t="str">
        <f>"9780776606170"</f>
        <v>9780776606170</v>
      </c>
      <c r="D788" t="str">
        <f>"9780776615844"</f>
        <v>9780776615844</v>
      </c>
      <c r="E788" t="s">
        <v>3342</v>
      </c>
      <c r="F788" t="s">
        <v>3342</v>
      </c>
      <c r="G788" s="1">
        <v>38838</v>
      </c>
      <c r="I788" t="s">
        <v>3355</v>
      </c>
      <c r="J788" t="s">
        <v>4456</v>
      </c>
      <c r="K788" t="s">
        <v>467</v>
      </c>
      <c r="L788" t="s">
        <v>4457</v>
      </c>
      <c r="M788">
        <v>351.71</v>
      </c>
      <c r="N788" t="s">
        <v>4458</v>
      </c>
      <c r="O788" t="s">
        <v>26</v>
      </c>
      <c r="P788">
        <v>33.979999999999997</v>
      </c>
      <c r="Q788">
        <v>21.24</v>
      </c>
      <c r="R788">
        <v>16.989999999999998</v>
      </c>
      <c r="S788">
        <v>25.49</v>
      </c>
      <c r="T788" t="s">
        <v>4459</v>
      </c>
    </row>
    <row r="789" spans="1:20">
      <c r="A789">
        <v>653442</v>
      </c>
      <c r="B789" t="s">
        <v>4460</v>
      </c>
      <c r="C789" t="str">
        <f>"9780776604954"</f>
        <v>9780776604954</v>
      </c>
      <c r="D789" t="str">
        <f>"9780776617244"</f>
        <v>9780776617244</v>
      </c>
      <c r="E789" t="s">
        <v>3342</v>
      </c>
      <c r="F789" t="s">
        <v>3342</v>
      </c>
      <c r="G789" s="1">
        <v>36817</v>
      </c>
      <c r="I789" t="s">
        <v>4006</v>
      </c>
      <c r="J789" t="s">
        <v>4461</v>
      </c>
      <c r="K789" t="s">
        <v>4462</v>
      </c>
      <c r="L789" t="s">
        <v>4463</v>
      </c>
      <c r="M789" t="s">
        <v>4464</v>
      </c>
      <c r="N789" t="s">
        <v>4465</v>
      </c>
      <c r="O789" t="s">
        <v>26</v>
      </c>
      <c r="P789">
        <v>23.98</v>
      </c>
      <c r="Q789">
        <v>14.99</v>
      </c>
      <c r="R789">
        <v>11.99</v>
      </c>
      <c r="S789">
        <v>17.989999999999998</v>
      </c>
      <c r="T789" t="s">
        <v>4466</v>
      </c>
    </row>
    <row r="790" spans="1:20">
      <c r="A790">
        <v>653443</v>
      </c>
      <c r="B790" t="s">
        <v>4467</v>
      </c>
      <c r="C790" t="str">
        <f>"9780776604893"</f>
        <v>9780776604893</v>
      </c>
      <c r="D790" t="str">
        <f>"9780776616124"</f>
        <v>9780776616124</v>
      </c>
      <c r="E790" t="s">
        <v>3342</v>
      </c>
      <c r="F790" t="s">
        <v>3342</v>
      </c>
      <c r="G790" s="1">
        <v>36140</v>
      </c>
      <c r="I790" t="s">
        <v>3396</v>
      </c>
      <c r="J790" t="s">
        <v>4272</v>
      </c>
      <c r="K790" t="s">
        <v>291</v>
      </c>
      <c r="L790" t="s">
        <v>4468</v>
      </c>
      <c r="M790">
        <v>971</v>
      </c>
      <c r="N790" t="s">
        <v>4469</v>
      </c>
      <c r="O790" t="s">
        <v>26</v>
      </c>
      <c r="P790">
        <v>33.979999999999997</v>
      </c>
      <c r="Q790">
        <v>21.24</v>
      </c>
      <c r="R790">
        <v>16.989999999999998</v>
      </c>
      <c r="S790">
        <v>25.49</v>
      </c>
      <c r="T790" t="s">
        <v>4470</v>
      </c>
    </row>
    <row r="791" spans="1:20">
      <c r="A791">
        <v>653444</v>
      </c>
      <c r="B791" t="s">
        <v>4471</v>
      </c>
      <c r="C791" t="str">
        <f>"9780776606071"</f>
        <v>9780776606071</v>
      </c>
      <c r="D791" t="str">
        <f>"9780776616988"</f>
        <v>9780776616988</v>
      </c>
      <c r="E791" t="s">
        <v>3342</v>
      </c>
      <c r="F791" t="s">
        <v>3342</v>
      </c>
      <c r="G791" s="1">
        <v>38680</v>
      </c>
      <c r="I791" t="s">
        <v>3355</v>
      </c>
      <c r="J791" t="s">
        <v>4472</v>
      </c>
      <c r="K791" t="s">
        <v>467</v>
      </c>
      <c r="L791" t="s">
        <v>4473</v>
      </c>
      <c r="M791" t="s">
        <v>4474</v>
      </c>
      <c r="N791" t="s">
        <v>4475</v>
      </c>
      <c r="O791" t="s">
        <v>26</v>
      </c>
      <c r="P791">
        <v>33.979999999999997</v>
      </c>
      <c r="Q791">
        <v>21.24</v>
      </c>
      <c r="R791">
        <v>16.989999999999998</v>
      </c>
      <c r="S791">
        <v>25.49</v>
      </c>
      <c r="T791" t="s">
        <v>4476</v>
      </c>
    </row>
    <row r="792" spans="1:20">
      <c r="A792">
        <v>653445</v>
      </c>
      <c r="B792" t="s">
        <v>4477</v>
      </c>
      <c r="C792" t="str">
        <f>"9780776603285"</f>
        <v>9780776603285</v>
      </c>
      <c r="D792" t="str">
        <f>"9780776616032"</f>
        <v>9780776616032</v>
      </c>
      <c r="E792" t="s">
        <v>3342</v>
      </c>
      <c r="F792" t="s">
        <v>3342</v>
      </c>
      <c r="G792" s="1">
        <v>35720</v>
      </c>
      <c r="I792" t="s">
        <v>3380</v>
      </c>
      <c r="J792" t="s">
        <v>4478</v>
      </c>
      <c r="K792" t="s">
        <v>1859</v>
      </c>
      <c r="L792" t="s">
        <v>4479</v>
      </c>
      <c r="M792">
        <v>171</v>
      </c>
      <c r="N792" t="s">
        <v>4480</v>
      </c>
      <c r="O792" t="s">
        <v>26</v>
      </c>
      <c r="P792">
        <v>23.98</v>
      </c>
      <c r="Q792">
        <v>14.99</v>
      </c>
      <c r="R792">
        <v>11.99</v>
      </c>
      <c r="S792">
        <v>17.989999999999998</v>
      </c>
      <c r="T792" t="s">
        <v>4481</v>
      </c>
    </row>
    <row r="793" spans="1:20">
      <c r="A793">
        <v>653448</v>
      </c>
      <c r="B793" t="s">
        <v>4482</v>
      </c>
      <c r="C793" t="str">
        <f>"9780776643434"</f>
        <v>9780776643434</v>
      </c>
      <c r="D793" t="str">
        <f>"9780776617237"</f>
        <v>9780776617237</v>
      </c>
      <c r="E793" t="s">
        <v>3342</v>
      </c>
      <c r="F793" t="s">
        <v>3342</v>
      </c>
      <c r="G793" s="1">
        <v>28491</v>
      </c>
      <c r="I793" t="s">
        <v>3956</v>
      </c>
      <c r="J793" t="s">
        <v>4483</v>
      </c>
      <c r="K793" t="s">
        <v>1458</v>
      </c>
      <c r="L793" t="s">
        <v>4484</v>
      </c>
      <c r="N793" t="s">
        <v>4485</v>
      </c>
      <c r="O793" t="s">
        <v>26</v>
      </c>
      <c r="P793">
        <v>19.98</v>
      </c>
      <c r="Q793">
        <v>12.49</v>
      </c>
      <c r="R793">
        <v>9.99</v>
      </c>
      <c r="S793">
        <v>14.99</v>
      </c>
      <c r="T793" t="s">
        <v>4486</v>
      </c>
    </row>
    <row r="794" spans="1:20">
      <c r="A794">
        <v>653449</v>
      </c>
      <c r="B794" t="s">
        <v>4487</v>
      </c>
      <c r="C794" t="str">
        <f>"9780776643816"</f>
        <v>9780776643816</v>
      </c>
      <c r="D794" t="str">
        <f>"9780776617152"</f>
        <v>9780776617152</v>
      </c>
      <c r="E794" t="s">
        <v>3342</v>
      </c>
      <c r="F794" t="s">
        <v>3342</v>
      </c>
      <c r="G794" s="1">
        <v>27030</v>
      </c>
      <c r="I794" t="s">
        <v>3349</v>
      </c>
      <c r="J794" t="s">
        <v>4488</v>
      </c>
      <c r="K794" t="s">
        <v>1464</v>
      </c>
      <c r="L794" t="s">
        <v>4489</v>
      </c>
      <c r="M794" t="s">
        <v>4490</v>
      </c>
      <c r="N794" t="s">
        <v>4491</v>
      </c>
      <c r="O794" t="s">
        <v>26</v>
      </c>
      <c r="P794">
        <v>19.98</v>
      </c>
      <c r="Q794">
        <v>12.49</v>
      </c>
      <c r="R794">
        <v>9.99</v>
      </c>
      <c r="S794">
        <v>14.99</v>
      </c>
      <c r="T794" t="s">
        <v>4492</v>
      </c>
    </row>
    <row r="795" spans="1:20">
      <c r="A795">
        <v>653450</v>
      </c>
      <c r="B795" t="s">
        <v>4493</v>
      </c>
      <c r="C795" t="str">
        <f>"9780776601953"</f>
        <v>9780776601953</v>
      </c>
      <c r="D795" t="str">
        <f>"9780776616834"</f>
        <v>9780776616834</v>
      </c>
      <c r="E795" t="s">
        <v>3342</v>
      </c>
      <c r="F795" t="s">
        <v>3342</v>
      </c>
      <c r="G795" s="1">
        <v>32143</v>
      </c>
      <c r="I795" t="s">
        <v>3349</v>
      </c>
      <c r="J795" t="s">
        <v>3988</v>
      </c>
      <c r="K795" t="s">
        <v>1458</v>
      </c>
      <c r="L795" t="s">
        <v>4494</v>
      </c>
      <c r="N795" t="s">
        <v>4495</v>
      </c>
      <c r="O795" t="s">
        <v>26</v>
      </c>
      <c r="P795">
        <v>19.98</v>
      </c>
      <c r="Q795">
        <v>12.49</v>
      </c>
      <c r="R795">
        <v>9.99</v>
      </c>
      <c r="S795">
        <v>14.99</v>
      </c>
      <c r="T795" t="s">
        <v>4496</v>
      </c>
    </row>
    <row r="796" spans="1:20">
      <c r="A796">
        <v>653452</v>
      </c>
      <c r="B796" t="s">
        <v>4497</v>
      </c>
      <c r="C796" t="str">
        <f>"9780776605937"</f>
        <v>9780776605937</v>
      </c>
      <c r="D796" t="str">
        <f>"9780776615523"</f>
        <v>9780776615523</v>
      </c>
      <c r="E796" t="s">
        <v>3342</v>
      </c>
      <c r="F796" t="s">
        <v>3342</v>
      </c>
      <c r="G796" s="1">
        <v>38533</v>
      </c>
      <c r="I796" t="s">
        <v>4006</v>
      </c>
      <c r="J796" t="s">
        <v>4498</v>
      </c>
      <c r="K796" t="s">
        <v>263</v>
      </c>
      <c r="L796" t="s">
        <v>4499</v>
      </c>
      <c r="M796" t="s">
        <v>4500</v>
      </c>
      <c r="N796" t="s">
        <v>4501</v>
      </c>
      <c r="O796" t="s">
        <v>26</v>
      </c>
      <c r="P796">
        <v>139.97999999999999</v>
      </c>
      <c r="Q796">
        <v>87.49</v>
      </c>
      <c r="R796">
        <v>69.989999999999995</v>
      </c>
      <c r="S796">
        <v>104.99</v>
      </c>
      <c r="T796" t="s">
        <v>4502</v>
      </c>
    </row>
    <row r="797" spans="1:20">
      <c r="A797">
        <v>653453</v>
      </c>
      <c r="B797" t="s">
        <v>4503</v>
      </c>
      <c r="C797" t="str">
        <f>"9780776605722"</f>
        <v>9780776605722</v>
      </c>
      <c r="D797" t="str">
        <f>"9780776615431"</f>
        <v>9780776615431</v>
      </c>
      <c r="E797" t="s">
        <v>3342</v>
      </c>
      <c r="F797" t="s">
        <v>3342</v>
      </c>
      <c r="G797" s="1">
        <v>38139</v>
      </c>
      <c r="I797" t="s">
        <v>3349</v>
      </c>
      <c r="J797" t="s">
        <v>4504</v>
      </c>
      <c r="K797" t="s">
        <v>263</v>
      </c>
      <c r="L797" t="s">
        <v>4505</v>
      </c>
      <c r="M797" t="s">
        <v>4506</v>
      </c>
      <c r="N797" t="s">
        <v>4507</v>
      </c>
      <c r="O797" t="s">
        <v>26</v>
      </c>
      <c r="P797">
        <v>23.98</v>
      </c>
      <c r="Q797">
        <v>14.99</v>
      </c>
      <c r="R797">
        <v>11.99</v>
      </c>
      <c r="S797">
        <v>17.989999999999998</v>
      </c>
      <c r="T797" t="s">
        <v>4508</v>
      </c>
    </row>
    <row r="798" spans="1:20">
      <c r="A798">
        <v>653454</v>
      </c>
      <c r="B798" t="s">
        <v>4509</v>
      </c>
      <c r="C798" t="str">
        <f>"9780776601090"</f>
        <v>9780776601090</v>
      </c>
      <c r="D798" t="str">
        <f>"9780776617305"</f>
        <v>9780776617305</v>
      </c>
      <c r="E798" t="s">
        <v>3342</v>
      </c>
      <c r="F798" t="s">
        <v>3342</v>
      </c>
      <c r="G798" s="1">
        <v>31048</v>
      </c>
      <c r="I798" t="s">
        <v>3349</v>
      </c>
      <c r="J798" t="s">
        <v>4510</v>
      </c>
      <c r="K798" t="s">
        <v>1464</v>
      </c>
      <c r="L798" t="s">
        <v>4511</v>
      </c>
      <c r="M798" t="s">
        <v>4512</v>
      </c>
      <c r="N798" t="s">
        <v>4513</v>
      </c>
      <c r="O798" t="s">
        <v>26</v>
      </c>
      <c r="P798">
        <v>19.98</v>
      </c>
      <c r="Q798">
        <v>12.49</v>
      </c>
      <c r="R798">
        <v>9.99</v>
      </c>
      <c r="S798">
        <v>14.99</v>
      </c>
      <c r="T798" t="s">
        <v>4514</v>
      </c>
    </row>
    <row r="799" spans="1:20">
      <c r="A799">
        <v>653455</v>
      </c>
      <c r="B799" t="s">
        <v>4515</v>
      </c>
      <c r="C799" t="str">
        <f>"9780776643885"</f>
        <v>9780776643885</v>
      </c>
      <c r="D799" t="str">
        <f>"9780776617107"</f>
        <v>9780776617107</v>
      </c>
      <c r="E799" t="s">
        <v>3342</v>
      </c>
      <c r="F799" t="s">
        <v>3342</v>
      </c>
      <c r="G799" s="1">
        <v>29952</v>
      </c>
      <c r="I799" t="s">
        <v>3349</v>
      </c>
      <c r="J799" t="s">
        <v>4516</v>
      </c>
      <c r="K799" t="s">
        <v>1464</v>
      </c>
      <c r="L799" t="s">
        <v>4517</v>
      </c>
      <c r="M799">
        <v>813.54</v>
      </c>
      <c r="N799" t="s">
        <v>4518</v>
      </c>
      <c r="O799" t="s">
        <v>26</v>
      </c>
      <c r="P799">
        <v>19.98</v>
      </c>
      <c r="Q799">
        <v>12.49</v>
      </c>
      <c r="R799">
        <v>9.99</v>
      </c>
      <c r="S799">
        <v>14.99</v>
      </c>
      <c r="T799" t="s">
        <v>4519</v>
      </c>
    </row>
    <row r="800" spans="1:20">
      <c r="A800">
        <v>653457</v>
      </c>
      <c r="B800" t="s">
        <v>4520</v>
      </c>
      <c r="C800" t="str">
        <f>"9780776603995"</f>
        <v>9780776603995</v>
      </c>
      <c r="D800" t="str">
        <f>"9780776616995"</f>
        <v>9780776616995</v>
      </c>
      <c r="E800" t="s">
        <v>3342</v>
      </c>
      <c r="F800" t="s">
        <v>3342</v>
      </c>
      <c r="G800" s="1">
        <v>35065</v>
      </c>
      <c r="I800" t="s">
        <v>4317</v>
      </c>
      <c r="J800" t="s">
        <v>4521</v>
      </c>
      <c r="K800" t="s">
        <v>4081</v>
      </c>
      <c r="L800" t="s">
        <v>4522</v>
      </c>
      <c r="M800" t="s">
        <v>4523</v>
      </c>
      <c r="N800" t="s">
        <v>4524</v>
      </c>
      <c r="O800" t="s">
        <v>26</v>
      </c>
      <c r="P800">
        <v>29.98</v>
      </c>
      <c r="Q800">
        <v>18.739999999999998</v>
      </c>
      <c r="R800">
        <v>14.99</v>
      </c>
      <c r="S800">
        <v>22.49</v>
      </c>
      <c r="T800" t="s">
        <v>4525</v>
      </c>
    </row>
    <row r="801" spans="1:20">
      <c r="A801">
        <v>653458</v>
      </c>
      <c r="B801" t="s">
        <v>4526</v>
      </c>
      <c r="C801" t="str">
        <f>"9780776606583"</f>
        <v>9780776606583</v>
      </c>
      <c r="D801" t="str">
        <f>"9780776617480"</f>
        <v>9780776617480</v>
      </c>
      <c r="E801" t="s">
        <v>3342</v>
      </c>
      <c r="F801" t="s">
        <v>3342</v>
      </c>
      <c r="G801" s="1">
        <v>39331</v>
      </c>
      <c r="I801" t="s">
        <v>3355</v>
      </c>
      <c r="J801" t="s">
        <v>4456</v>
      </c>
      <c r="K801" t="s">
        <v>4527</v>
      </c>
      <c r="L801" t="s">
        <v>4528</v>
      </c>
      <c r="M801" t="s">
        <v>4529</v>
      </c>
      <c r="N801" t="s">
        <v>4530</v>
      </c>
      <c r="O801" t="s">
        <v>26</v>
      </c>
      <c r="P801">
        <v>23.98</v>
      </c>
      <c r="Q801">
        <v>14.99</v>
      </c>
      <c r="R801">
        <v>11.99</v>
      </c>
      <c r="S801">
        <v>17.989999999999998</v>
      </c>
      <c r="T801" t="s">
        <v>4531</v>
      </c>
    </row>
    <row r="802" spans="1:20">
      <c r="A802">
        <v>653459</v>
      </c>
      <c r="B802" t="s">
        <v>4532</v>
      </c>
      <c r="C802" t="str">
        <f>"9780776604510"</f>
        <v>9780776604510</v>
      </c>
      <c r="D802" t="str">
        <f>"9780776617442"</f>
        <v>9780776617442</v>
      </c>
      <c r="E802" t="s">
        <v>3342</v>
      </c>
      <c r="F802" t="s">
        <v>3342</v>
      </c>
      <c r="G802" s="1">
        <v>35839</v>
      </c>
      <c r="I802" t="s">
        <v>4533</v>
      </c>
      <c r="J802" t="s">
        <v>4534</v>
      </c>
      <c r="K802" t="s">
        <v>568</v>
      </c>
      <c r="L802" t="s">
        <v>4535</v>
      </c>
      <c r="M802" t="s">
        <v>4536</v>
      </c>
      <c r="N802" t="s">
        <v>4537</v>
      </c>
      <c r="O802" t="s">
        <v>26</v>
      </c>
      <c r="P802">
        <v>33.979999999999997</v>
      </c>
      <c r="Q802">
        <v>21.24</v>
      </c>
      <c r="R802">
        <v>16.989999999999998</v>
      </c>
      <c r="S802">
        <v>25.49</v>
      </c>
      <c r="T802" t="s">
        <v>4538</v>
      </c>
    </row>
    <row r="803" spans="1:20">
      <c r="A803">
        <v>653460</v>
      </c>
      <c r="B803" t="s">
        <v>4539</v>
      </c>
      <c r="C803" t="str">
        <f>"9780776605586"</f>
        <v>9780776605586</v>
      </c>
      <c r="D803" t="str">
        <f>"9780776616728"</f>
        <v>9780776616728</v>
      </c>
      <c r="E803" t="s">
        <v>3342</v>
      </c>
      <c r="F803" t="s">
        <v>3342</v>
      </c>
      <c r="G803" s="1">
        <v>37767</v>
      </c>
      <c r="I803" t="s">
        <v>4006</v>
      </c>
      <c r="J803" t="s">
        <v>4007</v>
      </c>
      <c r="K803" t="s">
        <v>467</v>
      </c>
      <c r="L803" t="s">
        <v>4540</v>
      </c>
      <c r="M803" t="s">
        <v>4541</v>
      </c>
      <c r="N803" t="s">
        <v>4542</v>
      </c>
      <c r="O803" t="s">
        <v>26</v>
      </c>
      <c r="P803">
        <v>29.98</v>
      </c>
      <c r="Q803">
        <v>18.739999999999998</v>
      </c>
      <c r="R803">
        <v>14.99</v>
      </c>
      <c r="S803">
        <v>22.49</v>
      </c>
      <c r="T803" t="s">
        <v>4543</v>
      </c>
    </row>
    <row r="804" spans="1:20">
      <c r="A804">
        <v>653461</v>
      </c>
      <c r="B804" t="s">
        <v>4544</v>
      </c>
      <c r="C804" t="str">
        <f>"9780776605173"</f>
        <v>9780776605173</v>
      </c>
      <c r="D804" t="str">
        <f>"9780776615950"</f>
        <v>9780776615950</v>
      </c>
      <c r="E804" t="s">
        <v>3342</v>
      </c>
      <c r="F804" t="s">
        <v>3342</v>
      </c>
      <c r="G804" s="1">
        <v>36606</v>
      </c>
      <c r="I804" t="s">
        <v>4006</v>
      </c>
      <c r="J804" t="s">
        <v>4545</v>
      </c>
      <c r="K804" t="s">
        <v>1464</v>
      </c>
      <c r="L804" t="s">
        <v>4546</v>
      </c>
      <c r="M804" t="s">
        <v>4547</v>
      </c>
      <c r="N804" t="s">
        <v>4548</v>
      </c>
      <c r="O804" t="s">
        <v>26</v>
      </c>
      <c r="P804">
        <v>39.979999999999997</v>
      </c>
      <c r="Q804">
        <v>24.99</v>
      </c>
      <c r="R804">
        <v>19.989999999999998</v>
      </c>
      <c r="S804">
        <v>29.99</v>
      </c>
      <c r="T804" t="s">
        <v>4549</v>
      </c>
    </row>
    <row r="805" spans="1:20">
      <c r="A805">
        <v>653462</v>
      </c>
      <c r="B805" t="s">
        <v>4550</v>
      </c>
      <c r="C805" t="str">
        <f>"9780776601854"</f>
        <v>9780776601854</v>
      </c>
      <c r="D805" t="str">
        <f>"9780776615998"</f>
        <v>9780776615998</v>
      </c>
      <c r="E805" t="s">
        <v>3342</v>
      </c>
      <c r="F805" t="s">
        <v>3342</v>
      </c>
      <c r="G805" s="1">
        <v>31778</v>
      </c>
      <c r="I805" t="s">
        <v>3349</v>
      </c>
      <c r="J805" t="s">
        <v>3780</v>
      </c>
      <c r="K805" t="s">
        <v>1464</v>
      </c>
      <c r="L805" t="s">
        <v>4551</v>
      </c>
      <c r="M805" t="s">
        <v>4552</v>
      </c>
      <c r="N805" t="s">
        <v>4553</v>
      </c>
      <c r="O805" t="s">
        <v>26</v>
      </c>
      <c r="P805">
        <v>19.98</v>
      </c>
      <c r="Q805">
        <v>12.49</v>
      </c>
      <c r="R805">
        <v>9.99</v>
      </c>
      <c r="S805">
        <v>14.99</v>
      </c>
      <c r="T805" t="s">
        <v>4554</v>
      </c>
    </row>
    <row r="806" spans="1:20">
      <c r="A806">
        <v>653463</v>
      </c>
      <c r="B806" t="s">
        <v>4555</v>
      </c>
      <c r="C806" t="str">
        <f>"9780776603919"</f>
        <v>9780776603919</v>
      </c>
      <c r="D806" t="str">
        <f>"9780776616070"</f>
        <v>9780776616070</v>
      </c>
      <c r="E806" t="s">
        <v>3342</v>
      </c>
      <c r="F806" t="s">
        <v>3342</v>
      </c>
      <c r="G806" s="1">
        <v>34335</v>
      </c>
      <c r="I806" t="s">
        <v>3956</v>
      </c>
      <c r="J806" t="s">
        <v>4556</v>
      </c>
      <c r="K806" t="s">
        <v>1464</v>
      </c>
      <c r="L806" t="s">
        <v>4557</v>
      </c>
      <c r="M806" t="s">
        <v>4189</v>
      </c>
      <c r="N806" t="s">
        <v>4558</v>
      </c>
      <c r="O806" t="s">
        <v>26</v>
      </c>
      <c r="P806">
        <v>23.98</v>
      </c>
      <c r="Q806">
        <v>14.99</v>
      </c>
      <c r="R806">
        <v>11.99</v>
      </c>
      <c r="S806">
        <v>17.989999999999998</v>
      </c>
      <c r="T806" t="s">
        <v>4559</v>
      </c>
    </row>
    <row r="807" spans="1:20">
      <c r="A807">
        <v>653465</v>
      </c>
      <c r="B807" t="s">
        <v>4560</v>
      </c>
      <c r="C807" t="str">
        <f>"9780776603872"</f>
        <v>9780776603872</v>
      </c>
      <c r="D807" t="str">
        <f>"9780776615592"</f>
        <v>9780776615592</v>
      </c>
      <c r="E807" t="s">
        <v>3342</v>
      </c>
      <c r="F807" t="s">
        <v>3342</v>
      </c>
      <c r="G807" s="1">
        <v>34335</v>
      </c>
      <c r="I807" t="s">
        <v>4156</v>
      </c>
      <c r="J807" t="s">
        <v>4561</v>
      </c>
      <c r="K807" t="s">
        <v>4562</v>
      </c>
      <c r="L807" t="s">
        <v>4563</v>
      </c>
      <c r="M807" t="s">
        <v>4564</v>
      </c>
      <c r="N807" t="s">
        <v>4565</v>
      </c>
      <c r="O807" t="s">
        <v>26</v>
      </c>
      <c r="P807">
        <v>23.98</v>
      </c>
      <c r="Q807">
        <v>14.99</v>
      </c>
      <c r="R807">
        <v>11.99</v>
      </c>
      <c r="S807">
        <v>17.989999999999998</v>
      </c>
      <c r="T807" t="s">
        <v>4566</v>
      </c>
    </row>
    <row r="808" spans="1:20">
      <c r="A808">
        <v>653466</v>
      </c>
      <c r="B808" t="s">
        <v>4567</v>
      </c>
      <c r="C808" t="str">
        <f>"9780776603476"</f>
        <v>9780776603476</v>
      </c>
      <c r="D808" t="str">
        <f>"9780776617213"</f>
        <v>9780776617213</v>
      </c>
      <c r="E808" t="s">
        <v>3342</v>
      </c>
      <c r="F808" t="s">
        <v>3342</v>
      </c>
      <c r="G808" s="1">
        <v>35720</v>
      </c>
      <c r="I808" t="s">
        <v>3956</v>
      </c>
      <c r="J808" t="s">
        <v>4568</v>
      </c>
      <c r="K808" t="s">
        <v>1464</v>
      </c>
      <c r="L808" t="s">
        <v>4569</v>
      </c>
      <c r="M808">
        <v>843</v>
      </c>
      <c r="N808" t="s">
        <v>4570</v>
      </c>
      <c r="O808" t="s">
        <v>26</v>
      </c>
      <c r="P808">
        <v>25.98</v>
      </c>
      <c r="Q808">
        <v>16.239999999999998</v>
      </c>
      <c r="R808">
        <v>12.99</v>
      </c>
      <c r="S808">
        <v>19.489999999999998</v>
      </c>
      <c r="T808" t="s">
        <v>4571</v>
      </c>
    </row>
    <row r="809" spans="1:20">
      <c r="A809">
        <v>653467</v>
      </c>
      <c r="B809" t="s">
        <v>4572</v>
      </c>
      <c r="C809" t="str">
        <f>"9780776605210"</f>
        <v>9780776605210</v>
      </c>
      <c r="D809" t="str">
        <f>"9782760315709"</f>
        <v>9782760315709</v>
      </c>
      <c r="E809" t="s">
        <v>3342</v>
      </c>
      <c r="F809" t="s">
        <v>3342</v>
      </c>
      <c r="G809" s="1">
        <v>37013</v>
      </c>
      <c r="I809" t="s">
        <v>4006</v>
      </c>
      <c r="J809" t="s">
        <v>4573</v>
      </c>
      <c r="K809" t="s">
        <v>291</v>
      </c>
      <c r="L809" t="s">
        <v>4574</v>
      </c>
      <c r="M809">
        <v>971</v>
      </c>
      <c r="N809" t="s">
        <v>4575</v>
      </c>
      <c r="O809" t="s">
        <v>26</v>
      </c>
      <c r="P809">
        <v>39.979999999999997</v>
      </c>
      <c r="Q809">
        <v>24.99</v>
      </c>
      <c r="R809">
        <v>19.989999999999998</v>
      </c>
      <c r="S809">
        <v>29.99</v>
      </c>
      <c r="T809" t="s">
        <v>4576</v>
      </c>
    </row>
    <row r="810" spans="1:20">
      <c r="A810">
        <v>653468</v>
      </c>
      <c r="B810" t="s">
        <v>4577</v>
      </c>
      <c r="C810" t="str">
        <f>"9780776601977"</f>
        <v>9780776601977</v>
      </c>
      <c r="D810" t="str">
        <f>"9780776616810"</f>
        <v>9780776616810</v>
      </c>
      <c r="E810" t="s">
        <v>3342</v>
      </c>
      <c r="F810" t="s">
        <v>3342</v>
      </c>
      <c r="G810" s="1">
        <v>32509</v>
      </c>
      <c r="I810" t="s">
        <v>3349</v>
      </c>
      <c r="J810" t="s">
        <v>4516</v>
      </c>
      <c r="K810" t="s">
        <v>1464</v>
      </c>
      <c r="L810" t="s">
        <v>4578</v>
      </c>
      <c r="M810" t="s">
        <v>4579</v>
      </c>
      <c r="N810" t="s">
        <v>4580</v>
      </c>
      <c r="O810" t="s">
        <v>26</v>
      </c>
      <c r="P810">
        <v>19.98</v>
      </c>
      <c r="Q810">
        <v>12.49</v>
      </c>
      <c r="R810">
        <v>9.99</v>
      </c>
      <c r="S810">
        <v>14.99</v>
      </c>
      <c r="T810" t="s">
        <v>4581</v>
      </c>
    </row>
    <row r="811" spans="1:20">
      <c r="A811">
        <v>653482</v>
      </c>
      <c r="B811" t="s">
        <v>4582</v>
      </c>
      <c r="C811" t="str">
        <f>"9780776607177"</f>
        <v>9780776607177</v>
      </c>
      <c r="D811" t="str">
        <f>"9780776618821"</f>
        <v>9780776618821</v>
      </c>
      <c r="E811" t="s">
        <v>3342</v>
      </c>
      <c r="F811" t="s">
        <v>3342</v>
      </c>
      <c r="G811" s="1">
        <v>40478</v>
      </c>
      <c r="I811" t="s">
        <v>3949</v>
      </c>
      <c r="J811" t="s">
        <v>4583</v>
      </c>
      <c r="K811" t="s">
        <v>2963</v>
      </c>
      <c r="L811" t="s">
        <v>4584</v>
      </c>
      <c r="M811">
        <v>909.83</v>
      </c>
      <c r="N811" t="s">
        <v>4585</v>
      </c>
      <c r="O811" t="s">
        <v>26</v>
      </c>
      <c r="P811">
        <v>179.98</v>
      </c>
      <c r="Q811">
        <v>112.49</v>
      </c>
      <c r="R811">
        <v>89.99</v>
      </c>
      <c r="S811">
        <v>134.99</v>
      </c>
      <c r="T811" t="s">
        <v>4586</v>
      </c>
    </row>
    <row r="812" spans="1:20">
      <c r="A812">
        <v>653498</v>
      </c>
      <c r="B812" t="s">
        <v>4587</v>
      </c>
      <c r="C812" t="str">
        <f>"9782760307216"</f>
        <v>9782760307216</v>
      </c>
      <c r="D812" t="str">
        <f>"9782760318441"</f>
        <v>9782760318441</v>
      </c>
      <c r="E812" t="s">
        <v>3342</v>
      </c>
      <c r="F812" t="s">
        <v>3342</v>
      </c>
      <c r="G812" s="1">
        <v>40240</v>
      </c>
      <c r="I812" t="s">
        <v>3949</v>
      </c>
      <c r="J812" t="s">
        <v>4588</v>
      </c>
      <c r="K812" t="s">
        <v>291</v>
      </c>
      <c r="L812" t="s">
        <v>4589</v>
      </c>
      <c r="M812">
        <v>970</v>
      </c>
      <c r="N812" t="s">
        <v>4590</v>
      </c>
      <c r="O812" t="s">
        <v>26</v>
      </c>
      <c r="P812">
        <v>119.98</v>
      </c>
      <c r="Q812">
        <v>74.989999999999995</v>
      </c>
      <c r="R812">
        <v>59.99</v>
      </c>
      <c r="S812">
        <v>89.99</v>
      </c>
      <c r="T812" t="s">
        <v>4591</v>
      </c>
    </row>
    <row r="813" spans="1:20">
      <c r="A813">
        <v>653501</v>
      </c>
      <c r="B813" t="s">
        <v>4592</v>
      </c>
      <c r="C813" t="str">
        <f>"9782760305816"</f>
        <v>9782760305816</v>
      </c>
      <c r="D813" t="str">
        <f>"9782760317406"</f>
        <v>9782760317406</v>
      </c>
      <c r="E813" t="s">
        <v>3361</v>
      </c>
      <c r="F813" t="s">
        <v>3361</v>
      </c>
      <c r="G813" s="1">
        <v>37987</v>
      </c>
      <c r="I813" t="s">
        <v>4593</v>
      </c>
      <c r="J813" t="s">
        <v>4594</v>
      </c>
      <c r="K813" t="s">
        <v>1464</v>
      </c>
      <c r="L813" t="s">
        <v>4595</v>
      </c>
      <c r="M813" t="s">
        <v>4596</v>
      </c>
      <c r="N813" t="s">
        <v>4597</v>
      </c>
      <c r="O813" t="s">
        <v>94</v>
      </c>
      <c r="P813">
        <v>29.98</v>
      </c>
      <c r="Q813">
        <v>18.739999999999998</v>
      </c>
      <c r="R813">
        <v>14.99</v>
      </c>
      <c r="S813">
        <v>22.49</v>
      </c>
      <c r="T813" t="s">
        <v>4598</v>
      </c>
    </row>
    <row r="814" spans="1:20">
      <c r="A814">
        <v>653556</v>
      </c>
      <c r="B814" t="s">
        <v>4599</v>
      </c>
      <c r="C814" t="str">
        <f>"9782760303638"</f>
        <v>9782760303638</v>
      </c>
      <c r="D814" t="str">
        <f>"9782760315747"</f>
        <v>9782760315747</v>
      </c>
      <c r="E814" t="s">
        <v>3361</v>
      </c>
      <c r="F814" t="s">
        <v>3361</v>
      </c>
      <c r="G814" s="1">
        <v>34335</v>
      </c>
      <c r="I814" t="s">
        <v>4006</v>
      </c>
      <c r="J814" t="s">
        <v>4600</v>
      </c>
      <c r="K814" t="s">
        <v>291</v>
      </c>
      <c r="L814" t="s">
        <v>4601</v>
      </c>
      <c r="M814" t="s">
        <v>4602</v>
      </c>
      <c r="N814" t="s">
        <v>4603</v>
      </c>
      <c r="O814" t="s">
        <v>94</v>
      </c>
      <c r="P814">
        <v>29.98</v>
      </c>
      <c r="Q814">
        <v>18.739999999999998</v>
      </c>
      <c r="R814">
        <v>14.99</v>
      </c>
      <c r="S814">
        <v>22.49</v>
      </c>
      <c r="T814" t="s">
        <v>4604</v>
      </c>
    </row>
    <row r="815" spans="1:20">
      <c r="A815">
        <v>653559</v>
      </c>
      <c r="B815" t="s">
        <v>4605</v>
      </c>
      <c r="C815" t="str">
        <f>"9782760305359"</f>
        <v>9782760305359</v>
      </c>
      <c r="D815" t="str">
        <f>"9782760315624"</f>
        <v>9782760315624</v>
      </c>
      <c r="E815" t="s">
        <v>3361</v>
      </c>
      <c r="F815" t="s">
        <v>3361</v>
      </c>
      <c r="G815" s="1">
        <v>36892</v>
      </c>
      <c r="I815" t="s">
        <v>4006</v>
      </c>
      <c r="J815" t="s">
        <v>4606</v>
      </c>
      <c r="K815" t="s">
        <v>1892</v>
      </c>
      <c r="L815" t="s">
        <v>4607</v>
      </c>
      <c r="M815">
        <v>226.40829600000001</v>
      </c>
      <c r="N815" t="s">
        <v>4608</v>
      </c>
      <c r="O815" t="s">
        <v>94</v>
      </c>
      <c r="P815">
        <v>25.98</v>
      </c>
      <c r="Q815">
        <v>16.239999999999998</v>
      </c>
      <c r="R815">
        <v>12.99</v>
      </c>
      <c r="S815">
        <v>19.489999999999998</v>
      </c>
      <c r="T815" t="s">
        <v>4609</v>
      </c>
    </row>
    <row r="816" spans="1:20">
      <c r="A816">
        <v>656340</v>
      </c>
      <c r="B816" t="s">
        <v>4610</v>
      </c>
      <c r="C816" t="str">
        <f>"9782760307636"</f>
        <v>9782760307636</v>
      </c>
      <c r="D816" t="str">
        <f>"9782760319530"</f>
        <v>9782760319530</v>
      </c>
      <c r="E816" t="s">
        <v>3361</v>
      </c>
      <c r="F816" t="s">
        <v>3361</v>
      </c>
      <c r="G816" s="1">
        <v>40684</v>
      </c>
      <c r="I816" t="s">
        <v>4110</v>
      </c>
      <c r="J816" t="s">
        <v>4611</v>
      </c>
      <c r="K816" t="s">
        <v>1892</v>
      </c>
      <c r="L816" t="s">
        <v>4612</v>
      </c>
      <c r="M816">
        <v>270.82</v>
      </c>
      <c r="N816" t="s">
        <v>4613</v>
      </c>
      <c r="O816" t="s">
        <v>26</v>
      </c>
      <c r="P816">
        <v>179.98</v>
      </c>
      <c r="Q816">
        <v>112.49</v>
      </c>
      <c r="R816">
        <v>89.99</v>
      </c>
      <c r="S816">
        <v>134.99</v>
      </c>
      <c r="T816" t="s">
        <v>4614</v>
      </c>
    </row>
    <row r="817" spans="1:20">
      <c r="A817">
        <v>665793</v>
      </c>
      <c r="B817" t="s">
        <v>4615</v>
      </c>
      <c r="C817" t="str">
        <f>"9780865716780"</f>
        <v>9780865716780</v>
      </c>
      <c r="D817" t="str">
        <f>"9781550924572"</f>
        <v>9781550924572</v>
      </c>
      <c r="E817" t="s">
        <v>249</v>
      </c>
      <c r="F817" t="s">
        <v>249</v>
      </c>
      <c r="G817" s="1">
        <v>40575</v>
      </c>
      <c r="J817" t="s">
        <v>4616</v>
      </c>
      <c r="K817" t="s">
        <v>76</v>
      </c>
      <c r="L817" t="s">
        <v>4617</v>
      </c>
      <c r="M817" t="s">
        <v>4618</v>
      </c>
      <c r="N817" t="s">
        <v>4619</v>
      </c>
      <c r="O817" t="s">
        <v>26</v>
      </c>
      <c r="P817">
        <v>34.950000000000003</v>
      </c>
      <c r="R817">
        <v>34.950000000000003</v>
      </c>
      <c r="T817" t="s">
        <v>4620</v>
      </c>
    </row>
    <row r="818" spans="1:20">
      <c r="A818">
        <v>665853</v>
      </c>
      <c r="B818" t="s">
        <v>4621</v>
      </c>
      <c r="C818" t="str">
        <f>"9780865716827"</f>
        <v>9780865716827</v>
      </c>
      <c r="D818" t="str">
        <f>"9781550924664"</f>
        <v>9781550924664</v>
      </c>
      <c r="E818" t="s">
        <v>249</v>
      </c>
      <c r="F818" t="s">
        <v>249</v>
      </c>
      <c r="G818" s="1">
        <v>40582</v>
      </c>
      <c r="J818" t="s">
        <v>4622</v>
      </c>
      <c r="K818" t="s">
        <v>76</v>
      </c>
      <c r="L818" t="s">
        <v>4623</v>
      </c>
      <c r="M818">
        <v>635.04840000000002</v>
      </c>
      <c r="N818" t="s">
        <v>4624</v>
      </c>
      <c r="O818" t="s">
        <v>26</v>
      </c>
      <c r="P818">
        <v>19.95</v>
      </c>
      <c r="R818">
        <v>19.95</v>
      </c>
      <c r="T818" t="s">
        <v>4625</v>
      </c>
    </row>
    <row r="819" spans="1:20">
      <c r="A819">
        <v>676454</v>
      </c>
      <c r="B819" t="s">
        <v>4626</v>
      </c>
      <c r="C819" t="str">
        <f>"9781845113117"</f>
        <v>9781845113117</v>
      </c>
      <c r="D819" t="str">
        <f>"9780857715517"</f>
        <v>9780857715517</v>
      </c>
      <c r="E819" t="s">
        <v>4627</v>
      </c>
      <c r="F819" t="s">
        <v>4627</v>
      </c>
      <c r="G819" s="1">
        <v>39171</v>
      </c>
      <c r="I819" t="s">
        <v>4628</v>
      </c>
      <c r="J819" t="s">
        <v>4629</v>
      </c>
      <c r="K819" t="s">
        <v>4630</v>
      </c>
      <c r="L819" t="s">
        <v>4631</v>
      </c>
      <c r="M819">
        <v>690.80286000000001</v>
      </c>
      <c r="N819" t="s">
        <v>4632</v>
      </c>
      <c r="O819" t="s">
        <v>26</v>
      </c>
      <c r="P819">
        <v>186</v>
      </c>
      <c r="R819">
        <v>124</v>
      </c>
      <c r="S819">
        <v>186</v>
      </c>
      <c r="T819" t="s">
        <v>4633</v>
      </c>
    </row>
    <row r="820" spans="1:20">
      <c r="A820">
        <v>676521</v>
      </c>
      <c r="B820" t="s">
        <v>4634</v>
      </c>
      <c r="C820" t="str">
        <f>"9781848850484"</f>
        <v>9781848850484</v>
      </c>
      <c r="D820" t="str">
        <f>"9780857712035"</f>
        <v>9780857712035</v>
      </c>
      <c r="E820" t="s">
        <v>4627</v>
      </c>
      <c r="F820" t="s">
        <v>4627</v>
      </c>
      <c r="G820" s="1">
        <v>40055</v>
      </c>
      <c r="I820" t="s">
        <v>4635</v>
      </c>
      <c r="J820" t="s">
        <v>4636</v>
      </c>
      <c r="K820" t="s">
        <v>568</v>
      </c>
      <c r="L820" t="s">
        <v>4637</v>
      </c>
      <c r="M820">
        <v>323.04208349999999</v>
      </c>
      <c r="N820" t="s">
        <v>4638</v>
      </c>
      <c r="O820" t="s">
        <v>26</v>
      </c>
      <c r="P820">
        <v>186</v>
      </c>
      <c r="R820">
        <v>124</v>
      </c>
      <c r="S820">
        <v>186</v>
      </c>
      <c r="T820" t="s">
        <v>4639</v>
      </c>
    </row>
    <row r="821" spans="1:20">
      <c r="A821">
        <v>679776</v>
      </c>
      <c r="B821" t="s">
        <v>4640</v>
      </c>
      <c r="C821" t="str">
        <f>"9780865716810"</f>
        <v>9780865716810</v>
      </c>
      <c r="D821" t="str">
        <f>"9781550924718"</f>
        <v>9781550924718</v>
      </c>
      <c r="E821" t="s">
        <v>249</v>
      </c>
      <c r="F821" t="s">
        <v>249</v>
      </c>
      <c r="G821" s="1">
        <v>40638</v>
      </c>
      <c r="J821" t="s">
        <v>4641</v>
      </c>
      <c r="K821" t="s">
        <v>4642</v>
      </c>
      <c r="L821" t="s">
        <v>4643</v>
      </c>
      <c r="M821" t="s">
        <v>4644</v>
      </c>
      <c r="N821" t="s">
        <v>4645</v>
      </c>
      <c r="O821" t="s">
        <v>26</v>
      </c>
      <c r="P821">
        <v>19.95</v>
      </c>
      <c r="R821">
        <v>19.95</v>
      </c>
      <c r="T821" t="s">
        <v>4646</v>
      </c>
    </row>
    <row r="822" spans="1:20">
      <c r="A822">
        <v>679879</v>
      </c>
      <c r="B822" t="s">
        <v>4647</v>
      </c>
      <c r="C822" t="str">
        <f>"9780865716841"</f>
        <v>9780865716841</v>
      </c>
      <c r="D822" t="str">
        <f>"9781550924749"</f>
        <v>9781550924749</v>
      </c>
      <c r="E822" t="s">
        <v>249</v>
      </c>
      <c r="F822" t="s">
        <v>249</v>
      </c>
      <c r="G822" s="1">
        <v>40631</v>
      </c>
      <c r="J822" t="s">
        <v>4648</v>
      </c>
      <c r="K822" t="s">
        <v>76</v>
      </c>
      <c r="L822" t="s">
        <v>4649</v>
      </c>
      <c r="M822">
        <v>635.98709795000002</v>
      </c>
      <c r="N822" t="s">
        <v>4650</v>
      </c>
      <c r="O822" t="s">
        <v>26</v>
      </c>
      <c r="P822">
        <v>24.95</v>
      </c>
      <c r="R822">
        <v>24.95</v>
      </c>
      <c r="T822" t="s">
        <v>4651</v>
      </c>
    </row>
    <row r="823" spans="1:20">
      <c r="A823">
        <v>679891</v>
      </c>
      <c r="B823" t="s">
        <v>4652</v>
      </c>
      <c r="C823" t="str">
        <f>"9780865716896"</f>
        <v>9780865716896</v>
      </c>
      <c r="D823" t="str">
        <f>"9781550924817"</f>
        <v>9781550924817</v>
      </c>
      <c r="E823" t="s">
        <v>249</v>
      </c>
      <c r="F823" t="s">
        <v>249</v>
      </c>
      <c r="G823" s="1">
        <v>40659</v>
      </c>
      <c r="J823" t="s">
        <v>4653</v>
      </c>
      <c r="K823" t="s">
        <v>263</v>
      </c>
      <c r="L823" t="s">
        <v>4654</v>
      </c>
      <c r="M823">
        <v>302.3</v>
      </c>
      <c r="N823" t="s">
        <v>4655</v>
      </c>
      <c r="O823" t="s">
        <v>26</v>
      </c>
      <c r="P823">
        <v>29.95</v>
      </c>
      <c r="R823">
        <v>29.95</v>
      </c>
      <c r="T823" t="s">
        <v>4656</v>
      </c>
    </row>
    <row r="824" spans="1:20">
      <c r="A824">
        <v>679957</v>
      </c>
      <c r="B824" t="s">
        <v>4657</v>
      </c>
      <c r="C824" t="str">
        <f>"9780865716421"</f>
        <v>9780865716421</v>
      </c>
      <c r="D824" t="str">
        <f>"9781550924626"</f>
        <v>9781550924626</v>
      </c>
      <c r="E824" t="s">
        <v>249</v>
      </c>
      <c r="F824" t="s">
        <v>249</v>
      </c>
      <c r="G824" s="1">
        <v>40617</v>
      </c>
      <c r="J824" t="s">
        <v>4658</v>
      </c>
      <c r="K824" t="s">
        <v>2154</v>
      </c>
      <c r="L824" t="s">
        <v>4659</v>
      </c>
      <c r="M824">
        <v>303.48399999999998</v>
      </c>
      <c r="N824" t="s">
        <v>4660</v>
      </c>
      <c r="O824" t="s">
        <v>26</v>
      </c>
      <c r="P824">
        <v>24.95</v>
      </c>
      <c r="R824">
        <v>24.95</v>
      </c>
      <c r="T824" t="s">
        <v>4661</v>
      </c>
    </row>
    <row r="825" spans="1:20">
      <c r="A825">
        <v>680650</v>
      </c>
      <c r="B825" t="s">
        <v>4662</v>
      </c>
      <c r="C825" t="str">
        <f>"9782760307612"</f>
        <v>9782760307612</v>
      </c>
      <c r="D825" t="str">
        <f>"9782760319424"</f>
        <v>9782760319424</v>
      </c>
      <c r="E825" t="s">
        <v>3361</v>
      </c>
      <c r="F825" t="s">
        <v>3361</v>
      </c>
      <c r="G825" s="1">
        <v>40663</v>
      </c>
      <c r="J825" t="s">
        <v>4663</v>
      </c>
      <c r="K825" t="s">
        <v>1464</v>
      </c>
      <c r="L825" t="s">
        <v>4664</v>
      </c>
      <c r="M825">
        <v>808.81420000000003</v>
      </c>
      <c r="N825" t="s">
        <v>4665</v>
      </c>
      <c r="O825" t="s">
        <v>26</v>
      </c>
      <c r="P825">
        <v>59.98</v>
      </c>
      <c r="Q825">
        <v>37.49</v>
      </c>
      <c r="R825">
        <v>29.99</v>
      </c>
      <c r="S825">
        <v>44.99</v>
      </c>
      <c r="T825" t="s">
        <v>4666</v>
      </c>
    </row>
    <row r="826" spans="1:20">
      <c r="A826">
        <v>682815</v>
      </c>
      <c r="B826" t="s">
        <v>4667</v>
      </c>
      <c r="C826" t="str">
        <f>"9781551431635"</f>
        <v>9781551431635</v>
      </c>
      <c r="D826" t="str">
        <f>"9781551438504"</f>
        <v>9781551438504</v>
      </c>
      <c r="E826" t="s">
        <v>4668</v>
      </c>
      <c r="F826" t="s">
        <v>4668</v>
      </c>
      <c r="G826" s="1">
        <v>36951</v>
      </c>
      <c r="H826">
        <v>1</v>
      </c>
      <c r="J826" t="s">
        <v>4669</v>
      </c>
      <c r="K826" t="s">
        <v>3572</v>
      </c>
      <c r="L826" t="s">
        <v>4670</v>
      </c>
      <c r="M826" t="s">
        <v>4671</v>
      </c>
      <c r="N826" t="s">
        <v>4672</v>
      </c>
      <c r="O826" t="s">
        <v>26</v>
      </c>
      <c r="P826">
        <v>9.99</v>
      </c>
      <c r="Q826">
        <v>12.49</v>
      </c>
      <c r="R826">
        <v>9.99</v>
      </c>
      <c r="T826" t="s">
        <v>4673</v>
      </c>
    </row>
    <row r="827" spans="1:20">
      <c r="A827">
        <v>682816</v>
      </c>
      <c r="B827" t="s">
        <v>4674</v>
      </c>
      <c r="C827" t="str">
        <f>"9781551432809"</f>
        <v>9781551432809</v>
      </c>
      <c r="D827" t="str">
        <f>"9781551438689"</f>
        <v>9781551438689</v>
      </c>
      <c r="E827" t="s">
        <v>4668</v>
      </c>
      <c r="F827" t="s">
        <v>4668</v>
      </c>
      <c r="G827" s="1">
        <v>37530</v>
      </c>
      <c r="H827">
        <v>1</v>
      </c>
      <c r="J827" t="s">
        <v>4669</v>
      </c>
      <c r="K827" t="s">
        <v>3572</v>
      </c>
      <c r="L827" t="s">
        <v>4675</v>
      </c>
      <c r="M827" t="s">
        <v>4671</v>
      </c>
      <c r="N827" t="s">
        <v>4676</v>
      </c>
      <c r="O827" t="s">
        <v>26</v>
      </c>
      <c r="P827">
        <v>9.99</v>
      </c>
      <c r="Q827">
        <v>12.49</v>
      </c>
      <c r="R827">
        <v>9.99</v>
      </c>
      <c r="T827" t="s">
        <v>4677</v>
      </c>
    </row>
    <row r="828" spans="1:20">
      <c r="A828">
        <v>682818</v>
      </c>
      <c r="B828" t="s">
        <v>4678</v>
      </c>
      <c r="C828" t="str">
        <f>"9781551439259"</f>
        <v>9781551439259</v>
      </c>
      <c r="D828" t="str">
        <f>"9781554693764"</f>
        <v>9781554693764</v>
      </c>
      <c r="E828" t="s">
        <v>4668</v>
      </c>
      <c r="F828" t="s">
        <v>4668</v>
      </c>
      <c r="G828" s="1">
        <v>40057</v>
      </c>
      <c r="H828">
        <v>1</v>
      </c>
      <c r="J828" t="s">
        <v>4679</v>
      </c>
      <c r="K828" t="s">
        <v>3975</v>
      </c>
      <c r="L828" t="s">
        <v>4680</v>
      </c>
      <c r="M828" t="s">
        <v>4681</v>
      </c>
      <c r="N828" t="s">
        <v>4682</v>
      </c>
      <c r="O828" t="s">
        <v>26</v>
      </c>
      <c r="P828">
        <v>44.99</v>
      </c>
      <c r="Q828">
        <v>56.24</v>
      </c>
      <c r="R828">
        <v>44.99</v>
      </c>
      <c r="T828" t="s">
        <v>4683</v>
      </c>
    </row>
    <row r="829" spans="1:20">
      <c r="A829">
        <v>682819</v>
      </c>
      <c r="B829" t="s">
        <v>4684</v>
      </c>
      <c r="C829" t="str">
        <f>"9781551439563"</f>
        <v>9781551439563</v>
      </c>
      <c r="D829" t="str">
        <f>"9781554693757"</f>
        <v>9781554693757</v>
      </c>
      <c r="E829" t="s">
        <v>4668</v>
      </c>
      <c r="F829" t="s">
        <v>4668</v>
      </c>
      <c r="G829" s="1">
        <v>40057</v>
      </c>
      <c r="H829">
        <v>1</v>
      </c>
      <c r="I829" t="s">
        <v>4685</v>
      </c>
      <c r="J829" t="s">
        <v>4686</v>
      </c>
      <c r="K829" t="s">
        <v>257</v>
      </c>
      <c r="L829" t="s">
        <v>4687</v>
      </c>
      <c r="M829">
        <v>372.4</v>
      </c>
      <c r="N829" t="s">
        <v>4688</v>
      </c>
      <c r="O829" t="s">
        <v>26</v>
      </c>
      <c r="P829">
        <v>44.99</v>
      </c>
      <c r="Q829">
        <v>56.24</v>
      </c>
      <c r="R829">
        <v>44.99</v>
      </c>
      <c r="T829" t="s">
        <v>4689</v>
      </c>
    </row>
    <row r="830" spans="1:20">
      <c r="A830">
        <v>682820</v>
      </c>
      <c r="B830" t="s">
        <v>4690</v>
      </c>
      <c r="C830" t="str">
        <f>"9781554691227"</f>
        <v>9781554691227</v>
      </c>
      <c r="D830" t="str">
        <f>"9781554690626"</f>
        <v>9781554690626</v>
      </c>
      <c r="E830" t="s">
        <v>4668</v>
      </c>
      <c r="F830" t="s">
        <v>4668</v>
      </c>
      <c r="G830" s="1">
        <v>39508</v>
      </c>
      <c r="H830">
        <v>1</v>
      </c>
      <c r="J830" t="s">
        <v>4691</v>
      </c>
      <c r="K830" t="s">
        <v>3572</v>
      </c>
      <c r="L830" t="s">
        <v>4692</v>
      </c>
      <c r="M830" t="s">
        <v>4693</v>
      </c>
      <c r="N830" t="s">
        <v>4694</v>
      </c>
      <c r="O830" t="s">
        <v>26</v>
      </c>
      <c r="P830">
        <v>9.99</v>
      </c>
      <c r="Q830">
        <v>12.49</v>
      </c>
      <c r="R830">
        <v>9.99</v>
      </c>
      <c r="T830" t="s">
        <v>4695</v>
      </c>
    </row>
    <row r="831" spans="1:20">
      <c r="A831">
        <v>682821</v>
      </c>
      <c r="B831" t="s">
        <v>4696</v>
      </c>
      <c r="C831" t="str">
        <f>"9781551439365"</f>
        <v>9781551439365</v>
      </c>
      <c r="D831" t="str">
        <f>"9781551439389"</f>
        <v>9781551439389</v>
      </c>
      <c r="E831" t="s">
        <v>4668</v>
      </c>
      <c r="F831" t="s">
        <v>4668</v>
      </c>
      <c r="G831" s="1">
        <v>39722</v>
      </c>
      <c r="H831">
        <v>1</v>
      </c>
      <c r="J831" t="s">
        <v>4697</v>
      </c>
      <c r="K831" t="s">
        <v>3572</v>
      </c>
      <c r="L831" t="s">
        <v>4698</v>
      </c>
      <c r="M831" t="s">
        <v>4699</v>
      </c>
      <c r="N831" t="s">
        <v>4700</v>
      </c>
      <c r="O831" t="s">
        <v>26</v>
      </c>
      <c r="P831">
        <v>19.989999999999998</v>
      </c>
      <c r="Q831">
        <v>24.99</v>
      </c>
      <c r="R831">
        <v>19.989999999999998</v>
      </c>
      <c r="T831" t="s">
        <v>4701</v>
      </c>
    </row>
    <row r="832" spans="1:20">
      <c r="A832">
        <v>682822</v>
      </c>
      <c r="B832" t="s">
        <v>4702</v>
      </c>
      <c r="C832" t="str">
        <f>"9781554693085"</f>
        <v>9781554693085</v>
      </c>
      <c r="D832" t="str">
        <f>"9781554693092"</f>
        <v>9781554693092</v>
      </c>
      <c r="E832" t="s">
        <v>4668</v>
      </c>
      <c r="F832" t="s">
        <v>4668</v>
      </c>
      <c r="G832" s="1">
        <v>41518</v>
      </c>
      <c r="H832">
        <v>1</v>
      </c>
      <c r="I832" t="s">
        <v>4703</v>
      </c>
      <c r="J832" t="s">
        <v>4704</v>
      </c>
      <c r="K832" t="s">
        <v>3572</v>
      </c>
      <c r="L832" t="s">
        <v>4705</v>
      </c>
      <c r="M832" t="s">
        <v>1509</v>
      </c>
      <c r="N832" t="s">
        <v>4706</v>
      </c>
      <c r="O832" t="s">
        <v>26</v>
      </c>
      <c r="P832">
        <v>6.99</v>
      </c>
      <c r="Q832">
        <v>8.74</v>
      </c>
      <c r="R832">
        <v>6.99</v>
      </c>
      <c r="T832" t="s">
        <v>4707</v>
      </c>
    </row>
    <row r="833" spans="1:20">
      <c r="A833">
        <v>682823</v>
      </c>
      <c r="B833" t="s">
        <v>4708</v>
      </c>
      <c r="C833" t="str">
        <f>"9781554691173"</f>
        <v>9781554691173</v>
      </c>
      <c r="D833" t="str">
        <f>"9781554691180"</f>
        <v>9781554691180</v>
      </c>
      <c r="E833" t="s">
        <v>4668</v>
      </c>
      <c r="F833" t="s">
        <v>4668</v>
      </c>
      <c r="G833" s="1">
        <v>39934</v>
      </c>
      <c r="H833">
        <v>1</v>
      </c>
      <c r="I833" t="s">
        <v>4703</v>
      </c>
      <c r="J833" t="s">
        <v>4704</v>
      </c>
      <c r="K833" t="s">
        <v>3572</v>
      </c>
      <c r="L833" t="s">
        <v>4709</v>
      </c>
      <c r="M833" t="s">
        <v>1509</v>
      </c>
      <c r="N833" t="s">
        <v>4710</v>
      </c>
      <c r="O833" t="s">
        <v>26</v>
      </c>
      <c r="P833">
        <v>6.99</v>
      </c>
      <c r="Q833">
        <v>8.74</v>
      </c>
      <c r="R833">
        <v>6.99</v>
      </c>
      <c r="T833" t="s">
        <v>4711</v>
      </c>
    </row>
    <row r="834" spans="1:20">
      <c r="A834">
        <v>682824</v>
      </c>
      <c r="B834" t="s">
        <v>4712</v>
      </c>
      <c r="C834" t="str">
        <f>"9781554690213"</f>
        <v>9781554690213</v>
      </c>
      <c r="D834" t="str">
        <f>"9781554690220"</f>
        <v>9781554690220</v>
      </c>
      <c r="E834" t="s">
        <v>4668</v>
      </c>
      <c r="F834" t="s">
        <v>4668</v>
      </c>
      <c r="G834" s="1">
        <v>39753</v>
      </c>
      <c r="H834">
        <v>1</v>
      </c>
      <c r="I834" t="s">
        <v>4703</v>
      </c>
      <c r="J834" t="s">
        <v>4713</v>
      </c>
      <c r="K834" t="s">
        <v>3572</v>
      </c>
      <c r="L834" t="s">
        <v>4714</v>
      </c>
      <c r="M834" t="s">
        <v>1460</v>
      </c>
      <c r="N834" t="s">
        <v>4715</v>
      </c>
      <c r="O834" t="s">
        <v>26</v>
      </c>
      <c r="P834">
        <v>6.99</v>
      </c>
      <c r="Q834">
        <v>8.74</v>
      </c>
      <c r="R834">
        <v>6.99</v>
      </c>
      <c r="T834" t="s">
        <v>4716</v>
      </c>
    </row>
    <row r="835" spans="1:20">
      <c r="A835">
        <v>682825</v>
      </c>
      <c r="B835" t="s">
        <v>4717</v>
      </c>
      <c r="C835" t="str">
        <f>"9781551433301"</f>
        <v>9781551433301</v>
      </c>
      <c r="D835" t="str">
        <f>"9781551438870"</f>
        <v>9781551438870</v>
      </c>
      <c r="E835" t="s">
        <v>4668</v>
      </c>
      <c r="F835" t="s">
        <v>4668</v>
      </c>
      <c r="G835" s="1">
        <v>39142</v>
      </c>
      <c r="H835">
        <v>1</v>
      </c>
      <c r="J835" t="s">
        <v>4718</v>
      </c>
      <c r="K835" t="s">
        <v>3572</v>
      </c>
      <c r="L835" t="s">
        <v>4719</v>
      </c>
      <c r="M835" t="s">
        <v>1460</v>
      </c>
      <c r="N835" t="s">
        <v>4720</v>
      </c>
      <c r="O835" t="s">
        <v>26</v>
      </c>
      <c r="P835">
        <v>4.99</v>
      </c>
      <c r="Q835">
        <v>6.24</v>
      </c>
      <c r="R835">
        <v>4.99</v>
      </c>
      <c r="T835" t="s">
        <v>4721</v>
      </c>
    </row>
    <row r="836" spans="1:20">
      <c r="A836">
        <v>682826</v>
      </c>
      <c r="B836" t="s">
        <v>4722</v>
      </c>
      <c r="C836" t="str">
        <f>"9781551433905"</f>
        <v>9781551433905</v>
      </c>
      <c r="D836" t="str">
        <f>"9781551435930"</f>
        <v>9781551435930</v>
      </c>
      <c r="E836" t="s">
        <v>4668</v>
      </c>
      <c r="F836" t="s">
        <v>4668</v>
      </c>
      <c r="G836" s="1">
        <v>38596</v>
      </c>
      <c r="H836">
        <v>1</v>
      </c>
      <c r="J836" t="s">
        <v>4723</v>
      </c>
      <c r="K836" t="s">
        <v>3572</v>
      </c>
      <c r="L836" t="s">
        <v>4724</v>
      </c>
      <c r="M836" t="s">
        <v>3612</v>
      </c>
      <c r="N836" t="s">
        <v>4725</v>
      </c>
      <c r="O836" t="s">
        <v>26</v>
      </c>
      <c r="P836">
        <v>19.989999999999998</v>
      </c>
      <c r="Q836">
        <v>24.99</v>
      </c>
      <c r="R836">
        <v>19.989999999999998</v>
      </c>
      <c r="T836" t="s">
        <v>4726</v>
      </c>
    </row>
    <row r="837" spans="1:20">
      <c r="A837">
        <v>682827</v>
      </c>
      <c r="B837" t="s">
        <v>4727</v>
      </c>
      <c r="C837" t="str">
        <f>"9781554693474"</f>
        <v>9781554693474</v>
      </c>
      <c r="D837" t="str">
        <f>"9781554693481"</f>
        <v>9781554693481</v>
      </c>
      <c r="E837" t="s">
        <v>4668</v>
      </c>
      <c r="F837" t="s">
        <v>4668</v>
      </c>
      <c r="G837" s="1">
        <v>41518</v>
      </c>
      <c r="H837">
        <v>1</v>
      </c>
      <c r="I837" t="s">
        <v>4703</v>
      </c>
      <c r="J837" t="s">
        <v>4728</v>
      </c>
      <c r="K837" t="s">
        <v>3572</v>
      </c>
      <c r="L837" t="s">
        <v>4729</v>
      </c>
      <c r="M837" t="s">
        <v>1460</v>
      </c>
      <c r="N837" t="s">
        <v>4730</v>
      </c>
      <c r="O837" t="s">
        <v>26</v>
      </c>
      <c r="P837">
        <v>6.99</v>
      </c>
      <c r="Q837">
        <v>8.74</v>
      </c>
      <c r="R837">
        <v>6.99</v>
      </c>
      <c r="T837" t="s">
        <v>4731</v>
      </c>
    </row>
    <row r="838" spans="1:20">
      <c r="A838">
        <v>682832</v>
      </c>
      <c r="B838" t="s">
        <v>4732</v>
      </c>
      <c r="C838" t="str">
        <f>"9781551435596"</f>
        <v>9781551435596</v>
      </c>
      <c r="D838" t="str">
        <f>"9781554690633"</f>
        <v>9781554690633</v>
      </c>
      <c r="E838" t="s">
        <v>4668</v>
      </c>
      <c r="F838" t="s">
        <v>4668</v>
      </c>
      <c r="G838" s="1">
        <v>39722</v>
      </c>
      <c r="H838">
        <v>1</v>
      </c>
      <c r="J838" t="s">
        <v>4733</v>
      </c>
      <c r="K838" t="s">
        <v>3572</v>
      </c>
      <c r="L838" t="s">
        <v>4734</v>
      </c>
      <c r="M838" t="s">
        <v>1460</v>
      </c>
      <c r="N838" t="s">
        <v>4735</v>
      </c>
      <c r="O838" t="s">
        <v>26</v>
      </c>
      <c r="P838">
        <v>9.99</v>
      </c>
      <c r="Q838">
        <v>12.49</v>
      </c>
      <c r="R838">
        <v>9.99</v>
      </c>
      <c r="T838" t="s">
        <v>4736</v>
      </c>
    </row>
    <row r="839" spans="1:20">
      <c r="A839">
        <v>682833</v>
      </c>
      <c r="B839" t="s">
        <v>4737</v>
      </c>
      <c r="C839" t="str">
        <f>"9781551434728"</f>
        <v>9781551434728</v>
      </c>
      <c r="D839" t="str">
        <f>"9781551435954"</f>
        <v>9781551435954</v>
      </c>
      <c r="E839" t="s">
        <v>4668</v>
      </c>
      <c r="F839" t="s">
        <v>4668</v>
      </c>
      <c r="G839" s="1">
        <v>38596</v>
      </c>
      <c r="H839">
        <v>1</v>
      </c>
      <c r="I839" t="s">
        <v>4703</v>
      </c>
      <c r="J839" t="s">
        <v>4738</v>
      </c>
      <c r="K839" t="s">
        <v>3572</v>
      </c>
      <c r="L839" t="s">
        <v>4739</v>
      </c>
      <c r="M839" t="s">
        <v>1509</v>
      </c>
      <c r="N839" t="s">
        <v>4740</v>
      </c>
      <c r="O839" t="s">
        <v>26</v>
      </c>
      <c r="P839">
        <v>6.99</v>
      </c>
      <c r="Q839">
        <v>8.74</v>
      </c>
      <c r="R839">
        <v>6.99</v>
      </c>
      <c r="T839" t="s">
        <v>4741</v>
      </c>
    </row>
    <row r="840" spans="1:20">
      <c r="A840">
        <v>682834</v>
      </c>
      <c r="B840" t="s">
        <v>4742</v>
      </c>
      <c r="C840" t="str">
        <f>"9781551436234"</f>
        <v>9781551436234</v>
      </c>
      <c r="D840" t="str">
        <f>"9781551436258"</f>
        <v>9781551436258</v>
      </c>
      <c r="E840" t="s">
        <v>4668</v>
      </c>
      <c r="F840" t="s">
        <v>4668</v>
      </c>
      <c r="G840" s="1">
        <v>38961</v>
      </c>
      <c r="H840">
        <v>1</v>
      </c>
      <c r="I840" t="s">
        <v>4703</v>
      </c>
      <c r="J840" t="s">
        <v>4738</v>
      </c>
      <c r="K840" t="s">
        <v>3572</v>
      </c>
      <c r="L840" t="s">
        <v>4743</v>
      </c>
      <c r="M840" t="s">
        <v>1509</v>
      </c>
      <c r="N840" t="s">
        <v>4740</v>
      </c>
      <c r="O840" t="s">
        <v>26</v>
      </c>
      <c r="P840">
        <v>6.99</v>
      </c>
      <c r="Q840">
        <v>8.74</v>
      </c>
      <c r="R840">
        <v>6.99</v>
      </c>
      <c r="T840" t="s">
        <v>4744</v>
      </c>
    </row>
    <row r="841" spans="1:20">
      <c r="A841">
        <v>682835</v>
      </c>
      <c r="B841" t="s">
        <v>4745</v>
      </c>
      <c r="C841" t="str">
        <f>"9781551432939"</f>
        <v>9781551432939</v>
      </c>
      <c r="D841" t="str">
        <f>"9781551437750"</f>
        <v>9781551437750</v>
      </c>
      <c r="E841" t="s">
        <v>4668</v>
      </c>
      <c r="F841" t="s">
        <v>4668</v>
      </c>
      <c r="G841" s="1">
        <v>38231</v>
      </c>
      <c r="H841">
        <v>1</v>
      </c>
      <c r="I841" t="s">
        <v>4703</v>
      </c>
      <c r="J841" t="s">
        <v>4738</v>
      </c>
      <c r="K841" t="s">
        <v>1464</v>
      </c>
      <c r="L841" t="s">
        <v>4746</v>
      </c>
      <c r="M841" t="s">
        <v>1509</v>
      </c>
      <c r="N841" t="s">
        <v>4747</v>
      </c>
      <c r="O841" t="s">
        <v>26</v>
      </c>
      <c r="P841">
        <v>6.99</v>
      </c>
      <c r="Q841">
        <v>8.74</v>
      </c>
      <c r="R841">
        <v>6.99</v>
      </c>
      <c r="T841" t="s">
        <v>4748</v>
      </c>
    </row>
    <row r="842" spans="1:20">
      <c r="A842">
        <v>682836</v>
      </c>
      <c r="B842" t="s">
        <v>4749</v>
      </c>
      <c r="C842" t="str">
        <f>"9781551433417"</f>
        <v>9781551433417</v>
      </c>
      <c r="D842" t="str">
        <f>"9781551435756"</f>
        <v>9781551435756</v>
      </c>
      <c r="E842" t="s">
        <v>4668</v>
      </c>
      <c r="F842" t="s">
        <v>4668</v>
      </c>
      <c r="G842" s="1">
        <v>38596</v>
      </c>
      <c r="H842">
        <v>1</v>
      </c>
      <c r="I842" t="s">
        <v>4703</v>
      </c>
      <c r="J842" t="s">
        <v>4750</v>
      </c>
      <c r="K842" t="s">
        <v>3572</v>
      </c>
      <c r="L842" t="s">
        <v>4751</v>
      </c>
      <c r="M842" t="s">
        <v>4752</v>
      </c>
      <c r="N842" t="s">
        <v>4753</v>
      </c>
      <c r="O842" t="s">
        <v>26</v>
      </c>
      <c r="P842">
        <v>6.99</v>
      </c>
      <c r="Q842">
        <v>8.74</v>
      </c>
      <c r="R842">
        <v>6.99</v>
      </c>
      <c r="T842" t="s">
        <v>4754</v>
      </c>
    </row>
    <row r="843" spans="1:20">
      <c r="A843">
        <v>682837</v>
      </c>
      <c r="B843" t="s">
        <v>4755</v>
      </c>
      <c r="C843" t="str">
        <f>"9781554690237"</f>
        <v>9781554690237</v>
      </c>
      <c r="D843" t="str">
        <f>"9781554690244"</f>
        <v>9781554690244</v>
      </c>
      <c r="E843" t="s">
        <v>4668</v>
      </c>
      <c r="F843" t="s">
        <v>4668</v>
      </c>
      <c r="G843" s="1">
        <v>39569</v>
      </c>
      <c r="H843">
        <v>1</v>
      </c>
      <c r="I843" t="s">
        <v>4703</v>
      </c>
      <c r="J843" t="s">
        <v>4756</v>
      </c>
      <c r="K843" t="s">
        <v>3572</v>
      </c>
      <c r="L843" t="s">
        <v>4757</v>
      </c>
      <c r="M843" t="s">
        <v>1460</v>
      </c>
      <c r="N843" t="s">
        <v>4758</v>
      </c>
      <c r="O843" t="s">
        <v>26</v>
      </c>
      <c r="P843">
        <v>6.99</v>
      </c>
      <c r="Q843">
        <v>8.74</v>
      </c>
      <c r="R843">
        <v>6.99</v>
      </c>
      <c r="T843" t="s">
        <v>4759</v>
      </c>
    </row>
    <row r="844" spans="1:20">
      <c r="A844">
        <v>682838</v>
      </c>
      <c r="B844" t="s">
        <v>4760</v>
      </c>
      <c r="C844" t="str">
        <f>"9781551435015"</f>
        <v>9781551435015</v>
      </c>
      <c r="D844" t="str">
        <f>"9781551435039"</f>
        <v>9781551435039</v>
      </c>
      <c r="E844" t="s">
        <v>4668</v>
      </c>
      <c r="F844" t="s">
        <v>4668</v>
      </c>
      <c r="G844" s="1">
        <v>39356</v>
      </c>
      <c r="H844">
        <v>1</v>
      </c>
      <c r="I844" t="s">
        <v>4703</v>
      </c>
      <c r="J844" t="s">
        <v>4756</v>
      </c>
      <c r="K844" t="s">
        <v>3572</v>
      </c>
      <c r="L844" t="s">
        <v>4761</v>
      </c>
      <c r="M844" t="s">
        <v>1460</v>
      </c>
      <c r="N844" t="s">
        <v>4762</v>
      </c>
      <c r="O844" t="s">
        <v>26</v>
      </c>
      <c r="P844">
        <v>6.99</v>
      </c>
      <c r="Q844">
        <v>8.74</v>
      </c>
      <c r="R844">
        <v>6.99</v>
      </c>
      <c r="T844" t="s">
        <v>4763</v>
      </c>
    </row>
    <row r="845" spans="1:20">
      <c r="A845">
        <v>682839</v>
      </c>
      <c r="B845" t="s">
        <v>4764</v>
      </c>
      <c r="C845" t="str">
        <f>"9781551432892"</f>
        <v>9781551432892</v>
      </c>
      <c r="D845" t="str">
        <f>"9781551438153"</f>
        <v>9781551438153</v>
      </c>
      <c r="E845" t="s">
        <v>4668</v>
      </c>
      <c r="F845" t="s">
        <v>4668</v>
      </c>
      <c r="G845" s="1">
        <v>38231</v>
      </c>
      <c r="H845">
        <v>1</v>
      </c>
      <c r="J845" t="s">
        <v>4765</v>
      </c>
      <c r="K845" t="s">
        <v>3572</v>
      </c>
      <c r="L845" t="s">
        <v>4766</v>
      </c>
      <c r="M845" t="s">
        <v>1460</v>
      </c>
      <c r="N845" t="s">
        <v>4767</v>
      </c>
      <c r="O845" t="s">
        <v>26</v>
      </c>
      <c r="P845">
        <v>19.989999999999998</v>
      </c>
      <c r="Q845">
        <v>24.99</v>
      </c>
      <c r="R845">
        <v>19.989999999999998</v>
      </c>
      <c r="T845" t="s">
        <v>4768</v>
      </c>
    </row>
    <row r="846" spans="1:20">
      <c r="A846">
        <v>682841</v>
      </c>
      <c r="B846" t="s">
        <v>4769</v>
      </c>
      <c r="C846" t="str">
        <f>"9781551433462"</f>
        <v>9781551433462</v>
      </c>
      <c r="D846" t="str">
        <f>"9781551438214"</f>
        <v>9781551438214</v>
      </c>
      <c r="E846" t="s">
        <v>4668</v>
      </c>
      <c r="F846" t="s">
        <v>4668</v>
      </c>
      <c r="G846" s="1">
        <v>38777</v>
      </c>
      <c r="H846">
        <v>1</v>
      </c>
      <c r="J846" t="s">
        <v>4770</v>
      </c>
      <c r="K846" t="s">
        <v>4771</v>
      </c>
      <c r="L846" t="s">
        <v>4772</v>
      </c>
      <c r="M846">
        <v>34</v>
      </c>
      <c r="N846" t="s">
        <v>4773</v>
      </c>
      <c r="O846" t="s">
        <v>26</v>
      </c>
      <c r="P846">
        <v>17.989999999999998</v>
      </c>
      <c r="Q846">
        <v>22.49</v>
      </c>
      <c r="R846">
        <v>17.989999999999998</v>
      </c>
      <c r="T846" t="s">
        <v>4774</v>
      </c>
    </row>
    <row r="847" spans="1:20">
      <c r="A847">
        <v>682842</v>
      </c>
      <c r="B847" t="s">
        <v>4775</v>
      </c>
      <c r="C847" t="str">
        <f>"9781554691296"</f>
        <v>9781554691296</v>
      </c>
      <c r="D847" t="str">
        <f>"9781551434513"</f>
        <v>9781551434513</v>
      </c>
      <c r="E847" t="s">
        <v>4668</v>
      </c>
      <c r="F847" t="s">
        <v>4668</v>
      </c>
      <c r="G847" s="1">
        <v>38961</v>
      </c>
      <c r="H847">
        <v>1</v>
      </c>
      <c r="J847" t="s">
        <v>4776</v>
      </c>
      <c r="K847" t="s">
        <v>4777</v>
      </c>
      <c r="L847" t="s">
        <v>4778</v>
      </c>
      <c r="M847">
        <v>33</v>
      </c>
      <c r="N847" t="s">
        <v>4779</v>
      </c>
      <c r="O847" t="s">
        <v>26</v>
      </c>
      <c r="P847">
        <v>9.99</v>
      </c>
      <c r="Q847">
        <v>12.49</v>
      </c>
      <c r="R847">
        <v>9.99</v>
      </c>
      <c r="T847" t="s">
        <v>4780</v>
      </c>
    </row>
    <row r="848" spans="1:20">
      <c r="A848">
        <v>682843</v>
      </c>
      <c r="B848" t="s">
        <v>4781</v>
      </c>
      <c r="C848" t="str">
        <f>"9781551436036"</f>
        <v>9781551436036</v>
      </c>
      <c r="D848" t="str">
        <f>"9781551436050"</f>
        <v>9781551436050</v>
      </c>
      <c r="E848" t="s">
        <v>4668</v>
      </c>
      <c r="F848" t="s">
        <v>4668</v>
      </c>
      <c r="G848" s="1">
        <v>38961</v>
      </c>
      <c r="H848">
        <v>1</v>
      </c>
      <c r="I848" t="s">
        <v>4703</v>
      </c>
      <c r="J848" t="s">
        <v>4782</v>
      </c>
      <c r="K848" t="s">
        <v>3572</v>
      </c>
      <c r="L848" t="s">
        <v>4783</v>
      </c>
      <c r="M848" t="s">
        <v>4671</v>
      </c>
      <c r="N848" t="s">
        <v>4784</v>
      </c>
      <c r="O848" t="s">
        <v>26</v>
      </c>
      <c r="P848">
        <v>6.99</v>
      </c>
      <c r="Q848">
        <v>8.74</v>
      </c>
      <c r="R848">
        <v>6.99</v>
      </c>
      <c r="T848" t="s">
        <v>4785</v>
      </c>
    </row>
    <row r="849" spans="1:20">
      <c r="A849">
        <v>682844</v>
      </c>
      <c r="B849" t="s">
        <v>4786</v>
      </c>
      <c r="C849" t="str">
        <f>"9781551433455"</f>
        <v>9781551433455</v>
      </c>
      <c r="D849" t="str">
        <f>"9781551435794"</f>
        <v>9781551435794</v>
      </c>
      <c r="E849" t="s">
        <v>4668</v>
      </c>
      <c r="F849" t="s">
        <v>4668</v>
      </c>
      <c r="G849" s="1">
        <v>38596</v>
      </c>
      <c r="H849">
        <v>1</v>
      </c>
      <c r="I849" t="s">
        <v>4703</v>
      </c>
      <c r="J849" t="s">
        <v>4782</v>
      </c>
      <c r="K849" t="s">
        <v>3572</v>
      </c>
      <c r="L849" t="s">
        <v>4783</v>
      </c>
      <c r="M849" t="s">
        <v>4752</v>
      </c>
      <c r="N849" t="s">
        <v>4787</v>
      </c>
      <c r="O849" t="s">
        <v>26</v>
      </c>
      <c r="P849">
        <v>6.99</v>
      </c>
      <c r="Q849">
        <v>8.74</v>
      </c>
      <c r="R849">
        <v>6.99</v>
      </c>
      <c r="T849" t="s">
        <v>4788</v>
      </c>
    </row>
    <row r="850" spans="1:20">
      <c r="A850">
        <v>682845</v>
      </c>
      <c r="B850" t="s">
        <v>4789</v>
      </c>
      <c r="C850" t="str">
        <f>"9781551437309"</f>
        <v>9781551437309</v>
      </c>
      <c r="D850" t="str">
        <f>"9781551437323"</f>
        <v>9781551437323</v>
      </c>
      <c r="E850" t="s">
        <v>4668</v>
      </c>
      <c r="F850" t="s">
        <v>4668</v>
      </c>
      <c r="G850" s="1">
        <v>39508</v>
      </c>
      <c r="H850">
        <v>1</v>
      </c>
      <c r="I850" t="s">
        <v>4703</v>
      </c>
      <c r="J850" t="s">
        <v>4790</v>
      </c>
      <c r="K850" t="s">
        <v>3572</v>
      </c>
      <c r="L850" t="s">
        <v>4791</v>
      </c>
      <c r="M850" t="s">
        <v>1460</v>
      </c>
      <c r="N850" t="s">
        <v>4792</v>
      </c>
      <c r="O850" t="s">
        <v>26</v>
      </c>
      <c r="P850">
        <v>6.99</v>
      </c>
      <c r="Q850">
        <v>8.74</v>
      </c>
      <c r="R850">
        <v>6.99</v>
      </c>
      <c r="T850" t="s">
        <v>4793</v>
      </c>
    </row>
    <row r="851" spans="1:20">
      <c r="A851">
        <v>682846</v>
      </c>
      <c r="B851" t="s">
        <v>4794</v>
      </c>
      <c r="C851" t="str">
        <f>"9781551435480"</f>
        <v>9781551435480</v>
      </c>
      <c r="D851" t="str">
        <f>"9781551435503"</f>
        <v>9781551435503</v>
      </c>
      <c r="E851" t="s">
        <v>4668</v>
      </c>
      <c r="F851" t="s">
        <v>4668</v>
      </c>
      <c r="G851" s="1">
        <v>38961</v>
      </c>
      <c r="H851">
        <v>1</v>
      </c>
      <c r="I851" t="s">
        <v>4703</v>
      </c>
      <c r="J851" t="s">
        <v>4790</v>
      </c>
      <c r="K851" t="s">
        <v>3572</v>
      </c>
      <c r="L851" t="s">
        <v>4791</v>
      </c>
      <c r="M851" t="s">
        <v>1460</v>
      </c>
      <c r="N851" t="s">
        <v>4795</v>
      </c>
      <c r="O851" t="s">
        <v>26</v>
      </c>
      <c r="P851">
        <v>6.99</v>
      </c>
      <c r="Q851">
        <v>8.74</v>
      </c>
      <c r="R851">
        <v>6.99</v>
      </c>
      <c r="T851" t="s">
        <v>4796</v>
      </c>
    </row>
    <row r="852" spans="1:20">
      <c r="A852">
        <v>682847</v>
      </c>
      <c r="B852" t="s">
        <v>4797</v>
      </c>
      <c r="C852" t="str">
        <f>"9781551437262"</f>
        <v>9781551437262</v>
      </c>
      <c r="D852" t="str">
        <f>"9781551437286"</f>
        <v>9781551437286</v>
      </c>
      <c r="E852" t="s">
        <v>4668</v>
      </c>
      <c r="F852" t="s">
        <v>4668</v>
      </c>
      <c r="G852" s="1">
        <v>39142</v>
      </c>
      <c r="H852">
        <v>1</v>
      </c>
      <c r="I852" t="s">
        <v>4703</v>
      </c>
      <c r="J852" t="s">
        <v>4790</v>
      </c>
      <c r="K852" t="s">
        <v>3572</v>
      </c>
      <c r="L852" t="s">
        <v>4798</v>
      </c>
      <c r="M852" t="s">
        <v>1460</v>
      </c>
      <c r="N852" t="s">
        <v>4799</v>
      </c>
      <c r="O852" t="s">
        <v>26</v>
      </c>
      <c r="P852">
        <v>6.99</v>
      </c>
      <c r="Q852">
        <v>8.74</v>
      </c>
      <c r="R852">
        <v>6.99</v>
      </c>
      <c r="T852" t="s">
        <v>4800</v>
      </c>
    </row>
    <row r="853" spans="1:20">
      <c r="A853">
        <v>682848</v>
      </c>
      <c r="B853" t="s">
        <v>4801</v>
      </c>
      <c r="C853" t="str">
        <f>"9781551435442"</f>
        <v>9781551435442</v>
      </c>
      <c r="D853" t="str">
        <f>"9781551435466"</f>
        <v>9781551435466</v>
      </c>
      <c r="E853" t="s">
        <v>4668</v>
      </c>
      <c r="F853" t="s">
        <v>4668</v>
      </c>
      <c r="G853" s="1">
        <v>38961</v>
      </c>
      <c r="H853">
        <v>1</v>
      </c>
      <c r="I853" t="s">
        <v>4703</v>
      </c>
      <c r="J853" t="s">
        <v>4790</v>
      </c>
      <c r="K853" t="s">
        <v>3572</v>
      </c>
      <c r="L853" t="s">
        <v>4791</v>
      </c>
      <c r="M853" t="s">
        <v>1460</v>
      </c>
      <c r="N853" t="s">
        <v>4802</v>
      </c>
      <c r="O853" t="s">
        <v>26</v>
      </c>
      <c r="P853">
        <v>6.99</v>
      </c>
      <c r="Q853">
        <v>8.74</v>
      </c>
      <c r="R853">
        <v>6.99</v>
      </c>
      <c r="T853" t="s">
        <v>4803</v>
      </c>
    </row>
    <row r="854" spans="1:20">
      <c r="A854">
        <v>682849</v>
      </c>
      <c r="B854" t="s">
        <v>4804</v>
      </c>
      <c r="C854" t="str">
        <f>"9781551437224"</f>
        <v>9781551437224</v>
      </c>
      <c r="D854" t="str">
        <f>"9781551437248"</f>
        <v>9781551437248</v>
      </c>
      <c r="E854" t="s">
        <v>4668</v>
      </c>
      <c r="F854" t="s">
        <v>4668</v>
      </c>
      <c r="G854" s="1">
        <v>39356</v>
      </c>
      <c r="H854">
        <v>1</v>
      </c>
      <c r="I854" t="s">
        <v>4703</v>
      </c>
      <c r="J854" t="s">
        <v>4790</v>
      </c>
      <c r="K854" t="s">
        <v>3572</v>
      </c>
      <c r="L854" t="s">
        <v>4798</v>
      </c>
      <c r="M854" t="s">
        <v>1460</v>
      </c>
      <c r="N854" t="s">
        <v>4805</v>
      </c>
      <c r="O854" t="s">
        <v>26</v>
      </c>
      <c r="P854">
        <v>6.99</v>
      </c>
      <c r="Q854">
        <v>8.74</v>
      </c>
      <c r="R854">
        <v>6.99</v>
      </c>
      <c r="T854" t="s">
        <v>4806</v>
      </c>
    </row>
    <row r="855" spans="1:20">
      <c r="A855">
        <v>682850</v>
      </c>
      <c r="B855" t="s">
        <v>4807</v>
      </c>
      <c r="C855" t="str">
        <f>"9781551434353"</f>
        <v>9781551434353</v>
      </c>
      <c r="D855" t="str">
        <f>"9781551438139"</f>
        <v>9781551438139</v>
      </c>
      <c r="E855" t="s">
        <v>4668</v>
      </c>
      <c r="F855" t="s">
        <v>4668</v>
      </c>
      <c r="G855" s="1">
        <v>38078</v>
      </c>
      <c r="H855">
        <v>1</v>
      </c>
      <c r="J855" t="s">
        <v>4808</v>
      </c>
      <c r="K855" t="s">
        <v>4809</v>
      </c>
      <c r="L855" t="s">
        <v>4810</v>
      </c>
      <c r="M855">
        <v>34</v>
      </c>
      <c r="N855" t="s">
        <v>4811</v>
      </c>
      <c r="O855" t="s">
        <v>26</v>
      </c>
      <c r="P855">
        <v>9.99</v>
      </c>
      <c r="Q855">
        <v>12.49</v>
      </c>
      <c r="R855">
        <v>9.99</v>
      </c>
      <c r="T855" t="s">
        <v>4812</v>
      </c>
    </row>
    <row r="856" spans="1:20">
      <c r="A856">
        <v>682851</v>
      </c>
      <c r="B856" t="s">
        <v>4813</v>
      </c>
      <c r="C856" t="str">
        <f>"9781551437644"</f>
        <v>9781551437644</v>
      </c>
      <c r="D856" t="str">
        <f>"9781551437620"</f>
        <v>9781551437620</v>
      </c>
      <c r="E856" t="s">
        <v>4668</v>
      </c>
      <c r="F856" t="s">
        <v>4668</v>
      </c>
      <c r="G856" s="1">
        <v>39508</v>
      </c>
      <c r="H856">
        <v>1</v>
      </c>
      <c r="I856" t="s">
        <v>4703</v>
      </c>
      <c r="J856" t="s">
        <v>4814</v>
      </c>
      <c r="K856" t="s">
        <v>3572</v>
      </c>
      <c r="L856" t="s">
        <v>4815</v>
      </c>
      <c r="M856" t="s">
        <v>1509</v>
      </c>
      <c r="N856" t="s">
        <v>4816</v>
      </c>
      <c r="O856" t="s">
        <v>26</v>
      </c>
      <c r="P856">
        <v>6.99</v>
      </c>
      <c r="Q856">
        <v>8.74</v>
      </c>
      <c r="R856">
        <v>6.99</v>
      </c>
      <c r="T856" t="s">
        <v>4817</v>
      </c>
    </row>
    <row r="857" spans="1:20">
      <c r="A857">
        <v>682853</v>
      </c>
      <c r="B857" t="s">
        <v>4818</v>
      </c>
      <c r="C857" t="str">
        <f>"9781551438962"</f>
        <v>9781551438962</v>
      </c>
      <c r="D857" t="str">
        <f>"9781551438986"</f>
        <v>9781551438986</v>
      </c>
      <c r="E857" t="s">
        <v>4668</v>
      </c>
      <c r="F857" t="s">
        <v>4668</v>
      </c>
      <c r="G857" s="1">
        <v>39753</v>
      </c>
      <c r="H857">
        <v>1</v>
      </c>
      <c r="I857" t="s">
        <v>4703</v>
      </c>
      <c r="J857" t="s">
        <v>4819</v>
      </c>
      <c r="K857" t="s">
        <v>3572</v>
      </c>
      <c r="L857" t="s">
        <v>4820</v>
      </c>
      <c r="M857" t="s">
        <v>1460</v>
      </c>
      <c r="N857" t="s">
        <v>4821</v>
      </c>
      <c r="O857" t="s">
        <v>26</v>
      </c>
      <c r="P857">
        <v>6.99</v>
      </c>
      <c r="Q857">
        <v>8.74</v>
      </c>
      <c r="R857">
        <v>6.99</v>
      </c>
      <c r="T857" t="s">
        <v>4822</v>
      </c>
    </row>
    <row r="858" spans="1:20">
      <c r="A858">
        <v>682854</v>
      </c>
      <c r="B858" t="s">
        <v>4823</v>
      </c>
      <c r="C858" t="str">
        <f>"9781551439747"</f>
        <v>9781551439747</v>
      </c>
      <c r="D858" t="str">
        <f>"9781551438894"</f>
        <v>9781551438894</v>
      </c>
      <c r="E858" t="s">
        <v>4668</v>
      </c>
      <c r="F858" t="s">
        <v>4668</v>
      </c>
      <c r="G858" s="1">
        <v>39142</v>
      </c>
      <c r="H858">
        <v>1</v>
      </c>
      <c r="J858" t="s">
        <v>4824</v>
      </c>
      <c r="K858" t="s">
        <v>3572</v>
      </c>
      <c r="L858" t="s">
        <v>4825</v>
      </c>
      <c r="M858" t="s">
        <v>4693</v>
      </c>
      <c r="N858" t="s">
        <v>4826</v>
      </c>
      <c r="O858" t="s">
        <v>26</v>
      </c>
      <c r="P858">
        <v>9.99</v>
      </c>
      <c r="Q858">
        <v>12.49</v>
      </c>
      <c r="R858">
        <v>9.99</v>
      </c>
      <c r="T858" t="s">
        <v>4827</v>
      </c>
    </row>
    <row r="859" spans="1:20">
      <c r="A859">
        <v>682855</v>
      </c>
      <c r="B859" t="s">
        <v>4828</v>
      </c>
      <c r="C859" t="str">
        <f>"9781551433349"</f>
        <v>9781551433349</v>
      </c>
      <c r="D859" t="str">
        <f>"9781551437712"</f>
        <v>9781551437712</v>
      </c>
      <c r="E859" t="s">
        <v>4668</v>
      </c>
      <c r="F859" t="s">
        <v>4668</v>
      </c>
      <c r="G859" s="1">
        <v>38443</v>
      </c>
      <c r="H859">
        <v>1</v>
      </c>
      <c r="I859" t="s">
        <v>4703</v>
      </c>
      <c r="J859" t="s">
        <v>4829</v>
      </c>
      <c r="K859" t="s">
        <v>3572</v>
      </c>
      <c r="L859" t="s">
        <v>4830</v>
      </c>
      <c r="M859" t="s">
        <v>1509</v>
      </c>
      <c r="N859" t="s">
        <v>4831</v>
      </c>
      <c r="O859" t="s">
        <v>26</v>
      </c>
      <c r="P859">
        <v>6.99</v>
      </c>
      <c r="Q859">
        <v>8.74</v>
      </c>
      <c r="R859">
        <v>6.99</v>
      </c>
      <c r="T859" t="s">
        <v>4832</v>
      </c>
    </row>
    <row r="860" spans="1:20">
      <c r="A860">
        <v>682856</v>
      </c>
      <c r="B860" t="s">
        <v>4833</v>
      </c>
      <c r="C860" t="str">
        <f>"9781551437354"</f>
        <v>9781551437354</v>
      </c>
      <c r="D860" t="str">
        <f>"9781551438191"</f>
        <v>9781551438191</v>
      </c>
      <c r="E860" t="s">
        <v>4668</v>
      </c>
      <c r="F860" t="s">
        <v>4668</v>
      </c>
      <c r="G860" s="1">
        <v>38412</v>
      </c>
      <c r="H860">
        <v>1</v>
      </c>
      <c r="J860" t="s">
        <v>4834</v>
      </c>
      <c r="K860" t="s">
        <v>3572</v>
      </c>
      <c r="L860" t="s">
        <v>4835</v>
      </c>
      <c r="M860" t="s">
        <v>1460</v>
      </c>
      <c r="N860" t="s">
        <v>4836</v>
      </c>
      <c r="O860" t="s">
        <v>26</v>
      </c>
      <c r="P860">
        <v>8.99</v>
      </c>
      <c r="Q860">
        <v>11.24</v>
      </c>
      <c r="R860">
        <v>8.99</v>
      </c>
      <c r="T860" t="s">
        <v>4837</v>
      </c>
    </row>
    <row r="861" spans="1:20">
      <c r="A861">
        <v>682857</v>
      </c>
      <c r="B861" t="s">
        <v>4838</v>
      </c>
      <c r="C861" t="str">
        <f>"9781551434087"</f>
        <v>9781551434087</v>
      </c>
      <c r="D861" t="str">
        <f>"9781551437651"</f>
        <v>9781551437651</v>
      </c>
      <c r="E861" t="s">
        <v>4668</v>
      </c>
      <c r="F861" t="s">
        <v>4668</v>
      </c>
      <c r="G861" s="1">
        <v>38777</v>
      </c>
      <c r="H861">
        <v>1</v>
      </c>
      <c r="I861" t="s">
        <v>4703</v>
      </c>
      <c r="J861" t="s">
        <v>4839</v>
      </c>
      <c r="K861" t="s">
        <v>3572</v>
      </c>
      <c r="L861" t="s">
        <v>4840</v>
      </c>
      <c r="M861" t="s">
        <v>1460</v>
      </c>
      <c r="N861" t="s">
        <v>4841</v>
      </c>
      <c r="O861" t="s">
        <v>26</v>
      </c>
      <c r="P861">
        <v>6.99</v>
      </c>
      <c r="Q861">
        <v>8.74</v>
      </c>
      <c r="R861">
        <v>6.99</v>
      </c>
      <c r="T861" t="s">
        <v>4842</v>
      </c>
    </row>
    <row r="862" spans="1:20">
      <c r="A862">
        <v>682858</v>
      </c>
      <c r="B862" t="s">
        <v>4843</v>
      </c>
      <c r="C862" t="str">
        <f>"9781551433295"</f>
        <v>9781551433295</v>
      </c>
      <c r="D862" t="str">
        <f>"9781551437996"</f>
        <v>9781551437996</v>
      </c>
      <c r="E862" t="s">
        <v>4668</v>
      </c>
      <c r="F862" t="s">
        <v>4668</v>
      </c>
      <c r="G862" s="1">
        <v>38961</v>
      </c>
      <c r="H862">
        <v>1</v>
      </c>
      <c r="J862" t="s">
        <v>4844</v>
      </c>
      <c r="K862" t="s">
        <v>3572</v>
      </c>
      <c r="L862" t="s">
        <v>4845</v>
      </c>
      <c r="M862" t="s">
        <v>4693</v>
      </c>
      <c r="N862" t="s">
        <v>4846</v>
      </c>
      <c r="O862" t="s">
        <v>26</v>
      </c>
      <c r="P862">
        <v>19.989999999999998</v>
      </c>
      <c r="Q862">
        <v>24.99</v>
      </c>
      <c r="R862">
        <v>19.989999999999998</v>
      </c>
      <c r="T862" t="s">
        <v>4847</v>
      </c>
    </row>
    <row r="863" spans="1:20">
      <c r="A863">
        <v>682859</v>
      </c>
      <c r="B863" t="s">
        <v>4848</v>
      </c>
      <c r="C863" t="str">
        <f>"9781551433622"</f>
        <v>9781551433622</v>
      </c>
      <c r="D863" t="str">
        <f>"9781551435855"</f>
        <v>9781551435855</v>
      </c>
      <c r="E863" t="s">
        <v>4668</v>
      </c>
      <c r="F863" t="s">
        <v>4668</v>
      </c>
      <c r="G863" s="1">
        <v>38596</v>
      </c>
      <c r="H863">
        <v>1</v>
      </c>
      <c r="I863" t="s">
        <v>4703</v>
      </c>
      <c r="J863" t="s">
        <v>4849</v>
      </c>
      <c r="K863" t="s">
        <v>3572</v>
      </c>
      <c r="L863" t="s">
        <v>4850</v>
      </c>
      <c r="M863" t="s">
        <v>4752</v>
      </c>
      <c r="N863" t="s">
        <v>4851</v>
      </c>
      <c r="O863" t="s">
        <v>26</v>
      </c>
      <c r="P863">
        <v>6.99</v>
      </c>
      <c r="Q863">
        <v>8.74</v>
      </c>
      <c r="R863">
        <v>6.99</v>
      </c>
      <c r="T863" t="s">
        <v>4852</v>
      </c>
    </row>
    <row r="864" spans="1:20">
      <c r="A864">
        <v>682860</v>
      </c>
      <c r="B864" t="s">
        <v>4853</v>
      </c>
      <c r="C864" t="str">
        <f>"9781551436326"</f>
        <v>9781551436326</v>
      </c>
      <c r="D864" t="str">
        <f>"9781551436340"</f>
        <v>9781551436340</v>
      </c>
      <c r="E864" t="s">
        <v>4668</v>
      </c>
      <c r="F864" t="s">
        <v>4668</v>
      </c>
      <c r="G864" s="1">
        <v>39508</v>
      </c>
      <c r="H864">
        <v>1</v>
      </c>
      <c r="I864" t="s">
        <v>4703</v>
      </c>
      <c r="J864" t="s">
        <v>4849</v>
      </c>
      <c r="K864" t="s">
        <v>3572</v>
      </c>
      <c r="L864" t="s">
        <v>4854</v>
      </c>
      <c r="M864" t="s">
        <v>1460</v>
      </c>
      <c r="N864" t="s">
        <v>4855</v>
      </c>
      <c r="O864" t="s">
        <v>26</v>
      </c>
      <c r="P864">
        <v>6.99</v>
      </c>
      <c r="Q864">
        <v>8.74</v>
      </c>
      <c r="R864">
        <v>6.99</v>
      </c>
      <c r="T864" t="s">
        <v>4856</v>
      </c>
    </row>
    <row r="865" spans="1:20">
      <c r="A865">
        <v>682861</v>
      </c>
      <c r="B865" t="s">
        <v>4857</v>
      </c>
      <c r="C865" t="str">
        <f>"9781551433240"</f>
        <v>9781551433240</v>
      </c>
      <c r="D865" t="str">
        <f>"9781551437576"</f>
        <v>9781551437576</v>
      </c>
      <c r="E865" t="s">
        <v>4668</v>
      </c>
      <c r="F865" t="s">
        <v>4668</v>
      </c>
      <c r="G865" s="1">
        <v>38231</v>
      </c>
      <c r="H865">
        <v>1</v>
      </c>
      <c r="I865" t="s">
        <v>4703</v>
      </c>
      <c r="J865" t="s">
        <v>4849</v>
      </c>
      <c r="K865" t="s">
        <v>1464</v>
      </c>
      <c r="L865" t="s">
        <v>4858</v>
      </c>
      <c r="M865" t="s">
        <v>1460</v>
      </c>
      <c r="N865" t="s">
        <v>4859</v>
      </c>
      <c r="O865" t="s">
        <v>26</v>
      </c>
      <c r="P865">
        <v>6.99</v>
      </c>
      <c r="Q865">
        <v>8.74</v>
      </c>
      <c r="R865">
        <v>6.99</v>
      </c>
      <c r="T865" t="s">
        <v>4860</v>
      </c>
    </row>
    <row r="866" spans="1:20">
      <c r="A866">
        <v>682862</v>
      </c>
      <c r="B866" t="s">
        <v>4861</v>
      </c>
      <c r="C866" t="str">
        <f>"9781551432946"</f>
        <v>9781551432946</v>
      </c>
      <c r="D866" t="str">
        <f>"9781551437675"</f>
        <v>9781551437675</v>
      </c>
      <c r="E866" t="s">
        <v>4668</v>
      </c>
      <c r="F866" t="s">
        <v>4668</v>
      </c>
      <c r="G866" s="1">
        <v>38078</v>
      </c>
      <c r="H866">
        <v>1</v>
      </c>
      <c r="I866" t="s">
        <v>4703</v>
      </c>
      <c r="J866" t="s">
        <v>4849</v>
      </c>
      <c r="K866" t="s">
        <v>1458</v>
      </c>
      <c r="L866" t="s">
        <v>4862</v>
      </c>
      <c r="M866" t="s">
        <v>1460</v>
      </c>
      <c r="N866" t="s">
        <v>4863</v>
      </c>
      <c r="O866" t="s">
        <v>26</v>
      </c>
      <c r="P866">
        <v>6.99</v>
      </c>
      <c r="Q866">
        <v>8.74</v>
      </c>
      <c r="R866">
        <v>6.99</v>
      </c>
      <c r="T866" t="s">
        <v>4864</v>
      </c>
    </row>
    <row r="867" spans="1:20">
      <c r="A867">
        <v>682863</v>
      </c>
      <c r="B867" t="s">
        <v>4865</v>
      </c>
      <c r="C867" t="str">
        <f>"9781551432922"</f>
        <v>9781551432922</v>
      </c>
      <c r="D867" t="str">
        <f>"9781551437590"</f>
        <v>9781551437590</v>
      </c>
      <c r="E867" t="s">
        <v>4668</v>
      </c>
      <c r="F867" t="s">
        <v>4668</v>
      </c>
      <c r="G867" s="1">
        <v>38078</v>
      </c>
      <c r="H867">
        <v>1</v>
      </c>
      <c r="I867" t="s">
        <v>4703</v>
      </c>
      <c r="J867" t="s">
        <v>4866</v>
      </c>
      <c r="K867" t="s">
        <v>1458</v>
      </c>
      <c r="L867" t="s">
        <v>4867</v>
      </c>
      <c r="M867" t="s">
        <v>1460</v>
      </c>
      <c r="N867" t="s">
        <v>4868</v>
      </c>
      <c r="O867" t="s">
        <v>26</v>
      </c>
      <c r="P867">
        <v>6.99</v>
      </c>
      <c r="Q867">
        <v>8.74</v>
      </c>
      <c r="R867">
        <v>6.99</v>
      </c>
      <c r="T867" t="s">
        <v>4869</v>
      </c>
    </row>
    <row r="868" spans="1:20">
      <c r="A868">
        <v>682864</v>
      </c>
      <c r="B868" t="s">
        <v>4870</v>
      </c>
      <c r="C868" t="str">
        <f>"9781551434773"</f>
        <v>9781551434773</v>
      </c>
      <c r="D868" t="str">
        <f>"9781551434797"</f>
        <v>9781551434797</v>
      </c>
      <c r="E868" t="s">
        <v>4668</v>
      </c>
      <c r="F868" t="s">
        <v>4668</v>
      </c>
      <c r="G868" s="1">
        <v>39356</v>
      </c>
      <c r="H868">
        <v>1</v>
      </c>
      <c r="I868" t="s">
        <v>4703</v>
      </c>
      <c r="J868" t="s">
        <v>4871</v>
      </c>
      <c r="K868" t="s">
        <v>3572</v>
      </c>
      <c r="L868" t="s">
        <v>4872</v>
      </c>
      <c r="M868" t="s">
        <v>1460</v>
      </c>
      <c r="N868" t="s">
        <v>4873</v>
      </c>
      <c r="O868" t="s">
        <v>26</v>
      </c>
      <c r="P868">
        <v>6.99</v>
      </c>
      <c r="Q868">
        <v>8.74</v>
      </c>
      <c r="R868">
        <v>6.99</v>
      </c>
      <c r="T868" t="s">
        <v>4874</v>
      </c>
    </row>
    <row r="869" spans="1:20">
      <c r="A869">
        <v>682865</v>
      </c>
      <c r="B869" t="s">
        <v>4875</v>
      </c>
      <c r="C869" t="str">
        <f>"9781554691609"</f>
        <v>9781554691609</v>
      </c>
      <c r="D869" t="str">
        <f>"9781554691616"</f>
        <v>9781554691616</v>
      </c>
      <c r="E869" t="s">
        <v>4668</v>
      </c>
      <c r="F869" t="s">
        <v>4668</v>
      </c>
      <c r="G869" s="1">
        <v>41518</v>
      </c>
      <c r="H869">
        <v>1</v>
      </c>
      <c r="I869" t="s">
        <v>4703</v>
      </c>
      <c r="J869" t="s">
        <v>4876</v>
      </c>
      <c r="K869" t="s">
        <v>3572</v>
      </c>
      <c r="L869" t="s">
        <v>4877</v>
      </c>
      <c r="M869" t="s">
        <v>1460</v>
      </c>
      <c r="N869" t="s">
        <v>4878</v>
      </c>
      <c r="O869" t="s">
        <v>26</v>
      </c>
      <c r="P869">
        <v>6.99</v>
      </c>
      <c r="Q869">
        <v>8.74</v>
      </c>
      <c r="R869">
        <v>6.99</v>
      </c>
      <c r="T869" t="s">
        <v>4879</v>
      </c>
    </row>
    <row r="870" spans="1:20">
      <c r="A870">
        <v>682866</v>
      </c>
      <c r="B870" t="s">
        <v>4880</v>
      </c>
      <c r="C870" t="str">
        <f>"9781551434063"</f>
        <v>9781551434063</v>
      </c>
      <c r="D870" t="str">
        <f>"9781551437736"</f>
        <v>9781551437736</v>
      </c>
      <c r="E870" t="s">
        <v>4668</v>
      </c>
      <c r="F870" t="s">
        <v>4668</v>
      </c>
      <c r="G870" s="1">
        <v>38777</v>
      </c>
      <c r="H870">
        <v>1</v>
      </c>
      <c r="I870" t="s">
        <v>4703</v>
      </c>
      <c r="J870" t="s">
        <v>4881</v>
      </c>
      <c r="K870" t="s">
        <v>3572</v>
      </c>
      <c r="L870" t="s">
        <v>4882</v>
      </c>
      <c r="M870" t="s">
        <v>4883</v>
      </c>
      <c r="N870" t="s">
        <v>4884</v>
      </c>
      <c r="O870" t="s">
        <v>26</v>
      </c>
      <c r="P870">
        <v>6.99</v>
      </c>
      <c r="Q870">
        <v>8.74</v>
      </c>
      <c r="R870">
        <v>6.99</v>
      </c>
      <c r="T870" t="s">
        <v>4885</v>
      </c>
    </row>
    <row r="871" spans="1:20">
      <c r="A871">
        <v>682867</v>
      </c>
      <c r="B871" t="s">
        <v>4886</v>
      </c>
      <c r="C871" t="str">
        <f>"9781551433332"</f>
        <v>9781551433332</v>
      </c>
      <c r="D871" t="str">
        <f>"9781551438054"</f>
        <v>9781551438054</v>
      </c>
      <c r="E871" t="s">
        <v>4668</v>
      </c>
      <c r="F871" t="s">
        <v>4668</v>
      </c>
      <c r="G871" s="1">
        <v>38777</v>
      </c>
      <c r="H871">
        <v>1</v>
      </c>
      <c r="J871" t="s">
        <v>4887</v>
      </c>
      <c r="K871" t="s">
        <v>3572</v>
      </c>
      <c r="L871" t="s">
        <v>4888</v>
      </c>
      <c r="M871" t="s">
        <v>1460</v>
      </c>
      <c r="N871" t="s">
        <v>4889</v>
      </c>
      <c r="O871" t="s">
        <v>26</v>
      </c>
      <c r="P871">
        <v>19.989999999999998</v>
      </c>
      <c r="Q871">
        <v>24.99</v>
      </c>
      <c r="R871">
        <v>19.989999999999998</v>
      </c>
      <c r="T871" t="s">
        <v>4890</v>
      </c>
    </row>
    <row r="872" spans="1:20">
      <c r="A872">
        <v>682868</v>
      </c>
      <c r="B872" t="s">
        <v>4891</v>
      </c>
      <c r="C872" t="str">
        <f>"9781551433523"</f>
        <v>9781551433523</v>
      </c>
      <c r="D872" t="str">
        <f>"9781551438016"</f>
        <v>9781551438016</v>
      </c>
      <c r="E872" t="s">
        <v>4668</v>
      </c>
      <c r="F872" t="s">
        <v>4668</v>
      </c>
      <c r="G872" s="1">
        <v>38777</v>
      </c>
      <c r="H872">
        <v>1</v>
      </c>
      <c r="J872" t="s">
        <v>4892</v>
      </c>
      <c r="K872" t="s">
        <v>3572</v>
      </c>
      <c r="L872" t="s">
        <v>4893</v>
      </c>
      <c r="M872" t="s">
        <v>1509</v>
      </c>
      <c r="N872" t="s">
        <v>4894</v>
      </c>
      <c r="O872" t="s">
        <v>26</v>
      </c>
      <c r="P872">
        <v>14.99</v>
      </c>
      <c r="Q872">
        <v>18.739999999999998</v>
      </c>
      <c r="R872">
        <v>14.99</v>
      </c>
      <c r="T872" t="s">
        <v>4895</v>
      </c>
    </row>
    <row r="873" spans="1:20">
      <c r="A873">
        <v>682869</v>
      </c>
      <c r="B873" t="s">
        <v>4896</v>
      </c>
      <c r="C873" t="str">
        <f>"9781551439501"</f>
        <v>9781551439501</v>
      </c>
      <c r="D873" t="str">
        <f>"9781551439525"</f>
        <v>9781551439525</v>
      </c>
      <c r="E873" t="s">
        <v>4668</v>
      </c>
      <c r="F873" t="s">
        <v>4668</v>
      </c>
      <c r="G873" s="1">
        <v>39508</v>
      </c>
      <c r="H873">
        <v>1</v>
      </c>
      <c r="I873" t="s">
        <v>4703</v>
      </c>
      <c r="J873" t="s">
        <v>4897</v>
      </c>
      <c r="K873" t="s">
        <v>3572</v>
      </c>
      <c r="L873" t="s">
        <v>4898</v>
      </c>
      <c r="M873" t="s">
        <v>1460</v>
      </c>
      <c r="N873" t="s">
        <v>4899</v>
      </c>
      <c r="O873" t="s">
        <v>26</v>
      </c>
      <c r="P873">
        <v>6.99</v>
      </c>
      <c r="Q873">
        <v>8.74</v>
      </c>
      <c r="R873">
        <v>6.99</v>
      </c>
      <c r="T873" t="s">
        <v>4900</v>
      </c>
    </row>
    <row r="874" spans="1:20">
      <c r="A874">
        <v>682870</v>
      </c>
      <c r="B874" t="s">
        <v>4901</v>
      </c>
      <c r="C874" t="str">
        <f>"9781551436579"</f>
        <v>9781551436579</v>
      </c>
      <c r="D874" t="str">
        <f>"9781551436593"</f>
        <v>9781551436593</v>
      </c>
      <c r="E874" t="s">
        <v>4668</v>
      </c>
      <c r="F874" t="s">
        <v>4668</v>
      </c>
      <c r="G874" s="1">
        <v>39142</v>
      </c>
      <c r="H874">
        <v>1</v>
      </c>
      <c r="I874" t="s">
        <v>4703</v>
      </c>
      <c r="J874" t="s">
        <v>4897</v>
      </c>
      <c r="K874" t="s">
        <v>3572</v>
      </c>
      <c r="L874" t="s">
        <v>4902</v>
      </c>
      <c r="M874" t="s">
        <v>1460</v>
      </c>
      <c r="N874" t="s">
        <v>4903</v>
      </c>
      <c r="O874" t="s">
        <v>26</v>
      </c>
      <c r="P874">
        <v>6.99</v>
      </c>
      <c r="Q874">
        <v>8.74</v>
      </c>
      <c r="R874">
        <v>6.99</v>
      </c>
      <c r="T874" t="s">
        <v>4904</v>
      </c>
    </row>
    <row r="875" spans="1:20">
      <c r="A875">
        <v>682871</v>
      </c>
      <c r="B875" t="s">
        <v>4905</v>
      </c>
      <c r="C875" t="str">
        <f>"9781551434667"</f>
        <v>9781551434667</v>
      </c>
      <c r="D875" t="str">
        <f>"9781551434681"</f>
        <v>9781551434681</v>
      </c>
      <c r="E875" t="s">
        <v>4668</v>
      </c>
      <c r="F875" t="s">
        <v>4668</v>
      </c>
      <c r="G875" s="1">
        <v>38777</v>
      </c>
      <c r="H875">
        <v>1</v>
      </c>
      <c r="I875" t="s">
        <v>4703</v>
      </c>
      <c r="J875" t="s">
        <v>4897</v>
      </c>
      <c r="K875" t="s">
        <v>3572</v>
      </c>
      <c r="L875" t="s">
        <v>4906</v>
      </c>
      <c r="M875" t="s">
        <v>1460</v>
      </c>
      <c r="N875" t="s">
        <v>4907</v>
      </c>
      <c r="O875" t="s">
        <v>26</v>
      </c>
      <c r="P875">
        <v>6.99</v>
      </c>
      <c r="Q875">
        <v>8.74</v>
      </c>
      <c r="R875">
        <v>6.99</v>
      </c>
      <c r="T875" t="s">
        <v>4908</v>
      </c>
    </row>
    <row r="876" spans="1:20">
      <c r="A876">
        <v>682872</v>
      </c>
      <c r="B876" t="s">
        <v>4909</v>
      </c>
      <c r="C876" t="str">
        <f>"9781551433226"</f>
        <v>9781551433226</v>
      </c>
      <c r="D876" t="str">
        <f>"9781551437637"</f>
        <v>9781551437637</v>
      </c>
      <c r="E876" t="s">
        <v>4668</v>
      </c>
      <c r="F876" t="s">
        <v>4668</v>
      </c>
      <c r="G876" s="1">
        <v>38231</v>
      </c>
      <c r="H876">
        <v>1</v>
      </c>
      <c r="I876" t="s">
        <v>4703</v>
      </c>
      <c r="J876" t="s">
        <v>4897</v>
      </c>
      <c r="K876" t="s">
        <v>1464</v>
      </c>
      <c r="L876" t="s">
        <v>4910</v>
      </c>
      <c r="M876" t="s">
        <v>1460</v>
      </c>
      <c r="N876" t="s">
        <v>4911</v>
      </c>
      <c r="O876" t="s">
        <v>26</v>
      </c>
      <c r="P876">
        <v>6.99</v>
      </c>
      <c r="Q876">
        <v>8.74</v>
      </c>
      <c r="R876">
        <v>6.99</v>
      </c>
      <c r="T876" t="s">
        <v>4912</v>
      </c>
    </row>
    <row r="877" spans="1:20">
      <c r="A877">
        <v>682873</v>
      </c>
      <c r="B877" t="s">
        <v>4913</v>
      </c>
      <c r="C877" t="str">
        <f>"9781551433530"</f>
        <v>9781551433530</v>
      </c>
      <c r="D877" t="str">
        <f>"9781551436128"</f>
        <v>9781551436128</v>
      </c>
      <c r="E877" t="s">
        <v>4668</v>
      </c>
      <c r="F877" t="s">
        <v>4668</v>
      </c>
      <c r="G877" s="1">
        <v>38777</v>
      </c>
      <c r="H877">
        <v>1</v>
      </c>
      <c r="I877" t="s">
        <v>4703</v>
      </c>
      <c r="J877" t="s">
        <v>4914</v>
      </c>
      <c r="K877" t="s">
        <v>3572</v>
      </c>
      <c r="L877" t="s">
        <v>4915</v>
      </c>
      <c r="M877" t="s">
        <v>1460</v>
      </c>
      <c r="N877" t="s">
        <v>4916</v>
      </c>
      <c r="O877" t="s">
        <v>26</v>
      </c>
      <c r="P877">
        <v>6.99</v>
      </c>
      <c r="Q877">
        <v>8.74</v>
      </c>
      <c r="R877">
        <v>6.99</v>
      </c>
      <c r="T877" t="s">
        <v>4917</v>
      </c>
    </row>
    <row r="878" spans="1:20">
      <c r="A878">
        <v>682874</v>
      </c>
      <c r="B878" t="s">
        <v>4918</v>
      </c>
      <c r="C878" t="str">
        <f>"9781554691531"</f>
        <v>9781554691531</v>
      </c>
      <c r="D878" t="str">
        <f>"9781554691999"</f>
        <v>9781554691999</v>
      </c>
      <c r="E878" t="s">
        <v>4668</v>
      </c>
      <c r="F878" t="s">
        <v>4668</v>
      </c>
      <c r="G878" s="1">
        <v>41518</v>
      </c>
      <c r="H878">
        <v>1</v>
      </c>
      <c r="I878" t="s">
        <v>4703</v>
      </c>
      <c r="J878" t="s">
        <v>4919</v>
      </c>
      <c r="K878" t="s">
        <v>3572</v>
      </c>
      <c r="L878" t="s">
        <v>4920</v>
      </c>
      <c r="M878" t="s">
        <v>1509</v>
      </c>
      <c r="N878" t="s">
        <v>4921</v>
      </c>
      <c r="O878" t="s">
        <v>26</v>
      </c>
      <c r="P878">
        <v>6.99</v>
      </c>
      <c r="Q878">
        <v>8.74</v>
      </c>
      <c r="R878">
        <v>6.99</v>
      </c>
      <c r="T878" t="s">
        <v>4922</v>
      </c>
    </row>
    <row r="879" spans="1:20">
      <c r="A879">
        <v>682875</v>
      </c>
      <c r="B879" t="s">
        <v>4923</v>
      </c>
      <c r="C879" t="str">
        <f>"9781554692057"</f>
        <v>9781554692057</v>
      </c>
      <c r="D879" t="str">
        <f>"9781554692071"</f>
        <v>9781554692071</v>
      </c>
      <c r="E879" t="s">
        <v>4668</v>
      </c>
      <c r="F879" t="s">
        <v>4668</v>
      </c>
      <c r="G879" s="1">
        <v>41470</v>
      </c>
      <c r="H879">
        <v>1</v>
      </c>
      <c r="J879" t="s">
        <v>4924</v>
      </c>
      <c r="K879" t="s">
        <v>155</v>
      </c>
      <c r="L879" t="s">
        <v>4925</v>
      </c>
      <c r="M879" t="s">
        <v>4926</v>
      </c>
      <c r="N879" t="s">
        <v>4927</v>
      </c>
      <c r="O879" t="s">
        <v>26</v>
      </c>
      <c r="P879">
        <v>18.989999999999998</v>
      </c>
      <c r="Q879">
        <v>23.74</v>
      </c>
      <c r="R879">
        <v>18.989999999999998</v>
      </c>
      <c r="T879" t="s">
        <v>4928</v>
      </c>
    </row>
    <row r="880" spans="1:20">
      <c r="A880">
        <v>682876</v>
      </c>
      <c r="B880" t="s">
        <v>4929</v>
      </c>
      <c r="C880" t="str">
        <f>"9781551438634"</f>
        <v>9781551438634</v>
      </c>
      <c r="D880" t="str">
        <f>"9781551434537"</f>
        <v>9781551434537</v>
      </c>
      <c r="E880" t="s">
        <v>4668</v>
      </c>
      <c r="F880" t="s">
        <v>4668</v>
      </c>
      <c r="G880" s="1">
        <v>38961</v>
      </c>
      <c r="H880">
        <v>1</v>
      </c>
      <c r="J880" t="s">
        <v>4930</v>
      </c>
      <c r="K880" t="s">
        <v>3572</v>
      </c>
      <c r="L880" t="s">
        <v>4931</v>
      </c>
      <c r="M880" t="s">
        <v>3612</v>
      </c>
      <c r="N880" t="s">
        <v>4932</v>
      </c>
      <c r="O880" t="s">
        <v>26</v>
      </c>
      <c r="P880">
        <v>9.99</v>
      </c>
      <c r="Q880">
        <v>12.49</v>
      </c>
      <c r="R880">
        <v>9.99</v>
      </c>
      <c r="T880" t="s">
        <v>4933</v>
      </c>
    </row>
    <row r="881" spans="1:20">
      <c r="A881">
        <v>682877</v>
      </c>
      <c r="B881" t="s">
        <v>4934</v>
      </c>
      <c r="C881" t="str">
        <f>"9781554690817"</f>
        <v>9781554690817</v>
      </c>
      <c r="D881" t="str">
        <f>"9781554690824"</f>
        <v>9781554690824</v>
      </c>
      <c r="E881" t="s">
        <v>4668</v>
      </c>
      <c r="F881" t="s">
        <v>4668</v>
      </c>
      <c r="G881" s="1">
        <v>40087</v>
      </c>
      <c r="H881">
        <v>1</v>
      </c>
      <c r="J881" t="s">
        <v>4930</v>
      </c>
      <c r="K881" t="s">
        <v>4809</v>
      </c>
      <c r="L881" t="s">
        <v>4935</v>
      </c>
      <c r="M881">
        <v>34</v>
      </c>
      <c r="N881" t="s">
        <v>4936</v>
      </c>
      <c r="O881" t="s">
        <v>26</v>
      </c>
      <c r="P881">
        <v>19.989999999999998</v>
      </c>
      <c r="Q881">
        <v>24.99</v>
      </c>
      <c r="R881">
        <v>19.989999999999998</v>
      </c>
      <c r="T881" t="s">
        <v>4937</v>
      </c>
    </row>
    <row r="882" spans="1:20">
      <c r="A882">
        <v>682878</v>
      </c>
      <c r="B882" t="s">
        <v>4938</v>
      </c>
      <c r="C882" t="str">
        <f>"9781551433561"</f>
        <v>9781551433561</v>
      </c>
      <c r="D882" t="str">
        <f>"9781551437699"</f>
        <v>9781551437699</v>
      </c>
      <c r="E882" t="s">
        <v>4668</v>
      </c>
      <c r="F882" t="s">
        <v>4668</v>
      </c>
      <c r="G882" s="1">
        <v>38443</v>
      </c>
      <c r="H882">
        <v>1</v>
      </c>
      <c r="I882" t="s">
        <v>4703</v>
      </c>
      <c r="J882" t="s">
        <v>4939</v>
      </c>
      <c r="K882" t="s">
        <v>3572</v>
      </c>
      <c r="L882" t="s">
        <v>4940</v>
      </c>
      <c r="M882">
        <v>813.54</v>
      </c>
      <c r="N882" t="s">
        <v>4941</v>
      </c>
      <c r="O882" t="s">
        <v>26</v>
      </c>
      <c r="P882">
        <v>6.99</v>
      </c>
      <c r="Q882">
        <v>8.74</v>
      </c>
      <c r="R882">
        <v>6.99</v>
      </c>
      <c r="T882" t="s">
        <v>4942</v>
      </c>
    </row>
    <row r="883" spans="1:20">
      <c r="A883">
        <v>682879</v>
      </c>
      <c r="B883" t="s">
        <v>4943</v>
      </c>
      <c r="C883" t="str">
        <f>"9781551438610"</f>
        <v>9781551438610</v>
      </c>
      <c r="D883" t="str">
        <f>"9781551434414"</f>
        <v>9781551434414</v>
      </c>
      <c r="E883" t="s">
        <v>4668</v>
      </c>
      <c r="F883" t="s">
        <v>4668</v>
      </c>
      <c r="G883" s="1">
        <v>38961</v>
      </c>
      <c r="H883">
        <v>1</v>
      </c>
      <c r="J883" t="s">
        <v>4944</v>
      </c>
      <c r="K883" t="s">
        <v>4809</v>
      </c>
      <c r="L883" t="s">
        <v>4945</v>
      </c>
      <c r="M883">
        <v>34</v>
      </c>
      <c r="N883" t="s">
        <v>4946</v>
      </c>
      <c r="O883" t="s">
        <v>26</v>
      </c>
      <c r="P883">
        <v>8.99</v>
      </c>
      <c r="Q883">
        <v>11.24</v>
      </c>
      <c r="R883">
        <v>8.99</v>
      </c>
      <c r="T883" t="s">
        <v>4947</v>
      </c>
    </row>
    <row r="884" spans="1:20">
      <c r="A884">
        <v>682880</v>
      </c>
      <c r="B884" t="s">
        <v>4948</v>
      </c>
      <c r="C884" t="str">
        <f>"9781554691098"</f>
        <v>9781554691098</v>
      </c>
      <c r="D884" t="str">
        <f>"9781554691104"</f>
        <v>9781554691104</v>
      </c>
      <c r="E884" t="s">
        <v>4668</v>
      </c>
      <c r="F884" t="s">
        <v>4668</v>
      </c>
      <c r="G884" s="1">
        <v>40269</v>
      </c>
      <c r="H884">
        <v>1</v>
      </c>
      <c r="I884" t="s">
        <v>4703</v>
      </c>
      <c r="J884" t="s">
        <v>4949</v>
      </c>
      <c r="K884" t="s">
        <v>3572</v>
      </c>
      <c r="L884" t="s">
        <v>4950</v>
      </c>
      <c r="M884" t="s">
        <v>1460</v>
      </c>
      <c r="N884" t="s">
        <v>4951</v>
      </c>
      <c r="O884" t="s">
        <v>26</v>
      </c>
      <c r="P884">
        <v>6.99</v>
      </c>
      <c r="Q884">
        <v>8.74</v>
      </c>
      <c r="R884">
        <v>6.99</v>
      </c>
      <c r="T884" t="s">
        <v>4952</v>
      </c>
    </row>
    <row r="885" spans="1:20">
      <c r="A885">
        <v>682881</v>
      </c>
      <c r="B885" t="s">
        <v>4953</v>
      </c>
      <c r="C885" t="str">
        <f>"9781554691074"</f>
        <v>9781554691074</v>
      </c>
      <c r="D885" t="str">
        <f>"9781554691081"</f>
        <v>9781554691081</v>
      </c>
      <c r="E885" t="s">
        <v>4668</v>
      </c>
      <c r="F885" t="s">
        <v>4668</v>
      </c>
      <c r="G885" s="1">
        <v>41518</v>
      </c>
      <c r="H885">
        <v>1</v>
      </c>
      <c r="I885" t="s">
        <v>4703</v>
      </c>
      <c r="J885" t="s">
        <v>4949</v>
      </c>
      <c r="K885" t="s">
        <v>3572</v>
      </c>
      <c r="L885" t="s">
        <v>4954</v>
      </c>
      <c r="M885" t="s">
        <v>1460</v>
      </c>
      <c r="N885" t="s">
        <v>4955</v>
      </c>
      <c r="O885" t="s">
        <v>26</v>
      </c>
      <c r="P885">
        <v>6.99</v>
      </c>
      <c r="Q885">
        <v>8.74</v>
      </c>
      <c r="R885">
        <v>6.99</v>
      </c>
      <c r="T885" t="s">
        <v>4956</v>
      </c>
    </row>
    <row r="886" spans="1:20">
      <c r="A886">
        <v>682882</v>
      </c>
      <c r="B886" t="s">
        <v>4957</v>
      </c>
      <c r="C886" t="str">
        <f>"9781551437347"</f>
        <v>9781551437347</v>
      </c>
      <c r="D886" t="str">
        <f>"9781551436913"</f>
        <v>9781551436913</v>
      </c>
      <c r="E886" t="s">
        <v>4668</v>
      </c>
      <c r="F886" t="s">
        <v>4668</v>
      </c>
      <c r="G886" s="1">
        <v>39934</v>
      </c>
      <c r="H886">
        <v>1</v>
      </c>
      <c r="I886" t="s">
        <v>4703</v>
      </c>
      <c r="J886" t="s">
        <v>4949</v>
      </c>
      <c r="K886" t="s">
        <v>3572</v>
      </c>
      <c r="L886" t="s">
        <v>4958</v>
      </c>
      <c r="M886" t="s">
        <v>1460</v>
      </c>
      <c r="N886" t="s">
        <v>4959</v>
      </c>
      <c r="O886" t="s">
        <v>26</v>
      </c>
      <c r="P886">
        <v>6.99</v>
      </c>
      <c r="Q886">
        <v>8.74</v>
      </c>
      <c r="R886">
        <v>6.99</v>
      </c>
      <c r="T886" t="s">
        <v>4960</v>
      </c>
    </row>
    <row r="887" spans="1:20">
      <c r="A887">
        <v>682883</v>
      </c>
      <c r="B887" t="s">
        <v>4961</v>
      </c>
      <c r="C887" t="str">
        <f>"9781551433257"</f>
        <v>9781551433257</v>
      </c>
      <c r="D887" t="str">
        <f>"9781551437958"</f>
        <v>9781551437958</v>
      </c>
      <c r="E887" t="s">
        <v>4668</v>
      </c>
      <c r="F887" t="s">
        <v>4668</v>
      </c>
      <c r="G887" s="1">
        <v>38443</v>
      </c>
      <c r="H887">
        <v>1</v>
      </c>
      <c r="J887" t="s">
        <v>4962</v>
      </c>
      <c r="K887" t="s">
        <v>4777</v>
      </c>
      <c r="L887" t="s">
        <v>4963</v>
      </c>
      <c r="M887">
        <v>34</v>
      </c>
      <c r="N887" t="s">
        <v>4964</v>
      </c>
      <c r="O887" t="s">
        <v>26</v>
      </c>
      <c r="P887">
        <v>14.99</v>
      </c>
      <c r="Q887">
        <v>18.739999999999998</v>
      </c>
      <c r="R887">
        <v>14.99</v>
      </c>
      <c r="T887" t="s">
        <v>4965</v>
      </c>
    </row>
    <row r="888" spans="1:20">
      <c r="A888">
        <v>682884</v>
      </c>
      <c r="B888" t="s">
        <v>4966</v>
      </c>
      <c r="C888" t="str">
        <f>"9781551433660"</f>
        <v>9781551433660</v>
      </c>
      <c r="D888" t="str">
        <f>"9781551437774"</f>
        <v>9781551437774</v>
      </c>
      <c r="E888" t="s">
        <v>4668</v>
      </c>
      <c r="F888" t="s">
        <v>4668</v>
      </c>
      <c r="G888" s="1">
        <v>38443</v>
      </c>
      <c r="H888">
        <v>1</v>
      </c>
      <c r="I888" t="s">
        <v>4703</v>
      </c>
      <c r="J888" t="s">
        <v>4967</v>
      </c>
      <c r="K888" t="s">
        <v>3572</v>
      </c>
      <c r="L888" t="s">
        <v>4968</v>
      </c>
      <c r="M888" t="s">
        <v>1460</v>
      </c>
      <c r="N888" t="s">
        <v>4969</v>
      </c>
      <c r="O888" t="s">
        <v>26</v>
      </c>
      <c r="P888">
        <v>6.99</v>
      </c>
      <c r="Q888">
        <v>8.74</v>
      </c>
      <c r="R888">
        <v>6.99</v>
      </c>
      <c r="T888" t="s">
        <v>4970</v>
      </c>
    </row>
    <row r="889" spans="1:20">
      <c r="A889">
        <v>682885</v>
      </c>
      <c r="B889" t="s">
        <v>4971</v>
      </c>
      <c r="C889" t="str">
        <f>"9781551434650"</f>
        <v>9781551434650</v>
      </c>
      <c r="D889" t="str">
        <f>"9781551434674"</f>
        <v>9781551434674</v>
      </c>
      <c r="E889" t="s">
        <v>4668</v>
      </c>
      <c r="F889" t="s">
        <v>4668</v>
      </c>
      <c r="G889" s="1">
        <v>39142</v>
      </c>
      <c r="H889">
        <v>1</v>
      </c>
      <c r="I889" t="s">
        <v>4703</v>
      </c>
      <c r="J889" t="s">
        <v>4972</v>
      </c>
      <c r="K889" t="s">
        <v>3572</v>
      </c>
      <c r="L889" t="s">
        <v>4973</v>
      </c>
      <c r="M889" t="s">
        <v>1509</v>
      </c>
      <c r="N889" t="s">
        <v>4974</v>
      </c>
      <c r="O889" t="s">
        <v>26</v>
      </c>
      <c r="P889">
        <v>6.99</v>
      </c>
      <c r="Q889">
        <v>8.74</v>
      </c>
      <c r="R889">
        <v>6.99</v>
      </c>
      <c r="T889" t="s">
        <v>4975</v>
      </c>
    </row>
    <row r="890" spans="1:20">
      <c r="A890">
        <v>682886</v>
      </c>
      <c r="B890" t="s">
        <v>4976</v>
      </c>
      <c r="C890" t="str">
        <f>"9781551439419"</f>
        <v>9781551439419</v>
      </c>
      <c r="D890" t="str">
        <f>"9781551439433"</f>
        <v>9781551439433</v>
      </c>
      <c r="E890" t="s">
        <v>4668</v>
      </c>
      <c r="F890" t="s">
        <v>4668</v>
      </c>
      <c r="G890" s="1">
        <v>39753</v>
      </c>
      <c r="H890">
        <v>1</v>
      </c>
      <c r="I890" t="s">
        <v>4703</v>
      </c>
      <c r="J890" t="s">
        <v>4977</v>
      </c>
      <c r="K890" t="s">
        <v>3572</v>
      </c>
      <c r="L890" t="s">
        <v>4978</v>
      </c>
      <c r="M890" t="s">
        <v>1509</v>
      </c>
      <c r="N890" t="s">
        <v>4979</v>
      </c>
      <c r="O890" t="s">
        <v>26</v>
      </c>
      <c r="P890">
        <v>6.99</v>
      </c>
      <c r="Q890">
        <v>8.74</v>
      </c>
      <c r="R890">
        <v>6.99</v>
      </c>
      <c r="T890" t="s">
        <v>4980</v>
      </c>
    </row>
    <row r="891" spans="1:20">
      <c r="A891">
        <v>682887</v>
      </c>
      <c r="B891" t="s">
        <v>4981</v>
      </c>
      <c r="C891" t="str">
        <f>"9781551436364"</f>
        <v>9781551436364</v>
      </c>
      <c r="D891" t="str">
        <f>"9781551436388"</f>
        <v>9781551436388</v>
      </c>
      <c r="E891" t="s">
        <v>4668</v>
      </c>
      <c r="F891" t="s">
        <v>4668</v>
      </c>
      <c r="G891" s="1">
        <v>39356</v>
      </c>
      <c r="H891">
        <v>1</v>
      </c>
      <c r="I891" t="s">
        <v>4703</v>
      </c>
      <c r="J891" t="s">
        <v>4977</v>
      </c>
      <c r="K891" t="s">
        <v>3572</v>
      </c>
      <c r="L891" t="s">
        <v>4982</v>
      </c>
      <c r="M891" t="s">
        <v>1466</v>
      </c>
      <c r="N891" t="s">
        <v>4983</v>
      </c>
      <c r="O891" t="s">
        <v>26</v>
      </c>
      <c r="P891">
        <v>6.99</v>
      </c>
      <c r="Q891">
        <v>8.74</v>
      </c>
      <c r="R891">
        <v>6.99</v>
      </c>
      <c r="T891" t="s">
        <v>4984</v>
      </c>
    </row>
    <row r="892" spans="1:20">
      <c r="A892">
        <v>682888</v>
      </c>
      <c r="B892" t="s">
        <v>4985</v>
      </c>
      <c r="C892" t="str">
        <f>"9781551434964"</f>
        <v>9781551434964</v>
      </c>
      <c r="D892" t="str">
        <f>"9781551434988"</f>
        <v>9781551434988</v>
      </c>
      <c r="E892" t="s">
        <v>4668</v>
      </c>
      <c r="F892" t="s">
        <v>4668</v>
      </c>
      <c r="G892" s="1">
        <v>39142</v>
      </c>
      <c r="H892">
        <v>1</v>
      </c>
      <c r="I892" t="s">
        <v>4703</v>
      </c>
      <c r="J892" t="s">
        <v>4986</v>
      </c>
      <c r="K892" t="s">
        <v>3572</v>
      </c>
      <c r="L892" t="s">
        <v>4987</v>
      </c>
      <c r="M892">
        <v>813.6</v>
      </c>
      <c r="N892" t="s">
        <v>4988</v>
      </c>
      <c r="O892" t="s">
        <v>26</v>
      </c>
      <c r="P892">
        <v>6.99</v>
      </c>
      <c r="Q892">
        <v>8.74</v>
      </c>
      <c r="R892">
        <v>6.99</v>
      </c>
      <c r="T892" t="s">
        <v>4989</v>
      </c>
    </row>
    <row r="893" spans="1:20">
      <c r="A893">
        <v>682889</v>
      </c>
      <c r="B893" t="s">
        <v>4990</v>
      </c>
      <c r="C893" t="str">
        <f>"9781551433844"</f>
        <v>9781551433844</v>
      </c>
      <c r="D893" t="str">
        <f>"9781551435893"</f>
        <v>9781551435893</v>
      </c>
      <c r="E893" t="s">
        <v>4668</v>
      </c>
      <c r="F893" t="s">
        <v>4668</v>
      </c>
      <c r="G893" s="1">
        <v>38596</v>
      </c>
      <c r="H893">
        <v>1</v>
      </c>
      <c r="J893" t="s">
        <v>4991</v>
      </c>
      <c r="K893" t="s">
        <v>3572</v>
      </c>
      <c r="L893" t="s">
        <v>4992</v>
      </c>
      <c r="M893" t="s">
        <v>4693</v>
      </c>
      <c r="N893" t="s">
        <v>4993</v>
      </c>
      <c r="O893" t="s">
        <v>26</v>
      </c>
      <c r="P893">
        <v>19.989999999999998</v>
      </c>
      <c r="Q893">
        <v>24.99</v>
      </c>
      <c r="R893">
        <v>19.989999999999998</v>
      </c>
      <c r="T893" t="s">
        <v>4994</v>
      </c>
    </row>
    <row r="894" spans="1:20">
      <c r="A894">
        <v>682890</v>
      </c>
      <c r="B894" t="s">
        <v>4995</v>
      </c>
      <c r="C894" t="str">
        <f>"9781551436111"</f>
        <v>9781551436111</v>
      </c>
      <c r="D894" t="str">
        <f>"9781551436135"</f>
        <v>9781551436135</v>
      </c>
      <c r="E894" t="s">
        <v>4668</v>
      </c>
      <c r="F894" t="s">
        <v>4668</v>
      </c>
      <c r="G894" s="1">
        <v>39326</v>
      </c>
      <c r="H894">
        <v>1</v>
      </c>
      <c r="J894" t="s">
        <v>4991</v>
      </c>
      <c r="K894" t="s">
        <v>4777</v>
      </c>
      <c r="L894" t="s">
        <v>4996</v>
      </c>
      <c r="M894">
        <v>34</v>
      </c>
      <c r="N894" t="s">
        <v>4997</v>
      </c>
      <c r="O894" t="s">
        <v>26</v>
      </c>
      <c r="P894">
        <v>19.989999999999998</v>
      </c>
      <c r="Q894">
        <v>24.99</v>
      </c>
      <c r="R894">
        <v>19.989999999999998</v>
      </c>
      <c r="T894" t="s">
        <v>4998</v>
      </c>
    </row>
    <row r="895" spans="1:20">
      <c r="A895">
        <v>682891</v>
      </c>
      <c r="B895" t="s">
        <v>4999</v>
      </c>
      <c r="C895" t="str">
        <f>"9781554691913"</f>
        <v>9781554691913</v>
      </c>
      <c r="D895" t="str">
        <f>"9781554691920"</f>
        <v>9781554691920</v>
      </c>
      <c r="E895" t="s">
        <v>4668</v>
      </c>
      <c r="F895" t="s">
        <v>4668</v>
      </c>
      <c r="G895" s="1">
        <v>40118</v>
      </c>
      <c r="H895">
        <v>1</v>
      </c>
      <c r="I895" t="s">
        <v>4703</v>
      </c>
      <c r="J895" t="s">
        <v>5000</v>
      </c>
      <c r="K895" t="s">
        <v>3572</v>
      </c>
      <c r="L895" t="s">
        <v>5001</v>
      </c>
      <c r="M895" t="s">
        <v>1460</v>
      </c>
      <c r="N895" t="s">
        <v>5002</v>
      </c>
      <c r="O895" t="s">
        <v>26</v>
      </c>
      <c r="P895">
        <v>6.99</v>
      </c>
      <c r="Q895">
        <v>8.74</v>
      </c>
      <c r="R895">
        <v>6.99</v>
      </c>
      <c r="T895" t="s">
        <v>5003</v>
      </c>
    </row>
    <row r="896" spans="1:20">
      <c r="A896">
        <v>682892</v>
      </c>
      <c r="B896" t="s">
        <v>5004</v>
      </c>
      <c r="C896" t="str">
        <f>"9781551433424"</f>
        <v>9781551433424</v>
      </c>
      <c r="D896" t="str">
        <f>"9781551435770"</f>
        <v>9781551435770</v>
      </c>
      <c r="E896" t="s">
        <v>4668</v>
      </c>
      <c r="F896" t="s">
        <v>4668</v>
      </c>
      <c r="G896" s="1">
        <v>38596</v>
      </c>
      <c r="H896">
        <v>1</v>
      </c>
      <c r="J896" t="s">
        <v>5005</v>
      </c>
      <c r="K896" t="s">
        <v>3572</v>
      </c>
      <c r="L896" t="s">
        <v>5006</v>
      </c>
      <c r="M896" t="s">
        <v>1497</v>
      </c>
      <c r="N896" t="s">
        <v>5007</v>
      </c>
      <c r="O896" t="s">
        <v>26</v>
      </c>
      <c r="P896">
        <v>9.99</v>
      </c>
      <c r="Q896">
        <v>12.49</v>
      </c>
      <c r="R896">
        <v>9.99</v>
      </c>
      <c r="T896" t="s">
        <v>5008</v>
      </c>
    </row>
    <row r="897" spans="1:20">
      <c r="A897">
        <v>682894</v>
      </c>
      <c r="B897" t="s">
        <v>5009</v>
      </c>
      <c r="C897" t="str">
        <f>"9781551432519"</f>
        <v>9781551432519</v>
      </c>
      <c r="D897" t="str">
        <f>"9781551434247"</f>
        <v>9781551434247</v>
      </c>
      <c r="E897" t="s">
        <v>4668</v>
      </c>
      <c r="F897" t="s">
        <v>4668</v>
      </c>
      <c r="G897" s="1">
        <v>37895</v>
      </c>
      <c r="H897">
        <v>1</v>
      </c>
      <c r="I897" t="s">
        <v>5010</v>
      </c>
      <c r="J897" t="s">
        <v>5011</v>
      </c>
      <c r="K897" t="s">
        <v>1458</v>
      </c>
      <c r="L897" t="s">
        <v>5012</v>
      </c>
      <c r="M897" t="s">
        <v>1460</v>
      </c>
      <c r="N897" t="s">
        <v>5013</v>
      </c>
      <c r="O897" t="s">
        <v>26</v>
      </c>
      <c r="P897">
        <v>7.99</v>
      </c>
      <c r="Q897">
        <v>9.99</v>
      </c>
      <c r="R897">
        <v>7.99</v>
      </c>
      <c r="T897" t="s">
        <v>5014</v>
      </c>
    </row>
    <row r="898" spans="1:20">
      <c r="A898">
        <v>682895</v>
      </c>
      <c r="B898" t="s">
        <v>5015</v>
      </c>
      <c r="C898" t="str">
        <f>"9781554691470"</f>
        <v>9781554691470</v>
      </c>
      <c r="D898" t="str">
        <f>"9781554691487"</f>
        <v>9781554691487</v>
      </c>
      <c r="E898" t="s">
        <v>4668</v>
      </c>
      <c r="F898" t="s">
        <v>4668</v>
      </c>
      <c r="G898" s="1">
        <v>40087</v>
      </c>
      <c r="H898">
        <v>1</v>
      </c>
      <c r="J898" t="s">
        <v>5016</v>
      </c>
      <c r="K898" t="s">
        <v>3572</v>
      </c>
      <c r="L898" t="s">
        <v>5017</v>
      </c>
      <c r="M898" t="s">
        <v>1509</v>
      </c>
      <c r="N898" t="s">
        <v>5018</v>
      </c>
      <c r="O898" t="s">
        <v>26</v>
      </c>
      <c r="P898">
        <v>9.99</v>
      </c>
      <c r="Q898">
        <v>12.49</v>
      </c>
      <c r="R898">
        <v>9.99</v>
      </c>
      <c r="T898" t="s">
        <v>5019</v>
      </c>
    </row>
    <row r="899" spans="1:20">
      <c r="A899">
        <v>682896</v>
      </c>
      <c r="B899" t="s">
        <v>5020</v>
      </c>
      <c r="C899" t="str">
        <f>"9781551434001"</f>
        <v>9781551434001</v>
      </c>
      <c r="D899" t="str">
        <f>"9781551438382"</f>
        <v>9781551438382</v>
      </c>
      <c r="E899" t="s">
        <v>4668</v>
      </c>
      <c r="F899" t="s">
        <v>4668</v>
      </c>
      <c r="G899" s="1">
        <v>41518</v>
      </c>
      <c r="H899">
        <v>1</v>
      </c>
      <c r="I899" t="s">
        <v>5010</v>
      </c>
      <c r="J899" t="s">
        <v>5021</v>
      </c>
      <c r="K899" t="s">
        <v>3572</v>
      </c>
      <c r="L899" t="s">
        <v>5022</v>
      </c>
      <c r="M899" t="s">
        <v>5023</v>
      </c>
      <c r="N899" t="s">
        <v>5024</v>
      </c>
      <c r="O899" t="s">
        <v>26</v>
      </c>
      <c r="P899">
        <v>7.99</v>
      </c>
      <c r="Q899">
        <v>9.99</v>
      </c>
      <c r="R899">
        <v>7.99</v>
      </c>
      <c r="T899" t="s">
        <v>5025</v>
      </c>
    </row>
    <row r="900" spans="1:20">
      <c r="A900">
        <v>682897</v>
      </c>
      <c r="B900" t="s">
        <v>5026</v>
      </c>
      <c r="C900" t="str">
        <f>"9781554691432"</f>
        <v>9781554691432</v>
      </c>
      <c r="D900" t="str">
        <f>"9781554691449"</f>
        <v>9781554691449</v>
      </c>
      <c r="E900" t="s">
        <v>4668</v>
      </c>
      <c r="F900" t="s">
        <v>4668</v>
      </c>
      <c r="G900" s="1">
        <v>40269</v>
      </c>
      <c r="H900">
        <v>1</v>
      </c>
      <c r="I900" t="s">
        <v>5027</v>
      </c>
      <c r="J900" t="s">
        <v>5028</v>
      </c>
      <c r="K900" t="s">
        <v>4809</v>
      </c>
      <c r="L900" t="s">
        <v>5029</v>
      </c>
      <c r="M900">
        <v>34</v>
      </c>
      <c r="N900" t="s">
        <v>5030</v>
      </c>
      <c r="O900" t="s">
        <v>26</v>
      </c>
      <c r="P900">
        <v>19.989999999999998</v>
      </c>
      <c r="Q900">
        <v>24.99</v>
      </c>
      <c r="R900">
        <v>19.989999999999998</v>
      </c>
      <c r="T900" t="s">
        <v>5031</v>
      </c>
    </row>
    <row r="901" spans="1:20">
      <c r="A901">
        <v>682898</v>
      </c>
      <c r="B901" t="s">
        <v>5032</v>
      </c>
      <c r="C901" t="str">
        <f>"9781554690305"</f>
        <v>9781554690305</v>
      </c>
      <c r="D901" t="str">
        <f>"9781554690312"</f>
        <v>9781554690312</v>
      </c>
      <c r="E901" t="s">
        <v>4668</v>
      </c>
      <c r="F901" t="s">
        <v>4668</v>
      </c>
      <c r="G901" s="1">
        <v>40452</v>
      </c>
      <c r="H901">
        <v>1</v>
      </c>
      <c r="I901" t="s">
        <v>5033</v>
      </c>
      <c r="J901" t="s">
        <v>5028</v>
      </c>
      <c r="K901" t="s">
        <v>3572</v>
      </c>
      <c r="L901" t="s">
        <v>5034</v>
      </c>
      <c r="M901" t="s">
        <v>3574</v>
      </c>
      <c r="N901" t="s">
        <v>5035</v>
      </c>
      <c r="O901" t="s">
        <v>26</v>
      </c>
      <c r="P901">
        <v>19.989999999999998</v>
      </c>
      <c r="Q901">
        <v>24.99</v>
      </c>
      <c r="R901">
        <v>19.989999999999998</v>
      </c>
      <c r="T901" t="s">
        <v>5036</v>
      </c>
    </row>
    <row r="902" spans="1:20">
      <c r="A902">
        <v>682899</v>
      </c>
      <c r="B902" t="s">
        <v>5033</v>
      </c>
      <c r="C902" t="str">
        <f>"9781554690282"</f>
        <v>9781554690282</v>
      </c>
      <c r="D902" t="str">
        <f>"9781554690299"</f>
        <v>9781554690299</v>
      </c>
      <c r="E902" t="s">
        <v>4668</v>
      </c>
      <c r="F902" t="s">
        <v>4668</v>
      </c>
      <c r="G902" s="1">
        <v>40087</v>
      </c>
      <c r="H902">
        <v>1</v>
      </c>
      <c r="J902" t="s">
        <v>5028</v>
      </c>
      <c r="K902" t="s">
        <v>3572</v>
      </c>
      <c r="L902" t="s">
        <v>5037</v>
      </c>
      <c r="M902" t="s">
        <v>3574</v>
      </c>
      <c r="N902" t="s">
        <v>5038</v>
      </c>
      <c r="O902" t="s">
        <v>26</v>
      </c>
      <c r="P902">
        <v>19.989999999999998</v>
      </c>
      <c r="Q902">
        <v>24.99</v>
      </c>
      <c r="R902">
        <v>19.989999999999998</v>
      </c>
      <c r="T902" t="s">
        <v>5039</v>
      </c>
    </row>
    <row r="903" spans="1:20">
      <c r="A903">
        <v>682900</v>
      </c>
      <c r="B903" t="s">
        <v>5040</v>
      </c>
      <c r="C903" t="str">
        <f>"9781551433578"</f>
        <v>9781551433578</v>
      </c>
      <c r="D903" t="str">
        <f>"9781551438276"</f>
        <v>9781551438276</v>
      </c>
      <c r="E903" t="s">
        <v>4668</v>
      </c>
      <c r="F903" t="s">
        <v>4668</v>
      </c>
      <c r="G903" s="1">
        <v>41518</v>
      </c>
      <c r="H903">
        <v>1</v>
      </c>
      <c r="I903" t="s">
        <v>5010</v>
      </c>
      <c r="J903" t="s">
        <v>5041</v>
      </c>
      <c r="K903" t="s">
        <v>3572</v>
      </c>
      <c r="L903" t="s">
        <v>5042</v>
      </c>
      <c r="M903" t="s">
        <v>4671</v>
      </c>
      <c r="N903" t="s">
        <v>5043</v>
      </c>
      <c r="O903" t="s">
        <v>26</v>
      </c>
      <c r="P903">
        <v>7.99</v>
      </c>
      <c r="Q903">
        <v>9.99</v>
      </c>
      <c r="R903">
        <v>7.99</v>
      </c>
      <c r="T903" t="s">
        <v>5044</v>
      </c>
    </row>
    <row r="904" spans="1:20">
      <c r="A904">
        <v>682901</v>
      </c>
      <c r="B904" t="s">
        <v>5045</v>
      </c>
      <c r="C904" t="str">
        <f>"9781554693214"</f>
        <v>9781554693214</v>
      </c>
      <c r="D904" t="str">
        <f>"9781554693221"</f>
        <v>9781554693221</v>
      </c>
      <c r="E904" t="s">
        <v>4668</v>
      </c>
      <c r="F904" t="s">
        <v>4668</v>
      </c>
      <c r="G904" s="1">
        <v>40452</v>
      </c>
      <c r="H904">
        <v>1</v>
      </c>
      <c r="I904" t="s">
        <v>5010</v>
      </c>
      <c r="J904" t="s">
        <v>5041</v>
      </c>
      <c r="K904" t="s">
        <v>3572</v>
      </c>
      <c r="L904" t="s">
        <v>5046</v>
      </c>
      <c r="M904" t="s">
        <v>5047</v>
      </c>
      <c r="N904" t="s">
        <v>5048</v>
      </c>
      <c r="O904" t="s">
        <v>26</v>
      </c>
      <c r="P904">
        <v>7.99</v>
      </c>
      <c r="Q904">
        <v>9.99</v>
      </c>
      <c r="R904">
        <v>7.99</v>
      </c>
      <c r="T904" t="s">
        <v>5049</v>
      </c>
    </row>
    <row r="905" spans="1:20">
      <c r="A905">
        <v>682903</v>
      </c>
      <c r="B905" t="s">
        <v>5050</v>
      </c>
      <c r="C905" t="str">
        <f>"9781554690947"</f>
        <v>9781554690947</v>
      </c>
      <c r="D905" t="str">
        <f>"9781554690954"</f>
        <v>9781554690954</v>
      </c>
      <c r="E905" t="s">
        <v>4668</v>
      </c>
      <c r="F905" t="s">
        <v>4668</v>
      </c>
      <c r="G905" s="1">
        <v>40087</v>
      </c>
      <c r="H905">
        <v>1</v>
      </c>
      <c r="J905" t="s">
        <v>5051</v>
      </c>
      <c r="K905" t="s">
        <v>3572</v>
      </c>
      <c r="L905" t="s">
        <v>5052</v>
      </c>
      <c r="M905" t="s">
        <v>1509</v>
      </c>
      <c r="N905" t="s">
        <v>5053</v>
      </c>
      <c r="O905" t="s">
        <v>26</v>
      </c>
      <c r="P905">
        <v>12.99</v>
      </c>
      <c r="Q905">
        <v>16.239999999999998</v>
      </c>
      <c r="R905">
        <v>12.99</v>
      </c>
      <c r="T905" t="s">
        <v>5054</v>
      </c>
    </row>
    <row r="906" spans="1:20">
      <c r="A906">
        <v>682905</v>
      </c>
      <c r="B906" t="s">
        <v>5055</v>
      </c>
      <c r="C906" t="str">
        <f>"9781551432151"</f>
        <v>9781551432151</v>
      </c>
      <c r="D906" t="str">
        <f>"9781551433974"</f>
        <v>9781551433974</v>
      </c>
      <c r="E906" t="s">
        <v>4668</v>
      </c>
      <c r="F906" t="s">
        <v>4668</v>
      </c>
      <c r="G906" s="1">
        <v>38353</v>
      </c>
      <c r="H906">
        <v>1</v>
      </c>
      <c r="I906" t="s">
        <v>5056</v>
      </c>
      <c r="J906" t="s">
        <v>5057</v>
      </c>
      <c r="K906" t="s">
        <v>3572</v>
      </c>
      <c r="L906" t="s">
        <v>5058</v>
      </c>
      <c r="M906" t="s">
        <v>1460</v>
      </c>
      <c r="N906" t="s">
        <v>5059</v>
      </c>
      <c r="O906" t="s">
        <v>26</v>
      </c>
      <c r="P906">
        <v>9.99</v>
      </c>
      <c r="Q906">
        <v>12.49</v>
      </c>
      <c r="R906">
        <v>9.99</v>
      </c>
      <c r="T906" t="s">
        <v>5060</v>
      </c>
    </row>
    <row r="907" spans="1:20">
      <c r="A907">
        <v>682906</v>
      </c>
      <c r="B907" t="s">
        <v>5061</v>
      </c>
      <c r="C907" t="str">
        <f>"9781554691586"</f>
        <v>9781554691586</v>
      </c>
      <c r="D907" t="str">
        <f>"9781554691593"</f>
        <v>9781554691593</v>
      </c>
      <c r="E907" t="s">
        <v>4668</v>
      </c>
      <c r="F907" t="s">
        <v>4668</v>
      </c>
      <c r="G907" s="1">
        <v>40269</v>
      </c>
      <c r="H907">
        <v>1</v>
      </c>
      <c r="J907" t="s">
        <v>5062</v>
      </c>
      <c r="K907" t="s">
        <v>3572</v>
      </c>
      <c r="L907" t="s">
        <v>5063</v>
      </c>
      <c r="M907" t="s">
        <v>1509</v>
      </c>
      <c r="N907" t="s">
        <v>5064</v>
      </c>
      <c r="O907" t="s">
        <v>26</v>
      </c>
      <c r="P907">
        <v>12.99</v>
      </c>
      <c r="Q907">
        <v>16.239999999999998</v>
      </c>
      <c r="R907">
        <v>12.99</v>
      </c>
      <c r="T907" t="s">
        <v>5065</v>
      </c>
    </row>
    <row r="908" spans="1:20">
      <c r="A908">
        <v>682907</v>
      </c>
      <c r="B908" t="s">
        <v>5066</v>
      </c>
      <c r="C908" t="str">
        <f>"9781551433363"</f>
        <v>9781551433363</v>
      </c>
      <c r="D908" t="str">
        <f>"9781551435732"</f>
        <v>9781551435732</v>
      </c>
      <c r="E908" t="s">
        <v>4668</v>
      </c>
      <c r="F908" t="s">
        <v>4668</v>
      </c>
      <c r="G908" s="1">
        <v>38596</v>
      </c>
      <c r="H908">
        <v>1</v>
      </c>
      <c r="J908" t="s">
        <v>5062</v>
      </c>
      <c r="K908" t="s">
        <v>3572</v>
      </c>
      <c r="L908" t="s">
        <v>5067</v>
      </c>
      <c r="M908" t="s">
        <v>5068</v>
      </c>
      <c r="N908" t="s">
        <v>5069</v>
      </c>
      <c r="O908" t="s">
        <v>26</v>
      </c>
      <c r="P908">
        <v>9.99</v>
      </c>
      <c r="Q908">
        <v>12.49</v>
      </c>
      <c r="R908">
        <v>9.99</v>
      </c>
      <c r="T908" t="s">
        <v>5070</v>
      </c>
    </row>
    <row r="909" spans="1:20">
      <c r="A909">
        <v>682908</v>
      </c>
      <c r="B909" t="s">
        <v>5071</v>
      </c>
      <c r="C909" t="str">
        <f>"9781551437187"</f>
        <v>9781551437187</v>
      </c>
      <c r="D909" t="str">
        <f>"9781551437200"</f>
        <v>9781551437200</v>
      </c>
      <c r="E909" t="s">
        <v>4668</v>
      </c>
      <c r="F909" t="s">
        <v>4668</v>
      </c>
      <c r="G909" s="1">
        <v>39356</v>
      </c>
      <c r="H909">
        <v>1</v>
      </c>
      <c r="J909" t="s">
        <v>5062</v>
      </c>
      <c r="K909" t="s">
        <v>3572</v>
      </c>
      <c r="L909" t="s">
        <v>5072</v>
      </c>
      <c r="M909" t="s">
        <v>1509</v>
      </c>
      <c r="N909" t="s">
        <v>5073</v>
      </c>
      <c r="O909" t="s">
        <v>26</v>
      </c>
      <c r="P909">
        <v>9.99</v>
      </c>
      <c r="Q909">
        <v>12.49</v>
      </c>
      <c r="R909">
        <v>9.99</v>
      </c>
      <c r="T909" t="s">
        <v>5074</v>
      </c>
    </row>
    <row r="910" spans="1:20">
      <c r="A910">
        <v>682909</v>
      </c>
      <c r="B910" t="s">
        <v>5075</v>
      </c>
      <c r="C910" t="str">
        <f>"9781551434438"</f>
        <v>9781551434438</v>
      </c>
      <c r="D910" t="str">
        <f>"9781551434452"</f>
        <v>9781551434452</v>
      </c>
      <c r="E910" t="s">
        <v>4668</v>
      </c>
      <c r="F910" t="s">
        <v>4668</v>
      </c>
      <c r="G910" s="1">
        <v>38961</v>
      </c>
      <c r="H910">
        <v>1</v>
      </c>
      <c r="J910" t="s">
        <v>5062</v>
      </c>
      <c r="K910" t="s">
        <v>3572</v>
      </c>
      <c r="L910" t="s">
        <v>5076</v>
      </c>
      <c r="M910">
        <v>813.6</v>
      </c>
      <c r="N910" t="s">
        <v>5077</v>
      </c>
      <c r="O910" t="s">
        <v>26</v>
      </c>
      <c r="P910">
        <v>9.99</v>
      </c>
      <c r="Q910">
        <v>12.49</v>
      </c>
      <c r="R910">
        <v>9.99</v>
      </c>
      <c r="T910" t="s">
        <v>5078</v>
      </c>
    </row>
    <row r="911" spans="1:20">
      <c r="A911">
        <v>682910</v>
      </c>
      <c r="B911" t="s">
        <v>5079</v>
      </c>
      <c r="C911" t="str">
        <f>"9781551436074"</f>
        <v>9781551436074</v>
      </c>
      <c r="D911" t="str">
        <f>"9781551436098"</f>
        <v>9781551436098</v>
      </c>
      <c r="E911" t="s">
        <v>4668</v>
      </c>
      <c r="F911" t="s">
        <v>4668</v>
      </c>
      <c r="G911" s="1">
        <v>39142</v>
      </c>
      <c r="H911">
        <v>1</v>
      </c>
      <c r="J911" t="s">
        <v>5062</v>
      </c>
      <c r="K911" t="s">
        <v>3572</v>
      </c>
      <c r="L911" t="s">
        <v>5080</v>
      </c>
      <c r="M911" t="s">
        <v>1509</v>
      </c>
      <c r="N911" t="s">
        <v>5081</v>
      </c>
      <c r="O911" t="s">
        <v>26</v>
      </c>
      <c r="P911">
        <v>9.99</v>
      </c>
      <c r="Q911">
        <v>12.49</v>
      </c>
      <c r="R911">
        <v>9.99</v>
      </c>
      <c r="T911" t="s">
        <v>5082</v>
      </c>
    </row>
    <row r="912" spans="1:20">
      <c r="A912">
        <v>682919</v>
      </c>
      <c r="B912" t="s">
        <v>5083</v>
      </c>
      <c r="C912" t="str">
        <f>"9781551433011"</f>
        <v>9781551433011</v>
      </c>
      <c r="D912" t="str">
        <f>"9781551437866"</f>
        <v>9781551437866</v>
      </c>
      <c r="E912" t="s">
        <v>4668</v>
      </c>
      <c r="F912" t="s">
        <v>4668</v>
      </c>
      <c r="G912" s="1">
        <v>38231</v>
      </c>
      <c r="H912">
        <v>1</v>
      </c>
      <c r="J912" t="s">
        <v>5084</v>
      </c>
      <c r="K912" t="s">
        <v>1464</v>
      </c>
      <c r="L912" t="s">
        <v>5085</v>
      </c>
      <c r="M912" t="s">
        <v>1460</v>
      </c>
      <c r="N912" t="s">
        <v>5086</v>
      </c>
      <c r="O912" t="s">
        <v>26</v>
      </c>
      <c r="P912">
        <v>6.99</v>
      </c>
      <c r="Q912">
        <v>8.74</v>
      </c>
      <c r="R912">
        <v>6.99</v>
      </c>
      <c r="T912" t="s">
        <v>5087</v>
      </c>
    </row>
    <row r="913" spans="1:20">
      <c r="A913">
        <v>682939</v>
      </c>
      <c r="B913" t="s">
        <v>5088</v>
      </c>
      <c r="C913" t="str">
        <f>"9781551438771"</f>
        <v>9781551438771</v>
      </c>
      <c r="D913" t="str">
        <f>"9781551438795"</f>
        <v>9781551438795</v>
      </c>
      <c r="E913" t="s">
        <v>4668</v>
      </c>
      <c r="F913" t="s">
        <v>4668</v>
      </c>
      <c r="G913" s="1">
        <v>39514</v>
      </c>
      <c r="H913">
        <v>1</v>
      </c>
      <c r="I913" t="s">
        <v>5089</v>
      </c>
      <c r="J913" t="s">
        <v>5090</v>
      </c>
      <c r="K913" t="s">
        <v>3572</v>
      </c>
      <c r="L913" t="s">
        <v>5091</v>
      </c>
      <c r="M913" t="s">
        <v>4752</v>
      </c>
      <c r="N913" t="s">
        <v>5092</v>
      </c>
      <c r="O913" t="s">
        <v>26</v>
      </c>
      <c r="P913">
        <v>7.95</v>
      </c>
      <c r="Q913">
        <v>9.94</v>
      </c>
      <c r="R913">
        <v>7.95</v>
      </c>
      <c r="T913" t="s">
        <v>5093</v>
      </c>
    </row>
    <row r="914" spans="1:20">
      <c r="A914">
        <v>682940</v>
      </c>
      <c r="B914" t="s">
        <v>5094</v>
      </c>
      <c r="C914" t="str">
        <f>"9781554692866"</f>
        <v>9781554692866</v>
      </c>
      <c r="D914" t="str">
        <f>"9781554692873"</f>
        <v>9781554692873</v>
      </c>
      <c r="E914" t="s">
        <v>4668</v>
      </c>
      <c r="F914" t="s">
        <v>4668</v>
      </c>
      <c r="G914" s="1">
        <v>40452</v>
      </c>
      <c r="H914">
        <v>1</v>
      </c>
      <c r="I914" t="s">
        <v>5010</v>
      </c>
      <c r="J914" t="s">
        <v>5090</v>
      </c>
      <c r="K914" t="s">
        <v>3572</v>
      </c>
      <c r="L914" t="s">
        <v>5095</v>
      </c>
      <c r="M914" t="s">
        <v>5047</v>
      </c>
      <c r="N914" t="s">
        <v>5096</v>
      </c>
      <c r="O914" t="s">
        <v>26</v>
      </c>
      <c r="P914">
        <v>7.99</v>
      </c>
      <c r="Q914">
        <v>9.99</v>
      </c>
      <c r="R914">
        <v>7.99</v>
      </c>
      <c r="T914" t="s">
        <v>5097</v>
      </c>
    </row>
    <row r="915" spans="1:20">
      <c r="A915">
        <v>682942</v>
      </c>
      <c r="B915" t="s">
        <v>5098</v>
      </c>
      <c r="C915" t="str">
        <f>"9781554692743"</f>
        <v>9781554692743</v>
      </c>
      <c r="D915" t="str">
        <f>"9781554692767"</f>
        <v>9781554692767</v>
      </c>
      <c r="E915" t="s">
        <v>4668</v>
      </c>
      <c r="F915" t="s">
        <v>4668</v>
      </c>
      <c r="G915" s="1">
        <v>40452</v>
      </c>
      <c r="H915">
        <v>1</v>
      </c>
      <c r="I915" t="s">
        <v>4685</v>
      </c>
      <c r="J915" t="s">
        <v>5099</v>
      </c>
      <c r="K915" t="s">
        <v>3572</v>
      </c>
      <c r="L915" t="s">
        <v>5100</v>
      </c>
      <c r="M915" t="s">
        <v>1460</v>
      </c>
      <c r="N915" t="s">
        <v>5101</v>
      </c>
      <c r="O915" t="s">
        <v>26</v>
      </c>
      <c r="P915">
        <v>9.99</v>
      </c>
      <c r="Q915">
        <v>12.49</v>
      </c>
      <c r="R915">
        <v>9.99</v>
      </c>
      <c r="T915" t="s">
        <v>5102</v>
      </c>
    </row>
    <row r="916" spans="1:20">
      <c r="A916">
        <v>682943</v>
      </c>
      <c r="B916" t="s">
        <v>5103</v>
      </c>
      <c r="C916" t="str">
        <f>"9781551432748"</f>
        <v>9781551432748</v>
      </c>
      <c r="D916" t="str">
        <f>"9781551434407"</f>
        <v>9781551434407</v>
      </c>
      <c r="E916" t="s">
        <v>4668</v>
      </c>
      <c r="F916" t="s">
        <v>4668</v>
      </c>
      <c r="G916" s="1">
        <v>37622</v>
      </c>
      <c r="H916">
        <v>1</v>
      </c>
      <c r="I916" t="s">
        <v>5056</v>
      </c>
      <c r="J916" t="s">
        <v>5099</v>
      </c>
      <c r="K916" t="s">
        <v>3572</v>
      </c>
      <c r="L916" t="s">
        <v>5104</v>
      </c>
      <c r="M916" t="s">
        <v>1460</v>
      </c>
      <c r="N916" t="s">
        <v>5105</v>
      </c>
      <c r="O916" t="s">
        <v>26</v>
      </c>
      <c r="P916">
        <v>9.99</v>
      </c>
      <c r="Q916">
        <v>12.49</v>
      </c>
      <c r="R916">
        <v>9.99</v>
      </c>
      <c r="T916" t="s">
        <v>5106</v>
      </c>
    </row>
    <row r="917" spans="1:20">
      <c r="A917">
        <v>682944</v>
      </c>
      <c r="B917" t="s">
        <v>5107</v>
      </c>
      <c r="C917" t="str">
        <f>"9781551432427"</f>
        <v>9781551432427</v>
      </c>
      <c r="D917" t="str">
        <f>"9781551434148"</f>
        <v>9781551434148</v>
      </c>
      <c r="E917" t="s">
        <v>4668</v>
      </c>
      <c r="F917" t="s">
        <v>4668</v>
      </c>
      <c r="G917" s="1">
        <v>38626</v>
      </c>
      <c r="H917">
        <v>1</v>
      </c>
      <c r="I917" t="s">
        <v>5056</v>
      </c>
      <c r="J917" t="s">
        <v>5099</v>
      </c>
      <c r="K917" t="s">
        <v>1458</v>
      </c>
      <c r="L917" t="s">
        <v>5108</v>
      </c>
      <c r="M917" t="s">
        <v>1460</v>
      </c>
      <c r="N917" t="s">
        <v>5109</v>
      </c>
      <c r="O917" t="s">
        <v>26</v>
      </c>
      <c r="P917">
        <v>9.99</v>
      </c>
      <c r="Q917">
        <v>12.49</v>
      </c>
      <c r="R917">
        <v>9.99</v>
      </c>
      <c r="T917" t="s">
        <v>5110</v>
      </c>
    </row>
    <row r="918" spans="1:20">
      <c r="A918">
        <v>682945</v>
      </c>
      <c r="B918" t="s">
        <v>5111</v>
      </c>
      <c r="C918" t="str">
        <f>"9781551432793"</f>
        <v>9781551432793</v>
      </c>
      <c r="D918" t="str">
        <f>"9781551434483"</f>
        <v>9781551434483</v>
      </c>
      <c r="E918" t="s">
        <v>4668</v>
      </c>
      <c r="F918" t="s">
        <v>4668</v>
      </c>
      <c r="G918" s="1">
        <v>38078</v>
      </c>
      <c r="H918">
        <v>1</v>
      </c>
      <c r="I918" t="s">
        <v>5056</v>
      </c>
      <c r="J918" t="s">
        <v>5099</v>
      </c>
      <c r="K918" t="s">
        <v>3572</v>
      </c>
      <c r="L918" t="s">
        <v>5112</v>
      </c>
      <c r="M918" t="s">
        <v>1460</v>
      </c>
      <c r="N918" t="s">
        <v>5113</v>
      </c>
      <c r="O918" t="s">
        <v>26</v>
      </c>
      <c r="P918">
        <v>9.99</v>
      </c>
      <c r="Q918">
        <v>12.49</v>
      </c>
      <c r="R918">
        <v>9.99</v>
      </c>
      <c r="T918" t="s">
        <v>5114</v>
      </c>
    </row>
    <row r="919" spans="1:20">
      <c r="A919">
        <v>682947</v>
      </c>
      <c r="B919" t="s">
        <v>5115</v>
      </c>
      <c r="C919" t="str">
        <f>"9781554692354"</f>
        <v>9781554692354</v>
      </c>
      <c r="D919" t="str">
        <f>"9781554692378"</f>
        <v>9781554692378</v>
      </c>
      <c r="E919" t="s">
        <v>4668</v>
      </c>
      <c r="F919" t="s">
        <v>4668</v>
      </c>
      <c r="G919" s="1">
        <v>40238</v>
      </c>
      <c r="H919">
        <v>1</v>
      </c>
      <c r="I919" t="s">
        <v>5056</v>
      </c>
      <c r="J919" t="s">
        <v>5116</v>
      </c>
      <c r="K919" t="s">
        <v>3572</v>
      </c>
      <c r="L919" t="s">
        <v>5117</v>
      </c>
      <c r="M919" t="s">
        <v>1509</v>
      </c>
      <c r="N919" t="s">
        <v>5118</v>
      </c>
      <c r="O919" t="s">
        <v>26</v>
      </c>
      <c r="P919">
        <v>9.99</v>
      </c>
      <c r="Q919">
        <v>12.49</v>
      </c>
      <c r="R919">
        <v>9.99</v>
      </c>
      <c r="T919" t="s">
        <v>5119</v>
      </c>
    </row>
    <row r="920" spans="1:20">
      <c r="A920">
        <v>682951</v>
      </c>
      <c r="B920" t="s">
        <v>5120</v>
      </c>
      <c r="C920" t="str">
        <f>"9781554692774"</f>
        <v>9781554692774</v>
      </c>
      <c r="D920" t="str">
        <f>"9781554692798"</f>
        <v>9781554692798</v>
      </c>
      <c r="E920" t="s">
        <v>4668</v>
      </c>
      <c r="F920" t="s">
        <v>4668</v>
      </c>
      <c r="G920" s="1">
        <v>40238</v>
      </c>
      <c r="H920">
        <v>1</v>
      </c>
      <c r="I920" t="s">
        <v>5056</v>
      </c>
      <c r="J920" t="s">
        <v>3578</v>
      </c>
      <c r="K920" t="s">
        <v>3572</v>
      </c>
      <c r="L920" t="s">
        <v>5121</v>
      </c>
      <c r="M920" t="s">
        <v>1460</v>
      </c>
      <c r="N920" t="s">
        <v>5122</v>
      </c>
      <c r="O920" t="s">
        <v>26</v>
      </c>
      <c r="P920">
        <v>9.99</v>
      </c>
      <c r="Q920">
        <v>12.49</v>
      </c>
      <c r="R920">
        <v>9.99</v>
      </c>
      <c r="T920" t="s">
        <v>5123</v>
      </c>
    </row>
    <row r="921" spans="1:20">
      <c r="A921">
        <v>682952</v>
      </c>
      <c r="B921" t="s">
        <v>5124</v>
      </c>
      <c r="C921" t="str">
        <f>"9781551436470"</f>
        <v>9781551436470</v>
      </c>
      <c r="D921" t="str">
        <f>"9781551436517"</f>
        <v>9781551436517</v>
      </c>
      <c r="E921" t="s">
        <v>4668</v>
      </c>
      <c r="F921" t="s">
        <v>4668</v>
      </c>
      <c r="G921" s="1">
        <v>39142</v>
      </c>
      <c r="H921">
        <v>1</v>
      </c>
      <c r="I921" t="s">
        <v>5056</v>
      </c>
      <c r="J921" t="s">
        <v>3578</v>
      </c>
      <c r="K921" t="s">
        <v>3572</v>
      </c>
      <c r="L921" t="s">
        <v>5125</v>
      </c>
      <c r="M921" t="s">
        <v>1460</v>
      </c>
      <c r="N921" t="s">
        <v>5126</v>
      </c>
      <c r="O921" t="s">
        <v>26</v>
      </c>
      <c r="P921">
        <v>9.99</v>
      </c>
      <c r="Q921">
        <v>12.49</v>
      </c>
      <c r="R921">
        <v>9.99</v>
      </c>
      <c r="T921" t="s">
        <v>5127</v>
      </c>
    </row>
    <row r="922" spans="1:20">
      <c r="A922">
        <v>682953</v>
      </c>
      <c r="B922" t="s">
        <v>5128</v>
      </c>
      <c r="C922" t="str">
        <f>"9781551432465"</f>
        <v>9781551432465</v>
      </c>
      <c r="D922" t="str">
        <f>"9781551434186"</f>
        <v>9781551434186</v>
      </c>
      <c r="E922" t="s">
        <v>4668</v>
      </c>
      <c r="F922" t="s">
        <v>4668</v>
      </c>
      <c r="G922" s="1">
        <v>37530</v>
      </c>
      <c r="H922">
        <v>1</v>
      </c>
      <c r="I922" t="s">
        <v>5056</v>
      </c>
      <c r="J922" t="s">
        <v>3578</v>
      </c>
      <c r="K922" t="s">
        <v>3572</v>
      </c>
      <c r="L922" t="s">
        <v>5129</v>
      </c>
      <c r="M922" t="s">
        <v>4671</v>
      </c>
      <c r="N922" t="s">
        <v>5130</v>
      </c>
      <c r="O922" t="s">
        <v>26</v>
      </c>
      <c r="P922">
        <v>9.99</v>
      </c>
      <c r="Q922">
        <v>12.49</v>
      </c>
      <c r="R922">
        <v>9.99</v>
      </c>
      <c r="T922" t="s">
        <v>5131</v>
      </c>
    </row>
    <row r="923" spans="1:20">
      <c r="A923">
        <v>682954</v>
      </c>
      <c r="B923" t="s">
        <v>5132</v>
      </c>
      <c r="C923" t="str">
        <f>"9781554690251"</f>
        <v>9781554690251</v>
      </c>
      <c r="D923" t="str">
        <f>"9781554690275"</f>
        <v>9781554690275</v>
      </c>
      <c r="E923" t="s">
        <v>4668</v>
      </c>
      <c r="F923" t="s">
        <v>4668</v>
      </c>
      <c r="G923" s="1">
        <v>39904</v>
      </c>
      <c r="H923">
        <v>1</v>
      </c>
      <c r="I923" t="s">
        <v>5056</v>
      </c>
      <c r="J923" t="s">
        <v>3578</v>
      </c>
      <c r="K923" t="s">
        <v>3572</v>
      </c>
      <c r="L923" t="s">
        <v>5133</v>
      </c>
      <c r="M923" t="s">
        <v>1460</v>
      </c>
      <c r="N923" t="s">
        <v>5134</v>
      </c>
      <c r="O923" t="s">
        <v>26</v>
      </c>
      <c r="P923">
        <v>9.99</v>
      </c>
      <c r="Q923">
        <v>12.49</v>
      </c>
      <c r="R923">
        <v>9.99</v>
      </c>
      <c r="T923" t="s">
        <v>5135</v>
      </c>
    </row>
    <row r="924" spans="1:20">
      <c r="A924">
        <v>682956</v>
      </c>
      <c r="B924" t="s">
        <v>5136</v>
      </c>
      <c r="C924" t="str">
        <f>"9781551432779"</f>
        <v>9781551432779</v>
      </c>
      <c r="D924" t="str">
        <f>"9781551434445"</f>
        <v>9781551434445</v>
      </c>
      <c r="E924" t="s">
        <v>4668</v>
      </c>
      <c r="F924" t="s">
        <v>4668</v>
      </c>
      <c r="G924" s="1">
        <v>38078</v>
      </c>
      <c r="H924">
        <v>1</v>
      </c>
      <c r="I924" t="s">
        <v>5056</v>
      </c>
      <c r="J924" t="s">
        <v>3578</v>
      </c>
      <c r="K924" t="s">
        <v>3572</v>
      </c>
      <c r="L924" t="s">
        <v>5137</v>
      </c>
      <c r="M924" t="s">
        <v>1460</v>
      </c>
      <c r="N924" t="s">
        <v>5138</v>
      </c>
      <c r="O924" t="s">
        <v>26</v>
      </c>
      <c r="P924">
        <v>9.99</v>
      </c>
      <c r="Q924">
        <v>12.49</v>
      </c>
      <c r="R924">
        <v>9.99</v>
      </c>
      <c r="T924" t="s">
        <v>5139</v>
      </c>
    </row>
    <row r="925" spans="1:20">
      <c r="A925">
        <v>682957</v>
      </c>
      <c r="B925" t="s">
        <v>5140</v>
      </c>
      <c r="C925" t="str">
        <f>"9781551433677"</f>
        <v>9781551433677</v>
      </c>
      <c r="D925" t="str">
        <f>"9781551438368"</f>
        <v>9781551438368</v>
      </c>
      <c r="E925" t="s">
        <v>4668</v>
      </c>
      <c r="F925" t="s">
        <v>4668</v>
      </c>
      <c r="G925" s="1">
        <v>38443</v>
      </c>
      <c r="H925">
        <v>1</v>
      </c>
      <c r="I925" t="s">
        <v>5089</v>
      </c>
      <c r="J925" t="s">
        <v>5141</v>
      </c>
      <c r="K925" t="s">
        <v>3572</v>
      </c>
      <c r="L925" t="s">
        <v>5142</v>
      </c>
      <c r="M925" t="s">
        <v>1460</v>
      </c>
      <c r="N925" t="s">
        <v>5143</v>
      </c>
      <c r="O925" t="s">
        <v>26</v>
      </c>
      <c r="P925">
        <v>5.95</v>
      </c>
      <c r="Q925">
        <v>7.44</v>
      </c>
      <c r="R925">
        <v>5.95</v>
      </c>
      <c r="T925" t="s">
        <v>5144</v>
      </c>
    </row>
    <row r="926" spans="1:20">
      <c r="A926">
        <v>682958</v>
      </c>
      <c r="B926" t="s">
        <v>5145</v>
      </c>
      <c r="C926" t="str">
        <f>"9781554690831"</f>
        <v>9781554690831</v>
      </c>
      <c r="D926" t="str">
        <f>"9781554690848"</f>
        <v>9781554690848</v>
      </c>
      <c r="E926" t="s">
        <v>4668</v>
      </c>
      <c r="F926" t="s">
        <v>4668</v>
      </c>
      <c r="G926" s="1">
        <v>39904</v>
      </c>
      <c r="H926">
        <v>1</v>
      </c>
      <c r="I926" t="s">
        <v>5089</v>
      </c>
      <c r="J926" t="s">
        <v>5141</v>
      </c>
      <c r="K926" t="s">
        <v>3572</v>
      </c>
      <c r="L926" t="s">
        <v>5146</v>
      </c>
      <c r="M926" t="s">
        <v>1460</v>
      </c>
      <c r="N926" t="s">
        <v>5147</v>
      </c>
      <c r="O926" t="s">
        <v>26</v>
      </c>
      <c r="P926">
        <v>7.95</v>
      </c>
      <c r="Q926">
        <v>9.94</v>
      </c>
      <c r="R926">
        <v>7.95</v>
      </c>
      <c r="T926" t="s">
        <v>5148</v>
      </c>
    </row>
    <row r="927" spans="1:20">
      <c r="A927">
        <v>682959</v>
      </c>
      <c r="B927" t="s">
        <v>5149</v>
      </c>
      <c r="C927" t="str">
        <f>"9781554692460"</f>
        <v>9781554692460</v>
      </c>
      <c r="D927" t="str">
        <f>"9781554692477"</f>
        <v>9781554692477</v>
      </c>
      <c r="E927" t="s">
        <v>4668</v>
      </c>
      <c r="F927" t="s">
        <v>4668</v>
      </c>
      <c r="G927" s="1">
        <v>40269</v>
      </c>
      <c r="H927">
        <v>1</v>
      </c>
      <c r="J927" t="s">
        <v>5141</v>
      </c>
      <c r="K927" t="s">
        <v>3572</v>
      </c>
      <c r="L927" t="s">
        <v>5150</v>
      </c>
      <c r="M927" t="s">
        <v>4671</v>
      </c>
      <c r="N927" t="s">
        <v>5151</v>
      </c>
      <c r="O927" t="s">
        <v>26</v>
      </c>
      <c r="P927">
        <v>9.99</v>
      </c>
      <c r="Q927">
        <v>12.49</v>
      </c>
      <c r="R927">
        <v>9.99</v>
      </c>
      <c r="T927" t="s">
        <v>5152</v>
      </c>
    </row>
    <row r="928" spans="1:20">
      <c r="A928">
        <v>682960</v>
      </c>
      <c r="B928" t="s">
        <v>5153</v>
      </c>
      <c r="C928" t="str">
        <f>"9781551432564"</f>
        <v>9781551432564</v>
      </c>
      <c r="D928" t="str">
        <f>"9781551434261"</f>
        <v>9781551434261</v>
      </c>
      <c r="E928" t="s">
        <v>4668</v>
      </c>
      <c r="F928" t="s">
        <v>4668</v>
      </c>
      <c r="G928" s="1">
        <v>41518</v>
      </c>
      <c r="H928">
        <v>1</v>
      </c>
      <c r="I928" t="s">
        <v>5010</v>
      </c>
      <c r="J928" t="s">
        <v>5141</v>
      </c>
      <c r="K928" t="s">
        <v>3617</v>
      </c>
      <c r="L928" t="s">
        <v>5154</v>
      </c>
      <c r="M928" t="s">
        <v>1460</v>
      </c>
      <c r="N928" t="s">
        <v>5155</v>
      </c>
      <c r="O928" t="s">
        <v>26</v>
      </c>
      <c r="P928">
        <v>7.99</v>
      </c>
      <c r="Q928">
        <v>9.99</v>
      </c>
      <c r="R928">
        <v>7.99</v>
      </c>
      <c r="T928" t="s">
        <v>5156</v>
      </c>
    </row>
    <row r="929" spans="1:20">
      <c r="A929">
        <v>682962</v>
      </c>
      <c r="B929" t="s">
        <v>5157</v>
      </c>
      <c r="C929" t="str">
        <f>"9781551435671"</f>
        <v>9781551435671</v>
      </c>
      <c r="D929" t="str">
        <f>"9781551435176"</f>
        <v>9781551435176</v>
      </c>
      <c r="E929" t="s">
        <v>4668</v>
      </c>
      <c r="F929" t="s">
        <v>4668</v>
      </c>
      <c r="G929" s="1">
        <v>38961</v>
      </c>
      <c r="H929">
        <v>1</v>
      </c>
      <c r="J929" t="s">
        <v>5141</v>
      </c>
      <c r="K929" t="s">
        <v>5158</v>
      </c>
      <c r="L929" t="s">
        <v>5159</v>
      </c>
      <c r="M929">
        <v>225</v>
      </c>
      <c r="N929" t="s">
        <v>5160</v>
      </c>
      <c r="O929" t="s">
        <v>26</v>
      </c>
      <c r="P929">
        <v>8.99</v>
      </c>
      <c r="Q929">
        <v>11.24</v>
      </c>
      <c r="R929">
        <v>8.99</v>
      </c>
      <c r="T929" t="s">
        <v>5161</v>
      </c>
    </row>
    <row r="930" spans="1:20">
      <c r="A930">
        <v>682963</v>
      </c>
      <c r="B930" t="s">
        <v>5162</v>
      </c>
      <c r="C930" t="str">
        <f>"9781551432762"</f>
        <v>9781551432762</v>
      </c>
      <c r="D930" t="str">
        <f>"9781551434421"</f>
        <v>9781551434421</v>
      </c>
      <c r="E930" t="s">
        <v>4668</v>
      </c>
      <c r="F930" t="s">
        <v>4668</v>
      </c>
      <c r="G930" s="1">
        <v>37895</v>
      </c>
      <c r="H930">
        <v>1</v>
      </c>
      <c r="I930" t="s">
        <v>5010</v>
      </c>
      <c r="J930" t="s">
        <v>5141</v>
      </c>
      <c r="K930" t="s">
        <v>1458</v>
      </c>
      <c r="L930" t="s">
        <v>5163</v>
      </c>
      <c r="M930" t="s">
        <v>1460</v>
      </c>
      <c r="N930" t="s">
        <v>5164</v>
      </c>
      <c r="O930" t="s">
        <v>26</v>
      </c>
      <c r="P930">
        <v>7.99</v>
      </c>
      <c r="Q930">
        <v>9.99</v>
      </c>
      <c r="R930">
        <v>7.99</v>
      </c>
      <c r="T930" t="s">
        <v>5165</v>
      </c>
    </row>
    <row r="931" spans="1:20">
      <c r="A931">
        <v>682964</v>
      </c>
      <c r="B931" t="s">
        <v>5166</v>
      </c>
      <c r="C931" t="str">
        <f>"9781551437477"</f>
        <v>9781551437477</v>
      </c>
      <c r="D931" t="str">
        <f>"9781551437491"</f>
        <v>9781551437491</v>
      </c>
      <c r="E931" t="s">
        <v>4668</v>
      </c>
      <c r="F931" t="s">
        <v>4668</v>
      </c>
      <c r="G931" s="1">
        <v>39508</v>
      </c>
      <c r="H931">
        <v>1</v>
      </c>
      <c r="J931" t="s">
        <v>5167</v>
      </c>
      <c r="K931" t="s">
        <v>3572</v>
      </c>
      <c r="L931" t="s">
        <v>5168</v>
      </c>
      <c r="M931" t="s">
        <v>1509</v>
      </c>
      <c r="N931" t="s">
        <v>5169</v>
      </c>
      <c r="O931" t="s">
        <v>26</v>
      </c>
      <c r="P931">
        <v>9.99</v>
      </c>
      <c r="Q931">
        <v>12.49</v>
      </c>
      <c r="R931">
        <v>9.99</v>
      </c>
      <c r="T931" t="s">
        <v>5170</v>
      </c>
    </row>
    <row r="932" spans="1:20">
      <c r="A932">
        <v>682966</v>
      </c>
      <c r="B932" t="s">
        <v>5171</v>
      </c>
      <c r="C932" t="str">
        <f>"9781554690138"</f>
        <v>9781554690138</v>
      </c>
      <c r="D932" t="str">
        <f>"9781554690145"</f>
        <v>9781554690145</v>
      </c>
      <c r="E932" t="s">
        <v>4668</v>
      </c>
      <c r="F932" t="s">
        <v>4668</v>
      </c>
      <c r="G932" s="1">
        <v>39904</v>
      </c>
      <c r="H932">
        <v>1</v>
      </c>
      <c r="I932" t="s">
        <v>5089</v>
      </c>
      <c r="J932" t="s">
        <v>5172</v>
      </c>
      <c r="K932" t="s">
        <v>3572</v>
      </c>
      <c r="L932" t="s">
        <v>5173</v>
      </c>
      <c r="M932" t="s">
        <v>1509</v>
      </c>
      <c r="N932" t="s">
        <v>5174</v>
      </c>
      <c r="O932" t="s">
        <v>26</v>
      </c>
      <c r="P932">
        <v>7.95</v>
      </c>
      <c r="Q932">
        <v>9.94</v>
      </c>
      <c r="R932">
        <v>7.95</v>
      </c>
      <c r="T932" t="s">
        <v>5175</v>
      </c>
    </row>
    <row r="933" spans="1:20">
      <c r="A933">
        <v>682967</v>
      </c>
      <c r="B933" t="s">
        <v>5176</v>
      </c>
      <c r="C933" t="str">
        <f>"9781554690114"</f>
        <v>9781554690114</v>
      </c>
      <c r="D933" t="str">
        <f>"9781554690121"</f>
        <v>9781554690121</v>
      </c>
      <c r="E933" t="s">
        <v>4668</v>
      </c>
      <c r="F933" t="s">
        <v>4668</v>
      </c>
      <c r="G933" s="1">
        <v>39722</v>
      </c>
      <c r="H933">
        <v>1</v>
      </c>
      <c r="I933" t="s">
        <v>5010</v>
      </c>
      <c r="J933" t="s">
        <v>5172</v>
      </c>
      <c r="K933" t="s">
        <v>3572</v>
      </c>
      <c r="L933" t="s">
        <v>5177</v>
      </c>
      <c r="M933" t="s">
        <v>5047</v>
      </c>
      <c r="N933" t="s">
        <v>5178</v>
      </c>
      <c r="O933" t="s">
        <v>26</v>
      </c>
      <c r="P933">
        <v>7.99</v>
      </c>
      <c r="Q933">
        <v>9.99</v>
      </c>
      <c r="R933">
        <v>7.99</v>
      </c>
      <c r="T933" t="s">
        <v>5179</v>
      </c>
    </row>
    <row r="934" spans="1:20">
      <c r="A934">
        <v>682968</v>
      </c>
      <c r="B934" t="s">
        <v>5180</v>
      </c>
      <c r="C934" t="str">
        <f>"9781551436753"</f>
        <v>9781551436753</v>
      </c>
      <c r="D934" t="str">
        <f>"9781551436777"</f>
        <v>9781551436777</v>
      </c>
      <c r="E934" t="s">
        <v>4668</v>
      </c>
      <c r="F934" t="s">
        <v>4668</v>
      </c>
      <c r="G934" s="1">
        <v>39142</v>
      </c>
      <c r="H934">
        <v>1</v>
      </c>
      <c r="I934" t="s">
        <v>5010</v>
      </c>
      <c r="J934" t="s">
        <v>5172</v>
      </c>
      <c r="K934" t="s">
        <v>3572</v>
      </c>
      <c r="L934" t="s">
        <v>5181</v>
      </c>
      <c r="M934" t="s">
        <v>1509</v>
      </c>
      <c r="N934" t="s">
        <v>5182</v>
      </c>
      <c r="O934" t="s">
        <v>26</v>
      </c>
      <c r="P934">
        <v>7.99</v>
      </c>
      <c r="Q934">
        <v>9.99</v>
      </c>
      <c r="R934">
        <v>7.99</v>
      </c>
      <c r="T934" t="s">
        <v>5183</v>
      </c>
    </row>
    <row r="935" spans="1:20">
      <c r="A935">
        <v>682969</v>
      </c>
      <c r="B935" t="s">
        <v>5184</v>
      </c>
      <c r="C935" t="str">
        <f>"9781551433264"</f>
        <v>9781551433264</v>
      </c>
      <c r="D935" t="str">
        <f>"9781551434315"</f>
        <v>9781551434315</v>
      </c>
      <c r="E935" t="s">
        <v>4668</v>
      </c>
      <c r="F935" t="s">
        <v>4668</v>
      </c>
      <c r="G935" s="1">
        <v>38231</v>
      </c>
      <c r="H935">
        <v>1</v>
      </c>
      <c r="I935" t="s">
        <v>5010</v>
      </c>
      <c r="J935" t="s">
        <v>5185</v>
      </c>
      <c r="K935" t="s">
        <v>1464</v>
      </c>
      <c r="L935" t="s">
        <v>5186</v>
      </c>
      <c r="M935" t="s">
        <v>1509</v>
      </c>
      <c r="N935" t="s">
        <v>5187</v>
      </c>
      <c r="O935" t="s">
        <v>26</v>
      </c>
      <c r="P935">
        <v>7.99</v>
      </c>
      <c r="Q935">
        <v>9.99</v>
      </c>
      <c r="R935">
        <v>7.99</v>
      </c>
      <c r="T935" t="s">
        <v>5188</v>
      </c>
    </row>
    <row r="936" spans="1:20">
      <c r="A936">
        <v>682970</v>
      </c>
      <c r="B936" t="s">
        <v>5189</v>
      </c>
      <c r="C936" t="str">
        <f>"9781551432342"</f>
        <v>9781551432342</v>
      </c>
      <c r="D936" t="str">
        <f>"9781551434094"</f>
        <v>9781551434094</v>
      </c>
      <c r="E936" t="s">
        <v>4668</v>
      </c>
      <c r="F936" t="s">
        <v>4668</v>
      </c>
      <c r="G936" s="1">
        <v>37622</v>
      </c>
      <c r="H936">
        <v>1</v>
      </c>
      <c r="I936" t="s">
        <v>5010</v>
      </c>
      <c r="J936" t="s">
        <v>5185</v>
      </c>
      <c r="K936" t="s">
        <v>3572</v>
      </c>
      <c r="L936" t="s">
        <v>5190</v>
      </c>
      <c r="M936" t="s">
        <v>1509</v>
      </c>
      <c r="N936" t="s">
        <v>5191</v>
      </c>
      <c r="O936" t="s">
        <v>26</v>
      </c>
      <c r="P936">
        <v>7.99</v>
      </c>
      <c r="Q936">
        <v>9.99</v>
      </c>
      <c r="R936">
        <v>7.99</v>
      </c>
      <c r="T936" t="s">
        <v>5192</v>
      </c>
    </row>
    <row r="937" spans="1:20">
      <c r="A937">
        <v>682971</v>
      </c>
      <c r="B937" t="s">
        <v>5193</v>
      </c>
      <c r="C937" t="str">
        <f>"9781551439242"</f>
        <v>9781551439242</v>
      </c>
      <c r="D937" t="str">
        <f>"9781551439280"</f>
        <v>9781551439280</v>
      </c>
      <c r="E937" t="s">
        <v>4668</v>
      </c>
      <c r="F937" t="s">
        <v>4668</v>
      </c>
      <c r="G937" s="1">
        <v>39722</v>
      </c>
      <c r="H937">
        <v>1</v>
      </c>
      <c r="I937" t="s">
        <v>5056</v>
      </c>
      <c r="J937" t="s">
        <v>5194</v>
      </c>
      <c r="K937" t="s">
        <v>3572</v>
      </c>
      <c r="L937" t="s">
        <v>5195</v>
      </c>
      <c r="M937" t="s">
        <v>1509</v>
      </c>
      <c r="N937" t="s">
        <v>5196</v>
      </c>
      <c r="O937" t="s">
        <v>26</v>
      </c>
      <c r="P937">
        <v>9.99</v>
      </c>
      <c r="Q937">
        <v>12.49</v>
      </c>
      <c r="R937">
        <v>9.99</v>
      </c>
      <c r="T937" t="s">
        <v>5197</v>
      </c>
    </row>
    <row r="938" spans="1:20">
      <c r="A938">
        <v>682972</v>
      </c>
      <c r="B938" t="s">
        <v>5198</v>
      </c>
      <c r="C938" t="str">
        <f>"9781551439952"</f>
        <v>9781551439952</v>
      </c>
      <c r="D938" t="str">
        <f>"9781551439990"</f>
        <v>9781551439990</v>
      </c>
      <c r="E938" t="s">
        <v>4668</v>
      </c>
      <c r="F938" t="s">
        <v>4668</v>
      </c>
      <c r="G938" s="1">
        <v>39904</v>
      </c>
      <c r="H938">
        <v>1</v>
      </c>
      <c r="I938" t="s">
        <v>5056</v>
      </c>
      <c r="J938" t="s">
        <v>5194</v>
      </c>
      <c r="K938" t="s">
        <v>3572</v>
      </c>
      <c r="L938" t="s">
        <v>5199</v>
      </c>
      <c r="M938" t="s">
        <v>1509</v>
      </c>
      <c r="N938" t="s">
        <v>5200</v>
      </c>
      <c r="O938" t="s">
        <v>26</v>
      </c>
      <c r="P938">
        <v>9.99</v>
      </c>
      <c r="Q938">
        <v>12.49</v>
      </c>
      <c r="R938">
        <v>9.99</v>
      </c>
      <c r="T938" t="s">
        <v>5201</v>
      </c>
    </row>
    <row r="939" spans="1:20">
      <c r="A939">
        <v>682974</v>
      </c>
      <c r="B939" t="s">
        <v>5202</v>
      </c>
      <c r="C939" t="str">
        <f>"9781554691029"</f>
        <v>9781554691029</v>
      </c>
      <c r="D939" t="str">
        <f>"9781554691043"</f>
        <v>9781554691043</v>
      </c>
      <c r="E939" t="s">
        <v>4668</v>
      </c>
      <c r="F939" t="s">
        <v>4668</v>
      </c>
      <c r="G939" s="1">
        <v>39904</v>
      </c>
      <c r="H939">
        <v>1</v>
      </c>
      <c r="I939" t="s">
        <v>4685</v>
      </c>
      <c r="J939" t="s">
        <v>5203</v>
      </c>
      <c r="K939" t="s">
        <v>3572</v>
      </c>
      <c r="L939" t="s">
        <v>5204</v>
      </c>
      <c r="M939" t="s">
        <v>1509</v>
      </c>
      <c r="N939" t="s">
        <v>5205</v>
      </c>
      <c r="O939" t="s">
        <v>26</v>
      </c>
      <c r="P939">
        <v>9.99</v>
      </c>
      <c r="Q939">
        <v>12.49</v>
      </c>
      <c r="R939">
        <v>9.99</v>
      </c>
      <c r="T939" t="s">
        <v>5206</v>
      </c>
    </row>
    <row r="940" spans="1:20">
      <c r="A940">
        <v>682976</v>
      </c>
      <c r="B940" t="s">
        <v>5207</v>
      </c>
      <c r="C940" t="str">
        <f>"9781551439310"</f>
        <v>9781551439310</v>
      </c>
      <c r="D940" t="str">
        <f>"9781551439358"</f>
        <v>9781551439358</v>
      </c>
      <c r="E940" t="s">
        <v>4668</v>
      </c>
      <c r="F940" t="s">
        <v>4668</v>
      </c>
      <c r="G940" s="1">
        <v>39508</v>
      </c>
      <c r="H940">
        <v>1</v>
      </c>
      <c r="I940" t="s">
        <v>4685</v>
      </c>
      <c r="J940" t="s">
        <v>5203</v>
      </c>
      <c r="K940" t="s">
        <v>3572</v>
      </c>
      <c r="L940" t="s">
        <v>5208</v>
      </c>
      <c r="M940" t="s">
        <v>1509</v>
      </c>
      <c r="N940" t="s">
        <v>5209</v>
      </c>
      <c r="O940" t="s">
        <v>26</v>
      </c>
      <c r="P940">
        <v>9.99</v>
      </c>
      <c r="Q940">
        <v>12.49</v>
      </c>
      <c r="R940">
        <v>9.99</v>
      </c>
      <c r="T940" t="s">
        <v>5210</v>
      </c>
    </row>
    <row r="941" spans="1:20">
      <c r="A941">
        <v>682977</v>
      </c>
      <c r="B941" t="s">
        <v>5211</v>
      </c>
      <c r="C941" t="str">
        <f>"9781551435404"</f>
        <v>9781551435404</v>
      </c>
      <c r="D941" t="str">
        <f>"9781551435428"</f>
        <v>9781551435428</v>
      </c>
      <c r="E941" t="s">
        <v>4668</v>
      </c>
      <c r="F941" t="s">
        <v>4668</v>
      </c>
      <c r="G941" s="1">
        <v>38961</v>
      </c>
      <c r="H941">
        <v>1</v>
      </c>
      <c r="I941" t="s">
        <v>5056</v>
      </c>
      <c r="J941" t="s">
        <v>5203</v>
      </c>
      <c r="K941" t="s">
        <v>3572</v>
      </c>
      <c r="L941" t="s">
        <v>5212</v>
      </c>
      <c r="M941" t="s">
        <v>4671</v>
      </c>
      <c r="N941" t="s">
        <v>5213</v>
      </c>
      <c r="O941" t="s">
        <v>26</v>
      </c>
      <c r="P941">
        <v>9.99</v>
      </c>
      <c r="Q941">
        <v>12.49</v>
      </c>
      <c r="R941">
        <v>9.99</v>
      </c>
      <c r="T941" t="s">
        <v>5214</v>
      </c>
    </row>
    <row r="942" spans="1:20">
      <c r="A942">
        <v>682978</v>
      </c>
      <c r="B942" t="s">
        <v>5215</v>
      </c>
      <c r="C942" t="str">
        <f>"9781551439303"</f>
        <v>9781551439303</v>
      </c>
      <c r="D942" t="str">
        <f>"9781551439341"</f>
        <v>9781551439341</v>
      </c>
      <c r="E942" t="s">
        <v>4668</v>
      </c>
      <c r="F942" t="s">
        <v>4668</v>
      </c>
      <c r="G942" s="1">
        <v>39722</v>
      </c>
      <c r="H942">
        <v>1</v>
      </c>
      <c r="I942" t="s">
        <v>5056</v>
      </c>
      <c r="J942" t="s">
        <v>5203</v>
      </c>
      <c r="K942" t="s">
        <v>3572</v>
      </c>
      <c r="L942" t="s">
        <v>5216</v>
      </c>
      <c r="M942" t="s">
        <v>1509</v>
      </c>
      <c r="N942" t="s">
        <v>5217</v>
      </c>
      <c r="O942" t="s">
        <v>26</v>
      </c>
      <c r="P942">
        <v>9.99</v>
      </c>
      <c r="Q942">
        <v>12.49</v>
      </c>
      <c r="R942">
        <v>9.99</v>
      </c>
      <c r="T942" t="s">
        <v>5218</v>
      </c>
    </row>
    <row r="943" spans="1:20">
      <c r="A943">
        <v>682980</v>
      </c>
      <c r="B943" t="s">
        <v>5219</v>
      </c>
      <c r="C943" t="str">
        <f>"9781554690862"</f>
        <v>9781554690862</v>
      </c>
      <c r="D943" t="str">
        <f>"9781554690879"</f>
        <v>9781554690879</v>
      </c>
      <c r="E943" t="s">
        <v>4668</v>
      </c>
      <c r="F943" t="s">
        <v>4668</v>
      </c>
      <c r="G943" s="1">
        <v>40087</v>
      </c>
      <c r="H943">
        <v>1</v>
      </c>
      <c r="J943" t="s">
        <v>5203</v>
      </c>
      <c r="K943" t="s">
        <v>3572</v>
      </c>
      <c r="L943" t="s">
        <v>5220</v>
      </c>
      <c r="M943" t="s">
        <v>4671</v>
      </c>
      <c r="N943" t="s">
        <v>5221</v>
      </c>
      <c r="O943" t="s">
        <v>26</v>
      </c>
      <c r="P943">
        <v>12.99</v>
      </c>
      <c r="Q943">
        <v>16.239999999999998</v>
      </c>
      <c r="R943">
        <v>12.99</v>
      </c>
      <c r="T943" t="s">
        <v>5222</v>
      </c>
    </row>
    <row r="944" spans="1:20">
      <c r="A944">
        <v>682982</v>
      </c>
      <c r="B944" t="s">
        <v>5223</v>
      </c>
      <c r="C944" t="str">
        <f>"9781551434100"</f>
        <v>9781551434100</v>
      </c>
      <c r="D944" t="str">
        <f>"9781551438443"</f>
        <v>9781551438443</v>
      </c>
      <c r="E944" t="s">
        <v>4668</v>
      </c>
      <c r="F944" t="s">
        <v>4668</v>
      </c>
      <c r="G944" s="1">
        <v>38777</v>
      </c>
      <c r="H944">
        <v>1</v>
      </c>
      <c r="I944" t="s">
        <v>5010</v>
      </c>
      <c r="J944" t="s">
        <v>5224</v>
      </c>
      <c r="K944" t="s">
        <v>3572</v>
      </c>
      <c r="L944" t="s">
        <v>5225</v>
      </c>
      <c r="M944" t="s">
        <v>5068</v>
      </c>
      <c r="N944" t="s">
        <v>5226</v>
      </c>
      <c r="O944" t="s">
        <v>26</v>
      </c>
      <c r="P944">
        <v>7.99</v>
      </c>
      <c r="Q944">
        <v>9.99</v>
      </c>
      <c r="R944">
        <v>7.99</v>
      </c>
      <c r="T944" t="s">
        <v>5227</v>
      </c>
    </row>
    <row r="945" spans="1:20">
      <c r="A945">
        <v>682983</v>
      </c>
      <c r="B945" t="s">
        <v>5228</v>
      </c>
      <c r="C945" t="str">
        <f>"9781551432489"</f>
        <v>9781551432489</v>
      </c>
      <c r="D945" t="str">
        <f>"9781551434209"</f>
        <v>9781551434209</v>
      </c>
      <c r="E945" t="s">
        <v>4668</v>
      </c>
      <c r="F945" t="s">
        <v>4668</v>
      </c>
      <c r="G945" s="1">
        <v>37530</v>
      </c>
      <c r="H945">
        <v>1</v>
      </c>
      <c r="I945" t="s">
        <v>5056</v>
      </c>
      <c r="J945" t="s">
        <v>4765</v>
      </c>
      <c r="K945" t="s">
        <v>3572</v>
      </c>
      <c r="L945" t="s">
        <v>5229</v>
      </c>
      <c r="M945" t="s">
        <v>1460</v>
      </c>
      <c r="N945" t="s">
        <v>5230</v>
      </c>
      <c r="O945" t="s">
        <v>26</v>
      </c>
      <c r="P945">
        <v>9.99</v>
      </c>
      <c r="Q945">
        <v>12.49</v>
      </c>
      <c r="R945">
        <v>9.99</v>
      </c>
      <c r="T945" t="s">
        <v>5231</v>
      </c>
    </row>
    <row r="946" spans="1:20">
      <c r="A946">
        <v>682984</v>
      </c>
      <c r="B946" t="s">
        <v>5232</v>
      </c>
      <c r="C946" t="str">
        <f>"9781551435077"</f>
        <v>9781551435077</v>
      </c>
      <c r="D946" t="str">
        <f>"9781551435091"</f>
        <v>9781551435091</v>
      </c>
      <c r="E946" t="s">
        <v>4668</v>
      </c>
      <c r="F946" t="s">
        <v>4668</v>
      </c>
      <c r="G946" s="1">
        <v>38961</v>
      </c>
      <c r="H946">
        <v>1</v>
      </c>
      <c r="I946" t="s">
        <v>5056</v>
      </c>
      <c r="J946" t="s">
        <v>5233</v>
      </c>
      <c r="K946" t="s">
        <v>3572</v>
      </c>
      <c r="L946" t="s">
        <v>5234</v>
      </c>
      <c r="M946" t="s">
        <v>1509</v>
      </c>
      <c r="N946" t="s">
        <v>5235</v>
      </c>
      <c r="O946" t="s">
        <v>26</v>
      </c>
      <c r="P946">
        <v>9.99</v>
      </c>
      <c r="Q946">
        <v>12.49</v>
      </c>
      <c r="R946">
        <v>9.99</v>
      </c>
      <c r="T946" t="s">
        <v>5236</v>
      </c>
    </row>
    <row r="947" spans="1:20">
      <c r="A947">
        <v>682985</v>
      </c>
      <c r="B947" t="s">
        <v>5237</v>
      </c>
      <c r="C947" t="str">
        <f>"9781551436500"</f>
        <v>9781551436500</v>
      </c>
      <c r="D947" t="str">
        <f>"9781551438917"</f>
        <v>9781551438917</v>
      </c>
      <c r="E947" t="s">
        <v>4668</v>
      </c>
      <c r="F947" t="s">
        <v>4668</v>
      </c>
      <c r="G947" s="1">
        <v>39142</v>
      </c>
      <c r="H947">
        <v>1</v>
      </c>
      <c r="J947" t="s">
        <v>5233</v>
      </c>
      <c r="K947" t="s">
        <v>3572</v>
      </c>
      <c r="L947" t="s">
        <v>5238</v>
      </c>
      <c r="M947" t="s">
        <v>1509</v>
      </c>
      <c r="N947" t="s">
        <v>5239</v>
      </c>
      <c r="O947" t="s">
        <v>26</v>
      </c>
      <c r="P947">
        <v>8.99</v>
      </c>
      <c r="Q947">
        <v>11.24</v>
      </c>
      <c r="R947">
        <v>8.99</v>
      </c>
      <c r="T947" t="s">
        <v>5240</v>
      </c>
    </row>
    <row r="948" spans="1:20">
      <c r="A948">
        <v>682988</v>
      </c>
      <c r="B948" t="s">
        <v>5241</v>
      </c>
      <c r="C948" t="str">
        <f>"9781551432311"</f>
        <v>9781551432311</v>
      </c>
      <c r="D948" t="str">
        <f>"9781551434032"</f>
        <v>9781551434032</v>
      </c>
      <c r="E948" t="s">
        <v>4668</v>
      </c>
      <c r="F948" t="s">
        <v>4668</v>
      </c>
      <c r="G948" s="1">
        <v>37622</v>
      </c>
      <c r="H948">
        <v>1</v>
      </c>
      <c r="I948" t="s">
        <v>5056</v>
      </c>
      <c r="J948" t="s">
        <v>5242</v>
      </c>
      <c r="K948" t="s">
        <v>3572</v>
      </c>
      <c r="L948" t="s">
        <v>5243</v>
      </c>
      <c r="M948" t="s">
        <v>1460</v>
      </c>
      <c r="N948" t="s">
        <v>5244</v>
      </c>
      <c r="O948" t="s">
        <v>26</v>
      </c>
      <c r="P948">
        <v>9.99</v>
      </c>
      <c r="Q948">
        <v>12.49</v>
      </c>
      <c r="R948">
        <v>9.99</v>
      </c>
      <c r="T948" t="s">
        <v>5245</v>
      </c>
    </row>
    <row r="949" spans="1:20">
      <c r="A949">
        <v>682989</v>
      </c>
      <c r="B949" t="s">
        <v>5246</v>
      </c>
      <c r="C949" t="str">
        <f>"9781551434049"</f>
        <v>9781551434049</v>
      </c>
      <c r="D949" t="str">
        <f>"9781551437811"</f>
        <v>9781551437811</v>
      </c>
      <c r="E949" t="s">
        <v>4668</v>
      </c>
      <c r="F949" t="s">
        <v>4668</v>
      </c>
      <c r="G949" s="1">
        <v>38596</v>
      </c>
      <c r="H949">
        <v>1</v>
      </c>
      <c r="J949" t="s">
        <v>5242</v>
      </c>
      <c r="K949" t="s">
        <v>5158</v>
      </c>
      <c r="L949" t="s">
        <v>5247</v>
      </c>
      <c r="M949">
        <v>205</v>
      </c>
      <c r="N949" t="s">
        <v>5248</v>
      </c>
      <c r="O949" t="s">
        <v>26</v>
      </c>
      <c r="P949">
        <v>6.99</v>
      </c>
      <c r="Q949">
        <v>8.74</v>
      </c>
      <c r="R949">
        <v>6.99</v>
      </c>
      <c r="T949" t="s">
        <v>5249</v>
      </c>
    </row>
    <row r="950" spans="1:20">
      <c r="A950">
        <v>682990</v>
      </c>
      <c r="B950" t="s">
        <v>5250</v>
      </c>
      <c r="C950" t="str">
        <f>"9781551433066"</f>
        <v>9781551433066</v>
      </c>
      <c r="D950" t="str">
        <f>"9781551437828"</f>
        <v>9781551437828</v>
      </c>
      <c r="E950" t="s">
        <v>4668</v>
      </c>
      <c r="F950" t="s">
        <v>4668</v>
      </c>
      <c r="G950" s="1">
        <v>38078</v>
      </c>
      <c r="H950">
        <v>1</v>
      </c>
      <c r="J950" t="s">
        <v>5242</v>
      </c>
      <c r="K950" t="s">
        <v>1464</v>
      </c>
      <c r="L950" t="s">
        <v>5251</v>
      </c>
      <c r="M950" t="s">
        <v>3574</v>
      </c>
      <c r="N950" t="s">
        <v>5252</v>
      </c>
      <c r="O950" t="s">
        <v>26</v>
      </c>
      <c r="P950">
        <v>6.99</v>
      </c>
      <c r="Q950">
        <v>8.74</v>
      </c>
      <c r="R950">
        <v>6.99</v>
      </c>
      <c r="T950" t="s">
        <v>5253</v>
      </c>
    </row>
    <row r="951" spans="1:20">
      <c r="A951">
        <v>682991</v>
      </c>
      <c r="B951" t="s">
        <v>5254</v>
      </c>
      <c r="C951" t="str">
        <f>"9781551435657"</f>
        <v>9781551435657</v>
      </c>
      <c r="D951" t="str">
        <f>"9781551438047"</f>
        <v>9781551438047</v>
      </c>
      <c r="E951" t="s">
        <v>4668</v>
      </c>
      <c r="F951" t="s">
        <v>4668</v>
      </c>
      <c r="G951" s="1">
        <v>38961</v>
      </c>
      <c r="H951">
        <v>1</v>
      </c>
      <c r="J951" t="s">
        <v>5242</v>
      </c>
      <c r="K951" t="s">
        <v>5158</v>
      </c>
      <c r="L951" t="s">
        <v>5255</v>
      </c>
      <c r="M951">
        <v>206</v>
      </c>
      <c r="N951" t="s">
        <v>5256</v>
      </c>
      <c r="O951" t="s">
        <v>26</v>
      </c>
      <c r="P951">
        <v>7.99</v>
      </c>
      <c r="Q951">
        <v>9.99</v>
      </c>
      <c r="R951">
        <v>7.99</v>
      </c>
      <c r="T951" t="s">
        <v>5257</v>
      </c>
    </row>
    <row r="952" spans="1:20">
      <c r="A952">
        <v>682993</v>
      </c>
      <c r="B952" t="s">
        <v>5258</v>
      </c>
      <c r="C952" t="str">
        <f>"9781551433479"</f>
        <v>9781551433479</v>
      </c>
      <c r="D952" t="str">
        <f>"9781551437781"</f>
        <v>9781551437781</v>
      </c>
      <c r="E952" t="s">
        <v>4668</v>
      </c>
      <c r="F952" t="s">
        <v>4668</v>
      </c>
      <c r="G952" s="1">
        <v>38443</v>
      </c>
      <c r="H952">
        <v>1</v>
      </c>
      <c r="I952" t="s">
        <v>5056</v>
      </c>
      <c r="J952" t="s">
        <v>4669</v>
      </c>
      <c r="K952" t="s">
        <v>3572</v>
      </c>
      <c r="L952" t="s">
        <v>5259</v>
      </c>
      <c r="M952" t="s">
        <v>1460</v>
      </c>
      <c r="N952" t="s">
        <v>5260</v>
      </c>
      <c r="O952" t="s">
        <v>26</v>
      </c>
      <c r="P952">
        <v>9.99</v>
      </c>
      <c r="Q952">
        <v>12.49</v>
      </c>
      <c r="R952">
        <v>9.99</v>
      </c>
      <c r="T952" t="s">
        <v>5261</v>
      </c>
    </row>
    <row r="953" spans="1:20">
      <c r="A953">
        <v>682996</v>
      </c>
      <c r="B953" t="s">
        <v>5262</v>
      </c>
      <c r="C953" t="str">
        <f>"9781551433745"</f>
        <v>9781551433745</v>
      </c>
      <c r="D953" t="str">
        <f>"9781551438566"</f>
        <v>9781551438566</v>
      </c>
      <c r="E953" t="s">
        <v>4668</v>
      </c>
      <c r="F953" t="s">
        <v>4668</v>
      </c>
      <c r="G953" s="1">
        <v>38412</v>
      </c>
      <c r="H953">
        <v>1</v>
      </c>
      <c r="J953" t="s">
        <v>4669</v>
      </c>
      <c r="K953" t="s">
        <v>1458</v>
      </c>
      <c r="L953" t="s">
        <v>5263</v>
      </c>
      <c r="M953" t="s">
        <v>4671</v>
      </c>
      <c r="N953" t="s">
        <v>5264</v>
      </c>
      <c r="O953" t="s">
        <v>26</v>
      </c>
      <c r="P953">
        <v>12.99</v>
      </c>
      <c r="Q953">
        <v>16.239999999999998</v>
      </c>
      <c r="R953">
        <v>12.99</v>
      </c>
      <c r="T953" t="s">
        <v>5265</v>
      </c>
    </row>
    <row r="954" spans="1:20">
      <c r="A954">
        <v>682997</v>
      </c>
      <c r="B954" t="s">
        <v>5266</v>
      </c>
      <c r="C954" t="str">
        <f>"9781551433141"</f>
        <v>9781551433141</v>
      </c>
      <c r="D954" t="str">
        <f>"9781551438580"</f>
        <v>9781551438580</v>
      </c>
      <c r="E954" t="s">
        <v>4668</v>
      </c>
      <c r="F954" t="s">
        <v>4668</v>
      </c>
      <c r="G954" s="1">
        <v>38078</v>
      </c>
      <c r="H954">
        <v>1</v>
      </c>
      <c r="J954" t="s">
        <v>4669</v>
      </c>
      <c r="K954" t="s">
        <v>5158</v>
      </c>
      <c r="L954" t="s">
        <v>5267</v>
      </c>
      <c r="M954">
        <v>271</v>
      </c>
      <c r="N954" t="s">
        <v>5268</v>
      </c>
      <c r="O954" t="s">
        <v>26</v>
      </c>
      <c r="P954">
        <v>14.99</v>
      </c>
      <c r="Q954">
        <v>18.739999999999998</v>
      </c>
      <c r="R954">
        <v>14.99</v>
      </c>
      <c r="T954" t="s">
        <v>5269</v>
      </c>
    </row>
    <row r="955" spans="1:20">
      <c r="A955">
        <v>682999</v>
      </c>
      <c r="B955" t="s">
        <v>5270</v>
      </c>
      <c r="C955" t="str">
        <f>"9781551432441"</f>
        <v>9781551432441</v>
      </c>
      <c r="D955" t="str">
        <f>"9781551434162"</f>
        <v>9781551434162</v>
      </c>
      <c r="E955" t="s">
        <v>4668</v>
      </c>
      <c r="F955" t="s">
        <v>4668</v>
      </c>
      <c r="G955" s="1">
        <v>37530</v>
      </c>
      <c r="H955">
        <v>1</v>
      </c>
      <c r="I955" t="s">
        <v>5056</v>
      </c>
      <c r="J955" t="s">
        <v>4669</v>
      </c>
      <c r="K955" t="s">
        <v>3572</v>
      </c>
      <c r="L955" t="s">
        <v>5271</v>
      </c>
      <c r="M955" t="s">
        <v>1460</v>
      </c>
      <c r="N955" t="s">
        <v>5272</v>
      </c>
      <c r="O955" t="s">
        <v>26</v>
      </c>
      <c r="P955">
        <v>9.99</v>
      </c>
      <c r="Q955">
        <v>12.49</v>
      </c>
      <c r="R955">
        <v>9.99</v>
      </c>
      <c r="T955" t="s">
        <v>5273</v>
      </c>
    </row>
    <row r="956" spans="1:20">
      <c r="A956">
        <v>683000</v>
      </c>
      <c r="B956" t="s">
        <v>5274</v>
      </c>
      <c r="C956" t="str">
        <f>"9781551432137"</f>
        <v>9781551432137</v>
      </c>
      <c r="D956" t="str">
        <f>"9781551433950"</f>
        <v>9781551433950</v>
      </c>
      <c r="E956" t="s">
        <v>4668</v>
      </c>
      <c r="F956" t="s">
        <v>4668</v>
      </c>
      <c r="G956" s="1">
        <v>37257</v>
      </c>
      <c r="H956">
        <v>1</v>
      </c>
      <c r="I956" t="s">
        <v>5056</v>
      </c>
      <c r="J956" t="s">
        <v>4669</v>
      </c>
      <c r="K956" t="s">
        <v>3572</v>
      </c>
      <c r="L956" t="s">
        <v>5275</v>
      </c>
      <c r="M956" t="s">
        <v>1460</v>
      </c>
      <c r="N956" t="s">
        <v>5276</v>
      </c>
      <c r="O956" t="s">
        <v>26</v>
      </c>
      <c r="P956">
        <v>9.99</v>
      </c>
      <c r="Q956">
        <v>12.49</v>
      </c>
      <c r="R956">
        <v>9.99</v>
      </c>
      <c r="T956" t="s">
        <v>5277</v>
      </c>
    </row>
    <row r="957" spans="1:20">
      <c r="A957">
        <v>683001</v>
      </c>
      <c r="B957" t="s">
        <v>5278</v>
      </c>
      <c r="C957" t="str">
        <f>"9781551434551"</f>
        <v>9781551434551</v>
      </c>
      <c r="D957" t="str">
        <f>"9781551434575"</f>
        <v>9781551434575</v>
      </c>
      <c r="E957" t="s">
        <v>4668</v>
      </c>
      <c r="F957" t="s">
        <v>4668</v>
      </c>
      <c r="G957" s="1">
        <v>38777</v>
      </c>
      <c r="H957">
        <v>1</v>
      </c>
      <c r="J957" t="s">
        <v>4669</v>
      </c>
      <c r="K957" t="s">
        <v>5158</v>
      </c>
      <c r="L957" t="s">
        <v>5279</v>
      </c>
      <c r="M957">
        <v>209</v>
      </c>
      <c r="N957" t="s">
        <v>5280</v>
      </c>
      <c r="O957" t="s">
        <v>26</v>
      </c>
      <c r="P957">
        <v>9.99</v>
      </c>
      <c r="Q957">
        <v>12.49</v>
      </c>
      <c r="R957">
        <v>9.99</v>
      </c>
      <c r="T957" t="s">
        <v>5281</v>
      </c>
    </row>
    <row r="958" spans="1:20">
      <c r="A958">
        <v>683002</v>
      </c>
      <c r="B958" t="s">
        <v>5282</v>
      </c>
      <c r="C958" t="str">
        <f>"9781551432397"</f>
        <v>9781551432397</v>
      </c>
      <c r="D958" t="str">
        <f>"9781551434131"</f>
        <v>9781551434131</v>
      </c>
      <c r="E958" t="s">
        <v>4668</v>
      </c>
      <c r="F958" t="s">
        <v>4668</v>
      </c>
      <c r="G958" s="1">
        <v>37622</v>
      </c>
      <c r="H958">
        <v>1</v>
      </c>
      <c r="I958" t="s">
        <v>5056</v>
      </c>
      <c r="J958" t="s">
        <v>4669</v>
      </c>
      <c r="K958" t="s">
        <v>3572</v>
      </c>
      <c r="L958" t="s">
        <v>5283</v>
      </c>
      <c r="M958" t="s">
        <v>4671</v>
      </c>
      <c r="N958" t="s">
        <v>5284</v>
      </c>
      <c r="O958" t="s">
        <v>26</v>
      </c>
      <c r="P958">
        <v>9.99</v>
      </c>
      <c r="Q958">
        <v>12.49</v>
      </c>
      <c r="R958">
        <v>9.99</v>
      </c>
      <c r="T958" t="s">
        <v>5285</v>
      </c>
    </row>
    <row r="959" spans="1:20">
      <c r="A959">
        <v>683004</v>
      </c>
      <c r="B959" t="s">
        <v>5286</v>
      </c>
      <c r="C959" t="str">
        <f>"9781554693108"</f>
        <v>9781554693108</v>
      </c>
      <c r="D959" t="str">
        <f>"9781554693122"</f>
        <v>9781554693122</v>
      </c>
      <c r="E959" t="s">
        <v>4668</v>
      </c>
      <c r="F959" t="s">
        <v>4668</v>
      </c>
      <c r="G959" s="1">
        <v>40238</v>
      </c>
      <c r="H959">
        <v>1</v>
      </c>
      <c r="I959" t="s">
        <v>5056</v>
      </c>
      <c r="J959" t="s">
        <v>5287</v>
      </c>
      <c r="K959" t="s">
        <v>3572</v>
      </c>
      <c r="L959" t="s">
        <v>5288</v>
      </c>
      <c r="M959" t="s">
        <v>1509</v>
      </c>
      <c r="N959" t="s">
        <v>5289</v>
      </c>
      <c r="O959" t="s">
        <v>26</v>
      </c>
      <c r="P959">
        <v>9.99</v>
      </c>
      <c r="Q959">
        <v>12.49</v>
      </c>
      <c r="R959">
        <v>9.99</v>
      </c>
      <c r="T959" t="s">
        <v>5290</v>
      </c>
    </row>
    <row r="960" spans="1:20">
      <c r="A960">
        <v>683005</v>
      </c>
      <c r="B960" t="s">
        <v>5291</v>
      </c>
      <c r="C960" t="str">
        <f>"9781551433783"</f>
        <v>9781551433783</v>
      </c>
      <c r="D960" t="str">
        <f>"9781551437767"</f>
        <v>9781551437767</v>
      </c>
      <c r="E960" t="s">
        <v>4668</v>
      </c>
      <c r="F960" t="s">
        <v>4668</v>
      </c>
      <c r="G960" s="1">
        <v>38443</v>
      </c>
      <c r="H960">
        <v>1</v>
      </c>
      <c r="I960" t="s">
        <v>5056</v>
      </c>
      <c r="J960" t="s">
        <v>5287</v>
      </c>
      <c r="K960" t="s">
        <v>3572</v>
      </c>
      <c r="L960" t="s">
        <v>5292</v>
      </c>
      <c r="M960" t="s">
        <v>1509</v>
      </c>
      <c r="N960" t="s">
        <v>5293</v>
      </c>
      <c r="O960" t="s">
        <v>26</v>
      </c>
      <c r="P960">
        <v>9.99</v>
      </c>
      <c r="Q960">
        <v>12.49</v>
      </c>
      <c r="R960">
        <v>9.99</v>
      </c>
      <c r="T960" t="s">
        <v>5294</v>
      </c>
    </row>
    <row r="961" spans="1:20">
      <c r="A961">
        <v>683006</v>
      </c>
      <c r="B961" t="s">
        <v>5295</v>
      </c>
      <c r="C961" t="str">
        <f>"9781551436944"</f>
        <v>9781551436944</v>
      </c>
      <c r="D961" t="str">
        <f>"9781551436982"</f>
        <v>9781551436982</v>
      </c>
      <c r="E961" t="s">
        <v>4668</v>
      </c>
      <c r="F961" t="s">
        <v>4668</v>
      </c>
      <c r="G961" s="1">
        <v>39142</v>
      </c>
      <c r="H961">
        <v>1</v>
      </c>
      <c r="I961" t="s">
        <v>5056</v>
      </c>
      <c r="J961" t="s">
        <v>5287</v>
      </c>
      <c r="K961" t="s">
        <v>3572</v>
      </c>
      <c r="L961" t="s">
        <v>5296</v>
      </c>
      <c r="M961" t="s">
        <v>1509</v>
      </c>
      <c r="N961" t="s">
        <v>5297</v>
      </c>
      <c r="O961" t="s">
        <v>26</v>
      </c>
      <c r="P961">
        <v>9.99</v>
      </c>
      <c r="Q961">
        <v>12.49</v>
      </c>
      <c r="R961">
        <v>9.99</v>
      </c>
      <c r="T961" t="s">
        <v>5298</v>
      </c>
    </row>
    <row r="962" spans="1:20">
      <c r="A962">
        <v>683010</v>
      </c>
      <c r="B962" t="s">
        <v>5299</v>
      </c>
      <c r="C962" t="str">
        <f>"9781551433707"</f>
        <v>9781551433707</v>
      </c>
      <c r="D962" t="str">
        <f>"9781551438221"</f>
        <v>9781551438221</v>
      </c>
      <c r="E962" t="s">
        <v>4668</v>
      </c>
      <c r="F962" t="s">
        <v>4668</v>
      </c>
      <c r="G962" s="1">
        <v>38443</v>
      </c>
      <c r="H962">
        <v>1</v>
      </c>
      <c r="J962" t="s">
        <v>5287</v>
      </c>
      <c r="K962" t="s">
        <v>3572</v>
      </c>
      <c r="L962" t="s">
        <v>5300</v>
      </c>
      <c r="M962" t="s">
        <v>3612</v>
      </c>
      <c r="N962" t="s">
        <v>5301</v>
      </c>
      <c r="O962" t="s">
        <v>26</v>
      </c>
      <c r="P962">
        <v>7.99</v>
      </c>
      <c r="Q962">
        <v>9.99</v>
      </c>
      <c r="R962">
        <v>7.99</v>
      </c>
      <c r="T962" t="s">
        <v>5302</v>
      </c>
    </row>
    <row r="963" spans="1:20">
      <c r="A963">
        <v>683011</v>
      </c>
      <c r="B963" t="s">
        <v>5303</v>
      </c>
      <c r="C963" t="str">
        <f>"9781551439402"</f>
        <v>9781551439402</v>
      </c>
      <c r="D963" t="str">
        <f>"9781551439426"</f>
        <v>9781551439426</v>
      </c>
      <c r="E963" t="s">
        <v>4668</v>
      </c>
      <c r="F963" t="s">
        <v>4668</v>
      </c>
      <c r="G963" s="1">
        <v>39722</v>
      </c>
      <c r="H963">
        <v>1</v>
      </c>
      <c r="J963" t="s">
        <v>5287</v>
      </c>
      <c r="K963" t="s">
        <v>3572</v>
      </c>
      <c r="L963" t="s">
        <v>5304</v>
      </c>
      <c r="M963" t="s">
        <v>1509</v>
      </c>
      <c r="N963" t="s">
        <v>5305</v>
      </c>
      <c r="O963" t="s">
        <v>26</v>
      </c>
      <c r="P963">
        <v>9.99</v>
      </c>
      <c r="Q963">
        <v>12.49</v>
      </c>
      <c r="R963">
        <v>9.99</v>
      </c>
      <c r="T963" t="s">
        <v>5306</v>
      </c>
    </row>
    <row r="964" spans="1:20">
      <c r="A964">
        <v>683012</v>
      </c>
      <c r="B964" t="s">
        <v>5307</v>
      </c>
      <c r="C964" t="str">
        <f>"9781551433042"</f>
        <v>9781551433042</v>
      </c>
      <c r="D964" t="str">
        <f>"9781551438207"</f>
        <v>9781551438207</v>
      </c>
      <c r="E964" t="s">
        <v>4668</v>
      </c>
      <c r="F964" t="s">
        <v>4668</v>
      </c>
      <c r="G964" s="1">
        <v>38078</v>
      </c>
      <c r="H964">
        <v>1</v>
      </c>
      <c r="J964" t="s">
        <v>5287</v>
      </c>
      <c r="K964" t="s">
        <v>1464</v>
      </c>
      <c r="L964" t="s">
        <v>5308</v>
      </c>
      <c r="M964" t="s">
        <v>3612</v>
      </c>
      <c r="N964" t="s">
        <v>5309</v>
      </c>
      <c r="O964" t="s">
        <v>26</v>
      </c>
      <c r="P964">
        <v>8.99</v>
      </c>
      <c r="Q964">
        <v>11.24</v>
      </c>
      <c r="R964">
        <v>8.99</v>
      </c>
      <c r="T964" t="s">
        <v>5310</v>
      </c>
    </row>
    <row r="965" spans="1:20">
      <c r="A965">
        <v>683013</v>
      </c>
      <c r="B965" t="s">
        <v>5311</v>
      </c>
      <c r="C965" t="str">
        <f>"9781551435992"</f>
        <v>9781551435992</v>
      </c>
      <c r="D965" t="str">
        <f>"9781551436012"</f>
        <v>9781551436012</v>
      </c>
      <c r="E965" t="s">
        <v>4668</v>
      </c>
      <c r="F965" t="s">
        <v>4668</v>
      </c>
      <c r="G965" s="1">
        <v>38961</v>
      </c>
      <c r="H965">
        <v>1</v>
      </c>
      <c r="I965" t="s">
        <v>5010</v>
      </c>
      <c r="J965" t="s">
        <v>5312</v>
      </c>
      <c r="K965" t="s">
        <v>3572</v>
      </c>
      <c r="L965" t="s">
        <v>5313</v>
      </c>
      <c r="M965" t="s">
        <v>1460</v>
      </c>
      <c r="N965" t="s">
        <v>5314</v>
      </c>
      <c r="O965" t="s">
        <v>26</v>
      </c>
      <c r="P965">
        <v>7.99</v>
      </c>
      <c r="Q965">
        <v>9.99</v>
      </c>
      <c r="R965">
        <v>7.99</v>
      </c>
      <c r="T965" t="s">
        <v>5315</v>
      </c>
    </row>
    <row r="966" spans="1:20">
      <c r="A966">
        <v>683014</v>
      </c>
      <c r="B966" t="s">
        <v>5316</v>
      </c>
      <c r="C966" t="str">
        <f>"9781551432977"</f>
        <v>9781551432977</v>
      </c>
      <c r="D966" t="str">
        <f>"9781551434544"</f>
        <v>9781551434544</v>
      </c>
      <c r="E966" t="s">
        <v>4668</v>
      </c>
      <c r="F966" t="s">
        <v>4668</v>
      </c>
      <c r="G966" s="1">
        <v>38231</v>
      </c>
      <c r="H966">
        <v>1</v>
      </c>
      <c r="I966" t="s">
        <v>5010</v>
      </c>
      <c r="J966" t="s">
        <v>5317</v>
      </c>
      <c r="K966" t="s">
        <v>1464</v>
      </c>
      <c r="L966" t="s">
        <v>5318</v>
      </c>
      <c r="M966" t="s">
        <v>1460</v>
      </c>
      <c r="N966" t="s">
        <v>5319</v>
      </c>
      <c r="O966" t="s">
        <v>26</v>
      </c>
      <c r="P966">
        <v>7.99</v>
      </c>
      <c r="Q966">
        <v>9.99</v>
      </c>
      <c r="R966">
        <v>7.99</v>
      </c>
      <c r="T966" t="s">
        <v>5320</v>
      </c>
    </row>
    <row r="967" spans="1:20">
      <c r="A967">
        <v>683015</v>
      </c>
      <c r="B967" t="s">
        <v>5321</v>
      </c>
      <c r="C967" t="str">
        <f>"9781551433639"</f>
        <v>9781551433639</v>
      </c>
      <c r="D967" t="str">
        <f>"9781551438344"</f>
        <v>9781551438344</v>
      </c>
      <c r="E967" t="s">
        <v>4668</v>
      </c>
      <c r="F967" t="s">
        <v>4668</v>
      </c>
      <c r="G967" s="1">
        <v>38596</v>
      </c>
      <c r="H967">
        <v>1</v>
      </c>
      <c r="I967" t="s">
        <v>5010</v>
      </c>
      <c r="J967" t="s">
        <v>5322</v>
      </c>
      <c r="K967" t="s">
        <v>3572</v>
      </c>
      <c r="L967" t="s">
        <v>5323</v>
      </c>
      <c r="M967" t="s">
        <v>4752</v>
      </c>
      <c r="N967" t="s">
        <v>5324</v>
      </c>
      <c r="O967" t="s">
        <v>26</v>
      </c>
      <c r="P967">
        <v>5.95</v>
      </c>
      <c r="Q967">
        <v>7.44</v>
      </c>
      <c r="R967">
        <v>5.95</v>
      </c>
      <c r="T967" t="s">
        <v>5325</v>
      </c>
    </row>
    <row r="968" spans="1:20">
      <c r="A968">
        <v>683016</v>
      </c>
      <c r="B968" t="s">
        <v>5326</v>
      </c>
      <c r="C968" t="str">
        <f>"9781551433202"</f>
        <v>9781551433202</v>
      </c>
      <c r="D968" t="str">
        <f>"9781551434278"</f>
        <v>9781551434278</v>
      </c>
      <c r="E968" t="s">
        <v>4668</v>
      </c>
      <c r="F968" t="s">
        <v>4668</v>
      </c>
      <c r="G968" s="1">
        <v>38078</v>
      </c>
      <c r="H968">
        <v>1</v>
      </c>
      <c r="I968" t="s">
        <v>5056</v>
      </c>
      <c r="J968" t="s">
        <v>5327</v>
      </c>
      <c r="K968" t="s">
        <v>1464</v>
      </c>
      <c r="L968" t="s">
        <v>5328</v>
      </c>
      <c r="M968" t="s">
        <v>1460</v>
      </c>
      <c r="N968" t="s">
        <v>5329</v>
      </c>
      <c r="O968" t="s">
        <v>26</v>
      </c>
      <c r="P968">
        <v>9.99</v>
      </c>
      <c r="Q968">
        <v>12.49</v>
      </c>
      <c r="R968">
        <v>9.99</v>
      </c>
      <c r="T968" t="s">
        <v>5330</v>
      </c>
    </row>
    <row r="969" spans="1:20">
      <c r="A969">
        <v>683017</v>
      </c>
      <c r="B969" t="s">
        <v>5331</v>
      </c>
      <c r="C969" t="str">
        <f>"9781551432335"</f>
        <v>9781551432335</v>
      </c>
      <c r="D969" t="str">
        <f>"9781551434070"</f>
        <v>9781551434070</v>
      </c>
      <c r="E969" t="s">
        <v>4668</v>
      </c>
      <c r="F969" t="s">
        <v>4668</v>
      </c>
      <c r="G969" s="1">
        <v>37622</v>
      </c>
      <c r="H969">
        <v>1</v>
      </c>
      <c r="I969" t="s">
        <v>5056</v>
      </c>
      <c r="J969" t="s">
        <v>5327</v>
      </c>
      <c r="K969" t="s">
        <v>1464</v>
      </c>
      <c r="L969" t="s">
        <v>5332</v>
      </c>
      <c r="M969" t="s">
        <v>4671</v>
      </c>
      <c r="N969" t="s">
        <v>5333</v>
      </c>
      <c r="O969" t="s">
        <v>26</v>
      </c>
      <c r="P969">
        <v>9.99</v>
      </c>
      <c r="Q969">
        <v>12.49</v>
      </c>
      <c r="R969">
        <v>9.99</v>
      </c>
      <c r="T969" t="s">
        <v>5334</v>
      </c>
    </row>
    <row r="970" spans="1:20">
      <c r="A970">
        <v>683018</v>
      </c>
      <c r="B970" t="s">
        <v>5335</v>
      </c>
      <c r="C970" t="str">
        <f>"9781551433400"</f>
        <v>9781551433400</v>
      </c>
      <c r="D970" t="str">
        <f>"9781551438603"</f>
        <v>9781551438603</v>
      </c>
      <c r="E970" t="s">
        <v>4668</v>
      </c>
      <c r="F970" t="s">
        <v>4668</v>
      </c>
      <c r="G970" s="1">
        <v>38504</v>
      </c>
      <c r="H970">
        <v>1</v>
      </c>
      <c r="J970" t="s">
        <v>5336</v>
      </c>
      <c r="K970" t="s">
        <v>3572</v>
      </c>
      <c r="L970" t="s">
        <v>5337</v>
      </c>
      <c r="M970" t="s">
        <v>1509</v>
      </c>
      <c r="N970" t="s">
        <v>5338</v>
      </c>
      <c r="O970" t="s">
        <v>26</v>
      </c>
      <c r="P970">
        <v>9.99</v>
      </c>
      <c r="Q970">
        <v>12.49</v>
      </c>
      <c r="R970">
        <v>9.99</v>
      </c>
      <c r="T970" t="s">
        <v>5339</v>
      </c>
    </row>
    <row r="971" spans="1:20">
      <c r="A971">
        <v>683019</v>
      </c>
      <c r="B971" t="s">
        <v>5340</v>
      </c>
      <c r="C971" t="str">
        <f>"9781551436791"</f>
        <v>9781551436791</v>
      </c>
      <c r="D971" t="str">
        <f>"9781551436838"</f>
        <v>9781551436838</v>
      </c>
      <c r="E971" t="s">
        <v>4668</v>
      </c>
      <c r="F971" t="s">
        <v>4668</v>
      </c>
      <c r="G971" s="1">
        <v>39356</v>
      </c>
      <c r="H971">
        <v>1</v>
      </c>
      <c r="I971" t="s">
        <v>5056</v>
      </c>
      <c r="J971" t="s">
        <v>5341</v>
      </c>
      <c r="K971" t="s">
        <v>1464</v>
      </c>
      <c r="L971" t="s">
        <v>5342</v>
      </c>
      <c r="M971" t="s">
        <v>4671</v>
      </c>
      <c r="N971" t="s">
        <v>5343</v>
      </c>
      <c r="O971" t="s">
        <v>26</v>
      </c>
      <c r="P971">
        <v>9.99</v>
      </c>
      <c r="Q971">
        <v>12.49</v>
      </c>
      <c r="R971">
        <v>9.99</v>
      </c>
      <c r="T971" t="s">
        <v>5344</v>
      </c>
    </row>
    <row r="972" spans="1:20">
      <c r="A972">
        <v>683020</v>
      </c>
      <c r="B972" t="s">
        <v>5345</v>
      </c>
      <c r="C972" t="str">
        <f>"9781554692521"</f>
        <v>9781554692521</v>
      </c>
      <c r="D972" t="str">
        <f>"9781554692545"</f>
        <v>9781554692545</v>
      </c>
      <c r="E972" t="s">
        <v>4668</v>
      </c>
      <c r="F972" t="s">
        <v>4668</v>
      </c>
      <c r="G972" s="1">
        <v>40238</v>
      </c>
      <c r="H972">
        <v>1</v>
      </c>
      <c r="I972" t="s">
        <v>5056</v>
      </c>
      <c r="J972" t="s">
        <v>5341</v>
      </c>
      <c r="K972" t="s">
        <v>3572</v>
      </c>
      <c r="L972" t="s">
        <v>5346</v>
      </c>
      <c r="M972" t="s">
        <v>1509</v>
      </c>
      <c r="N972" t="s">
        <v>5347</v>
      </c>
      <c r="O972" t="s">
        <v>26</v>
      </c>
      <c r="P972">
        <v>9.99</v>
      </c>
      <c r="Q972">
        <v>12.49</v>
      </c>
      <c r="R972">
        <v>9.99</v>
      </c>
      <c r="T972" t="s">
        <v>5348</v>
      </c>
    </row>
    <row r="973" spans="1:20">
      <c r="A973">
        <v>683022</v>
      </c>
      <c r="B973" t="s">
        <v>5349</v>
      </c>
      <c r="C973" t="str">
        <f>"9781554692262"</f>
        <v>9781554692262</v>
      </c>
      <c r="D973" t="str">
        <f>"9781554692279"</f>
        <v>9781554692279</v>
      </c>
      <c r="E973" t="s">
        <v>4668</v>
      </c>
      <c r="F973" t="s">
        <v>4668</v>
      </c>
      <c r="G973" s="1">
        <v>40452</v>
      </c>
      <c r="H973">
        <v>1</v>
      </c>
      <c r="J973" t="s">
        <v>5341</v>
      </c>
      <c r="K973" t="s">
        <v>5158</v>
      </c>
      <c r="L973" t="s">
        <v>5350</v>
      </c>
      <c r="M973">
        <v>219</v>
      </c>
      <c r="N973" t="s">
        <v>5351</v>
      </c>
      <c r="O973" t="s">
        <v>26</v>
      </c>
      <c r="P973">
        <v>12.99</v>
      </c>
      <c r="Q973">
        <v>16.239999999999998</v>
      </c>
      <c r="R973">
        <v>12.99</v>
      </c>
      <c r="T973" t="s">
        <v>5352</v>
      </c>
    </row>
    <row r="974" spans="1:20">
      <c r="A974">
        <v>683023</v>
      </c>
      <c r="B974" t="s">
        <v>5353</v>
      </c>
      <c r="C974" t="str">
        <f>"9781551439051"</f>
        <v>9781551439051</v>
      </c>
      <c r="D974" t="str">
        <f>"9781551439075"</f>
        <v>9781551439075</v>
      </c>
      <c r="E974" t="s">
        <v>4668</v>
      </c>
      <c r="F974" t="s">
        <v>4668</v>
      </c>
      <c r="G974" s="1">
        <v>39722</v>
      </c>
      <c r="H974">
        <v>1</v>
      </c>
      <c r="J974" t="s">
        <v>5341</v>
      </c>
      <c r="K974" t="s">
        <v>5158</v>
      </c>
      <c r="L974" t="s">
        <v>5354</v>
      </c>
      <c r="M974">
        <v>208</v>
      </c>
      <c r="N974" t="s">
        <v>5355</v>
      </c>
      <c r="O974" t="s">
        <v>26</v>
      </c>
      <c r="P974">
        <v>12.99</v>
      </c>
      <c r="Q974">
        <v>16.239999999999998</v>
      </c>
      <c r="R974">
        <v>12.99</v>
      </c>
      <c r="T974" t="s">
        <v>5356</v>
      </c>
    </row>
    <row r="975" spans="1:20">
      <c r="A975">
        <v>683024</v>
      </c>
      <c r="B975" t="s">
        <v>5357</v>
      </c>
      <c r="C975" t="str">
        <f>"9781551434896"</f>
        <v>9781551434896</v>
      </c>
      <c r="D975" t="str">
        <f>"9781551434919"</f>
        <v>9781551434919</v>
      </c>
      <c r="E975" t="s">
        <v>4668</v>
      </c>
      <c r="F975" t="s">
        <v>4668</v>
      </c>
      <c r="G975" s="1">
        <v>38777</v>
      </c>
      <c r="H975">
        <v>1</v>
      </c>
      <c r="J975" t="s">
        <v>5358</v>
      </c>
      <c r="K975" t="s">
        <v>5359</v>
      </c>
      <c r="L975" t="s">
        <v>5360</v>
      </c>
      <c r="M975">
        <v>126</v>
      </c>
      <c r="N975" t="s">
        <v>5361</v>
      </c>
      <c r="O975" t="s">
        <v>26</v>
      </c>
      <c r="P975">
        <v>9.99</v>
      </c>
      <c r="Q975">
        <v>12.49</v>
      </c>
      <c r="R975">
        <v>9.99</v>
      </c>
      <c r="T975" t="s">
        <v>5362</v>
      </c>
    </row>
    <row r="976" spans="1:20">
      <c r="A976">
        <v>683025</v>
      </c>
      <c r="B976" t="s">
        <v>5363</v>
      </c>
      <c r="C976" t="str">
        <f>"9781551433585"</f>
        <v>9781551433585</v>
      </c>
      <c r="D976" t="str">
        <f>"9781551435831"</f>
        <v>9781551435831</v>
      </c>
      <c r="E976" t="s">
        <v>4668</v>
      </c>
      <c r="F976" t="s">
        <v>4668</v>
      </c>
      <c r="G976" s="1">
        <v>38596</v>
      </c>
      <c r="H976">
        <v>1</v>
      </c>
      <c r="J976" t="s">
        <v>5364</v>
      </c>
      <c r="K976" t="s">
        <v>3572</v>
      </c>
      <c r="L976" t="s">
        <v>5365</v>
      </c>
      <c r="M976" t="s">
        <v>1509</v>
      </c>
      <c r="N976" t="s">
        <v>5366</v>
      </c>
      <c r="O976" t="s">
        <v>26</v>
      </c>
      <c r="P976">
        <v>9.99</v>
      </c>
      <c r="Q976">
        <v>12.49</v>
      </c>
      <c r="R976">
        <v>9.99</v>
      </c>
      <c r="T976" t="s">
        <v>5367</v>
      </c>
    </row>
    <row r="977" spans="1:20">
      <c r="A977">
        <v>683026</v>
      </c>
      <c r="B977" t="s">
        <v>5368</v>
      </c>
      <c r="C977" t="str">
        <f>"9781551434476"</f>
        <v>9781551434476</v>
      </c>
      <c r="D977" t="str">
        <f>"9781551434490"</f>
        <v>9781551434490</v>
      </c>
      <c r="E977" t="s">
        <v>4668</v>
      </c>
      <c r="F977" t="s">
        <v>4668</v>
      </c>
      <c r="G977" s="1">
        <v>38777</v>
      </c>
      <c r="H977">
        <v>1</v>
      </c>
      <c r="J977" t="s">
        <v>5369</v>
      </c>
      <c r="K977" t="s">
        <v>3572</v>
      </c>
      <c r="L977" t="s">
        <v>5370</v>
      </c>
      <c r="M977" t="s">
        <v>5371</v>
      </c>
      <c r="N977" t="s">
        <v>5372</v>
      </c>
      <c r="O977" t="s">
        <v>26</v>
      </c>
      <c r="P977">
        <v>9.99</v>
      </c>
      <c r="Q977">
        <v>12.49</v>
      </c>
      <c r="R977">
        <v>9.99</v>
      </c>
      <c r="T977" t="s">
        <v>5373</v>
      </c>
    </row>
    <row r="978" spans="1:20">
      <c r="A978">
        <v>683027</v>
      </c>
      <c r="B978" t="s">
        <v>5374</v>
      </c>
      <c r="C978" t="str">
        <f>"9781551432601"</f>
        <v>9781551432601</v>
      </c>
      <c r="D978" t="str">
        <f>"9781551434285"</f>
        <v>9781551434285</v>
      </c>
      <c r="E978" t="s">
        <v>4668</v>
      </c>
      <c r="F978" t="s">
        <v>4668</v>
      </c>
      <c r="G978" s="1">
        <v>37622</v>
      </c>
      <c r="H978">
        <v>1</v>
      </c>
      <c r="I978" t="s">
        <v>5010</v>
      </c>
      <c r="J978" t="s">
        <v>5375</v>
      </c>
      <c r="K978" t="s">
        <v>3617</v>
      </c>
      <c r="L978" t="s">
        <v>5376</v>
      </c>
      <c r="M978" t="s">
        <v>1460</v>
      </c>
      <c r="N978" t="s">
        <v>5377</v>
      </c>
      <c r="O978" t="s">
        <v>26</v>
      </c>
      <c r="P978">
        <v>7.99</v>
      </c>
      <c r="Q978">
        <v>9.99</v>
      </c>
      <c r="R978">
        <v>7.99</v>
      </c>
      <c r="T978" t="s">
        <v>5378</v>
      </c>
    </row>
    <row r="979" spans="1:20">
      <c r="A979">
        <v>683028</v>
      </c>
      <c r="B979" t="s">
        <v>5379</v>
      </c>
      <c r="C979" t="str">
        <f>"9781551438559"</f>
        <v>9781551438559</v>
      </c>
      <c r="D979" t="str">
        <f>"9781551438597"</f>
        <v>9781551438597</v>
      </c>
      <c r="E979" t="s">
        <v>4668</v>
      </c>
      <c r="F979" t="s">
        <v>4668</v>
      </c>
      <c r="G979" s="1">
        <v>39904</v>
      </c>
      <c r="H979">
        <v>1</v>
      </c>
      <c r="J979" t="s">
        <v>5380</v>
      </c>
      <c r="K979" t="s">
        <v>3572</v>
      </c>
      <c r="L979" t="s">
        <v>5381</v>
      </c>
      <c r="M979" t="s">
        <v>1460</v>
      </c>
      <c r="N979" t="s">
        <v>5382</v>
      </c>
      <c r="O979" t="s">
        <v>26</v>
      </c>
      <c r="P979">
        <v>9.99</v>
      </c>
      <c r="Q979">
        <v>12.49</v>
      </c>
      <c r="R979">
        <v>9.99</v>
      </c>
      <c r="T979" t="s">
        <v>5383</v>
      </c>
    </row>
    <row r="980" spans="1:20">
      <c r="A980">
        <v>683030</v>
      </c>
      <c r="B980" t="s">
        <v>5384</v>
      </c>
      <c r="C980" t="str">
        <f>"9781551436401"</f>
        <v>9781551436401</v>
      </c>
      <c r="D980" t="str">
        <f>"9781551436425"</f>
        <v>9781551436425</v>
      </c>
      <c r="E980" t="s">
        <v>4668</v>
      </c>
      <c r="F980" t="s">
        <v>4668</v>
      </c>
      <c r="G980" s="1">
        <v>38961</v>
      </c>
      <c r="H980">
        <v>1</v>
      </c>
      <c r="J980" t="s">
        <v>5385</v>
      </c>
      <c r="K980" t="s">
        <v>5359</v>
      </c>
      <c r="L980" t="s">
        <v>5386</v>
      </c>
      <c r="M980">
        <v>160</v>
      </c>
      <c r="N980" t="s">
        <v>5387</v>
      </c>
      <c r="O980" t="s">
        <v>26</v>
      </c>
      <c r="P980">
        <v>8.99</v>
      </c>
      <c r="Q980">
        <v>11.24</v>
      </c>
      <c r="R980">
        <v>8.99</v>
      </c>
      <c r="T980" t="s">
        <v>5388</v>
      </c>
    </row>
    <row r="981" spans="1:20">
      <c r="A981">
        <v>683031</v>
      </c>
      <c r="B981" t="s">
        <v>5389</v>
      </c>
      <c r="C981" t="str">
        <f>"9781551432632"</f>
        <v>9781551432632</v>
      </c>
      <c r="D981" t="str">
        <f>"9781551438337"</f>
        <v>9781551438337</v>
      </c>
      <c r="E981" t="s">
        <v>4668</v>
      </c>
      <c r="F981" t="s">
        <v>4668</v>
      </c>
      <c r="G981" s="1">
        <v>37895</v>
      </c>
      <c r="H981">
        <v>1</v>
      </c>
      <c r="J981" t="s">
        <v>5385</v>
      </c>
      <c r="K981" t="s">
        <v>1464</v>
      </c>
      <c r="L981" t="s">
        <v>5390</v>
      </c>
      <c r="M981" t="s">
        <v>3574</v>
      </c>
      <c r="N981" t="s">
        <v>5391</v>
      </c>
      <c r="O981" t="s">
        <v>26</v>
      </c>
      <c r="P981">
        <v>9.99</v>
      </c>
      <c r="Q981">
        <v>12.49</v>
      </c>
      <c r="R981">
        <v>9.99</v>
      </c>
      <c r="T981" t="s">
        <v>5392</v>
      </c>
    </row>
    <row r="982" spans="1:20">
      <c r="A982">
        <v>683032</v>
      </c>
      <c r="B982" t="s">
        <v>5393</v>
      </c>
      <c r="C982" t="str">
        <f>"9781551435633"</f>
        <v>9781551435633</v>
      </c>
      <c r="D982" t="str">
        <f>"9781551438252"</f>
        <v>9781551438252</v>
      </c>
      <c r="E982" t="s">
        <v>4668</v>
      </c>
      <c r="F982" t="s">
        <v>4668</v>
      </c>
      <c r="G982" s="1">
        <v>38961</v>
      </c>
      <c r="H982">
        <v>1</v>
      </c>
      <c r="I982" t="s">
        <v>5010</v>
      </c>
      <c r="J982" t="s">
        <v>5394</v>
      </c>
      <c r="K982" t="s">
        <v>3572</v>
      </c>
      <c r="L982" t="s">
        <v>5395</v>
      </c>
      <c r="M982" t="s">
        <v>1460</v>
      </c>
      <c r="N982" t="s">
        <v>5396</v>
      </c>
      <c r="O982" t="s">
        <v>26</v>
      </c>
      <c r="P982">
        <v>7.99</v>
      </c>
      <c r="Q982">
        <v>9.99</v>
      </c>
      <c r="R982">
        <v>7.99</v>
      </c>
      <c r="T982" t="s">
        <v>5397</v>
      </c>
    </row>
    <row r="983" spans="1:20">
      <c r="A983">
        <v>683034</v>
      </c>
      <c r="B983" t="s">
        <v>5398</v>
      </c>
      <c r="C983" t="str">
        <f>"9781551433165"</f>
        <v>9781551433165</v>
      </c>
      <c r="D983" t="str">
        <f>"9781551438009"</f>
        <v>9781551438009</v>
      </c>
      <c r="E983" t="s">
        <v>4668</v>
      </c>
      <c r="F983" t="s">
        <v>4668</v>
      </c>
      <c r="G983" s="1">
        <v>38078</v>
      </c>
      <c r="H983">
        <v>1</v>
      </c>
      <c r="J983" t="s">
        <v>5394</v>
      </c>
      <c r="K983" t="s">
        <v>1464</v>
      </c>
      <c r="L983" t="s">
        <v>5399</v>
      </c>
      <c r="M983" t="s">
        <v>4671</v>
      </c>
      <c r="N983" t="s">
        <v>5400</v>
      </c>
      <c r="O983" t="s">
        <v>26</v>
      </c>
      <c r="P983">
        <v>16.989999999999998</v>
      </c>
      <c r="Q983">
        <v>21.24</v>
      </c>
      <c r="R983">
        <v>16.989999999999998</v>
      </c>
      <c r="T983" t="s">
        <v>5401</v>
      </c>
    </row>
    <row r="984" spans="1:20">
      <c r="A984">
        <v>683035</v>
      </c>
      <c r="B984" t="s">
        <v>5402</v>
      </c>
      <c r="C984" t="str">
        <f>"9781551433769"</f>
        <v>9781551433769</v>
      </c>
      <c r="D984" t="str">
        <f>"9781551438122"</f>
        <v>9781551438122</v>
      </c>
      <c r="E984" t="s">
        <v>4668</v>
      </c>
      <c r="F984" t="s">
        <v>4668</v>
      </c>
      <c r="G984" s="1">
        <v>38473</v>
      </c>
      <c r="H984">
        <v>1</v>
      </c>
      <c r="J984" t="s">
        <v>5394</v>
      </c>
      <c r="K984" t="s">
        <v>3572</v>
      </c>
      <c r="L984" t="s">
        <v>5403</v>
      </c>
      <c r="M984" t="s">
        <v>3574</v>
      </c>
      <c r="N984" t="s">
        <v>5404</v>
      </c>
      <c r="O984" t="s">
        <v>26</v>
      </c>
      <c r="P984">
        <v>9.99</v>
      </c>
      <c r="Q984">
        <v>12.49</v>
      </c>
      <c r="R984">
        <v>9.99</v>
      </c>
      <c r="T984" t="s">
        <v>5405</v>
      </c>
    </row>
    <row r="985" spans="1:20">
      <c r="A985">
        <v>683036</v>
      </c>
      <c r="B985" t="s">
        <v>5406</v>
      </c>
      <c r="C985" t="str">
        <f>"9781551438511"</f>
        <v>9781551438511</v>
      </c>
      <c r="D985" t="str">
        <f>"9781551438535"</f>
        <v>9781551438535</v>
      </c>
      <c r="E985" t="s">
        <v>4668</v>
      </c>
      <c r="F985" t="s">
        <v>4668</v>
      </c>
      <c r="G985" s="1">
        <v>39508</v>
      </c>
      <c r="H985">
        <v>1</v>
      </c>
      <c r="J985" t="s">
        <v>5394</v>
      </c>
      <c r="K985" t="s">
        <v>5359</v>
      </c>
      <c r="L985" t="s">
        <v>5407</v>
      </c>
      <c r="M985">
        <v>189</v>
      </c>
      <c r="N985" t="s">
        <v>5408</v>
      </c>
      <c r="O985" t="s">
        <v>26</v>
      </c>
      <c r="P985">
        <v>9.99</v>
      </c>
      <c r="Q985">
        <v>12.49</v>
      </c>
      <c r="R985">
        <v>9.99</v>
      </c>
      <c r="T985" t="s">
        <v>5409</v>
      </c>
    </row>
    <row r="986" spans="1:20">
      <c r="A986">
        <v>683038</v>
      </c>
      <c r="B986" t="s">
        <v>5410</v>
      </c>
      <c r="C986" t="str">
        <f>"9781551437378"</f>
        <v>9781551437378</v>
      </c>
      <c r="D986" t="str">
        <f>"9781551437392"</f>
        <v>9781551437392</v>
      </c>
      <c r="E986" t="s">
        <v>4668</v>
      </c>
      <c r="F986" t="s">
        <v>4668</v>
      </c>
      <c r="G986" s="1">
        <v>39508</v>
      </c>
      <c r="H986">
        <v>1</v>
      </c>
      <c r="J986" t="s">
        <v>5411</v>
      </c>
      <c r="K986" t="s">
        <v>5158</v>
      </c>
      <c r="L986" t="s">
        <v>5412</v>
      </c>
      <c r="M986">
        <v>270</v>
      </c>
      <c r="N986" t="s">
        <v>5413</v>
      </c>
      <c r="O986" t="s">
        <v>26</v>
      </c>
      <c r="P986">
        <v>9.99</v>
      </c>
      <c r="Q986">
        <v>12.49</v>
      </c>
      <c r="R986">
        <v>9.99</v>
      </c>
      <c r="T986" t="s">
        <v>5414</v>
      </c>
    </row>
    <row r="987" spans="1:20">
      <c r="A987">
        <v>683039</v>
      </c>
      <c r="B987" t="s">
        <v>5415</v>
      </c>
      <c r="C987" t="str">
        <f>"9781551439273"</f>
        <v>9781551439273</v>
      </c>
      <c r="D987" t="str">
        <f>"9781551439297"</f>
        <v>9781551439297</v>
      </c>
      <c r="E987" t="s">
        <v>4668</v>
      </c>
      <c r="F987" t="s">
        <v>4668</v>
      </c>
      <c r="G987" s="1">
        <v>39722</v>
      </c>
      <c r="H987">
        <v>1</v>
      </c>
      <c r="J987" t="s">
        <v>5411</v>
      </c>
      <c r="K987" t="s">
        <v>3572</v>
      </c>
      <c r="L987" t="s">
        <v>5416</v>
      </c>
      <c r="M987" t="s">
        <v>1460</v>
      </c>
      <c r="N987" t="s">
        <v>5417</v>
      </c>
      <c r="O987" t="s">
        <v>26</v>
      </c>
      <c r="P987">
        <v>12.99</v>
      </c>
      <c r="Q987">
        <v>16.239999999999998</v>
      </c>
      <c r="R987">
        <v>12.99</v>
      </c>
      <c r="T987" t="s">
        <v>5418</v>
      </c>
    </row>
    <row r="988" spans="1:20">
      <c r="A988">
        <v>683040</v>
      </c>
      <c r="B988" t="s">
        <v>5419</v>
      </c>
      <c r="C988" t="str">
        <f>"9781554690190"</f>
        <v>9781554690190</v>
      </c>
      <c r="D988" t="str">
        <f>"9781554690206"</f>
        <v>9781554690206</v>
      </c>
      <c r="E988" t="s">
        <v>4668</v>
      </c>
      <c r="F988" t="s">
        <v>4668</v>
      </c>
      <c r="G988" s="1">
        <v>39722</v>
      </c>
      <c r="H988">
        <v>1</v>
      </c>
      <c r="I988" t="s">
        <v>5010</v>
      </c>
      <c r="J988" t="s">
        <v>5420</v>
      </c>
      <c r="K988" t="s">
        <v>3572</v>
      </c>
      <c r="L988" t="s">
        <v>5421</v>
      </c>
      <c r="M988" t="s">
        <v>1460</v>
      </c>
      <c r="N988" t="s">
        <v>5422</v>
      </c>
      <c r="O988" t="s">
        <v>26</v>
      </c>
      <c r="P988">
        <v>7.99</v>
      </c>
      <c r="Q988">
        <v>9.99</v>
      </c>
      <c r="R988">
        <v>7.99</v>
      </c>
      <c r="T988" t="s">
        <v>5423</v>
      </c>
    </row>
    <row r="989" spans="1:20">
      <c r="A989">
        <v>683041</v>
      </c>
      <c r="B989" t="s">
        <v>5424</v>
      </c>
      <c r="C989" t="str">
        <f>"9781551437316"</f>
        <v>9781551437316</v>
      </c>
      <c r="D989" t="str">
        <f>"9781551437330"</f>
        <v>9781551437330</v>
      </c>
      <c r="E989" t="s">
        <v>4668</v>
      </c>
      <c r="F989" t="s">
        <v>4668</v>
      </c>
      <c r="G989" s="1">
        <v>39356</v>
      </c>
      <c r="H989">
        <v>1</v>
      </c>
      <c r="I989" t="s">
        <v>5089</v>
      </c>
      <c r="J989" t="s">
        <v>5425</v>
      </c>
      <c r="K989" t="s">
        <v>3572</v>
      </c>
      <c r="L989" t="s">
        <v>5426</v>
      </c>
      <c r="M989" t="s">
        <v>5427</v>
      </c>
      <c r="N989" t="s">
        <v>5428</v>
      </c>
      <c r="O989" t="s">
        <v>26</v>
      </c>
      <c r="P989">
        <v>5.95</v>
      </c>
      <c r="Q989">
        <v>7.44</v>
      </c>
      <c r="R989">
        <v>5.95</v>
      </c>
      <c r="T989" t="s">
        <v>5429</v>
      </c>
    </row>
    <row r="990" spans="1:20">
      <c r="A990">
        <v>683042</v>
      </c>
      <c r="B990" t="s">
        <v>5430</v>
      </c>
      <c r="C990" t="str">
        <f>"9781551434612"</f>
        <v>9781551434612</v>
      </c>
      <c r="D990" t="str">
        <f>"9781551434636"</f>
        <v>9781551434636</v>
      </c>
      <c r="E990" t="s">
        <v>4668</v>
      </c>
      <c r="F990" t="s">
        <v>4668</v>
      </c>
      <c r="G990" s="1">
        <v>38777</v>
      </c>
      <c r="H990">
        <v>1</v>
      </c>
      <c r="I990" t="s">
        <v>5089</v>
      </c>
      <c r="J990" t="s">
        <v>5431</v>
      </c>
      <c r="K990" t="s">
        <v>3572</v>
      </c>
      <c r="L990" t="s">
        <v>5432</v>
      </c>
      <c r="M990">
        <v>813.54</v>
      </c>
      <c r="N990" t="s">
        <v>5433</v>
      </c>
      <c r="O990" t="s">
        <v>26</v>
      </c>
      <c r="P990">
        <v>5.95</v>
      </c>
      <c r="Q990">
        <v>7.44</v>
      </c>
      <c r="R990">
        <v>5.95</v>
      </c>
      <c r="T990" t="s">
        <v>5434</v>
      </c>
    </row>
    <row r="991" spans="1:20">
      <c r="A991">
        <v>683043</v>
      </c>
      <c r="B991" t="s">
        <v>5435</v>
      </c>
      <c r="C991" t="str">
        <f>"9781551432052"</f>
        <v>9781551432052</v>
      </c>
      <c r="D991" t="str">
        <f>"9781551433912"</f>
        <v>9781551433912</v>
      </c>
      <c r="E991" t="s">
        <v>4668</v>
      </c>
      <c r="F991" t="s">
        <v>4668</v>
      </c>
      <c r="G991" s="1">
        <v>37500</v>
      </c>
      <c r="H991">
        <v>1</v>
      </c>
      <c r="I991" t="s">
        <v>5010</v>
      </c>
      <c r="J991" t="s">
        <v>5425</v>
      </c>
      <c r="K991" t="s">
        <v>3572</v>
      </c>
      <c r="L991" t="s">
        <v>5436</v>
      </c>
      <c r="M991" t="s">
        <v>1460</v>
      </c>
      <c r="N991" t="s">
        <v>5437</v>
      </c>
      <c r="O991" t="s">
        <v>26</v>
      </c>
      <c r="P991">
        <v>7.99</v>
      </c>
      <c r="Q991">
        <v>9.99</v>
      </c>
      <c r="R991">
        <v>7.99</v>
      </c>
      <c r="T991" t="s">
        <v>5438</v>
      </c>
    </row>
    <row r="992" spans="1:20">
      <c r="A992">
        <v>683044</v>
      </c>
      <c r="B992" t="s">
        <v>5439</v>
      </c>
      <c r="C992" t="str">
        <f>"9781551432625"</f>
        <v>9781551432625</v>
      </c>
      <c r="D992" t="str">
        <f>"9781551434308"</f>
        <v>9781551434308</v>
      </c>
      <c r="E992" t="s">
        <v>4668</v>
      </c>
      <c r="F992" t="s">
        <v>4668</v>
      </c>
      <c r="G992" s="1">
        <v>37622</v>
      </c>
      <c r="H992">
        <v>1</v>
      </c>
      <c r="I992" t="s">
        <v>5010</v>
      </c>
      <c r="J992" t="s">
        <v>5425</v>
      </c>
      <c r="K992" t="s">
        <v>3617</v>
      </c>
      <c r="L992" t="s">
        <v>5440</v>
      </c>
      <c r="M992" t="s">
        <v>4671</v>
      </c>
      <c r="N992" t="s">
        <v>5441</v>
      </c>
      <c r="O992" t="s">
        <v>26</v>
      </c>
      <c r="P992">
        <v>7.99</v>
      </c>
      <c r="Q992">
        <v>9.99</v>
      </c>
      <c r="R992">
        <v>7.99</v>
      </c>
      <c r="T992" t="s">
        <v>5442</v>
      </c>
    </row>
    <row r="993" spans="1:20">
      <c r="A993">
        <v>683045</v>
      </c>
      <c r="B993" t="s">
        <v>5443</v>
      </c>
      <c r="C993" t="str">
        <f>"9781551433004"</f>
        <v>9781551433004</v>
      </c>
      <c r="D993" t="str">
        <f>"9781551434155"</f>
        <v>9781551434155</v>
      </c>
      <c r="E993" t="s">
        <v>4668</v>
      </c>
      <c r="F993" t="s">
        <v>4668</v>
      </c>
      <c r="G993" s="1">
        <v>38078</v>
      </c>
      <c r="H993">
        <v>1</v>
      </c>
      <c r="I993" t="s">
        <v>5010</v>
      </c>
      <c r="J993" t="s">
        <v>5431</v>
      </c>
      <c r="K993" t="s">
        <v>1458</v>
      </c>
      <c r="L993" t="s">
        <v>5444</v>
      </c>
      <c r="M993" t="s">
        <v>1460</v>
      </c>
      <c r="N993" t="s">
        <v>5445</v>
      </c>
      <c r="O993" t="s">
        <v>26</v>
      </c>
      <c r="P993">
        <v>7.99</v>
      </c>
      <c r="Q993">
        <v>9.99</v>
      </c>
      <c r="R993">
        <v>7.99</v>
      </c>
      <c r="T993" t="s">
        <v>5446</v>
      </c>
    </row>
    <row r="994" spans="1:20">
      <c r="A994">
        <v>683046</v>
      </c>
      <c r="B994" t="s">
        <v>5447</v>
      </c>
      <c r="C994" t="str">
        <f>"9781554690374"</f>
        <v>9781554690374</v>
      </c>
      <c r="D994" t="str">
        <f>"9781554690381"</f>
        <v>9781554690381</v>
      </c>
      <c r="E994" t="s">
        <v>4668</v>
      </c>
      <c r="F994" t="s">
        <v>4668</v>
      </c>
      <c r="G994" s="1">
        <v>39904</v>
      </c>
      <c r="H994">
        <v>1</v>
      </c>
      <c r="I994" t="s">
        <v>5448</v>
      </c>
      <c r="J994" t="s">
        <v>5449</v>
      </c>
      <c r="K994" t="s">
        <v>3572</v>
      </c>
      <c r="L994" t="s">
        <v>5450</v>
      </c>
      <c r="M994" t="s">
        <v>1509</v>
      </c>
      <c r="N994" t="s">
        <v>5451</v>
      </c>
      <c r="O994" t="s">
        <v>26</v>
      </c>
      <c r="P994">
        <v>9.9499999999999993</v>
      </c>
      <c r="Q994">
        <v>12.44</v>
      </c>
      <c r="R994">
        <v>9.9499999999999993</v>
      </c>
      <c r="T994" t="s">
        <v>5452</v>
      </c>
    </row>
    <row r="995" spans="1:20">
      <c r="A995">
        <v>683047</v>
      </c>
      <c r="B995" t="s">
        <v>5453</v>
      </c>
      <c r="C995" t="str">
        <f>"9781551436609"</f>
        <v>9781551436609</v>
      </c>
      <c r="D995" t="str">
        <f>"9781551436623"</f>
        <v>9781551436623</v>
      </c>
      <c r="E995" t="s">
        <v>4668</v>
      </c>
      <c r="F995" t="s">
        <v>4668</v>
      </c>
      <c r="G995" s="1">
        <v>39142</v>
      </c>
      <c r="H995">
        <v>1</v>
      </c>
      <c r="I995" t="s">
        <v>5448</v>
      </c>
      <c r="J995" t="s">
        <v>5449</v>
      </c>
      <c r="K995" t="s">
        <v>3572</v>
      </c>
      <c r="L995" t="s">
        <v>5454</v>
      </c>
      <c r="M995" t="s">
        <v>5068</v>
      </c>
      <c r="N995" t="s">
        <v>5455</v>
      </c>
      <c r="O995" t="s">
        <v>26</v>
      </c>
      <c r="P995">
        <v>7.95</v>
      </c>
      <c r="Q995">
        <v>9.94</v>
      </c>
      <c r="R995">
        <v>7.95</v>
      </c>
      <c r="T995" t="s">
        <v>5456</v>
      </c>
    </row>
    <row r="996" spans="1:20">
      <c r="A996">
        <v>683050</v>
      </c>
      <c r="B996" t="s">
        <v>5457</v>
      </c>
      <c r="C996" t="str">
        <f>"9781551434124"</f>
        <v>9781551434124</v>
      </c>
      <c r="D996" t="str">
        <f>"9781551437859"</f>
        <v>9781551437859</v>
      </c>
      <c r="E996" t="s">
        <v>4668</v>
      </c>
      <c r="F996" t="s">
        <v>4668</v>
      </c>
      <c r="G996" s="1">
        <v>38596</v>
      </c>
      <c r="H996">
        <v>1</v>
      </c>
      <c r="I996" t="s">
        <v>5458</v>
      </c>
      <c r="J996" t="s">
        <v>5449</v>
      </c>
      <c r="K996" t="s">
        <v>3572</v>
      </c>
      <c r="L996" t="s">
        <v>5459</v>
      </c>
      <c r="M996" t="s">
        <v>1509</v>
      </c>
      <c r="N996" t="s">
        <v>5460</v>
      </c>
      <c r="O996" t="s">
        <v>26</v>
      </c>
      <c r="P996">
        <v>9.99</v>
      </c>
      <c r="Q996">
        <v>12.49</v>
      </c>
      <c r="R996">
        <v>9.99</v>
      </c>
      <c r="T996" t="s">
        <v>5461</v>
      </c>
    </row>
    <row r="997" spans="1:20">
      <c r="A997">
        <v>683051</v>
      </c>
      <c r="B997" t="s">
        <v>5462</v>
      </c>
      <c r="C997" t="str">
        <f>"9781551433059"</f>
        <v>9781551433059</v>
      </c>
      <c r="D997" t="str">
        <f>"9781551438108"</f>
        <v>9781551438108</v>
      </c>
      <c r="E997" t="s">
        <v>4668</v>
      </c>
      <c r="F997" t="s">
        <v>4668</v>
      </c>
      <c r="G997" s="1">
        <v>38261</v>
      </c>
      <c r="H997">
        <v>1</v>
      </c>
      <c r="I997" t="s">
        <v>5458</v>
      </c>
      <c r="J997" t="s">
        <v>5449</v>
      </c>
      <c r="K997" t="s">
        <v>1464</v>
      </c>
      <c r="L997" t="s">
        <v>5463</v>
      </c>
      <c r="M997" t="s">
        <v>1509</v>
      </c>
      <c r="N997" t="s">
        <v>5464</v>
      </c>
      <c r="O997" t="s">
        <v>26</v>
      </c>
      <c r="P997">
        <v>9.99</v>
      </c>
      <c r="Q997">
        <v>12.49</v>
      </c>
      <c r="R997">
        <v>9.99</v>
      </c>
      <c r="T997" t="s">
        <v>5465</v>
      </c>
    </row>
    <row r="998" spans="1:20">
      <c r="A998">
        <v>683053</v>
      </c>
      <c r="B998" t="s">
        <v>5466</v>
      </c>
      <c r="C998" t="str">
        <f>"9781554690978"</f>
        <v>9781554690978</v>
      </c>
      <c r="D998" t="str">
        <f>"9781554690985"</f>
        <v>9781554690985</v>
      </c>
      <c r="E998" t="s">
        <v>4668</v>
      </c>
      <c r="F998" t="s">
        <v>4668</v>
      </c>
      <c r="G998" s="1">
        <v>40087</v>
      </c>
      <c r="H998">
        <v>1</v>
      </c>
      <c r="J998" t="s">
        <v>5467</v>
      </c>
      <c r="K998" t="s">
        <v>3572</v>
      </c>
      <c r="L998" t="s">
        <v>5468</v>
      </c>
      <c r="M998" t="s">
        <v>4671</v>
      </c>
      <c r="N998" t="s">
        <v>5469</v>
      </c>
      <c r="O998" t="s">
        <v>26</v>
      </c>
      <c r="P998">
        <v>9.99</v>
      </c>
      <c r="Q998">
        <v>12.49</v>
      </c>
      <c r="R998">
        <v>9.99</v>
      </c>
      <c r="T998" t="s">
        <v>5470</v>
      </c>
    </row>
    <row r="999" spans="1:20">
      <c r="A999">
        <v>683054</v>
      </c>
      <c r="B999" t="s">
        <v>5471</v>
      </c>
      <c r="C999" t="str">
        <f>"9781551433981"</f>
        <v>9781551433981</v>
      </c>
      <c r="D999" t="str">
        <f>"9781551439198"</f>
        <v>9781551439198</v>
      </c>
      <c r="E999" t="s">
        <v>4668</v>
      </c>
      <c r="F999" t="s">
        <v>4668</v>
      </c>
      <c r="G999" s="1">
        <v>39326</v>
      </c>
      <c r="H999">
        <v>1</v>
      </c>
      <c r="J999" t="s">
        <v>5472</v>
      </c>
      <c r="K999" t="s">
        <v>3572</v>
      </c>
      <c r="L999" t="s">
        <v>5473</v>
      </c>
      <c r="M999">
        <v>813.6</v>
      </c>
      <c r="N999" t="s">
        <v>5474</v>
      </c>
      <c r="O999" t="s">
        <v>26</v>
      </c>
      <c r="P999">
        <v>19.989999999999998</v>
      </c>
      <c r="Q999">
        <v>24.99</v>
      </c>
      <c r="R999">
        <v>19.989999999999998</v>
      </c>
      <c r="T999" t="s">
        <v>5475</v>
      </c>
    </row>
    <row r="1000" spans="1:20">
      <c r="A1000">
        <v>683055</v>
      </c>
      <c r="B1000" t="s">
        <v>5476</v>
      </c>
      <c r="C1000" t="str">
        <f>"9781551434698"</f>
        <v>9781551434698</v>
      </c>
      <c r="D1000" t="str">
        <f>"9781551434711"</f>
        <v>9781551434711</v>
      </c>
      <c r="E1000" t="s">
        <v>4668</v>
      </c>
      <c r="F1000" t="s">
        <v>4668</v>
      </c>
      <c r="G1000" s="1">
        <v>38961</v>
      </c>
      <c r="H1000">
        <v>1</v>
      </c>
      <c r="I1000" t="s">
        <v>4703</v>
      </c>
      <c r="J1000" t="s">
        <v>5477</v>
      </c>
      <c r="K1000" t="s">
        <v>3572</v>
      </c>
      <c r="L1000" t="s">
        <v>5478</v>
      </c>
      <c r="M1000" t="s">
        <v>1460</v>
      </c>
      <c r="N1000" t="s">
        <v>4969</v>
      </c>
      <c r="O1000" t="s">
        <v>26</v>
      </c>
      <c r="P1000">
        <v>6.99</v>
      </c>
      <c r="Q1000">
        <v>8.74</v>
      </c>
      <c r="R1000">
        <v>6.99</v>
      </c>
      <c r="T1000" t="s">
        <v>5479</v>
      </c>
    </row>
    <row r="1001" spans="1:20">
      <c r="A1001">
        <v>683056</v>
      </c>
      <c r="B1001" t="s">
        <v>5480</v>
      </c>
      <c r="C1001" t="str">
        <f>"9781551432908"</f>
        <v>9781551432908</v>
      </c>
      <c r="D1001" t="str">
        <f>"9781551437613"</f>
        <v>9781551437613</v>
      </c>
      <c r="E1001" t="s">
        <v>4668</v>
      </c>
      <c r="F1001" t="s">
        <v>4668</v>
      </c>
      <c r="G1001" s="1">
        <v>38078</v>
      </c>
      <c r="H1001">
        <v>1</v>
      </c>
      <c r="I1001" t="s">
        <v>4703</v>
      </c>
      <c r="J1001" t="s">
        <v>5477</v>
      </c>
      <c r="K1001" t="s">
        <v>1458</v>
      </c>
      <c r="L1001" t="s">
        <v>5481</v>
      </c>
      <c r="M1001" t="s">
        <v>1460</v>
      </c>
      <c r="N1001" t="s">
        <v>4969</v>
      </c>
      <c r="O1001" t="s">
        <v>26</v>
      </c>
      <c r="P1001">
        <v>6.99</v>
      </c>
      <c r="Q1001">
        <v>8.74</v>
      </c>
      <c r="R1001">
        <v>6.99</v>
      </c>
      <c r="T1001" t="s">
        <v>5482</v>
      </c>
    </row>
    <row r="1002" spans="1:20">
      <c r="A1002">
        <v>683057</v>
      </c>
      <c r="B1002" t="s">
        <v>5483</v>
      </c>
      <c r="C1002" t="str">
        <f>"9781554691951"</f>
        <v>9781554691951</v>
      </c>
      <c r="D1002" t="str">
        <f>"9781554691968"</f>
        <v>9781554691968</v>
      </c>
      <c r="E1002" t="s">
        <v>4668</v>
      </c>
      <c r="F1002" t="s">
        <v>4668</v>
      </c>
      <c r="G1002" s="1">
        <v>40269</v>
      </c>
      <c r="H1002">
        <v>1</v>
      </c>
      <c r="J1002" t="s">
        <v>5484</v>
      </c>
      <c r="K1002" t="s">
        <v>3572</v>
      </c>
      <c r="L1002" t="s">
        <v>5485</v>
      </c>
      <c r="M1002" t="s">
        <v>4671</v>
      </c>
      <c r="N1002" t="s">
        <v>5486</v>
      </c>
      <c r="O1002" t="s">
        <v>26</v>
      </c>
      <c r="P1002">
        <v>9.99</v>
      </c>
      <c r="Q1002">
        <v>12.49</v>
      </c>
      <c r="R1002">
        <v>9.99</v>
      </c>
      <c r="T1002" t="s">
        <v>5487</v>
      </c>
    </row>
    <row r="1003" spans="1:20">
      <c r="A1003">
        <v>683058</v>
      </c>
      <c r="B1003" t="s">
        <v>5488</v>
      </c>
      <c r="C1003" t="str">
        <f>"9781551439822"</f>
        <v>9781551439822</v>
      </c>
      <c r="D1003" t="str">
        <f>"9781551439846"</f>
        <v>9781551439846</v>
      </c>
      <c r="E1003" t="s">
        <v>4668</v>
      </c>
      <c r="F1003" t="s">
        <v>4668</v>
      </c>
      <c r="G1003" s="1">
        <v>39904</v>
      </c>
      <c r="H1003">
        <v>1</v>
      </c>
      <c r="J1003" t="s">
        <v>5484</v>
      </c>
      <c r="K1003" t="s">
        <v>5489</v>
      </c>
      <c r="L1003" t="s">
        <v>5490</v>
      </c>
      <c r="M1003">
        <v>159</v>
      </c>
      <c r="N1003" t="s">
        <v>5491</v>
      </c>
      <c r="O1003" t="s">
        <v>26</v>
      </c>
      <c r="P1003">
        <v>9.99</v>
      </c>
      <c r="Q1003">
        <v>12.49</v>
      </c>
      <c r="R1003">
        <v>9.99</v>
      </c>
      <c r="T1003" t="s">
        <v>5492</v>
      </c>
    </row>
    <row r="1004" spans="1:20">
      <c r="A1004">
        <v>683062</v>
      </c>
      <c r="B1004" t="s">
        <v>5493</v>
      </c>
      <c r="C1004" t="str">
        <f>"9781551433196"</f>
        <v>9781551433196</v>
      </c>
      <c r="D1004" t="str">
        <f>"9781551434254"</f>
        <v>9781551434254</v>
      </c>
      <c r="E1004" t="s">
        <v>4668</v>
      </c>
      <c r="F1004" t="s">
        <v>4668</v>
      </c>
      <c r="G1004" s="1">
        <v>38231</v>
      </c>
      <c r="H1004">
        <v>1</v>
      </c>
      <c r="I1004" t="s">
        <v>5056</v>
      </c>
      <c r="J1004" t="s">
        <v>5494</v>
      </c>
      <c r="K1004" t="s">
        <v>1464</v>
      </c>
      <c r="L1004" t="s">
        <v>5495</v>
      </c>
      <c r="M1004" t="s">
        <v>1509</v>
      </c>
      <c r="N1004" t="s">
        <v>5496</v>
      </c>
      <c r="O1004" t="s">
        <v>26</v>
      </c>
      <c r="P1004">
        <v>9.99</v>
      </c>
      <c r="Q1004">
        <v>12.49</v>
      </c>
      <c r="R1004">
        <v>9.99</v>
      </c>
      <c r="T1004" t="s">
        <v>5497</v>
      </c>
    </row>
    <row r="1005" spans="1:20">
      <c r="A1005">
        <v>683064</v>
      </c>
      <c r="B1005" t="s">
        <v>5498</v>
      </c>
      <c r="C1005" t="str">
        <f>"9781551435053"</f>
        <v>9781551435053</v>
      </c>
      <c r="D1005" t="str">
        <f>"9781551435060"</f>
        <v>9781551435060</v>
      </c>
      <c r="E1005" t="s">
        <v>4668</v>
      </c>
      <c r="F1005" t="s">
        <v>4668</v>
      </c>
      <c r="G1005" s="1">
        <v>38777</v>
      </c>
      <c r="H1005">
        <v>1</v>
      </c>
      <c r="I1005" t="s">
        <v>5056</v>
      </c>
      <c r="J1005" t="s">
        <v>5499</v>
      </c>
      <c r="K1005" t="s">
        <v>3572</v>
      </c>
      <c r="L1005" t="s">
        <v>5500</v>
      </c>
      <c r="M1005" t="s">
        <v>1460</v>
      </c>
      <c r="N1005" t="s">
        <v>5501</v>
      </c>
      <c r="O1005" t="s">
        <v>26</v>
      </c>
      <c r="P1005">
        <v>9.99</v>
      </c>
      <c r="Q1005">
        <v>12.49</v>
      </c>
      <c r="R1005">
        <v>9.99</v>
      </c>
      <c r="T1005" t="s">
        <v>5502</v>
      </c>
    </row>
    <row r="1006" spans="1:20">
      <c r="A1006">
        <v>683065</v>
      </c>
      <c r="B1006" t="s">
        <v>5503</v>
      </c>
      <c r="C1006" t="str">
        <f>"9781554691494"</f>
        <v>9781554691494</v>
      </c>
      <c r="D1006" t="str">
        <f>"9781554691517"</f>
        <v>9781554691517</v>
      </c>
      <c r="E1006" t="s">
        <v>4668</v>
      </c>
      <c r="F1006" t="s">
        <v>4668</v>
      </c>
      <c r="G1006" s="1">
        <v>40087</v>
      </c>
      <c r="H1006">
        <v>1</v>
      </c>
      <c r="I1006" t="s">
        <v>5056</v>
      </c>
      <c r="J1006" t="s">
        <v>5499</v>
      </c>
      <c r="K1006" t="s">
        <v>3572</v>
      </c>
      <c r="L1006" t="s">
        <v>5504</v>
      </c>
      <c r="M1006" t="s">
        <v>1460</v>
      </c>
      <c r="N1006" t="s">
        <v>5505</v>
      </c>
      <c r="O1006" t="s">
        <v>26</v>
      </c>
      <c r="P1006">
        <v>9.99</v>
      </c>
      <c r="Q1006">
        <v>12.49</v>
      </c>
      <c r="R1006">
        <v>9.99</v>
      </c>
      <c r="T1006" t="s">
        <v>5506</v>
      </c>
    </row>
    <row r="1007" spans="1:20">
      <c r="A1007">
        <v>683066</v>
      </c>
      <c r="B1007" t="s">
        <v>5507</v>
      </c>
      <c r="C1007" t="str">
        <f>"9781551430720"</f>
        <v>9781551430720</v>
      </c>
      <c r="D1007" t="str">
        <f>"9781551437903"</f>
        <v>9781551437903</v>
      </c>
      <c r="E1007" t="s">
        <v>4668</v>
      </c>
      <c r="F1007" t="s">
        <v>4668</v>
      </c>
      <c r="G1007" s="1">
        <v>38078</v>
      </c>
      <c r="H1007">
        <v>1</v>
      </c>
      <c r="J1007" t="s">
        <v>3660</v>
      </c>
      <c r="K1007" t="s">
        <v>3572</v>
      </c>
      <c r="L1007" t="s">
        <v>5508</v>
      </c>
      <c r="M1007" t="s">
        <v>1460</v>
      </c>
      <c r="N1007" t="s">
        <v>5509</v>
      </c>
      <c r="O1007" t="s">
        <v>26</v>
      </c>
      <c r="P1007">
        <v>8.99</v>
      </c>
      <c r="Q1007">
        <v>11.24</v>
      </c>
      <c r="R1007">
        <v>8.99</v>
      </c>
      <c r="T1007" t="s">
        <v>5510</v>
      </c>
    </row>
    <row r="1008" spans="1:20">
      <c r="A1008">
        <v>683067</v>
      </c>
      <c r="B1008" t="s">
        <v>5511</v>
      </c>
      <c r="C1008" t="str">
        <f>"9781554691456"</f>
        <v>9781554691456</v>
      </c>
      <c r="D1008" t="str">
        <f>"9781554691463"</f>
        <v>9781554691463</v>
      </c>
      <c r="E1008" t="s">
        <v>4668</v>
      </c>
      <c r="F1008" t="s">
        <v>4668</v>
      </c>
      <c r="G1008" s="1">
        <v>40087</v>
      </c>
      <c r="H1008">
        <v>1</v>
      </c>
      <c r="I1008" t="s">
        <v>5010</v>
      </c>
      <c r="J1008" t="s">
        <v>5512</v>
      </c>
      <c r="K1008" t="s">
        <v>3572</v>
      </c>
      <c r="L1008" t="s">
        <v>5513</v>
      </c>
      <c r="M1008" t="s">
        <v>1509</v>
      </c>
      <c r="N1008" t="s">
        <v>5514</v>
      </c>
      <c r="O1008" t="s">
        <v>26</v>
      </c>
      <c r="P1008">
        <v>7.99</v>
      </c>
      <c r="Q1008">
        <v>9.99</v>
      </c>
      <c r="R1008">
        <v>7.99</v>
      </c>
      <c r="T1008" t="s">
        <v>5515</v>
      </c>
    </row>
    <row r="1009" spans="1:20">
      <c r="A1009">
        <v>683068</v>
      </c>
      <c r="B1009" t="s">
        <v>5516</v>
      </c>
      <c r="C1009" t="str">
        <f>"9781554690497"</f>
        <v>9781554690497</v>
      </c>
      <c r="D1009" t="str">
        <f>"9781554690503"</f>
        <v>9781554690503</v>
      </c>
      <c r="E1009" t="s">
        <v>4668</v>
      </c>
      <c r="F1009" t="s">
        <v>4668</v>
      </c>
      <c r="G1009" s="1">
        <v>39722</v>
      </c>
      <c r="H1009">
        <v>1</v>
      </c>
      <c r="J1009" t="s">
        <v>5517</v>
      </c>
      <c r="K1009" t="s">
        <v>5158</v>
      </c>
      <c r="L1009" t="s">
        <v>5518</v>
      </c>
      <c r="M1009">
        <v>256</v>
      </c>
      <c r="N1009" t="s">
        <v>5519</v>
      </c>
      <c r="O1009" t="s">
        <v>26</v>
      </c>
      <c r="P1009">
        <v>12.99</v>
      </c>
      <c r="Q1009">
        <v>16.239999999999998</v>
      </c>
      <c r="R1009">
        <v>12.99</v>
      </c>
      <c r="T1009" t="s">
        <v>5520</v>
      </c>
    </row>
    <row r="1010" spans="1:20">
      <c r="A1010">
        <v>683069</v>
      </c>
      <c r="B1010" t="s">
        <v>5521</v>
      </c>
      <c r="C1010" t="str">
        <f>"9781554692651"</f>
        <v>9781554692651</v>
      </c>
      <c r="D1010" t="str">
        <f>"9781554692668"</f>
        <v>9781554692668</v>
      </c>
      <c r="E1010" t="s">
        <v>4668</v>
      </c>
      <c r="F1010" t="s">
        <v>4668</v>
      </c>
      <c r="G1010" s="1">
        <v>40483</v>
      </c>
      <c r="H1010">
        <v>1</v>
      </c>
      <c r="J1010" t="s">
        <v>5517</v>
      </c>
      <c r="K1010" t="s">
        <v>3572</v>
      </c>
      <c r="L1010" t="s">
        <v>5522</v>
      </c>
      <c r="M1010" t="s">
        <v>4671</v>
      </c>
      <c r="N1010" t="s">
        <v>5523</v>
      </c>
      <c r="O1010" t="s">
        <v>26</v>
      </c>
      <c r="P1010">
        <v>12.99</v>
      </c>
      <c r="Q1010">
        <v>16.239999999999998</v>
      </c>
      <c r="R1010">
        <v>12.99</v>
      </c>
      <c r="T1010" t="s">
        <v>5524</v>
      </c>
    </row>
    <row r="1011" spans="1:20">
      <c r="A1011">
        <v>683070</v>
      </c>
      <c r="B1011" t="s">
        <v>5525</v>
      </c>
      <c r="C1011" t="str">
        <f>"9781551433394"</f>
        <v>9781551433394</v>
      </c>
      <c r="D1011" t="str">
        <f>"9781551438306"</f>
        <v>9781551438306</v>
      </c>
      <c r="E1011" t="s">
        <v>4668</v>
      </c>
      <c r="F1011" t="s">
        <v>4668</v>
      </c>
      <c r="G1011" s="1">
        <v>38596</v>
      </c>
      <c r="H1011">
        <v>1</v>
      </c>
      <c r="I1011" t="s">
        <v>5010</v>
      </c>
      <c r="J1011" t="s">
        <v>5526</v>
      </c>
      <c r="K1011" t="s">
        <v>3617</v>
      </c>
      <c r="L1011" t="s">
        <v>5527</v>
      </c>
      <c r="M1011" t="s">
        <v>4752</v>
      </c>
      <c r="N1011" t="s">
        <v>5528</v>
      </c>
      <c r="O1011" t="s">
        <v>26</v>
      </c>
      <c r="P1011">
        <v>7.99</v>
      </c>
      <c r="Q1011">
        <v>9.99</v>
      </c>
      <c r="R1011">
        <v>7.99</v>
      </c>
      <c r="T1011" t="s">
        <v>5529</v>
      </c>
    </row>
    <row r="1012" spans="1:20">
      <c r="A1012">
        <v>683071</v>
      </c>
      <c r="B1012" t="s">
        <v>5530</v>
      </c>
      <c r="C1012" t="str">
        <f>"9781551432038"</f>
        <v>9781551432038</v>
      </c>
      <c r="D1012" t="str">
        <f>"9781551433899"</f>
        <v>9781551433899</v>
      </c>
      <c r="E1012" t="s">
        <v>4668</v>
      </c>
      <c r="F1012" t="s">
        <v>4668</v>
      </c>
      <c r="G1012" s="1">
        <v>37500</v>
      </c>
      <c r="H1012">
        <v>1</v>
      </c>
      <c r="I1012" t="s">
        <v>5010</v>
      </c>
      <c r="J1012" t="s">
        <v>5526</v>
      </c>
      <c r="K1012" t="s">
        <v>3572</v>
      </c>
      <c r="L1012" t="s">
        <v>5531</v>
      </c>
      <c r="M1012" t="s">
        <v>1460</v>
      </c>
      <c r="N1012" t="s">
        <v>5532</v>
      </c>
      <c r="O1012" t="s">
        <v>26</v>
      </c>
      <c r="P1012">
        <v>7.99</v>
      </c>
      <c r="Q1012">
        <v>9.99</v>
      </c>
      <c r="R1012">
        <v>7.99</v>
      </c>
      <c r="T1012" t="s">
        <v>5533</v>
      </c>
    </row>
    <row r="1013" spans="1:20">
      <c r="A1013">
        <v>683072</v>
      </c>
      <c r="B1013" t="s">
        <v>5534</v>
      </c>
      <c r="C1013" t="str">
        <f>"9781551432991"</f>
        <v>9781551432991</v>
      </c>
      <c r="D1013" t="str">
        <f>"9781551434582"</f>
        <v>9781551434582</v>
      </c>
      <c r="E1013" t="s">
        <v>4668</v>
      </c>
      <c r="F1013" t="s">
        <v>4668</v>
      </c>
      <c r="G1013" s="1">
        <v>38231</v>
      </c>
      <c r="H1013">
        <v>1</v>
      </c>
      <c r="I1013" t="s">
        <v>5010</v>
      </c>
      <c r="J1013" t="s">
        <v>5526</v>
      </c>
      <c r="K1013" t="s">
        <v>1464</v>
      </c>
      <c r="L1013" t="s">
        <v>5535</v>
      </c>
      <c r="M1013" t="s">
        <v>5427</v>
      </c>
      <c r="N1013" t="s">
        <v>5536</v>
      </c>
      <c r="O1013" t="s">
        <v>26</v>
      </c>
      <c r="P1013">
        <v>7.99</v>
      </c>
      <c r="Q1013">
        <v>9.99</v>
      </c>
      <c r="R1013">
        <v>7.99</v>
      </c>
      <c r="T1013" t="s">
        <v>5537</v>
      </c>
    </row>
    <row r="1014" spans="1:20">
      <c r="A1014">
        <v>683076</v>
      </c>
      <c r="B1014" t="s">
        <v>5538</v>
      </c>
      <c r="C1014" t="str">
        <f>"9781551437132"</f>
        <v>9781551437132</v>
      </c>
      <c r="D1014" t="str">
        <f>"9781551437156"</f>
        <v>9781551437156</v>
      </c>
      <c r="E1014" t="s">
        <v>4668</v>
      </c>
      <c r="F1014" t="s">
        <v>4668</v>
      </c>
      <c r="G1014" s="1">
        <v>39539</v>
      </c>
      <c r="H1014">
        <v>1</v>
      </c>
      <c r="J1014" t="s">
        <v>5539</v>
      </c>
      <c r="K1014" t="s">
        <v>1464</v>
      </c>
      <c r="L1014" t="s">
        <v>5540</v>
      </c>
      <c r="M1014" t="s">
        <v>1509</v>
      </c>
      <c r="N1014" t="s">
        <v>5541</v>
      </c>
      <c r="O1014" t="s">
        <v>26</v>
      </c>
      <c r="P1014">
        <v>9.99</v>
      </c>
      <c r="Q1014">
        <v>12.49</v>
      </c>
      <c r="R1014">
        <v>9.99</v>
      </c>
      <c r="T1014" t="s">
        <v>5542</v>
      </c>
    </row>
    <row r="1015" spans="1:20">
      <c r="A1015">
        <v>683077</v>
      </c>
      <c r="B1015" t="s">
        <v>5543</v>
      </c>
      <c r="C1015" t="str">
        <f>"9781551435268"</f>
        <v>9781551435268</v>
      </c>
      <c r="D1015" t="str">
        <f>"9781551435282"</f>
        <v>9781551435282</v>
      </c>
      <c r="E1015" t="s">
        <v>4668</v>
      </c>
      <c r="F1015" t="s">
        <v>4668</v>
      </c>
      <c r="G1015" s="1">
        <v>38777</v>
      </c>
      <c r="H1015">
        <v>1</v>
      </c>
      <c r="I1015" t="s">
        <v>5056</v>
      </c>
      <c r="J1015" t="s">
        <v>5544</v>
      </c>
      <c r="K1015" t="s">
        <v>3572</v>
      </c>
      <c r="L1015" t="s">
        <v>5545</v>
      </c>
      <c r="M1015" t="s">
        <v>1509</v>
      </c>
      <c r="N1015" t="s">
        <v>5546</v>
      </c>
      <c r="O1015" t="s">
        <v>26</v>
      </c>
      <c r="P1015">
        <v>9.99</v>
      </c>
      <c r="Q1015">
        <v>12.49</v>
      </c>
      <c r="R1015">
        <v>9.99</v>
      </c>
      <c r="T1015" t="s">
        <v>5547</v>
      </c>
    </row>
    <row r="1016" spans="1:20">
      <c r="A1016">
        <v>683078</v>
      </c>
      <c r="B1016" t="s">
        <v>5548</v>
      </c>
      <c r="C1016" t="str">
        <f>"9781554691845"</f>
        <v>9781554691845</v>
      </c>
      <c r="D1016" t="str">
        <f>"9781554691869"</f>
        <v>9781554691869</v>
      </c>
      <c r="E1016" t="s">
        <v>4668</v>
      </c>
      <c r="F1016" t="s">
        <v>4668</v>
      </c>
      <c r="G1016" s="1">
        <v>40087</v>
      </c>
      <c r="H1016">
        <v>1</v>
      </c>
      <c r="I1016" t="s">
        <v>5056</v>
      </c>
      <c r="J1016" t="s">
        <v>5544</v>
      </c>
      <c r="K1016" t="s">
        <v>3572</v>
      </c>
      <c r="L1016" t="s">
        <v>5549</v>
      </c>
      <c r="M1016" t="s">
        <v>4671</v>
      </c>
      <c r="N1016" t="s">
        <v>5550</v>
      </c>
      <c r="O1016" t="s">
        <v>26</v>
      </c>
      <c r="P1016">
        <v>9.99</v>
      </c>
      <c r="Q1016">
        <v>12.49</v>
      </c>
      <c r="R1016">
        <v>9.99</v>
      </c>
      <c r="T1016" t="s">
        <v>5551</v>
      </c>
    </row>
    <row r="1017" spans="1:20">
      <c r="A1017">
        <v>683079</v>
      </c>
      <c r="B1017" t="s">
        <v>5552</v>
      </c>
      <c r="C1017" t="str">
        <f>"9781551439044"</f>
        <v>9781551439044</v>
      </c>
      <c r="D1017" t="str">
        <f>"9781551439082"</f>
        <v>9781551439082</v>
      </c>
      <c r="E1017" t="s">
        <v>4668</v>
      </c>
      <c r="F1017" t="s">
        <v>4668</v>
      </c>
      <c r="G1017" s="1">
        <v>39508</v>
      </c>
      <c r="H1017">
        <v>1</v>
      </c>
      <c r="I1017" t="s">
        <v>5056</v>
      </c>
      <c r="J1017" t="s">
        <v>5544</v>
      </c>
      <c r="K1017" t="s">
        <v>3572</v>
      </c>
      <c r="L1017" t="s">
        <v>5553</v>
      </c>
      <c r="M1017" t="s">
        <v>1509</v>
      </c>
      <c r="N1017" t="s">
        <v>5554</v>
      </c>
      <c r="O1017" t="s">
        <v>26</v>
      </c>
      <c r="P1017">
        <v>9.99</v>
      </c>
      <c r="Q1017">
        <v>12.49</v>
      </c>
      <c r="R1017">
        <v>9.99</v>
      </c>
      <c r="T1017" t="s">
        <v>5555</v>
      </c>
    </row>
    <row r="1018" spans="1:20">
      <c r="A1018">
        <v>683080</v>
      </c>
      <c r="B1018" t="s">
        <v>5556</v>
      </c>
      <c r="C1018" t="str">
        <f>"9781551433219"</f>
        <v>9781551433219</v>
      </c>
      <c r="D1018" t="str">
        <f>"9781551434292"</f>
        <v>9781551434292</v>
      </c>
      <c r="E1018" t="s">
        <v>4668</v>
      </c>
      <c r="F1018" t="s">
        <v>4668</v>
      </c>
      <c r="G1018" s="1">
        <v>38231</v>
      </c>
      <c r="H1018">
        <v>1</v>
      </c>
      <c r="I1018" t="s">
        <v>5056</v>
      </c>
      <c r="J1018" t="s">
        <v>5544</v>
      </c>
      <c r="K1018" t="s">
        <v>1464</v>
      </c>
      <c r="L1018" t="s">
        <v>5557</v>
      </c>
      <c r="M1018" t="s">
        <v>1509</v>
      </c>
      <c r="N1018" t="s">
        <v>5558</v>
      </c>
      <c r="O1018" t="s">
        <v>26</v>
      </c>
      <c r="P1018">
        <v>9.99</v>
      </c>
      <c r="Q1018">
        <v>12.49</v>
      </c>
      <c r="R1018">
        <v>9.99</v>
      </c>
      <c r="T1018" t="s">
        <v>5559</v>
      </c>
    </row>
    <row r="1019" spans="1:20">
      <c r="A1019">
        <v>683081</v>
      </c>
      <c r="B1019" t="s">
        <v>5560</v>
      </c>
      <c r="C1019" t="str">
        <f>"9781551437293"</f>
        <v>9781551437293</v>
      </c>
      <c r="D1019" t="str">
        <f>"9781551434377"</f>
        <v>9781551434377</v>
      </c>
      <c r="E1019" t="s">
        <v>4668</v>
      </c>
      <c r="F1019" t="s">
        <v>4668</v>
      </c>
      <c r="G1019" s="1">
        <v>38231</v>
      </c>
      <c r="H1019">
        <v>1</v>
      </c>
      <c r="J1019" t="s">
        <v>5544</v>
      </c>
      <c r="K1019" t="s">
        <v>3572</v>
      </c>
      <c r="L1019" t="s">
        <v>5561</v>
      </c>
      <c r="M1019" t="s">
        <v>3612</v>
      </c>
      <c r="N1019" t="s">
        <v>5562</v>
      </c>
      <c r="O1019" t="s">
        <v>26</v>
      </c>
      <c r="P1019">
        <v>9.99</v>
      </c>
      <c r="Q1019">
        <v>12.49</v>
      </c>
      <c r="R1019">
        <v>9.99</v>
      </c>
      <c r="T1019" t="s">
        <v>5563</v>
      </c>
    </row>
    <row r="1020" spans="1:20">
      <c r="A1020">
        <v>683082</v>
      </c>
      <c r="B1020" t="s">
        <v>5564</v>
      </c>
      <c r="C1020" t="str">
        <f>"9781551432670"</f>
        <v>9781551432670</v>
      </c>
      <c r="D1020" t="str">
        <f>"9781551434346"</f>
        <v>9781551434346</v>
      </c>
      <c r="E1020" t="s">
        <v>4668</v>
      </c>
      <c r="F1020" t="s">
        <v>4668</v>
      </c>
      <c r="G1020" s="1">
        <v>37865</v>
      </c>
      <c r="H1020">
        <v>1</v>
      </c>
      <c r="I1020" t="s">
        <v>5056</v>
      </c>
      <c r="J1020" t="s">
        <v>5565</v>
      </c>
      <c r="K1020" t="s">
        <v>1464</v>
      </c>
      <c r="L1020" t="s">
        <v>5566</v>
      </c>
      <c r="M1020" t="s">
        <v>1460</v>
      </c>
      <c r="N1020" t="s">
        <v>5567</v>
      </c>
      <c r="O1020" t="s">
        <v>26</v>
      </c>
      <c r="P1020">
        <v>9.99</v>
      </c>
      <c r="Q1020">
        <v>12.49</v>
      </c>
      <c r="R1020">
        <v>9.99</v>
      </c>
      <c r="T1020" t="s">
        <v>5568</v>
      </c>
    </row>
    <row r="1021" spans="1:20">
      <c r="A1021">
        <v>683083</v>
      </c>
      <c r="B1021" t="s">
        <v>5569</v>
      </c>
      <c r="C1021" t="str">
        <f>"9781551436821"</f>
        <v>9781551436821</v>
      </c>
      <c r="D1021" t="str">
        <f>"9781551436845"</f>
        <v>9781551436845</v>
      </c>
      <c r="E1021" t="s">
        <v>4668</v>
      </c>
      <c r="F1021" t="s">
        <v>4668</v>
      </c>
      <c r="G1021" s="1">
        <v>39142</v>
      </c>
      <c r="H1021">
        <v>1</v>
      </c>
      <c r="I1021" t="s">
        <v>5010</v>
      </c>
      <c r="J1021" t="s">
        <v>5570</v>
      </c>
      <c r="K1021" t="s">
        <v>3572</v>
      </c>
      <c r="L1021" t="s">
        <v>5571</v>
      </c>
      <c r="M1021" t="s">
        <v>5047</v>
      </c>
      <c r="N1021" t="s">
        <v>5572</v>
      </c>
      <c r="O1021" t="s">
        <v>26</v>
      </c>
      <c r="P1021">
        <v>7.99</v>
      </c>
      <c r="Q1021">
        <v>9.99</v>
      </c>
      <c r="R1021">
        <v>7.99</v>
      </c>
      <c r="T1021" t="s">
        <v>5573</v>
      </c>
    </row>
    <row r="1022" spans="1:20">
      <c r="A1022">
        <v>683088</v>
      </c>
      <c r="B1022" t="s">
        <v>5574</v>
      </c>
      <c r="C1022" t="str">
        <f>"9781551436548"</f>
        <v>9781551436548</v>
      </c>
      <c r="D1022" t="str">
        <f>"9781551436586"</f>
        <v>9781551436586</v>
      </c>
      <c r="E1022" t="s">
        <v>4668</v>
      </c>
      <c r="F1022" t="s">
        <v>4668</v>
      </c>
      <c r="G1022" s="1">
        <v>39142</v>
      </c>
      <c r="H1022">
        <v>1</v>
      </c>
      <c r="I1022" t="s">
        <v>5056</v>
      </c>
      <c r="J1022" t="s">
        <v>5575</v>
      </c>
      <c r="K1022" t="s">
        <v>3572</v>
      </c>
      <c r="L1022" t="s">
        <v>5576</v>
      </c>
      <c r="M1022" t="s">
        <v>1460</v>
      </c>
      <c r="N1022" t="s">
        <v>5577</v>
      </c>
      <c r="O1022" t="s">
        <v>26</v>
      </c>
      <c r="P1022">
        <v>9.99</v>
      </c>
      <c r="Q1022">
        <v>12.49</v>
      </c>
      <c r="R1022">
        <v>9.99</v>
      </c>
      <c r="T1022" t="s">
        <v>5578</v>
      </c>
    </row>
    <row r="1023" spans="1:20">
      <c r="A1023">
        <v>683089</v>
      </c>
      <c r="B1023" t="s">
        <v>5579</v>
      </c>
      <c r="C1023" t="str">
        <f>"9781551437668"</f>
        <v>9781551437668</v>
      </c>
      <c r="D1023" t="str">
        <f>"9781551437705"</f>
        <v>9781551437705</v>
      </c>
      <c r="E1023" t="s">
        <v>4668</v>
      </c>
      <c r="F1023" t="s">
        <v>4668</v>
      </c>
      <c r="G1023" s="1">
        <v>39356</v>
      </c>
      <c r="H1023">
        <v>1</v>
      </c>
      <c r="I1023" t="s">
        <v>5056</v>
      </c>
      <c r="J1023" t="s">
        <v>5575</v>
      </c>
      <c r="K1023" t="s">
        <v>3572</v>
      </c>
      <c r="L1023" t="s">
        <v>5580</v>
      </c>
      <c r="M1023" t="s">
        <v>1460</v>
      </c>
      <c r="N1023" t="s">
        <v>5581</v>
      </c>
      <c r="O1023" t="s">
        <v>26</v>
      </c>
      <c r="P1023">
        <v>9.99</v>
      </c>
      <c r="Q1023">
        <v>12.49</v>
      </c>
      <c r="R1023">
        <v>9.99</v>
      </c>
      <c r="T1023" t="s">
        <v>5582</v>
      </c>
    </row>
    <row r="1024" spans="1:20">
      <c r="A1024">
        <v>683090</v>
      </c>
      <c r="B1024" t="s">
        <v>5583</v>
      </c>
      <c r="C1024" t="str">
        <f>"9781554693641"</f>
        <v>9781554693641</v>
      </c>
      <c r="D1024" t="str">
        <f>"9781554693665"</f>
        <v>9781554693665</v>
      </c>
      <c r="E1024" t="s">
        <v>4668</v>
      </c>
      <c r="F1024" t="s">
        <v>4668</v>
      </c>
      <c r="G1024" s="1">
        <v>40452</v>
      </c>
      <c r="H1024">
        <v>1</v>
      </c>
      <c r="I1024" t="s">
        <v>5056</v>
      </c>
      <c r="J1024" t="s">
        <v>5575</v>
      </c>
      <c r="K1024" t="s">
        <v>3572</v>
      </c>
      <c r="L1024" t="s">
        <v>5584</v>
      </c>
      <c r="M1024" t="s">
        <v>1460</v>
      </c>
      <c r="N1024" t="s">
        <v>5585</v>
      </c>
      <c r="O1024" t="s">
        <v>26</v>
      </c>
      <c r="P1024">
        <v>9.99</v>
      </c>
      <c r="Q1024">
        <v>12.49</v>
      </c>
      <c r="R1024">
        <v>9.99</v>
      </c>
      <c r="T1024" t="s">
        <v>5586</v>
      </c>
    </row>
    <row r="1025" spans="1:20">
      <c r="A1025">
        <v>683091</v>
      </c>
      <c r="B1025" t="s">
        <v>5587</v>
      </c>
      <c r="C1025" t="str">
        <f>"9781554691388"</f>
        <v>9781554691388</v>
      </c>
      <c r="D1025" t="str">
        <f>"9781554691401"</f>
        <v>9781554691401</v>
      </c>
      <c r="E1025" t="s">
        <v>4668</v>
      </c>
      <c r="F1025" t="s">
        <v>4668</v>
      </c>
      <c r="G1025" s="1">
        <v>40087</v>
      </c>
      <c r="H1025">
        <v>1</v>
      </c>
      <c r="I1025" t="s">
        <v>5056</v>
      </c>
      <c r="J1025" t="s">
        <v>5575</v>
      </c>
      <c r="K1025" t="s">
        <v>3572</v>
      </c>
      <c r="L1025" t="s">
        <v>5588</v>
      </c>
      <c r="M1025" t="s">
        <v>1460</v>
      </c>
      <c r="N1025" t="s">
        <v>5589</v>
      </c>
      <c r="O1025" t="s">
        <v>26</v>
      </c>
      <c r="P1025">
        <v>9.99</v>
      </c>
      <c r="Q1025">
        <v>12.49</v>
      </c>
      <c r="R1025">
        <v>9.99</v>
      </c>
      <c r="T1025" t="s">
        <v>5590</v>
      </c>
    </row>
    <row r="1026" spans="1:20">
      <c r="A1026">
        <v>683092</v>
      </c>
      <c r="B1026" t="s">
        <v>5591</v>
      </c>
      <c r="C1026" t="str">
        <f>"9781551434841"</f>
        <v>9781551434841</v>
      </c>
      <c r="D1026" t="str">
        <f>"9781551436067"</f>
        <v>9781551436067</v>
      </c>
      <c r="E1026" t="s">
        <v>4668</v>
      </c>
      <c r="F1026" t="s">
        <v>4668</v>
      </c>
      <c r="G1026" s="1">
        <v>38596</v>
      </c>
      <c r="H1026">
        <v>1</v>
      </c>
      <c r="I1026" t="s">
        <v>5056</v>
      </c>
      <c r="J1026" t="s">
        <v>5575</v>
      </c>
      <c r="K1026" t="s">
        <v>3572</v>
      </c>
      <c r="L1026" t="s">
        <v>5592</v>
      </c>
      <c r="M1026" t="s">
        <v>4671</v>
      </c>
      <c r="N1026" t="s">
        <v>5593</v>
      </c>
      <c r="O1026" t="s">
        <v>26</v>
      </c>
      <c r="P1026">
        <v>9.99</v>
      </c>
      <c r="Q1026">
        <v>12.49</v>
      </c>
      <c r="R1026">
        <v>9.99</v>
      </c>
      <c r="T1026" t="s">
        <v>5594</v>
      </c>
    </row>
    <row r="1027" spans="1:20">
      <c r="A1027">
        <v>683093</v>
      </c>
      <c r="B1027" t="s">
        <v>5595</v>
      </c>
      <c r="C1027" t="str">
        <f>"9781551435114"</f>
        <v>9781551435114</v>
      </c>
      <c r="D1027" t="str">
        <f>"9781551435138"</f>
        <v>9781551435138</v>
      </c>
      <c r="E1027" t="s">
        <v>4668</v>
      </c>
      <c r="F1027" t="s">
        <v>4668</v>
      </c>
      <c r="G1027" s="1">
        <v>38961</v>
      </c>
      <c r="H1027">
        <v>1</v>
      </c>
      <c r="I1027" t="s">
        <v>5056</v>
      </c>
      <c r="J1027" t="s">
        <v>5575</v>
      </c>
      <c r="K1027" t="s">
        <v>3572</v>
      </c>
      <c r="L1027" t="s">
        <v>5596</v>
      </c>
      <c r="M1027" t="s">
        <v>1460</v>
      </c>
      <c r="N1027" t="s">
        <v>5597</v>
      </c>
      <c r="O1027" t="s">
        <v>26</v>
      </c>
      <c r="P1027">
        <v>9.99</v>
      </c>
      <c r="Q1027">
        <v>12.49</v>
      </c>
      <c r="R1027">
        <v>9.99</v>
      </c>
      <c r="T1027" t="s">
        <v>5598</v>
      </c>
    </row>
    <row r="1028" spans="1:20">
      <c r="A1028">
        <v>683095</v>
      </c>
      <c r="B1028" t="s">
        <v>5599</v>
      </c>
      <c r="C1028" t="str">
        <f>"9781551439891"</f>
        <v>9781551439891</v>
      </c>
      <c r="D1028" t="str">
        <f>"9781551439938"</f>
        <v>9781551439938</v>
      </c>
      <c r="E1028" t="s">
        <v>4668</v>
      </c>
      <c r="F1028" t="s">
        <v>4668</v>
      </c>
      <c r="G1028" s="1">
        <v>39904</v>
      </c>
      <c r="H1028">
        <v>1</v>
      </c>
      <c r="I1028" t="s">
        <v>5056</v>
      </c>
      <c r="J1028" t="s">
        <v>5575</v>
      </c>
      <c r="K1028" t="s">
        <v>3572</v>
      </c>
      <c r="L1028" t="s">
        <v>5600</v>
      </c>
      <c r="M1028" t="s">
        <v>4671</v>
      </c>
      <c r="N1028" t="s">
        <v>5601</v>
      </c>
      <c r="O1028" t="s">
        <v>26</v>
      </c>
      <c r="P1028">
        <v>9.99</v>
      </c>
      <c r="Q1028">
        <v>12.49</v>
      </c>
      <c r="R1028">
        <v>9.99</v>
      </c>
      <c r="T1028" t="s">
        <v>5602</v>
      </c>
    </row>
    <row r="1029" spans="1:20">
      <c r="A1029">
        <v>683097</v>
      </c>
      <c r="B1029" t="s">
        <v>5603</v>
      </c>
      <c r="C1029" t="str">
        <f>"9781551437101"</f>
        <v>9781551437101</v>
      </c>
      <c r="D1029" t="str">
        <f>"9781551437125"</f>
        <v>9781551437125</v>
      </c>
      <c r="E1029" t="s">
        <v>4668</v>
      </c>
      <c r="F1029" t="s">
        <v>4668</v>
      </c>
      <c r="G1029" s="1">
        <v>39326</v>
      </c>
      <c r="H1029">
        <v>1</v>
      </c>
      <c r="J1029" t="s">
        <v>5604</v>
      </c>
      <c r="K1029" t="s">
        <v>3572</v>
      </c>
      <c r="L1029" t="s">
        <v>5605</v>
      </c>
      <c r="M1029" t="s">
        <v>1460</v>
      </c>
      <c r="N1029" t="s">
        <v>5606</v>
      </c>
      <c r="O1029" t="s">
        <v>26</v>
      </c>
      <c r="P1029">
        <v>8.99</v>
      </c>
      <c r="Q1029">
        <v>11.24</v>
      </c>
      <c r="R1029">
        <v>8.99</v>
      </c>
      <c r="T1029" t="s">
        <v>5607</v>
      </c>
    </row>
    <row r="1030" spans="1:20">
      <c r="A1030">
        <v>683098</v>
      </c>
      <c r="B1030" t="s">
        <v>5608</v>
      </c>
      <c r="C1030" t="str">
        <f>"9781554690091"</f>
        <v>9781554690091</v>
      </c>
      <c r="D1030" t="str">
        <f>"9781554690107"</f>
        <v>9781554690107</v>
      </c>
      <c r="E1030" t="s">
        <v>4668</v>
      </c>
      <c r="F1030" t="s">
        <v>4668</v>
      </c>
      <c r="G1030" s="1">
        <v>39904</v>
      </c>
      <c r="H1030">
        <v>1</v>
      </c>
      <c r="J1030" t="s">
        <v>5604</v>
      </c>
      <c r="K1030" t="s">
        <v>3572</v>
      </c>
      <c r="L1030" t="s">
        <v>5609</v>
      </c>
      <c r="M1030" t="s">
        <v>1460</v>
      </c>
      <c r="N1030" t="s">
        <v>5610</v>
      </c>
      <c r="O1030" t="s">
        <v>26</v>
      </c>
      <c r="P1030">
        <v>9.99</v>
      </c>
      <c r="Q1030">
        <v>12.49</v>
      </c>
      <c r="R1030">
        <v>9.99</v>
      </c>
      <c r="T1030" t="s">
        <v>5611</v>
      </c>
    </row>
    <row r="1031" spans="1:20">
      <c r="A1031">
        <v>683099</v>
      </c>
      <c r="B1031" t="s">
        <v>5612</v>
      </c>
      <c r="C1031" t="str">
        <f>"9781551439495"</f>
        <v>9781551439495</v>
      </c>
      <c r="D1031" t="str">
        <f>"9781551439518"</f>
        <v>9781551439518</v>
      </c>
      <c r="E1031" t="s">
        <v>4668</v>
      </c>
      <c r="F1031" t="s">
        <v>4668</v>
      </c>
      <c r="G1031" s="1">
        <v>39508</v>
      </c>
      <c r="H1031">
        <v>1</v>
      </c>
      <c r="I1031" t="s">
        <v>5089</v>
      </c>
      <c r="J1031" t="s">
        <v>5613</v>
      </c>
      <c r="K1031" t="s">
        <v>3572</v>
      </c>
      <c r="L1031" t="s">
        <v>5614</v>
      </c>
      <c r="M1031" t="s">
        <v>5047</v>
      </c>
      <c r="N1031" t="s">
        <v>5615</v>
      </c>
      <c r="O1031" t="s">
        <v>26</v>
      </c>
      <c r="P1031">
        <v>7.95</v>
      </c>
      <c r="Q1031">
        <v>9.94</v>
      </c>
      <c r="R1031">
        <v>7.95</v>
      </c>
      <c r="T1031" t="s">
        <v>5616</v>
      </c>
    </row>
    <row r="1032" spans="1:20">
      <c r="A1032">
        <v>683100</v>
      </c>
      <c r="B1032" t="s">
        <v>5617</v>
      </c>
      <c r="C1032" t="str">
        <f>"9781554691890"</f>
        <v>9781554691890</v>
      </c>
      <c r="D1032" t="str">
        <f>"9781554691906"</f>
        <v>9781554691906</v>
      </c>
      <c r="E1032" t="s">
        <v>4668</v>
      </c>
      <c r="F1032" t="s">
        <v>4668</v>
      </c>
      <c r="G1032" s="1">
        <v>40087</v>
      </c>
      <c r="H1032">
        <v>1</v>
      </c>
      <c r="I1032" t="s">
        <v>5089</v>
      </c>
      <c r="J1032" t="s">
        <v>5613</v>
      </c>
      <c r="K1032" t="s">
        <v>3572</v>
      </c>
      <c r="L1032" t="s">
        <v>5618</v>
      </c>
      <c r="M1032" t="s">
        <v>1509</v>
      </c>
      <c r="N1032" t="s">
        <v>5619</v>
      </c>
      <c r="O1032" t="s">
        <v>26</v>
      </c>
      <c r="P1032">
        <v>7.95</v>
      </c>
      <c r="Q1032">
        <v>9.94</v>
      </c>
      <c r="R1032">
        <v>7.95</v>
      </c>
      <c r="T1032" t="s">
        <v>5620</v>
      </c>
    </row>
    <row r="1033" spans="1:20">
      <c r="A1033">
        <v>683101</v>
      </c>
      <c r="B1033" t="s">
        <v>5621</v>
      </c>
      <c r="C1033" t="str">
        <f>"9781551432717"</f>
        <v>9781551432717</v>
      </c>
      <c r="D1033" t="str">
        <f>"9781551434384"</f>
        <v>9781551434384</v>
      </c>
      <c r="E1033" t="s">
        <v>4668</v>
      </c>
      <c r="F1033" t="s">
        <v>4668</v>
      </c>
      <c r="G1033" s="1">
        <v>37865</v>
      </c>
      <c r="H1033">
        <v>1</v>
      </c>
      <c r="I1033" t="s">
        <v>5056</v>
      </c>
      <c r="J1033" t="s">
        <v>5622</v>
      </c>
      <c r="K1033" t="s">
        <v>3572</v>
      </c>
      <c r="L1033" t="s">
        <v>5623</v>
      </c>
      <c r="M1033" t="s">
        <v>1460</v>
      </c>
      <c r="N1033" t="s">
        <v>5624</v>
      </c>
      <c r="O1033" t="s">
        <v>26</v>
      </c>
      <c r="P1033">
        <v>9.99</v>
      </c>
      <c r="Q1033">
        <v>12.49</v>
      </c>
      <c r="R1033">
        <v>9.99</v>
      </c>
      <c r="T1033" t="s">
        <v>5625</v>
      </c>
    </row>
    <row r="1034" spans="1:20">
      <c r="A1034">
        <v>683102</v>
      </c>
      <c r="B1034" t="s">
        <v>5626</v>
      </c>
      <c r="C1034" t="str">
        <f>"9781554691760"</f>
        <v>9781554691760</v>
      </c>
      <c r="D1034" t="str">
        <f>"9781554691777"</f>
        <v>9781554691777</v>
      </c>
      <c r="E1034" t="s">
        <v>4668</v>
      </c>
      <c r="F1034" t="s">
        <v>4668</v>
      </c>
      <c r="G1034" s="1">
        <v>40087</v>
      </c>
      <c r="H1034">
        <v>1</v>
      </c>
      <c r="I1034" t="s">
        <v>5089</v>
      </c>
      <c r="J1034" t="s">
        <v>5627</v>
      </c>
      <c r="K1034" t="s">
        <v>3572</v>
      </c>
      <c r="L1034" t="s">
        <v>5628</v>
      </c>
      <c r="M1034" t="s">
        <v>1509</v>
      </c>
      <c r="N1034" t="s">
        <v>5629</v>
      </c>
      <c r="O1034" t="s">
        <v>26</v>
      </c>
      <c r="P1034">
        <v>7.95</v>
      </c>
      <c r="Q1034">
        <v>9.94</v>
      </c>
      <c r="R1034">
        <v>7.95</v>
      </c>
      <c r="T1034" t="s">
        <v>5630</v>
      </c>
    </row>
    <row r="1035" spans="1:20">
      <c r="A1035">
        <v>683104</v>
      </c>
      <c r="B1035" t="s">
        <v>5631</v>
      </c>
      <c r="C1035" t="str">
        <f>"9781551436999"</f>
        <v>9781551436999</v>
      </c>
      <c r="D1035" t="str">
        <f>"9781551437019"</f>
        <v>9781551437019</v>
      </c>
      <c r="E1035" t="s">
        <v>4668</v>
      </c>
      <c r="F1035" t="s">
        <v>4668</v>
      </c>
      <c r="G1035" s="1">
        <v>39356</v>
      </c>
      <c r="H1035">
        <v>1</v>
      </c>
      <c r="I1035" t="s">
        <v>5089</v>
      </c>
      <c r="J1035" t="s">
        <v>5632</v>
      </c>
      <c r="K1035" t="s">
        <v>3572</v>
      </c>
      <c r="L1035" t="s">
        <v>5633</v>
      </c>
      <c r="M1035" t="s">
        <v>1509</v>
      </c>
      <c r="N1035" t="s">
        <v>5634</v>
      </c>
      <c r="O1035" t="s">
        <v>26</v>
      </c>
      <c r="P1035">
        <v>5.95</v>
      </c>
      <c r="Q1035">
        <v>7.44</v>
      </c>
      <c r="R1035">
        <v>5.95</v>
      </c>
      <c r="T1035" t="s">
        <v>5635</v>
      </c>
    </row>
    <row r="1036" spans="1:20">
      <c r="A1036">
        <v>683106</v>
      </c>
      <c r="B1036" t="s">
        <v>5636</v>
      </c>
      <c r="C1036" t="str">
        <f>"9781551436159"</f>
        <v>9781551436159</v>
      </c>
      <c r="D1036" t="str">
        <f>"9781551436173"</f>
        <v>9781551436173</v>
      </c>
      <c r="E1036" t="s">
        <v>4668</v>
      </c>
      <c r="F1036" t="s">
        <v>4668</v>
      </c>
      <c r="G1036" s="1">
        <v>39142</v>
      </c>
      <c r="H1036">
        <v>1</v>
      </c>
      <c r="J1036" t="s">
        <v>5632</v>
      </c>
      <c r="K1036" t="s">
        <v>5359</v>
      </c>
      <c r="L1036" t="s">
        <v>5637</v>
      </c>
      <c r="M1036">
        <v>138</v>
      </c>
      <c r="N1036" t="s">
        <v>5638</v>
      </c>
      <c r="O1036" t="s">
        <v>26</v>
      </c>
      <c r="P1036">
        <v>8.99</v>
      </c>
      <c r="Q1036">
        <v>11.24</v>
      </c>
      <c r="R1036">
        <v>8.99</v>
      </c>
      <c r="T1036" t="s">
        <v>5639</v>
      </c>
    </row>
    <row r="1037" spans="1:20">
      <c r="A1037">
        <v>683107</v>
      </c>
      <c r="B1037" t="s">
        <v>5640</v>
      </c>
      <c r="C1037" t="str">
        <f>"9781551434933"</f>
        <v>9781551434933</v>
      </c>
      <c r="D1037" t="str">
        <f>"9781551434957"</f>
        <v>9781551434957</v>
      </c>
      <c r="E1037" t="s">
        <v>4668</v>
      </c>
      <c r="F1037" t="s">
        <v>4668</v>
      </c>
      <c r="G1037" s="1">
        <v>38777</v>
      </c>
      <c r="H1037">
        <v>1</v>
      </c>
      <c r="I1037" t="s">
        <v>5056</v>
      </c>
      <c r="J1037" t="s">
        <v>5641</v>
      </c>
      <c r="K1037" t="s">
        <v>3572</v>
      </c>
      <c r="L1037" t="s">
        <v>5642</v>
      </c>
      <c r="M1037" t="s">
        <v>5643</v>
      </c>
      <c r="N1037" t="s">
        <v>5644</v>
      </c>
      <c r="O1037" t="s">
        <v>26</v>
      </c>
      <c r="P1037">
        <v>9.99</v>
      </c>
      <c r="Q1037">
        <v>12.49</v>
      </c>
      <c r="R1037">
        <v>9.99</v>
      </c>
      <c r="T1037" t="s">
        <v>5645</v>
      </c>
    </row>
    <row r="1038" spans="1:20">
      <c r="A1038">
        <v>683108</v>
      </c>
      <c r="B1038" t="s">
        <v>5646</v>
      </c>
      <c r="C1038" t="str">
        <f>"9781554691265"</f>
        <v>9781554691265</v>
      </c>
      <c r="D1038" t="str">
        <f>"9781554691272"</f>
        <v>9781554691272</v>
      </c>
      <c r="E1038" t="s">
        <v>4668</v>
      </c>
      <c r="F1038" t="s">
        <v>4668</v>
      </c>
      <c r="G1038" s="1">
        <v>40087</v>
      </c>
      <c r="H1038">
        <v>1</v>
      </c>
      <c r="J1038" t="s">
        <v>5647</v>
      </c>
      <c r="K1038" t="s">
        <v>3572</v>
      </c>
      <c r="L1038" t="s">
        <v>5648</v>
      </c>
      <c r="M1038" t="s">
        <v>4693</v>
      </c>
      <c r="N1038" t="s">
        <v>5649</v>
      </c>
      <c r="O1038" t="s">
        <v>26</v>
      </c>
      <c r="P1038">
        <v>19.989999999999998</v>
      </c>
      <c r="Q1038">
        <v>24.99</v>
      </c>
      <c r="R1038">
        <v>19.989999999999998</v>
      </c>
      <c r="T1038" t="s">
        <v>5650</v>
      </c>
    </row>
    <row r="1039" spans="1:20">
      <c r="A1039">
        <v>683109</v>
      </c>
      <c r="B1039" t="s">
        <v>5651</v>
      </c>
      <c r="C1039" t="str">
        <f>"9781551438993"</f>
        <v>9781551438993</v>
      </c>
      <c r="D1039" t="str">
        <f>"9781551439037"</f>
        <v>9781551439037</v>
      </c>
      <c r="E1039" t="s">
        <v>4668</v>
      </c>
      <c r="F1039" t="s">
        <v>4668</v>
      </c>
      <c r="G1039" s="1">
        <v>39508</v>
      </c>
      <c r="H1039">
        <v>1</v>
      </c>
      <c r="I1039" t="s">
        <v>5056</v>
      </c>
      <c r="J1039" t="s">
        <v>5652</v>
      </c>
      <c r="K1039" t="s">
        <v>3572</v>
      </c>
      <c r="L1039" t="s">
        <v>5653</v>
      </c>
      <c r="M1039" t="s">
        <v>1509</v>
      </c>
      <c r="N1039" t="s">
        <v>5654</v>
      </c>
      <c r="O1039" t="s">
        <v>26</v>
      </c>
      <c r="P1039">
        <v>9.99</v>
      </c>
      <c r="Q1039">
        <v>12.49</v>
      </c>
      <c r="R1039">
        <v>9.99</v>
      </c>
      <c r="T1039" t="s">
        <v>5655</v>
      </c>
    </row>
    <row r="1040" spans="1:20">
      <c r="A1040">
        <v>683110</v>
      </c>
      <c r="B1040" t="s">
        <v>5656</v>
      </c>
      <c r="C1040" t="str">
        <f>"9781551434629"</f>
        <v>9781551434629</v>
      </c>
      <c r="D1040" t="str">
        <f>"9781551434643"</f>
        <v>9781551434643</v>
      </c>
      <c r="E1040" t="s">
        <v>4668</v>
      </c>
      <c r="F1040" t="s">
        <v>4668</v>
      </c>
      <c r="G1040" s="1">
        <v>38596</v>
      </c>
      <c r="H1040">
        <v>1</v>
      </c>
      <c r="I1040" t="s">
        <v>5056</v>
      </c>
      <c r="J1040" t="s">
        <v>5652</v>
      </c>
      <c r="K1040" t="s">
        <v>3572</v>
      </c>
      <c r="L1040" t="s">
        <v>5657</v>
      </c>
      <c r="M1040" t="s">
        <v>1509</v>
      </c>
      <c r="N1040" t="s">
        <v>5658</v>
      </c>
      <c r="O1040" t="s">
        <v>26</v>
      </c>
      <c r="P1040">
        <v>9.99</v>
      </c>
      <c r="Q1040">
        <v>12.49</v>
      </c>
      <c r="R1040">
        <v>9.99</v>
      </c>
      <c r="T1040" t="s">
        <v>5659</v>
      </c>
    </row>
    <row r="1041" spans="1:20">
      <c r="A1041">
        <v>683111</v>
      </c>
      <c r="B1041" t="s">
        <v>5660</v>
      </c>
      <c r="C1041" t="str">
        <f>"9781551433448"</f>
        <v>9781551433448</v>
      </c>
      <c r="D1041" t="str">
        <f>"9781551438320"</f>
        <v>9781551438320</v>
      </c>
      <c r="E1041" t="s">
        <v>4668</v>
      </c>
      <c r="F1041" t="s">
        <v>4668</v>
      </c>
      <c r="G1041" s="1">
        <v>38443</v>
      </c>
      <c r="H1041">
        <v>1</v>
      </c>
      <c r="I1041" t="s">
        <v>5661</v>
      </c>
      <c r="J1041" t="s">
        <v>5652</v>
      </c>
      <c r="K1041" t="s">
        <v>3572</v>
      </c>
      <c r="L1041" t="s">
        <v>5662</v>
      </c>
      <c r="M1041" t="s">
        <v>1509</v>
      </c>
      <c r="N1041" t="s">
        <v>5663</v>
      </c>
      <c r="O1041" t="s">
        <v>26</v>
      </c>
      <c r="P1041">
        <v>7.95</v>
      </c>
      <c r="Q1041">
        <v>9.94</v>
      </c>
      <c r="R1041">
        <v>7.95</v>
      </c>
      <c r="T1041" t="s">
        <v>5664</v>
      </c>
    </row>
    <row r="1042" spans="1:20">
      <c r="A1042">
        <v>683112</v>
      </c>
      <c r="B1042" t="s">
        <v>5665</v>
      </c>
      <c r="C1042" t="str">
        <f>"9781554691692"</f>
        <v>9781554691692</v>
      </c>
      <c r="D1042" t="str">
        <f>"9781554691708"</f>
        <v>9781554691708</v>
      </c>
      <c r="E1042" t="s">
        <v>4668</v>
      </c>
      <c r="F1042" t="s">
        <v>4668</v>
      </c>
      <c r="G1042" s="1">
        <v>40269</v>
      </c>
      <c r="H1042">
        <v>1</v>
      </c>
      <c r="I1042" t="s">
        <v>5089</v>
      </c>
      <c r="J1042" t="s">
        <v>5652</v>
      </c>
      <c r="K1042" t="s">
        <v>3572</v>
      </c>
      <c r="L1042" t="s">
        <v>5666</v>
      </c>
      <c r="M1042" t="s">
        <v>1509</v>
      </c>
      <c r="N1042" t="s">
        <v>5667</v>
      </c>
      <c r="O1042" t="s">
        <v>26</v>
      </c>
      <c r="P1042">
        <v>7.95</v>
      </c>
      <c r="Q1042">
        <v>9.94</v>
      </c>
      <c r="R1042">
        <v>7.95</v>
      </c>
      <c r="T1042" t="s">
        <v>5668</v>
      </c>
    </row>
    <row r="1043" spans="1:20">
      <c r="A1043">
        <v>683113</v>
      </c>
      <c r="B1043" t="s">
        <v>5669</v>
      </c>
      <c r="C1043" t="str">
        <f>"9781551432984"</f>
        <v>9781551432984</v>
      </c>
      <c r="D1043" t="str">
        <f>"9781551434568"</f>
        <v>9781551434568</v>
      </c>
      <c r="E1043" t="s">
        <v>4668</v>
      </c>
      <c r="F1043" t="s">
        <v>4668</v>
      </c>
      <c r="G1043" s="1">
        <v>38078</v>
      </c>
      <c r="H1043">
        <v>1</v>
      </c>
      <c r="I1043" t="s">
        <v>5010</v>
      </c>
      <c r="J1043" t="s">
        <v>5652</v>
      </c>
      <c r="K1043" t="s">
        <v>1458</v>
      </c>
      <c r="L1043" t="s">
        <v>5670</v>
      </c>
      <c r="M1043" t="s">
        <v>1509</v>
      </c>
      <c r="N1043" t="s">
        <v>5671</v>
      </c>
      <c r="O1043" t="s">
        <v>26</v>
      </c>
      <c r="P1043">
        <v>7.99</v>
      </c>
      <c r="Q1043">
        <v>9.99</v>
      </c>
      <c r="R1043">
        <v>7.99</v>
      </c>
      <c r="T1043" t="s">
        <v>5672</v>
      </c>
    </row>
    <row r="1044" spans="1:20">
      <c r="A1044">
        <v>683114</v>
      </c>
      <c r="B1044" t="s">
        <v>5673</v>
      </c>
      <c r="C1044" t="str">
        <f>"9781551439549"</f>
        <v>9781551439549</v>
      </c>
      <c r="D1044" t="str">
        <f>"9781554693887"</f>
        <v>9781554693887</v>
      </c>
      <c r="E1044" t="s">
        <v>4668</v>
      </c>
      <c r="F1044" t="s">
        <v>4668</v>
      </c>
      <c r="G1044" s="1">
        <v>40057</v>
      </c>
      <c r="H1044">
        <v>1</v>
      </c>
      <c r="J1044" t="s">
        <v>5674</v>
      </c>
      <c r="K1044" t="s">
        <v>5675</v>
      </c>
      <c r="L1044" t="s">
        <v>5676</v>
      </c>
      <c r="M1044" t="s">
        <v>5677</v>
      </c>
      <c r="N1044" t="s">
        <v>5678</v>
      </c>
      <c r="O1044" t="s">
        <v>26</v>
      </c>
      <c r="P1044">
        <v>44.99</v>
      </c>
      <c r="Q1044">
        <v>56.24</v>
      </c>
      <c r="R1044">
        <v>44.99</v>
      </c>
      <c r="T1044" t="s">
        <v>5679</v>
      </c>
    </row>
    <row r="1045" spans="1:20">
      <c r="A1045">
        <v>683117</v>
      </c>
      <c r="B1045" t="s">
        <v>5680</v>
      </c>
      <c r="C1045" t="str">
        <f>"9781551433684"</f>
        <v>9781551433684</v>
      </c>
      <c r="D1045" t="str">
        <f>"9781551438283"</f>
        <v>9781551438283</v>
      </c>
      <c r="E1045" t="s">
        <v>4668</v>
      </c>
      <c r="F1045" t="s">
        <v>4668</v>
      </c>
      <c r="G1045" s="1">
        <v>38443</v>
      </c>
      <c r="H1045">
        <v>1</v>
      </c>
      <c r="I1045" t="s">
        <v>5089</v>
      </c>
      <c r="J1045" t="s">
        <v>5681</v>
      </c>
      <c r="K1045" t="s">
        <v>3572</v>
      </c>
      <c r="L1045" t="s">
        <v>5682</v>
      </c>
      <c r="M1045" t="s">
        <v>1509</v>
      </c>
      <c r="N1045" t="s">
        <v>5683</v>
      </c>
      <c r="O1045" t="s">
        <v>26</v>
      </c>
      <c r="P1045">
        <v>5.95</v>
      </c>
      <c r="Q1045">
        <v>7.44</v>
      </c>
      <c r="R1045">
        <v>5.95</v>
      </c>
      <c r="T1045" t="s">
        <v>5684</v>
      </c>
    </row>
    <row r="1046" spans="1:20">
      <c r="A1046">
        <v>683118</v>
      </c>
      <c r="B1046" t="s">
        <v>5685</v>
      </c>
      <c r="C1046" t="str">
        <f>"9781551432953"</f>
        <v>9781551432953</v>
      </c>
      <c r="D1046" t="str">
        <f>"9781551434506"</f>
        <v>9781551434506</v>
      </c>
      <c r="E1046" t="s">
        <v>4668</v>
      </c>
      <c r="F1046" t="s">
        <v>4668</v>
      </c>
      <c r="G1046" s="1">
        <v>38231</v>
      </c>
      <c r="H1046">
        <v>1</v>
      </c>
      <c r="I1046" t="s">
        <v>5010</v>
      </c>
      <c r="J1046" t="s">
        <v>5681</v>
      </c>
      <c r="K1046" t="s">
        <v>1464</v>
      </c>
      <c r="L1046" t="s">
        <v>5686</v>
      </c>
      <c r="M1046" t="s">
        <v>1509</v>
      </c>
      <c r="N1046" t="s">
        <v>5687</v>
      </c>
      <c r="O1046" t="s">
        <v>26</v>
      </c>
      <c r="P1046">
        <v>7.99</v>
      </c>
      <c r="Q1046">
        <v>9.99</v>
      </c>
      <c r="R1046">
        <v>7.99</v>
      </c>
      <c r="T1046" t="s">
        <v>5688</v>
      </c>
    </row>
    <row r="1047" spans="1:20">
      <c r="A1047">
        <v>683119</v>
      </c>
      <c r="B1047" t="s">
        <v>5689</v>
      </c>
      <c r="C1047" t="str">
        <f>"9781551432304"</f>
        <v>9781551432304</v>
      </c>
      <c r="D1047" t="str">
        <f>"9781551434018"</f>
        <v>9781551434018</v>
      </c>
      <c r="E1047" t="s">
        <v>4668</v>
      </c>
      <c r="F1047" t="s">
        <v>4668</v>
      </c>
      <c r="G1047" s="1">
        <v>41518</v>
      </c>
      <c r="H1047">
        <v>1</v>
      </c>
      <c r="I1047" t="s">
        <v>5010</v>
      </c>
      <c r="J1047" t="s">
        <v>5681</v>
      </c>
      <c r="K1047" t="s">
        <v>3572</v>
      </c>
      <c r="L1047" t="s">
        <v>5690</v>
      </c>
      <c r="M1047" t="s">
        <v>1509</v>
      </c>
      <c r="N1047" t="s">
        <v>5691</v>
      </c>
      <c r="O1047" t="s">
        <v>26</v>
      </c>
      <c r="P1047">
        <v>7.99</v>
      </c>
      <c r="Q1047">
        <v>9.99</v>
      </c>
      <c r="R1047">
        <v>7.99</v>
      </c>
      <c r="T1047" t="s">
        <v>5692</v>
      </c>
    </row>
    <row r="1048" spans="1:20">
      <c r="A1048">
        <v>683121</v>
      </c>
      <c r="B1048" t="s">
        <v>5693</v>
      </c>
      <c r="C1048" t="str">
        <f>"9781554692033"</f>
        <v>9781554692033</v>
      </c>
      <c r="D1048" t="str">
        <f>"9781554692040"</f>
        <v>9781554692040</v>
      </c>
      <c r="E1048" t="s">
        <v>4668</v>
      </c>
      <c r="F1048" t="s">
        <v>4668</v>
      </c>
      <c r="G1048" s="1">
        <v>40269</v>
      </c>
      <c r="H1048">
        <v>1</v>
      </c>
      <c r="I1048" t="s">
        <v>5089</v>
      </c>
      <c r="J1048" t="s">
        <v>5694</v>
      </c>
      <c r="K1048" t="s">
        <v>1464</v>
      </c>
      <c r="L1048" t="s">
        <v>5695</v>
      </c>
      <c r="M1048" t="s">
        <v>1509</v>
      </c>
      <c r="N1048" t="s">
        <v>5696</v>
      </c>
      <c r="O1048" t="s">
        <v>26</v>
      </c>
      <c r="P1048">
        <v>7.95</v>
      </c>
      <c r="Q1048">
        <v>9.94</v>
      </c>
      <c r="R1048">
        <v>7.95</v>
      </c>
      <c r="T1048" t="s">
        <v>5697</v>
      </c>
    </row>
    <row r="1049" spans="1:20">
      <c r="A1049">
        <v>683122</v>
      </c>
      <c r="B1049" t="s">
        <v>5698</v>
      </c>
      <c r="C1049" t="str">
        <f>"9781554690152"</f>
        <v>9781554690152</v>
      </c>
      <c r="D1049" t="str">
        <f>"9781554690169"</f>
        <v>9781554690169</v>
      </c>
      <c r="E1049" t="s">
        <v>4668</v>
      </c>
      <c r="F1049" t="s">
        <v>4668</v>
      </c>
      <c r="G1049" s="1">
        <v>39722</v>
      </c>
      <c r="H1049">
        <v>1</v>
      </c>
      <c r="I1049" t="s">
        <v>5010</v>
      </c>
      <c r="J1049" t="s">
        <v>5694</v>
      </c>
      <c r="K1049" t="s">
        <v>3572</v>
      </c>
      <c r="L1049" t="s">
        <v>5699</v>
      </c>
      <c r="M1049" t="s">
        <v>4671</v>
      </c>
      <c r="N1049" t="s">
        <v>5700</v>
      </c>
      <c r="O1049" t="s">
        <v>26</v>
      </c>
      <c r="P1049">
        <v>7.99</v>
      </c>
      <c r="Q1049">
        <v>9.99</v>
      </c>
      <c r="R1049">
        <v>7.99</v>
      </c>
      <c r="T1049" t="s">
        <v>5701</v>
      </c>
    </row>
    <row r="1050" spans="1:20">
      <c r="A1050">
        <v>683123</v>
      </c>
      <c r="B1050" t="s">
        <v>5702</v>
      </c>
      <c r="C1050" t="str">
        <f>"9781554692804"</f>
        <v>9781554692804</v>
      </c>
      <c r="D1050" t="str">
        <f>"9781554692811"</f>
        <v>9781554692811</v>
      </c>
      <c r="E1050" t="s">
        <v>4668</v>
      </c>
      <c r="F1050" t="s">
        <v>4668</v>
      </c>
      <c r="G1050" s="1">
        <v>40452</v>
      </c>
      <c r="H1050">
        <v>1</v>
      </c>
      <c r="J1050" t="s">
        <v>5694</v>
      </c>
      <c r="K1050" t="s">
        <v>5703</v>
      </c>
      <c r="L1050" t="s">
        <v>5704</v>
      </c>
      <c r="M1050">
        <v>190</v>
      </c>
      <c r="N1050" t="s">
        <v>5705</v>
      </c>
      <c r="O1050" t="s">
        <v>26</v>
      </c>
      <c r="P1050">
        <v>9.99</v>
      </c>
      <c r="Q1050">
        <v>12.49</v>
      </c>
      <c r="R1050">
        <v>9.99</v>
      </c>
      <c r="T1050" t="s">
        <v>5706</v>
      </c>
    </row>
    <row r="1051" spans="1:20">
      <c r="A1051">
        <v>683127</v>
      </c>
      <c r="B1051" t="s">
        <v>5707</v>
      </c>
      <c r="C1051" t="str">
        <f>"9781551434827"</f>
        <v>9781551434827</v>
      </c>
      <c r="D1051" t="str">
        <f>"9781551436043"</f>
        <v>9781551436043</v>
      </c>
      <c r="E1051" t="s">
        <v>4668</v>
      </c>
      <c r="F1051" t="s">
        <v>4668</v>
      </c>
      <c r="G1051" s="1">
        <v>38596</v>
      </c>
      <c r="H1051">
        <v>1</v>
      </c>
      <c r="I1051" t="s">
        <v>5056</v>
      </c>
      <c r="J1051" t="s">
        <v>5708</v>
      </c>
      <c r="K1051" t="s">
        <v>3572</v>
      </c>
      <c r="L1051" t="s">
        <v>5709</v>
      </c>
      <c r="M1051" t="s">
        <v>1509</v>
      </c>
      <c r="N1051" t="s">
        <v>5710</v>
      </c>
      <c r="O1051" t="s">
        <v>26</v>
      </c>
      <c r="P1051">
        <v>9.99</v>
      </c>
      <c r="Q1051">
        <v>12.49</v>
      </c>
      <c r="R1051">
        <v>9.99</v>
      </c>
      <c r="T1051" t="s">
        <v>5711</v>
      </c>
    </row>
    <row r="1052" spans="1:20">
      <c r="A1052">
        <v>683128</v>
      </c>
      <c r="B1052" t="s">
        <v>5712</v>
      </c>
      <c r="C1052" t="str">
        <f>"9781551433158"</f>
        <v>9781551433158</v>
      </c>
      <c r="D1052" t="str">
        <f>"9781551434193"</f>
        <v>9781551434193</v>
      </c>
      <c r="E1052" t="s">
        <v>4668</v>
      </c>
      <c r="F1052" t="s">
        <v>4668</v>
      </c>
      <c r="G1052" s="1">
        <v>38231</v>
      </c>
      <c r="H1052">
        <v>1</v>
      </c>
      <c r="I1052" t="s">
        <v>5056</v>
      </c>
      <c r="J1052" t="s">
        <v>5708</v>
      </c>
      <c r="K1052" t="s">
        <v>1464</v>
      </c>
      <c r="L1052" t="s">
        <v>5713</v>
      </c>
      <c r="M1052" t="s">
        <v>1509</v>
      </c>
      <c r="N1052" t="s">
        <v>5714</v>
      </c>
      <c r="O1052" t="s">
        <v>26</v>
      </c>
      <c r="P1052">
        <v>9.99</v>
      </c>
      <c r="Q1052">
        <v>12.49</v>
      </c>
      <c r="R1052">
        <v>9.99</v>
      </c>
      <c r="T1052" t="s">
        <v>5715</v>
      </c>
    </row>
    <row r="1053" spans="1:20">
      <c r="A1053">
        <v>683129</v>
      </c>
      <c r="B1053" t="s">
        <v>5716</v>
      </c>
      <c r="C1053" t="str">
        <f>"9781554690909"</f>
        <v>9781554690909</v>
      </c>
      <c r="D1053" t="str">
        <f>"9781554690916"</f>
        <v>9781554690916</v>
      </c>
      <c r="E1053" t="s">
        <v>4668</v>
      </c>
      <c r="F1053" t="s">
        <v>4668</v>
      </c>
      <c r="G1053" s="1">
        <v>40087</v>
      </c>
      <c r="H1053">
        <v>1</v>
      </c>
      <c r="J1053" t="s">
        <v>5708</v>
      </c>
      <c r="K1053" t="s">
        <v>3572</v>
      </c>
      <c r="L1053" t="s">
        <v>5717</v>
      </c>
      <c r="M1053" t="s">
        <v>4671</v>
      </c>
      <c r="N1053" t="s">
        <v>5718</v>
      </c>
      <c r="O1053" t="s">
        <v>26</v>
      </c>
      <c r="P1053">
        <v>12.99</v>
      </c>
      <c r="Q1053">
        <v>16.239999999999998</v>
      </c>
      <c r="R1053">
        <v>12.99</v>
      </c>
      <c r="T1053" t="s">
        <v>5719</v>
      </c>
    </row>
    <row r="1054" spans="1:20">
      <c r="A1054">
        <v>683130</v>
      </c>
      <c r="B1054" t="s">
        <v>5720</v>
      </c>
      <c r="C1054" t="str">
        <f>"9781551438474"</f>
        <v>9781551438474</v>
      </c>
      <c r="D1054" t="str">
        <f>"9781551438498"</f>
        <v>9781551438498</v>
      </c>
      <c r="E1054" t="s">
        <v>4668</v>
      </c>
      <c r="F1054" t="s">
        <v>4668</v>
      </c>
      <c r="G1054" s="1">
        <v>39722</v>
      </c>
      <c r="H1054">
        <v>1</v>
      </c>
      <c r="I1054" t="s">
        <v>5721</v>
      </c>
      <c r="J1054" t="s">
        <v>5708</v>
      </c>
      <c r="K1054" t="s">
        <v>5158</v>
      </c>
      <c r="L1054" t="s">
        <v>5722</v>
      </c>
      <c r="M1054">
        <v>232</v>
      </c>
      <c r="N1054" t="s">
        <v>5723</v>
      </c>
      <c r="O1054" t="s">
        <v>26</v>
      </c>
      <c r="P1054">
        <v>12.99</v>
      </c>
      <c r="Q1054">
        <v>16.239999999999998</v>
      </c>
      <c r="R1054">
        <v>12.99</v>
      </c>
      <c r="T1054" t="s">
        <v>5724</v>
      </c>
    </row>
    <row r="1055" spans="1:20">
      <c r="A1055">
        <v>683131</v>
      </c>
      <c r="B1055" t="s">
        <v>5725</v>
      </c>
      <c r="C1055" t="str">
        <f>"9781554690015"</f>
        <v>9781554690015</v>
      </c>
      <c r="D1055" t="str">
        <f>"9781554690022"</f>
        <v>9781554690022</v>
      </c>
      <c r="E1055" t="s">
        <v>4668</v>
      </c>
      <c r="F1055" t="s">
        <v>4668</v>
      </c>
      <c r="G1055" s="1">
        <v>39722</v>
      </c>
      <c r="H1055">
        <v>1</v>
      </c>
      <c r="J1055" t="s">
        <v>5726</v>
      </c>
      <c r="K1055" t="s">
        <v>263</v>
      </c>
      <c r="L1055" t="s">
        <v>5727</v>
      </c>
      <c r="M1055" t="s">
        <v>5728</v>
      </c>
      <c r="N1055" t="s">
        <v>5729</v>
      </c>
      <c r="O1055" t="s">
        <v>26</v>
      </c>
      <c r="P1055">
        <v>12.99</v>
      </c>
      <c r="Q1055">
        <v>16.239999999999998</v>
      </c>
      <c r="R1055">
        <v>12.99</v>
      </c>
      <c r="T1055" t="s">
        <v>5730</v>
      </c>
    </row>
    <row r="1056" spans="1:20">
      <c r="A1056">
        <v>683132</v>
      </c>
      <c r="B1056" t="s">
        <v>5731</v>
      </c>
      <c r="C1056" t="str">
        <f>"9781551436531"</f>
        <v>9781551436531</v>
      </c>
      <c r="D1056" t="str">
        <f>"9781551436555"</f>
        <v>9781551436555</v>
      </c>
      <c r="E1056" t="s">
        <v>4668</v>
      </c>
      <c r="F1056" t="s">
        <v>4668</v>
      </c>
      <c r="G1056" s="1">
        <v>39326</v>
      </c>
      <c r="H1056">
        <v>1</v>
      </c>
      <c r="J1056" t="s">
        <v>5732</v>
      </c>
      <c r="K1056" t="s">
        <v>3572</v>
      </c>
      <c r="L1056" t="s">
        <v>5733</v>
      </c>
      <c r="M1056" t="s">
        <v>1509</v>
      </c>
      <c r="N1056" t="s">
        <v>5734</v>
      </c>
      <c r="O1056" t="s">
        <v>26</v>
      </c>
      <c r="P1056">
        <v>7.99</v>
      </c>
      <c r="Q1056">
        <v>9.99</v>
      </c>
      <c r="R1056">
        <v>7.99</v>
      </c>
      <c r="T1056" t="s">
        <v>5735</v>
      </c>
    </row>
    <row r="1057" spans="1:20">
      <c r="A1057">
        <v>683137</v>
      </c>
      <c r="B1057" t="s">
        <v>5736</v>
      </c>
      <c r="C1057" t="str">
        <f>"9781551436906"</f>
        <v>9781551436906</v>
      </c>
      <c r="D1057" t="str">
        <f>"9781551436920"</f>
        <v>9781551436920</v>
      </c>
      <c r="E1057" t="s">
        <v>4668</v>
      </c>
      <c r="F1057" t="s">
        <v>4668</v>
      </c>
      <c r="G1057" s="1">
        <v>36951</v>
      </c>
      <c r="H1057">
        <v>1</v>
      </c>
      <c r="I1057" t="s">
        <v>5737</v>
      </c>
      <c r="J1057" t="s">
        <v>5738</v>
      </c>
      <c r="K1057" t="s">
        <v>5703</v>
      </c>
      <c r="L1057" t="s">
        <v>5739</v>
      </c>
      <c r="M1057">
        <v>175</v>
      </c>
      <c r="N1057" t="s">
        <v>5740</v>
      </c>
      <c r="O1057" t="s">
        <v>26</v>
      </c>
      <c r="P1057">
        <v>7.99</v>
      </c>
      <c r="Q1057">
        <v>9.99</v>
      </c>
      <c r="R1057">
        <v>7.99</v>
      </c>
      <c r="T1057" t="s">
        <v>5741</v>
      </c>
    </row>
    <row r="1058" spans="1:20">
      <c r="A1058">
        <v>683138</v>
      </c>
      <c r="B1058" t="s">
        <v>5742</v>
      </c>
      <c r="C1058" t="str">
        <f>"9781551435329"</f>
        <v>9781551435329</v>
      </c>
      <c r="D1058" t="str">
        <f>"9781551437965"</f>
        <v>9781551437965</v>
      </c>
      <c r="E1058" t="s">
        <v>4668</v>
      </c>
      <c r="F1058" t="s">
        <v>4668</v>
      </c>
      <c r="G1058" s="1">
        <v>38777</v>
      </c>
      <c r="H1058">
        <v>1</v>
      </c>
      <c r="I1058" t="s">
        <v>5737</v>
      </c>
      <c r="J1058" t="s">
        <v>5738</v>
      </c>
      <c r="K1058" t="s">
        <v>5359</v>
      </c>
      <c r="L1058" t="s">
        <v>5743</v>
      </c>
      <c r="M1058">
        <v>173</v>
      </c>
      <c r="N1058" t="s">
        <v>5744</v>
      </c>
      <c r="O1058" t="s">
        <v>26</v>
      </c>
      <c r="P1058">
        <v>7.99</v>
      </c>
      <c r="Q1058">
        <v>9.99</v>
      </c>
      <c r="R1058">
        <v>7.99</v>
      </c>
      <c r="T1058" t="s">
        <v>5745</v>
      </c>
    </row>
    <row r="1059" spans="1:20">
      <c r="A1059">
        <v>683139</v>
      </c>
      <c r="B1059" t="s">
        <v>5746</v>
      </c>
      <c r="C1059" t="str">
        <f>"9781551436852"</f>
        <v>9781551436852</v>
      </c>
      <c r="D1059" t="str">
        <f>"9781551436890"</f>
        <v>9781551436890</v>
      </c>
      <c r="E1059" t="s">
        <v>4668</v>
      </c>
      <c r="F1059" t="s">
        <v>4668</v>
      </c>
      <c r="G1059" s="1">
        <v>39356</v>
      </c>
      <c r="H1059">
        <v>1</v>
      </c>
      <c r="I1059" t="s">
        <v>5056</v>
      </c>
      <c r="J1059" t="s">
        <v>5747</v>
      </c>
      <c r="K1059" t="s">
        <v>3572</v>
      </c>
      <c r="L1059" t="s">
        <v>5748</v>
      </c>
      <c r="M1059" t="s">
        <v>1509</v>
      </c>
      <c r="N1059" t="s">
        <v>5749</v>
      </c>
      <c r="O1059" t="s">
        <v>26</v>
      </c>
      <c r="P1059">
        <v>9.99</v>
      </c>
      <c r="Q1059">
        <v>12.49</v>
      </c>
      <c r="R1059">
        <v>9.99</v>
      </c>
      <c r="T1059" t="s">
        <v>5750</v>
      </c>
    </row>
    <row r="1060" spans="1:20">
      <c r="A1060">
        <v>683140</v>
      </c>
      <c r="B1060" t="s">
        <v>5751</v>
      </c>
      <c r="C1060" t="str">
        <f>"9781551435084"</f>
        <v>9781551435084</v>
      </c>
      <c r="D1060" t="str">
        <f>"9781551435107"</f>
        <v>9781551435107</v>
      </c>
      <c r="E1060" t="s">
        <v>4668</v>
      </c>
      <c r="F1060" t="s">
        <v>4668</v>
      </c>
      <c r="G1060" s="1">
        <v>38961</v>
      </c>
      <c r="H1060">
        <v>1</v>
      </c>
      <c r="I1060" t="s">
        <v>5056</v>
      </c>
      <c r="J1060" t="s">
        <v>5747</v>
      </c>
      <c r="K1060" t="s">
        <v>3572</v>
      </c>
      <c r="L1060" t="s">
        <v>5752</v>
      </c>
      <c r="M1060" t="s">
        <v>1509</v>
      </c>
      <c r="N1060" t="s">
        <v>5753</v>
      </c>
      <c r="O1060" t="s">
        <v>26</v>
      </c>
      <c r="P1060">
        <v>9.99</v>
      </c>
      <c r="Q1060">
        <v>12.49</v>
      </c>
      <c r="R1060">
        <v>9.99</v>
      </c>
      <c r="T1060" t="s">
        <v>5754</v>
      </c>
    </row>
    <row r="1061" spans="1:20">
      <c r="A1061">
        <v>683142</v>
      </c>
      <c r="B1061" t="s">
        <v>5755</v>
      </c>
      <c r="C1061" t="str">
        <f>"9781554690060"</f>
        <v>9781554690060</v>
      </c>
      <c r="D1061" t="str">
        <f>"9781554690084"</f>
        <v>9781554690084</v>
      </c>
      <c r="E1061" t="s">
        <v>4668</v>
      </c>
      <c r="F1061" t="s">
        <v>4668</v>
      </c>
      <c r="G1061" s="1">
        <v>39904</v>
      </c>
      <c r="H1061">
        <v>1</v>
      </c>
      <c r="J1061" t="s">
        <v>5747</v>
      </c>
      <c r="K1061" t="s">
        <v>5158</v>
      </c>
      <c r="L1061" t="s">
        <v>5756</v>
      </c>
      <c r="M1061">
        <v>224</v>
      </c>
      <c r="N1061" t="s">
        <v>5757</v>
      </c>
      <c r="O1061" t="s">
        <v>26</v>
      </c>
      <c r="P1061">
        <v>12.99</v>
      </c>
      <c r="Q1061">
        <v>16.239999999999998</v>
      </c>
      <c r="R1061">
        <v>12.99</v>
      </c>
      <c r="T1061" t="s">
        <v>5758</v>
      </c>
    </row>
    <row r="1062" spans="1:20">
      <c r="A1062">
        <v>683143</v>
      </c>
      <c r="B1062" t="s">
        <v>5759</v>
      </c>
      <c r="C1062" t="str">
        <f>"9781551433509"</f>
        <v>9781551433509</v>
      </c>
      <c r="D1062" t="str">
        <f>"9781551435817"</f>
        <v>9781551435817</v>
      </c>
      <c r="E1062" t="s">
        <v>4668</v>
      </c>
      <c r="F1062" t="s">
        <v>4668</v>
      </c>
      <c r="G1062" s="1">
        <v>38261</v>
      </c>
      <c r="H1062">
        <v>1</v>
      </c>
      <c r="J1062" t="s">
        <v>5747</v>
      </c>
      <c r="K1062" t="s">
        <v>1464</v>
      </c>
      <c r="L1062" t="s">
        <v>5760</v>
      </c>
      <c r="M1062" t="s">
        <v>3612</v>
      </c>
      <c r="N1062" t="s">
        <v>5761</v>
      </c>
      <c r="O1062" t="s">
        <v>26</v>
      </c>
      <c r="P1062">
        <v>9.99</v>
      </c>
      <c r="Q1062">
        <v>12.49</v>
      </c>
      <c r="R1062">
        <v>9.99</v>
      </c>
      <c r="T1062" t="s">
        <v>5762</v>
      </c>
    </row>
    <row r="1063" spans="1:20">
      <c r="A1063">
        <v>683145</v>
      </c>
      <c r="B1063" t="s">
        <v>5763</v>
      </c>
      <c r="C1063" t="str">
        <f>"9781551432595"</f>
        <v>9781551432595</v>
      </c>
      <c r="D1063" t="str">
        <f>"9781551438245"</f>
        <v>9781551438245</v>
      </c>
      <c r="E1063" t="s">
        <v>4668</v>
      </c>
      <c r="F1063" t="s">
        <v>4668</v>
      </c>
      <c r="G1063" s="1">
        <v>38047</v>
      </c>
      <c r="H1063">
        <v>1</v>
      </c>
      <c r="J1063" t="s">
        <v>5764</v>
      </c>
      <c r="K1063" t="s">
        <v>1464</v>
      </c>
      <c r="L1063" t="s">
        <v>5765</v>
      </c>
      <c r="M1063" t="s">
        <v>1509</v>
      </c>
      <c r="N1063" t="s">
        <v>5766</v>
      </c>
      <c r="O1063" t="s">
        <v>26</v>
      </c>
      <c r="P1063">
        <v>6.99</v>
      </c>
      <c r="Q1063">
        <v>8.74</v>
      </c>
      <c r="R1063">
        <v>6.99</v>
      </c>
      <c r="T1063" t="s">
        <v>5767</v>
      </c>
    </row>
    <row r="1064" spans="1:20">
      <c r="A1064">
        <v>683146</v>
      </c>
      <c r="B1064" t="s">
        <v>5768</v>
      </c>
      <c r="C1064" t="str">
        <f>"9781551439457"</f>
        <v>9781551439457</v>
      </c>
      <c r="D1064" t="str">
        <f>"9781551439471"</f>
        <v>9781551439471</v>
      </c>
      <c r="E1064" t="s">
        <v>4668</v>
      </c>
      <c r="F1064" t="s">
        <v>4668</v>
      </c>
      <c r="G1064" s="1">
        <v>39722</v>
      </c>
      <c r="H1064">
        <v>1</v>
      </c>
      <c r="J1064" t="s">
        <v>5769</v>
      </c>
      <c r="K1064" t="s">
        <v>3572</v>
      </c>
      <c r="L1064" t="s">
        <v>5770</v>
      </c>
      <c r="M1064" t="s">
        <v>1509</v>
      </c>
      <c r="N1064" t="s">
        <v>5771</v>
      </c>
      <c r="O1064" t="s">
        <v>26</v>
      </c>
      <c r="P1064">
        <v>9.99</v>
      </c>
      <c r="Q1064">
        <v>12.49</v>
      </c>
      <c r="R1064">
        <v>9.99</v>
      </c>
      <c r="T1064" t="s">
        <v>5772</v>
      </c>
    </row>
    <row r="1065" spans="1:20">
      <c r="A1065">
        <v>683147</v>
      </c>
      <c r="B1065" t="s">
        <v>5773</v>
      </c>
      <c r="C1065" t="str">
        <f>"9781554692965"</f>
        <v>9781554692965</v>
      </c>
      <c r="D1065" t="str">
        <f>"9781554692989"</f>
        <v>9781554692989</v>
      </c>
      <c r="E1065" t="s">
        <v>4668</v>
      </c>
      <c r="F1065" t="s">
        <v>4668</v>
      </c>
      <c r="G1065" s="1">
        <v>40452</v>
      </c>
      <c r="H1065">
        <v>1</v>
      </c>
      <c r="I1065" t="s">
        <v>5056</v>
      </c>
      <c r="J1065" t="s">
        <v>5774</v>
      </c>
      <c r="K1065" t="s">
        <v>3572</v>
      </c>
      <c r="L1065" t="s">
        <v>5775</v>
      </c>
      <c r="M1065" t="s">
        <v>1460</v>
      </c>
      <c r="N1065" t="s">
        <v>5776</v>
      </c>
      <c r="O1065" t="s">
        <v>26</v>
      </c>
      <c r="P1065">
        <v>9.99</v>
      </c>
      <c r="Q1065">
        <v>12.49</v>
      </c>
      <c r="R1065">
        <v>9.99</v>
      </c>
      <c r="T1065" t="s">
        <v>5777</v>
      </c>
    </row>
    <row r="1066" spans="1:20">
      <c r="A1066">
        <v>683148</v>
      </c>
      <c r="B1066" t="s">
        <v>5778</v>
      </c>
      <c r="C1066" t="str">
        <f>"9781551431437"</f>
        <v>9781551431437</v>
      </c>
      <c r="D1066" t="str">
        <f>"9781551433738"</f>
        <v>9781551433738</v>
      </c>
      <c r="E1066" t="s">
        <v>4668</v>
      </c>
      <c r="F1066" t="s">
        <v>4668</v>
      </c>
      <c r="G1066" s="1">
        <v>36526</v>
      </c>
      <c r="H1066">
        <v>1</v>
      </c>
      <c r="I1066" t="s">
        <v>5010</v>
      </c>
      <c r="J1066" t="s">
        <v>5774</v>
      </c>
      <c r="K1066" t="s">
        <v>3572</v>
      </c>
      <c r="L1066" t="s">
        <v>5779</v>
      </c>
      <c r="M1066" t="s">
        <v>4671</v>
      </c>
      <c r="N1066" t="s">
        <v>5780</v>
      </c>
      <c r="O1066" t="s">
        <v>26</v>
      </c>
      <c r="P1066">
        <v>7.99</v>
      </c>
      <c r="Q1066">
        <v>9.99</v>
      </c>
      <c r="R1066">
        <v>7.99</v>
      </c>
      <c r="T1066" t="s">
        <v>5781</v>
      </c>
    </row>
    <row r="1067" spans="1:20">
      <c r="A1067">
        <v>683149</v>
      </c>
      <c r="B1067" t="s">
        <v>5782</v>
      </c>
      <c r="C1067" t="str">
        <f>"9781551434926"</f>
        <v>9781551434926</v>
      </c>
      <c r="D1067" t="str">
        <f>"9781551434940"</f>
        <v>9781551434940</v>
      </c>
      <c r="E1067" t="s">
        <v>4668</v>
      </c>
      <c r="F1067" t="s">
        <v>4668</v>
      </c>
      <c r="G1067" s="1">
        <v>38961</v>
      </c>
      <c r="H1067">
        <v>1</v>
      </c>
      <c r="I1067" t="s">
        <v>5010</v>
      </c>
      <c r="J1067" t="s">
        <v>5783</v>
      </c>
      <c r="K1067" t="s">
        <v>3572</v>
      </c>
      <c r="L1067" t="s">
        <v>5784</v>
      </c>
      <c r="M1067" t="s">
        <v>1460</v>
      </c>
      <c r="N1067" t="s">
        <v>5785</v>
      </c>
      <c r="O1067" t="s">
        <v>26</v>
      </c>
      <c r="P1067">
        <v>7.99</v>
      </c>
      <c r="Q1067">
        <v>9.99</v>
      </c>
      <c r="R1067">
        <v>7.99</v>
      </c>
      <c r="T1067" t="s">
        <v>5786</v>
      </c>
    </row>
    <row r="1068" spans="1:20">
      <c r="A1068">
        <v>683150</v>
      </c>
      <c r="B1068" t="s">
        <v>5787</v>
      </c>
      <c r="C1068" t="str">
        <f>"9781551433547"</f>
        <v>9781551433547</v>
      </c>
      <c r="D1068" t="str">
        <f>"9781551438238"</f>
        <v>9781551438238</v>
      </c>
      <c r="E1068" t="s">
        <v>4668</v>
      </c>
      <c r="F1068" t="s">
        <v>4668</v>
      </c>
      <c r="G1068" s="1">
        <v>38443</v>
      </c>
      <c r="H1068">
        <v>1</v>
      </c>
      <c r="I1068" t="s">
        <v>5089</v>
      </c>
      <c r="J1068" t="s">
        <v>5788</v>
      </c>
      <c r="K1068" t="s">
        <v>3572</v>
      </c>
      <c r="L1068" t="s">
        <v>5789</v>
      </c>
      <c r="M1068" t="s">
        <v>5790</v>
      </c>
      <c r="N1068" t="s">
        <v>5791</v>
      </c>
      <c r="O1068" t="s">
        <v>26</v>
      </c>
      <c r="P1068">
        <v>5.99</v>
      </c>
      <c r="Q1068">
        <v>7.49</v>
      </c>
      <c r="R1068">
        <v>5.99</v>
      </c>
      <c r="T1068" t="s">
        <v>5792</v>
      </c>
    </row>
    <row r="1069" spans="1:20">
      <c r="A1069">
        <v>683151</v>
      </c>
      <c r="B1069" t="s">
        <v>5793</v>
      </c>
      <c r="C1069" t="str">
        <f>"9781551433554"</f>
        <v>9781551433554</v>
      </c>
      <c r="D1069" t="str">
        <f>"9781551438429"</f>
        <v>9781551438429</v>
      </c>
      <c r="E1069" t="s">
        <v>4668</v>
      </c>
      <c r="F1069" t="s">
        <v>4668</v>
      </c>
      <c r="G1069" s="1">
        <v>38596</v>
      </c>
      <c r="H1069">
        <v>1</v>
      </c>
      <c r="I1069" t="s">
        <v>5010</v>
      </c>
      <c r="J1069" t="s">
        <v>5794</v>
      </c>
      <c r="K1069" t="s">
        <v>3572</v>
      </c>
      <c r="L1069" t="s">
        <v>5795</v>
      </c>
      <c r="M1069" t="s">
        <v>1509</v>
      </c>
      <c r="N1069" t="s">
        <v>5796</v>
      </c>
      <c r="O1069" t="s">
        <v>26</v>
      </c>
      <c r="P1069">
        <v>7.99</v>
      </c>
      <c r="Q1069">
        <v>9.99</v>
      </c>
      <c r="R1069">
        <v>7.99</v>
      </c>
      <c r="T1069" t="s">
        <v>5797</v>
      </c>
    </row>
    <row r="1070" spans="1:20">
      <c r="A1070">
        <v>683152</v>
      </c>
      <c r="B1070" t="s">
        <v>5798</v>
      </c>
      <c r="C1070" t="str">
        <f>"9781551434025"</f>
        <v>9781551434025</v>
      </c>
      <c r="D1070" t="str">
        <f>"9781551437798"</f>
        <v>9781551437798</v>
      </c>
      <c r="E1070" t="s">
        <v>4668</v>
      </c>
      <c r="F1070" t="s">
        <v>4668</v>
      </c>
      <c r="G1070" s="1">
        <v>38961</v>
      </c>
      <c r="H1070">
        <v>1</v>
      </c>
      <c r="I1070" t="s">
        <v>4703</v>
      </c>
      <c r="J1070" t="s">
        <v>4977</v>
      </c>
      <c r="K1070" t="s">
        <v>3572</v>
      </c>
      <c r="L1070" t="s">
        <v>5799</v>
      </c>
      <c r="M1070" t="s">
        <v>1466</v>
      </c>
      <c r="N1070" t="s">
        <v>5800</v>
      </c>
      <c r="O1070" t="s">
        <v>26</v>
      </c>
      <c r="P1070">
        <v>6.99</v>
      </c>
      <c r="Q1070">
        <v>8.74</v>
      </c>
      <c r="R1070">
        <v>6.99</v>
      </c>
      <c r="T1070" t="s">
        <v>5801</v>
      </c>
    </row>
    <row r="1071" spans="1:20">
      <c r="A1071">
        <v>683154</v>
      </c>
      <c r="B1071" t="s">
        <v>5802</v>
      </c>
      <c r="C1071" t="str">
        <f>"9781551434865"</f>
        <v>9781551434865</v>
      </c>
      <c r="D1071" t="str">
        <f>"9781551436081"</f>
        <v>9781551436081</v>
      </c>
      <c r="E1071" t="s">
        <v>4668</v>
      </c>
      <c r="F1071" t="s">
        <v>4668</v>
      </c>
      <c r="G1071" s="1">
        <v>38596</v>
      </c>
      <c r="H1071">
        <v>1</v>
      </c>
      <c r="I1071" t="s">
        <v>5803</v>
      </c>
      <c r="J1071" t="s">
        <v>5804</v>
      </c>
      <c r="K1071" t="s">
        <v>3572</v>
      </c>
      <c r="L1071" t="s">
        <v>5805</v>
      </c>
      <c r="M1071" t="s">
        <v>3574</v>
      </c>
      <c r="N1071" t="s">
        <v>5806</v>
      </c>
      <c r="O1071" t="s">
        <v>26</v>
      </c>
      <c r="P1071">
        <v>7.95</v>
      </c>
      <c r="Q1071">
        <v>9.94</v>
      </c>
      <c r="R1071">
        <v>7.95</v>
      </c>
      <c r="T1071" t="s">
        <v>5807</v>
      </c>
    </row>
    <row r="1072" spans="1:20">
      <c r="A1072">
        <v>683155</v>
      </c>
      <c r="B1072" t="s">
        <v>5808</v>
      </c>
      <c r="C1072" t="str">
        <f>"9781551436272"</f>
        <v>9781551436272</v>
      </c>
      <c r="D1072" t="str">
        <f>"9781551436296"</f>
        <v>9781551436296</v>
      </c>
      <c r="E1072" t="s">
        <v>4668</v>
      </c>
      <c r="F1072" t="s">
        <v>4668</v>
      </c>
      <c r="G1072" s="1">
        <v>38961</v>
      </c>
      <c r="H1072">
        <v>1</v>
      </c>
      <c r="I1072" t="s">
        <v>5809</v>
      </c>
      <c r="J1072" t="s">
        <v>5804</v>
      </c>
      <c r="K1072" t="s">
        <v>5158</v>
      </c>
      <c r="L1072" t="s">
        <v>5810</v>
      </c>
      <c r="M1072">
        <v>239</v>
      </c>
      <c r="N1072" t="s">
        <v>5811</v>
      </c>
      <c r="O1072" t="s">
        <v>26</v>
      </c>
      <c r="P1072">
        <v>9.99</v>
      </c>
      <c r="Q1072">
        <v>12.49</v>
      </c>
      <c r="R1072">
        <v>9.99</v>
      </c>
      <c r="T1072" t="s">
        <v>5812</v>
      </c>
    </row>
    <row r="1073" spans="1:20">
      <c r="A1073">
        <v>683158</v>
      </c>
      <c r="B1073" t="s">
        <v>5813</v>
      </c>
      <c r="C1073" t="str">
        <f>"9781551439105"</f>
        <v>9781551439105</v>
      </c>
      <c r="D1073" t="str">
        <f>"9781551439143"</f>
        <v>9781551439143</v>
      </c>
      <c r="E1073" t="s">
        <v>4668</v>
      </c>
      <c r="F1073" t="s">
        <v>4668</v>
      </c>
      <c r="G1073" s="1">
        <v>39508</v>
      </c>
      <c r="H1073">
        <v>1</v>
      </c>
      <c r="I1073" t="s">
        <v>5056</v>
      </c>
      <c r="J1073" t="s">
        <v>5814</v>
      </c>
      <c r="K1073" t="s">
        <v>3572</v>
      </c>
      <c r="L1073" t="s">
        <v>5815</v>
      </c>
      <c r="M1073" t="s">
        <v>4671</v>
      </c>
      <c r="N1073" t="s">
        <v>5816</v>
      </c>
      <c r="O1073" t="s">
        <v>26</v>
      </c>
      <c r="P1073">
        <v>9.99</v>
      </c>
      <c r="Q1073">
        <v>12.49</v>
      </c>
      <c r="R1073">
        <v>9.99</v>
      </c>
      <c r="T1073" t="s">
        <v>5817</v>
      </c>
    </row>
    <row r="1074" spans="1:20">
      <c r="A1074">
        <v>683159</v>
      </c>
      <c r="B1074" t="s">
        <v>5818</v>
      </c>
      <c r="C1074" t="str">
        <f>"9781554692002"</f>
        <v>9781554692002</v>
      </c>
      <c r="D1074" t="str">
        <f>"9781554692026"</f>
        <v>9781554692026</v>
      </c>
      <c r="E1074" t="s">
        <v>4668</v>
      </c>
      <c r="F1074" t="s">
        <v>4668</v>
      </c>
      <c r="G1074" s="1">
        <v>40087</v>
      </c>
      <c r="H1074">
        <v>1</v>
      </c>
      <c r="I1074" t="s">
        <v>5056</v>
      </c>
      <c r="J1074" t="s">
        <v>5814</v>
      </c>
      <c r="K1074" t="s">
        <v>1464</v>
      </c>
      <c r="L1074" t="s">
        <v>5819</v>
      </c>
      <c r="M1074" t="s">
        <v>1509</v>
      </c>
      <c r="N1074" t="s">
        <v>5820</v>
      </c>
      <c r="O1074" t="s">
        <v>26</v>
      </c>
      <c r="P1074">
        <v>9.99</v>
      </c>
      <c r="Q1074">
        <v>12.49</v>
      </c>
      <c r="R1074">
        <v>9.99</v>
      </c>
      <c r="T1074" t="s">
        <v>5821</v>
      </c>
    </row>
    <row r="1075" spans="1:20">
      <c r="A1075">
        <v>683161</v>
      </c>
      <c r="B1075" t="s">
        <v>5822</v>
      </c>
      <c r="C1075" t="str">
        <f>"9781551439211"</f>
        <v>9781551439211</v>
      </c>
      <c r="D1075" t="str">
        <f>"9781551439235"</f>
        <v>9781551439235</v>
      </c>
      <c r="E1075" t="s">
        <v>4668</v>
      </c>
      <c r="F1075" t="s">
        <v>4668</v>
      </c>
      <c r="G1075" s="1">
        <v>39722</v>
      </c>
      <c r="H1075">
        <v>1</v>
      </c>
      <c r="I1075" t="s">
        <v>5721</v>
      </c>
      <c r="J1075" t="s">
        <v>5814</v>
      </c>
      <c r="K1075" t="s">
        <v>3572</v>
      </c>
      <c r="L1075" t="s">
        <v>5823</v>
      </c>
      <c r="M1075" t="s">
        <v>1509</v>
      </c>
      <c r="N1075" t="s">
        <v>5824</v>
      </c>
      <c r="O1075" t="s">
        <v>26</v>
      </c>
      <c r="P1075">
        <v>12.99</v>
      </c>
      <c r="Q1075">
        <v>16.239999999999998</v>
      </c>
      <c r="R1075">
        <v>12.99</v>
      </c>
      <c r="T1075" t="s">
        <v>5825</v>
      </c>
    </row>
    <row r="1076" spans="1:20">
      <c r="A1076">
        <v>683162</v>
      </c>
      <c r="B1076" t="s">
        <v>5826</v>
      </c>
      <c r="C1076" t="str">
        <f>"9781551437361"</f>
        <v>9781551437361</v>
      </c>
      <c r="D1076" t="str">
        <f>"9781551437385"</f>
        <v>9781551437385</v>
      </c>
      <c r="E1076" t="s">
        <v>4668</v>
      </c>
      <c r="F1076" t="s">
        <v>4668</v>
      </c>
      <c r="G1076" s="1">
        <v>39539</v>
      </c>
      <c r="H1076">
        <v>1</v>
      </c>
      <c r="J1076" t="s">
        <v>5814</v>
      </c>
      <c r="K1076" t="s">
        <v>3572</v>
      </c>
      <c r="L1076" t="s">
        <v>5827</v>
      </c>
      <c r="M1076" t="s">
        <v>4671</v>
      </c>
      <c r="N1076" t="s">
        <v>5828</v>
      </c>
      <c r="O1076" t="s">
        <v>26</v>
      </c>
      <c r="P1076">
        <v>8.99</v>
      </c>
      <c r="Q1076">
        <v>11.24</v>
      </c>
      <c r="R1076">
        <v>8.99</v>
      </c>
      <c r="T1076" t="s">
        <v>5829</v>
      </c>
    </row>
    <row r="1077" spans="1:20">
      <c r="A1077">
        <v>683163</v>
      </c>
      <c r="B1077" t="s">
        <v>5830</v>
      </c>
      <c r="C1077" t="str">
        <f>"9781554690770"</f>
        <v>9781554690770</v>
      </c>
      <c r="D1077" t="str">
        <f>"9781554690787"</f>
        <v>9781554690787</v>
      </c>
      <c r="E1077" t="s">
        <v>4668</v>
      </c>
      <c r="F1077" t="s">
        <v>4668</v>
      </c>
      <c r="G1077" s="1">
        <v>39904</v>
      </c>
      <c r="H1077">
        <v>1</v>
      </c>
      <c r="J1077" t="s">
        <v>5814</v>
      </c>
      <c r="K1077" t="s">
        <v>3572</v>
      </c>
      <c r="L1077" t="s">
        <v>5831</v>
      </c>
      <c r="M1077" t="s">
        <v>1509</v>
      </c>
      <c r="N1077" t="s">
        <v>5832</v>
      </c>
      <c r="O1077" t="s">
        <v>26</v>
      </c>
      <c r="P1077">
        <v>12.99</v>
      </c>
      <c r="Q1077">
        <v>16.239999999999998</v>
      </c>
      <c r="R1077">
        <v>12.99</v>
      </c>
      <c r="T1077" t="s">
        <v>5833</v>
      </c>
    </row>
    <row r="1078" spans="1:20">
      <c r="A1078">
        <v>683164</v>
      </c>
      <c r="B1078" t="s">
        <v>5834</v>
      </c>
      <c r="C1078" t="str">
        <f>"9781554692484"</f>
        <v>9781554692484</v>
      </c>
      <c r="D1078" t="str">
        <f>"9781554692491"</f>
        <v>9781554692491</v>
      </c>
      <c r="E1078" t="s">
        <v>4668</v>
      </c>
      <c r="F1078" t="s">
        <v>4668</v>
      </c>
      <c r="G1078" s="1">
        <v>40452</v>
      </c>
      <c r="H1078">
        <v>1</v>
      </c>
      <c r="J1078" t="s">
        <v>5814</v>
      </c>
      <c r="K1078" t="s">
        <v>3572</v>
      </c>
      <c r="L1078" t="s">
        <v>5835</v>
      </c>
      <c r="M1078" t="s">
        <v>1509</v>
      </c>
      <c r="N1078" t="s">
        <v>5836</v>
      </c>
      <c r="O1078" t="s">
        <v>26</v>
      </c>
      <c r="P1078">
        <v>9.99</v>
      </c>
      <c r="Q1078">
        <v>12.49</v>
      </c>
      <c r="R1078">
        <v>9.99</v>
      </c>
      <c r="T1078" t="s">
        <v>5837</v>
      </c>
    </row>
    <row r="1079" spans="1:20">
      <c r="A1079">
        <v>683165</v>
      </c>
      <c r="B1079" t="s">
        <v>5838</v>
      </c>
      <c r="C1079" t="str">
        <f>"9781551436937"</f>
        <v>9781551436937</v>
      </c>
      <c r="D1079" t="str">
        <f>"9781551437606"</f>
        <v>9781551437606</v>
      </c>
      <c r="E1079" t="s">
        <v>4668</v>
      </c>
      <c r="F1079" t="s">
        <v>4668</v>
      </c>
      <c r="G1079" s="1">
        <v>39356</v>
      </c>
      <c r="H1079">
        <v>1</v>
      </c>
      <c r="J1079" t="s">
        <v>5814</v>
      </c>
      <c r="K1079" t="s">
        <v>3572</v>
      </c>
      <c r="L1079" t="s">
        <v>5839</v>
      </c>
      <c r="M1079" t="s">
        <v>4671</v>
      </c>
      <c r="N1079" t="s">
        <v>5840</v>
      </c>
      <c r="O1079" t="s">
        <v>26</v>
      </c>
      <c r="P1079">
        <v>9.99</v>
      </c>
      <c r="Q1079">
        <v>12.49</v>
      </c>
      <c r="R1079">
        <v>9.99</v>
      </c>
      <c r="T1079" t="s">
        <v>5841</v>
      </c>
    </row>
    <row r="1080" spans="1:20">
      <c r="A1080">
        <v>683166</v>
      </c>
      <c r="B1080" t="s">
        <v>5842</v>
      </c>
      <c r="C1080" t="str">
        <f>"9781551432557"</f>
        <v>9781551432557</v>
      </c>
      <c r="D1080" t="str">
        <f>"9781551438146"</f>
        <v>9781551438146</v>
      </c>
      <c r="E1080" t="s">
        <v>4668</v>
      </c>
      <c r="F1080" t="s">
        <v>4668</v>
      </c>
      <c r="G1080" s="1">
        <v>37895</v>
      </c>
      <c r="H1080">
        <v>1</v>
      </c>
      <c r="J1080" t="s">
        <v>5843</v>
      </c>
      <c r="K1080" t="s">
        <v>3572</v>
      </c>
      <c r="L1080" t="s">
        <v>5844</v>
      </c>
      <c r="M1080" t="s">
        <v>1509</v>
      </c>
      <c r="N1080" t="s">
        <v>5845</v>
      </c>
      <c r="O1080" t="s">
        <v>26</v>
      </c>
      <c r="P1080">
        <v>6.99</v>
      </c>
      <c r="Q1080">
        <v>8.74</v>
      </c>
      <c r="R1080">
        <v>6.99</v>
      </c>
      <c r="T1080" t="s">
        <v>5846</v>
      </c>
    </row>
    <row r="1081" spans="1:20">
      <c r="A1081">
        <v>683169</v>
      </c>
      <c r="B1081" t="s">
        <v>5847</v>
      </c>
      <c r="C1081" t="str">
        <f>"9781551435367"</f>
        <v>9781551435367</v>
      </c>
      <c r="D1081" t="str">
        <f>"9781551435381"</f>
        <v>9781551435381</v>
      </c>
      <c r="E1081" t="s">
        <v>4668</v>
      </c>
      <c r="F1081" t="s">
        <v>4668</v>
      </c>
      <c r="G1081" s="1">
        <v>38777</v>
      </c>
      <c r="H1081">
        <v>1</v>
      </c>
      <c r="I1081" t="s">
        <v>5089</v>
      </c>
      <c r="J1081" t="s">
        <v>5848</v>
      </c>
      <c r="K1081" t="s">
        <v>3572</v>
      </c>
      <c r="L1081" t="s">
        <v>5849</v>
      </c>
      <c r="M1081" t="s">
        <v>5068</v>
      </c>
      <c r="N1081" t="s">
        <v>5850</v>
      </c>
      <c r="O1081" t="s">
        <v>26</v>
      </c>
      <c r="P1081">
        <v>5.99</v>
      </c>
      <c r="Q1081">
        <v>7.49</v>
      </c>
      <c r="R1081">
        <v>5.99</v>
      </c>
      <c r="T1081" t="s">
        <v>5851</v>
      </c>
    </row>
    <row r="1082" spans="1:20">
      <c r="A1082">
        <v>683170</v>
      </c>
      <c r="B1082" t="s">
        <v>5852</v>
      </c>
      <c r="C1082" t="str">
        <f>"9781551431994"</f>
        <v>9781551431994</v>
      </c>
      <c r="D1082" t="str">
        <f>"9781551433851"</f>
        <v>9781551433851</v>
      </c>
      <c r="E1082" t="s">
        <v>4668</v>
      </c>
      <c r="F1082" t="s">
        <v>4668</v>
      </c>
      <c r="G1082" s="1">
        <v>38961</v>
      </c>
      <c r="H1082">
        <v>1</v>
      </c>
      <c r="I1082" t="s">
        <v>5010</v>
      </c>
      <c r="J1082" t="s">
        <v>5853</v>
      </c>
      <c r="K1082" t="s">
        <v>3572</v>
      </c>
      <c r="L1082" t="s">
        <v>5854</v>
      </c>
      <c r="M1082" t="s">
        <v>1460</v>
      </c>
      <c r="N1082" t="s">
        <v>5855</v>
      </c>
      <c r="O1082" t="s">
        <v>26</v>
      </c>
      <c r="P1082">
        <v>7.99</v>
      </c>
      <c r="Q1082">
        <v>9.99</v>
      </c>
      <c r="R1082">
        <v>7.99</v>
      </c>
      <c r="T1082" t="s">
        <v>5856</v>
      </c>
    </row>
    <row r="1083" spans="1:20">
      <c r="A1083">
        <v>683173</v>
      </c>
      <c r="B1083" t="s">
        <v>5857</v>
      </c>
      <c r="C1083" t="str">
        <f>"9781551439440"</f>
        <v>9781551439440</v>
      </c>
      <c r="D1083" t="str">
        <f>"9781551439488"</f>
        <v>9781551439488</v>
      </c>
      <c r="E1083" t="s">
        <v>4668</v>
      </c>
      <c r="F1083" t="s">
        <v>4668</v>
      </c>
      <c r="G1083" s="1">
        <v>39722</v>
      </c>
      <c r="H1083">
        <v>1</v>
      </c>
      <c r="I1083" t="s">
        <v>5056</v>
      </c>
      <c r="J1083" t="s">
        <v>5858</v>
      </c>
      <c r="K1083" t="s">
        <v>3572</v>
      </c>
      <c r="L1083" t="s">
        <v>5859</v>
      </c>
      <c r="M1083" t="s">
        <v>1460</v>
      </c>
      <c r="N1083" t="s">
        <v>5860</v>
      </c>
      <c r="O1083" t="s">
        <v>26</v>
      </c>
      <c r="P1083">
        <v>9.99</v>
      </c>
      <c r="Q1083">
        <v>12.49</v>
      </c>
      <c r="R1083">
        <v>9.99</v>
      </c>
      <c r="T1083" t="s">
        <v>5861</v>
      </c>
    </row>
    <row r="1084" spans="1:20">
      <c r="A1084">
        <v>683174</v>
      </c>
      <c r="B1084" t="s">
        <v>5862</v>
      </c>
      <c r="C1084" t="str">
        <f>"9781551439204"</f>
        <v>9781551439204</v>
      </c>
      <c r="D1084" t="str">
        <f>"9781551439228"</f>
        <v>9781551439228</v>
      </c>
      <c r="E1084" t="s">
        <v>4668</v>
      </c>
      <c r="F1084" t="s">
        <v>4668</v>
      </c>
      <c r="G1084" s="1">
        <v>39508</v>
      </c>
      <c r="H1084">
        <v>1</v>
      </c>
      <c r="J1084" t="s">
        <v>5863</v>
      </c>
      <c r="K1084" t="s">
        <v>4777</v>
      </c>
      <c r="L1084" t="s">
        <v>5864</v>
      </c>
      <c r="M1084">
        <v>34</v>
      </c>
      <c r="N1084" t="s">
        <v>5865</v>
      </c>
      <c r="O1084" t="s">
        <v>26</v>
      </c>
      <c r="P1084">
        <v>9.99</v>
      </c>
      <c r="Q1084">
        <v>12.49</v>
      </c>
      <c r="R1084">
        <v>9.99</v>
      </c>
      <c r="T1084" t="s">
        <v>5866</v>
      </c>
    </row>
    <row r="1085" spans="1:20">
      <c r="A1085">
        <v>683175</v>
      </c>
      <c r="B1085" t="s">
        <v>5867</v>
      </c>
      <c r="C1085" t="str">
        <f>"9781551436289"</f>
        <v>9781551436289</v>
      </c>
      <c r="D1085" t="str">
        <f>"9781551436302"</f>
        <v>9781551436302</v>
      </c>
      <c r="E1085" t="s">
        <v>4668</v>
      </c>
      <c r="F1085" t="s">
        <v>4668</v>
      </c>
      <c r="G1085" s="1">
        <v>39326</v>
      </c>
      <c r="H1085">
        <v>1</v>
      </c>
      <c r="J1085" t="s">
        <v>5863</v>
      </c>
      <c r="K1085" t="s">
        <v>4809</v>
      </c>
      <c r="L1085" t="s">
        <v>5868</v>
      </c>
      <c r="M1085">
        <v>34</v>
      </c>
      <c r="N1085" t="s">
        <v>5869</v>
      </c>
      <c r="O1085" t="s">
        <v>26</v>
      </c>
      <c r="P1085">
        <v>9.99</v>
      </c>
      <c r="Q1085">
        <v>12.49</v>
      </c>
      <c r="R1085">
        <v>9.99</v>
      </c>
      <c r="T1085" t="s">
        <v>5870</v>
      </c>
    </row>
    <row r="1086" spans="1:20">
      <c r="A1086">
        <v>683177</v>
      </c>
      <c r="B1086" t="s">
        <v>5871</v>
      </c>
      <c r="C1086" t="str">
        <f>"9781551436715"</f>
        <v>9781551436715</v>
      </c>
      <c r="D1086" t="str">
        <f>"9781551436739"</f>
        <v>9781551436739</v>
      </c>
      <c r="E1086" t="s">
        <v>4668</v>
      </c>
      <c r="F1086" t="s">
        <v>4668</v>
      </c>
      <c r="G1086" s="1">
        <v>39326</v>
      </c>
      <c r="H1086">
        <v>1</v>
      </c>
      <c r="J1086" t="s">
        <v>5872</v>
      </c>
      <c r="K1086" t="s">
        <v>3572</v>
      </c>
      <c r="L1086" t="s">
        <v>5873</v>
      </c>
      <c r="M1086" t="s">
        <v>1460</v>
      </c>
      <c r="N1086" t="s">
        <v>5874</v>
      </c>
      <c r="O1086" t="s">
        <v>26</v>
      </c>
      <c r="P1086">
        <v>7.99</v>
      </c>
      <c r="Q1086">
        <v>9.99</v>
      </c>
      <c r="R1086">
        <v>7.99</v>
      </c>
      <c r="T1086" t="s">
        <v>5875</v>
      </c>
    </row>
    <row r="1087" spans="1:20">
      <c r="A1087">
        <v>683178</v>
      </c>
      <c r="B1087" t="s">
        <v>5876</v>
      </c>
      <c r="C1087" t="str">
        <f>"9781551432618"</f>
        <v>9781551432618</v>
      </c>
      <c r="D1087" t="str">
        <f>"9781551438702"</f>
        <v>9781551438702</v>
      </c>
      <c r="E1087" t="s">
        <v>4668</v>
      </c>
      <c r="F1087" t="s">
        <v>4668</v>
      </c>
      <c r="G1087" s="1">
        <v>38504</v>
      </c>
      <c r="H1087">
        <v>1</v>
      </c>
      <c r="J1087" t="s">
        <v>5872</v>
      </c>
      <c r="K1087" t="s">
        <v>3572</v>
      </c>
      <c r="L1087" t="s">
        <v>5877</v>
      </c>
      <c r="M1087" t="s">
        <v>1460</v>
      </c>
      <c r="N1087" t="s">
        <v>5878</v>
      </c>
      <c r="O1087" t="s">
        <v>26</v>
      </c>
      <c r="P1087">
        <v>9.99</v>
      </c>
      <c r="Q1087">
        <v>12.49</v>
      </c>
      <c r="R1087">
        <v>9.99</v>
      </c>
      <c r="T1087" t="s">
        <v>5879</v>
      </c>
    </row>
    <row r="1088" spans="1:20">
      <c r="A1088">
        <v>683179</v>
      </c>
      <c r="B1088" t="s">
        <v>5880</v>
      </c>
      <c r="C1088" t="str">
        <f>"9781551439167"</f>
        <v>9781551439167</v>
      </c>
      <c r="D1088" t="str">
        <f>"9781551438757"</f>
        <v>9781551438757</v>
      </c>
      <c r="E1088" t="s">
        <v>4668</v>
      </c>
      <c r="F1088" t="s">
        <v>4668</v>
      </c>
      <c r="G1088" s="1">
        <v>39508</v>
      </c>
      <c r="H1088">
        <v>1</v>
      </c>
      <c r="I1088" t="s">
        <v>5056</v>
      </c>
      <c r="J1088" t="s">
        <v>5881</v>
      </c>
      <c r="K1088" t="s">
        <v>3572</v>
      </c>
      <c r="L1088" t="s">
        <v>5882</v>
      </c>
      <c r="M1088" t="s">
        <v>1509</v>
      </c>
      <c r="N1088" t="s">
        <v>5883</v>
      </c>
      <c r="O1088" t="s">
        <v>26</v>
      </c>
      <c r="P1088">
        <v>9.99</v>
      </c>
      <c r="Q1088">
        <v>12.49</v>
      </c>
      <c r="R1088">
        <v>9.99</v>
      </c>
      <c r="T1088" t="s">
        <v>5884</v>
      </c>
    </row>
    <row r="1089" spans="1:20">
      <c r="A1089">
        <v>683180</v>
      </c>
      <c r="B1089" t="s">
        <v>5885</v>
      </c>
      <c r="C1089" t="str">
        <f>"9781554693320"</f>
        <v>9781554693320</v>
      </c>
      <c r="D1089" t="str">
        <f>"9781554693344"</f>
        <v>9781554693344</v>
      </c>
      <c r="E1089" t="s">
        <v>4668</v>
      </c>
      <c r="F1089" t="s">
        <v>4668</v>
      </c>
      <c r="G1089" s="1">
        <v>40452</v>
      </c>
      <c r="H1089">
        <v>1</v>
      </c>
      <c r="I1089" t="s">
        <v>5056</v>
      </c>
      <c r="J1089" t="s">
        <v>5881</v>
      </c>
      <c r="K1089" t="s">
        <v>3572</v>
      </c>
      <c r="L1089" t="s">
        <v>5886</v>
      </c>
      <c r="M1089" t="s">
        <v>1509</v>
      </c>
      <c r="N1089" t="s">
        <v>5887</v>
      </c>
      <c r="O1089" t="s">
        <v>26</v>
      </c>
      <c r="P1089">
        <v>9.99</v>
      </c>
      <c r="Q1089">
        <v>12.49</v>
      </c>
      <c r="R1089">
        <v>9.99</v>
      </c>
      <c r="T1089" t="s">
        <v>5888</v>
      </c>
    </row>
    <row r="1090" spans="1:20">
      <c r="A1090">
        <v>683181</v>
      </c>
      <c r="B1090" t="s">
        <v>5889</v>
      </c>
      <c r="C1090" t="str">
        <f>"9781551436760"</f>
        <v>9781551436760</v>
      </c>
      <c r="D1090" t="str">
        <f>"9781551436807"</f>
        <v>9781551436807</v>
      </c>
      <c r="E1090" t="s">
        <v>4668</v>
      </c>
      <c r="F1090" t="s">
        <v>4668</v>
      </c>
      <c r="G1090" s="1">
        <v>39142</v>
      </c>
      <c r="H1090">
        <v>1</v>
      </c>
      <c r="I1090" t="s">
        <v>5056</v>
      </c>
      <c r="J1090" t="s">
        <v>5881</v>
      </c>
      <c r="K1090" t="s">
        <v>3572</v>
      </c>
      <c r="L1090" t="s">
        <v>5890</v>
      </c>
      <c r="M1090" t="s">
        <v>1509</v>
      </c>
      <c r="N1090" t="s">
        <v>5891</v>
      </c>
      <c r="O1090" t="s">
        <v>26</v>
      </c>
      <c r="P1090">
        <v>9.99</v>
      </c>
      <c r="Q1090">
        <v>12.49</v>
      </c>
      <c r="R1090">
        <v>9.99</v>
      </c>
      <c r="T1090" t="s">
        <v>5892</v>
      </c>
    </row>
    <row r="1091" spans="1:20">
      <c r="A1091">
        <v>683182</v>
      </c>
      <c r="B1091" t="s">
        <v>5893</v>
      </c>
      <c r="C1091" t="str">
        <f>"9781551433318"</f>
        <v>9781551433318</v>
      </c>
      <c r="D1091" t="str">
        <f>"9781551435718"</f>
        <v>9781551435718</v>
      </c>
      <c r="E1091" t="s">
        <v>4668</v>
      </c>
      <c r="F1091" t="s">
        <v>4668</v>
      </c>
      <c r="G1091" s="1">
        <v>38596</v>
      </c>
      <c r="H1091">
        <v>1</v>
      </c>
      <c r="J1091" t="s">
        <v>5881</v>
      </c>
      <c r="K1091" t="s">
        <v>3572</v>
      </c>
      <c r="L1091" t="s">
        <v>5894</v>
      </c>
      <c r="M1091" t="s">
        <v>4671</v>
      </c>
      <c r="N1091" t="s">
        <v>5895</v>
      </c>
      <c r="O1091" t="s">
        <v>26</v>
      </c>
      <c r="P1091">
        <v>9.99</v>
      </c>
      <c r="Q1091">
        <v>12.49</v>
      </c>
      <c r="R1091">
        <v>9.99</v>
      </c>
      <c r="T1091" t="s">
        <v>5896</v>
      </c>
    </row>
    <row r="1092" spans="1:20">
      <c r="A1092">
        <v>683183</v>
      </c>
      <c r="B1092" t="s">
        <v>5897</v>
      </c>
      <c r="C1092" t="str">
        <f>"9781554691234"</f>
        <v>9781554691234</v>
      </c>
      <c r="D1092" t="str">
        <f>"9781554691258"</f>
        <v>9781554691258</v>
      </c>
      <c r="E1092" t="s">
        <v>4668</v>
      </c>
      <c r="F1092" t="s">
        <v>4668</v>
      </c>
      <c r="G1092" s="1">
        <v>39904</v>
      </c>
      <c r="H1092">
        <v>1</v>
      </c>
      <c r="I1092" t="s">
        <v>5056</v>
      </c>
      <c r="J1092" t="s">
        <v>5881</v>
      </c>
      <c r="K1092" t="s">
        <v>3572</v>
      </c>
      <c r="L1092" t="s">
        <v>5898</v>
      </c>
      <c r="M1092" t="s">
        <v>1509</v>
      </c>
      <c r="N1092" t="s">
        <v>5899</v>
      </c>
      <c r="O1092" t="s">
        <v>26</v>
      </c>
      <c r="P1092">
        <v>9.99</v>
      </c>
      <c r="Q1092">
        <v>12.49</v>
      </c>
      <c r="R1092">
        <v>9.99</v>
      </c>
      <c r="T1092" t="s">
        <v>5900</v>
      </c>
    </row>
    <row r="1093" spans="1:20">
      <c r="A1093">
        <v>683184</v>
      </c>
      <c r="B1093" t="s">
        <v>5901</v>
      </c>
      <c r="C1093" t="str">
        <f>"9781554692927"</f>
        <v>9781554692927</v>
      </c>
      <c r="D1093" t="str">
        <f>"9781554692934"</f>
        <v>9781554692934</v>
      </c>
      <c r="E1093" t="s">
        <v>4668</v>
      </c>
      <c r="F1093" t="s">
        <v>4668</v>
      </c>
      <c r="G1093" s="1">
        <v>40452</v>
      </c>
      <c r="H1093">
        <v>1</v>
      </c>
      <c r="I1093" t="s">
        <v>5089</v>
      </c>
      <c r="J1093" t="s">
        <v>5902</v>
      </c>
      <c r="K1093" t="s">
        <v>3572</v>
      </c>
      <c r="L1093" t="s">
        <v>5903</v>
      </c>
      <c r="M1093" t="s">
        <v>5047</v>
      </c>
      <c r="N1093" t="s">
        <v>5904</v>
      </c>
      <c r="O1093" t="s">
        <v>26</v>
      </c>
      <c r="P1093">
        <v>7.95</v>
      </c>
      <c r="Q1093">
        <v>9.94</v>
      </c>
      <c r="R1093">
        <v>7.95</v>
      </c>
      <c r="T1093" t="s">
        <v>5905</v>
      </c>
    </row>
    <row r="1094" spans="1:20">
      <c r="A1094">
        <v>683185</v>
      </c>
      <c r="B1094" t="s">
        <v>5906</v>
      </c>
      <c r="C1094" t="str">
        <f>"9781554693054"</f>
        <v>9781554693054</v>
      </c>
      <c r="D1094" t="str">
        <f>"9781554693078"</f>
        <v>9781554693078</v>
      </c>
      <c r="E1094" t="s">
        <v>4668</v>
      </c>
      <c r="F1094" t="s">
        <v>4668</v>
      </c>
      <c r="G1094" s="1">
        <v>40452</v>
      </c>
      <c r="H1094">
        <v>1</v>
      </c>
      <c r="I1094" t="s">
        <v>5056</v>
      </c>
      <c r="J1094" t="s">
        <v>5907</v>
      </c>
      <c r="K1094" t="s">
        <v>3572</v>
      </c>
      <c r="L1094" t="s">
        <v>5908</v>
      </c>
      <c r="M1094" t="s">
        <v>1509</v>
      </c>
      <c r="N1094" t="s">
        <v>5909</v>
      </c>
      <c r="O1094" t="s">
        <v>26</v>
      </c>
      <c r="P1094">
        <v>9.99</v>
      </c>
      <c r="Q1094">
        <v>12.49</v>
      </c>
      <c r="R1094">
        <v>9.99</v>
      </c>
      <c r="T1094" t="s">
        <v>5910</v>
      </c>
    </row>
    <row r="1095" spans="1:20">
      <c r="A1095">
        <v>683186</v>
      </c>
      <c r="B1095" t="s">
        <v>5911</v>
      </c>
      <c r="C1095" t="str">
        <f>"9781554692408"</f>
        <v>9781554692408</v>
      </c>
      <c r="D1095" t="str">
        <f>"9781554693788"</f>
        <v>9781554693788</v>
      </c>
      <c r="E1095" t="s">
        <v>4668</v>
      </c>
      <c r="F1095" t="s">
        <v>4668</v>
      </c>
      <c r="G1095" s="1">
        <v>40057</v>
      </c>
      <c r="H1095">
        <v>1</v>
      </c>
      <c r="J1095" t="s">
        <v>5907</v>
      </c>
      <c r="K1095" t="s">
        <v>257</v>
      </c>
      <c r="L1095" t="s">
        <v>5912</v>
      </c>
      <c r="M1095" t="s">
        <v>5913</v>
      </c>
      <c r="N1095" t="s">
        <v>5914</v>
      </c>
      <c r="O1095" t="s">
        <v>26</v>
      </c>
      <c r="P1095">
        <v>44.99</v>
      </c>
      <c r="Q1095">
        <v>56.24</v>
      </c>
      <c r="R1095">
        <v>44.99</v>
      </c>
      <c r="T1095" t="s">
        <v>5915</v>
      </c>
    </row>
    <row r="1096" spans="1:20">
      <c r="A1096">
        <v>683187</v>
      </c>
      <c r="B1096" t="s">
        <v>5916</v>
      </c>
      <c r="C1096" t="str">
        <f>"9781551439372"</f>
        <v>9781551439372</v>
      </c>
      <c r="D1096" t="str">
        <f>"9781551439396"</f>
        <v>9781551439396</v>
      </c>
      <c r="E1096" t="s">
        <v>4668</v>
      </c>
      <c r="F1096" t="s">
        <v>4668</v>
      </c>
      <c r="G1096" s="1">
        <v>39904</v>
      </c>
      <c r="H1096">
        <v>1</v>
      </c>
      <c r="J1096" t="s">
        <v>5917</v>
      </c>
      <c r="K1096" t="s">
        <v>3572</v>
      </c>
      <c r="L1096" t="s">
        <v>5918</v>
      </c>
      <c r="M1096">
        <v>813.6</v>
      </c>
      <c r="N1096" t="s">
        <v>5919</v>
      </c>
      <c r="O1096" t="s">
        <v>26</v>
      </c>
      <c r="P1096">
        <v>12.99</v>
      </c>
      <c r="Q1096">
        <v>16.239999999999998</v>
      </c>
      <c r="R1096">
        <v>12.99</v>
      </c>
      <c r="T1096" t="s">
        <v>5920</v>
      </c>
    </row>
    <row r="1097" spans="1:20">
      <c r="A1097">
        <v>683188</v>
      </c>
      <c r="B1097" t="s">
        <v>5921</v>
      </c>
      <c r="C1097" t="str">
        <f>"9781551432960"</f>
        <v>9781551432960</v>
      </c>
      <c r="D1097" t="str">
        <f>"9781551434520"</f>
        <v>9781551434520</v>
      </c>
      <c r="E1097" t="s">
        <v>4668</v>
      </c>
      <c r="F1097" t="s">
        <v>4668</v>
      </c>
      <c r="G1097" s="1">
        <v>41518</v>
      </c>
      <c r="H1097">
        <v>1</v>
      </c>
      <c r="I1097" t="s">
        <v>5010</v>
      </c>
      <c r="J1097" t="s">
        <v>5922</v>
      </c>
      <c r="K1097" t="s">
        <v>1464</v>
      </c>
      <c r="L1097" t="s">
        <v>5923</v>
      </c>
      <c r="M1097" t="s">
        <v>1460</v>
      </c>
      <c r="N1097" t="s">
        <v>5924</v>
      </c>
      <c r="O1097" t="s">
        <v>26</v>
      </c>
      <c r="P1097">
        <v>7.99</v>
      </c>
      <c r="Q1097">
        <v>9.99</v>
      </c>
      <c r="R1097">
        <v>7.99</v>
      </c>
      <c r="T1097" t="s">
        <v>5925</v>
      </c>
    </row>
    <row r="1098" spans="1:20">
      <c r="A1098">
        <v>683191</v>
      </c>
      <c r="B1098" t="s">
        <v>5926</v>
      </c>
      <c r="C1098" t="str">
        <f>"9781551433028"</f>
        <v>9781551433028</v>
      </c>
      <c r="D1098" t="str">
        <f>"9781551434179"</f>
        <v>9781551434179</v>
      </c>
      <c r="E1098" t="s">
        <v>4668</v>
      </c>
      <c r="F1098" t="s">
        <v>4668</v>
      </c>
      <c r="G1098" s="1">
        <v>38078</v>
      </c>
      <c r="H1098">
        <v>1</v>
      </c>
      <c r="I1098" t="s">
        <v>5927</v>
      </c>
      <c r="J1098" t="s">
        <v>3636</v>
      </c>
      <c r="K1098" t="s">
        <v>3572</v>
      </c>
      <c r="L1098" t="s">
        <v>5928</v>
      </c>
      <c r="M1098" t="s">
        <v>1460</v>
      </c>
      <c r="N1098" t="s">
        <v>5929</v>
      </c>
      <c r="O1098" t="s">
        <v>26</v>
      </c>
      <c r="P1098">
        <v>6.99</v>
      </c>
      <c r="Q1098">
        <v>8.74</v>
      </c>
      <c r="R1098">
        <v>6.99</v>
      </c>
      <c r="T1098" t="s">
        <v>5930</v>
      </c>
    </row>
    <row r="1099" spans="1:20">
      <c r="A1099">
        <v>683198</v>
      </c>
      <c r="B1099" t="s">
        <v>5931</v>
      </c>
      <c r="C1099" t="str">
        <f>"9781551437415"</f>
        <v>9781551437415</v>
      </c>
      <c r="D1099" t="str">
        <f>"9781551437453"</f>
        <v>9781551437453</v>
      </c>
      <c r="E1099" t="s">
        <v>4668</v>
      </c>
      <c r="F1099" t="s">
        <v>4668</v>
      </c>
      <c r="G1099" s="1">
        <v>39356</v>
      </c>
      <c r="H1099">
        <v>1</v>
      </c>
      <c r="I1099" t="s">
        <v>5056</v>
      </c>
      <c r="J1099" t="s">
        <v>3636</v>
      </c>
      <c r="K1099" t="s">
        <v>3572</v>
      </c>
      <c r="L1099" t="s">
        <v>5932</v>
      </c>
      <c r="M1099" t="s">
        <v>1460</v>
      </c>
      <c r="N1099" t="s">
        <v>5933</v>
      </c>
      <c r="O1099" t="s">
        <v>26</v>
      </c>
      <c r="P1099">
        <v>9.99</v>
      </c>
      <c r="Q1099">
        <v>12.49</v>
      </c>
      <c r="R1099">
        <v>9.99</v>
      </c>
      <c r="T1099" t="s">
        <v>5934</v>
      </c>
    </row>
    <row r="1100" spans="1:20">
      <c r="A1100">
        <v>683199</v>
      </c>
      <c r="B1100" t="s">
        <v>5935</v>
      </c>
      <c r="C1100" t="str">
        <f>"9781551433516"</f>
        <v>9781551433516</v>
      </c>
      <c r="D1100" t="str">
        <f>"9781551437804"</f>
        <v>9781551437804</v>
      </c>
      <c r="E1100" t="s">
        <v>4668</v>
      </c>
      <c r="F1100" t="s">
        <v>4668</v>
      </c>
      <c r="G1100" s="1">
        <v>38443</v>
      </c>
      <c r="H1100">
        <v>1</v>
      </c>
      <c r="I1100" t="s">
        <v>5056</v>
      </c>
      <c r="J1100" t="s">
        <v>3636</v>
      </c>
      <c r="K1100" t="s">
        <v>3572</v>
      </c>
      <c r="L1100" t="s">
        <v>5936</v>
      </c>
      <c r="M1100" t="s">
        <v>1460</v>
      </c>
      <c r="N1100" t="s">
        <v>5937</v>
      </c>
      <c r="O1100" t="s">
        <v>26</v>
      </c>
      <c r="P1100">
        <v>9.99</v>
      </c>
      <c r="Q1100">
        <v>12.49</v>
      </c>
      <c r="R1100">
        <v>9.99</v>
      </c>
      <c r="T1100" t="s">
        <v>5938</v>
      </c>
    </row>
    <row r="1101" spans="1:20">
      <c r="A1101">
        <v>683200</v>
      </c>
      <c r="B1101" t="s">
        <v>5939</v>
      </c>
      <c r="C1101" t="str">
        <f>"9781551435008"</f>
        <v>9781551435008</v>
      </c>
      <c r="D1101" t="str">
        <f>"9781551435022"</f>
        <v>9781551435022</v>
      </c>
      <c r="E1101" t="s">
        <v>4668</v>
      </c>
      <c r="F1101" t="s">
        <v>4668</v>
      </c>
      <c r="G1101" s="1">
        <v>38777</v>
      </c>
      <c r="H1101">
        <v>1</v>
      </c>
      <c r="I1101" t="s">
        <v>5056</v>
      </c>
      <c r="J1101" t="s">
        <v>3636</v>
      </c>
      <c r="K1101" t="s">
        <v>3572</v>
      </c>
      <c r="L1101" t="s">
        <v>5940</v>
      </c>
      <c r="M1101" t="s">
        <v>5068</v>
      </c>
      <c r="N1101" t="s">
        <v>5941</v>
      </c>
      <c r="O1101" t="s">
        <v>26</v>
      </c>
      <c r="P1101">
        <v>9.99</v>
      </c>
      <c r="Q1101">
        <v>12.49</v>
      </c>
      <c r="R1101">
        <v>9.99</v>
      </c>
      <c r="T1101" t="s">
        <v>5942</v>
      </c>
    </row>
    <row r="1102" spans="1:20">
      <c r="A1102">
        <v>683201</v>
      </c>
      <c r="B1102" t="s">
        <v>5943</v>
      </c>
      <c r="C1102" t="str">
        <f>"9781554692187"</f>
        <v>9781554692187</v>
      </c>
      <c r="D1102" t="str">
        <f>"9781554692194"</f>
        <v>9781554692194</v>
      </c>
      <c r="E1102" t="s">
        <v>4668</v>
      </c>
      <c r="F1102" t="s">
        <v>4668</v>
      </c>
      <c r="G1102" s="1">
        <v>40269</v>
      </c>
      <c r="H1102">
        <v>1</v>
      </c>
      <c r="I1102" t="s">
        <v>5010</v>
      </c>
      <c r="J1102" t="s">
        <v>5944</v>
      </c>
      <c r="K1102" t="s">
        <v>3572</v>
      </c>
      <c r="L1102" t="s">
        <v>5945</v>
      </c>
      <c r="M1102" t="s">
        <v>1460</v>
      </c>
      <c r="N1102" t="s">
        <v>5946</v>
      </c>
      <c r="O1102" t="s">
        <v>26</v>
      </c>
      <c r="P1102">
        <v>7.99</v>
      </c>
      <c r="Q1102">
        <v>9.99</v>
      </c>
      <c r="R1102">
        <v>7.99</v>
      </c>
      <c r="T1102" t="s">
        <v>5947</v>
      </c>
    </row>
    <row r="1103" spans="1:20">
      <c r="A1103">
        <v>683202</v>
      </c>
      <c r="B1103" t="s">
        <v>5948</v>
      </c>
      <c r="C1103" t="str">
        <f>"9781551433592"</f>
        <v>9781551433592</v>
      </c>
      <c r="D1103" t="str">
        <f>"9781551438405"</f>
        <v>9781551438405</v>
      </c>
      <c r="E1103" t="s">
        <v>4668</v>
      </c>
      <c r="F1103" t="s">
        <v>4668</v>
      </c>
      <c r="G1103" s="1">
        <v>38292</v>
      </c>
      <c r="H1103">
        <v>1</v>
      </c>
      <c r="I1103" t="s">
        <v>5010</v>
      </c>
      <c r="J1103" t="s">
        <v>3636</v>
      </c>
      <c r="K1103" t="s">
        <v>1464</v>
      </c>
      <c r="L1103" t="s">
        <v>5949</v>
      </c>
      <c r="M1103" t="s">
        <v>1460</v>
      </c>
      <c r="N1103" t="s">
        <v>5950</v>
      </c>
      <c r="O1103" t="s">
        <v>26</v>
      </c>
      <c r="P1103">
        <v>7.99</v>
      </c>
      <c r="Q1103">
        <v>9.99</v>
      </c>
      <c r="R1103">
        <v>7.99</v>
      </c>
      <c r="T1103" t="s">
        <v>5951</v>
      </c>
    </row>
    <row r="1104" spans="1:20">
      <c r="A1104">
        <v>683204</v>
      </c>
      <c r="B1104" t="s">
        <v>5952</v>
      </c>
      <c r="C1104" t="str">
        <f>"9781551439006"</f>
        <v>9781551439006</v>
      </c>
      <c r="D1104" t="str">
        <f>"9781551439020"</f>
        <v>9781551439020</v>
      </c>
      <c r="E1104" t="s">
        <v>4668</v>
      </c>
      <c r="F1104" t="s">
        <v>4668</v>
      </c>
      <c r="G1104" s="1">
        <v>39722</v>
      </c>
      <c r="H1104">
        <v>1</v>
      </c>
      <c r="J1104" t="s">
        <v>5953</v>
      </c>
      <c r="K1104" t="s">
        <v>5954</v>
      </c>
      <c r="L1104" t="s">
        <v>5955</v>
      </c>
      <c r="M1104">
        <v>96</v>
      </c>
      <c r="N1104" t="s">
        <v>5956</v>
      </c>
      <c r="O1104" t="s">
        <v>26</v>
      </c>
      <c r="P1104">
        <v>19.989999999999998</v>
      </c>
      <c r="Q1104">
        <v>24.99</v>
      </c>
      <c r="R1104">
        <v>19.989999999999998</v>
      </c>
      <c r="T1104" t="s">
        <v>5957</v>
      </c>
    </row>
    <row r="1105" spans="1:20">
      <c r="A1105">
        <v>683205</v>
      </c>
      <c r="B1105" t="s">
        <v>5958</v>
      </c>
      <c r="C1105" t="str">
        <f>"9781551436951"</f>
        <v>9781551436951</v>
      </c>
      <c r="D1105" t="str">
        <f>"9781551436975"</f>
        <v>9781551436975</v>
      </c>
      <c r="E1105" t="s">
        <v>4668</v>
      </c>
      <c r="F1105" t="s">
        <v>4668</v>
      </c>
      <c r="G1105" s="1">
        <v>39142</v>
      </c>
      <c r="H1105">
        <v>1</v>
      </c>
      <c r="I1105" t="s">
        <v>5010</v>
      </c>
      <c r="J1105" t="s">
        <v>5959</v>
      </c>
      <c r="K1105" t="s">
        <v>1464</v>
      </c>
      <c r="L1105" t="s">
        <v>5960</v>
      </c>
      <c r="M1105" t="s">
        <v>1460</v>
      </c>
      <c r="N1105" t="s">
        <v>5961</v>
      </c>
      <c r="O1105" t="s">
        <v>26</v>
      </c>
      <c r="P1105">
        <v>7.99</v>
      </c>
      <c r="Q1105">
        <v>9.99</v>
      </c>
      <c r="R1105">
        <v>7.99</v>
      </c>
      <c r="T1105" t="s">
        <v>5962</v>
      </c>
    </row>
    <row r="1106" spans="1:20">
      <c r="A1106">
        <v>683206</v>
      </c>
      <c r="B1106" t="s">
        <v>5963</v>
      </c>
      <c r="C1106" t="str">
        <f>"9781551431390"</f>
        <v>9781551431390</v>
      </c>
      <c r="D1106" t="str">
        <f>"9781551435152"</f>
        <v>9781551435152</v>
      </c>
      <c r="E1106" t="s">
        <v>4668</v>
      </c>
      <c r="F1106" t="s">
        <v>4668</v>
      </c>
      <c r="G1106" s="1">
        <v>36892</v>
      </c>
      <c r="H1106">
        <v>1</v>
      </c>
      <c r="J1106" t="s">
        <v>3636</v>
      </c>
      <c r="K1106" t="s">
        <v>3572</v>
      </c>
      <c r="L1106" t="s">
        <v>5964</v>
      </c>
      <c r="M1106" t="s">
        <v>4671</v>
      </c>
      <c r="N1106" t="s">
        <v>5965</v>
      </c>
      <c r="O1106" t="s">
        <v>26</v>
      </c>
      <c r="P1106">
        <v>10.99</v>
      </c>
      <c r="Q1106">
        <v>13.74</v>
      </c>
      <c r="R1106">
        <v>10.99</v>
      </c>
      <c r="T1106" t="s">
        <v>5966</v>
      </c>
    </row>
    <row r="1107" spans="1:20">
      <c r="A1107">
        <v>683207</v>
      </c>
      <c r="B1107" t="s">
        <v>5967</v>
      </c>
      <c r="C1107" t="str">
        <f>"9781551431697"</f>
        <v>9781551431697</v>
      </c>
      <c r="D1107" t="str">
        <f>"9781554692286"</f>
        <v>9781554692286</v>
      </c>
      <c r="E1107" t="s">
        <v>4668</v>
      </c>
      <c r="F1107" t="s">
        <v>4668</v>
      </c>
      <c r="G1107" s="1">
        <v>36892</v>
      </c>
      <c r="H1107">
        <v>1</v>
      </c>
      <c r="I1107" t="s">
        <v>5010</v>
      </c>
      <c r="J1107" t="s">
        <v>3636</v>
      </c>
      <c r="K1107" t="s">
        <v>3572</v>
      </c>
      <c r="L1107" t="s">
        <v>5968</v>
      </c>
      <c r="M1107" t="s">
        <v>4671</v>
      </c>
      <c r="N1107" t="s">
        <v>5969</v>
      </c>
      <c r="O1107" t="s">
        <v>26</v>
      </c>
      <c r="P1107">
        <v>7.99</v>
      </c>
      <c r="Q1107">
        <v>9.99</v>
      </c>
      <c r="R1107">
        <v>7.99</v>
      </c>
      <c r="T1107" t="s">
        <v>5970</v>
      </c>
    </row>
    <row r="1108" spans="1:20">
      <c r="A1108">
        <v>683208</v>
      </c>
      <c r="B1108" t="s">
        <v>5971</v>
      </c>
      <c r="C1108" t="str">
        <f>"9781551433172"</f>
        <v>9781551433172</v>
      </c>
      <c r="D1108" t="str">
        <f>"9781551434216"</f>
        <v>9781551434216</v>
      </c>
      <c r="E1108" t="s">
        <v>4668</v>
      </c>
      <c r="F1108" t="s">
        <v>4668</v>
      </c>
      <c r="G1108" s="1">
        <v>38231</v>
      </c>
      <c r="H1108">
        <v>1</v>
      </c>
      <c r="I1108" t="s">
        <v>5056</v>
      </c>
      <c r="J1108" t="s">
        <v>3636</v>
      </c>
      <c r="K1108" t="s">
        <v>1464</v>
      </c>
      <c r="L1108" t="s">
        <v>5972</v>
      </c>
      <c r="M1108" t="s">
        <v>5068</v>
      </c>
      <c r="N1108" t="s">
        <v>5973</v>
      </c>
      <c r="O1108" t="s">
        <v>26</v>
      </c>
      <c r="P1108">
        <v>9.99</v>
      </c>
      <c r="Q1108">
        <v>12.49</v>
      </c>
      <c r="R1108">
        <v>9.99</v>
      </c>
      <c r="T1108" t="s">
        <v>5974</v>
      </c>
    </row>
    <row r="1109" spans="1:20">
      <c r="A1109">
        <v>683210</v>
      </c>
      <c r="B1109" t="s">
        <v>5975</v>
      </c>
      <c r="C1109" t="str">
        <f>"9781551432168"</f>
        <v>9781551432168</v>
      </c>
      <c r="D1109" t="str">
        <f>"9781551433998"</f>
        <v>9781551433998</v>
      </c>
      <c r="E1109" t="s">
        <v>4668</v>
      </c>
      <c r="F1109" t="s">
        <v>4668</v>
      </c>
      <c r="G1109" s="1">
        <v>37288</v>
      </c>
      <c r="H1109">
        <v>1</v>
      </c>
      <c r="I1109" t="s">
        <v>5010</v>
      </c>
      <c r="J1109" t="s">
        <v>3636</v>
      </c>
      <c r="K1109" t="s">
        <v>3572</v>
      </c>
      <c r="L1109" t="s">
        <v>5976</v>
      </c>
      <c r="M1109" t="s">
        <v>5068</v>
      </c>
      <c r="N1109" t="s">
        <v>5977</v>
      </c>
      <c r="O1109" t="s">
        <v>26</v>
      </c>
      <c r="P1109">
        <v>7.99</v>
      </c>
      <c r="Q1109">
        <v>9.99</v>
      </c>
      <c r="R1109">
        <v>7.99</v>
      </c>
      <c r="T1109" t="s">
        <v>5978</v>
      </c>
    </row>
    <row r="1110" spans="1:20">
      <c r="A1110">
        <v>683211</v>
      </c>
      <c r="B1110" t="s">
        <v>5979</v>
      </c>
      <c r="C1110" t="str">
        <f>"9781551432373"</f>
        <v>9781551432373</v>
      </c>
      <c r="D1110" t="str">
        <f>"9781551434117"</f>
        <v>9781551434117</v>
      </c>
      <c r="E1110" t="s">
        <v>4668</v>
      </c>
      <c r="F1110" t="s">
        <v>4668</v>
      </c>
      <c r="G1110" s="1">
        <v>37622</v>
      </c>
      <c r="H1110">
        <v>1</v>
      </c>
      <c r="I1110" t="s">
        <v>5010</v>
      </c>
      <c r="J1110" t="s">
        <v>3636</v>
      </c>
      <c r="K1110" t="s">
        <v>3617</v>
      </c>
      <c r="L1110" t="s">
        <v>5980</v>
      </c>
      <c r="M1110" t="s">
        <v>1460</v>
      </c>
      <c r="N1110" t="s">
        <v>5981</v>
      </c>
      <c r="O1110" t="s">
        <v>26</v>
      </c>
      <c r="P1110">
        <v>7.99</v>
      </c>
      <c r="Q1110">
        <v>9.99</v>
      </c>
      <c r="R1110">
        <v>7.99</v>
      </c>
      <c r="T1110" t="s">
        <v>5982</v>
      </c>
    </row>
    <row r="1111" spans="1:20">
      <c r="A1111">
        <v>683212</v>
      </c>
      <c r="B1111" t="s">
        <v>5983</v>
      </c>
      <c r="C1111" t="str">
        <f>"9781551433189"</f>
        <v>9781551433189</v>
      </c>
      <c r="D1111" t="str">
        <f>"9781551434230"</f>
        <v>9781551434230</v>
      </c>
      <c r="E1111" t="s">
        <v>4668</v>
      </c>
      <c r="F1111" t="s">
        <v>4668</v>
      </c>
      <c r="G1111" s="1">
        <v>38078</v>
      </c>
      <c r="H1111">
        <v>1</v>
      </c>
      <c r="I1111" t="s">
        <v>5056</v>
      </c>
      <c r="J1111" t="s">
        <v>3636</v>
      </c>
      <c r="K1111" t="s">
        <v>3572</v>
      </c>
      <c r="L1111" t="s">
        <v>5984</v>
      </c>
      <c r="M1111" t="s">
        <v>1460</v>
      </c>
      <c r="N1111" t="s">
        <v>5985</v>
      </c>
      <c r="O1111" t="s">
        <v>26</v>
      </c>
      <c r="P1111">
        <v>9.99</v>
      </c>
      <c r="Q1111">
        <v>12.49</v>
      </c>
      <c r="R1111">
        <v>9.99</v>
      </c>
      <c r="T1111" t="s">
        <v>5986</v>
      </c>
    </row>
    <row r="1112" spans="1:20">
      <c r="A1112">
        <v>683213</v>
      </c>
      <c r="B1112" t="s">
        <v>5987</v>
      </c>
      <c r="C1112" t="str">
        <f>"9781551432014"</f>
        <v>9781551432014</v>
      </c>
      <c r="D1112" t="str">
        <f>"9781551433875"</f>
        <v>9781551433875</v>
      </c>
      <c r="E1112" t="s">
        <v>4668</v>
      </c>
      <c r="F1112" t="s">
        <v>4668</v>
      </c>
      <c r="G1112" s="1">
        <v>37500</v>
      </c>
      <c r="H1112">
        <v>1</v>
      </c>
      <c r="I1112" t="s">
        <v>5010</v>
      </c>
      <c r="J1112" t="s">
        <v>3636</v>
      </c>
      <c r="K1112" t="s">
        <v>1458</v>
      </c>
      <c r="L1112" t="s">
        <v>5988</v>
      </c>
      <c r="M1112" t="s">
        <v>5427</v>
      </c>
      <c r="N1112" t="s">
        <v>5989</v>
      </c>
      <c r="O1112" t="s">
        <v>26</v>
      </c>
      <c r="P1112">
        <v>7.99</v>
      </c>
      <c r="Q1112">
        <v>9.99</v>
      </c>
      <c r="R1112">
        <v>7.99</v>
      </c>
      <c r="T1112" t="s">
        <v>5990</v>
      </c>
    </row>
    <row r="1113" spans="1:20">
      <c r="A1113">
        <v>683217</v>
      </c>
      <c r="B1113" t="s">
        <v>5991</v>
      </c>
      <c r="C1113" t="str">
        <f>"9781551437149"</f>
        <v>9781551437149</v>
      </c>
      <c r="D1113" t="str">
        <f>"9781551437163"</f>
        <v>9781551437163</v>
      </c>
      <c r="E1113" t="s">
        <v>4668</v>
      </c>
      <c r="F1113" t="s">
        <v>4668</v>
      </c>
      <c r="G1113" s="1">
        <v>39539</v>
      </c>
      <c r="H1113">
        <v>1</v>
      </c>
      <c r="J1113" t="s">
        <v>5992</v>
      </c>
      <c r="K1113" t="s">
        <v>5703</v>
      </c>
      <c r="L1113" t="s">
        <v>5993</v>
      </c>
      <c r="M1113">
        <v>174</v>
      </c>
      <c r="N1113" t="s">
        <v>5994</v>
      </c>
      <c r="O1113" t="s">
        <v>26</v>
      </c>
      <c r="P1113">
        <v>8.99</v>
      </c>
      <c r="Q1113">
        <v>11.24</v>
      </c>
      <c r="R1113">
        <v>8.99</v>
      </c>
      <c r="T1113" t="s">
        <v>5995</v>
      </c>
    </row>
    <row r="1114" spans="1:20">
      <c r="A1114">
        <v>683218</v>
      </c>
      <c r="B1114" t="s">
        <v>5996</v>
      </c>
      <c r="C1114" t="str">
        <f>"9781554691418"</f>
        <v>9781554691418</v>
      </c>
      <c r="D1114" t="str">
        <f>"9781554691425"</f>
        <v>9781554691425</v>
      </c>
      <c r="E1114" t="s">
        <v>4668</v>
      </c>
      <c r="F1114" t="s">
        <v>4668</v>
      </c>
      <c r="G1114" s="1">
        <v>40087</v>
      </c>
      <c r="H1114">
        <v>1</v>
      </c>
      <c r="J1114" t="s">
        <v>5997</v>
      </c>
      <c r="K1114" t="s">
        <v>5998</v>
      </c>
      <c r="L1114" t="s">
        <v>5999</v>
      </c>
      <c r="M1114" t="s">
        <v>6000</v>
      </c>
      <c r="N1114" t="s">
        <v>6001</v>
      </c>
      <c r="O1114" t="s">
        <v>26</v>
      </c>
      <c r="P1114">
        <v>9.99</v>
      </c>
      <c r="Q1114">
        <v>12.49</v>
      </c>
      <c r="R1114">
        <v>9.99</v>
      </c>
      <c r="T1114" t="s">
        <v>6002</v>
      </c>
    </row>
    <row r="1115" spans="1:20">
      <c r="A1115">
        <v>683220</v>
      </c>
      <c r="B1115" t="s">
        <v>6003</v>
      </c>
      <c r="C1115" t="str">
        <f>"9781554691111"</f>
        <v>9781554691111</v>
      </c>
      <c r="D1115" t="str">
        <f>"9781554691128"</f>
        <v>9781554691128</v>
      </c>
      <c r="E1115" t="s">
        <v>4668</v>
      </c>
      <c r="F1115" t="s">
        <v>4668</v>
      </c>
      <c r="G1115" s="1">
        <v>40087</v>
      </c>
      <c r="H1115">
        <v>1</v>
      </c>
      <c r="J1115" t="s">
        <v>3584</v>
      </c>
      <c r="K1115" t="s">
        <v>3572</v>
      </c>
      <c r="L1115" t="s">
        <v>6004</v>
      </c>
      <c r="M1115" t="s">
        <v>4671</v>
      </c>
      <c r="N1115" t="s">
        <v>6005</v>
      </c>
      <c r="O1115" t="s">
        <v>26</v>
      </c>
      <c r="P1115">
        <v>12.99</v>
      </c>
      <c r="Q1115">
        <v>16.239999999999998</v>
      </c>
      <c r="R1115">
        <v>12.99</v>
      </c>
      <c r="T1115" t="s">
        <v>6006</v>
      </c>
    </row>
    <row r="1116" spans="1:20">
      <c r="A1116">
        <v>683221</v>
      </c>
      <c r="B1116" t="s">
        <v>6007</v>
      </c>
      <c r="C1116" t="str">
        <f>"9781554692705"</f>
        <v>9781554692705</v>
      </c>
      <c r="D1116" t="str">
        <f>"9781554692712"</f>
        <v>9781554692712</v>
      </c>
      <c r="E1116" t="s">
        <v>4668</v>
      </c>
      <c r="F1116" t="s">
        <v>4668</v>
      </c>
      <c r="G1116" s="1">
        <v>40452</v>
      </c>
      <c r="H1116">
        <v>1</v>
      </c>
      <c r="J1116" t="s">
        <v>3584</v>
      </c>
      <c r="K1116" t="s">
        <v>3572</v>
      </c>
      <c r="L1116" t="s">
        <v>6008</v>
      </c>
      <c r="M1116" t="s">
        <v>3574</v>
      </c>
      <c r="N1116" t="s">
        <v>6009</v>
      </c>
      <c r="O1116" t="s">
        <v>26</v>
      </c>
      <c r="P1116">
        <v>12.99</v>
      </c>
      <c r="Q1116">
        <v>16.239999999999998</v>
      </c>
      <c r="R1116">
        <v>12.99</v>
      </c>
      <c r="T1116" t="s">
        <v>6010</v>
      </c>
    </row>
    <row r="1117" spans="1:20">
      <c r="A1117">
        <v>683222</v>
      </c>
      <c r="B1117" t="s">
        <v>6011</v>
      </c>
      <c r="C1117" t="str">
        <f>"9781554691814"</f>
        <v>9781554691814</v>
      </c>
      <c r="D1117" t="str">
        <f>"9781554691838"</f>
        <v>9781554691838</v>
      </c>
      <c r="E1117" t="s">
        <v>4668</v>
      </c>
      <c r="F1117" t="s">
        <v>4668</v>
      </c>
      <c r="G1117" s="1">
        <v>40238</v>
      </c>
      <c r="H1117">
        <v>1</v>
      </c>
      <c r="I1117" t="s">
        <v>4685</v>
      </c>
      <c r="J1117" t="s">
        <v>6012</v>
      </c>
      <c r="K1117" t="s">
        <v>3572</v>
      </c>
      <c r="L1117" t="s">
        <v>6013</v>
      </c>
      <c r="M1117" t="s">
        <v>1460</v>
      </c>
      <c r="N1117" t="s">
        <v>6014</v>
      </c>
      <c r="O1117" t="s">
        <v>26</v>
      </c>
      <c r="P1117">
        <v>9.99</v>
      </c>
      <c r="Q1117">
        <v>12.49</v>
      </c>
      <c r="R1117">
        <v>9.99</v>
      </c>
      <c r="T1117" t="s">
        <v>6015</v>
      </c>
    </row>
    <row r="1118" spans="1:20">
      <c r="A1118">
        <v>683224</v>
      </c>
      <c r="B1118" t="s">
        <v>6016</v>
      </c>
      <c r="C1118" t="str">
        <f>"9781551432496"</f>
        <v>9781551432496</v>
      </c>
      <c r="D1118" t="str">
        <f>"9781551434223"</f>
        <v>9781551434223</v>
      </c>
      <c r="E1118" t="s">
        <v>4668</v>
      </c>
      <c r="F1118" t="s">
        <v>4668</v>
      </c>
      <c r="G1118" s="1">
        <v>37895</v>
      </c>
      <c r="H1118">
        <v>1</v>
      </c>
      <c r="I1118" t="s">
        <v>5010</v>
      </c>
      <c r="J1118" t="s">
        <v>6017</v>
      </c>
      <c r="K1118" t="s">
        <v>1458</v>
      </c>
      <c r="L1118" t="s">
        <v>6018</v>
      </c>
      <c r="M1118" t="s">
        <v>1460</v>
      </c>
      <c r="N1118" t="s">
        <v>6019</v>
      </c>
      <c r="O1118" t="s">
        <v>26</v>
      </c>
      <c r="P1118">
        <v>7.99</v>
      </c>
      <c r="Q1118">
        <v>9.99</v>
      </c>
      <c r="R1118">
        <v>7.99</v>
      </c>
      <c r="T1118" t="s">
        <v>6020</v>
      </c>
    </row>
    <row r="1119" spans="1:20">
      <c r="A1119">
        <v>683228</v>
      </c>
      <c r="B1119" t="s">
        <v>6021</v>
      </c>
      <c r="C1119" t="str">
        <f>"9781551434803"</f>
        <v>9781551434803</v>
      </c>
      <c r="D1119" t="str">
        <f>"9781551436029"</f>
        <v>9781551436029</v>
      </c>
      <c r="E1119" t="s">
        <v>4668</v>
      </c>
      <c r="F1119" t="s">
        <v>4668</v>
      </c>
      <c r="G1119" s="1">
        <v>38596</v>
      </c>
      <c r="H1119">
        <v>1</v>
      </c>
      <c r="I1119" t="s">
        <v>5056</v>
      </c>
      <c r="J1119" t="s">
        <v>6022</v>
      </c>
      <c r="K1119" t="s">
        <v>3572</v>
      </c>
      <c r="L1119" t="s">
        <v>6023</v>
      </c>
      <c r="M1119" t="s">
        <v>1509</v>
      </c>
      <c r="N1119" t="s">
        <v>6024</v>
      </c>
      <c r="O1119" t="s">
        <v>26</v>
      </c>
      <c r="P1119">
        <v>9.99</v>
      </c>
      <c r="Q1119">
        <v>12.49</v>
      </c>
      <c r="R1119">
        <v>9.99</v>
      </c>
      <c r="T1119" t="s">
        <v>6025</v>
      </c>
    </row>
    <row r="1120" spans="1:20">
      <c r="A1120">
        <v>683230</v>
      </c>
      <c r="B1120" t="s">
        <v>6026</v>
      </c>
      <c r="C1120" t="str">
        <f>"9781551439532"</f>
        <v>9781551439532</v>
      </c>
      <c r="D1120" t="str">
        <f>"9781551439570"</f>
        <v>9781551439570</v>
      </c>
      <c r="E1120" t="s">
        <v>4668</v>
      </c>
      <c r="F1120" t="s">
        <v>4668</v>
      </c>
      <c r="G1120" s="1">
        <v>39722</v>
      </c>
      <c r="H1120">
        <v>1</v>
      </c>
      <c r="I1120" t="s">
        <v>5056</v>
      </c>
      <c r="J1120" t="s">
        <v>6027</v>
      </c>
      <c r="K1120" t="s">
        <v>3572</v>
      </c>
      <c r="L1120" t="s">
        <v>6028</v>
      </c>
      <c r="M1120" t="s">
        <v>4671</v>
      </c>
      <c r="N1120" t="s">
        <v>6029</v>
      </c>
      <c r="O1120" t="s">
        <v>26</v>
      </c>
      <c r="P1120">
        <v>9.99</v>
      </c>
      <c r="Q1120">
        <v>12.49</v>
      </c>
      <c r="R1120">
        <v>9.99</v>
      </c>
      <c r="T1120" t="s">
        <v>6030</v>
      </c>
    </row>
    <row r="1121" spans="1:20">
      <c r="A1121">
        <v>684143</v>
      </c>
      <c r="B1121" t="s">
        <v>6031</v>
      </c>
      <c r="C1121" t="str">
        <f>"9780865716995"</f>
        <v>9780865716995</v>
      </c>
      <c r="D1121" t="str">
        <f>"9781550924763"</f>
        <v>9781550924763</v>
      </c>
      <c r="E1121" t="s">
        <v>249</v>
      </c>
      <c r="F1121" t="s">
        <v>249</v>
      </c>
      <c r="G1121" s="1">
        <v>40638</v>
      </c>
      <c r="J1121" t="s">
        <v>6032</v>
      </c>
      <c r="K1121" t="s">
        <v>416</v>
      </c>
      <c r="L1121" t="s">
        <v>6033</v>
      </c>
      <c r="M1121">
        <v>338.92700000000002</v>
      </c>
      <c r="N1121" t="s">
        <v>6034</v>
      </c>
      <c r="O1121" t="s">
        <v>26</v>
      </c>
      <c r="P1121">
        <v>22.95</v>
      </c>
      <c r="R1121">
        <v>22.95</v>
      </c>
      <c r="T1121" t="s">
        <v>6035</v>
      </c>
    </row>
    <row r="1122" spans="1:20">
      <c r="A1122">
        <v>684254</v>
      </c>
      <c r="B1122" t="s">
        <v>6036</v>
      </c>
      <c r="C1122" t="str">
        <f>"9780865716858"</f>
        <v>9780865716858</v>
      </c>
      <c r="D1122" t="str">
        <f>"9781550924756"</f>
        <v>9781550924756</v>
      </c>
      <c r="E1122" t="s">
        <v>249</v>
      </c>
      <c r="F1122" t="s">
        <v>249</v>
      </c>
      <c r="G1122" s="1">
        <v>40694</v>
      </c>
      <c r="J1122" t="s">
        <v>6037</v>
      </c>
      <c r="K1122" t="s">
        <v>6038</v>
      </c>
      <c r="L1122" t="s">
        <v>6039</v>
      </c>
      <c r="M1122">
        <v>947.08600000000001</v>
      </c>
      <c r="N1122" t="s">
        <v>6040</v>
      </c>
      <c r="O1122" t="s">
        <v>26</v>
      </c>
      <c r="P1122">
        <v>17.95</v>
      </c>
      <c r="R1122">
        <v>17.95</v>
      </c>
      <c r="T1122" t="s">
        <v>6041</v>
      </c>
    </row>
    <row r="1123" spans="1:20">
      <c r="A1123">
        <v>684279</v>
      </c>
      <c r="B1123" t="s">
        <v>6042</v>
      </c>
      <c r="C1123" t="str">
        <f>"9780865716940"</f>
        <v>9780865716940</v>
      </c>
      <c r="D1123" t="str">
        <f>"9781550924732"</f>
        <v>9781550924732</v>
      </c>
      <c r="E1123" t="s">
        <v>249</v>
      </c>
      <c r="F1123" t="s">
        <v>249</v>
      </c>
      <c r="G1123" s="1">
        <v>40659</v>
      </c>
      <c r="J1123" t="s">
        <v>2831</v>
      </c>
      <c r="K1123" t="s">
        <v>76</v>
      </c>
      <c r="L1123" t="s">
        <v>6043</v>
      </c>
      <c r="M1123">
        <v>635</v>
      </c>
      <c r="N1123" t="s">
        <v>6044</v>
      </c>
      <c r="O1123" t="s">
        <v>26</v>
      </c>
      <c r="P1123">
        <v>21.95</v>
      </c>
      <c r="R1123">
        <v>21.95</v>
      </c>
      <c r="T1123" t="s">
        <v>6045</v>
      </c>
    </row>
    <row r="1124" spans="1:20">
      <c r="A1124">
        <v>685488</v>
      </c>
      <c r="B1124" t="s">
        <v>6046</v>
      </c>
      <c r="C1124" t="str">
        <f>"9780889202092"</f>
        <v>9780889202092</v>
      </c>
      <c r="D1124" t="str">
        <f>"9780889209046"</f>
        <v>9780889209046</v>
      </c>
      <c r="E1124" t="s">
        <v>6047</v>
      </c>
      <c r="F1124" t="s">
        <v>6047</v>
      </c>
      <c r="G1124" s="1">
        <v>38718</v>
      </c>
      <c r="I1124" t="s">
        <v>6048</v>
      </c>
      <c r="J1124" t="s">
        <v>6049</v>
      </c>
      <c r="K1124" t="s">
        <v>1892</v>
      </c>
      <c r="L1124" t="s">
        <v>6050</v>
      </c>
      <c r="M1124" t="s">
        <v>6051</v>
      </c>
      <c r="N1124" t="s">
        <v>6052</v>
      </c>
      <c r="O1124" t="s">
        <v>26</v>
      </c>
      <c r="P1124">
        <v>85</v>
      </c>
      <c r="Q1124">
        <v>106.25</v>
      </c>
      <c r="R1124">
        <v>85</v>
      </c>
      <c r="S1124">
        <v>127.5</v>
      </c>
      <c r="T1124" t="s">
        <v>6053</v>
      </c>
    </row>
    <row r="1125" spans="1:20">
      <c r="A1125">
        <v>685489</v>
      </c>
      <c r="B1125" t="s">
        <v>6054</v>
      </c>
      <c r="C1125" t="str">
        <f>"9780889202993"</f>
        <v>9780889202993</v>
      </c>
      <c r="D1125" t="str">
        <f>"9780889209053"</f>
        <v>9780889209053</v>
      </c>
      <c r="E1125" t="s">
        <v>6047</v>
      </c>
      <c r="F1125" t="s">
        <v>6047</v>
      </c>
      <c r="G1125" s="1">
        <v>38718</v>
      </c>
      <c r="I1125" t="s">
        <v>6048</v>
      </c>
      <c r="J1125" t="s">
        <v>6049</v>
      </c>
      <c r="K1125" t="s">
        <v>6055</v>
      </c>
      <c r="L1125" t="s">
        <v>6056</v>
      </c>
      <c r="M1125" t="s">
        <v>6057</v>
      </c>
      <c r="N1125" t="s">
        <v>6058</v>
      </c>
      <c r="O1125" t="s">
        <v>26</v>
      </c>
      <c r="P1125">
        <v>85</v>
      </c>
      <c r="Q1125">
        <v>106.25</v>
      </c>
      <c r="R1125">
        <v>85</v>
      </c>
      <c r="S1125">
        <v>127.5</v>
      </c>
      <c r="T1125" t="s">
        <v>6059</v>
      </c>
    </row>
    <row r="1126" spans="1:20">
      <c r="A1126">
        <v>685490</v>
      </c>
      <c r="B1126" t="s">
        <v>6060</v>
      </c>
      <c r="C1126" t="str">
        <f>"9780889204140"</f>
        <v>9780889204140</v>
      </c>
      <c r="D1126" t="str">
        <f>"9780889209039"</f>
        <v>9780889209039</v>
      </c>
      <c r="E1126" t="s">
        <v>6047</v>
      </c>
      <c r="F1126" t="s">
        <v>6047</v>
      </c>
      <c r="G1126" s="1">
        <v>38718</v>
      </c>
      <c r="I1126" t="s">
        <v>6061</v>
      </c>
      <c r="J1126" t="s">
        <v>6062</v>
      </c>
      <c r="K1126" t="s">
        <v>291</v>
      </c>
      <c r="L1126" t="s">
        <v>6063</v>
      </c>
      <c r="M1126" t="s">
        <v>6064</v>
      </c>
      <c r="N1126" t="s">
        <v>6065</v>
      </c>
      <c r="O1126" t="s">
        <v>26</v>
      </c>
      <c r="P1126">
        <v>85</v>
      </c>
      <c r="Q1126">
        <v>106.25</v>
      </c>
      <c r="R1126">
        <v>85</v>
      </c>
      <c r="S1126">
        <v>127.5</v>
      </c>
      <c r="T1126" t="s">
        <v>6066</v>
      </c>
    </row>
    <row r="1127" spans="1:20">
      <c r="A1127">
        <v>685492</v>
      </c>
      <c r="B1127" t="s">
        <v>6067</v>
      </c>
      <c r="C1127" t="str">
        <f>"9780889204034"</f>
        <v>9780889204034</v>
      </c>
      <c r="D1127" t="str">
        <f>"9781554580668"</f>
        <v>9781554580668</v>
      </c>
      <c r="E1127" t="s">
        <v>6047</v>
      </c>
      <c r="F1127" t="s">
        <v>6047</v>
      </c>
      <c r="G1127" s="1">
        <v>38828</v>
      </c>
      <c r="J1127" t="s">
        <v>6068</v>
      </c>
      <c r="K1127" t="s">
        <v>263</v>
      </c>
      <c r="L1127" t="s">
        <v>6069</v>
      </c>
      <c r="M1127" t="s">
        <v>6070</v>
      </c>
      <c r="N1127" t="s">
        <v>6071</v>
      </c>
      <c r="O1127" t="s">
        <v>26</v>
      </c>
      <c r="P1127">
        <v>85</v>
      </c>
      <c r="Q1127">
        <v>106.25</v>
      </c>
      <c r="R1127">
        <v>85</v>
      </c>
      <c r="S1127">
        <v>127.5</v>
      </c>
      <c r="T1127" t="s">
        <v>6072</v>
      </c>
    </row>
    <row r="1128" spans="1:20">
      <c r="A1128">
        <v>685493</v>
      </c>
      <c r="B1128" t="s">
        <v>6073</v>
      </c>
      <c r="C1128" t="str">
        <f>"9780889202153"</f>
        <v>9780889202153</v>
      </c>
      <c r="D1128" t="str">
        <f>"9780889209015"</f>
        <v>9780889209015</v>
      </c>
      <c r="E1128" t="s">
        <v>6047</v>
      </c>
      <c r="F1128" t="s">
        <v>6047</v>
      </c>
      <c r="G1128" s="1">
        <v>38718</v>
      </c>
      <c r="J1128" t="s">
        <v>6074</v>
      </c>
      <c r="K1128" t="s">
        <v>1471</v>
      </c>
      <c r="L1128" t="s">
        <v>6075</v>
      </c>
      <c r="M1128">
        <v>700</v>
      </c>
      <c r="N1128" t="s">
        <v>6076</v>
      </c>
      <c r="O1128" t="s">
        <v>26</v>
      </c>
      <c r="P1128">
        <v>85</v>
      </c>
      <c r="Q1128">
        <v>106.25</v>
      </c>
      <c r="R1128">
        <v>85</v>
      </c>
      <c r="S1128">
        <v>127.5</v>
      </c>
      <c r="T1128" t="s">
        <v>6077</v>
      </c>
    </row>
    <row r="1129" spans="1:20">
      <c r="A1129">
        <v>685495</v>
      </c>
      <c r="B1129" t="s">
        <v>6078</v>
      </c>
      <c r="C1129" t="str">
        <f>"9781554580415"</f>
        <v>9781554580415</v>
      </c>
      <c r="D1129" t="str">
        <f>"9781554580675"</f>
        <v>9781554580675</v>
      </c>
      <c r="E1129" t="s">
        <v>6047</v>
      </c>
      <c r="F1129" t="s">
        <v>6047</v>
      </c>
      <c r="G1129" s="1">
        <v>39503</v>
      </c>
      <c r="I1129" t="s">
        <v>6079</v>
      </c>
      <c r="J1129" t="s">
        <v>6080</v>
      </c>
      <c r="K1129" t="s">
        <v>778</v>
      </c>
      <c r="L1129" t="s">
        <v>6081</v>
      </c>
      <c r="M1129">
        <v>341.2</v>
      </c>
      <c r="N1129" t="s">
        <v>6082</v>
      </c>
      <c r="O1129" t="s">
        <v>26</v>
      </c>
      <c r="P1129">
        <v>85</v>
      </c>
      <c r="Q1129">
        <v>106.25</v>
      </c>
      <c r="R1129">
        <v>85</v>
      </c>
      <c r="S1129">
        <v>127.5</v>
      </c>
      <c r="T1129" t="s">
        <v>6083</v>
      </c>
    </row>
    <row r="1130" spans="1:20">
      <c r="A1130">
        <v>685496</v>
      </c>
      <c r="B1130" t="s">
        <v>6084</v>
      </c>
      <c r="C1130" t="str">
        <f>"9780919812116"</f>
        <v>9780919812116</v>
      </c>
      <c r="D1130" t="str">
        <f>"9780889209008"</f>
        <v>9780889209008</v>
      </c>
      <c r="E1130" t="s">
        <v>6047</v>
      </c>
      <c r="F1130" t="s">
        <v>6047</v>
      </c>
      <c r="G1130" s="1">
        <v>38718</v>
      </c>
      <c r="I1130" t="s">
        <v>6085</v>
      </c>
      <c r="J1130" t="s">
        <v>6086</v>
      </c>
      <c r="K1130" t="s">
        <v>1892</v>
      </c>
      <c r="L1130" t="s">
        <v>6087</v>
      </c>
      <c r="M1130" t="s">
        <v>6088</v>
      </c>
      <c r="N1130" t="s">
        <v>6089</v>
      </c>
      <c r="O1130" t="s">
        <v>26</v>
      </c>
      <c r="P1130">
        <v>85</v>
      </c>
      <c r="Q1130">
        <v>106.25</v>
      </c>
      <c r="R1130">
        <v>85</v>
      </c>
      <c r="S1130">
        <v>127.5</v>
      </c>
      <c r="T1130" t="s">
        <v>6090</v>
      </c>
    </row>
    <row r="1131" spans="1:20">
      <c r="A1131">
        <v>685497</v>
      </c>
      <c r="B1131" t="s">
        <v>6091</v>
      </c>
      <c r="C1131" t="str">
        <f>"9780889204379"</f>
        <v>9780889204379</v>
      </c>
      <c r="D1131" t="str">
        <f>"9780889205413"</f>
        <v>9780889205413</v>
      </c>
      <c r="E1131" t="s">
        <v>6047</v>
      </c>
      <c r="F1131" t="s">
        <v>6047</v>
      </c>
      <c r="G1131" s="1">
        <v>38718</v>
      </c>
      <c r="I1131" t="s">
        <v>6061</v>
      </c>
      <c r="J1131" t="s">
        <v>6092</v>
      </c>
      <c r="K1131" t="s">
        <v>291</v>
      </c>
      <c r="L1131" t="s">
        <v>6093</v>
      </c>
      <c r="M1131" t="s">
        <v>6094</v>
      </c>
      <c r="N1131" t="s">
        <v>6095</v>
      </c>
      <c r="O1131" t="s">
        <v>26</v>
      </c>
      <c r="P1131">
        <v>85</v>
      </c>
      <c r="Q1131">
        <v>106.25</v>
      </c>
      <c r="R1131">
        <v>85</v>
      </c>
      <c r="S1131">
        <v>127.5</v>
      </c>
      <c r="T1131" t="s">
        <v>6096</v>
      </c>
    </row>
    <row r="1132" spans="1:20">
      <c r="A1132">
        <v>685498</v>
      </c>
      <c r="B1132" t="s">
        <v>6097</v>
      </c>
      <c r="C1132" t="str">
        <f>"9780889204287"</f>
        <v>9780889204287</v>
      </c>
      <c r="D1132" t="str">
        <f>"9780889208971"</f>
        <v>9780889208971</v>
      </c>
      <c r="E1132" t="s">
        <v>6047</v>
      </c>
      <c r="F1132" t="s">
        <v>6047</v>
      </c>
      <c r="G1132" s="1">
        <v>38718</v>
      </c>
      <c r="I1132" t="s">
        <v>6098</v>
      </c>
      <c r="J1132" t="s">
        <v>6099</v>
      </c>
      <c r="K1132" t="s">
        <v>1892</v>
      </c>
      <c r="L1132" t="s">
        <v>6100</v>
      </c>
      <c r="M1132" t="s">
        <v>6101</v>
      </c>
      <c r="N1132" t="s">
        <v>6102</v>
      </c>
      <c r="O1132" t="s">
        <v>26</v>
      </c>
      <c r="P1132">
        <v>85</v>
      </c>
      <c r="Q1132">
        <v>106.25</v>
      </c>
      <c r="R1132">
        <v>85</v>
      </c>
      <c r="S1132">
        <v>127.5</v>
      </c>
      <c r="T1132" t="s">
        <v>6103</v>
      </c>
    </row>
    <row r="1133" spans="1:20">
      <c r="A1133">
        <v>685501</v>
      </c>
      <c r="B1133" t="s">
        <v>6104</v>
      </c>
      <c r="C1133" t="str">
        <f>"9780889201071"</f>
        <v>9780889201071</v>
      </c>
      <c r="D1133" t="str">
        <f>"9780889208957"</f>
        <v>9780889208957</v>
      </c>
      <c r="E1133" t="s">
        <v>6047</v>
      </c>
      <c r="F1133" t="s">
        <v>6047</v>
      </c>
      <c r="G1133" s="1">
        <v>38718</v>
      </c>
      <c r="J1133" t="s">
        <v>6105</v>
      </c>
      <c r="K1133" t="s">
        <v>1859</v>
      </c>
      <c r="L1133" t="s">
        <v>6106</v>
      </c>
      <c r="M1133">
        <v>191</v>
      </c>
      <c r="N1133" t="s">
        <v>6107</v>
      </c>
      <c r="O1133" t="s">
        <v>26</v>
      </c>
      <c r="P1133">
        <v>85</v>
      </c>
      <c r="Q1133">
        <v>106.25</v>
      </c>
      <c r="R1133">
        <v>85</v>
      </c>
      <c r="S1133">
        <v>127.5</v>
      </c>
      <c r="T1133" t="s">
        <v>6108</v>
      </c>
    </row>
    <row r="1134" spans="1:20">
      <c r="A1134">
        <v>685502</v>
      </c>
      <c r="B1134" t="s">
        <v>6109</v>
      </c>
      <c r="C1134" t="str">
        <f>"9780889204409"</f>
        <v>9780889204409</v>
      </c>
      <c r="D1134" t="str">
        <f>"9781554580682"</f>
        <v>9781554580682</v>
      </c>
      <c r="E1134" t="s">
        <v>6047</v>
      </c>
      <c r="F1134" t="s">
        <v>6047</v>
      </c>
      <c r="G1134" s="1">
        <v>38718</v>
      </c>
      <c r="I1134" t="s">
        <v>6061</v>
      </c>
      <c r="J1134" t="s">
        <v>6110</v>
      </c>
      <c r="K1134" t="s">
        <v>291</v>
      </c>
      <c r="L1134" t="s">
        <v>6111</v>
      </c>
      <c r="M1134" t="s">
        <v>6112</v>
      </c>
      <c r="N1134" t="s">
        <v>6113</v>
      </c>
      <c r="O1134" t="s">
        <v>26</v>
      </c>
      <c r="P1134">
        <v>85</v>
      </c>
      <c r="Q1134">
        <v>106.25</v>
      </c>
      <c r="R1134">
        <v>85</v>
      </c>
      <c r="S1134">
        <v>127.5</v>
      </c>
      <c r="T1134" t="s">
        <v>6114</v>
      </c>
    </row>
    <row r="1135" spans="1:20">
      <c r="A1135">
        <v>685504</v>
      </c>
      <c r="B1135" t="s">
        <v>6115</v>
      </c>
      <c r="C1135" t="str">
        <f>"9780889204720"</f>
        <v>9780889204720</v>
      </c>
      <c r="D1135" t="str">
        <f>"9780889209244"</f>
        <v>9780889209244</v>
      </c>
      <c r="E1135" t="s">
        <v>6047</v>
      </c>
      <c r="F1135" t="s">
        <v>6047</v>
      </c>
      <c r="G1135" s="1">
        <v>38718</v>
      </c>
      <c r="I1135" t="s">
        <v>6116</v>
      </c>
      <c r="J1135" t="s">
        <v>6117</v>
      </c>
      <c r="K1135" t="s">
        <v>1892</v>
      </c>
      <c r="L1135" t="s">
        <v>6118</v>
      </c>
      <c r="M1135" t="s">
        <v>6119</v>
      </c>
      <c r="N1135" t="s">
        <v>6120</v>
      </c>
      <c r="O1135" t="s">
        <v>26</v>
      </c>
      <c r="P1135">
        <v>85</v>
      </c>
      <c r="Q1135">
        <v>106.25</v>
      </c>
      <c r="R1135">
        <v>85</v>
      </c>
      <c r="S1135">
        <v>127.5</v>
      </c>
      <c r="T1135" t="s">
        <v>6121</v>
      </c>
    </row>
    <row r="1136" spans="1:20">
      <c r="A1136">
        <v>685505</v>
      </c>
      <c r="B1136" t="s">
        <v>6122</v>
      </c>
      <c r="C1136" t="str">
        <f>"9780889201798"</f>
        <v>9780889201798</v>
      </c>
      <c r="D1136" t="str">
        <f>"9780889208933"</f>
        <v>9780889208933</v>
      </c>
      <c r="E1136" t="s">
        <v>6047</v>
      </c>
      <c r="F1136" t="s">
        <v>6047</v>
      </c>
      <c r="G1136" s="1">
        <v>38718</v>
      </c>
      <c r="I1136" t="s">
        <v>6085</v>
      </c>
      <c r="J1136" t="s">
        <v>6123</v>
      </c>
      <c r="K1136" t="s">
        <v>1892</v>
      </c>
      <c r="L1136" t="s">
        <v>6124</v>
      </c>
      <c r="M1136" t="s">
        <v>6125</v>
      </c>
      <c r="N1136" t="s">
        <v>6126</v>
      </c>
      <c r="O1136" t="s">
        <v>26</v>
      </c>
      <c r="P1136">
        <v>85</v>
      </c>
      <c r="Q1136">
        <v>106.25</v>
      </c>
      <c r="R1136">
        <v>85</v>
      </c>
      <c r="S1136">
        <v>127.5</v>
      </c>
      <c r="T1136" t="s">
        <v>6127</v>
      </c>
    </row>
    <row r="1137" spans="1:20">
      <c r="A1137">
        <v>685508</v>
      </c>
      <c r="B1137" t="s">
        <v>6128</v>
      </c>
      <c r="C1137" t="str">
        <f>"9780889202313"</f>
        <v>9780889202313</v>
      </c>
      <c r="D1137" t="str">
        <f>"9780889208919"</f>
        <v>9780889208919</v>
      </c>
      <c r="E1137" t="s">
        <v>6047</v>
      </c>
      <c r="F1137" t="s">
        <v>6047</v>
      </c>
      <c r="G1137" s="1">
        <v>38718</v>
      </c>
      <c r="J1137" t="s">
        <v>6129</v>
      </c>
      <c r="K1137" t="s">
        <v>257</v>
      </c>
      <c r="L1137" t="s">
        <v>6130</v>
      </c>
      <c r="M1137" t="s">
        <v>6131</v>
      </c>
      <c r="N1137" t="s">
        <v>6132</v>
      </c>
      <c r="O1137" t="s">
        <v>26</v>
      </c>
      <c r="P1137">
        <v>85</v>
      </c>
      <c r="Q1137">
        <v>106.25</v>
      </c>
      <c r="R1137">
        <v>85</v>
      </c>
      <c r="S1137">
        <v>127.5</v>
      </c>
      <c r="T1137" t="s">
        <v>6133</v>
      </c>
    </row>
    <row r="1138" spans="1:20">
      <c r="A1138">
        <v>685509</v>
      </c>
      <c r="B1138" t="s">
        <v>6134</v>
      </c>
      <c r="C1138" t="str">
        <f>"9780889200852"</f>
        <v>9780889200852</v>
      </c>
      <c r="D1138" t="str">
        <f>"9780889208902"</f>
        <v>9780889208902</v>
      </c>
      <c r="E1138" t="s">
        <v>6047</v>
      </c>
      <c r="F1138" t="s">
        <v>6047</v>
      </c>
      <c r="G1138" s="1">
        <v>38718</v>
      </c>
      <c r="J1138" t="s">
        <v>6135</v>
      </c>
      <c r="K1138" t="s">
        <v>257</v>
      </c>
      <c r="L1138" t="s">
        <v>6136</v>
      </c>
      <c r="M1138" t="s">
        <v>6137</v>
      </c>
      <c r="N1138" t="s">
        <v>6138</v>
      </c>
      <c r="O1138" t="s">
        <v>26</v>
      </c>
      <c r="P1138">
        <v>85</v>
      </c>
      <c r="Q1138">
        <v>106.25</v>
      </c>
      <c r="R1138">
        <v>85</v>
      </c>
      <c r="S1138">
        <v>127.5</v>
      </c>
      <c r="T1138" t="s">
        <v>6139</v>
      </c>
    </row>
    <row r="1139" spans="1:20">
      <c r="A1139">
        <v>685510</v>
      </c>
      <c r="B1139" t="s">
        <v>6140</v>
      </c>
      <c r="C1139" t="str">
        <f>"9780889209824"</f>
        <v>9780889209824</v>
      </c>
      <c r="D1139" t="str">
        <f>"9780889208896"</f>
        <v>9780889208896</v>
      </c>
      <c r="E1139" t="s">
        <v>6047</v>
      </c>
      <c r="F1139" t="s">
        <v>6047</v>
      </c>
      <c r="G1139" s="1">
        <v>38718</v>
      </c>
      <c r="J1139" t="s">
        <v>6129</v>
      </c>
      <c r="K1139" t="s">
        <v>257</v>
      </c>
      <c r="L1139" t="s">
        <v>6141</v>
      </c>
      <c r="M1139">
        <v>370.9</v>
      </c>
      <c r="N1139" t="s">
        <v>6142</v>
      </c>
      <c r="O1139" t="s">
        <v>26</v>
      </c>
      <c r="P1139">
        <v>85</v>
      </c>
      <c r="Q1139">
        <v>106.25</v>
      </c>
      <c r="R1139">
        <v>85</v>
      </c>
      <c r="S1139">
        <v>127.5</v>
      </c>
      <c r="T1139" t="s">
        <v>6143</v>
      </c>
    </row>
    <row r="1140" spans="1:20">
      <c r="A1140">
        <v>685511</v>
      </c>
      <c r="B1140" t="s">
        <v>6144</v>
      </c>
      <c r="C1140" t="str">
        <f>"9780889202238"</f>
        <v>9780889202238</v>
      </c>
      <c r="D1140" t="str">
        <f>"9780889208889"</f>
        <v>9780889208889</v>
      </c>
      <c r="E1140" t="s">
        <v>6047</v>
      </c>
      <c r="F1140" t="s">
        <v>6047</v>
      </c>
      <c r="G1140" s="1">
        <v>38718</v>
      </c>
      <c r="I1140" t="s">
        <v>6145</v>
      </c>
      <c r="J1140" t="s">
        <v>6146</v>
      </c>
      <c r="K1140" t="s">
        <v>1892</v>
      </c>
      <c r="L1140" t="s">
        <v>6147</v>
      </c>
      <c r="M1140" t="s">
        <v>6148</v>
      </c>
      <c r="N1140" t="s">
        <v>6149</v>
      </c>
      <c r="O1140" t="s">
        <v>26</v>
      </c>
      <c r="P1140">
        <v>85</v>
      </c>
      <c r="Q1140">
        <v>106.25</v>
      </c>
      <c r="R1140">
        <v>85</v>
      </c>
      <c r="S1140">
        <v>127.5</v>
      </c>
      <c r="T1140" t="s">
        <v>6150</v>
      </c>
    </row>
    <row r="1141" spans="1:20">
      <c r="A1141">
        <v>685512</v>
      </c>
      <c r="B1141" t="s">
        <v>6151</v>
      </c>
      <c r="C1141" t="str">
        <f>"9781554580583"</f>
        <v>9781554580583</v>
      </c>
      <c r="D1141" t="str">
        <f>"9781554582723"</f>
        <v>9781554582723</v>
      </c>
      <c r="E1141" t="s">
        <v>6047</v>
      </c>
      <c r="F1141" t="s">
        <v>6047</v>
      </c>
      <c r="G1141" s="1">
        <v>40002</v>
      </c>
      <c r="I1141" t="s">
        <v>6152</v>
      </c>
      <c r="J1141" t="s">
        <v>6153</v>
      </c>
      <c r="K1141" t="s">
        <v>6154</v>
      </c>
      <c r="L1141" t="s">
        <v>6155</v>
      </c>
      <c r="M1141" t="s">
        <v>6156</v>
      </c>
      <c r="N1141" t="s">
        <v>6157</v>
      </c>
      <c r="O1141" t="s">
        <v>26</v>
      </c>
      <c r="P1141">
        <v>85</v>
      </c>
      <c r="Q1141">
        <v>106.25</v>
      </c>
      <c r="R1141">
        <v>85</v>
      </c>
      <c r="S1141">
        <v>127.5</v>
      </c>
      <c r="T1141" t="s">
        <v>6158</v>
      </c>
    </row>
    <row r="1142" spans="1:20">
      <c r="A1142">
        <v>685513</v>
      </c>
      <c r="B1142" t="s">
        <v>6159</v>
      </c>
      <c r="C1142" t="str">
        <f>"9780889202207"</f>
        <v>9780889202207</v>
      </c>
      <c r="D1142" t="str">
        <f>"9780889208865"</f>
        <v>9780889208865</v>
      </c>
      <c r="E1142" t="s">
        <v>6047</v>
      </c>
      <c r="F1142" t="s">
        <v>6047</v>
      </c>
      <c r="G1142" s="1">
        <v>38718</v>
      </c>
      <c r="J1142" t="s">
        <v>6160</v>
      </c>
      <c r="K1142" t="s">
        <v>6161</v>
      </c>
      <c r="L1142" t="s">
        <v>6162</v>
      </c>
      <c r="M1142">
        <v>343.730729</v>
      </c>
      <c r="N1142" t="s">
        <v>6163</v>
      </c>
      <c r="O1142" t="s">
        <v>26</v>
      </c>
      <c r="P1142">
        <v>85</v>
      </c>
      <c r="Q1142">
        <v>106.25</v>
      </c>
      <c r="R1142">
        <v>85</v>
      </c>
      <c r="S1142">
        <v>127.5</v>
      </c>
      <c r="T1142" t="s">
        <v>6164</v>
      </c>
    </row>
    <row r="1143" spans="1:20">
      <c r="A1143">
        <v>685515</v>
      </c>
      <c r="B1143" t="s">
        <v>6165</v>
      </c>
      <c r="C1143" t="str">
        <f>"9780889205017"</f>
        <v>9780889205017</v>
      </c>
      <c r="D1143" t="str">
        <f>"9781554580699"</f>
        <v>9781554580699</v>
      </c>
      <c r="E1143" t="s">
        <v>6047</v>
      </c>
      <c r="F1143" t="s">
        <v>6047</v>
      </c>
      <c r="G1143" s="1">
        <v>39070</v>
      </c>
      <c r="I1143" t="s">
        <v>6048</v>
      </c>
      <c r="J1143" t="s">
        <v>6166</v>
      </c>
      <c r="K1143" t="s">
        <v>1892</v>
      </c>
      <c r="L1143" t="s">
        <v>6167</v>
      </c>
      <c r="M1143" t="s">
        <v>6168</v>
      </c>
      <c r="N1143" t="s">
        <v>6169</v>
      </c>
      <c r="O1143" t="s">
        <v>26</v>
      </c>
      <c r="P1143">
        <v>85</v>
      </c>
      <c r="Q1143">
        <v>106.25</v>
      </c>
      <c r="R1143">
        <v>85</v>
      </c>
      <c r="S1143">
        <v>127.5</v>
      </c>
      <c r="T1143" t="s">
        <v>6170</v>
      </c>
    </row>
    <row r="1144" spans="1:20">
      <c r="A1144">
        <v>685517</v>
      </c>
      <c r="B1144" t="s">
        <v>6171</v>
      </c>
      <c r="C1144" t="str">
        <f>"9780889204966"</f>
        <v>9780889204966</v>
      </c>
      <c r="D1144" t="str">
        <f>"9781554580712"</f>
        <v>9781554580712</v>
      </c>
      <c r="E1144" t="s">
        <v>6047</v>
      </c>
      <c r="F1144" t="s">
        <v>6047</v>
      </c>
      <c r="G1144" s="1">
        <v>38828</v>
      </c>
      <c r="J1144" t="s">
        <v>6172</v>
      </c>
      <c r="K1144" t="s">
        <v>1471</v>
      </c>
      <c r="L1144" t="s">
        <v>6173</v>
      </c>
      <c r="M1144" t="s">
        <v>6174</v>
      </c>
      <c r="N1144" t="s">
        <v>6175</v>
      </c>
      <c r="O1144" t="s">
        <v>26</v>
      </c>
      <c r="P1144">
        <v>85</v>
      </c>
      <c r="Q1144">
        <v>106.25</v>
      </c>
      <c r="R1144">
        <v>85</v>
      </c>
      <c r="S1144">
        <v>127.5</v>
      </c>
      <c r="T1144" t="s">
        <v>6176</v>
      </c>
    </row>
    <row r="1145" spans="1:20">
      <c r="A1145">
        <v>685520</v>
      </c>
      <c r="B1145" t="s">
        <v>6177</v>
      </c>
      <c r="C1145" t="str">
        <f>"9780889202047"</f>
        <v>9780889202047</v>
      </c>
      <c r="D1145" t="str">
        <f>"9780889208810"</f>
        <v>9780889208810</v>
      </c>
      <c r="E1145" t="s">
        <v>6047</v>
      </c>
      <c r="F1145" t="s">
        <v>6047</v>
      </c>
      <c r="G1145" s="1">
        <v>33573</v>
      </c>
      <c r="J1145" t="s">
        <v>6178</v>
      </c>
      <c r="K1145" t="s">
        <v>1892</v>
      </c>
      <c r="L1145" t="s">
        <v>6179</v>
      </c>
      <c r="M1145" t="s">
        <v>6180</v>
      </c>
      <c r="N1145" t="s">
        <v>6181</v>
      </c>
      <c r="O1145" t="s">
        <v>26</v>
      </c>
      <c r="P1145">
        <v>85</v>
      </c>
      <c r="Q1145">
        <v>106.25</v>
      </c>
      <c r="R1145">
        <v>85</v>
      </c>
      <c r="S1145">
        <v>127.5</v>
      </c>
      <c r="T1145" t="s">
        <v>6182</v>
      </c>
    </row>
    <row r="1146" spans="1:20">
      <c r="A1146">
        <v>685522</v>
      </c>
      <c r="B1146" t="s">
        <v>6183</v>
      </c>
      <c r="C1146" t="str">
        <f>"9781554580521"</f>
        <v>9781554580521</v>
      </c>
      <c r="D1146" t="str">
        <f>"9781554582280"</f>
        <v>9781554582280</v>
      </c>
      <c r="E1146" t="s">
        <v>6047</v>
      </c>
      <c r="F1146" t="s">
        <v>6047</v>
      </c>
      <c r="G1146" s="1">
        <v>40109</v>
      </c>
      <c r="I1146" t="s">
        <v>6079</v>
      </c>
      <c r="J1146" t="s">
        <v>6184</v>
      </c>
      <c r="K1146" t="s">
        <v>473</v>
      </c>
      <c r="L1146" t="s">
        <v>6185</v>
      </c>
      <c r="M1146">
        <v>305.40965999999997</v>
      </c>
      <c r="N1146" t="s">
        <v>6186</v>
      </c>
      <c r="O1146" t="s">
        <v>26</v>
      </c>
      <c r="P1146">
        <v>85</v>
      </c>
      <c r="Q1146">
        <v>106.25</v>
      </c>
      <c r="R1146">
        <v>85</v>
      </c>
      <c r="S1146">
        <v>127.5</v>
      </c>
      <c r="T1146" t="s">
        <v>6187</v>
      </c>
    </row>
    <row r="1147" spans="1:20">
      <c r="A1147">
        <v>685523</v>
      </c>
      <c r="B1147" t="s">
        <v>6188</v>
      </c>
      <c r="C1147" t="str">
        <f>"9780889204003"</f>
        <v>9780889204003</v>
      </c>
      <c r="D1147" t="str">
        <f>"9780889208803"</f>
        <v>9780889208803</v>
      </c>
      <c r="E1147" t="s">
        <v>6047</v>
      </c>
      <c r="F1147" t="s">
        <v>6047</v>
      </c>
      <c r="G1147" s="1">
        <v>38718</v>
      </c>
      <c r="I1147" t="s">
        <v>6189</v>
      </c>
      <c r="J1147" t="s">
        <v>6190</v>
      </c>
      <c r="K1147" t="s">
        <v>2432</v>
      </c>
      <c r="L1147" t="s">
        <v>6191</v>
      </c>
      <c r="M1147" t="s">
        <v>6192</v>
      </c>
      <c r="N1147" t="s">
        <v>6193</v>
      </c>
      <c r="O1147" t="s">
        <v>26</v>
      </c>
      <c r="P1147">
        <v>85</v>
      </c>
      <c r="Q1147">
        <v>106.25</v>
      </c>
      <c r="R1147">
        <v>85</v>
      </c>
      <c r="S1147">
        <v>127.5</v>
      </c>
      <c r="T1147" t="s">
        <v>6194</v>
      </c>
    </row>
    <row r="1148" spans="1:20">
      <c r="A1148">
        <v>685524</v>
      </c>
      <c r="B1148" t="s">
        <v>6195</v>
      </c>
      <c r="C1148" t="str">
        <f>"9780889209817"</f>
        <v>9780889209817</v>
      </c>
      <c r="D1148" t="str">
        <f>"9780889208797"</f>
        <v>9780889208797</v>
      </c>
      <c r="E1148" t="s">
        <v>6047</v>
      </c>
      <c r="F1148" t="s">
        <v>6047</v>
      </c>
      <c r="G1148" s="1">
        <v>38718</v>
      </c>
      <c r="J1148" t="s">
        <v>6196</v>
      </c>
      <c r="K1148" t="s">
        <v>1464</v>
      </c>
      <c r="L1148" t="s">
        <v>6197</v>
      </c>
      <c r="M1148">
        <v>809</v>
      </c>
      <c r="N1148" t="s">
        <v>6198</v>
      </c>
      <c r="O1148" t="s">
        <v>26</v>
      </c>
      <c r="P1148">
        <v>85</v>
      </c>
      <c r="Q1148">
        <v>106.25</v>
      </c>
      <c r="R1148">
        <v>85</v>
      </c>
      <c r="S1148">
        <v>127.5</v>
      </c>
      <c r="T1148" t="s">
        <v>6199</v>
      </c>
    </row>
    <row r="1149" spans="1:20">
      <c r="A1149">
        <v>685526</v>
      </c>
      <c r="B1149" t="s">
        <v>6200</v>
      </c>
      <c r="C1149" t="str">
        <f>"9780889209602"</f>
        <v>9780889209602</v>
      </c>
      <c r="D1149" t="str">
        <f>"9780889208773"</f>
        <v>9780889208773</v>
      </c>
      <c r="E1149" t="s">
        <v>6047</v>
      </c>
      <c r="F1149" t="s">
        <v>6047</v>
      </c>
      <c r="G1149" s="1">
        <v>38718</v>
      </c>
      <c r="J1149" t="s">
        <v>6201</v>
      </c>
      <c r="K1149" t="s">
        <v>1464</v>
      </c>
      <c r="L1149" t="s">
        <v>6202</v>
      </c>
      <c r="M1149">
        <v>811.54</v>
      </c>
      <c r="N1149" t="s">
        <v>6203</v>
      </c>
      <c r="O1149" t="s">
        <v>26</v>
      </c>
      <c r="P1149">
        <v>85</v>
      </c>
      <c r="Q1149">
        <v>106.25</v>
      </c>
      <c r="R1149">
        <v>85</v>
      </c>
      <c r="S1149">
        <v>127.5</v>
      </c>
      <c r="T1149" t="s">
        <v>6204</v>
      </c>
    </row>
    <row r="1150" spans="1:20">
      <c r="A1150">
        <v>685527</v>
      </c>
      <c r="B1150" t="s">
        <v>6205</v>
      </c>
      <c r="C1150" t="str">
        <f>"9780889203792"</f>
        <v>9780889203792</v>
      </c>
      <c r="D1150" t="str">
        <f>"9780889209466"</f>
        <v>9780889209466</v>
      </c>
      <c r="E1150" t="s">
        <v>6047</v>
      </c>
      <c r="F1150" t="s">
        <v>6047</v>
      </c>
      <c r="G1150" s="1">
        <v>38718</v>
      </c>
      <c r="H1150">
        <v>2</v>
      </c>
      <c r="J1150" t="s">
        <v>6206</v>
      </c>
      <c r="K1150" t="s">
        <v>1859</v>
      </c>
      <c r="L1150" t="s">
        <v>6207</v>
      </c>
      <c r="M1150">
        <v>128</v>
      </c>
      <c r="N1150" t="s">
        <v>6208</v>
      </c>
      <c r="O1150" t="s">
        <v>26</v>
      </c>
      <c r="P1150">
        <v>85</v>
      </c>
      <c r="Q1150">
        <v>106.25</v>
      </c>
      <c r="R1150">
        <v>85</v>
      </c>
      <c r="S1150">
        <v>127.5</v>
      </c>
      <c r="T1150" t="s">
        <v>6209</v>
      </c>
    </row>
    <row r="1151" spans="1:20">
      <c r="A1151">
        <v>685529</v>
      </c>
      <c r="B1151" t="s">
        <v>6210</v>
      </c>
      <c r="C1151" t="str">
        <f>"9780889203617"</f>
        <v>9780889203617</v>
      </c>
      <c r="D1151" t="str">
        <f>"9780889208759"</f>
        <v>9780889208759</v>
      </c>
      <c r="E1151" t="s">
        <v>6047</v>
      </c>
      <c r="F1151" t="s">
        <v>6047</v>
      </c>
      <c r="G1151" s="1">
        <v>38718</v>
      </c>
      <c r="I1151" t="s">
        <v>6145</v>
      </c>
      <c r="J1151" t="s">
        <v>6211</v>
      </c>
      <c r="K1151" t="s">
        <v>1892</v>
      </c>
      <c r="L1151" t="s">
        <v>6212</v>
      </c>
      <c r="M1151" t="s">
        <v>6213</v>
      </c>
      <c r="N1151" t="s">
        <v>6214</v>
      </c>
      <c r="O1151" t="s">
        <v>26</v>
      </c>
      <c r="P1151">
        <v>85</v>
      </c>
      <c r="Q1151">
        <v>106.25</v>
      </c>
      <c r="R1151">
        <v>85</v>
      </c>
      <c r="S1151">
        <v>127.5</v>
      </c>
      <c r="T1151" t="s">
        <v>6215</v>
      </c>
    </row>
    <row r="1152" spans="1:20">
      <c r="A1152">
        <v>685530</v>
      </c>
      <c r="B1152" t="s">
        <v>6216</v>
      </c>
      <c r="C1152" t="str">
        <f>"9780889205079"</f>
        <v>9780889205079</v>
      </c>
      <c r="D1152" t="str">
        <f>"9781554580729"</f>
        <v>9781554580729</v>
      </c>
      <c r="E1152" t="s">
        <v>6047</v>
      </c>
      <c r="F1152" t="s">
        <v>6047</v>
      </c>
      <c r="G1152" s="1">
        <v>39198</v>
      </c>
      <c r="J1152" t="s">
        <v>6217</v>
      </c>
      <c r="K1152" t="s">
        <v>1464</v>
      </c>
      <c r="L1152" t="s">
        <v>6218</v>
      </c>
      <c r="M1152" t="s">
        <v>6219</v>
      </c>
      <c r="N1152" t="s">
        <v>6220</v>
      </c>
      <c r="O1152" t="s">
        <v>26</v>
      </c>
      <c r="P1152">
        <v>85</v>
      </c>
      <c r="Q1152">
        <v>106.25</v>
      </c>
      <c r="R1152">
        <v>85</v>
      </c>
      <c r="S1152">
        <v>127.5</v>
      </c>
      <c r="T1152" t="s">
        <v>6221</v>
      </c>
    </row>
    <row r="1153" spans="1:20">
      <c r="A1153">
        <v>685531</v>
      </c>
      <c r="B1153" t="s">
        <v>6222</v>
      </c>
      <c r="C1153" t="str">
        <f>"9780889204621"</f>
        <v>9780889204621</v>
      </c>
      <c r="D1153" t="str">
        <f>"9780889209138"</f>
        <v>9780889209138</v>
      </c>
      <c r="E1153" t="s">
        <v>6047</v>
      </c>
      <c r="F1153" t="s">
        <v>6047</v>
      </c>
      <c r="G1153" s="1">
        <v>38718</v>
      </c>
      <c r="I1153" t="s">
        <v>6116</v>
      </c>
      <c r="J1153" t="s">
        <v>6223</v>
      </c>
      <c r="K1153" t="s">
        <v>1892</v>
      </c>
      <c r="L1153" t="s">
        <v>6224</v>
      </c>
      <c r="M1153">
        <v>270.10000000000002</v>
      </c>
      <c r="N1153" t="s">
        <v>6225</v>
      </c>
      <c r="O1153" t="s">
        <v>26</v>
      </c>
      <c r="P1153">
        <v>85</v>
      </c>
      <c r="Q1153">
        <v>106.25</v>
      </c>
      <c r="R1153">
        <v>85</v>
      </c>
      <c r="S1153">
        <v>127.5</v>
      </c>
      <c r="T1153" t="s">
        <v>6226</v>
      </c>
    </row>
    <row r="1154" spans="1:20">
      <c r="A1154">
        <v>685532</v>
      </c>
      <c r="B1154" t="s">
        <v>6227</v>
      </c>
      <c r="C1154" t="str">
        <f>"9781554580156"</f>
        <v>9781554580156</v>
      </c>
      <c r="D1154" t="str">
        <f>"9781554580736"</f>
        <v>9781554580736</v>
      </c>
      <c r="E1154" t="s">
        <v>6047</v>
      </c>
      <c r="F1154" t="s">
        <v>6047</v>
      </c>
      <c r="G1154" s="1">
        <v>39420</v>
      </c>
      <c r="I1154" t="s">
        <v>6152</v>
      </c>
      <c r="J1154" t="s">
        <v>6228</v>
      </c>
      <c r="K1154" t="s">
        <v>4403</v>
      </c>
      <c r="L1154" t="s">
        <v>6229</v>
      </c>
      <c r="M1154">
        <v>173</v>
      </c>
      <c r="N1154" t="s">
        <v>6230</v>
      </c>
      <c r="O1154" t="s">
        <v>26</v>
      </c>
      <c r="P1154">
        <v>85</v>
      </c>
      <c r="Q1154">
        <v>106.25</v>
      </c>
      <c r="R1154">
        <v>85</v>
      </c>
      <c r="S1154">
        <v>127.5</v>
      </c>
      <c r="T1154" t="s">
        <v>6231</v>
      </c>
    </row>
    <row r="1155" spans="1:20">
      <c r="A1155">
        <v>685533</v>
      </c>
      <c r="B1155" t="s">
        <v>6232</v>
      </c>
      <c r="C1155" t="str">
        <f>"9780889204614"</f>
        <v>9780889204614</v>
      </c>
      <c r="D1155" t="str">
        <f>"9780889209237"</f>
        <v>9780889209237</v>
      </c>
      <c r="E1155" t="s">
        <v>6047</v>
      </c>
      <c r="F1155" t="s">
        <v>6047</v>
      </c>
      <c r="G1155" s="1">
        <v>38718</v>
      </c>
      <c r="I1155" t="s">
        <v>6116</v>
      </c>
      <c r="J1155" t="s">
        <v>6233</v>
      </c>
      <c r="K1155" t="s">
        <v>1892</v>
      </c>
      <c r="L1155" t="s">
        <v>6234</v>
      </c>
      <c r="M1155" t="s">
        <v>6235</v>
      </c>
      <c r="N1155" t="s">
        <v>6236</v>
      </c>
      <c r="O1155" t="s">
        <v>26</v>
      </c>
      <c r="P1155">
        <v>85</v>
      </c>
      <c r="Q1155">
        <v>106.25</v>
      </c>
      <c r="R1155">
        <v>85</v>
      </c>
      <c r="S1155">
        <v>127.5</v>
      </c>
      <c r="T1155" t="s">
        <v>6237</v>
      </c>
    </row>
    <row r="1156" spans="1:20">
      <c r="A1156">
        <v>685534</v>
      </c>
      <c r="B1156" t="s">
        <v>6238</v>
      </c>
      <c r="C1156" t="str">
        <f>"9780889209978"</f>
        <v>9780889209978</v>
      </c>
      <c r="D1156" t="str">
        <f>"9780889208742"</f>
        <v>9780889208742</v>
      </c>
      <c r="E1156" t="s">
        <v>6047</v>
      </c>
      <c r="F1156" t="s">
        <v>6047</v>
      </c>
      <c r="G1156" s="1">
        <v>38718</v>
      </c>
      <c r="J1156" t="s">
        <v>6239</v>
      </c>
      <c r="K1156" t="s">
        <v>291</v>
      </c>
      <c r="L1156" t="s">
        <v>6240</v>
      </c>
      <c r="M1156" t="s">
        <v>6241</v>
      </c>
      <c r="N1156" t="s">
        <v>6242</v>
      </c>
      <c r="O1156" t="s">
        <v>26</v>
      </c>
      <c r="P1156">
        <v>85</v>
      </c>
      <c r="Q1156">
        <v>106.25</v>
      </c>
      <c r="R1156">
        <v>85</v>
      </c>
      <c r="S1156">
        <v>127.5</v>
      </c>
      <c r="T1156" t="s">
        <v>6243</v>
      </c>
    </row>
    <row r="1157" spans="1:20">
      <c r="A1157">
        <v>685538</v>
      </c>
      <c r="B1157" t="s">
        <v>6244</v>
      </c>
      <c r="C1157" t="str">
        <f>"9780889209541"</f>
        <v>9780889209541</v>
      </c>
      <c r="D1157" t="str">
        <f>"9780889208728"</f>
        <v>9780889208728</v>
      </c>
      <c r="E1157" t="s">
        <v>6047</v>
      </c>
      <c r="F1157" t="s">
        <v>6047</v>
      </c>
      <c r="G1157" s="1">
        <v>38718</v>
      </c>
      <c r="I1157" t="s">
        <v>6098</v>
      </c>
      <c r="J1157" t="s">
        <v>6245</v>
      </c>
      <c r="K1157" t="s">
        <v>257</v>
      </c>
      <c r="L1157" t="s">
        <v>6246</v>
      </c>
      <c r="M1157">
        <v>377</v>
      </c>
      <c r="N1157" t="s">
        <v>6247</v>
      </c>
      <c r="O1157" t="s">
        <v>26</v>
      </c>
      <c r="P1157">
        <v>85</v>
      </c>
      <c r="Q1157">
        <v>106.25</v>
      </c>
      <c r="R1157">
        <v>85</v>
      </c>
      <c r="S1157">
        <v>127.5</v>
      </c>
      <c r="T1157" t="s">
        <v>6248</v>
      </c>
    </row>
    <row r="1158" spans="1:20">
      <c r="A1158">
        <v>685539</v>
      </c>
      <c r="B1158" t="s">
        <v>6249</v>
      </c>
      <c r="C1158" t="str">
        <f>"9780889204973"</f>
        <v>9780889204973</v>
      </c>
      <c r="D1158" t="str">
        <f>"9780889205307"</f>
        <v>9780889205307</v>
      </c>
      <c r="E1158" t="s">
        <v>6047</v>
      </c>
      <c r="F1158" t="s">
        <v>6047</v>
      </c>
      <c r="G1158" s="1">
        <v>38991</v>
      </c>
      <c r="I1158" t="s">
        <v>6189</v>
      </c>
      <c r="J1158" t="s">
        <v>6250</v>
      </c>
      <c r="K1158" t="s">
        <v>263</v>
      </c>
      <c r="L1158" t="s">
        <v>6251</v>
      </c>
      <c r="M1158" t="s">
        <v>6252</v>
      </c>
      <c r="N1158" t="s">
        <v>6253</v>
      </c>
      <c r="O1158" t="s">
        <v>26</v>
      </c>
      <c r="P1158">
        <v>85</v>
      </c>
      <c r="Q1158">
        <v>106.25</v>
      </c>
      <c r="R1158">
        <v>85</v>
      </c>
      <c r="S1158">
        <v>127.5</v>
      </c>
      <c r="T1158" t="s">
        <v>6254</v>
      </c>
    </row>
    <row r="1159" spans="1:20">
      <c r="A1159">
        <v>685540</v>
      </c>
      <c r="B1159" t="s">
        <v>6255</v>
      </c>
      <c r="C1159" t="str">
        <f>"9780889203419"</f>
        <v>9780889203419</v>
      </c>
      <c r="D1159" t="str">
        <f>"9780889208711"</f>
        <v>9780889208711</v>
      </c>
      <c r="E1159" t="s">
        <v>6047</v>
      </c>
      <c r="F1159" t="s">
        <v>6047</v>
      </c>
      <c r="G1159" s="1">
        <v>38718</v>
      </c>
      <c r="I1159" t="s">
        <v>6061</v>
      </c>
      <c r="J1159" t="s">
        <v>6256</v>
      </c>
      <c r="K1159" t="s">
        <v>1464</v>
      </c>
      <c r="L1159" t="s">
        <v>6257</v>
      </c>
      <c r="M1159">
        <v>810.99287000000004</v>
      </c>
      <c r="N1159" t="s">
        <v>6258</v>
      </c>
      <c r="O1159" t="s">
        <v>26</v>
      </c>
      <c r="P1159">
        <v>85</v>
      </c>
      <c r="Q1159">
        <v>106.25</v>
      </c>
      <c r="R1159">
        <v>85</v>
      </c>
      <c r="S1159">
        <v>127.5</v>
      </c>
      <c r="T1159" t="s">
        <v>6259</v>
      </c>
    </row>
    <row r="1160" spans="1:20">
      <c r="A1160">
        <v>685541</v>
      </c>
      <c r="B1160" t="s">
        <v>6260</v>
      </c>
      <c r="C1160" t="str">
        <f>"9780889203631"</f>
        <v>9780889203631</v>
      </c>
      <c r="D1160" t="str">
        <f>"9780889209435"</f>
        <v>9780889209435</v>
      </c>
      <c r="E1160" t="s">
        <v>6047</v>
      </c>
      <c r="F1160" t="s">
        <v>6047</v>
      </c>
      <c r="G1160" s="1">
        <v>38718</v>
      </c>
      <c r="J1160" t="s">
        <v>6261</v>
      </c>
      <c r="K1160" t="s">
        <v>1464</v>
      </c>
      <c r="L1160" t="s">
        <v>6262</v>
      </c>
      <c r="M1160" t="s">
        <v>6263</v>
      </c>
      <c r="N1160" t="s">
        <v>6264</v>
      </c>
      <c r="O1160" t="s">
        <v>26</v>
      </c>
      <c r="P1160">
        <v>85</v>
      </c>
      <c r="Q1160">
        <v>106.25</v>
      </c>
      <c r="R1160">
        <v>85</v>
      </c>
      <c r="S1160">
        <v>127.5</v>
      </c>
      <c r="T1160" t="s">
        <v>6265</v>
      </c>
    </row>
    <row r="1161" spans="1:20">
      <c r="A1161">
        <v>685542</v>
      </c>
      <c r="B1161" t="s">
        <v>6266</v>
      </c>
      <c r="C1161" t="str">
        <f>"9780889204089"</f>
        <v>9780889204089</v>
      </c>
      <c r="D1161" t="str">
        <f>"9780889209411"</f>
        <v>9780889209411</v>
      </c>
      <c r="E1161" t="s">
        <v>6047</v>
      </c>
      <c r="F1161" t="s">
        <v>6047</v>
      </c>
      <c r="G1161" s="1">
        <v>38718</v>
      </c>
      <c r="I1161" t="s">
        <v>6061</v>
      </c>
      <c r="J1161" t="s">
        <v>6267</v>
      </c>
      <c r="K1161" t="s">
        <v>3860</v>
      </c>
      <c r="L1161" t="s">
        <v>6268</v>
      </c>
      <c r="M1161" t="s">
        <v>6269</v>
      </c>
      <c r="N1161" t="s">
        <v>6270</v>
      </c>
      <c r="O1161" t="s">
        <v>26</v>
      </c>
      <c r="P1161">
        <v>85</v>
      </c>
      <c r="Q1161">
        <v>106.25</v>
      </c>
      <c r="R1161">
        <v>85</v>
      </c>
      <c r="S1161">
        <v>127.5</v>
      </c>
      <c r="T1161" t="s">
        <v>6271</v>
      </c>
    </row>
    <row r="1162" spans="1:20">
      <c r="A1162">
        <v>685545</v>
      </c>
      <c r="B1162" t="s">
        <v>6272</v>
      </c>
      <c r="C1162" t="str">
        <f>"9781554580460"</f>
        <v>9781554580460</v>
      </c>
      <c r="D1162" t="str">
        <f>"9781554581627"</f>
        <v>9781554581627</v>
      </c>
      <c r="E1162" t="s">
        <v>6047</v>
      </c>
      <c r="F1162" t="s">
        <v>6047</v>
      </c>
      <c r="G1162" s="1">
        <v>40087</v>
      </c>
      <c r="I1162" t="s">
        <v>6273</v>
      </c>
      <c r="J1162" t="s">
        <v>6274</v>
      </c>
      <c r="K1162" t="s">
        <v>1464</v>
      </c>
      <c r="L1162" t="s">
        <v>6275</v>
      </c>
      <c r="M1162" t="s">
        <v>1497</v>
      </c>
      <c r="N1162" t="s">
        <v>6276</v>
      </c>
      <c r="O1162" t="s">
        <v>26</v>
      </c>
      <c r="P1162">
        <v>85</v>
      </c>
      <c r="Q1162">
        <v>106.25</v>
      </c>
      <c r="R1162">
        <v>85</v>
      </c>
      <c r="S1162">
        <v>127.5</v>
      </c>
      <c r="T1162" t="s">
        <v>6277</v>
      </c>
    </row>
    <row r="1163" spans="1:20">
      <c r="A1163">
        <v>685547</v>
      </c>
      <c r="B1163" t="s">
        <v>6278</v>
      </c>
      <c r="C1163" t="str">
        <f>"9780889204393"</f>
        <v>9780889204393</v>
      </c>
      <c r="D1163" t="str">
        <f>"9781554580767"</f>
        <v>9781554580767</v>
      </c>
      <c r="E1163" t="s">
        <v>6047</v>
      </c>
      <c r="F1163" t="s">
        <v>6047</v>
      </c>
      <c r="G1163" s="1">
        <v>38718</v>
      </c>
      <c r="J1163" t="s">
        <v>6279</v>
      </c>
      <c r="K1163" t="s">
        <v>1464</v>
      </c>
      <c r="L1163" t="s">
        <v>6280</v>
      </c>
      <c r="M1163" t="s">
        <v>4002</v>
      </c>
      <c r="N1163" t="s">
        <v>6281</v>
      </c>
      <c r="O1163" t="s">
        <v>26</v>
      </c>
      <c r="P1163">
        <v>85</v>
      </c>
      <c r="Q1163">
        <v>106.25</v>
      </c>
      <c r="R1163">
        <v>85</v>
      </c>
      <c r="S1163">
        <v>127.5</v>
      </c>
      <c r="T1163" t="s">
        <v>6282</v>
      </c>
    </row>
    <row r="1164" spans="1:20">
      <c r="A1164">
        <v>685551</v>
      </c>
      <c r="B1164" t="s">
        <v>6283</v>
      </c>
      <c r="C1164" t="str">
        <f>"9781554580552"</f>
        <v>9781554580552</v>
      </c>
      <c r="D1164" t="str">
        <f>"9781554581634"</f>
        <v>9781554581634</v>
      </c>
      <c r="E1164" t="s">
        <v>6047</v>
      </c>
      <c r="F1164" t="s">
        <v>6047</v>
      </c>
      <c r="G1164" s="1">
        <v>40064</v>
      </c>
      <c r="I1164" t="s">
        <v>6061</v>
      </c>
      <c r="J1164" t="s">
        <v>6284</v>
      </c>
      <c r="K1164" t="s">
        <v>1394</v>
      </c>
      <c r="L1164" t="s">
        <v>6285</v>
      </c>
      <c r="M1164" t="s">
        <v>6286</v>
      </c>
      <c r="N1164" t="s">
        <v>6287</v>
      </c>
      <c r="O1164" t="s">
        <v>26</v>
      </c>
      <c r="P1164">
        <v>85</v>
      </c>
      <c r="Q1164">
        <v>106.25</v>
      </c>
      <c r="R1164">
        <v>85</v>
      </c>
      <c r="S1164">
        <v>127.5</v>
      </c>
      <c r="T1164" t="s">
        <v>6288</v>
      </c>
    </row>
    <row r="1165" spans="1:20">
      <c r="A1165">
        <v>685553</v>
      </c>
      <c r="B1165" t="s">
        <v>6289</v>
      </c>
      <c r="C1165" t="str">
        <f>"9780889205123"</f>
        <v>9780889205123</v>
      </c>
      <c r="D1165" t="str">
        <f>"9781554580774"</f>
        <v>9781554580774</v>
      </c>
      <c r="E1165" t="s">
        <v>6047</v>
      </c>
      <c r="F1165" t="s">
        <v>6047</v>
      </c>
      <c r="G1165" s="1">
        <v>39588</v>
      </c>
      <c r="I1165" t="s">
        <v>6290</v>
      </c>
      <c r="J1165" t="s">
        <v>6291</v>
      </c>
      <c r="K1165" t="s">
        <v>2432</v>
      </c>
      <c r="L1165" t="s">
        <v>6292</v>
      </c>
      <c r="M1165" t="s">
        <v>6293</v>
      </c>
      <c r="N1165" t="s">
        <v>6294</v>
      </c>
      <c r="O1165" t="s">
        <v>26</v>
      </c>
      <c r="P1165">
        <v>85</v>
      </c>
      <c r="Q1165">
        <v>106.25</v>
      </c>
      <c r="R1165">
        <v>85</v>
      </c>
      <c r="S1165">
        <v>127.5</v>
      </c>
      <c r="T1165" t="s">
        <v>6295</v>
      </c>
    </row>
    <row r="1166" spans="1:20">
      <c r="A1166">
        <v>685556</v>
      </c>
      <c r="B1166" t="s">
        <v>6296</v>
      </c>
      <c r="C1166" t="str">
        <f>"9780889202269"</f>
        <v>9780889202269</v>
      </c>
      <c r="D1166" t="str">
        <f>"9780889208612"</f>
        <v>9780889208612</v>
      </c>
      <c r="E1166" t="s">
        <v>6047</v>
      </c>
      <c r="F1166" t="s">
        <v>6047</v>
      </c>
      <c r="G1166" s="1">
        <v>38718</v>
      </c>
      <c r="J1166" t="s">
        <v>6297</v>
      </c>
      <c r="K1166" t="s">
        <v>291</v>
      </c>
      <c r="L1166" t="s">
        <v>6298</v>
      </c>
      <c r="M1166" t="s">
        <v>6299</v>
      </c>
      <c r="N1166" t="s">
        <v>6300</v>
      </c>
      <c r="O1166" t="s">
        <v>26</v>
      </c>
      <c r="P1166">
        <v>85</v>
      </c>
      <c r="Q1166">
        <v>106.25</v>
      </c>
      <c r="R1166">
        <v>85</v>
      </c>
      <c r="S1166">
        <v>127.5</v>
      </c>
      <c r="T1166" t="s">
        <v>6301</v>
      </c>
    </row>
    <row r="1167" spans="1:20">
      <c r="A1167">
        <v>685557</v>
      </c>
      <c r="B1167" t="s">
        <v>6302</v>
      </c>
      <c r="C1167" t="str">
        <f>"9780889205192"</f>
        <v>9780889205192</v>
      </c>
      <c r="D1167" t="str">
        <f>"9781554580781"</f>
        <v>9781554580781</v>
      </c>
      <c r="E1167" t="s">
        <v>6047</v>
      </c>
      <c r="F1167" t="s">
        <v>6047</v>
      </c>
      <c r="G1167" s="1">
        <v>39286</v>
      </c>
      <c r="I1167" t="s">
        <v>6189</v>
      </c>
      <c r="J1167" t="s">
        <v>6303</v>
      </c>
      <c r="K1167" t="s">
        <v>6304</v>
      </c>
      <c r="L1167" t="s">
        <v>6305</v>
      </c>
      <c r="M1167" t="s">
        <v>6306</v>
      </c>
      <c r="N1167" t="s">
        <v>6307</v>
      </c>
      <c r="O1167" t="s">
        <v>26</v>
      </c>
      <c r="P1167">
        <v>85</v>
      </c>
      <c r="Q1167">
        <v>106.25</v>
      </c>
      <c r="R1167">
        <v>85</v>
      </c>
      <c r="S1167">
        <v>127.5</v>
      </c>
      <c r="T1167" t="s">
        <v>6308</v>
      </c>
    </row>
    <row r="1168" spans="1:20">
      <c r="A1168">
        <v>685562</v>
      </c>
      <c r="B1168" t="s">
        <v>6309</v>
      </c>
      <c r="C1168" t="str">
        <f>"9780889201316"</f>
        <v>9780889201316</v>
      </c>
      <c r="D1168" t="str">
        <f>"9780889208582"</f>
        <v>9780889208582</v>
      </c>
      <c r="E1168" t="s">
        <v>6047</v>
      </c>
      <c r="F1168" t="s">
        <v>6047</v>
      </c>
      <c r="G1168" s="1">
        <v>38718</v>
      </c>
      <c r="J1168" t="s">
        <v>6310</v>
      </c>
      <c r="K1168" t="s">
        <v>1464</v>
      </c>
      <c r="L1168" t="s">
        <v>6311</v>
      </c>
      <c r="M1168" t="s">
        <v>6312</v>
      </c>
      <c r="N1168" t="s">
        <v>6313</v>
      </c>
      <c r="O1168" t="s">
        <v>26</v>
      </c>
      <c r="P1168">
        <v>85</v>
      </c>
      <c r="Q1168">
        <v>106.25</v>
      </c>
      <c r="R1168">
        <v>85</v>
      </c>
      <c r="S1168">
        <v>127.5</v>
      </c>
      <c r="T1168" t="s">
        <v>6314</v>
      </c>
    </row>
    <row r="1169" spans="1:20">
      <c r="A1169">
        <v>685563</v>
      </c>
      <c r="B1169" t="s">
        <v>6315</v>
      </c>
      <c r="C1169" t="str">
        <f>"9780889204881"</f>
        <v>9780889204881</v>
      </c>
      <c r="D1169" t="str">
        <f>"9781554580798"</f>
        <v>9781554580798</v>
      </c>
      <c r="E1169" t="s">
        <v>6047</v>
      </c>
      <c r="F1169" t="s">
        <v>6047</v>
      </c>
      <c r="G1169" s="1">
        <v>38870</v>
      </c>
      <c r="I1169" t="s">
        <v>6152</v>
      </c>
      <c r="J1169" t="s">
        <v>6316</v>
      </c>
      <c r="K1169" t="s">
        <v>263</v>
      </c>
      <c r="L1169" t="s">
        <v>6317</v>
      </c>
      <c r="M1169" t="s">
        <v>6318</v>
      </c>
      <c r="N1169" t="s">
        <v>6319</v>
      </c>
      <c r="O1169" t="s">
        <v>26</v>
      </c>
      <c r="P1169">
        <v>85</v>
      </c>
      <c r="Q1169">
        <v>106.25</v>
      </c>
      <c r="R1169">
        <v>85</v>
      </c>
      <c r="S1169">
        <v>127.5</v>
      </c>
      <c r="T1169" t="s">
        <v>6320</v>
      </c>
    </row>
    <row r="1170" spans="1:20">
      <c r="A1170">
        <v>685564</v>
      </c>
      <c r="B1170" t="s">
        <v>6321</v>
      </c>
      <c r="C1170" t="str">
        <f>"9780889200128"</f>
        <v>9780889200128</v>
      </c>
      <c r="D1170" t="str">
        <f>"9780889208575"</f>
        <v>9780889208575</v>
      </c>
      <c r="E1170" t="s">
        <v>6047</v>
      </c>
      <c r="F1170" t="s">
        <v>6047</v>
      </c>
      <c r="G1170" s="1">
        <v>38718</v>
      </c>
      <c r="J1170" t="s">
        <v>6322</v>
      </c>
      <c r="K1170" t="s">
        <v>291</v>
      </c>
      <c r="L1170" t="s">
        <v>6323</v>
      </c>
      <c r="M1170" t="s">
        <v>3539</v>
      </c>
      <c r="N1170" t="s">
        <v>6324</v>
      </c>
      <c r="O1170" t="s">
        <v>26</v>
      </c>
      <c r="P1170">
        <v>85</v>
      </c>
      <c r="Q1170">
        <v>106.25</v>
      </c>
      <c r="R1170">
        <v>85</v>
      </c>
      <c r="S1170">
        <v>127.5</v>
      </c>
      <c r="T1170" t="s">
        <v>6325</v>
      </c>
    </row>
    <row r="1171" spans="1:20">
      <c r="A1171">
        <v>685565</v>
      </c>
      <c r="B1171" t="s">
        <v>6326</v>
      </c>
      <c r="C1171" t="str">
        <f>"9781554580576"</f>
        <v>9781554580576</v>
      </c>
      <c r="D1171" t="str">
        <f>"9781554581948"</f>
        <v>9781554581948</v>
      </c>
      <c r="E1171" t="s">
        <v>6047</v>
      </c>
      <c r="F1171" t="s">
        <v>6047</v>
      </c>
      <c r="G1171" s="1">
        <v>39738</v>
      </c>
      <c r="I1171" t="s">
        <v>6079</v>
      </c>
      <c r="J1171" t="s">
        <v>6327</v>
      </c>
      <c r="K1171" t="s">
        <v>1214</v>
      </c>
      <c r="L1171" t="s">
        <v>6328</v>
      </c>
      <c r="M1171" t="s">
        <v>6329</v>
      </c>
      <c r="N1171" t="s">
        <v>6330</v>
      </c>
      <c r="O1171" t="s">
        <v>26</v>
      </c>
      <c r="P1171">
        <v>85</v>
      </c>
      <c r="Q1171">
        <v>106.25</v>
      </c>
      <c r="R1171">
        <v>85</v>
      </c>
      <c r="S1171">
        <v>127.5</v>
      </c>
      <c r="T1171" t="s">
        <v>6331</v>
      </c>
    </row>
    <row r="1172" spans="1:20">
      <c r="A1172">
        <v>685566</v>
      </c>
      <c r="B1172" t="s">
        <v>6332</v>
      </c>
      <c r="C1172" t="str">
        <f>"9780889203808"</f>
        <v>9780889203808</v>
      </c>
      <c r="D1172" t="str">
        <f>"9780889208568"</f>
        <v>9780889208568</v>
      </c>
      <c r="E1172" t="s">
        <v>6047</v>
      </c>
      <c r="F1172" t="s">
        <v>6047</v>
      </c>
      <c r="G1172" s="1">
        <v>38718</v>
      </c>
      <c r="I1172" t="s">
        <v>6152</v>
      </c>
      <c r="J1172" t="s">
        <v>6333</v>
      </c>
      <c r="K1172" t="s">
        <v>568</v>
      </c>
      <c r="L1172" t="s">
        <v>6334</v>
      </c>
      <c r="M1172" t="s">
        <v>6335</v>
      </c>
      <c r="N1172" t="s">
        <v>6336</v>
      </c>
      <c r="O1172" t="s">
        <v>26</v>
      </c>
      <c r="P1172">
        <v>85</v>
      </c>
      <c r="Q1172">
        <v>106.25</v>
      </c>
      <c r="R1172">
        <v>85</v>
      </c>
      <c r="S1172">
        <v>127.5</v>
      </c>
      <c r="T1172" t="s">
        <v>6337</v>
      </c>
    </row>
    <row r="1173" spans="1:20">
      <c r="A1173">
        <v>685572</v>
      </c>
      <c r="B1173" t="s">
        <v>6338</v>
      </c>
      <c r="C1173" t="str">
        <f>"9780889204423"</f>
        <v>9780889204423</v>
      </c>
      <c r="D1173" t="str">
        <f>"9781554580811"</f>
        <v>9781554580811</v>
      </c>
      <c r="E1173" t="s">
        <v>6047</v>
      </c>
      <c r="F1173" t="s">
        <v>6047</v>
      </c>
      <c r="G1173" s="1">
        <v>38718</v>
      </c>
      <c r="J1173" t="s">
        <v>6339</v>
      </c>
      <c r="K1173" t="s">
        <v>6340</v>
      </c>
      <c r="L1173" t="s">
        <v>6341</v>
      </c>
      <c r="M1173">
        <v>551.69709999999998</v>
      </c>
      <c r="N1173" t="s">
        <v>6342</v>
      </c>
      <c r="O1173" t="s">
        <v>26</v>
      </c>
      <c r="P1173">
        <v>85</v>
      </c>
      <c r="Q1173">
        <v>106.25</v>
      </c>
      <c r="R1173">
        <v>85</v>
      </c>
      <c r="S1173">
        <v>127.5</v>
      </c>
      <c r="T1173" t="s">
        <v>6343</v>
      </c>
    </row>
    <row r="1174" spans="1:20">
      <c r="A1174">
        <v>685573</v>
      </c>
      <c r="B1174" t="s">
        <v>6344</v>
      </c>
      <c r="C1174" t="str">
        <f>"9780889202337"</f>
        <v>9780889202337</v>
      </c>
      <c r="D1174" t="str">
        <f>"9780889208544"</f>
        <v>9780889208544</v>
      </c>
      <c r="E1174" t="s">
        <v>6047</v>
      </c>
      <c r="F1174" t="s">
        <v>6047</v>
      </c>
      <c r="G1174" s="1">
        <v>38718</v>
      </c>
      <c r="J1174" t="s">
        <v>6345</v>
      </c>
      <c r="K1174" t="s">
        <v>6346</v>
      </c>
      <c r="L1174" t="s">
        <v>6347</v>
      </c>
      <c r="M1174" t="s">
        <v>6348</v>
      </c>
      <c r="N1174" t="s">
        <v>6349</v>
      </c>
      <c r="O1174" t="s">
        <v>26</v>
      </c>
      <c r="P1174">
        <v>85</v>
      </c>
      <c r="Q1174">
        <v>106.25</v>
      </c>
      <c r="R1174">
        <v>85</v>
      </c>
      <c r="S1174">
        <v>127.5</v>
      </c>
      <c r="T1174" t="s">
        <v>6350</v>
      </c>
    </row>
    <row r="1175" spans="1:20">
      <c r="A1175">
        <v>685574</v>
      </c>
      <c r="B1175" t="s">
        <v>6351</v>
      </c>
      <c r="C1175" t="str">
        <f>"9780889209527"</f>
        <v>9780889209527</v>
      </c>
      <c r="D1175" t="str">
        <f>"9780889208483"</f>
        <v>9780889208483</v>
      </c>
      <c r="E1175" t="s">
        <v>6047</v>
      </c>
      <c r="F1175" t="s">
        <v>6047</v>
      </c>
      <c r="G1175" s="1">
        <v>38718</v>
      </c>
      <c r="J1175" t="s">
        <v>6352</v>
      </c>
      <c r="K1175" t="s">
        <v>1464</v>
      </c>
      <c r="L1175" t="s">
        <v>6353</v>
      </c>
      <c r="M1175" t="s">
        <v>6354</v>
      </c>
      <c r="N1175" t="s">
        <v>6355</v>
      </c>
      <c r="O1175" t="s">
        <v>26</v>
      </c>
      <c r="P1175">
        <v>85</v>
      </c>
      <c r="Q1175">
        <v>106.25</v>
      </c>
      <c r="R1175">
        <v>85</v>
      </c>
      <c r="S1175">
        <v>127.5</v>
      </c>
      <c r="T1175" t="s">
        <v>6356</v>
      </c>
    </row>
    <row r="1176" spans="1:20">
      <c r="A1176">
        <v>685575</v>
      </c>
      <c r="B1176" t="s">
        <v>6357</v>
      </c>
      <c r="C1176" t="str">
        <f>"9780889203686"</f>
        <v>9780889203686</v>
      </c>
      <c r="D1176" t="str">
        <f>"9780889209381"</f>
        <v>9780889209381</v>
      </c>
      <c r="E1176" t="s">
        <v>6047</v>
      </c>
      <c r="F1176" t="s">
        <v>6047</v>
      </c>
      <c r="G1176" s="1">
        <v>38718</v>
      </c>
      <c r="J1176" t="s">
        <v>6358</v>
      </c>
      <c r="K1176" t="s">
        <v>6359</v>
      </c>
      <c r="L1176" t="s">
        <v>6360</v>
      </c>
      <c r="M1176" t="s">
        <v>6361</v>
      </c>
      <c r="N1176" t="s">
        <v>6362</v>
      </c>
      <c r="O1176" t="s">
        <v>26</v>
      </c>
      <c r="P1176">
        <v>85</v>
      </c>
      <c r="Q1176">
        <v>106.25</v>
      </c>
      <c r="R1176">
        <v>85</v>
      </c>
      <c r="S1176">
        <v>127.5</v>
      </c>
      <c r="T1176" t="s">
        <v>6363</v>
      </c>
    </row>
    <row r="1177" spans="1:20">
      <c r="A1177">
        <v>685576</v>
      </c>
      <c r="B1177" t="s">
        <v>6364</v>
      </c>
      <c r="C1177" t="str">
        <f>"9780889209831"</f>
        <v>9780889209831</v>
      </c>
      <c r="D1177" t="str">
        <f>"9780889208476"</f>
        <v>9780889208476</v>
      </c>
      <c r="E1177" t="s">
        <v>6047</v>
      </c>
      <c r="F1177" t="s">
        <v>6047</v>
      </c>
      <c r="G1177" s="1">
        <v>38718</v>
      </c>
      <c r="J1177" t="s">
        <v>6365</v>
      </c>
      <c r="K1177" t="s">
        <v>1464</v>
      </c>
      <c r="L1177" t="s">
        <v>6366</v>
      </c>
      <c r="M1177">
        <v>809.93352039700005</v>
      </c>
      <c r="N1177" t="s">
        <v>6367</v>
      </c>
      <c r="O1177" t="s">
        <v>26</v>
      </c>
      <c r="P1177">
        <v>85</v>
      </c>
      <c r="Q1177">
        <v>106.25</v>
      </c>
      <c r="R1177">
        <v>85</v>
      </c>
      <c r="S1177">
        <v>127.5</v>
      </c>
      <c r="T1177" t="s">
        <v>6368</v>
      </c>
    </row>
    <row r="1178" spans="1:20">
      <c r="A1178">
        <v>685577</v>
      </c>
      <c r="B1178" t="s">
        <v>6369</v>
      </c>
      <c r="C1178" t="str">
        <f>"9780889202320"</f>
        <v>9780889202320</v>
      </c>
      <c r="D1178" t="str">
        <f>"9780889208469"</f>
        <v>9780889208469</v>
      </c>
      <c r="E1178" t="s">
        <v>6047</v>
      </c>
      <c r="F1178" t="s">
        <v>6047</v>
      </c>
      <c r="G1178" s="1">
        <v>40148</v>
      </c>
      <c r="J1178" t="s">
        <v>6370</v>
      </c>
      <c r="K1178" t="s">
        <v>291</v>
      </c>
      <c r="L1178" t="s">
        <v>6371</v>
      </c>
      <c r="M1178" t="s">
        <v>6372</v>
      </c>
      <c r="N1178" t="s">
        <v>6373</v>
      </c>
      <c r="O1178" t="s">
        <v>26</v>
      </c>
      <c r="P1178">
        <v>85</v>
      </c>
      <c r="Q1178">
        <v>106.25</v>
      </c>
      <c r="R1178">
        <v>85</v>
      </c>
      <c r="S1178">
        <v>127.5</v>
      </c>
      <c r="T1178" t="s">
        <v>6374</v>
      </c>
    </row>
    <row r="1179" spans="1:20">
      <c r="A1179">
        <v>685578</v>
      </c>
      <c r="B1179" t="s">
        <v>6375</v>
      </c>
      <c r="C1179" t="str">
        <f>"9780889203556"</f>
        <v>9780889203556</v>
      </c>
      <c r="D1179" t="str">
        <f>"9780889208452"</f>
        <v>9780889208452</v>
      </c>
      <c r="E1179" t="s">
        <v>6047</v>
      </c>
      <c r="F1179" t="s">
        <v>6047</v>
      </c>
      <c r="G1179" s="1">
        <v>38718</v>
      </c>
      <c r="J1179" t="s">
        <v>6376</v>
      </c>
      <c r="K1179" t="s">
        <v>1464</v>
      </c>
      <c r="L1179" t="s">
        <v>6377</v>
      </c>
      <c r="M1179">
        <v>818.08</v>
      </c>
      <c r="N1179" t="s">
        <v>6378</v>
      </c>
      <c r="O1179" t="s">
        <v>26</v>
      </c>
      <c r="P1179">
        <v>85</v>
      </c>
      <c r="Q1179">
        <v>106.25</v>
      </c>
      <c r="R1179">
        <v>85</v>
      </c>
      <c r="S1179">
        <v>127.5</v>
      </c>
      <c r="T1179" t="s">
        <v>6379</v>
      </c>
    </row>
    <row r="1180" spans="1:20">
      <c r="A1180">
        <v>685579</v>
      </c>
      <c r="B1180" t="s">
        <v>6380</v>
      </c>
      <c r="C1180" t="str">
        <f>"9780889204638"</f>
        <v>9780889204638</v>
      </c>
      <c r="D1180" t="str">
        <f>"9780889205390"</f>
        <v>9780889205390</v>
      </c>
      <c r="E1180" t="s">
        <v>6047</v>
      </c>
      <c r="F1180" t="s">
        <v>6047</v>
      </c>
      <c r="G1180" s="1">
        <v>38742</v>
      </c>
      <c r="I1180" t="s">
        <v>6061</v>
      </c>
      <c r="J1180" t="s">
        <v>6376</v>
      </c>
      <c r="K1180" t="s">
        <v>23</v>
      </c>
      <c r="L1180" t="s">
        <v>6381</v>
      </c>
      <c r="M1180" t="s">
        <v>6382</v>
      </c>
      <c r="N1180" t="s">
        <v>6383</v>
      </c>
      <c r="O1180" t="s">
        <v>26</v>
      </c>
      <c r="P1180">
        <v>85</v>
      </c>
      <c r="Q1180">
        <v>106.25</v>
      </c>
      <c r="R1180">
        <v>85</v>
      </c>
      <c r="S1180">
        <v>127.5</v>
      </c>
      <c r="T1180" t="s">
        <v>6384</v>
      </c>
    </row>
    <row r="1181" spans="1:20">
      <c r="A1181">
        <v>685581</v>
      </c>
      <c r="B1181" t="s">
        <v>6385</v>
      </c>
      <c r="C1181" t="str">
        <f>"9780889202399"</f>
        <v>9780889202399</v>
      </c>
      <c r="D1181" t="str">
        <f>"9780889208438"</f>
        <v>9780889208438</v>
      </c>
      <c r="E1181" t="s">
        <v>6047</v>
      </c>
      <c r="F1181" t="s">
        <v>6047</v>
      </c>
      <c r="G1181" s="1">
        <v>38718</v>
      </c>
      <c r="J1181" t="s">
        <v>6386</v>
      </c>
      <c r="K1181" t="s">
        <v>1550</v>
      </c>
      <c r="L1181" t="s">
        <v>6387</v>
      </c>
      <c r="M1181" t="s">
        <v>6388</v>
      </c>
      <c r="N1181" t="s">
        <v>6389</v>
      </c>
      <c r="O1181" t="s">
        <v>26</v>
      </c>
      <c r="P1181">
        <v>85</v>
      </c>
      <c r="Q1181">
        <v>106.25</v>
      </c>
      <c r="R1181">
        <v>85</v>
      </c>
      <c r="S1181">
        <v>127.5</v>
      </c>
      <c r="T1181" t="s">
        <v>6390</v>
      </c>
    </row>
    <row r="1182" spans="1:20">
      <c r="A1182">
        <v>685582</v>
      </c>
      <c r="B1182" t="s">
        <v>6391</v>
      </c>
      <c r="C1182" t="str">
        <f>"9780889201231"</f>
        <v>9780889201231</v>
      </c>
      <c r="D1182" t="str">
        <f>"9780889208421"</f>
        <v>9780889208421</v>
      </c>
      <c r="E1182" t="s">
        <v>6047</v>
      </c>
      <c r="F1182" t="s">
        <v>6047</v>
      </c>
      <c r="G1182" s="1">
        <v>38718</v>
      </c>
      <c r="J1182" t="s">
        <v>6392</v>
      </c>
      <c r="K1182" t="s">
        <v>1892</v>
      </c>
      <c r="L1182" t="s">
        <v>6393</v>
      </c>
      <c r="M1182" t="s">
        <v>6394</v>
      </c>
      <c r="N1182" t="s">
        <v>6395</v>
      </c>
      <c r="O1182" t="s">
        <v>26</v>
      </c>
      <c r="P1182">
        <v>85</v>
      </c>
      <c r="Q1182">
        <v>106.25</v>
      </c>
      <c r="R1182">
        <v>85</v>
      </c>
      <c r="S1182">
        <v>127.5</v>
      </c>
      <c r="T1182" t="s">
        <v>6396</v>
      </c>
    </row>
    <row r="1183" spans="1:20">
      <c r="A1183">
        <v>685583</v>
      </c>
      <c r="B1183" t="s">
        <v>6397</v>
      </c>
      <c r="C1183" t="str">
        <f>"9780889204522"</f>
        <v>9780889204522</v>
      </c>
      <c r="D1183" t="str">
        <f>"9781554580828"</f>
        <v>9781554580828</v>
      </c>
      <c r="E1183" t="s">
        <v>6047</v>
      </c>
      <c r="F1183" t="s">
        <v>6047</v>
      </c>
      <c r="G1183" s="1">
        <v>38992</v>
      </c>
      <c r="I1183" t="s">
        <v>6152</v>
      </c>
      <c r="J1183" t="s">
        <v>6398</v>
      </c>
      <c r="K1183" t="s">
        <v>263</v>
      </c>
      <c r="L1183" t="s">
        <v>6399</v>
      </c>
      <c r="M1183" t="s">
        <v>6400</v>
      </c>
      <c r="N1183" t="s">
        <v>6401</v>
      </c>
      <c r="O1183" t="s">
        <v>26</v>
      </c>
      <c r="P1183">
        <v>85</v>
      </c>
      <c r="Q1183">
        <v>106.25</v>
      </c>
      <c r="R1183">
        <v>85</v>
      </c>
      <c r="S1183">
        <v>127.5</v>
      </c>
      <c r="T1183" t="s">
        <v>6402</v>
      </c>
    </row>
    <row r="1184" spans="1:20">
      <c r="A1184">
        <v>685584</v>
      </c>
      <c r="B1184" t="s">
        <v>6403</v>
      </c>
      <c r="C1184" t="str">
        <f>"9781554580262"</f>
        <v>9781554580262</v>
      </c>
      <c r="D1184" t="str">
        <f>"9781554580835"</f>
        <v>9781554580835</v>
      </c>
      <c r="E1184" t="s">
        <v>6047</v>
      </c>
      <c r="F1184" t="s">
        <v>6047</v>
      </c>
      <c r="G1184" s="1">
        <v>39594</v>
      </c>
      <c r="I1184" t="s">
        <v>6061</v>
      </c>
      <c r="J1184" t="s">
        <v>6404</v>
      </c>
      <c r="K1184" t="s">
        <v>1892</v>
      </c>
      <c r="L1184" t="s">
        <v>6405</v>
      </c>
      <c r="M1184" t="s">
        <v>6406</v>
      </c>
      <c r="N1184" t="s">
        <v>6407</v>
      </c>
      <c r="O1184" t="s">
        <v>26</v>
      </c>
      <c r="P1184">
        <v>85</v>
      </c>
      <c r="Q1184">
        <v>106.25</v>
      </c>
      <c r="R1184">
        <v>85</v>
      </c>
      <c r="S1184">
        <v>127.5</v>
      </c>
      <c r="T1184" t="s">
        <v>6408</v>
      </c>
    </row>
    <row r="1185" spans="1:20">
      <c r="A1185">
        <v>685586</v>
      </c>
      <c r="B1185" t="s">
        <v>6409</v>
      </c>
      <c r="C1185" t="str">
        <f>"9780889209763"</f>
        <v>9780889209763</v>
      </c>
      <c r="D1185" t="str">
        <f>"9780889208391"</f>
        <v>9780889208391</v>
      </c>
      <c r="E1185" t="s">
        <v>6047</v>
      </c>
      <c r="F1185" t="s">
        <v>6047</v>
      </c>
      <c r="G1185" s="1">
        <v>38718</v>
      </c>
      <c r="J1185" t="s">
        <v>6410</v>
      </c>
      <c r="K1185" t="s">
        <v>291</v>
      </c>
      <c r="L1185" t="s">
        <v>6411</v>
      </c>
      <c r="M1185">
        <v>971</v>
      </c>
      <c r="N1185" t="s">
        <v>6412</v>
      </c>
      <c r="O1185" t="s">
        <v>26</v>
      </c>
      <c r="P1185">
        <v>85</v>
      </c>
      <c r="Q1185">
        <v>106.25</v>
      </c>
      <c r="R1185">
        <v>85</v>
      </c>
      <c r="S1185">
        <v>127.5</v>
      </c>
      <c r="T1185" t="s">
        <v>6413</v>
      </c>
    </row>
    <row r="1186" spans="1:20">
      <c r="A1186">
        <v>685590</v>
      </c>
      <c r="B1186" t="s">
        <v>6414</v>
      </c>
      <c r="C1186" t="str">
        <f>"9780889202115"</f>
        <v>9780889202115</v>
      </c>
      <c r="D1186" t="str">
        <f>"9780889208360"</f>
        <v>9780889208360</v>
      </c>
      <c r="E1186" t="s">
        <v>6047</v>
      </c>
      <c r="F1186" t="s">
        <v>6047</v>
      </c>
      <c r="G1186" s="1">
        <v>38718</v>
      </c>
      <c r="I1186" t="s">
        <v>6048</v>
      </c>
      <c r="J1186" t="s">
        <v>6415</v>
      </c>
      <c r="K1186" t="s">
        <v>1892</v>
      </c>
      <c r="L1186" t="s">
        <v>6416</v>
      </c>
      <c r="M1186">
        <v>200</v>
      </c>
      <c r="N1186" t="s">
        <v>6417</v>
      </c>
      <c r="O1186" t="s">
        <v>26</v>
      </c>
      <c r="P1186">
        <v>85</v>
      </c>
      <c r="Q1186">
        <v>106.25</v>
      </c>
      <c r="R1186">
        <v>85</v>
      </c>
      <c r="S1186">
        <v>127.5</v>
      </c>
      <c r="T1186" t="s">
        <v>6418</v>
      </c>
    </row>
    <row r="1187" spans="1:20">
      <c r="A1187">
        <v>685594</v>
      </c>
      <c r="B1187" t="s">
        <v>6419</v>
      </c>
      <c r="C1187" t="str">
        <f>"9780889204171"</f>
        <v>9780889204171</v>
      </c>
      <c r="D1187" t="str">
        <f>"9780889208339"</f>
        <v>9780889208339</v>
      </c>
      <c r="E1187" t="s">
        <v>6047</v>
      </c>
      <c r="F1187" t="s">
        <v>6047</v>
      </c>
      <c r="G1187" s="1">
        <v>38718</v>
      </c>
      <c r="I1187" t="s">
        <v>6061</v>
      </c>
      <c r="J1187" t="s">
        <v>6420</v>
      </c>
      <c r="K1187" t="s">
        <v>263</v>
      </c>
      <c r="L1187" t="s">
        <v>6421</v>
      </c>
      <c r="M1187" t="s">
        <v>6422</v>
      </c>
      <c r="N1187" t="s">
        <v>6423</v>
      </c>
      <c r="O1187" t="s">
        <v>26</v>
      </c>
      <c r="P1187">
        <v>85</v>
      </c>
      <c r="Q1187">
        <v>106.25</v>
      </c>
      <c r="R1187">
        <v>85</v>
      </c>
      <c r="S1187">
        <v>127.5</v>
      </c>
      <c r="T1187" t="s">
        <v>6424</v>
      </c>
    </row>
    <row r="1188" spans="1:20">
      <c r="A1188">
        <v>685595</v>
      </c>
      <c r="B1188" t="s">
        <v>6425</v>
      </c>
      <c r="C1188" t="str">
        <f>"9780889209671"</f>
        <v>9780889209671</v>
      </c>
      <c r="D1188" t="str">
        <f>"9780889208315"</f>
        <v>9780889208315</v>
      </c>
      <c r="E1188" t="s">
        <v>6047</v>
      </c>
      <c r="F1188" t="s">
        <v>6047</v>
      </c>
      <c r="G1188" s="1">
        <v>38718</v>
      </c>
      <c r="J1188" t="s">
        <v>6426</v>
      </c>
      <c r="K1188" t="s">
        <v>467</v>
      </c>
      <c r="L1188" t="s">
        <v>6427</v>
      </c>
      <c r="M1188">
        <v>320.50923999999998</v>
      </c>
      <c r="N1188" t="s">
        <v>6428</v>
      </c>
      <c r="O1188" t="s">
        <v>26</v>
      </c>
      <c r="P1188">
        <v>85</v>
      </c>
      <c r="Q1188">
        <v>106.25</v>
      </c>
      <c r="R1188">
        <v>85</v>
      </c>
      <c r="S1188">
        <v>127.5</v>
      </c>
      <c r="T1188" t="s">
        <v>6429</v>
      </c>
    </row>
    <row r="1189" spans="1:20">
      <c r="A1189">
        <v>685596</v>
      </c>
      <c r="B1189" t="s">
        <v>6430</v>
      </c>
      <c r="C1189" t="str">
        <f>"9780889202344"</f>
        <v>9780889202344</v>
      </c>
      <c r="D1189" t="str">
        <f>"9780889208308"</f>
        <v>9780889208308</v>
      </c>
      <c r="E1189" t="s">
        <v>6047</v>
      </c>
      <c r="F1189" t="s">
        <v>6047</v>
      </c>
      <c r="G1189" s="1">
        <v>38718</v>
      </c>
      <c r="J1189" t="s">
        <v>6431</v>
      </c>
      <c r="K1189" t="s">
        <v>6432</v>
      </c>
      <c r="L1189" t="s">
        <v>6433</v>
      </c>
      <c r="M1189" t="s">
        <v>6434</v>
      </c>
      <c r="N1189" t="s">
        <v>6349</v>
      </c>
      <c r="O1189" t="s">
        <v>26</v>
      </c>
      <c r="P1189">
        <v>85</v>
      </c>
      <c r="Q1189">
        <v>106.25</v>
      </c>
      <c r="R1189">
        <v>85</v>
      </c>
      <c r="S1189">
        <v>127.5</v>
      </c>
      <c r="T1189" t="s">
        <v>6435</v>
      </c>
    </row>
    <row r="1190" spans="1:20">
      <c r="A1190">
        <v>685598</v>
      </c>
      <c r="B1190" t="s">
        <v>6436</v>
      </c>
      <c r="C1190" t="str">
        <f>"9780889203976"</f>
        <v>9780889203976</v>
      </c>
      <c r="D1190" t="str">
        <f>"9780889208292"</f>
        <v>9780889208292</v>
      </c>
      <c r="E1190" t="s">
        <v>6047</v>
      </c>
      <c r="F1190" t="s">
        <v>6047</v>
      </c>
      <c r="G1190" s="1">
        <v>38718</v>
      </c>
      <c r="J1190" t="s">
        <v>6437</v>
      </c>
      <c r="K1190" t="s">
        <v>1464</v>
      </c>
      <c r="L1190" t="s">
        <v>6438</v>
      </c>
      <c r="M1190" t="s">
        <v>6439</v>
      </c>
      <c r="N1190" t="s">
        <v>6440</v>
      </c>
      <c r="O1190" t="s">
        <v>26</v>
      </c>
      <c r="P1190">
        <v>85</v>
      </c>
      <c r="Q1190">
        <v>106.25</v>
      </c>
      <c r="R1190">
        <v>85</v>
      </c>
      <c r="S1190">
        <v>127.5</v>
      </c>
      <c r="T1190" t="s">
        <v>6441</v>
      </c>
    </row>
    <row r="1191" spans="1:20">
      <c r="A1191">
        <v>685599</v>
      </c>
      <c r="B1191" t="s">
        <v>6442</v>
      </c>
      <c r="C1191" t="str">
        <f>"9781554580453"</f>
        <v>9781554580453</v>
      </c>
      <c r="D1191" t="str">
        <f>"9781554582334"</f>
        <v>9781554582334</v>
      </c>
      <c r="E1191" t="s">
        <v>6047</v>
      </c>
      <c r="F1191" t="s">
        <v>6047</v>
      </c>
      <c r="G1191" s="1">
        <v>39731</v>
      </c>
      <c r="J1191" t="s">
        <v>6443</v>
      </c>
      <c r="K1191" t="s">
        <v>6444</v>
      </c>
      <c r="L1191" t="s">
        <v>6445</v>
      </c>
      <c r="M1191">
        <v>327.71071999999998</v>
      </c>
      <c r="N1191" t="s">
        <v>6446</v>
      </c>
      <c r="O1191" t="s">
        <v>26</v>
      </c>
      <c r="P1191">
        <v>85</v>
      </c>
      <c r="Q1191">
        <v>106.25</v>
      </c>
      <c r="R1191">
        <v>85</v>
      </c>
      <c r="S1191">
        <v>127.5</v>
      </c>
      <c r="T1191" t="s">
        <v>6447</v>
      </c>
    </row>
    <row r="1192" spans="1:20">
      <c r="A1192">
        <v>685600</v>
      </c>
      <c r="B1192" t="s">
        <v>6448</v>
      </c>
      <c r="C1192" t="str">
        <f>"9780889203020"</f>
        <v>9780889203020</v>
      </c>
      <c r="D1192" t="str">
        <f>"9780889208285"</f>
        <v>9780889208285</v>
      </c>
      <c r="E1192" t="s">
        <v>6047</v>
      </c>
      <c r="F1192" t="s">
        <v>6047</v>
      </c>
      <c r="G1192" s="1">
        <v>38718</v>
      </c>
      <c r="I1192" t="s">
        <v>6061</v>
      </c>
      <c r="J1192" t="s">
        <v>6449</v>
      </c>
      <c r="K1192" t="s">
        <v>1471</v>
      </c>
      <c r="L1192" t="s">
        <v>6450</v>
      </c>
      <c r="M1192" t="s">
        <v>6451</v>
      </c>
      <c r="N1192" t="s">
        <v>6452</v>
      </c>
      <c r="O1192" t="s">
        <v>26</v>
      </c>
      <c r="P1192">
        <v>85</v>
      </c>
      <c r="Q1192">
        <v>106.25</v>
      </c>
      <c r="R1192">
        <v>85</v>
      </c>
      <c r="S1192">
        <v>127.5</v>
      </c>
      <c r="T1192" t="s">
        <v>6453</v>
      </c>
    </row>
    <row r="1193" spans="1:20">
      <c r="A1193">
        <v>685601</v>
      </c>
      <c r="B1193" t="s">
        <v>6454</v>
      </c>
      <c r="C1193" t="str">
        <f>"9780889209930"</f>
        <v>9780889209930</v>
      </c>
      <c r="D1193" t="str">
        <f>"9780889208278"</f>
        <v>9780889208278</v>
      </c>
      <c r="E1193" t="s">
        <v>6047</v>
      </c>
      <c r="F1193" t="s">
        <v>6047</v>
      </c>
      <c r="G1193" s="1">
        <v>38718</v>
      </c>
      <c r="I1193" t="s">
        <v>6455</v>
      </c>
      <c r="J1193" t="s">
        <v>6456</v>
      </c>
      <c r="K1193" t="s">
        <v>6457</v>
      </c>
      <c r="L1193" t="s">
        <v>6458</v>
      </c>
      <c r="M1193" t="s">
        <v>6459</v>
      </c>
      <c r="N1193" t="s">
        <v>6460</v>
      </c>
      <c r="O1193" t="s">
        <v>26</v>
      </c>
      <c r="P1193">
        <v>85</v>
      </c>
      <c r="Q1193">
        <v>106.25</v>
      </c>
      <c r="R1193">
        <v>85</v>
      </c>
      <c r="S1193">
        <v>127.5</v>
      </c>
      <c r="T1193" t="s">
        <v>6461</v>
      </c>
    </row>
    <row r="1194" spans="1:20">
      <c r="A1194">
        <v>685604</v>
      </c>
      <c r="B1194" t="s">
        <v>6462</v>
      </c>
      <c r="C1194" t="str">
        <f>"9781554580101"</f>
        <v>9781554580101</v>
      </c>
      <c r="D1194" t="str">
        <f>"9781554580842"</f>
        <v>9781554580842</v>
      </c>
      <c r="E1194" t="s">
        <v>6047</v>
      </c>
      <c r="F1194" t="s">
        <v>6047</v>
      </c>
      <c r="G1194" s="1">
        <v>39661</v>
      </c>
      <c r="I1194" t="s">
        <v>6463</v>
      </c>
      <c r="J1194" t="s">
        <v>6464</v>
      </c>
      <c r="K1194" t="s">
        <v>6465</v>
      </c>
      <c r="L1194" t="s">
        <v>6466</v>
      </c>
      <c r="M1194">
        <v>338.76100000000002</v>
      </c>
      <c r="N1194" t="s">
        <v>6467</v>
      </c>
      <c r="O1194" t="s">
        <v>26</v>
      </c>
      <c r="P1194">
        <v>85</v>
      </c>
      <c r="Q1194">
        <v>106.25</v>
      </c>
      <c r="R1194">
        <v>85</v>
      </c>
      <c r="S1194">
        <v>127.5</v>
      </c>
      <c r="T1194" t="s">
        <v>6468</v>
      </c>
    </row>
    <row r="1195" spans="1:20">
      <c r="A1195">
        <v>685605</v>
      </c>
      <c r="B1195" t="s">
        <v>6469</v>
      </c>
      <c r="C1195" t="str">
        <f>"9780889209701"</f>
        <v>9780889209701</v>
      </c>
      <c r="D1195" t="str">
        <f>"9780889208230"</f>
        <v>9780889208230</v>
      </c>
      <c r="E1195" t="s">
        <v>6047</v>
      </c>
      <c r="F1195" t="s">
        <v>6047</v>
      </c>
      <c r="G1195" s="1">
        <v>38718</v>
      </c>
      <c r="J1195" t="s">
        <v>6470</v>
      </c>
      <c r="K1195" t="s">
        <v>305</v>
      </c>
      <c r="L1195" t="s">
        <v>6471</v>
      </c>
      <c r="M1195">
        <v>382.091724</v>
      </c>
      <c r="N1195" t="s">
        <v>6472</v>
      </c>
      <c r="O1195" t="s">
        <v>26</v>
      </c>
      <c r="P1195">
        <v>85</v>
      </c>
      <c r="Q1195">
        <v>106.25</v>
      </c>
      <c r="R1195">
        <v>85</v>
      </c>
      <c r="S1195">
        <v>127.5</v>
      </c>
      <c r="T1195" t="s">
        <v>6473</v>
      </c>
    </row>
    <row r="1196" spans="1:20">
      <c r="A1196">
        <v>685606</v>
      </c>
      <c r="B1196" t="s">
        <v>6474</v>
      </c>
      <c r="C1196" t="str">
        <f>"9781554580170"</f>
        <v>9781554580170</v>
      </c>
      <c r="D1196" t="str">
        <f>"9781554580859"</f>
        <v>9781554580859</v>
      </c>
      <c r="E1196" t="s">
        <v>6047</v>
      </c>
      <c r="F1196" t="s">
        <v>6047</v>
      </c>
      <c r="G1196" s="1">
        <v>39661</v>
      </c>
      <c r="J1196" t="s">
        <v>6475</v>
      </c>
      <c r="K1196" t="s">
        <v>1892</v>
      </c>
      <c r="L1196" t="s">
        <v>6476</v>
      </c>
      <c r="M1196">
        <v>200</v>
      </c>
      <c r="N1196" t="s">
        <v>6477</v>
      </c>
      <c r="O1196" t="s">
        <v>26</v>
      </c>
      <c r="P1196">
        <v>85</v>
      </c>
      <c r="Q1196">
        <v>106.25</v>
      </c>
      <c r="R1196">
        <v>85</v>
      </c>
      <c r="S1196">
        <v>127.5</v>
      </c>
      <c r="T1196" t="s">
        <v>6478</v>
      </c>
    </row>
    <row r="1197" spans="1:20">
      <c r="A1197">
        <v>685607</v>
      </c>
      <c r="B1197" t="s">
        <v>6479</v>
      </c>
      <c r="C1197" t="str">
        <f>"9780889203549"</f>
        <v>9780889203549</v>
      </c>
      <c r="D1197" t="str">
        <f>"9780889208223"</f>
        <v>9780889208223</v>
      </c>
      <c r="E1197" t="s">
        <v>6047</v>
      </c>
      <c r="F1197" t="s">
        <v>6047</v>
      </c>
      <c r="G1197" s="1">
        <v>38718</v>
      </c>
      <c r="J1197" t="s">
        <v>6480</v>
      </c>
      <c r="K1197" t="s">
        <v>1464</v>
      </c>
      <c r="L1197" t="s">
        <v>6481</v>
      </c>
      <c r="M1197">
        <v>813.54</v>
      </c>
      <c r="N1197" t="s">
        <v>6482</v>
      </c>
      <c r="O1197" t="s">
        <v>26</v>
      </c>
      <c r="P1197">
        <v>85</v>
      </c>
      <c r="Q1197">
        <v>106.25</v>
      </c>
      <c r="R1197">
        <v>85</v>
      </c>
      <c r="S1197">
        <v>127.5</v>
      </c>
      <c r="T1197" t="s">
        <v>6483</v>
      </c>
    </row>
    <row r="1198" spans="1:20">
      <c r="A1198">
        <v>685608</v>
      </c>
      <c r="B1198" t="s">
        <v>6484</v>
      </c>
      <c r="C1198" t="str">
        <f>"9780889204225"</f>
        <v>9780889204225</v>
      </c>
      <c r="D1198" t="str">
        <f>"9780889208209"</f>
        <v>9780889208209</v>
      </c>
      <c r="E1198" t="s">
        <v>6047</v>
      </c>
      <c r="F1198" t="s">
        <v>6047</v>
      </c>
      <c r="G1198" s="1">
        <v>38718</v>
      </c>
      <c r="J1198" t="s">
        <v>6485</v>
      </c>
      <c r="K1198" t="s">
        <v>6486</v>
      </c>
      <c r="L1198" t="s">
        <v>6487</v>
      </c>
      <c r="M1198" t="s">
        <v>6488</v>
      </c>
      <c r="N1198" t="s">
        <v>6489</v>
      </c>
      <c r="O1198" t="s">
        <v>26</v>
      </c>
      <c r="P1198">
        <v>85</v>
      </c>
      <c r="Q1198">
        <v>106.25</v>
      </c>
      <c r="R1198">
        <v>85</v>
      </c>
      <c r="S1198">
        <v>127.5</v>
      </c>
      <c r="T1198" t="s">
        <v>6490</v>
      </c>
    </row>
    <row r="1199" spans="1:20">
      <c r="A1199">
        <v>685609</v>
      </c>
      <c r="B1199" t="s">
        <v>6491</v>
      </c>
      <c r="C1199" t="str">
        <f>"9780889209565"</f>
        <v>9780889209565</v>
      </c>
      <c r="D1199" t="str">
        <f>"9780889208179"</f>
        <v>9780889208179</v>
      </c>
      <c r="E1199" t="s">
        <v>6047</v>
      </c>
      <c r="F1199" t="s">
        <v>6047</v>
      </c>
      <c r="G1199" s="1">
        <v>38718</v>
      </c>
      <c r="I1199" t="s">
        <v>6463</v>
      </c>
      <c r="J1199" t="s">
        <v>6492</v>
      </c>
      <c r="K1199" t="s">
        <v>1471</v>
      </c>
      <c r="L1199" t="s">
        <v>6493</v>
      </c>
      <c r="M1199" t="s">
        <v>6494</v>
      </c>
      <c r="N1199" t="s">
        <v>6495</v>
      </c>
      <c r="O1199" t="s">
        <v>26</v>
      </c>
      <c r="P1199">
        <v>85</v>
      </c>
      <c r="Q1199">
        <v>106.25</v>
      </c>
      <c r="R1199">
        <v>85</v>
      </c>
      <c r="S1199">
        <v>127.5</v>
      </c>
      <c r="T1199" t="s">
        <v>6496</v>
      </c>
    </row>
    <row r="1200" spans="1:20">
      <c r="A1200">
        <v>685610</v>
      </c>
      <c r="B1200" t="s">
        <v>6497</v>
      </c>
      <c r="C1200" t="str">
        <f>"9780889202757"</f>
        <v>9780889202757</v>
      </c>
      <c r="D1200" t="str">
        <f>"9780889208162"</f>
        <v>9780889208162</v>
      </c>
      <c r="E1200" t="s">
        <v>6047</v>
      </c>
      <c r="F1200" t="s">
        <v>6047</v>
      </c>
      <c r="G1200" s="1">
        <v>40781</v>
      </c>
      <c r="J1200" t="s">
        <v>6492</v>
      </c>
      <c r="K1200" t="s">
        <v>1471</v>
      </c>
      <c r="L1200" t="s">
        <v>6498</v>
      </c>
      <c r="M1200" t="s">
        <v>6499</v>
      </c>
      <c r="N1200" t="s">
        <v>6500</v>
      </c>
      <c r="O1200" t="s">
        <v>26</v>
      </c>
      <c r="P1200">
        <v>85</v>
      </c>
      <c r="Q1200">
        <v>106.25</v>
      </c>
      <c r="R1200">
        <v>85</v>
      </c>
      <c r="S1200">
        <v>127.5</v>
      </c>
      <c r="T1200" t="s">
        <v>6501</v>
      </c>
    </row>
    <row r="1201" spans="1:20">
      <c r="A1201">
        <v>685611</v>
      </c>
      <c r="B1201" t="s">
        <v>6502</v>
      </c>
      <c r="C1201" t="str">
        <f>"9781554580286"</f>
        <v>9781554580286</v>
      </c>
      <c r="D1201" t="str">
        <f>"9781554580866"</f>
        <v>9781554580866</v>
      </c>
      <c r="E1201" t="s">
        <v>6047</v>
      </c>
      <c r="F1201" t="s">
        <v>6047</v>
      </c>
      <c r="G1201" s="1">
        <v>40290</v>
      </c>
      <c r="I1201" t="s">
        <v>6463</v>
      </c>
      <c r="J1201" t="s">
        <v>6492</v>
      </c>
      <c r="K1201" t="s">
        <v>1471</v>
      </c>
      <c r="L1201" t="s">
        <v>6503</v>
      </c>
      <c r="M1201">
        <v>700</v>
      </c>
      <c r="N1201" t="s">
        <v>6504</v>
      </c>
      <c r="O1201" t="s">
        <v>26</v>
      </c>
      <c r="P1201">
        <v>85</v>
      </c>
      <c r="Q1201">
        <v>106.25</v>
      </c>
      <c r="R1201">
        <v>85</v>
      </c>
      <c r="S1201">
        <v>127.5</v>
      </c>
      <c r="T1201" t="s">
        <v>6505</v>
      </c>
    </row>
    <row r="1202" spans="1:20">
      <c r="A1202">
        <v>685616</v>
      </c>
      <c r="B1202" t="s">
        <v>6506</v>
      </c>
      <c r="C1202" t="str">
        <f>"9780889204126"</f>
        <v>9780889204126</v>
      </c>
      <c r="D1202" t="str">
        <f>"9780889208155"</f>
        <v>9780889208155</v>
      </c>
      <c r="E1202" t="s">
        <v>6047</v>
      </c>
      <c r="F1202" t="s">
        <v>6047</v>
      </c>
      <c r="G1202" s="1">
        <v>38718</v>
      </c>
      <c r="I1202" t="s">
        <v>6061</v>
      </c>
      <c r="J1202" t="s">
        <v>6507</v>
      </c>
      <c r="K1202" t="s">
        <v>1892</v>
      </c>
      <c r="L1202" t="s">
        <v>6508</v>
      </c>
      <c r="M1202" t="s">
        <v>6509</v>
      </c>
      <c r="N1202" t="s">
        <v>6510</v>
      </c>
      <c r="O1202" t="s">
        <v>26</v>
      </c>
      <c r="P1202">
        <v>85</v>
      </c>
      <c r="Q1202">
        <v>106.25</v>
      </c>
      <c r="R1202">
        <v>85</v>
      </c>
      <c r="S1202">
        <v>127.5</v>
      </c>
      <c r="T1202" t="s">
        <v>6511</v>
      </c>
    </row>
    <row r="1203" spans="1:20">
      <c r="A1203">
        <v>685617</v>
      </c>
      <c r="B1203" t="s">
        <v>6512</v>
      </c>
      <c r="C1203" t="str">
        <f>"9781554580095"</f>
        <v>9781554580095</v>
      </c>
      <c r="D1203" t="str">
        <f>"9781554580873"</f>
        <v>9781554580873</v>
      </c>
      <c r="E1203" t="s">
        <v>6047</v>
      </c>
      <c r="F1203" t="s">
        <v>6047</v>
      </c>
      <c r="G1203" s="1">
        <v>39227</v>
      </c>
      <c r="I1203" t="s">
        <v>6061</v>
      </c>
      <c r="J1203" t="s">
        <v>6513</v>
      </c>
      <c r="K1203" t="s">
        <v>291</v>
      </c>
      <c r="L1203" t="s">
        <v>6514</v>
      </c>
      <c r="M1203">
        <v>940.53</v>
      </c>
      <c r="N1203" t="s">
        <v>6515</v>
      </c>
      <c r="O1203" t="s">
        <v>26</v>
      </c>
      <c r="P1203">
        <v>85</v>
      </c>
      <c r="Q1203">
        <v>106.25</v>
      </c>
      <c r="R1203">
        <v>85</v>
      </c>
      <c r="S1203">
        <v>127.5</v>
      </c>
      <c r="T1203" t="s">
        <v>6516</v>
      </c>
    </row>
    <row r="1204" spans="1:20">
      <c r="A1204">
        <v>685618</v>
      </c>
      <c r="B1204" t="s">
        <v>6517</v>
      </c>
      <c r="C1204" t="str">
        <f>"9780889203693"</f>
        <v>9780889203693</v>
      </c>
      <c r="D1204" t="str">
        <f>"9780889209442"</f>
        <v>9780889209442</v>
      </c>
      <c r="E1204" t="s">
        <v>6047</v>
      </c>
      <c r="F1204" t="s">
        <v>6047</v>
      </c>
      <c r="G1204" s="1">
        <v>38718</v>
      </c>
      <c r="J1204" t="s">
        <v>6518</v>
      </c>
      <c r="K1204" t="s">
        <v>1550</v>
      </c>
      <c r="L1204" t="s">
        <v>6519</v>
      </c>
      <c r="M1204" t="s">
        <v>6520</v>
      </c>
      <c r="N1204" t="s">
        <v>6521</v>
      </c>
      <c r="O1204" t="s">
        <v>26</v>
      </c>
      <c r="P1204">
        <v>85</v>
      </c>
      <c r="Q1204">
        <v>106.25</v>
      </c>
      <c r="R1204">
        <v>85</v>
      </c>
      <c r="S1204">
        <v>127.5</v>
      </c>
      <c r="T1204" t="s">
        <v>6522</v>
      </c>
    </row>
    <row r="1205" spans="1:20">
      <c r="A1205">
        <v>685620</v>
      </c>
      <c r="B1205" t="s">
        <v>6523</v>
      </c>
      <c r="C1205" t="str">
        <f>"9781554580491"</f>
        <v>9781554580491</v>
      </c>
      <c r="D1205" t="str">
        <f>"9781554582778"</f>
        <v>9781554582778</v>
      </c>
      <c r="E1205" t="s">
        <v>6047</v>
      </c>
      <c r="F1205" t="s">
        <v>6047</v>
      </c>
      <c r="G1205" s="1">
        <v>39954</v>
      </c>
      <c r="J1205" t="s">
        <v>6524</v>
      </c>
      <c r="K1205" t="s">
        <v>1471</v>
      </c>
      <c r="L1205" t="s">
        <v>6525</v>
      </c>
      <c r="M1205">
        <v>759.11</v>
      </c>
      <c r="N1205" t="s">
        <v>6526</v>
      </c>
      <c r="O1205" t="s">
        <v>26</v>
      </c>
      <c r="P1205">
        <v>85</v>
      </c>
      <c r="Q1205">
        <v>106.25</v>
      </c>
      <c r="R1205">
        <v>85</v>
      </c>
      <c r="S1205">
        <v>127.5</v>
      </c>
      <c r="T1205" t="s">
        <v>6527</v>
      </c>
    </row>
    <row r="1206" spans="1:20">
      <c r="A1206">
        <v>685622</v>
      </c>
      <c r="B1206" t="s">
        <v>6528</v>
      </c>
      <c r="C1206" t="str">
        <f>"9781554580606"</f>
        <v>9781554580606</v>
      </c>
      <c r="D1206" t="str">
        <f>"9781554582341"</f>
        <v>9781554582341</v>
      </c>
      <c r="E1206" t="s">
        <v>6047</v>
      </c>
      <c r="F1206" t="s">
        <v>6047</v>
      </c>
      <c r="G1206" s="1">
        <v>39769</v>
      </c>
      <c r="I1206" t="s">
        <v>6273</v>
      </c>
      <c r="J1206" t="s">
        <v>6529</v>
      </c>
      <c r="K1206" t="s">
        <v>1464</v>
      </c>
      <c r="L1206" t="s">
        <v>6530</v>
      </c>
      <c r="M1206">
        <v>811.54</v>
      </c>
      <c r="N1206" t="s">
        <v>6531</v>
      </c>
      <c r="O1206" t="s">
        <v>26</v>
      </c>
      <c r="P1206">
        <v>85</v>
      </c>
      <c r="Q1206">
        <v>106.25</v>
      </c>
      <c r="R1206">
        <v>85</v>
      </c>
      <c r="S1206">
        <v>127.5</v>
      </c>
      <c r="T1206" t="s">
        <v>6532</v>
      </c>
    </row>
    <row r="1207" spans="1:20">
      <c r="A1207">
        <v>685623</v>
      </c>
      <c r="B1207" t="s">
        <v>6533</v>
      </c>
      <c r="C1207" t="str">
        <f>"9780889202139"</f>
        <v>9780889202139</v>
      </c>
      <c r="D1207" t="str">
        <f>"9780889208001"</f>
        <v>9780889208001</v>
      </c>
      <c r="E1207" t="s">
        <v>6047</v>
      </c>
      <c r="F1207" t="s">
        <v>6047</v>
      </c>
      <c r="G1207" s="1">
        <v>38718</v>
      </c>
      <c r="J1207" t="s">
        <v>6534</v>
      </c>
      <c r="K1207" t="s">
        <v>263</v>
      </c>
      <c r="L1207" t="s">
        <v>6535</v>
      </c>
      <c r="M1207" t="s">
        <v>6536</v>
      </c>
      <c r="N1207" t="s">
        <v>6537</v>
      </c>
      <c r="O1207" t="s">
        <v>26</v>
      </c>
      <c r="P1207">
        <v>85</v>
      </c>
      <c r="Q1207">
        <v>106.25</v>
      </c>
      <c r="R1207">
        <v>85</v>
      </c>
      <c r="S1207">
        <v>127.5</v>
      </c>
      <c r="T1207" t="s">
        <v>6538</v>
      </c>
    </row>
    <row r="1208" spans="1:20">
      <c r="A1208">
        <v>685624</v>
      </c>
      <c r="B1208" t="s">
        <v>6539</v>
      </c>
      <c r="C1208" t="str">
        <f>"9780889202146"</f>
        <v>9780889202146</v>
      </c>
      <c r="D1208" t="str">
        <f>"9780889208117"</f>
        <v>9780889208117</v>
      </c>
      <c r="E1208" t="s">
        <v>6047</v>
      </c>
      <c r="F1208" t="s">
        <v>6047</v>
      </c>
      <c r="G1208" s="1">
        <v>38718</v>
      </c>
      <c r="J1208" t="s">
        <v>6534</v>
      </c>
      <c r="K1208" t="s">
        <v>263</v>
      </c>
      <c r="L1208" t="s">
        <v>6540</v>
      </c>
      <c r="M1208" t="s">
        <v>6541</v>
      </c>
      <c r="N1208" t="s">
        <v>6537</v>
      </c>
      <c r="O1208" t="s">
        <v>94</v>
      </c>
      <c r="P1208">
        <v>85</v>
      </c>
      <c r="Q1208">
        <v>106.25</v>
      </c>
      <c r="R1208">
        <v>85</v>
      </c>
      <c r="S1208">
        <v>127.5</v>
      </c>
      <c r="T1208" t="s">
        <v>6542</v>
      </c>
    </row>
    <row r="1209" spans="1:20">
      <c r="A1209">
        <v>685627</v>
      </c>
      <c r="B1209" t="s">
        <v>6543</v>
      </c>
      <c r="C1209" t="str">
        <f>"9780889202610"</f>
        <v>9780889202610</v>
      </c>
      <c r="D1209" t="str">
        <f>"9780889207998"</f>
        <v>9780889207998</v>
      </c>
      <c r="E1209" t="s">
        <v>6047</v>
      </c>
      <c r="F1209" t="s">
        <v>6047</v>
      </c>
      <c r="G1209" s="1">
        <v>38718</v>
      </c>
      <c r="I1209" t="s">
        <v>6145</v>
      </c>
      <c r="J1209" t="s">
        <v>6544</v>
      </c>
      <c r="K1209" t="s">
        <v>1892</v>
      </c>
      <c r="L1209" t="s">
        <v>6545</v>
      </c>
      <c r="M1209" t="s">
        <v>6546</v>
      </c>
      <c r="N1209" t="s">
        <v>6547</v>
      </c>
      <c r="O1209" t="s">
        <v>26</v>
      </c>
      <c r="P1209">
        <v>85</v>
      </c>
      <c r="Q1209">
        <v>106.25</v>
      </c>
      <c r="R1209">
        <v>85</v>
      </c>
      <c r="S1209">
        <v>127.5</v>
      </c>
      <c r="T1209" t="s">
        <v>6548</v>
      </c>
    </row>
    <row r="1210" spans="1:20">
      <c r="A1210">
        <v>685631</v>
      </c>
      <c r="B1210" t="s">
        <v>6549</v>
      </c>
      <c r="C1210" t="str">
        <f>"9780889203655"</f>
        <v>9780889203655</v>
      </c>
      <c r="D1210" t="str">
        <f>"9780889209398"</f>
        <v>9780889209398</v>
      </c>
      <c r="E1210" t="s">
        <v>6047</v>
      </c>
      <c r="F1210" t="s">
        <v>6047</v>
      </c>
      <c r="G1210" s="1">
        <v>37012</v>
      </c>
      <c r="J1210" t="s">
        <v>6550</v>
      </c>
      <c r="K1210" t="s">
        <v>1471</v>
      </c>
      <c r="L1210" t="s">
        <v>6551</v>
      </c>
      <c r="M1210" t="s">
        <v>6552</v>
      </c>
      <c r="N1210" t="s">
        <v>6553</v>
      </c>
      <c r="O1210" t="s">
        <v>26</v>
      </c>
      <c r="P1210">
        <v>85</v>
      </c>
      <c r="Q1210">
        <v>106.25</v>
      </c>
      <c r="R1210">
        <v>85</v>
      </c>
      <c r="S1210">
        <v>127.5</v>
      </c>
      <c r="T1210" t="s">
        <v>6554</v>
      </c>
    </row>
    <row r="1211" spans="1:20">
      <c r="A1211">
        <v>685633</v>
      </c>
      <c r="B1211" t="s">
        <v>6555</v>
      </c>
      <c r="C1211" t="str">
        <f>"9780889209879"</f>
        <v>9780889209879</v>
      </c>
      <c r="D1211" t="str">
        <f>"9780889208070"</f>
        <v>9780889208070</v>
      </c>
      <c r="E1211" t="s">
        <v>6047</v>
      </c>
      <c r="F1211" t="s">
        <v>6047</v>
      </c>
      <c r="G1211" s="1">
        <v>38718</v>
      </c>
      <c r="J1211" t="s">
        <v>6556</v>
      </c>
      <c r="K1211" t="s">
        <v>263</v>
      </c>
      <c r="L1211" t="s">
        <v>6557</v>
      </c>
      <c r="M1211" t="s">
        <v>6558</v>
      </c>
      <c r="N1211" t="s">
        <v>6559</v>
      </c>
      <c r="O1211" t="s">
        <v>26</v>
      </c>
      <c r="P1211">
        <v>85</v>
      </c>
      <c r="Q1211">
        <v>106.25</v>
      </c>
      <c r="R1211">
        <v>85</v>
      </c>
      <c r="S1211">
        <v>127.5</v>
      </c>
      <c r="T1211" t="s">
        <v>6560</v>
      </c>
    </row>
    <row r="1212" spans="1:20">
      <c r="A1212">
        <v>685635</v>
      </c>
      <c r="B1212" t="s">
        <v>6561</v>
      </c>
      <c r="C1212" t="str">
        <f>"9781554580187"</f>
        <v>9781554580187</v>
      </c>
      <c r="D1212" t="str">
        <f>"9781554580927"</f>
        <v>9781554580927</v>
      </c>
      <c r="E1212" t="s">
        <v>6047</v>
      </c>
      <c r="F1212" t="s">
        <v>6047</v>
      </c>
      <c r="G1212" s="1">
        <v>39422</v>
      </c>
      <c r="J1212" t="s">
        <v>6562</v>
      </c>
      <c r="K1212" t="s">
        <v>1471</v>
      </c>
      <c r="L1212" t="s">
        <v>6563</v>
      </c>
      <c r="M1212" t="s">
        <v>6564</v>
      </c>
      <c r="N1212" t="s">
        <v>6565</v>
      </c>
      <c r="O1212" t="s">
        <v>26</v>
      </c>
      <c r="P1212">
        <v>85</v>
      </c>
      <c r="Q1212">
        <v>106.25</v>
      </c>
      <c r="R1212">
        <v>85</v>
      </c>
      <c r="S1212">
        <v>127.5</v>
      </c>
      <c r="T1212" t="s">
        <v>6566</v>
      </c>
    </row>
    <row r="1213" spans="1:20">
      <c r="A1213">
        <v>685636</v>
      </c>
      <c r="B1213" t="s">
        <v>6567</v>
      </c>
      <c r="C1213" t="str">
        <f>"9781554580323"</f>
        <v>9781554580323</v>
      </c>
      <c r="D1213" t="str">
        <f>"9781554580934"</f>
        <v>9781554580934</v>
      </c>
      <c r="E1213" t="s">
        <v>6047</v>
      </c>
      <c r="F1213" t="s">
        <v>6047</v>
      </c>
      <c r="G1213" s="1">
        <v>40049</v>
      </c>
      <c r="J1213" t="s">
        <v>6568</v>
      </c>
      <c r="K1213" t="s">
        <v>1464</v>
      </c>
      <c r="L1213" t="s">
        <v>6569</v>
      </c>
      <c r="M1213" t="s">
        <v>6570</v>
      </c>
      <c r="N1213" t="s">
        <v>6571</v>
      </c>
      <c r="O1213" t="s">
        <v>26</v>
      </c>
      <c r="P1213">
        <v>85</v>
      </c>
      <c r="Q1213">
        <v>106.25</v>
      </c>
      <c r="R1213">
        <v>85</v>
      </c>
      <c r="S1213">
        <v>127.5</v>
      </c>
      <c r="T1213" t="s">
        <v>6572</v>
      </c>
    </row>
    <row r="1214" spans="1:20">
      <c r="A1214">
        <v>685638</v>
      </c>
      <c r="B1214" t="s">
        <v>6573</v>
      </c>
      <c r="C1214" t="str">
        <f>"9780889209534"</f>
        <v>9780889209534</v>
      </c>
      <c r="D1214" t="str">
        <f>"9780889208056"</f>
        <v>9780889208056</v>
      </c>
      <c r="E1214" t="s">
        <v>6047</v>
      </c>
      <c r="F1214" t="s">
        <v>6047</v>
      </c>
      <c r="G1214" s="1">
        <v>38718</v>
      </c>
      <c r="J1214" t="s">
        <v>6574</v>
      </c>
      <c r="K1214" t="s">
        <v>1464</v>
      </c>
      <c r="L1214" t="s">
        <v>6575</v>
      </c>
      <c r="M1214">
        <v>822.3</v>
      </c>
      <c r="N1214" t="s">
        <v>6576</v>
      </c>
      <c r="O1214" t="s">
        <v>26</v>
      </c>
      <c r="P1214">
        <v>85</v>
      </c>
      <c r="Q1214">
        <v>106.25</v>
      </c>
      <c r="R1214">
        <v>85</v>
      </c>
      <c r="S1214">
        <v>127.5</v>
      </c>
      <c r="T1214" t="s">
        <v>6577</v>
      </c>
    </row>
    <row r="1215" spans="1:20">
      <c r="A1215">
        <v>685639</v>
      </c>
      <c r="B1215" t="s">
        <v>6578</v>
      </c>
      <c r="C1215" t="str">
        <f>"9780889202122"</f>
        <v>9780889202122</v>
      </c>
      <c r="D1215" t="str">
        <f>"9780889208049"</f>
        <v>9780889208049</v>
      </c>
      <c r="E1215" t="s">
        <v>6047</v>
      </c>
      <c r="F1215" t="s">
        <v>6047</v>
      </c>
      <c r="G1215" s="1">
        <v>38718</v>
      </c>
      <c r="I1215" t="s">
        <v>6048</v>
      </c>
      <c r="J1215" t="s">
        <v>6579</v>
      </c>
      <c r="K1215" t="s">
        <v>6580</v>
      </c>
      <c r="L1215" t="s">
        <v>6581</v>
      </c>
      <c r="M1215">
        <v>200</v>
      </c>
      <c r="N1215" t="s">
        <v>6582</v>
      </c>
      <c r="O1215" t="s">
        <v>26</v>
      </c>
      <c r="P1215">
        <v>85</v>
      </c>
      <c r="Q1215">
        <v>106.25</v>
      </c>
      <c r="R1215">
        <v>85</v>
      </c>
      <c r="S1215">
        <v>127.5</v>
      </c>
      <c r="T1215" t="s">
        <v>6583</v>
      </c>
    </row>
    <row r="1216" spans="1:20">
      <c r="A1216">
        <v>685640</v>
      </c>
      <c r="B1216" t="s">
        <v>6584</v>
      </c>
      <c r="C1216" t="str">
        <f>"9780889203006"</f>
        <v>9780889203006</v>
      </c>
      <c r="D1216" t="str">
        <f>"9780889208032"</f>
        <v>9780889208032</v>
      </c>
      <c r="E1216" t="s">
        <v>6047</v>
      </c>
      <c r="F1216" t="s">
        <v>6047</v>
      </c>
      <c r="G1216" s="1">
        <v>38718</v>
      </c>
      <c r="I1216" t="s">
        <v>6048</v>
      </c>
      <c r="J1216" t="s">
        <v>6579</v>
      </c>
      <c r="K1216" t="s">
        <v>1464</v>
      </c>
      <c r="L1216" t="s">
        <v>6585</v>
      </c>
      <c r="M1216" t="s">
        <v>6586</v>
      </c>
      <c r="N1216" t="s">
        <v>6587</v>
      </c>
      <c r="O1216" t="s">
        <v>26</v>
      </c>
      <c r="P1216">
        <v>85</v>
      </c>
      <c r="Q1216">
        <v>106.25</v>
      </c>
      <c r="R1216">
        <v>85</v>
      </c>
      <c r="S1216">
        <v>127.5</v>
      </c>
      <c r="T1216" t="s">
        <v>6588</v>
      </c>
    </row>
    <row r="1217" spans="1:20">
      <c r="A1217">
        <v>685641</v>
      </c>
      <c r="B1217" t="s">
        <v>6589</v>
      </c>
      <c r="C1217" t="str">
        <f>"9780889202191"</f>
        <v>9780889202191</v>
      </c>
      <c r="D1217" t="str">
        <f>"9780889208025"</f>
        <v>9780889208025</v>
      </c>
      <c r="E1217" t="s">
        <v>6047</v>
      </c>
      <c r="F1217" t="s">
        <v>6047</v>
      </c>
      <c r="G1217" s="1">
        <v>38718</v>
      </c>
      <c r="I1217" t="s">
        <v>6116</v>
      </c>
      <c r="J1217" t="s">
        <v>6590</v>
      </c>
      <c r="K1217" t="s">
        <v>1892</v>
      </c>
      <c r="L1217" t="s">
        <v>6591</v>
      </c>
      <c r="M1217" t="s">
        <v>6592</v>
      </c>
      <c r="N1217" t="s">
        <v>6593</v>
      </c>
      <c r="O1217" t="s">
        <v>26</v>
      </c>
      <c r="P1217">
        <v>85</v>
      </c>
      <c r="Q1217">
        <v>106.25</v>
      </c>
      <c r="R1217">
        <v>85</v>
      </c>
      <c r="S1217">
        <v>127.5</v>
      </c>
      <c r="T1217" t="s">
        <v>6594</v>
      </c>
    </row>
    <row r="1218" spans="1:20">
      <c r="A1218">
        <v>685642</v>
      </c>
      <c r="B1218" t="s">
        <v>6595</v>
      </c>
      <c r="C1218" t="str">
        <f>"9781554580309"</f>
        <v>9781554580309</v>
      </c>
      <c r="D1218" t="str">
        <f>"9781554580941"</f>
        <v>9781554580941</v>
      </c>
      <c r="E1218" t="s">
        <v>6047</v>
      </c>
      <c r="F1218" t="s">
        <v>6047</v>
      </c>
      <c r="G1218" s="1">
        <v>39521</v>
      </c>
      <c r="I1218" t="s">
        <v>6061</v>
      </c>
      <c r="J1218" t="s">
        <v>6596</v>
      </c>
      <c r="K1218" t="s">
        <v>291</v>
      </c>
      <c r="L1218" t="s">
        <v>6597</v>
      </c>
      <c r="M1218" t="s">
        <v>6598</v>
      </c>
      <c r="N1218" t="s">
        <v>6599</v>
      </c>
      <c r="O1218" t="s">
        <v>26</v>
      </c>
      <c r="P1218">
        <v>85</v>
      </c>
      <c r="Q1218">
        <v>106.25</v>
      </c>
      <c r="R1218">
        <v>85</v>
      </c>
      <c r="S1218">
        <v>127.5</v>
      </c>
      <c r="T1218" t="s">
        <v>6600</v>
      </c>
    </row>
    <row r="1219" spans="1:20">
      <c r="A1219">
        <v>685646</v>
      </c>
      <c r="B1219" t="s">
        <v>6601</v>
      </c>
      <c r="C1219" t="str">
        <f>"9780889204553"</f>
        <v>9780889204553</v>
      </c>
      <c r="D1219" t="str">
        <f>"9780889209329"</f>
        <v>9780889209329</v>
      </c>
      <c r="E1219" t="s">
        <v>6047</v>
      </c>
      <c r="F1219" t="s">
        <v>6047</v>
      </c>
      <c r="G1219" s="1">
        <v>38718</v>
      </c>
      <c r="J1219" t="s">
        <v>6602</v>
      </c>
      <c r="K1219" t="s">
        <v>1464</v>
      </c>
      <c r="L1219" t="s">
        <v>6603</v>
      </c>
      <c r="M1219" t="s">
        <v>6604</v>
      </c>
      <c r="N1219" t="s">
        <v>6605</v>
      </c>
      <c r="O1219" t="s">
        <v>26</v>
      </c>
      <c r="P1219">
        <v>85</v>
      </c>
      <c r="Q1219">
        <v>106.25</v>
      </c>
      <c r="R1219">
        <v>85</v>
      </c>
      <c r="S1219">
        <v>127.5</v>
      </c>
      <c r="T1219" t="s">
        <v>6606</v>
      </c>
    </row>
    <row r="1220" spans="1:20">
      <c r="A1220">
        <v>685648</v>
      </c>
      <c r="B1220" t="s">
        <v>6607</v>
      </c>
      <c r="C1220" t="str">
        <f>"9780889201897"</f>
        <v>9780889201897</v>
      </c>
      <c r="D1220" t="str">
        <f>"9780889207943"</f>
        <v>9780889207943</v>
      </c>
      <c r="E1220" t="s">
        <v>6047</v>
      </c>
      <c r="F1220" t="s">
        <v>6047</v>
      </c>
      <c r="G1220" s="1">
        <v>38718</v>
      </c>
      <c r="J1220" t="s">
        <v>6608</v>
      </c>
      <c r="K1220" t="s">
        <v>1892</v>
      </c>
      <c r="L1220" t="s">
        <v>6609</v>
      </c>
      <c r="M1220">
        <v>200</v>
      </c>
      <c r="N1220" t="s">
        <v>6610</v>
      </c>
      <c r="O1220" t="s">
        <v>26</v>
      </c>
      <c r="P1220">
        <v>85</v>
      </c>
      <c r="Q1220">
        <v>106.25</v>
      </c>
      <c r="R1220">
        <v>85</v>
      </c>
      <c r="S1220">
        <v>127.5</v>
      </c>
      <c r="T1220" t="s">
        <v>6611</v>
      </c>
    </row>
    <row r="1221" spans="1:20">
      <c r="A1221">
        <v>685653</v>
      </c>
      <c r="B1221" t="s">
        <v>6612</v>
      </c>
      <c r="C1221" t="str">
        <f>"9780889204645"</f>
        <v>9780889204645</v>
      </c>
      <c r="D1221" t="str">
        <f>"9780889209367"</f>
        <v>9780889209367</v>
      </c>
      <c r="E1221" t="s">
        <v>6047</v>
      </c>
      <c r="F1221" t="s">
        <v>6047</v>
      </c>
      <c r="G1221" s="1">
        <v>38718</v>
      </c>
      <c r="J1221" t="s">
        <v>6613</v>
      </c>
      <c r="K1221" t="s">
        <v>899</v>
      </c>
      <c r="L1221" t="s">
        <v>6614</v>
      </c>
      <c r="M1221" t="s">
        <v>6615</v>
      </c>
      <c r="N1221" t="s">
        <v>6616</v>
      </c>
      <c r="O1221" t="s">
        <v>26</v>
      </c>
      <c r="P1221">
        <v>85</v>
      </c>
      <c r="Q1221">
        <v>106.25</v>
      </c>
      <c r="R1221">
        <v>85</v>
      </c>
      <c r="S1221">
        <v>127.5</v>
      </c>
      <c r="T1221" t="s">
        <v>6617</v>
      </c>
    </row>
    <row r="1222" spans="1:20">
      <c r="A1222">
        <v>685654</v>
      </c>
      <c r="B1222" t="s">
        <v>6618</v>
      </c>
      <c r="C1222" t="str">
        <f>"9780889201934"</f>
        <v>9780889201934</v>
      </c>
      <c r="D1222" t="str">
        <f>"9780889207899"</f>
        <v>9780889207899</v>
      </c>
      <c r="E1222" t="s">
        <v>6047</v>
      </c>
      <c r="F1222" t="s">
        <v>6047</v>
      </c>
      <c r="G1222" s="1">
        <v>38718</v>
      </c>
      <c r="I1222" t="s">
        <v>6085</v>
      </c>
      <c r="J1222" t="s">
        <v>6619</v>
      </c>
      <c r="K1222" t="s">
        <v>1892</v>
      </c>
      <c r="L1222" t="s">
        <v>6620</v>
      </c>
      <c r="M1222" t="s">
        <v>6621</v>
      </c>
      <c r="N1222" t="s">
        <v>6622</v>
      </c>
      <c r="O1222" t="s">
        <v>26</v>
      </c>
      <c r="P1222">
        <v>85</v>
      </c>
      <c r="Q1222">
        <v>106.25</v>
      </c>
      <c r="R1222">
        <v>85</v>
      </c>
      <c r="S1222">
        <v>127.5</v>
      </c>
      <c r="T1222" t="s">
        <v>6623</v>
      </c>
    </row>
    <row r="1223" spans="1:20">
      <c r="A1223">
        <v>685655</v>
      </c>
      <c r="B1223" t="s">
        <v>6624</v>
      </c>
      <c r="C1223" t="str">
        <f>"9780889201774"</f>
        <v>9780889201774</v>
      </c>
      <c r="D1223" t="str">
        <f>"9780889207868"</f>
        <v>9780889207868</v>
      </c>
      <c r="E1223" t="s">
        <v>6047</v>
      </c>
      <c r="F1223" t="s">
        <v>6047</v>
      </c>
      <c r="G1223" s="1">
        <v>38718</v>
      </c>
      <c r="J1223" t="s">
        <v>6625</v>
      </c>
      <c r="K1223" t="s">
        <v>291</v>
      </c>
      <c r="L1223" t="s">
        <v>6626</v>
      </c>
      <c r="M1223" t="s">
        <v>6627</v>
      </c>
      <c r="N1223" t="s">
        <v>6628</v>
      </c>
      <c r="O1223" t="s">
        <v>26</v>
      </c>
      <c r="P1223">
        <v>85</v>
      </c>
      <c r="Q1223">
        <v>106.25</v>
      </c>
      <c r="R1223">
        <v>85</v>
      </c>
      <c r="S1223">
        <v>127.5</v>
      </c>
      <c r="T1223" t="s">
        <v>6629</v>
      </c>
    </row>
    <row r="1224" spans="1:20">
      <c r="A1224">
        <v>685656</v>
      </c>
      <c r="B1224" t="s">
        <v>6630</v>
      </c>
      <c r="C1224" t="str">
        <f>"9780889200005"</f>
        <v>9780889200005</v>
      </c>
      <c r="D1224" t="str">
        <f>"9780889207882"</f>
        <v>9780889207882</v>
      </c>
      <c r="E1224" t="s">
        <v>6047</v>
      </c>
      <c r="F1224" t="s">
        <v>6047</v>
      </c>
      <c r="G1224" s="1">
        <v>38718</v>
      </c>
      <c r="J1224" t="s">
        <v>6631</v>
      </c>
      <c r="K1224" t="s">
        <v>291</v>
      </c>
      <c r="L1224" t="s">
        <v>6632</v>
      </c>
      <c r="M1224" t="s">
        <v>6633</v>
      </c>
      <c r="N1224" t="s">
        <v>6634</v>
      </c>
      <c r="O1224" t="s">
        <v>26</v>
      </c>
      <c r="P1224">
        <v>85</v>
      </c>
      <c r="Q1224">
        <v>106.25</v>
      </c>
      <c r="R1224">
        <v>85</v>
      </c>
      <c r="S1224">
        <v>127.5</v>
      </c>
      <c r="T1224" t="s">
        <v>6635</v>
      </c>
    </row>
    <row r="1225" spans="1:20">
      <c r="A1225">
        <v>685657</v>
      </c>
      <c r="B1225" t="s">
        <v>6636</v>
      </c>
      <c r="C1225" t="str">
        <f>"9780889205086"</f>
        <v>9780889205086</v>
      </c>
      <c r="D1225" t="str">
        <f>"9781554580958"</f>
        <v>9781554580958</v>
      </c>
      <c r="E1225" t="s">
        <v>6047</v>
      </c>
      <c r="F1225" t="s">
        <v>6047</v>
      </c>
      <c r="G1225" s="1">
        <v>39164</v>
      </c>
      <c r="J1225" t="s">
        <v>6637</v>
      </c>
      <c r="K1225" t="s">
        <v>291</v>
      </c>
      <c r="L1225" t="s">
        <v>6638</v>
      </c>
      <c r="M1225" t="s">
        <v>6639</v>
      </c>
      <c r="N1225" t="s">
        <v>6640</v>
      </c>
      <c r="O1225" t="s">
        <v>26</v>
      </c>
      <c r="P1225">
        <v>85</v>
      </c>
      <c r="Q1225">
        <v>106.25</v>
      </c>
      <c r="R1225">
        <v>85</v>
      </c>
      <c r="S1225">
        <v>127.5</v>
      </c>
      <c r="T1225" t="s">
        <v>6641</v>
      </c>
    </row>
    <row r="1226" spans="1:20">
      <c r="A1226">
        <v>685658</v>
      </c>
      <c r="B1226" t="s">
        <v>6642</v>
      </c>
      <c r="C1226" t="str">
        <f>"9781554580118"</f>
        <v>9781554580118</v>
      </c>
      <c r="D1226" t="str">
        <f>"9781554580965"</f>
        <v>9781554580965</v>
      </c>
      <c r="E1226" t="s">
        <v>6047</v>
      </c>
      <c r="F1226" t="s">
        <v>6047</v>
      </c>
      <c r="G1226" s="1">
        <v>39731</v>
      </c>
      <c r="I1226" t="s">
        <v>6079</v>
      </c>
      <c r="J1226" t="s">
        <v>6643</v>
      </c>
      <c r="K1226" t="s">
        <v>3219</v>
      </c>
      <c r="L1226" t="s">
        <v>6644</v>
      </c>
      <c r="M1226">
        <v>900</v>
      </c>
      <c r="N1226" t="s">
        <v>6645</v>
      </c>
      <c r="O1226" t="s">
        <v>26</v>
      </c>
      <c r="P1226">
        <v>85</v>
      </c>
      <c r="Q1226">
        <v>106.25</v>
      </c>
      <c r="R1226">
        <v>85</v>
      </c>
      <c r="S1226">
        <v>127.5</v>
      </c>
      <c r="T1226" t="s">
        <v>6646</v>
      </c>
    </row>
    <row r="1227" spans="1:20">
      <c r="A1227">
        <v>685659</v>
      </c>
      <c r="B1227" t="s">
        <v>6647</v>
      </c>
      <c r="C1227" t="str">
        <f>"9780889209664"</f>
        <v>9780889209664</v>
      </c>
      <c r="D1227" t="str">
        <f>"9780889207851"</f>
        <v>9780889207851</v>
      </c>
      <c r="E1227" t="s">
        <v>6047</v>
      </c>
      <c r="F1227" t="s">
        <v>6047</v>
      </c>
      <c r="G1227" s="1">
        <v>38718</v>
      </c>
      <c r="J1227" t="s">
        <v>6648</v>
      </c>
      <c r="K1227" t="s">
        <v>1471</v>
      </c>
      <c r="L1227" t="s">
        <v>6649</v>
      </c>
      <c r="M1227">
        <v>759.2</v>
      </c>
      <c r="N1227" t="s">
        <v>6650</v>
      </c>
      <c r="O1227" t="s">
        <v>26</v>
      </c>
      <c r="P1227">
        <v>85</v>
      </c>
      <c r="Q1227">
        <v>106.25</v>
      </c>
      <c r="R1227">
        <v>85</v>
      </c>
      <c r="S1227">
        <v>127.5</v>
      </c>
      <c r="T1227" t="s">
        <v>6651</v>
      </c>
    </row>
    <row r="1228" spans="1:20">
      <c r="A1228">
        <v>685660</v>
      </c>
      <c r="B1228" t="s">
        <v>6652</v>
      </c>
      <c r="C1228" t="str">
        <f>"9780889209572"</f>
        <v>9780889209572</v>
      </c>
      <c r="D1228" t="str">
        <f>"9780889207875"</f>
        <v>9780889207875</v>
      </c>
      <c r="E1228" t="s">
        <v>6047</v>
      </c>
      <c r="F1228" t="s">
        <v>6047</v>
      </c>
      <c r="G1228" s="1">
        <v>38718</v>
      </c>
      <c r="J1228" t="s">
        <v>6653</v>
      </c>
      <c r="K1228" t="s">
        <v>4347</v>
      </c>
      <c r="L1228" t="s">
        <v>6654</v>
      </c>
      <c r="M1228">
        <v>355.02</v>
      </c>
      <c r="N1228" t="s">
        <v>6655</v>
      </c>
      <c r="O1228" t="s">
        <v>26</v>
      </c>
      <c r="P1228">
        <v>85</v>
      </c>
      <c r="Q1228">
        <v>106.25</v>
      </c>
      <c r="R1228">
        <v>85</v>
      </c>
      <c r="S1228">
        <v>127.5</v>
      </c>
      <c r="T1228" t="s">
        <v>6656</v>
      </c>
    </row>
    <row r="1229" spans="1:20">
      <c r="A1229">
        <v>685663</v>
      </c>
      <c r="B1229" t="s">
        <v>6657</v>
      </c>
      <c r="C1229" t="str">
        <f>"9780889201996"</f>
        <v>9780889201996</v>
      </c>
      <c r="D1229" t="str">
        <f>"9780889207820"</f>
        <v>9780889207820</v>
      </c>
      <c r="E1229" t="s">
        <v>6047</v>
      </c>
      <c r="F1229" t="s">
        <v>6047</v>
      </c>
      <c r="G1229" s="1">
        <v>38718</v>
      </c>
      <c r="J1229" t="s">
        <v>6658</v>
      </c>
      <c r="K1229" t="s">
        <v>291</v>
      </c>
      <c r="L1229" t="s">
        <v>6659</v>
      </c>
      <c r="M1229" t="s">
        <v>6660</v>
      </c>
      <c r="N1229" t="s">
        <v>6661</v>
      </c>
      <c r="O1229" t="s">
        <v>26</v>
      </c>
      <c r="P1229">
        <v>85</v>
      </c>
      <c r="Q1229">
        <v>106.25</v>
      </c>
      <c r="R1229">
        <v>85</v>
      </c>
      <c r="S1229">
        <v>127.5</v>
      </c>
      <c r="T1229" t="s">
        <v>6662</v>
      </c>
    </row>
    <row r="1230" spans="1:20">
      <c r="A1230">
        <v>685664</v>
      </c>
      <c r="B1230" t="s">
        <v>6663</v>
      </c>
      <c r="C1230" t="str">
        <f>"9780889209947"</f>
        <v>9780889209947</v>
      </c>
      <c r="D1230" t="str">
        <f>"9780889207813"</f>
        <v>9780889207813</v>
      </c>
      <c r="E1230" t="s">
        <v>6047</v>
      </c>
      <c r="F1230" t="s">
        <v>6047</v>
      </c>
      <c r="G1230" s="1">
        <v>38718</v>
      </c>
      <c r="J1230" t="s">
        <v>6664</v>
      </c>
      <c r="K1230" t="s">
        <v>6665</v>
      </c>
      <c r="L1230" t="s">
        <v>6666</v>
      </c>
      <c r="M1230">
        <v>900</v>
      </c>
      <c r="N1230" t="s">
        <v>6667</v>
      </c>
      <c r="O1230" t="s">
        <v>26</v>
      </c>
      <c r="P1230">
        <v>85</v>
      </c>
      <c r="Q1230">
        <v>106.25</v>
      </c>
      <c r="R1230">
        <v>85</v>
      </c>
      <c r="S1230">
        <v>127.5</v>
      </c>
      <c r="T1230" t="s">
        <v>6668</v>
      </c>
    </row>
    <row r="1231" spans="1:20">
      <c r="A1231">
        <v>685665</v>
      </c>
      <c r="B1231" t="s">
        <v>6669</v>
      </c>
      <c r="C1231" t="str">
        <f>"9780889209800"</f>
        <v>9780889209800</v>
      </c>
      <c r="D1231" t="str">
        <f>"9780889207806"</f>
        <v>9780889207806</v>
      </c>
      <c r="E1231" t="s">
        <v>6047</v>
      </c>
      <c r="F1231" t="s">
        <v>6047</v>
      </c>
      <c r="G1231" s="1">
        <v>38718</v>
      </c>
      <c r="I1231" t="s">
        <v>6670</v>
      </c>
      <c r="J1231" t="s">
        <v>6671</v>
      </c>
      <c r="K1231" t="s">
        <v>1464</v>
      </c>
      <c r="L1231" t="s">
        <v>6672</v>
      </c>
      <c r="M1231" t="s">
        <v>6673</v>
      </c>
      <c r="N1231" t="s">
        <v>6674</v>
      </c>
      <c r="O1231" t="s">
        <v>26</v>
      </c>
      <c r="P1231">
        <v>85</v>
      </c>
      <c r="Q1231">
        <v>106.25</v>
      </c>
      <c r="R1231">
        <v>85</v>
      </c>
      <c r="S1231">
        <v>127.5</v>
      </c>
      <c r="T1231" t="s">
        <v>6675</v>
      </c>
    </row>
    <row r="1232" spans="1:20">
      <c r="A1232">
        <v>685666</v>
      </c>
      <c r="B1232" t="s">
        <v>6676</v>
      </c>
      <c r="C1232" t="str">
        <f>"9780889204935"</f>
        <v>9780889204935</v>
      </c>
      <c r="D1232" t="str">
        <f>"9780889209176"</f>
        <v>9780889209176</v>
      </c>
      <c r="E1232" t="s">
        <v>6047</v>
      </c>
      <c r="F1232" t="s">
        <v>6047</v>
      </c>
      <c r="G1232" s="1">
        <v>38718</v>
      </c>
      <c r="I1232" t="s">
        <v>6079</v>
      </c>
      <c r="J1232" t="s">
        <v>6677</v>
      </c>
      <c r="K1232" t="s">
        <v>1214</v>
      </c>
      <c r="L1232" t="s">
        <v>6678</v>
      </c>
      <c r="M1232" t="s">
        <v>6679</v>
      </c>
      <c r="N1232" t="s">
        <v>6680</v>
      </c>
      <c r="O1232" t="s">
        <v>26</v>
      </c>
      <c r="P1232">
        <v>85</v>
      </c>
      <c r="Q1232">
        <v>106.25</v>
      </c>
      <c r="R1232">
        <v>85</v>
      </c>
      <c r="S1232">
        <v>127.5</v>
      </c>
      <c r="T1232" t="s">
        <v>6681</v>
      </c>
    </row>
    <row r="1233" spans="1:20">
      <c r="A1233">
        <v>685667</v>
      </c>
      <c r="B1233" t="s">
        <v>6682</v>
      </c>
      <c r="C1233" t="str">
        <f>"9781554580040"</f>
        <v>9781554580040</v>
      </c>
      <c r="D1233" t="str">
        <f>"9781554580972"</f>
        <v>9781554580972</v>
      </c>
      <c r="E1233" t="s">
        <v>6047</v>
      </c>
      <c r="F1233" t="s">
        <v>6047</v>
      </c>
      <c r="G1233" s="1">
        <v>39721</v>
      </c>
      <c r="I1233" t="s">
        <v>6683</v>
      </c>
      <c r="J1233" t="s">
        <v>6684</v>
      </c>
      <c r="K1233" t="s">
        <v>291</v>
      </c>
      <c r="L1233" t="s">
        <v>6685</v>
      </c>
      <c r="M1233" t="s">
        <v>6686</v>
      </c>
      <c r="N1233" t="s">
        <v>6687</v>
      </c>
      <c r="O1233" t="s">
        <v>26</v>
      </c>
      <c r="P1233">
        <v>85</v>
      </c>
      <c r="Q1233">
        <v>106.25</v>
      </c>
      <c r="R1233">
        <v>85</v>
      </c>
      <c r="S1233">
        <v>127.5</v>
      </c>
      <c r="T1233" t="s">
        <v>6688</v>
      </c>
    </row>
    <row r="1234" spans="1:20">
      <c r="A1234">
        <v>685669</v>
      </c>
      <c r="B1234" t="s">
        <v>6689</v>
      </c>
      <c r="C1234" t="str">
        <f>"9780889201217"</f>
        <v>9780889201217</v>
      </c>
      <c r="D1234" t="str">
        <f>"9780889207783"</f>
        <v>9780889207783</v>
      </c>
      <c r="E1234" t="s">
        <v>6047</v>
      </c>
      <c r="F1234" t="s">
        <v>6047</v>
      </c>
      <c r="G1234" s="1">
        <v>38718</v>
      </c>
      <c r="J1234" t="s">
        <v>6690</v>
      </c>
      <c r="K1234" t="s">
        <v>2498</v>
      </c>
      <c r="L1234" t="s">
        <v>6691</v>
      </c>
      <c r="M1234">
        <v>150</v>
      </c>
      <c r="N1234" t="s">
        <v>6692</v>
      </c>
      <c r="O1234" t="s">
        <v>26</v>
      </c>
      <c r="P1234">
        <v>85</v>
      </c>
      <c r="Q1234">
        <v>106.25</v>
      </c>
      <c r="R1234">
        <v>85</v>
      </c>
      <c r="S1234">
        <v>127.5</v>
      </c>
      <c r="T1234" t="s">
        <v>6693</v>
      </c>
    </row>
    <row r="1235" spans="1:20">
      <c r="A1235">
        <v>685670</v>
      </c>
      <c r="B1235" t="s">
        <v>6694</v>
      </c>
      <c r="C1235" t="str">
        <f>"9781554580019"</f>
        <v>9781554580019</v>
      </c>
      <c r="D1235" t="str">
        <f>"9781554580989"</f>
        <v>9781554580989</v>
      </c>
      <c r="E1235" t="s">
        <v>6047</v>
      </c>
      <c r="F1235" t="s">
        <v>6047</v>
      </c>
      <c r="G1235" s="1">
        <v>39420</v>
      </c>
      <c r="J1235" t="s">
        <v>6695</v>
      </c>
      <c r="K1235" t="s">
        <v>899</v>
      </c>
      <c r="L1235" t="s">
        <v>6696</v>
      </c>
      <c r="M1235" t="s">
        <v>6697</v>
      </c>
      <c r="N1235" t="s">
        <v>6698</v>
      </c>
      <c r="O1235" t="s">
        <v>26</v>
      </c>
      <c r="P1235">
        <v>85</v>
      </c>
      <c r="Q1235">
        <v>106.25</v>
      </c>
      <c r="R1235">
        <v>85</v>
      </c>
      <c r="S1235">
        <v>127.5</v>
      </c>
      <c r="T1235" t="s">
        <v>6699</v>
      </c>
    </row>
    <row r="1236" spans="1:20">
      <c r="A1236">
        <v>685671</v>
      </c>
      <c r="B1236" t="s">
        <v>6700</v>
      </c>
      <c r="C1236" t="str">
        <f>"9780889203242"</f>
        <v>9780889203242</v>
      </c>
      <c r="D1236" t="str">
        <f>"9780889207769"</f>
        <v>9780889207769</v>
      </c>
      <c r="E1236" t="s">
        <v>6047</v>
      </c>
      <c r="F1236" t="s">
        <v>6047</v>
      </c>
      <c r="G1236" s="1">
        <v>38718</v>
      </c>
      <c r="J1236" t="s">
        <v>6701</v>
      </c>
      <c r="K1236" t="s">
        <v>291</v>
      </c>
      <c r="L1236" t="s">
        <v>6702</v>
      </c>
      <c r="M1236">
        <v>932</v>
      </c>
      <c r="N1236" t="s">
        <v>6703</v>
      </c>
      <c r="O1236" t="s">
        <v>26</v>
      </c>
      <c r="P1236">
        <v>85</v>
      </c>
      <c r="Q1236">
        <v>106.25</v>
      </c>
      <c r="R1236">
        <v>85</v>
      </c>
      <c r="S1236">
        <v>127.5</v>
      </c>
      <c r="T1236" t="s">
        <v>6704</v>
      </c>
    </row>
    <row r="1237" spans="1:20">
      <c r="A1237">
        <v>685676</v>
      </c>
      <c r="B1237" t="s">
        <v>6705</v>
      </c>
      <c r="C1237" t="str">
        <f>"9780889201491"</f>
        <v>9780889201491</v>
      </c>
      <c r="D1237" t="str">
        <f>"9780889207691"</f>
        <v>9780889207691</v>
      </c>
      <c r="E1237" t="s">
        <v>6047</v>
      </c>
      <c r="F1237" t="s">
        <v>6047</v>
      </c>
      <c r="G1237" s="1">
        <v>38718</v>
      </c>
      <c r="I1237" t="s">
        <v>6085</v>
      </c>
      <c r="J1237" t="s">
        <v>6706</v>
      </c>
      <c r="K1237" t="s">
        <v>1892</v>
      </c>
      <c r="L1237" t="s">
        <v>6707</v>
      </c>
      <c r="M1237">
        <v>200</v>
      </c>
      <c r="N1237" t="s">
        <v>6708</v>
      </c>
      <c r="O1237" t="s">
        <v>26</v>
      </c>
      <c r="P1237">
        <v>85</v>
      </c>
      <c r="Q1237">
        <v>106.25</v>
      </c>
      <c r="R1237">
        <v>85</v>
      </c>
      <c r="S1237">
        <v>127.5</v>
      </c>
      <c r="T1237" t="s">
        <v>6709</v>
      </c>
    </row>
    <row r="1238" spans="1:20">
      <c r="A1238">
        <v>685679</v>
      </c>
      <c r="B1238" t="s">
        <v>6710</v>
      </c>
      <c r="C1238" t="str">
        <f>"9780889202245"</f>
        <v>9780889202245</v>
      </c>
      <c r="D1238" t="str">
        <f>"9780889207684"</f>
        <v>9780889207684</v>
      </c>
      <c r="E1238" t="s">
        <v>6047</v>
      </c>
      <c r="F1238" t="s">
        <v>6047</v>
      </c>
      <c r="G1238" s="1">
        <v>38718</v>
      </c>
      <c r="J1238" t="s">
        <v>6711</v>
      </c>
      <c r="K1238" t="s">
        <v>1892</v>
      </c>
      <c r="L1238" t="s">
        <v>6712</v>
      </c>
      <c r="M1238" t="s">
        <v>6713</v>
      </c>
      <c r="N1238" t="s">
        <v>6714</v>
      </c>
      <c r="O1238" t="s">
        <v>26</v>
      </c>
      <c r="P1238">
        <v>85</v>
      </c>
      <c r="Q1238">
        <v>106.25</v>
      </c>
      <c r="R1238">
        <v>85</v>
      </c>
      <c r="S1238">
        <v>127.5</v>
      </c>
      <c r="T1238" t="s">
        <v>6715</v>
      </c>
    </row>
    <row r="1239" spans="1:20">
      <c r="A1239">
        <v>685680</v>
      </c>
      <c r="B1239" t="s">
        <v>6716</v>
      </c>
      <c r="C1239" t="str">
        <f>"9781554580033"</f>
        <v>9781554580033</v>
      </c>
      <c r="D1239" t="str">
        <f>"9781554581009"</f>
        <v>9781554581009</v>
      </c>
      <c r="E1239" t="s">
        <v>6047</v>
      </c>
      <c r="F1239" t="s">
        <v>6047</v>
      </c>
      <c r="G1239" s="1">
        <v>39248</v>
      </c>
      <c r="I1239" t="s">
        <v>6152</v>
      </c>
      <c r="J1239" t="s">
        <v>6717</v>
      </c>
      <c r="K1239" t="s">
        <v>473</v>
      </c>
      <c r="L1239" t="s">
        <v>6718</v>
      </c>
      <c r="M1239" t="s">
        <v>6719</v>
      </c>
      <c r="N1239" t="s">
        <v>6336</v>
      </c>
      <c r="O1239" t="s">
        <v>26</v>
      </c>
      <c r="P1239">
        <v>85</v>
      </c>
      <c r="Q1239">
        <v>106.25</v>
      </c>
      <c r="R1239">
        <v>85</v>
      </c>
      <c r="S1239">
        <v>127.5</v>
      </c>
      <c r="T1239" t="s">
        <v>6720</v>
      </c>
    </row>
    <row r="1240" spans="1:20">
      <c r="A1240">
        <v>685684</v>
      </c>
      <c r="B1240" t="s">
        <v>6721</v>
      </c>
      <c r="C1240" t="str">
        <f>"9781554585021"</f>
        <v>9781554585021</v>
      </c>
      <c r="D1240" t="str">
        <f>"9780889207653"</f>
        <v>9780889207653</v>
      </c>
      <c r="E1240" t="s">
        <v>6047</v>
      </c>
      <c r="F1240" t="s">
        <v>6047</v>
      </c>
      <c r="G1240" s="1">
        <v>38718</v>
      </c>
      <c r="J1240" t="s">
        <v>6722</v>
      </c>
      <c r="K1240" t="s">
        <v>1464</v>
      </c>
      <c r="L1240" t="s">
        <v>6723</v>
      </c>
      <c r="M1240" t="s">
        <v>6724</v>
      </c>
      <c r="N1240" t="s">
        <v>6725</v>
      </c>
      <c r="O1240" t="s">
        <v>26</v>
      </c>
      <c r="P1240">
        <v>85</v>
      </c>
      <c r="Q1240">
        <v>106.25</v>
      </c>
      <c r="R1240">
        <v>85</v>
      </c>
      <c r="S1240">
        <v>127.5</v>
      </c>
      <c r="T1240" t="s">
        <v>6726</v>
      </c>
    </row>
    <row r="1241" spans="1:20">
      <c r="A1241">
        <v>685685</v>
      </c>
      <c r="B1241" t="s">
        <v>6727</v>
      </c>
      <c r="C1241" t="str">
        <f>"9780889202078"</f>
        <v>9780889202078</v>
      </c>
      <c r="D1241" t="str">
        <f>"9780889207639"</f>
        <v>9780889207639</v>
      </c>
      <c r="E1241" t="s">
        <v>6047</v>
      </c>
      <c r="F1241" t="s">
        <v>6047</v>
      </c>
      <c r="G1241" s="1">
        <v>38718</v>
      </c>
      <c r="I1241" t="s">
        <v>6098</v>
      </c>
      <c r="K1241" t="s">
        <v>1892</v>
      </c>
      <c r="L1241" t="s">
        <v>6728</v>
      </c>
      <c r="M1241">
        <v>200</v>
      </c>
      <c r="N1241" t="s">
        <v>6729</v>
      </c>
      <c r="O1241" t="s">
        <v>26</v>
      </c>
      <c r="P1241">
        <v>85</v>
      </c>
      <c r="Q1241">
        <v>106.25</v>
      </c>
      <c r="R1241">
        <v>85</v>
      </c>
      <c r="S1241">
        <v>127.5</v>
      </c>
      <c r="T1241" t="s">
        <v>6730</v>
      </c>
    </row>
    <row r="1242" spans="1:20">
      <c r="A1242">
        <v>685687</v>
      </c>
      <c r="B1242" t="s">
        <v>6731</v>
      </c>
      <c r="C1242" t="str">
        <f>"9780889209770"</f>
        <v>9780889209770</v>
      </c>
      <c r="D1242" t="str">
        <f>"9780889207608"</f>
        <v>9780889207608</v>
      </c>
      <c r="E1242" t="s">
        <v>6047</v>
      </c>
      <c r="F1242" t="s">
        <v>6047</v>
      </c>
      <c r="G1242" s="1">
        <v>38718</v>
      </c>
      <c r="J1242" t="s">
        <v>6732</v>
      </c>
      <c r="K1242" t="s">
        <v>1892</v>
      </c>
      <c r="L1242" t="s">
        <v>6733</v>
      </c>
      <c r="M1242" t="s">
        <v>6734</v>
      </c>
      <c r="N1242" t="s">
        <v>6735</v>
      </c>
      <c r="O1242" t="s">
        <v>26</v>
      </c>
      <c r="P1242">
        <v>85</v>
      </c>
      <c r="Q1242">
        <v>106.25</v>
      </c>
      <c r="R1242">
        <v>85</v>
      </c>
      <c r="S1242">
        <v>127.5</v>
      </c>
      <c r="T1242" t="s">
        <v>6736</v>
      </c>
    </row>
    <row r="1243" spans="1:20">
      <c r="A1243">
        <v>685688</v>
      </c>
      <c r="B1243" t="s">
        <v>6737</v>
      </c>
      <c r="C1243" t="str">
        <f>"9780889202184"</f>
        <v>9780889202184</v>
      </c>
      <c r="D1243" t="str">
        <f>"9780889207615"</f>
        <v>9780889207615</v>
      </c>
      <c r="E1243" t="s">
        <v>6047</v>
      </c>
      <c r="F1243" t="s">
        <v>6047</v>
      </c>
      <c r="G1243" s="1">
        <v>40077</v>
      </c>
      <c r="J1243" t="s">
        <v>6732</v>
      </c>
      <c r="K1243" t="s">
        <v>1892</v>
      </c>
      <c r="L1243" t="s">
        <v>6738</v>
      </c>
      <c r="M1243" t="s">
        <v>6734</v>
      </c>
      <c r="N1243" t="s">
        <v>6735</v>
      </c>
      <c r="O1243" t="s">
        <v>26</v>
      </c>
      <c r="P1243">
        <v>85</v>
      </c>
      <c r="Q1243">
        <v>106.25</v>
      </c>
      <c r="R1243">
        <v>85</v>
      </c>
      <c r="S1243">
        <v>127.5</v>
      </c>
      <c r="T1243" t="s">
        <v>6739</v>
      </c>
    </row>
    <row r="1244" spans="1:20">
      <c r="A1244">
        <v>685690</v>
      </c>
      <c r="B1244" t="s">
        <v>6740</v>
      </c>
      <c r="C1244" t="str">
        <f>"9780889209732"</f>
        <v>9780889209732</v>
      </c>
      <c r="D1244" t="str">
        <f>"9780889207585"</f>
        <v>9780889207585</v>
      </c>
      <c r="E1244" t="s">
        <v>6047</v>
      </c>
      <c r="F1244" t="s">
        <v>6047</v>
      </c>
      <c r="G1244" s="1">
        <v>38718</v>
      </c>
      <c r="J1244" t="s">
        <v>6741</v>
      </c>
      <c r="K1244" t="s">
        <v>291</v>
      </c>
      <c r="L1244" t="s">
        <v>6742</v>
      </c>
      <c r="M1244" t="s">
        <v>6743</v>
      </c>
      <c r="N1244" t="s">
        <v>6744</v>
      </c>
      <c r="O1244" t="s">
        <v>26</v>
      </c>
      <c r="P1244">
        <v>85</v>
      </c>
      <c r="Q1244">
        <v>106.25</v>
      </c>
      <c r="R1244">
        <v>85</v>
      </c>
      <c r="S1244">
        <v>127.5</v>
      </c>
      <c r="T1244" t="s">
        <v>6745</v>
      </c>
    </row>
    <row r="1245" spans="1:20">
      <c r="A1245">
        <v>685691</v>
      </c>
      <c r="B1245" t="s">
        <v>6746</v>
      </c>
      <c r="C1245" t="str">
        <f>"9781554580057"</f>
        <v>9781554580057</v>
      </c>
      <c r="D1245" t="str">
        <f>"9781554581016"</f>
        <v>9781554581016</v>
      </c>
      <c r="E1245" t="s">
        <v>6047</v>
      </c>
      <c r="F1245" t="s">
        <v>6047</v>
      </c>
      <c r="G1245" s="1">
        <v>39335</v>
      </c>
      <c r="I1245" t="s">
        <v>6061</v>
      </c>
      <c r="J1245" t="s">
        <v>6747</v>
      </c>
      <c r="K1245" t="s">
        <v>1464</v>
      </c>
      <c r="L1245" t="s">
        <v>6748</v>
      </c>
      <c r="N1245" t="s">
        <v>6749</v>
      </c>
      <c r="O1245" t="s">
        <v>26</v>
      </c>
      <c r="P1245">
        <v>85</v>
      </c>
      <c r="Q1245">
        <v>106.25</v>
      </c>
      <c r="R1245">
        <v>85</v>
      </c>
      <c r="S1245">
        <v>127.5</v>
      </c>
      <c r="T1245" t="s">
        <v>6750</v>
      </c>
    </row>
    <row r="1246" spans="1:20">
      <c r="A1246">
        <v>685693</v>
      </c>
      <c r="B1246" t="s">
        <v>6751</v>
      </c>
      <c r="C1246" t="str">
        <f>"9780889201323"</f>
        <v>9780889201323</v>
      </c>
      <c r="D1246" t="str">
        <f>"9780889207561"</f>
        <v>9780889207561</v>
      </c>
      <c r="E1246" t="s">
        <v>6047</v>
      </c>
      <c r="F1246" t="s">
        <v>6047</v>
      </c>
      <c r="G1246" s="1">
        <v>40162</v>
      </c>
      <c r="J1246" t="s">
        <v>6752</v>
      </c>
      <c r="K1246" t="s">
        <v>1892</v>
      </c>
      <c r="L1246" t="s">
        <v>6753</v>
      </c>
      <c r="M1246" t="s">
        <v>6754</v>
      </c>
      <c r="N1246" t="s">
        <v>6755</v>
      </c>
      <c r="O1246" t="s">
        <v>26</v>
      </c>
      <c r="P1246">
        <v>85</v>
      </c>
      <c r="Q1246">
        <v>106.25</v>
      </c>
      <c r="R1246">
        <v>85</v>
      </c>
      <c r="S1246">
        <v>127.5</v>
      </c>
      <c r="T1246" t="s">
        <v>6756</v>
      </c>
    </row>
    <row r="1247" spans="1:20">
      <c r="A1247">
        <v>685695</v>
      </c>
      <c r="B1247" t="s">
        <v>6757</v>
      </c>
      <c r="C1247" t="str">
        <f>"9780889201804"</f>
        <v>9780889201804</v>
      </c>
      <c r="D1247" t="str">
        <f>"9780889207547"</f>
        <v>9780889207547</v>
      </c>
      <c r="E1247" t="s">
        <v>6047</v>
      </c>
      <c r="F1247" t="s">
        <v>6047</v>
      </c>
      <c r="G1247" s="1">
        <v>38718</v>
      </c>
      <c r="I1247" t="s">
        <v>6048</v>
      </c>
      <c r="J1247" t="s">
        <v>6758</v>
      </c>
      <c r="K1247" t="s">
        <v>1892</v>
      </c>
      <c r="L1247" t="s">
        <v>6759</v>
      </c>
      <c r="M1247" t="s">
        <v>6760</v>
      </c>
      <c r="N1247" t="s">
        <v>6761</v>
      </c>
      <c r="O1247" t="s">
        <v>26</v>
      </c>
      <c r="P1247">
        <v>85</v>
      </c>
      <c r="Q1247">
        <v>106.25</v>
      </c>
      <c r="R1247">
        <v>85</v>
      </c>
      <c r="S1247">
        <v>127.5</v>
      </c>
      <c r="T1247" t="s">
        <v>6762</v>
      </c>
    </row>
    <row r="1248" spans="1:20">
      <c r="A1248">
        <v>685698</v>
      </c>
      <c r="B1248" t="s">
        <v>6763</v>
      </c>
      <c r="C1248" t="str">
        <f>"9781554580439"</f>
        <v>9781554580439</v>
      </c>
      <c r="D1248" t="str">
        <f>"9781554582815"</f>
        <v>9781554582815</v>
      </c>
      <c r="E1248" t="s">
        <v>6047</v>
      </c>
      <c r="F1248" t="s">
        <v>6047</v>
      </c>
      <c r="G1248" s="1">
        <v>39731</v>
      </c>
      <c r="J1248" t="s">
        <v>6764</v>
      </c>
      <c r="K1248" t="s">
        <v>1464</v>
      </c>
      <c r="L1248" t="s">
        <v>6765</v>
      </c>
      <c r="M1248">
        <v>823.91399999999999</v>
      </c>
      <c r="N1248" t="s">
        <v>6766</v>
      </c>
      <c r="O1248" t="s">
        <v>26</v>
      </c>
      <c r="P1248">
        <v>85</v>
      </c>
      <c r="Q1248">
        <v>106.25</v>
      </c>
      <c r="R1248">
        <v>85</v>
      </c>
      <c r="S1248">
        <v>127.5</v>
      </c>
      <c r="T1248" t="s">
        <v>6767</v>
      </c>
    </row>
    <row r="1249" spans="1:20">
      <c r="A1249">
        <v>685700</v>
      </c>
      <c r="B1249" t="s">
        <v>6768</v>
      </c>
      <c r="C1249" t="str">
        <f>"9780889202535"</f>
        <v>9780889202535</v>
      </c>
      <c r="D1249" t="str">
        <f>"9780889207509"</f>
        <v>9780889207509</v>
      </c>
      <c r="E1249" t="s">
        <v>6047</v>
      </c>
      <c r="F1249" t="s">
        <v>6047</v>
      </c>
      <c r="G1249" s="1">
        <v>38718</v>
      </c>
      <c r="J1249" t="s">
        <v>6769</v>
      </c>
      <c r="K1249" t="s">
        <v>1892</v>
      </c>
      <c r="L1249" t="s">
        <v>6770</v>
      </c>
      <c r="M1249" t="s">
        <v>6771</v>
      </c>
      <c r="N1249" t="s">
        <v>6772</v>
      </c>
      <c r="O1249" t="s">
        <v>26</v>
      </c>
      <c r="P1249">
        <v>85</v>
      </c>
      <c r="Q1249">
        <v>106.25</v>
      </c>
      <c r="R1249">
        <v>85</v>
      </c>
      <c r="S1249">
        <v>127.5</v>
      </c>
      <c r="T1249" t="s">
        <v>6773</v>
      </c>
    </row>
    <row r="1250" spans="1:20">
      <c r="A1250">
        <v>685701</v>
      </c>
      <c r="B1250" t="s">
        <v>6774</v>
      </c>
      <c r="C1250" t="str">
        <f>"9781554580446"</f>
        <v>9781554580446</v>
      </c>
      <c r="D1250" t="str">
        <f>"9781554582822"</f>
        <v>9781554582822</v>
      </c>
      <c r="E1250" t="s">
        <v>6047</v>
      </c>
      <c r="F1250" t="s">
        <v>6047</v>
      </c>
      <c r="G1250" s="1">
        <v>39757</v>
      </c>
      <c r="I1250" t="s">
        <v>6116</v>
      </c>
      <c r="J1250" t="s">
        <v>6775</v>
      </c>
      <c r="K1250" t="s">
        <v>1892</v>
      </c>
      <c r="L1250" t="s">
        <v>6776</v>
      </c>
      <c r="M1250">
        <v>229.94</v>
      </c>
      <c r="N1250" t="s">
        <v>6777</v>
      </c>
      <c r="O1250" t="s">
        <v>26</v>
      </c>
      <c r="P1250">
        <v>85</v>
      </c>
      <c r="Q1250">
        <v>106.25</v>
      </c>
      <c r="R1250">
        <v>85</v>
      </c>
      <c r="S1250">
        <v>127.5</v>
      </c>
      <c r="T1250" t="s">
        <v>6778</v>
      </c>
    </row>
    <row r="1251" spans="1:20">
      <c r="A1251">
        <v>685703</v>
      </c>
      <c r="B1251" t="s">
        <v>6779</v>
      </c>
      <c r="C1251" t="str">
        <f>"9780889205130"</f>
        <v>9780889205130</v>
      </c>
      <c r="D1251" t="str">
        <f>"9781554581030"</f>
        <v>9781554581030</v>
      </c>
      <c r="E1251" t="s">
        <v>6047</v>
      </c>
      <c r="F1251" t="s">
        <v>6047</v>
      </c>
      <c r="G1251" s="1">
        <v>39394</v>
      </c>
      <c r="I1251" t="s">
        <v>6780</v>
      </c>
      <c r="J1251" t="s">
        <v>6781</v>
      </c>
      <c r="K1251" t="s">
        <v>1464</v>
      </c>
      <c r="L1251" t="s">
        <v>6782</v>
      </c>
      <c r="M1251" t="s">
        <v>6783</v>
      </c>
      <c r="N1251" t="s">
        <v>6784</v>
      </c>
      <c r="O1251" t="s">
        <v>26</v>
      </c>
      <c r="P1251">
        <v>85</v>
      </c>
      <c r="Q1251">
        <v>106.25</v>
      </c>
      <c r="R1251">
        <v>85</v>
      </c>
      <c r="S1251">
        <v>127.5</v>
      </c>
      <c r="T1251" t="s">
        <v>6785</v>
      </c>
    </row>
    <row r="1252" spans="1:20">
      <c r="A1252">
        <v>685704</v>
      </c>
      <c r="B1252" t="s">
        <v>6786</v>
      </c>
      <c r="C1252" t="str">
        <f>"9780889203983"</f>
        <v>9780889203983</v>
      </c>
      <c r="D1252" t="str">
        <f>"9780889207493"</f>
        <v>9780889207493</v>
      </c>
      <c r="E1252" t="s">
        <v>6047</v>
      </c>
      <c r="F1252" t="s">
        <v>6047</v>
      </c>
      <c r="G1252" s="1">
        <v>38718</v>
      </c>
      <c r="J1252" t="s">
        <v>6787</v>
      </c>
      <c r="K1252" t="s">
        <v>1464</v>
      </c>
      <c r="L1252" t="s">
        <v>6788</v>
      </c>
      <c r="M1252" t="s">
        <v>6789</v>
      </c>
      <c r="N1252" t="s">
        <v>6790</v>
      </c>
      <c r="O1252" t="s">
        <v>26</v>
      </c>
      <c r="P1252">
        <v>85</v>
      </c>
      <c r="Q1252">
        <v>106.25</v>
      </c>
      <c r="R1252">
        <v>85</v>
      </c>
      <c r="S1252">
        <v>127.5</v>
      </c>
      <c r="T1252" t="s">
        <v>6791</v>
      </c>
    </row>
    <row r="1253" spans="1:20">
      <c r="A1253">
        <v>685708</v>
      </c>
      <c r="B1253" t="s">
        <v>6792</v>
      </c>
      <c r="C1253" t="str">
        <f>"9780889203990"</f>
        <v>9780889203990</v>
      </c>
      <c r="D1253" t="str">
        <f>"9780889207479"</f>
        <v>9780889207479</v>
      </c>
      <c r="E1253" t="s">
        <v>6047</v>
      </c>
      <c r="F1253" t="s">
        <v>6047</v>
      </c>
      <c r="G1253" s="1">
        <v>38718</v>
      </c>
      <c r="J1253" t="s">
        <v>6793</v>
      </c>
      <c r="K1253" t="s">
        <v>1471</v>
      </c>
      <c r="L1253" t="s">
        <v>6794</v>
      </c>
      <c r="M1253" t="s">
        <v>6795</v>
      </c>
      <c r="N1253" t="s">
        <v>6796</v>
      </c>
      <c r="O1253" t="s">
        <v>26</v>
      </c>
      <c r="P1253">
        <v>85</v>
      </c>
      <c r="Q1253">
        <v>106.25</v>
      </c>
      <c r="R1253">
        <v>85</v>
      </c>
      <c r="S1253">
        <v>127.5</v>
      </c>
      <c r="T1253" t="s">
        <v>6797</v>
      </c>
    </row>
    <row r="1254" spans="1:20">
      <c r="A1254">
        <v>685709</v>
      </c>
      <c r="B1254" t="s">
        <v>6798</v>
      </c>
      <c r="C1254" t="str">
        <f>"9780889203464"</f>
        <v>9780889203464</v>
      </c>
      <c r="D1254" t="str">
        <f>"9780889205475"</f>
        <v>9780889205475</v>
      </c>
      <c r="E1254" t="s">
        <v>6047</v>
      </c>
      <c r="F1254" t="s">
        <v>6047</v>
      </c>
      <c r="G1254" s="1">
        <v>38718</v>
      </c>
      <c r="J1254" t="s">
        <v>6799</v>
      </c>
      <c r="K1254" t="s">
        <v>263</v>
      </c>
      <c r="L1254" t="s">
        <v>6800</v>
      </c>
      <c r="M1254">
        <v>306.88</v>
      </c>
      <c r="N1254" t="s">
        <v>6801</v>
      </c>
      <c r="O1254" t="s">
        <v>26</v>
      </c>
      <c r="P1254">
        <v>85</v>
      </c>
      <c r="Q1254">
        <v>106.25</v>
      </c>
      <c r="R1254">
        <v>85</v>
      </c>
      <c r="S1254">
        <v>127.5</v>
      </c>
      <c r="T1254" t="s">
        <v>6802</v>
      </c>
    </row>
    <row r="1255" spans="1:20">
      <c r="A1255">
        <v>685712</v>
      </c>
      <c r="B1255" t="s">
        <v>6803</v>
      </c>
      <c r="C1255" t="str">
        <f>"9781554581535"</f>
        <v>9781554581535</v>
      </c>
      <c r="D1255" t="str">
        <f>"9781554581672"</f>
        <v>9781554581672</v>
      </c>
      <c r="E1255" t="s">
        <v>6047</v>
      </c>
      <c r="F1255" t="s">
        <v>6047</v>
      </c>
      <c r="G1255" s="1">
        <v>40064</v>
      </c>
      <c r="I1255" t="s">
        <v>6804</v>
      </c>
      <c r="J1255" t="s">
        <v>6805</v>
      </c>
      <c r="K1255" t="s">
        <v>6806</v>
      </c>
      <c r="L1255" t="s">
        <v>6807</v>
      </c>
      <c r="M1255" t="s">
        <v>6808</v>
      </c>
      <c r="N1255" t="s">
        <v>6809</v>
      </c>
      <c r="O1255" t="s">
        <v>26</v>
      </c>
      <c r="P1255">
        <v>85</v>
      </c>
      <c r="Q1255">
        <v>106.25</v>
      </c>
      <c r="R1255">
        <v>85</v>
      </c>
      <c r="S1255">
        <v>127.5</v>
      </c>
      <c r="T1255" t="s">
        <v>6810</v>
      </c>
    </row>
    <row r="1256" spans="1:20">
      <c r="A1256">
        <v>685713</v>
      </c>
      <c r="B1256" t="s">
        <v>6811</v>
      </c>
      <c r="C1256" t="str">
        <f>"9780889202443"</f>
        <v>9780889202443</v>
      </c>
      <c r="D1256" t="str">
        <f>"9780889207448"</f>
        <v>9780889207448</v>
      </c>
      <c r="E1256" t="s">
        <v>6047</v>
      </c>
      <c r="F1256" t="s">
        <v>6047</v>
      </c>
      <c r="G1256" s="1">
        <v>38718</v>
      </c>
      <c r="J1256" t="s">
        <v>6812</v>
      </c>
      <c r="K1256" t="s">
        <v>6813</v>
      </c>
      <c r="L1256" t="s">
        <v>6814</v>
      </c>
      <c r="M1256" t="s">
        <v>6815</v>
      </c>
      <c r="N1256" t="s">
        <v>6816</v>
      </c>
      <c r="O1256" t="s">
        <v>26</v>
      </c>
      <c r="P1256">
        <v>85</v>
      </c>
      <c r="Q1256">
        <v>106.25</v>
      </c>
      <c r="R1256">
        <v>85</v>
      </c>
      <c r="S1256">
        <v>127.5</v>
      </c>
      <c r="T1256" t="s">
        <v>6817</v>
      </c>
    </row>
    <row r="1257" spans="1:20">
      <c r="A1257">
        <v>685718</v>
      </c>
      <c r="B1257" t="s">
        <v>6818</v>
      </c>
      <c r="C1257" t="str">
        <f>"9780889204072"</f>
        <v>9780889204072</v>
      </c>
      <c r="D1257" t="str">
        <f>"9780889207400"</f>
        <v>9780889207400</v>
      </c>
      <c r="E1257" t="s">
        <v>6047</v>
      </c>
      <c r="F1257" t="s">
        <v>6047</v>
      </c>
      <c r="G1257" s="1">
        <v>38718</v>
      </c>
      <c r="I1257" t="s">
        <v>6061</v>
      </c>
      <c r="J1257" t="s">
        <v>6819</v>
      </c>
      <c r="K1257" t="s">
        <v>76</v>
      </c>
      <c r="L1257" t="s">
        <v>6820</v>
      </c>
      <c r="M1257" t="s">
        <v>6821</v>
      </c>
      <c r="N1257" t="s">
        <v>6822</v>
      </c>
      <c r="O1257" t="s">
        <v>26</v>
      </c>
      <c r="P1257">
        <v>85</v>
      </c>
      <c r="Q1257">
        <v>106.25</v>
      </c>
      <c r="R1257">
        <v>85</v>
      </c>
      <c r="S1257">
        <v>127.5</v>
      </c>
      <c r="T1257" t="s">
        <v>6823</v>
      </c>
    </row>
    <row r="1258" spans="1:20">
      <c r="A1258">
        <v>685719</v>
      </c>
      <c r="B1258" t="s">
        <v>6824</v>
      </c>
      <c r="C1258" t="str">
        <f>"9780889203921"</f>
        <v>9780889203921</v>
      </c>
      <c r="D1258" t="str">
        <f>"9780889207394"</f>
        <v>9780889207394</v>
      </c>
      <c r="E1258" t="s">
        <v>6047</v>
      </c>
      <c r="F1258" t="s">
        <v>6825</v>
      </c>
      <c r="G1258" s="1">
        <v>37622</v>
      </c>
      <c r="J1258" t="s">
        <v>6826</v>
      </c>
      <c r="K1258" t="s">
        <v>263</v>
      </c>
      <c r="L1258" t="s">
        <v>6827</v>
      </c>
      <c r="M1258" t="s">
        <v>6828</v>
      </c>
      <c r="N1258" t="s">
        <v>6829</v>
      </c>
      <c r="O1258" t="s">
        <v>26</v>
      </c>
      <c r="P1258">
        <v>85</v>
      </c>
      <c r="Q1258">
        <v>106.25</v>
      </c>
      <c r="R1258">
        <v>85</v>
      </c>
      <c r="S1258">
        <v>127.5</v>
      </c>
      <c r="T1258" t="s">
        <v>6830</v>
      </c>
    </row>
    <row r="1259" spans="1:20">
      <c r="A1259">
        <v>685723</v>
      </c>
      <c r="B1259" t="s">
        <v>6831</v>
      </c>
      <c r="C1259" t="str">
        <f>"9780889209985"</f>
        <v>9780889209985</v>
      </c>
      <c r="D1259" t="str">
        <f>"9780889207363"</f>
        <v>9780889207363</v>
      </c>
      <c r="E1259" t="s">
        <v>6047</v>
      </c>
      <c r="F1259" t="s">
        <v>6047</v>
      </c>
      <c r="G1259" s="1">
        <v>38718</v>
      </c>
      <c r="J1259" t="s">
        <v>6832</v>
      </c>
      <c r="K1259" t="s">
        <v>291</v>
      </c>
      <c r="L1259" t="s">
        <v>6833</v>
      </c>
      <c r="M1259" t="s">
        <v>6834</v>
      </c>
      <c r="N1259" t="s">
        <v>6835</v>
      </c>
      <c r="O1259" t="s">
        <v>26</v>
      </c>
      <c r="P1259">
        <v>85</v>
      </c>
      <c r="Q1259">
        <v>106.25</v>
      </c>
      <c r="R1259">
        <v>85</v>
      </c>
      <c r="S1259">
        <v>127.5</v>
      </c>
      <c r="T1259" t="s">
        <v>6836</v>
      </c>
    </row>
    <row r="1260" spans="1:20">
      <c r="A1260">
        <v>685724</v>
      </c>
      <c r="B1260" t="s">
        <v>6837</v>
      </c>
      <c r="C1260" t="str">
        <f>"9780889204560"</f>
        <v>9780889204560</v>
      </c>
      <c r="D1260" t="str">
        <f>"9780889209350"</f>
        <v>9780889209350</v>
      </c>
      <c r="E1260" t="s">
        <v>6047</v>
      </c>
      <c r="F1260" t="s">
        <v>6047</v>
      </c>
      <c r="G1260" s="1">
        <v>38718</v>
      </c>
      <c r="J1260" t="s">
        <v>6838</v>
      </c>
      <c r="K1260" t="s">
        <v>291</v>
      </c>
      <c r="L1260" t="s">
        <v>6839</v>
      </c>
      <c r="M1260" t="s">
        <v>6840</v>
      </c>
      <c r="N1260" t="s">
        <v>6841</v>
      </c>
      <c r="O1260" t="s">
        <v>26</v>
      </c>
      <c r="P1260">
        <v>85</v>
      </c>
      <c r="Q1260">
        <v>106.25</v>
      </c>
      <c r="R1260">
        <v>85</v>
      </c>
      <c r="S1260">
        <v>127.5</v>
      </c>
      <c r="T1260" t="s">
        <v>6842</v>
      </c>
    </row>
    <row r="1261" spans="1:20">
      <c r="A1261">
        <v>685725</v>
      </c>
      <c r="B1261" t="s">
        <v>6843</v>
      </c>
      <c r="C1261" t="str">
        <f>"9780889201972"</f>
        <v>9780889201972</v>
      </c>
      <c r="D1261" t="str">
        <f>"9780889207349"</f>
        <v>9780889207349</v>
      </c>
      <c r="E1261" t="s">
        <v>6047</v>
      </c>
      <c r="F1261" t="s">
        <v>6047</v>
      </c>
      <c r="G1261" s="1">
        <v>38718</v>
      </c>
      <c r="J1261" t="s">
        <v>6844</v>
      </c>
      <c r="K1261" t="s">
        <v>376</v>
      </c>
      <c r="L1261" t="s">
        <v>6845</v>
      </c>
      <c r="M1261" t="s">
        <v>6846</v>
      </c>
      <c r="N1261" t="s">
        <v>6847</v>
      </c>
      <c r="O1261" t="s">
        <v>26</v>
      </c>
      <c r="P1261">
        <v>85</v>
      </c>
      <c r="Q1261">
        <v>106.25</v>
      </c>
      <c r="R1261">
        <v>85</v>
      </c>
      <c r="S1261">
        <v>127.5</v>
      </c>
      <c r="T1261" t="s">
        <v>6848</v>
      </c>
    </row>
    <row r="1262" spans="1:20">
      <c r="A1262">
        <v>685727</v>
      </c>
      <c r="B1262" t="s">
        <v>6849</v>
      </c>
      <c r="C1262" t="str">
        <f>"9781554580507"</f>
        <v>9781554580507</v>
      </c>
      <c r="D1262" t="str">
        <f>"9781554582853"</f>
        <v>9781554582853</v>
      </c>
      <c r="E1262" t="s">
        <v>6047</v>
      </c>
      <c r="F1262" t="s">
        <v>6047</v>
      </c>
      <c r="G1262" s="1">
        <v>39953</v>
      </c>
      <c r="I1262" t="s">
        <v>6152</v>
      </c>
      <c r="J1262" t="s">
        <v>6850</v>
      </c>
      <c r="K1262" t="s">
        <v>1471</v>
      </c>
      <c r="L1262" t="s">
        <v>6851</v>
      </c>
      <c r="M1262" t="s">
        <v>6852</v>
      </c>
      <c r="N1262" t="s">
        <v>6853</v>
      </c>
      <c r="O1262" t="s">
        <v>26</v>
      </c>
      <c r="P1262">
        <v>95</v>
      </c>
      <c r="Q1262">
        <v>118.75</v>
      </c>
      <c r="R1262">
        <v>95</v>
      </c>
      <c r="S1262">
        <v>142.5</v>
      </c>
      <c r="T1262" t="s">
        <v>6854</v>
      </c>
    </row>
    <row r="1263" spans="1:20">
      <c r="A1263">
        <v>685730</v>
      </c>
      <c r="B1263" t="s">
        <v>6855</v>
      </c>
      <c r="C1263" t="str">
        <f>"9780889204065"</f>
        <v>9780889204065</v>
      </c>
      <c r="D1263" t="str">
        <f>"9780889207318"</f>
        <v>9780889207318</v>
      </c>
      <c r="E1263" t="s">
        <v>6047</v>
      </c>
      <c r="F1263" t="s">
        <v>6047</v>
      </c>
      <c r="G1263" s="1">
        <v>38718</v>
      </c>
      <c r="I1263" t="s">
        <v>6152</v>
      </c>
      <c r="J1263" t="s">
        <v>6856</v>
      </c>
      <c r="K1263" t="s">
        <v>6857</v>
      </c>
      <c r="L1263" t="s">
        <v>6858</v>
      </c>
      <c r="M1263" t="s">
        <v>6859</v>
      </c>
      <c r="N1263" t="s">
        <v>6860</v>
      </c>
      <c r="O1263" t="s">
        <v>26</v>
      </c>
      <c r="P1263">
        <v>85</v>
      </c>
      <c r="Q1263">
        <v>106.25</v>
      </c>
      <c r="R1263">
        <v>85</v>
      </c>
      <c r="S1263">
        <v>127.5</v>
      </c>
      <c r="T1263" t="s">
        <v>6861</v>
      </c>
    </row>
    <row r="1264" spans="1:20">
      <c r="A1264">
        <v>685732</v>
      </c>
      <c r="B1264" t="s">
        <v>6862</v>
      </c>
      <c r="C1264" t="str">
        <f>"9780889204317"</f>
        <v>9780889204317</v>
      </c>
      <c r="D1264" t="str">
        <f>"9781554581047"</f>
        <v>9781554581047</v>
      </c>
      <c r="E1264" t="s">
        <v>6047</v>
      </c>
      <c r="F1264" t="s">
        <v>6047</v>
      </c>
      <c r="G1264" s="1">
        <v>38718</v>
      </c>
      <c r="I1264" t="s">
        <v>6061</v>
      </c>
      <c r="J1264" t="s">
        <v>6863</v>
      </c>
      <c r="K1264" t="s">
        <v>1464</v>
      </c>
      <c r="L1264" t="s">
        <v>6864</v>
      </c>
      <c r="M1264" t="s">
        <v>1693</v>
      </c>
      <c r="N1264" t="s">
        <v>6865</v>
      </c>
      <c r="O1264" t="s">
        <v>26</v>
      </c>
      <c r="P1264">
        <v>85</v>
      </c>
      <c r="Q1264">
        <v>106.25</v>
      </c>
      <c r="R1264">
        <v>85</v>
      </c>
      <c r="S1264">
        <v>127.5</v>
      </c>
      <c r="T1264" t="s">
        <v>6866</v>
      </c>
    </row>
    <row r="1265" spans="1:20">
      <c r="A1265">
        <v>685733</v>
      </c>
      <c r="B1265" t="s">
        <v>6867</v>
      </c>
      <c r="C1265" t="str">
        <f>"9780889202382"</f>
        <v>9780889202382</v>
      </c>
      <c r="D1265" t="str">
        <f>"9780889207264"</f>
        <v>9780889207264</v>
      </c>
      <c r="E1265" t="s">
        <v>6047</v>
      </c>
      <c r="F1265" t="s">
        <v>6047</v>
      </c>
      <c r="G1265" s="1">
        <v>38718</v>
      </c>
      <c r="I1265" t="s">
        <v>6116</v>
      </c>
      <c r="J1265" t="s">
        <v>6868</v>
      </c>
      <c r="K1265" t="s">
        <v>1892</v>
      </c>
      <c r="L1265" t="s">
        <v>6869</v>
      </c>
      <c r="M1265" t="s">
        <v>6870</v>
      </c>
      <c r="N1265" t="s">
        <v>6871</v>
      </c>
      <c r="O1265" t="s">
        <v>26</v>
      </c>
      <c r="P1265">
        <v>85</v>
      </c>
      <c r="Q1265">
        <v>106.25</v>
      </c>
      <c r="R1265">
        <v>85</v>
      </c>
      <c r="S1265">
        <v>127.5</v>
      </c>
      <c r="T1265" t="s">
        <v>6872</v>
      </c>
    </row>
    <row r="1266" spans="1:20">
      <c r="A1266">
        <v>685734</v>
      </c>
      <c r="B1266" t="s">
        <v>6873</v>
      </c>
      <c r="C1266" t="str">
        <f>"9780889209756"</f>
        <v>9780889209756</v>
      </c>
      <c r="D1266" t="str">
        <f>"9780889207271"</f>
        <v>9780889207271</v>
      </c>
      <c r="E1266" t="s">
        <v>6047</v>
      </c>
      <c r="F1266" t="s">
        <v>6047</v>
      </c>
      <c r="G1266" s="1">
        <v>38718</v>
      </c>
      <c r="I1266" t="s">
        <v>6116</v>
      </c>
      <c r="J1266" t="s">
        <v>6868</v>
      </c>
      <c r="K1266" t="s">
        <v>1892</v>
      </c>
      <c r="L1266" t="s">
        <v>6874</v>
      </c>
      <c r="M1266" t="s">
        <v>6875</v>
      </c>
      <c r="N1266" t="s">
        <v>6876</v>
      </c>
      <c r="O1266" t="s">
        <v>26</v>
      </c>
      <c r="P1266">
        <v>85</v>
      </c>
      <c r="Q1266">
        <v>106.25</v>
      </c>
      <c r="R1266">
        <v>85</v>
      </c>
      <c r="S1266">
        <v>127.5</v>
      </c>
      <c r="T1266" t="s">
        <v>6877</v>
      </c>
    </row>
    <row r="1267" spans="1:20">
      <c r="A1267">
        <v>685736</v>
      </c>
      <c r="B1267" t="s">
        <v>6878</v>
      </c>
      <c r="C1267" t="str">
        <f>"9780889203754"</f>
        <v>9780889203754</v>
      </c>
      <c r="D1267" t="str">
        <f>"9780889207295"</f>
        <v>9780889207295</v>
      </c>
      <c r="E1267" t="s">
        <v>6047</v>
      </c>
      <c r="F1267" t="s">
        <v>6047</v>
      </c>
      <c r="G1267" s="1">
        <v>38718</v>
      </c>
      <c r="I1267" t="s">
        <v>6116</v>
      </c>
      <c r="J1267" t="s">
        <v>6868</v>
      </c>
      <c r="K1267" t="s">
        <v>1892</v>
      </c>
      <c r="L1267" t="s">
        <v>6879</v>
      </c>
      <c r="M1267" t="s">
        <v>6880</v>
      </c>
      <c r="N1267" t="s">
        <v>6881</v>
      </c>
      <c r="O1267" t="s">
        <v>26</v>
      </c>
      <c r="P1267">
        <v>85</v>
      </c>
      <c r="Q1267">
        <v>106.25</v>
      </c>
      <c r="R1267">
        <v>85</v>
      </c>
      <c r="S1267">
        <v>127.5</v>
      </c>
      <c r="T1267" t="s">
        <v>6882</v>
      </c>
    </row>
    <row r="1268" spans="1:20">
      <c r="A1268">
        <v>685740</v>
      </c>
      <c r="B1268" t="s">
        <v>6883</v>
      </c>
      <c r="C1268" t="str">
        <f>"9780889203730"</f>
        <v>9780889203730</v>
      </c>
      <c r="D1268" t="str">
        <f>"9780889209404"</f>
        <v>9780889209404</v>
      </c>
      <c r="E1268" t="s">
        <v>6047</v>
      </c>
      <c r="F1268" t="s">
        <v>6047</v>
      </c>
      <c r="G1268" s="1">
        <v>38718</v>
      </c>
      <c r="I1268" t="s">
        <v>6152</v>
      </c>
      <c r="J1268" t="s">
        <v>6884</v>
      </c>
      <c r="K1268" t="s">
        <v>291</v>
      </c>
      <c r="L1268" t="s">
        <v>6885</v>
      </c>
      <c r="M1268" t="s">
        <v>6886</v>
      </c>
      <c r="N1268" t="s">
        <v>6887</v>
      </c>
      <c r="O1268" t="s">
        <v>26</v>
      </c>
      <c r="P1268">
        <v>85</v>
      </c>
      <c r="Q1268">
        <v>106.25</v>
      </c>
      <c r="R1268">
        <v>85</v>
      </c>
      <c r="S1268">
        <v>127.5</v>
      </c>
      <c r="T1268" t="s">
        <v>6888</v>
      </c>
    </row>
    <row r="1269" spans="1:20">
      <c r="A1269">
        <v>685743</v>
      </c>
      <c r="B1269" t="s">
        <v>6889</v>
      </c>
      <c r="C1269" t="str">
        <f>"9781554580194"</f>
        <v>9781554580194</v>
      </c>
      <c r="D1269" t="str">
        <f>"9781554581061"</f>
        <v>9781554581061</v>
      </c>
      <c r="E1269" t="s">
        <v>6047</v>
      </c>
      <c r="F1269" t="s">
        <v>6047</v>
      </c>
      <c r="G1269" s="1">
        <v>39402</v>
      </c>
      <c r="J1269" t="s">
        <v>6890</v>
      </c>
      <c r="K1269" t="s">
        <v>1464</v>
      </c>
      <c r="L1269" t="s">
        <v>6891</v>
      </c>
      <c r="M1269">
        <v>811.54</v>
      </c>
      <c r="N1269" t="s">
        <v>6892</v>
      </c>
      <c r="O1269" t="s">
        <v>26</v>
      </c>
      <c r="P1269">
        <v>85</v>
      </c>
      <c r="Q1269">
        <v>106.25</v>
      </c>
      <c r="R1269">
        <v>85</v>
      </c>
      <c r="S1269">
        <v>127.5</v>
      </c>
      <c r="T1269" t="s">
        <v>6893</v>
      </c>
    </row>
    <row r="1270" spans="1:20">
      <c r="A1270">
        <v>685744</v>
      </c>
      <c r="B1270" t="s">
        <v>6894</v>
      </c>
      <c r="C1270" t="str">
        <f>"9780889203860"</f>
        <v>9780889203860</v>
      </c>
      <c r="D1270" t="str">
        <f>"9780889207202"</f>
        <v>9780889207202</v>
      </c>
      <c r="E1270" t="s">
        <v>6047</v>
      </c>
      <c r="F1270" t="s">
        <v>6047</v>
      </c>
      <c r="G1270" s="1">
        <v>38718</v>
      </c>
      <c r="I1270" t="s">
        <v>6152</v>
      </c>
      <c r="J1270" t="s">
        <v>6895</v>
      </c>
      <c r="K1270" t="s">
        <v>2759</v>
      </c>
      <c r="L1270" t="s">
        <v>6896</v>
      </c>
      <c r="M1270" t="s">
        <v>6897</v>
      </c>
      <c r="N1270" t="s">
        <v>6898</v>
      </c>
      <c r="O1270" t="s">
        <v>26</v>
      </c>
      <c r="P1270">
        <v>85</v>
      </c>
      <c r="Q1270">
        <v>106.25</v>
      </c>
      <c r="R1270">
        <v>85</v>
      </c>
      <c r="S1270">
        <v>127.5</v>
      </c>
      <c r="T1270" t="s">
        <v>6899</v>
      </c>
    </row>
    <row r="1271" spans="1:20">
      <c r="A1271">
        <v>685747</v>
      </c>
      <c r="B1271" t="s">
        <v>6900</v>
      </c>
      <c r="C1271" t="str">
        <f>"9780889209695"</f>
        <v>9780889209695</v>
      </c>
      <c r="D1271" t="str">
        <f>"9780889207189"</f>
        <v>9780889207189</v>
      </c>
      <c r="E1271" t="s">
        <v>6047</v>
      </c>
      <c r="F1271" t="s">
        <v>6047</v>
      </c>
      <c r="G1271" s="1">
        <v>38718</v>
      </c>
      <c r="J1271" t="s">
        <v>6901</v>
      </c>
      <c r="K1271" t="s">
        <v>6902</v>
      </c>
      <c r="L1271" t="s">
        <v>6903</v>
      </c>
      <c r="M1271" t="s">
        <v>6904</v>
      </c>
      <c r="N1271" t="s">
        <v>6905</v>
      </c>
      <c r="O1271" t="s">
        <v>26</v>
      </c>
      <c r="P1271">
        <v>85</v>
      </c>
      <c r="Q1271">
        <v>106.25</v>
      </c>
      <c r="R1271">
        <v>85</v>
      </c>
      <c r="S1271">
        <v>127.5</v>
      </c>
      <c r="T1271" t="s">
        <v>6906</v>
      </c>
    </row>
    <row r="1272" spans="1:20">
      <c r="A1272">
        <v>685748</v>
      </c>
      <c r="B1272" t="s">
        <v>6907</v>
      </c>
      <c r="C1272" t="str">
        <f>"9780889204119"</f>
        <v>9780889204119</v>
      </c>
      <c r="D1272" t="str">
        <f>"9780889207172"</f>
        <v>9780889207172</v>
      </c>
      <c r="E1272" t="s">
        <v>6047</v>
      </c>
      <c r="F1272" t="s">
        <v>6047</v>
      </c>
      <c r="G1272" s="1">
        <v>38718</v>
      </c>
      <c r="I1272" t="s">
        <v>6116</v>
      </c>
      <c r="J1272" t="s">
        <v>6908</v>
      </c>
      <c r="K1272" t="s">
        <v>1892</v>
      </c>
      <c r="L1272" t="s">
        <v>6909</v>
      </c>
      <c r="M1272">
        <v>253.09014999999999</v>
      </c>
      <c r="N1272" t="s">
        <v>6910</v>
      </c>
      <c r="O1272" t="s">
        <v>26</v>
      </c>
      <c r="P1272">
        <v>85</v>
      </c>
      <c r="Q1272">
        <v>106.25</v>
      </c>
      <c r="R1272">
        <v>85</v>
      </c>
      <c r="S1272">
        <v>127.5</v>
      </c>
      <c r="T1272" t="s">
        <v>6911</v>
      </c>
    </row>
    <row r="1273" spans="1:20">
      <c r="A1273">
        <v>685751</v>
      </c>
      <c r="B1273" t="s">
        <v>6912</v>
      </c>
      <c r="C1273" t="str">
        <f>"9780889203914"</f>
        <v>9780889203914</v>
      </c>
      <c r="D1273" t="str">
        <f>"9780889207158"</f>
        <v>9780889207158</v>
      </c>
      <c r="E1273" t="s">
        <v>6047</v>
      </c>
      <c r="F1273" t="s">
        <v>6047</v>
      </c>
      <c r="G1273" s="1">
        <v>38718</v>
      </c>
      <c r="J1273" t="s">
        <v>6913</v>
      </c>
      <c r="K1273" t="s">
        <v>263</v>
      </c>
      <c r="L1273" t="s">
        <v>6914</v>
      </c>
      <c r="M1273" t="s">
        <v>6915</v>
      </c>
      <c r="N1273" t="s">
        <v>6916</v>
      </c>
      <c r="O1273" t="s">
        <v>26</v>
      </c>
      <c r="P1273">
        <v>85</v>
      </c>
      <c r="Q1273">
        <v>106.25</v>
      </c>
      <c r="R1273">
        <v>85</v>
      </c>
      <c r="S1273">
        <v>127.5</v>
      </c>
      <c r="T1273" t="s">
        <v>6917</v>
      </c>
    </row>
    <row r="1274" spans="1:20">
      <c r="A1274">
        <v>685753</v>
      </c>
      <c r="B1274" t="s">
        <v>6918</v>
      </c>
      <c r="C1274" t="str">
        <f>"9781554580071"</f>
        <v>9781554580071</v>
      </c>
      <c r="D1274" t="str">
        <f>"9781554581108"</f>
        <v>9781554581108</v>
      </c>
      <c r="E1274" t="s">
        <v>6047</v>
      </c>
      <c r="F1274" t="s">
        <v>6047</v>
      </c>
      <c r="G1274" s="1">
        <v>39244</v>
      </c>
      <c r="I1274" t="s">
        <v>6273</v>
      </c>
      <c r="J1274" t="s">
        <v>6919</v>
      </c>
      <c r="K1274" t="s">
        <v>1464</v>
      </c>
      <c r="L1274" t="s">
        <v>6920</v>
      </c>
      <c r="M1274">
        <v>811.54</v>
      </c>
      <c r="N1274" t="s">
        <v>6921</v>
      </c>
      <c r="O1274" t="s">
        <v>26</v>
      </c>
      <c r="P1274">
        <v>85</v>
      </c>
      <c r="Q1274">
        <v>106.25</v>
      </c>
      <c r="R1274">
        <v>85</v>
      </c>
      <c r="S1274">
        <v>127.5</v>
      </c>
      <c r="T1274" t="s">
        <v>6922</v>
      </c>
    </row>
    <row r="1275" spans="1:20">
      <c r="A1275">
        <v>685755</v>
      </c>
      <c r="B1275" t="s">
        <v>6923</v>
      </c>
      <c r="C1275" t="str">
        <f>"9780889201606"</f>
        <v>9780889201606</v>
      </c>
      <c r="D1275" t="str">
        <f>"9780889207127"</f>
        <v>9780889207127</v>
      </c>
      <c r="E1275" t="s">
        <v>6047</v>
      </c>
      <c r="F1275" t="s">
        <v>6047</v>
      </c>
      <c r="G1275" s="1">
        <v>38718</v>
      </c>
      <c r="I1275" t="s">
        <v>6048</v>
      </c>
      <c r="J1275" t="s">
        <v>6924</v>
      </c>
      <c r="K1275" t="s">
        <v>3860</v>
      </c>
      <c r="L1275" t="s">
        <v>6925</v>
      </c>
      <c r="M1275">
        <v>800</v>
      </c>
      <c r="N1275" t="s">
        <v>6926</v>
      </c>
      <c r="O1275" t="s">
        <v>26</v>
      </c>
      <c r="P1275">
        <v>85</v>
      </c>
      <c r="Q1275">
        <v>106.25</v>
      </c>
      <c r="R1275">
        <v>85</v>
      </c>
      <c r="S1275">
        <v>127.5</v>
      </c>
      <c r="T1275" t="s">
        <v>6927</v>
      </c>
    </row>
    <row r="1276" spans="1:20">
      <c r="A1276">
        <v>685756</v>
      </c>
      <c r="B1276" t="s">
        <v>6928</v>
      </c>
      <c r="C1276" t="str">
        <f>"9780889201927"</f>
        <v>9780889201927</v>
      </c>
      <c r="D1276" t="str">
        <f>"9780889207110"</f>
        <v>9780889207110</v>
      </c>
      <c r="E1276" t="s">
        <v>6047</v>
      </c>
      <c r="F1276" t="s">
        <v>6047</v>
      </c>
      <c r="G1276" s="1">
        <v>38718</v>
      </c>
      <c r="J1276" t="s">
        <v>6929</v>
      </c>
      <c r="K1276" t="s">
        <v>1464</v>
      </c>
      <c r="L1276" t="s">
        <v>6930</v>
      </c>
      <c r="M1276" t="s">
        <v>6931</v>
      </c>
      <c r="N1276" t="s">
        <v>6932</v>
      </c>
      <c r="O1276" t="s">
        <v>26</v>
      </c>
      <c r="P1276">
        <v>85</v>
      </c>
      <c r="Q1276">
        <v>106.25</v>
      </c>
      <c r="R1276">
        <v>85</v>
      </c>
      <c r="S1276">
        <v>127.5</v>
      </c>
      <c r="T1276" t="s">
        <v>6933</v>
      </c>
    </row>
    <row r="1277" spans="1:20">
      <c r="A1277">
        <v>685759</v>
      </c>
      <c r="B1277" t="s">
        <v>6934</v>
      </c>
      <c r="C1277" t="str">
        <f>"9780889203365"</f>
        <v>9780889203365</v>
      </c>
      <c r="D1277" t="str">
        <f>"9780889209480"</f>
        <v>9780889209480</v>
      </c>
      <c r="E1277" t="s">
        <v>6047</v>
      </c>
      <c r="F1277" t="s">
        <v>6047</v>
      </c>
      <c r="G1277" s="1">
        <v>38718</v>
      </c>
      <c r="J1277" t="s">
        <v>6935</v>
      </c>
      <c r="K1277" t="s">
        <v>1464</v>
      </c>
      <c r="L1277" t="s">
        <v>6936</v>
      </c>
      <c r="M1277" t="s">
        <v>1460</v>
      </c>
      <c r="N1277" t="s">
        <v>6937</v>
      </c>
      <c r="O1277" t="s">
        <v>26</v>
      </c>
      <c r="P1277">
        <v>85</v>
      </c>
      <c r="Q1277">
        <v>106.25</v>
      </c>
      <c r="R1277">
        <v>85</v>
      </c>
      <c r="S1277">
        <v>127.5</v>
      </c>
      <c r="T1277" t="s">
        <v>6938</v>
      </c>
    </row>
    <row r="1278" spans="1:20">
      <c r="A1278">
        <v>685762</v>
      </c>
      <c r="B1278" t="s">
        <v>6939</v>
      </c>
      <c r="C1278" t="str">
        <f>"9780889203877"</f>
        <v>9780889203877</v>
      </c>
      <c r="D1278" t="str">
        <f>"9780889207042"</f>
        <v>9780889207042</v>
      </c>
      <c r="E1278" t="s">
        <v>6047</v>
      </c>
      <c r="F1278" t="s">
        <v>6047</v>
      </c>
      <c r="G1278" s="1">
        <v>40206</v>
      </c>
      <c r="I1278" t="s">
        <v>6940</v>
      </c>
      <c r="J1278" t="s">
        <v>6941</v>
      </c>
      <c r="K1278" t="s">
        <v>3994</v>
      </c>
      <c r="L1278" t="s">
        <v>6942</v>
      </c>
      <c r="M1278" t="s">
        <v>6943</v>
      </c>
      <c r="N1278" t="s">
        <v>6944</v>
      </c>
      <c r="O1278" t="s">
        <v>26</v>
      </c>
      <c r="P1278">
        <v>150</v>
      </c>
      <c r="Q1278">
        <v>187.5</v>
      </c>
      <c r="R1278">
        <v>150</v>
      </c>
      <c r="S1278">
        <v>225</v>
      </c>
      <c r="T1278" t="s">
        <v>6945</v>
      </c>
    </row>
    <row r="1279" spans="1:20">
      <c r="A1279">
        <v>685763</v>
      </c>
      <c r="B1279" t="s">
        <v>6946</v>
      </c>
      <c r="C1279" t="str">
        <f>"9780889204959"</f>
        <v>9780889204959</v>
      </c>
      <c r="D1279" t="str">
        <f>"9781554581115"</f>
        <v>9781554581115</v>
      </c>
      <c r="E1279" t="s">
        <v>6047</v>
      </c>
      <c r="F1279" t="s">
        <v>6047</v>
      </c>
      <c r="G1279" s="1">
        <v>39422</v>
      </c>
      <c r="I1279" t="s">
        <v>6940</v>
      </c>
      <c r="J1279" t="s">
        <v>6947</v>
      </c>
      <c r="K1279" t="s">
        <v>1550</v>
      </c>
      <c r="L1279" t="s">
        <v>6948</v>
      </c>
      <c r="M1279" t="s">
        <v>6949</v>
      </c>
      <c r="N1279" t="s">
        <v>6950</v>
      </c>
      <c r="O1279" t="s">
        <v>26</v>
      </c>
      <c r="P1279">
        <v>150</v>
      </c>
      <c r="Q1279">
        <v>187.5</v>
      </c>
      <c r="R1279">
        <v>150</v>
      </c>
      <c r="S1279">
        <v>225</v>
      </c>
      <c r="T1279" t="s">
        <v>6951</v>
      </c>
    </row>
    <row r="1280" spans="1:20">
      <c r="A1280">
        <v>685764</v>
      </c>
      <c r="B1280" t="s">
        <v>6952</v>
      </c>
      <c r="C1280" t="str">
        <f>"9780889204652"</f>
        <v>9780889204652</v>
      </c>
      <c r="D1280" t="str">
        <f>"9781554582525"</f>
        <v>9781554582525</v>
      </c>
      <c r="E1280" t="s">
        <v>6047</v>
      </c>
      <c r="F1280" t="s">
        <v>6047</v>
      </c>
      <c r="G1280" s="1">
        <v>39793</v>
      </c>
      <c r="I1280" t="s">
        <v>6940</v>
      </c>
      <c r="J1280" t="s">
        <v>6953</v>
      </c>
      <c r="K1280" t="s">
        <v>3994</v>
      </c>
      <c r="L1280" t="s">
        <v>6954</v>
      </c>
      <c r="M1280">
        <v>610.73091999999997</v>
      </c>
      <c r="N1280" t="s">
        <v>6955</v>
      </c>
      <c r="O1280" t="s">
        <v>26</v>
      </c>
      <c r="P1280">
        <v>150</v>
      </c>
      <c r="Q1280">
        <v>187.5</v>
      </c>
      <c r="R1280">
        <v>150</v>
      </c>
      <c r="S1280">
        <v>225</v>
      </c>
      <c r="T1280" t="s">
        <v>6956</v>
      </c>
    </row>
    <row r="1281" spans="1:20">
      <c r="A1281">
        <v>685765</v>
      </c>
      <c r="B1281" t="s">
        <v>6957</v>
      </c>
      <c r="C1281" t="str">
        <f>"9780889204676"</f>
        <v>9780889204676</v>
      </c>
      <c r="D1281" t="str">
        <f>"9781554581696"</f>
        <v>9781554581696</v>
      </c>
      <c r="E1281" t="s">
        <v>6047</v>
      </c>
      <c r="F1281" t="s">
        <v>6047</v>
      </c>
      <c r="G1281" s="1">
        <v>40134</v>
      </c>
      <c r="I1281" t="s">
        <v>6940</v>
      </c>
      <c r="J1281" t="s">
        <v>6953</v>
      </c>
      <c r="K1281" t="s">
        <v>3994</v>
      </c>
      <c r="L1281" t="s">
        <v>6958</v>
      </c>
      <c r="M1281">
        <v>610.73091999999997</v>
      </c>
      <c r="N1281" t="s">
        <v>6959</v>
      </c>
      <c r="O1281" t="s">
        <v>26</v>
      </c>
      <c r="P1281">
        <v>150</v>
      </c>
      <c r="Q1281">
        <v>187.5</v>
      </c>
      <c r="R1281">
        <v>150</v>
      </c>
      <c r="S1281">
        <v>225</v>
      </c>
      <c r="T1281" t="s">
        <v>6960</v>
      </c>
    </row>
    <row r="1282" spans="1:20">
      <c r="A1282">
        <v>685766</v>
      </c>
      <c r="B1282" t="s">
        <v>6961</v>
      </c>
      <c r="C1282" t="str">
        <f>"9780889205208"</f>
        <v>9780889205208</v>
      </c>
      <c r="D1282" t="str">
        <f>"9781554581702"</f>
        <v>9781554581702</v>
      </c>
      <c r="E1282" t="s">
        <v>6047</v>
      </c>
      <c r="F1282" t="s">
        <v>6047</v>
      </c>
      <c r="G1282" s="1">
        <v>40134</v>
      </c>
      <c r="I1282" t="s">
        <v>6940</v>
      </c>
      <c r="J1282" t="s">
        <v>6953</v>
      </c>
      <c r="K1282" t="s">
        <v>3994</v>
      </c>
      <c r="L1282" t="s">
        <v>6962</v>
      </c>
      <c r="M1282" t="s">
        <v>6963</v>
      </c>
      <c r="N1282" t="s">
        <v>6964</v>
      </c>
      <c r="O1282" t="s">
        <v>26</v>
      </c>
      <c r="P1282">
        <v>150</v>
      </c>
      <c r="Q1282">
        <v>187.5</v>
      </c>
      <c r="R1282">
        <v>150</v>
      </c>
      <c r="S1282">
        <v>225</v>
      </c>
      <c r="T1282" t="s">
        <v>6965</v>
      </c>
    </row>
    <row r="1283" spans="1:20">
      <c r="A1283">
        <v>685768</v>
      </c>
      <c r="B1283" t="s">
        <v>6966</v>
      </c>
      <c r="C1283" t="str">
        <f>"9780889203662"</f>
        <v>9780889203662</v>
      </c>
      <c r="D1283" t="str">
        <f>"9780889207066"</f>
        <v>9780889207066</v>
      </c>
      <c r="E1283" t="s">
        <v>6047</v>
      </c>
      <c r="F1283" t="s">
        <v>6047</v>
      </c>
      <c r="G1283" s="1">
        <v>38718</v>
      </c>
      <c r="I1283" t="s">
        <v>6940</v>
      </c>
      <c r="J1283" t="s">
        <v>6953</v>
      </c>
      <c r="K1283" t="s">
        <v>6967</v>
      </c>
      <c r="L1283" t="s">
        <v>6942</v>
      </c>
      <c r="M1283" t="s">
        <v>6968</v>
      </c>
      <c r="N1283" t="s">
        <v>6944</v>
      </c>
      <c r="O1283" t="s">
        <v>26</v>
      </c>
      <c r="P1283">
        <v>150</v>
      </c>
      <c r="Q1283">
        <v>187.5</v>
      </c>
      <c r="R1283">
        <v>150</v>
      </c>
      <c r="S1283">
        <v>225</v>
      </c>
      <c r="T1283" t="s">
        <v>6969</v>
      </c>
    </row>
    <row r="1284" spans="1:20">
      <c r="A1284">
        <v>685769</v>
      </c>
      <c r="B1284" t="s">
        <v>6970</v>
      </c>
      <c r="C1284" t="str">
        <f>"9780889203716"</f>
        <v>9780889203716</v>
      </c>
      <c r="D1284" t="str">
        <f>"9780889207059"</f>
        <v>9780889207059</v>
      </c>
      <c r="E1284" t="s">
        <v>6047</v>
      </c>
      <c r="F1284" t="s">
        <v>6047</v>
      </c>
      <c r="G1284" s="1">
        <v>38718</v>
      </c>
      <c r="I1284" t="s">
        <v>6940</v>
      </c>
      <c r="J1284" t="s">
        <v>6941</v>
      </c>
      <c r="K1284" t="s">
        <v>6967</v>
      </c>
      <c r="L1284" t="s">
        <v>6971</v>
      </c>
      <c r="M1284" t="s">
        <v>6968</v>
      </c>
      <c r="N1284" t="s">
        <v>6972</v>
      </c>
      <c r="O1284" t="s">
        <v>26</v>
      </c>
      <c r="P1284">
        <v>150</v>
      </c>
      <c r="Q1284">
        <v>187.5</v>
      </c>
      <c r="R1284">
        <v>150</v>
      </c>
      <c r="S1284">
        <v>225</v>
      </c>
      <c r="T1284" t="s">
        <v>6973</v>
      </c>
    </row>
    <row r="1285" spans="1:20">
      <c r="A1285">
        <v>685770</v>
      </c>
      <c r="B1285" t="s">
        <v>6974</v>
      </c>
      <c r="C1285" t="str">
        <f>"9780889204133"</f>
        <v>9780889204133</v>
      </c>
      <c r="D1285" t="str">
        <f>"9780889205734"</f>
        <v>9780889205734</v>
      </c>
      <c r="E1285" t="s">
        <v>6047</v>
      </c>
      <c r="F1285" t="s">
        <v>6047</v>
      </c>
      <c r="G1285" s="1">
        <v>38718</v>
      </c>
      <c r="I1285" t="s">
        <v>6940</v>
      </c>
      <c r="J1285" t="s">
        <v>6975</v>
      </c>
      <c r="K1285" t="s">
        <v>6976</v>
      </c>
      <c r="L1285" t="s">
        <v>6977</v>
      </c>
      <c r="M1285" t="s">
        <v>6978</v>
      </c>
      <c r="N1285" t="s">
        <v>6979</v>
      </c>
      <c r="O1285" t="s">
        <v>26</v>
      </c>
      <c r="P1285">
        <v>150</v>
      </c>
      <c r="Q1285">
        <v>187.5</v>
      </c>
      <c r="R1285">
        <v>150</v>
      </c>
      <c r="S1285">
        <v>225</v>
      </c>
      <c r="T1285" t="s">
        <v>6980</v>
      </c>
    </row>
    <row r="1286" spans="1:20">
      <c r="A1286">
        <v>685771</v>
      </c>
      <c r="B1286" t="s">
        <v>6981</v>
      </c>
      <c r="C1286" t="str">
        <f>"9780889204294"</f>
        <v>9780889204294</v>
      </c>
      <c r="D1286" t="str">
        <f>"9780889207073"</f>
        <v>9780889207073</v>
      </c>
      <c r="E1286" t="s">
        <v>6047</v>
      </c>
      <c r="F1286" t="s">
        <v>6047</v>
      </c>
      <c r="G1286" s="1">
        <v>37742</v>
      </c>
      <c r="I1286" t="s">
        <v>6940</v>
      </c>
      <c r="J1286" t="s">
        <v>6953</v>
      </c>
      <c r="K1286" t="s">
        <v>6982</v>
      </c>
      <c r="L1286" t="s">
        <v>6983</v>
      </c>
      <c r="M1286">
        <v>361.92</v>
      </c>
      <c r="N1286" t="s">
        <v>6944</v>
      </c>
      <c r="O1286" t="s">
        <v>26</v>
      </c>
      <c r="P1286">
        <v>150</v>
      </c>
      <c r="Q1286">
        <v>187.5</v>
      </c>
      <c r="R1286">
        <v>150</v>
      </c>
      <c r="S1286">
        <v>225</v>
      </c>
      <c r="T1286" t="s">
        <v>6984</v>
      </c>
    </row>
    <row r="1287" spans="1:20">
      <c r="A1287">
        <v>685772</v>
      </c>
      <c r="B1287" t="s">
        <v>6985</v>
      </c>
      <c r="C1287" t="str">
        <f>"9780889204461"</f>
        <v>9780889204461</v>
      </c>
      <c r="D1287" t="str">
        <f>"9780889205420"</f>
        <v>9780889205420</v>
      </c>
      <c r="E1287" t="s">
        <v>6047</v>
      </c>
      <c r="F1287" t="s">
        <v>6047</v>
      </c>
      <c r="G1287" s="1">
        <v>38718</v>
      </c>
      <c r="I1287" t="s">
        <v>6940</v>
      </c>
      <c r="J1287" t="s">
        <v>6953</v>
      </c>
      <c r="K1287" t="s">
        <v>6986</v>
      </c>
      <c r="L1287" t="s">
        <v>6987</v>
      </c>
      <c r="M1287" t="s">
        <v>6978</v>
      </c>
      <c r="N1287" t="s">
        <v>6944</v>
      </c>
      <c r="O1287" t="s">
        <v>26</v>
      </c>
      <c r="P1287">
        <v>150</v>
      </c>
      <c r="Q1287">
        <v>187.5</v>
      </c>
      <c r="R1287">
        <v>150</v>
      </c>
      <c r="S1287">
        <v>225</v>
      </c>
      <c r="T1287" t="s">
        <v>6988</v>
      </c>
    </row>
    <row r="1288" spans="1:20">
      <c r="A1288">
        <v>685773</v>
      </c>
      <c r="B1288" t="s">
        <v>6989</v>
      </c>
      <c r="C1288" t="str">
        <f>"9780889204515"</f>
        <v>9780889204515</v>
      </c>
      <c r="D1288" t="str">
        <f>"9780889209336"</f>
        <v>9780889209336</v>
      </c>
      <c r="E1288" t="s">
        <v>6047</v>
      </c>
      <c r="F1288" t="s">
        <v>6047</v>
      </c>
      <c r="G1288" s="1">
        <v>38718</v>
      </c>
      <c r="I1288" t="s">
        <v>6940</v>
      </c>
      <c r="J1288" t="s">
        <v>6953</v>
      </c>
      <c r="K1288" t="s">
        <v>6990</v>
      </c>
      <c r="L1288" t="s">
        <v>6991</v>
      </c>
      <c r="M1288" t="s">
        <v>6992</v>
      </c>
      <c r="N1288" t="s">
        <v>6993</v>
      </c>
      <c r="O1288" t="s">
        <v>26</v>
      </c>
      <c r="P1288">
        <v>150</v>
      </c>
      <c r="Q1288">
        <v>187.5</v>
      </c>
      <c r="R1288">
        <v>150</v>
      </c>
      <c r="S1288">
        <v>225</v>
      </c>
      <c r="T1288" t="s">
        <v>6994</v>
      </c>
    </row>
    <row r="1289" spans="1:20">
      <c r="A1289">
        <v>685774</v>
      </c>
      <c r="B1289" t="s">
        <v>6995</v>
      </c>
      <c r="C1289" t="str">
        <f>"9780889204669"</f>
        <v>9780889204669</v>
      </c>
      <c r="D1289" t="str">
        <f>"9780889209169"</f>
        <v>9780889209169</v>
      </c>
      <c r="E1289" t="s">
        <v>6047</v>
      </c>
      <c r="F1289" t="s">
        <v>6047</v>
      </c>
      <c r="G1289" s="1">
        <v>38718</v>
      </c>
      <c r="I1289" t="s">
        <v>6940</v>
      </c>
      <c r="J1289" t="s">
        <v>6953</v>
      </c>
      <c r="K1289" t="s">
        <v>6996</v>
      </c>
      <c r="L1289" t="s">
        <v>6997</v>
      </c>
      <c r="M1289" t="s">
        <v>6998</v>
      </c>
      <c r="N1289" t="s">
        <v>6999</v>
      </c>
      <c r="O1289" t="s">
        <v>26</v>
      </c>
      <c r="P1289">
        <v>150</v>
      </c>
      <c r="Q1289">
        <v>187.5</v>
      </c>
      <c r="R1289">
        <v>150</v>
      </c>
      <c r="S1289">
        <v>225</v>
      </c>
      <c r="T1289" t="s">
        <v>7000</v>
      </c>
    </row>
    <row r="1290" spans="1:20">
      <c r="A1290">
        <v>685775</v>
      </c>
      <c r="B1290" t="s">
        <v>7001</v>
      </c>
      <c r="C1290" t="str">
        <f>"9780889204683"</f>
        <v>9780889204683</v>
      </c>
      <c r="D1290" t="str">
        <f>"9781554581122"</f>
        <v>9781554581122</v>
      </c>
      <c r="E1290" t="s">
        <v>6047</v>
      </c>
      <c r="F1290" t="s">
        <v>6047</v>
      </c>
      <c r="G1290" s="1">
        <v>39048</v>
      </c>
      <c r="I1290" t="s">
        <v>6940</v>
      </c>
      <c r="J1290" t="s">
        <v>6947</v>
      </c>
      <c r="K1290" t="s">
        <v>376</v>
      </c>
      <c r="L1290" t="s">
        <v>7002</v>
      </c>
      <c r="M1290" t="s">
        <v>7003</v>
      </c>
      <c r="N1290" t="s">
        <v>7004</v>
      </c>
      <c r="O1290" t="s">
        <v>26</v>
      </c>
      <c r="P1290">
        <v>150</v>
      </c>
      <c r="Q1290">
        <v>187.5</v>
      </c>
      <c r="R1290">
        <v>150</v>
      </c>
      <c r="S1290">
        <v>225</v>
      </c>
      <c r="T1290" t="s">
        <v>7005</v>
      </c>
    </row>
    <row r="1291" spans="1:20">
      <c r="A1291">
        <v>685777</v>
      </c>
      <c r="B1291" t="s">
        <v>7006</v>
      </c>
      <c r="C1291" t="str">
        <f>"9781554580590"</f>
        <v>9781554580590</v>
      </c>
      <c r="D1291" t="str">
        <f>"9781554582891"</f>
        <v>9781554582891</v>
      </c>
      <c r="E1291" t="s">
        <v>6047</v>
      </c>
      <c r="F1291" t="s">
        <v>6047</v>
      </c>
      <c r="G1291" s="1">
        <v>39952</v>
      </c>
      <c r="I1291" t="s">
        <v>6463</v>
      </c>
      <c r="J1291" t="s">
        <v>7007</v>
      </c>
      <c r="K1291" t="s">
        <v>1471</v>
      </c>
      <c r="L1291" t="s">
        <v>7008</v>
      </c>
      <c r="M1291" t="s">
        <v>7009</v>
      </c>
      <c r="N1291" t="s">
        <v>7010</v>
      </c>
      <c r="O1291" t="s">
        <v>26</v>
      </c>
      <c r="P1291">
        <v>85</v>
      </c>
      <c r="Q1291">
        <v>106.25</v>
      </c>
      <c r="R1291">
        <v>85</v>
      </c>
      <c r="S1291">
        <v>127.5</v>
      </c>
      <c r="T1291" t="s">
        <v>7011</v>
      </c>
    </row>
    <row r="1292" spans="1:20">
      <c r="A1292">
        <v>685778</v>
      </c>
      <c r="B1292" t="s">
        <v>7012</v>
      </c>
      <c r="C1292" t="str">
        <f>"9780889202290"</f>
        <v>9780889202290</v>
      </c>
      <c r="D1292" t="str">
        <f>"9780889207004"</f>
        <v>9780889207004</v>
      </c>
      <c r="E1292" t="s">
        <v>6047</v>
      </c>
      <c r="F1292" t="s">
        <v>6047</v>
      </c>
      <c r="G1292" s="1">
        <v>38718</v>
      </c>
      <c r="J1292" t="s">
        <v>7013</v>
      </c>
      <c r="K1292" t="s">
        <v>291</v>
      </c>
      <c r="L1292" t="s">
        <v>7014</v>
      </c>
      <c r="M1292">
        <v>994.06299999999999</v>
      </c>
      <c r="N1292" t="s">
        <v>7015</v>
      </c>
      <c r="O1292" t="s">
        <v>26</v>
      </c>
      <c r="P1292">
        <v>85</v>
      </c>
      <c r="Q1292">
        <v>106.25</v>
      </c>
      <c r="R1292">
        <v>85</v>
      </c>
      <c r="S1292">
        <v>127.5</v>
      </c>
      <c r="T1292" t="s">
        <v>7016</v>
      </c>
    </row>
    <row r="1293" spans="1:20">
      <c r="A1293">
        <v>685781</v>
      </c>
      <c r="B1293" t="s">
        <v>7017</v>
      </c>
      <c r="C1293" t="str">
        <f>"9780889209749"</f>
        <v>9780889209749</v>
      </c>
      <c r="D1293" t="str">
        <f>"9780889206960"</f>
        <v>9780889206960</v>
      </c>
      <c r="E1293" t="s">
        <v>6047</v>
      </c>
      <c r="F1293" t="s">
        <v>6047</v>
      </c>
      <c r="G1293" s="1">
        <v>38718</v>
      </c>
      <c r="I1293" t="s">
        <v>6048</v>
      </c>
      <c r="J1293" t="s">
        <v>7018</v>
      </c>
      <c r="K1293" t="s">
        <v>1892</v>
      </c>
      <c r="L1293" t="s">
        <v>7019</v>
      </c>
      <c r="M1293">
        <v>211.8</v>
      </c>
      <c r="N1293" t="s">
        <v>7020</v>
      </c>
      <c r="O1293" t="s">
        <v>26</v>
      </c>
      <c r="P1293">
        <v>85</v>
      </c>
      <c r="Q1293">
        <v>106.25</v>
      </c>
      <c r="R1293">
        <v>85</v>
      </c>
      <c r="S1293">
        <v>127.5</v>
      </c>
      <c r="T1293" t="s">
        <v>7021</v>
      </c>
    </row>
    <row r="1294" spans="1:20">
      <c r="A1294">
        <v>685784</v>
      </c>
      <c r="B1294" t="s">
        <v>7022</v>
      </c>
      <c r="C1294" t="str">
        <f>"9780889202030"</f>
        <v>9780889202030</v>
      </c>
      <c r="D1294" t="str">
        <f>"9780889206885"</f>
        <v>9780889206885</v>
      </c>
      <c r="E1294" t="s">
        <v>6047</v>
      </c>
      <c r="F1294" t="s">
        <v>6047</v>
      </c>
      <c r="G1294" s="1">
        <v>38718</v>
      </c>
      <c r="J1294" t="s">
        <v>7023</v>
      </c>
      <c r="K1294" t="s">
        <v>1892</v>
      </c>
      <c r="L1294" t="s">
        <v>7024</v>
      </c>
      <c r="M1294" t="s">
        <v>7025</v>
      </c>
      <c r="N1294" t="s">
        <v>7026</v>
      </c>
      <c r="O1294" t="s">
        <v>26</v>
      </c>
      <c r="P1294">
        <v>85</v>
      </c>
      <c r="Q1294">
        <v>106.25</v>
      </c>
      <c r="R1294">
        <v>85</v>
      </c>
      <c r="S1294">
        <v>127.5</v>
      </c>
      <c r="T1294" t="s">
        <v>7027</v>
      </c>
    </row>
    <row r="1295" spans="1:20">
      <c r="A1295">
        <v>685785</v>
      </c>
      <c r="B1295" t="s">
        <v>7028</v>
      </c>
      <c r="C1295" t="str">
        <f>"9780889204775"</f>
        <v>9780889204775</v>
      </c>
      <c r="D1295" t="str">
        <f>"9780889209091"</f>
        <v>9780889209091</v>
      </c>
      <c r="E1295" t="s">
        <v>6047</v>
      </c>
      <c r="F1295" t="s">
        <v>6047</v>
      </c>
      <c r="G1295" s="1">
        <v>38718</v>
      </c>
      <c r="J1295" t="s">
        <v>7029</v>
      </c>
      <c r="K1295" t="s">
        <v>1892</v>
      </c>
      <c r="L1295" t="s">
        <v>7030</v>
      </c>
      <c r="M1295" t="s">
        <v>7031</v>
      </c>
      <c r="N1295" t="s">
        <v>7032</v>
      </c>
      <c r="O1295" t="s">
        <v>26</v>
      </c>
      <c r="P1295">
        <v>85</v>
      </c>
      <c r="Q1295">
        <v>106.25</v>
      </c>
      <c r="R1295">
        <v>85</v>
      </c>
      <c r="S1295">
        <v>127.5</v>
      </c>
      <c r="T1295" t="s">
        <v>7033</v>
      </c>
    </row>
    <row r="1296" spans="1:20">
      <c r="A1296">
        <v>685786</v>
      </c>
      <c r="B1296" t="s">
        <v>7034</v>
      </c>
      <c r="C1296" t="str">
        <f>"9781554580361"</f>
        <v>9781554580361</v>
      </c>
      <c r="D1296" t="str">
        <f>"9781554581139"</f>
        <v>9781554581139</v>
      </c>
      <c r="E1296" t="s">
        <v>6047</v>
      </c>
      <c r="F1296" t="s">
        <v>6047</v>
      </c>
      <c r="G1296" s="1">
        <v>39619</v>
      </c>
      <c r="I1296" t="s">
        <v>6463</v>
      </c>
      <c r="J1296" t="s">
        <v>7035</v>
      </c>
      <c r="K1296" t="s">
        <v>1471</v>
      </c>
      <c r="L1296" t="s">
        <v>7036</v>
      </c>
      <c r="M1296">
        <v>791.430971</v>
      </c>
      <c r="N1296" t="s">
        <v>7037</v>
      </c>
      <c r="O1296" t="s">
        <v>26</v>
      </c>
      <c r="P1296">
        <v>85</v>
      </c>
      <c r="Q1296">
        <v>106.25</v>
      </c>
      <c r="R1296">
        <v>85</v>
      </c>
      <c r="S1296">
        <v>127.5</v>
      </c>
      <c r="T1296" t="s">
        <v>7038</v>
      </c>
    </row>
    <row r="1297" spans="1:20">
      <c r="A1297">
        <v>685787</v>
      </c>
      <c r="B1297" t="s">
        <v>7039</v>
      </c>
      <c r="C1297" t="str">
        <f>"9780889205178"</f>
        <v>9780889205178</v>
      </c>
      <c r="D1297" t="str">
        <f>"9781554581146"</f>
        <v>9781554581146</v>
      </c>
      <c r="E1297" t="s">
        <v>6047</v>
      </c>
      <c r="F1297" t="s">
        <v>6047</v>
      </c>
      <c r="G1297" s="1">
        <v>39171</v>
      </c>
      <c r="J1297" t="s">
        <v>7040</v>
      </c>
      <c r="K1297" t="s">
        <v>1464</v>
      </c>
      <c r="L1297" t="s">
        <v>7041</v>
      </c>
      <c r="M1297">
        <v>820.93530903400006</v>
      </c>
      <c r="N1297" t="s">
        <v>7042</v>
      </c>
      <c r="O1297" t="s">
        <v>26</v>
      </c>
      <c r="P1297">
        <v>85</v>
      </c>
      <c r="Q1297">
        <v>106.25</v>
      </c>
      <c r="R1297">
        <v>85</v>
      </c>
      <c r="S1297">
        <v>127.5</v>
      </c>
      <c r="T1297" t="s">
        <v>7043</v>
      </c>
    </row>
    <row r="1298" spans="1:20">
      <c r="A1298">
        <v>685788</v>
      </c>
      <c r="B1298" t="s">
        <v>7044</v>
      </c>
      <c r="C1298" t="str">
        <f>"9780889204270"</f>
        <v>9780889204270</v>
      </c>
      <c r="D1298" t="str">
        <f>"9780889206878"</f>
        <v>9780889206878</v>
      </c>
      <c r="E1298" t="s">
        <v>6047</v>
      </c>
      <c r="F1298" t="s">
        <v>6047</v>
      </c>
      <c r="G1298" s="1">
        <v>38718</v>
      </c>
      <c r="J1298" t="s">
        <v>7045</v>
      </c>
      <c r="K1298" t="s">
        <v>7046</v>
      </c>
      <c r="L1298" t="s">
        <v>7047</v>
      </c>
      <c r="M1298">
        <v>796</v>
      </c>
      <c r="N1298" t="s">
        <v>7048</v>
      </c>
      <c r="O1298" t="s">
        <v>26</v>
      </c>
      <c r="P1298">
        <v>85</v>
      </c>
      <c r="Q1298">
        <v>106.25</v>
      </c>
      <c r="R1298">
        <v>85</v>
      </c>
      <c r="S1298">
        <v>127.5</v>
      </c>
      <c r="T1298" t="s">
        <v>7049</v>
      </c>
    </row>
    <row r="1299" spans="1:20">
      <c r="A1299">
        <v>685795</v>
      </c>
      <c r="B1299" t="s">
        <v>7050</v>
      </c>
      <c r="C1299" t="str">
        <f>"9780889204577"</f>
        <v>9780889204577</v>
      </c>
      <c r="D1299" t="str">
        <f>"9780889209275"</f>
        <v>9780889209275</v>
      </c>
      <c r="E1299" t="s">
        <v>6047</v>
      </c>
      <c r="F1299" t="s">
        <v>6047</v>
      </c>
      <c r="G1299" s="1">
        <v>38718</v>
      </c>
      <c r="J1299" t="s">
        <v>7051</v>
      </c>
      <c r="K1299" t="s">
        <v>1464</v>
      </c>
      <c r="L1299" t="s">
        <v>7052</v>
      </c>
      <c r="M1299" t="s">
        <v>7053</v>
      </c>
      <c r="N1299" t="s">
        <v>7054</v>
      </c>
      <c r="O1299" t="s">
        <v>26</v>
      </c>
      <c r="P1299">
        <v>85</v>
      </c>
      <c r="Q1299">
        <v>106.25</v>
      </c>
      <c r="R1299">
        <v>85</v>
      </c>
      <c r="S1299">
        <v>127.5</v>
      </c>
      <c r="T1299" t="s">
        <v>7055</v>
      </c>
    </row>
    <row r="1300" spans="1:20">
      <c r="A1300">
        <v>685797</v>
      </c>
      <c r="B1300" t="s">
        <v>7056</v>
      </c>
      <c r="C1300" t="str">
        <f>"9780889201781"</f>
        <v>9780889201781</v>
      </c>
      <c r="D1300" t="str">
        <f>"9780889206793"</f>
        <v>9780889206793</v>
      </c>
      <c r="E1300" t="s">
        <v>6047</v>
      </c>
      <c r="F1300" t="s">
        <v>6047</v>
      </c>
      <c r="G1300" s="1">
        <v>38718</v>
      </c>
      <c r="I1300" t="s">
        <v>6048</v>
      </c>
      <c r="J1300" t="s">
        <v>7057</v>
      </c>
      <c r="K1300" t="s">
        <v>1859</v>
      </c>
      <c r="L1300" t="s">
        <v>7058</v>
      </c>
      <c r="M1300">
        <v>189.3</v>
      </c>
      <c r="N1300" t="s">
        <v>7059</v>
      </c>
      <c r="O1300" t="s">
        <v>26</v>
      </c>
      <c r="P1300">
        <v>85</v>
      </c>
      <c r="Q1300">
        <v>106.25</v>
      </c>
      <c r="R1300">
        <v>85</v>
      </c>
      <c r="S1300">
        <v>127.5</v>
      </c>
      <c r="T1300" t="s">
        <v>7060</v>
      </c>
    </row>
    <row r="1301" spans="1:20">
      <c r="A1301">
        <v>685800</v>
      </c>
      <c r="B1301" t="s">
        <v>7061</v>
      </c>
      <c r="C1301" t="str">
        <f>"9781554580248"</f>
        <v>9781554580248</v>
      </c>
      <c r="D1301" t="str">
        <f>"9781554581153"</f>
        <v>9781554581153</v>
      </c>
      <c r="E1301" t="s">
        <v>6047</v>
      </c>
      <c r="F1301" t="s">
        <v>6047</v>
      </c>
      <c r="G1301" s="1">
        <v>39381</v>
      </c>
      <c r="I1301" t="s">
        <v>6079</v>
      </c>
      <c r="J1301" t="s">
        <v>7062</v>
      </c>
      <c r="K1301" t="s">
        <v>7063</v>
      </c>
      <c r="L1301" t="s">
        <v>7064</v>
      </c>
      <c r="M1301">
        <v>327.71055999999999</v>
      </c>
      <c r="N1301" t="s">
        <v>7065</v>
      </c>
      <c r="O1301" t="s">
        <v>26</v>
      </c>
      <c r="P1301">
        <v>85</v>
      </c>
      <c r="Q1301">
        <v>106.25</v>
      </c>
      <c r="R1301">
        <v>85</v>
      </c>
      <c r="S1301">
        <v>127.5</v>
      </c>
      <c r="T1301" t="s">
        <v>7066</v>
      </c>
    </row>
    <row r="1302" spans="1:20">
      <c r="A1302">
        <v>685801</v>
      </c>
      <c r="B1302" t="s">
        <v>7067</v>
      </c>
      <c r="C1302" t="str">
        <f>"9780889204430"</f>
        <v>9780889204430</v>
      </c>
      <c r="D1302" t="str">
        <f>"9781554581160"</f>
        <v>9781554581160</v>
      </c>
      <c r="E1302" t="s">
        <v>6047</v>
      </c>
      <c r="F1302" t="s">
        <v>6047</v>
      </c>
      <c r="G1302" s="1">
        <v>38718</v>
      </c>
      <c r="J1302" t="s">
        <v>7068</v>
      </c>
      <c r="K1302" t="s">
        <v>257</v>
      </c>
      <c r="L1302" t="s">
        <v>7069</v>
      </c>
      <c r="M1302" t="s">
        <v>7070</v>
      </c>
      <c r="N1302" t="s">
        <v>7071</v>
      </c>
      <c r="O1302" t="s">
        <v>26</v>
      </c>
      <c r="P1302">
        <v>85</v>
      </c>
      <c r="Q1302">
        <v>106.25</v>
      </c>
      <c r="R1302">
        <v>85</v>
      </c>
      <c r="S1302">
        <v>127.5</v>
      </c>
      <c r="T1302" t="s">
        <v>7072</v>
      </c>
    </row>
    <row r="1303" spans="1:20">
      <c r="A1303">
        <v>685806</v>
      </c>
      <c r="B1303" t="s">
        <v>7073</v>
      </c>
      <c r="C1303" t="str">
        <f>"9780889201149"</f>
        <v>9780889201149</v>
      </c>
      <c r="D1303" t="str">
        <f>"9780889206748"</f>
        <v>9780889206748</v>
      </c>
      <c r="E1303" t="s">
        <v>6047</v>
      </c>
      <c r="F1303" t="s">
        <v>6047</v>
      </c>
      <c r="G1303" s="1">
        <v>38718</v>
      </c>
      <c r="J1303" t="s">
        <v>7074</v>
      </c>
      <c r="K1303" t="s">
        <v>7075</v>
      </c>
      <c r="L1303" t="s">
        <v>7076</v>
      </c>
      <c r="M1303" t="s">
        <v>7077</v>
      </c>
      <c r="N1303" t="s">
        <v>7078</v>
      </c>
      <c r="O1303" t="s">
        <v>26</v>
      </c>
      <c r="P1303">
        <v>85</v>
      </c>
      <c r="Q1303">
        <v>106.25</v>
      </c>
      <c r="R1303">
        <v>85</v>
      </c>
      <c r="S1303">
        <v>127.5</v>
      </c>
      <c r="T1303" t="s">
        <v>7079</v>
      </c>
    </row>
    <row r="1304" spans="1:20">
      <c r="A1304">
        <v>685807</v>
      </c>
      <c r="B1304" t="s">
        <v>7080</v>
      </c>
      <c r="C1304" t="str">
        <f>"9780889204164"</f>
        <v>9780889204164</v>
      </c>
      <c r="D1304" t="str">
        <f>"9780889206731"</f>
        <v>9780889206731</v>
      </c>
      <c r="E1304" t="s">
        <v>6047</v>
      </c>
      <c r="F1304" t="s">
        <v>6047</v>
      </c>
      <c r="G1304" s="1">
        <v>38718</v>
      </c>
      <c r="J1304" t="s">
        <v>7081</v>
      </c>
      <c r="K1304" t="s">
        <v>1464</v>
      </c>
      <c r="L1304" t="s">
        <v>7082</v>
      </c>
      <c r="M1304" t="s">
        <v>4026</v>
      </c>
      <c r="N1304" t="s">
        <v>7083</v>
      </c>
      <c r="O1304" t="s">
        <v>26</v>
      </c>
      <c r="P1304">
        <v>85</v>
      </c>
      <c r="Q1304">
        <v>106.25</v>
      </c>
      <c r="R1304">
        <v>85</v>
      </c>
      <c r="S1304">
        <v>127.5</v>
      </c>
      <c r="T1304" t="s">
        <v>7084</v>
      </c>
    </row>
    <row r="1305" spans="1:20">
      <c r="A1305">
        <v>685809</v>
      </c>
      <c r="B1305" t="s">
        <v>7085</v>
      </c>
      <c r="C1305" t="str">
        <f>"9780889204010"</f>
        <v>9780889204010</v>
      </c>
      <c r="D1305" t="str">
        <f>"9781554581177"</f>
        <v>9781554581177</v>
      </c>
      <c r="E1305" t="s">
        <v>6047</v>
      </c>
      <c r="F1305" t="s">
        <v>6047</v>
      </c>
      <c r="G1305" s="1">
        <v>38718</v>
      </c>
      <c r="I1305" t="s">
        <v>6116</v>
      </c>
      <c r="J1305" t="s">
        <v>7086</v>
      </c>
      <c r="K1305" t="s">
        <v>1892</v>
      </c>
      <c r="L1305" t="s">
        <v>7087</v>
      </c>
      <c r="M1305">
        <v>270.10000000000002</v>
      </c>
      <c r="N1305" t="s">
        <v>7088</v>
      </c>
      <c r="O1305" t="s">
        <v>26</v>
      </c>
      <c r="P1305">
        <v>85</v>
      </c>
      <c r="Q1305">
        <v>106.25</v>
      </c>
      <c r="R1305">
        <v>85</v>
      </c>
      <c r="S1305">
        <v>127.5</v>
      </c>
      <c r="T1305" t="s">
        <v>7089</v>
      </c>
    </row>
    <row r="1306" spans="1:20">
      <c r="A1306">
        <v>685817</v>
      </c>
      <c r="B1306" t="s">
        <v>7090</v>
      </c>
      <c r="C1306" t="str">
        <f>"9780889201866"</f>
        <v>9780889201866</v>
      </c>
      <c r="D1306" t="str">
        <f>"9780889206687"</f>
        <v>9780889206687</v>
      </c>
      <c r="E1306" t="s">
        <v>6047</v>
      </c>
      <c r="F1306" t="s">
        <v>6047</v>
      </c>
      <c r="G1306" s="1">
        <v>38718</v>
      </c>
      <c r="J1306" t="s">
        <v>7091</v>
      </c>
      <c r="K1306" t="s">
        <v>1892</v>
      </c>
      <c r="L1306" t="s">
        <v>7092</v>
      </c>
      <c r="M1306">
        <v>233</v>
      </c>
      <c r="N1306" t="s">
        <v>7093</v>
      </c>
      <c r="O1306" t="s">
        <v>26</v>
      </c>
      <c r="P1306">
        <v>85</v>
      </c>
      <c r="Q1306">
        <v>106.25</v>
      </c>
      <c r="R1306">
        <v>85</v>
      </c>
      <c r="S1306">
        <v>127.5</v>
      </c>
      <c r="T1306" t="s">
        <v>7094</v>
      </c>
    </row>
    <row r="1307" spans="1:20">
      <c r="A1307">
        <v>685818</v>
      </c>
      <c r="B1307" t="s">
        <v>7095</v>
      </c>
      <c r="C1307" t="str">
        <f>"9780889209893"</f>
        <v>9780889209893</v>
      </c>
      <c r="D1307" t="str">
        <f>"9780889206694"</f>
        <v>9780889206694</v>
      </c>
      <c r="E1307" t="s">
        <v>6047</v>
      </c>
      <c r="F1307" t="s">
        <v>6047</v>
      </c>
      <c r="G1307" s="1">
        <v>38718</v>
      </c>
      <c r="I1307" t="s">
        <v>6048</v>
      </c>
      <c r="J1307" t="s">
        <v>7091</v>
      </c>
      <c r="K1307" t="s">
        <v>1892</v>
      </c>
      <c r="L1307" t="s">
        <v>7096</v>
      </c>
      <c r="M1307" t="s">
        <v>7097</v>
      </c>
      <c r="N1307" t="s">
        <v>7098</v>
      </c>
      <c r="O1307" t="s">
        <v>26</v>
      </c>
      <c r="P1307">
        <v>85</v>
      </c>
      <c r="Q1307">
        <v>106.25</v>
      </c>
      <c r="R1307">
        <v>85</v>
      </c>
      <c r="S1307">
        <v>127.5</v>
      </c>
      <c r="T1307" t="s">
        <v>7099</v>
      </c>
    </row>
    <row r="1308" spans="1:20">
      <c r="A1308">
        <v>685819</v>
      </c>
      <c r="B1308" t="s">
        <v>7100</v>
      </c>
      <c r="C1308" t="str">
        <f>"9780889201545"</f>
        <v>9780889201545</v>
      </c>
      <c r="D1308" t="str">
        <f>"9780889206670"</f>
        <v>9780889206670</v>
      </c>
      <c r="E1308" t="s">
        <v>6047</v>
      </c>
      <c r="F1308" t="s">
        <v>6047</v>
      </c>
      <c r="G1308" s="1">
        <v>38718</v>
      </c>
      <c r="I1308" t="s">
        <v>6085</v>
      </c>
      <c r="J1308" t="s">
        <v>7101</v>
      </c>
      <c r="K1308" t="s">
        <v>1892</v>
      </c>
      <c r="L1308" t="s">
        <v>7102</v>
      </c>
      <c r="M1308">
        <v>200</v>
      </c>
      <c r="N1308" t="s">
        <v>7103</v>
      </c>
      <c r="O1308" t="s">
        <v>26</v>
      </c>
      <c r="P1308">
        <v>85</v>
      </c>
      <c r="Q1308">
        <v>106.25</v>
      </c>
      <c r="R1308">
        <v>85</v>
      </c>
      <c r="S1308">
        <v>127.5</v>
      </c>
      <c r="T1308" t="s">
        <v>7104</v>
      </c>
    </row>
    <row r="1309" spans="1:20">
      <c r="A1309">
        <v>685821</v>
      </c>
      <c r="B1309" t="s">
        <v>7105</v>
      </c>
      <c r="C1309" t="str">
        <f>"9780889209626"</f>
        <v>9780889209626</v>
      </c>
      <c r="D1309" t="str">
        <f>"9780889206656"</f>
        <v>9780889206656</v>
      </c>
      <c r="E1309" t="s">
        <v>6047</v>
      </c>
      <c r="F1309" t="s">
        <v>6047</v>
      </c>
      <c r="G1309" s="1">
        <v>38718</v>
      </c>
      <c r="J1309" t="s">
        <v>7106</v>
      </c>
      <c r="K1309" t="s">
        <v>2260</v>
      </c>
      <c r="L1309" t="s">
        <v>7107</v>
      </c>
      <c r="M1309">
        <v>618.32059000000004</v>
      </c>
      <c r="N1309" t="s">
        <v>7108</v>
      </c>
      <c r="O1309" t="s">
        <v>26</v>
      </c>
      <c r="P1309">
        <v>85</v>
      </c>
      <c r="Q1309">
        <v>106.25</v>
      </c>
      <c r="R1309">
        <v>85</v>
      </c>
      <c r="S1309">
        <v>127.5</v>
      </c>
      <c r="T1309" t="s">
        <v>7109</v>
      </c>
    </row>
    <row r="1310" spans="1:20">
      <c r="A1310">
        <v>685823</v>
      </c>
      <c r="B1310" t="s">
        <v>7110</v>
      </c>
      <c r="C1310" t="str">
        <f>"9781554580200"</f>
        <v>9781554580200</v>
      </c>
      <c r="D1310" t="str">
        <f>"9781554581184"</f>
        <v>9781554581184</v>
      </c>
      <c r="E1310" t="s">
        <v>6047</v>
      </c>
      <c r="F1310" t="s">
        <v>6047</v>
      </c>
      <c r="G1310" s="1">
        <v>39548</v>
      </c>
      <c r="I1310" t="s">
        <v>6061</v>
      </c>
      <c r="J1310" t="s">
        <v>7111</v>
      </c>
      <c r="K1310" t="s">
        <v>291</v>
      </c>
      <c r="L1310" t="s">
        <v>7112</v>
      </c>
      <c r="M1310" t="s">
        <v>7113</v>
      </c>
      <c r="N1310" t="s">
        <v>7114</v>
      </c>
      <c r="O1310" t="s">
        <v>26</v>
      </c>
      <c r="P1310">
        <v>85</v>
      </c>
      <c r="Q1310">
        <v>106.25</v>
      </c>
      <c r="R1310">
        <v>85</v>
      </c>
      <c r="S1310">
        <v>127.5</v>
      </c>
      <c r="T1310" t="s">
        <v>7115</v>
      </c>
    </row>
    <row r="1311" spans="1:20">
      <c r="A1311">
        <v>685825</v>
      </c>
      <c r="B1311" t="s">
        <v>7116</v>
      </c>
      <c r="C1311" t="str">
        <f>"9780889203105"</f>
        <v>9780889203105</v>
      </c>
      <c r="D1311" t="str">
        <f>"9780889206618"</f>
        <v>9780889206618</v>
      </c>
      <c r="E1311" t="s">
        <v>6047</v>
      </c>
      <c r="F1311" t="s">
        <v>6047</v>
      </c>
      <c r="G1311" s="1">
        <v>38718</v>
      </c>
      <c r="I1311" t="s">
        <v>6048</v>
      </c>
      <c r="J1311" t="s">
        <v>7117</v>
      </c>
      <c r="K1311" t="s">
        <v>1892</v>
      </c>
      <c r="L1311" t="s">
        <v>7118</v>
      </c>
      <c r="M1311" t="s">
        <v>7119</v>
      </c>
      <c r="N1311" t="s">
        <v>7120</v>
      </c>
      <c r="O1311" t="s">
        <v>26</v>
      </c>
      <c r="P1311">
        <v>85</v>
      </c>
      <c r="Q1311">
        <v>106.25</v>
      </c>
      <c r="R1311">
        <v>85</v>
      </c>
      <c r="S1311">
        <v>127.5</v>
      </c>
      <c r="T1311" t="s">
        <v>7121</v>
      </c>
    </row>
    <row r="1312" spans="1:20">
      <c r="A1312">
        <v>685826</v>
      </c>
      <c r="B1312" t="s">
        <v>7122</v>
      </c>
      <c r="C1312" t="str">
        <f>"9780889205222"</f>
        <v>9780889205222</v>
      </c>
      <c r="D1312" t="str">
        <f>"9780889205338"</f>
        <v>9780889205338</v>
      </c>
      <c r="E1312" t="s">
        <v>6047</v>
      </c>
      <c r="F1312" t="s">
        <v>6047</v>
      </c>
      <c r="G1312" s="1">
        <v>39038</v>
      </c>
      <c r="I1312" t="s">
        <v>7123</v>
      </c>
      <c r="J1312" t="s">
        <v>7124</v>
      </c>
      <c r="K1312" t="s">
        <v>6813</v>
      </c>
      <c r="L1312" t="s">
        <v>7125</v>
      </c>
      <c r="M1312" t="s">
        <v>7126</v>
      </c>
      <c r="N1312" t="s">
        <v>7127</v>
      </c>
      <c r="O1312" t="s">
        <v>26</v>
      </c>
      <c r="P1312">
        <v>85</v>
      </c>
      <c r="Q1312">
        <v>106.25</v>
      </c>
      <c r="R1312">
        <v>85</v>
      </c>
      <c r="S1312">
        <v>127.5</v>
      </c>
      <c r="T1312" t="s">
        <v>7128</v>
      </c>
    </row>
    <row r="1313" spans="1:20">
      <c r="A1313">
        <v>685827</v>
      </c>
      <c r="B1313" t="s">
        <v>7129</v>
      </c>
      <c r="C1313" t="str">
        <f>"9780889203396"</f>
        <v>9780889203396</v>
      </c>
      <c r="D1313" t="str">
        <f>"9780889206601"</f>
        <v>9780889206601</v>
      </c>
      <c r="E1313" t="s">
        <v>6047</v>
      </c>
      <c r="F1313" t="s">
        <v>6047</v>
      </c>
      <c r="G1313" s="1">
        <v>38718</v>
      </c>
      <c r="I1313" t="s">
        <v>6098</v>
      </c>
      <c r="J1313" t="s">
        <v>7130</v>
      </c>
      <c r="K1313" t="s">
        <v>1613</v>
      </c>
      <c r="L1313" t="s">
        <v>7131</v>
      </c>
      <c r="M1313">
        <v>201.5</v>
      </c>
      <c r="N1313" t="s">
        <v>7132</v>
      </c>
      <c r="O1313" t="s">
        <v>26</v>
      </c>
      <c r="P1313">
        <v>85</v>
      </c>
      <c r="Q1313">
        <v>106.25</v>
      </c>
      <c r="R1313">
        <v>85</v>
      </c>
      <c r="S1313">
        <v>127.5</v>
      </c>
      <c r="T1313" t="s">
        <v>7133</v>
      </c>
    </row>
    <row r="1314" spans="1:20">
      <c r="A1314">
        <v>685830</v>
      </c>
      <c r="B1314" t="s">
        <v>7134</v>
      </c>
      <c r="C1314" t="str">
        <f>"9780889201835"</f>
        <v>9780889201835</v>
      </c>
      <c r="D1314" t="str">
        <f>"9780889206571"</f>
        <v>9780889206571</v>
      </c>
      <c r="E1314" t="s">
        <v>6047</v>
      </c>
      <c r="F1314" t="s">
        <v>6047</v>
      </c>
      <c r="G1314" s="1">
        <v>38718</v>
      </c>
      <c r="I1314" t="s">
        <v>6048</v>
      </c>
      <c r="J1314" t="s">
        <v>7135</v>
      </c>
      <c r="K1314" t="s">
        <v>1892</v>
      </c>
      <c r="L1314" t="s">
        <v>7136</v>
      </c>
      <c r="M1314" t="s">
        <v>7137</v>
      </c>
      <c r="N1314" t="s">
        <v>7138</v>
      </c>
      <c r="O1314" t="s">
        <v>94</v>
      </c>
      <c r="P1314">
        <v>85</v>
      </c>
      <c r="Q1314">
        <v>106.25</v>
      </c>
      <c r="R1314">
        <v>85</v>
      </c>
      <c r="S1314">
        <v>127.5</v>
      </c>
      <c r="T1314" t="s">
        <v>7139</v>
      </c>
    </row>
    <row r="1315" spans="1:20">
      <c r="A1315">
        <v>685831</v>
      </c>
      <c r="B1315" t="s">
        <v>7140</v>
      </c>
      <c r="C1315" t="str">
        <f>"9780889203402"</f>
        <v>9780889203402</v>
      </c>
      <c r="D1315" t="str">
        <f>"9780889206564"</f>
        <v>9780889206564</v>
      </c>
      <c r="E1315" t="s">
        <v>6047</v>
      </c>
      <c r="F1315" t="s">
        <v>6047</v>
      </c>
      <c r="G1315" s="1">
        <v>38718</v>
      </c>
      <c r="I1315" t="s">
        <v>7123</v>
      </c>
      <c r="J1315" t="s">
        <v>7141</v>
      </c>
      <c r="K1315" t="s">
        <v>7142</v>
      </c>
      <c r="L1315" t="s">
        <v>7143</v>
      </c>
      <c r="M1315" t="s">
        <v>7144</v>
      </c>
      <c r="N1315" t="s">
        <v>7145</v>
      </c>
      <c r="O1315" t="s">
        <v>26</v>
      </c>
      <c r="P1315">
        <v>85</v>
      </c>
      <c r="Q1315">
        <v>106.25</v>
      </c>
      <c r="R1315">
        <v>85</v>
      </c>
      <c r="S1315">
        <v>127.5</v>
      </c>
      <c r="T1315" t="s">
        <v>7146</v>
      </c>
    </row>
    <row r="1316" spans="1:20">
      <c r="A1316">
        <v>685834</v>
      </c>
      <c r="B1316" t="s">
        <v>7147</v>
      </c>
      <c r="C1316" t="str">
        <f>"9780889204508"</f>
        <v>9780889204508</v>
      </c>
      <c r="D1316" t="str">
        <f>"9781554581191"</f>
        <v>9781554581191</v>
      </c>
      <c r="E1316" t="s">
        <v>6047</v>
      </c>
      <c r="F1316" t="s">
        <v>6047</v>
      </c>
      <c r="G1316" s="1">
        <v>38718</v>
      </c>
      <c r="I1316" t="s">
        <v>6048</v>
      </c>
      <c r="J1316" t="s">
        <v>7148</v>
      </c>
      <c r="K1316" t="s">
        <v>1859</v>
      </c>
      <c r="L1316" t="s">
        <v>7149</v>
      </c>
      <c r="M1316">
        <v>192</v>
      </c>
      <c r="N1316" t="s">
        <v>7150</v>
      </c>
      <c r="O1316" t="s">
        <v>26</v>
      </c>
      <c r="P1316">
        <v>85</v>
      </c>
      <c r="Q1316">
        <v>106.25</v>
      </c>
      <c r="R1316">
        <v>85</v>
      </c>
      <c r="S1316">
        <v>127.5</v>
      </c>
      <c r="T1316" t="s">
        <v>7151</v>
      </c>
    </row>
    <row r="1317" spans="1:20">
      <c r="A1317">
        <v>685836</v>
      </c>
      <c r="B1317" t="s">
        <v>7152</v>
      </c>
      <c r="C1317" t="str">
        <f>"9780889203297"</f>
        <v>9780889203297</v>
      </c>
      <c r="D1317" t="str">
        <f>"9780889206519"</f>
        <v>9780889206519</v>
      </c>
      <c r="E1317" t="s">
        <v>6047</v>
      </c>
      <c r="F1317" t="s">
        <v>6047</v>
      </c>
      <c r="G1317" s="1">
        <v>38718</v>
      </c>
      <c r="J1317" t="s">
        <v>7153</v>
      </c>
      <c r="K1317" t="s">
        <v>1464</v>
      </c>
      <c r="L1317" t="s">
        <v>7154</v>
      </c>
      <c r="N1317" t="s">
        <v>7155</v>
      </c>
      <c r="O1317" t="s">
        <v>26</v>
      </c>
      <c r="P1317">
        <v>85</v>
      </c>
      <c r="Q1317">
        <v>106.25</v>
      </c>
      <c r="R1317">
        <v>85</v>
      </c>
      <c r="S1317">
        <v>127.5</v>
      </c>
      <c r="T1317" t="s">
        <v>7156</v>
      </c>
    </row>
    <row r="1318" spans="1:20">
      <c r="A1318">
        <v>685838</v>
      </c>
      <c r="B1318" t="s">
        <v>7157</v>
      </c>
      <c r="C1318" t="str">
        <f>"9780889203075"</f>
        <v>9780889203075</v>
      </c>
      <c r="D1318" t="str">
        <f>"9780889206489"</f>
        <v>9780889206489</v>
      </c>
      <c r="E1318" t="s">
        <v>6047</v>
      </c>
      <c r="F1318" t="s">
        <v>6047</v>
      </c>
      <c r="G1318" s="1">
        <v>38718</v>
      </c>
      <c r="I1318" t="s">
        <v>6048</v>
      </c>
      <c r="J1318" t="s">
        <v>7158</v>
      </c>
      <c r="K1318" t="s">
        <v>356</v>
      </c>
      <c r="L1318" t="s">
        <v>7159</v>
      </c>
      <c r="M1318">
        <v>300</v>
      </c>
      <c r="N1318" t="s">
        <v>7160</v>
      </c>
      <c r="O1318" t="s">
        <v>26</v>
      </c>
      <c r="P1318">
        <v>85</v>
      </c>
      <c r="Q1318">
        <v>106.25</v>
      </c>
      <c r="R1318">
        <v>85</v>
      </c>
      <c r="S1318">
        <v>127.5</v>
      </c>
      <c r="T1318" t="s">
        <v>7161</v>
      </c>
    </row>
    <row r="1319" spans="1:20">
      <c r="A1319">
        <v>685839</v>
      </c>
      <c r="B1319" t="s">
        <v>7162</v>
      </c>
      <c r="C1319" t="str">
        <f>"9780889203938"</f>
        <v>9780889203938</v>
      </c>
      <c r="D1319" t="str">
        <f>"9780889209497"</f>
        <v>9780889209497</v>
      </c>
      <c r="E1319" t="s">
        <v>6047</v>
      </c>
      <c r="F1319" t="s">
        <v>6047</v>
      </c>
      <c r="G1319" s="1">
        <v>38718</v>
      </c>
      <c r="J1319" t="s">
        <v>7163</v>
      </c>
      <c r="K1319" t="s">
        <v>1464</v>
      </c>
      <c r="L1319" t="s">
        <v>7164</v>
      </c>
      <c r="M1319">
        <v>863</v>
      </c>
      <c r="N1319" t="s">
        <v>7165</v>
      </c>
      <c r="O1319" t="s">
        <v>26</v>
      </c>
      <c r="P1319">
        <v>85</v>
      </c>
      <c r="Q1319">
        <v>106.25</v>
      </c>
      <c r="R1319">
        <v>85</v>
      </c>
      <c r="S1319">
        <v>127.5</v>
      </c>
      <c r="T1319" t="s">
        <v>7166</v>
      </c>
    </row>
    <row r="1320" spans="1:20">
      <c r="A1320">
        <v>685841</v>
      </c>
      <c r="B1320" t="s">
        <v>7167</v>
      </c>
      <c r="C1320" t="str">
        <f>"9781554581801"</f>
        <v>9781554581801</v>
      </c>
      <c r="D1320" t="str">
        <f>"9781554582921"</f>
        <v>9781554582921</v>
      </c>
      <c r="E1320" t="s">
        <v>6047</v>
      </c>
      <c r="F1320" t="s">
        <v>6047</v>
      </c>
      <c r="G1320" s="1">
        <v>40203</v>
      </c>
      <c r="J1320" t="s">
        <v>7168</v>
      </c>
      <c r="K1320" t="s">
        <v>1464</v>
      </c>
      <c r="L1320" t="s">
        <v>7169</v>
      </c>
      <c r="M1320" t="s">
        <v>7170</v>
      </c>
      <c r="N1320" t="s">
        <v>7171</v>
      </c>
      <c r="O1320" t="s">
        <v>26</v>
      </c>
      <c r="P1320">
        <v>85</v>
      </c>
      <c r="Q1320">
        <v>106.25</v>
      </c>
      <c r="R1320">
        <v>85</v>
      </c>
      <c r="S1320">
        <v>127.5</v>
      </c>
      <c r="T1320" t="s">
        <v>7172</v>
      </c>
    </row>
    <row r="1321" spans="1:20">
      <c r="A1321">
        <v>685842</v>
      </c>
      <c r="B1321" t="s">
        <v>7173</v>
      </c>
      <c r="C1321" t="str">
        <f>"9780889204157"</f>
        <v>9780889204157</v>
      </c>
      <c r="D1321" t="str">
        <f>"9780889206465"</f>
        <v>9780889206465</v>
      </c>
      <c r="E1321" t="s">
        <v>6047</v>
      </c>
      <c r="F1321" t="s">
        <v>6047</v>
      </c>
      <c r="G1321" s="1">
        <v>38718</v>
      </c>
      <c r="J1321" t="s">
        <v>7174</v>
      </c>
      <c r="K1321" t="s">
        <v>7175</v>
      </c>
      <c r="L1321" t="s">
        <v>7176</v>
      </c>
      <c r="M1321" t="s">
        <v>7177</v>
      </c>
      <c r="N1321" t="s">
        <v>7178</v>
      </c>
      <c r="O1321" t="s">
        <v>26</v>
      </c>
      <c r="P1321">
        <v>85</v>
      </c>
      <c r="Q1321">
        <v>106.25</v>
      </c>
      <c r="R1321">
        <v>85</v>
      </c>
      <c r="S1321">
        <v>127.5</v>
      </c>
      <c r="T1321" t="s">
        <v>7179</v>
      </c>
    </row>
    <row r="1322" spans="1:20">
      <c r="A1322">
        <v>685844</v>
      </c>
      <c r="B1322" t="s">
        <v>7180</v>
      </c>
      <c r="C1322" t="str">
        <f>"9780889202276"</f>
        <v>9780889202276</v>
      </c>
      <c r="D1322" t="str">
        <f>"9780889206441"</f>
        <v>9780889206441</v>
      </c>
      <c r="E1322" t="s">
        <v>6047</v>
      </c>
      <c r="F1322" t="s">
        <v>6047</v>
      </c>
      <c r="G1322" s="1">
        <v>38718</v>
      </c>
      <c r="J1322" t="s">
        <v>7181</v>
      </c>
      <c r="K1322" t="s">
        <v>2432</v>
      </c>
      <c r="L1322" t="s">
        <v>7182</v>
      </c>
      <c r="M1322">
        <v>179.3</v>
      </c>
      <c r="N1322" t="s">
        <v>7183</v>
      </c>
      <c r="O1322" t="s">
        <v>26</v>
      </c>
      <c r="P1322">
        <v>85</v>
      </c>
      <c r="Q1322">
        <v>106.25</v>
      </c>
      <c r="R1322">
        <v>85</v>
      </c>
      <c r="S1322">
        <v>127.5</v>
      </c>
      <c r="T1322" t="s">
        <v>7184</v>
      </c>
    </row>
    <row r="1323" spans="1:20">
      <c r="A1323">
        <v>685845</v>
      </c>
      <c r="B1323" t="s">
        <v>7185</v>
      </c>
      <c r="C1323" t="str">
        <f>"9781554580408"</f>
        <v>9781554580408</v>
      </c>
      <c r="D1323" t="str">
        <f>"9781554581207"</f>
        <v>9781554581207</v>
      </c>
      <c r="E1323" t="s">
        <v>6047</v>
      </c>
      <c r="F1323" t="s">
        <v>6047</v>
      </c>
      <c r="G1323" s="1">
        <v>40079</v>
      </c>
      <c r="J1323" t="s">
        <v>7186</v>
      </c>
      <c r="K1323" t="s">
        <v>263</v>
      </c>
      <c r="L1323" t="s">
        <v>7187</v>
      </c>
      <c r="M1323">
        <v>301</v>
      </c>
      <c r="N1323" t="s">
        <v>7188</v>
      </c>
      <c r="O1323" t="s">
        <v>26</v>
      </c>
      <c r="P1323">
        <v>85</v>
      </c>
      <c r="Q1323">
        <v>106.25</v>
      </c>
      <c r="R1323">
        <v>85</v>
      </c>
      <c r="S1323">
        <v>127.5</v>
      </c>
      <c r="T1323" t="s">
        <v>7189</v>
      </c>
    </row>
    <row r="1324" spans="1:20">
      <c r="A1324">
        <v>685846</v>
      </c>
      <c r="B1324" t="s">
        <v>7190</v>
      </c>
      <c r="C1324" t="str">
        <f>"9780889201569"</f>
        <v>9780889201569</v>
      </c>
      <c r="D1324" t="str">
        <f>"9780889206434"</f>
        <v>9780889206434</v>
      </c>
      <c r="E1324" t="s">
        <v>6047</v>
      </c>
      <c r="F1324" t="s">
        <v>6047</v>
      </c>
      <c r="G1324" s="1">
        <v>38718</v>
      </c>
      <c r="J1324" t="s">
        <v>7191</v>
      </c>
      <c r="K1324" t="s">
        <v>1550</v>
      </c>
      <c r="L1324" t="s">
        <v>7192</v>
      </c>
      <c r="M1324">
        <v>300</v>
      </c>
      <c r="N1324" t="s">
        <v>7193</v>
      </c>
      <c r="O1324" t="s">
        <v>26</v>
      </c>
      <c r="P1324">
        <v>85</v>
      </c>
      <c r="Q1324">
        <v>106.25</v>
      </c>
      <c r="R1324">
        <v>85</v>
      </c>
      <c r="S1324">
        <v>127.5</v>
      </c>
      <c r="T1324" t="s">
        <v>7194</v>
      </c>
    </row>
    <row r="1325" spans="1:20">
      <c r="A1325">
        <v>685848</v>
      </c>
      <c r="B1325" t="s">
        <v>7195</v>
      </c>
      <c r="C1325" t="str">
        <f>"9780889200630"</f>
        <v>9780889200630</v>
      </c>
      <c r="D1325" t="str">
        <f>"9780889206410"</f>
        <v>9780889206410</v>
      </c>
      <c r="E1325" t="s">
        <v>6047</v>
      </c>
      <c r="F1325" t="s">
        <v>6047</v>
      </c>
      <c r="G1325" s="1">
        <v>38718</v>
      </c>
      <c r="J1325" t="s">
        <v>7196</v>
      </c>
      <c r="K1325" t="s">
        <v>3848</v>
      </c>
      <c r="L1325" t="s">
        <v>7197</v>
      </c>
      <c r="M1325">
        <v>942.01</v>
      </c>
      <c r="N1325" t="s">
        <v>7198</v>
      </c>
      <c r="O1325" t="s">
        <v>26</v>
      </c>
      <c r="P1325">
        <v>85</v>
      </c>
      <c r="Q1325">
        <v>106.25</v>
      </c>
      <c r="R1325">
        <v>85</v>
      </c>
      <c r="S1325">
        <v>127.5</v>
      </c>
      <c r="T1325" t="s">
        <v>7199</v>
      </c>
    </row>
    <row r="1326" spans="1:20">
      <c r="A1326">
        <v>685849</v>
      </c>
      <c r="B1326" t="s">
        <v>7200</v>
      </c>
      <c r="C1326" t="str">
        <f>"9780889202924"</f>
        <v>9780889202924</v>
      </c>
      <c r="D1326" t="str">
        <f>"9780889206403"</f>
        <v>9780889206403</v>
      </c>
      <c r="E1326" t="s">
        <v>6047</v>
      </c>
      <c r="F1326" t="s">
        <v>6047</v>
      </c>
      <c r="G1326" s="1">
        <v>38718</v>
      </c>
      <c r="I1326" t="s">
        <v>6061</v>
      </c>
      <c r="J1326" t="s">
        <v>7201</v>
      </c>
      <c r="K1326" t="s">
        <v>291</v>
      </c>
      <c r="L1326" t="s">
        <v>7202</v>
      </c>
      <c r="M1326" t="s">
        <v>7203</v>
      </c>
      <c r="N1326" t="s">
        <v>7204</v>
      </c>
      <c r="O1326" t="s">
        <v>26</v>
      </c>
      <c r="P1326">
        <v>85</v>
      </c>
      <c r="Q1326">
        <v>106.25</v>
      </c>
      <c r="R1326">
        <v>85</v>
      </c>
      <c r="S1326">
        <v>127.5</v>
      </c>
      <c r="T1326" t="s">
        <v>7205</v>
      </c>
    </row>
    <row r="1327" spans="1:20">
      <c r="A1327">
        <v>685851</v>
      </c>
      <c r="B1327" t="s">
        <v>7206</v>
      </c>
      <c r="C1327" t="str">
        <f>"9780889204782"</f>
        <v>9780889204782</v>
      </c>
      <c r="D1327" t="str">
        <f>"9780889209213"</f>
        <v>9780889209213</v>
      </c>
      <c r="E1327" t="s">
        <v>6047</v>
      </c>
      <c r="F1327" t="s">
        <v>6047</v>
      </c>
      <c r="G1327" s="1">
        <v>38718</v>
      </c>
      <c r="I1327" t="s">
        <v>6189</v>
      </c>
      <c r="J1327" t="s">
        <v>7207</v>
      </c>
      <c r="K1327" t="s">
        <v>3848</v>
      </c>
      <c r="L1327" t="s">
        <v>7208</v>
      </c>
      <c r="M1327" t="s">
        <v>7209</v>
      </c>
      <c r="N1327" t="s">
        <v>7210</v>
      </c>
      <c r="O1327" t="s">
        <v>26</v>
      </c>
      <c r="P1327">
        <v>85</v>
      </c>
      <c r="Q1327">
        <v>106.25</v>
      </c>
      <c r="R1327">
        <v>85</v>
      </c>
      <c r="S1327">
        <v>127.5</v>
      </c>
      <c r="T1327" t="s">
        <v>7211</v>
      </c>
    </row>
    <row r="1328" spans="1:20">
      <c r="A1328">
        <v>685852</v>
      </c>
      <c r="B1328" t="s">
        <v>7212</v>
      </c>
      <c r="C1328" t="str">
        <f>"9780889205093"</f>
        <v>9780889205093</v>
      </c>
      <c r="D1328" t="str">
        <f>"9781554581214"</f>
        <v>9781554581214</v>
      </c>
      <c r="E1328" t="s">
        <v>6047</v>
      </c>
      <c r="F1328" t="s">
        <v>6047</v>
      </c>
      <c r="G1328" s="1">
        <v>39171</v>
      </c>
      <c r="J1328" t="s">
        <v>7213</v>
      </c>
      <c r="K1328" t="s">
        <v>1082</v>
      </c>
      <c r="L1328" t="s">
        <v>7214</v>
      </c>
      <c r="M1328" t="s">
        <v>7215</v>
      </c>
      <c r="N1328" t="s">
        <v>7216</v>
      </c>
      <c r="O1328" t="s">
        <v>26</v>
      </c>
      <c r="P1328">
        <v>85</v>
      </c>
      <c r="Q1328">
        <v>106.25</v>
      </c>
      <c r="R1328">
        <v>85</v>
      </c>
      <c r="S1328">
        <v>127.5</v>
      </c>
      <c r="T1328" t="s">
        <v>7217</v>
      </c>
    </row>
    <row r="1329" spans="1:20">
      <c r="A1329">
        <v>685855</v>
      </c>
      <c r="B1329" t="s">
        <v>7218</v>
      </c>
      <c r="C1329" t="str">
        <f>"9781554580163"</f>
        <v>9781554580163</v>
      </c>
      <c r="D1329" t="str">
        <f>"9781554581221"</f>
        <v>9781554581221</v>
      </c>
      <c r="E1329" t="s">
        <v>6047</v>
      </c>
      <c r="F1329" t="s">
        <v>6047</v>
      </c>
      <c r="G1329" s="1">
        <v>39525</v>
      </c>
      <c r="I1329" t="s">
        <v>6152</v>
      </c>
      <c r="J1329" t="s">
        <v>7219</v>
      </c>
      <c r="K1329" t="s">
        <v>1464</v>
      </c>
      <c r="L1329" t="s">
        <v>7220</v>
      </c>
      <c r="M1329" t="s">
        <v>7221</v>
      </c>
      <c r="N1329" t="s">
        <v>7222</v>
      </c>
      <c r="O1329" t="s">
        <v>26</v>
      </c>
      <c r="P1329">
        <v>85</v>
      </c>
      <c r="Q1329">
        <v>106.25</v>
      </c>
      <c r="R1329">
        <v>85</v>
      </c>
      <c r="S1329">
        <v>127.5</v>
      </c>
      <c r="T1329" t="s">
        <v>7223</v>
      </c>
    </row>
    <row r="1330" spans="1:20">
      <c r="A1330">
        <v>685856</v>
      </c>
      <c r="B1330" t="s">
        <v>7224</v>
      </c>
      <c r="C1330" t="str">
        <f>"9780889202061"</f>
        <v>9780889202061</v>
      </c>
      <c r="D1330" t="str">
        <f>"9780889206366"</f>
        <v>9780889206366</v>
      </c>
      <c r="E1330" t="s">
        <v>6047</v>
      </c>
      <c r="F1330" t="s">
        <v>6047</v>
      </c>
      <c r="G1330" s="1">
        <v>38718</v>
      </c>
      <c r="I1330" t="s">
        <v>6145</v>
      </c>
      <c r="J1330" t="s">
        <v>7225</v>
      </c>
      <c r="K1330" t="s">
        <v>1892</v>
      </c>
      <c r="L1330" t="s">
        <v>7226</v>
      </c>
      <c r="M1330" t="s">
        <v>7227</v>
      </c>
      <c r="N1330" t="s">
        <v>7228</v>
      </c>
      <c r="O1330" t="s">
        <v>26</v>
      </c>
      <c r="P1330">
        <v>85</v>
      </c>
      <c r="Q1330">
        <v>106.25</v>
      </c>
      <c r="R1330">
        <v>85</v>
      </c>
      <c r="S1330">
        <v>127.5</v>
      </c>
      <c r="T1330" t="s">
        <v>7229</v>
      </c>
    </row>
    <row r="1331" spans="1:20">
      <c r="A1331">
        <v>685857</v>
      </c>
      <c r="B1331" t="s">
        <v>7230</v>
      </c>
      <c r="C1331" t="str">
        <f>"9780889204331"</f>
        <v>9780889204331</v>
      </c>
      <c r="D1331" t="str">
        <f>"9780889206359"</f>
        <v>9780889206359</v>
      </c>
      <c r="E1331" t="s">
        <v>6047</v>
      </c>
      <c r="F1331" t="s">
        <v>6047</v>
      </c>
      <c r="G1331" s="1">
        <v>38718</v>
      </c>
      <c r="J1331" t="s">
        <v>7231</v>
      </c>
      <c r="K1331" t="s">
        <v>291</v>
      </c>
      <c r="L1331" t="s">
        <v>7232</v>
      </c>
      <c r="M1331" t="s">
        <v>7233</v>
      </c>
      <c r="N1331" t="s">
        <v>7234</v>
      </c>
      <c r="O1331" t="s">
        <v>26</v>
      </c>
      <c r="P1331">
        <v>85</v>
      </c>
      <c r="Q1331">
        <v>106.25</v>
      </c>
      <c r="R1331">
        <v>85</v>
      </c>
      <c r="S1331">
        <v>127.5</v>
      </c>
      <c r="T1331" t="s">
        <v>7235</v>
      </c>
    </row>
    <row r="1332" spans="1:20">
      <c r="A1332">
        <v>685858</v>
      </c>
      <c r="B1332" t="s">
        <v>7236</v>
      </c>
      <c r="C1332" t="str">
        <f>"9780889209909"</f>
        <v>9780889209909</v>
      </c>
      <c r="D1332" t="str">
        <f>"9780889206342"</f>
        <v>9780889206342</v>
      </c>
      <c r="E1332" t="s">
        <v>6047</v>
      </c>
      <c r="F1332" t="s">
        <v>6047</v>
      </c>
      <c r="G1332" s="1">
        <v>38718</v>
      </c>
      <c r="J1332" t="s">
        <v>7237</v>
      </c>
      <c r="K1332" t="s">
        <v>1464</v>
      </c>
      <c r="L1332" t="s">
        <v>7238</v>
      </c>
      <c r="M1332">
        <v>853.91399999999999</v>
      </c>
      <c r="N1332" t="s">
        <v>7239</v>
      </c>
      <c r="O1332" t="s">
        <v>26</v>
      </c>
      <c r="P1332">
        <v>85</v>
      </c>
      <c r="Q1332">
        <v>106.25</v>
      </c>
      <c r="R1332">
        <v>85</v>
      </c>
      <c r="S1332">
        <v>127.5</v>
      </c>
      <c r="T1332" t="s">
        <v>7240</v>
      </c>
    </row>
    <row r="1333" spans="1:20">
      <c r="A1333">
        <v>685859</v>
      </c>
      <c r="B1333" t="s">
        <v>7241</v>
      </c>
      <c r="C1333" t="str">
        <f>"9780889201675"</f>
        <v>9780889201675</v>
      </c>
      <c r="D1333" t="str">
        <f>"9780889206311"</f>
        <v>9780889206311</v>
      </c>
      <c r="E1333" t="s">
        <v>6047</v>
      </c>
      <c r="F1333" t="s">
        <v>6047</v>
      </c>
      <c r="G1333" s="1">
        <v>38718</v>
      </c>
      <c r="I1333" t="s">
        <v>6116</v>
      </c>
      <c r="J1333" t="s">
        <v>7242</v>
      </c>
      <c r="K1333" t="s">
        <v>1892</v>
      </c>
      <c r="L1333" t="s">
        <v>7243</v>
      </c>
      <c r="M1333" t="s">
        <v>7244</v>
      </c>
      <c r="N1333" t="s">
        <v>7245</v>
      </c>
      <c r="O1333" t="s">
        <v>26</v>
      </c>
      <c r="P1333">
        <v>85</v>
      </c>
      <c r="Q1333">
        <v>106.25</v>
      </c>
      <c r="R1333">
        <v>85</v>
      </c>
      <c r="S1333">
        <v>127.5</v>
      </c>
      <c r="T1333" t="s">
        <v>7246</v>
      </c>
    </row>
    <row r="1334" spans="1:20">
      <c r="A1334">
        <v>685860</v>
      </c>
      <c r="B1334" t="s">
        <v>7247</v>
      </c>
      <c r="C1334" t="str">
        <f>"9780889201385"</f>
        <v>9780889201385</v>
      </c>
      <c r="D1334" t="str">
        <f>"9780889206335"</f>
        <v>9780889206335</v>
      </c>
      <c r="E1334" t="s">
        <v>6047</v>
      </c>
      <c r="F1334" t="s">
        <v>6047</v>
      </c>
      <c r="G1334" s="1">
        <v>38718</v>
      </c>
      <c r="J1334" t="s">
        <v>7248</v>
      </c>
      <c r="K1334" t="s">
        <v>1892</v>
      </c>
      <c r="L1334" t="s">
        <v>7249</v>
      </c>
      <c r="M1334">
        <v>225.6</v>
      </c>
      <c r="N1334" t="s">
        <v>7250</v>
      </c>
      <c r="O1334" t="s">
        <v>26</v>
      </c>
      <c r="P1334">
        <v>85</v>
      </c>
      <c r="Q1334">
        <v>106.25</v>
      </c>
      <c r="R1334">
        <v>85</v>
      </c>
      <c r="S1334">
        <v>127.5</v>
      </c>
      <c r="T1334" t="s">
        <v>7251</v>
      </c>
    </row>
    <row r="1335" spans="1:20">
      <c r="A1335">
        <v>685861</v>
      </c>
      <c r="B1335" t="s">
        <v>7252</v>
      </c>
      <c r="C1335" t="str">
        <f>"9780889202016"</f>
        <v>9780889202016</v>
      </c>
      <c r="D1335" t="str">
        <f>"9780889206328"</f>
        <v>9780889206328</v>
      </c>
      <c r="E1335" t="s">
        <v>6047</v>
      </c>
      <c r="F1335" t="s">
        <v>6047</v>
      </c>
      <c r="G1335" s="1">
        <v>38718</v>
      </c>
      <c r="I1335" t="s">
        <v>6116</v>
      </c>
      <c r="J1335" t="s">
        <v>7253</v>
      </c>
      <c r="K1335" t="s">
        <v>1892</v>
      </c>
      <c r="L1335" t="s">
        <v>7254</v>
      </c>
      <c r="M1335" t="s">
        <v>7255</v>
      </c>
      <c r="N1335" t="s">
        <v>7256</v>
      </c>
      <c r="O1335" t="s">
        <v>26</v>
      </c>
      <c r="P1335">
        <v>85</v>
      </c>
      <c r="Q1335">
        <v>106.25</v>
      </c>
      <c r="R1335">
        <v>85</v>
      </c>
      <c r="S1335">
        <v>127.5</v>
      </c>
      <c r="T1335" t="s">
        <v>7257</v>
      </c>
    </row>
    <row r="1336" spans="1:20">
      <c r="A1336">
        <v>685862</v>
      </c>
      <c r="B1336" t="s">
        <v>7258</v>
      </c>
      <c r="C1336" t="str">
        <f>"9781554580378"</f>
        <v>9781554580378</v>
      </c>
      <c r="D1336" t="str">
        <f>"9781554581238"</f>
        <v>9781554581238</v>
      </c>
      <c r="E1336" t="s">
        <v>6047</v>
      </c>
      <c r="F1336" t="s">
        <v>6047</v>
      </c>
      <c r="G1336" s="1">
        <v>39598</v>
      </c>
      <c r="J1336" t="s">
        <v>7259</v>
      </c>
      <c r="K1336" t="s">
        <v>263</v>
      </c>
      <c r="L1336" t="s">
        <v>7260</v>
      </c>
      <c r="M1336" t="s">
        <v>7261</v>
      </c>
      <c r="N1336" t="s">
        <v>7262</v>
      </c>
      <c r="O1336" t="s">
        <v>26</v>
      </c>
      <c r="P1336">
        <v>85</v>
      </c>
      <c r="Q1336">
        <v>106.25</v>
      </c>
      <c r="R1336">
        <v>85</v>
      </c>
      <c r="S1336">
        <v>127.5</v>
      </c>
      <c r="T1336" t="s">
        <v>7263</v>
      </c>
    </row>
    <row r="1337" spans="1:20">
      <c r="A1337">
        <v>685864</v>
      </c>
      <c r="B1337" t="s">
        <v>7264</v>
      </c>
      <c r="C1337" t="str">
        <f>"9780889203440"</f>
        <v>9780889203440</v>
      </c>
      <c r="D1337" t="str">
        <f>"9780889205383"</f>
        <v>9780889205383</v>
      </c>
      <c r="E1337" t="s">
        <v>6047</v>
      </c>
      <c r="F1337" t="s">
        <v>6047</v>
      </c>
      <c r="G1337" s="1">
        <v>38718</v>
      </c>
      <c r="J1337" t="s">
        <v>7265</v>
      </c>
      <c r="K1337" t="s">
        <v>7075</v>
      </c>
      <c r="L1337" t="s">
        <v>7266</v>
      </c>
      <c r="M1337" t="s">
        <v>7267</v>
      </c>
      <c r="N1337" t="s">
        <v>7268</v>
      </c>
      <c r="O1337" t="s">
        <v>26</v>
      </c>
      <c r="P1337">
        <v>95</v>
      </c>
      <c r="Q1337">
        <v>118.75</v>
      </c>
      <c r="R1337">
        <v>95</v>
      </c>
      <c r="S1337">
        <v>142.5</v>
      </c>
      <c r="T1337" t="s">
        <v>7269</v>
      </c>
    </row>
    <row r="1338" spans="1:20">
      <c r="A1338">
        <v>685865</v>
      </c>
      <c r="B1338" t="s">
        <v>7270</v>
      </c>
      <c r="C1338" t="str">
        <f>"9780889203624"</f>
        <v>9780889203624</v>
      </c>
      <c r="D1338" t="str">
        <f>"9780889209428"</f>
        <v>9780889209428</v>
      </c>
      <c r="E1338" t="s">
        <v>6047</v>
      </c>
      <c r="F1338" t="s">
        <v>6047</v>
      </c>
      <c r="G1338" s="1">
        <v>37012</v>
      </c>
      <c r="J1338" t="s">
        <v>7271</v>
      </c>
      <c r="K1338" t="s">
        <v>291</v>
      </c>
      <c r="L1338" t="s">
        <v>7272</v>
      </c>
      <c r="M1338" t="s">
        <v>7273</v>
      </c>
      <c r="N1338" t="s">
        <v>7274</v>
      </c>
      <c r="O1338" t="s">
        <v>26</v>
      </c>
      <c r="P1338">
        <v>85</v>
      </c>
      <c r="Q1338">
        <v>106.25</v>
      </c>
      <c r="R1338">
        <v>85</v>
      </c>
      <c r="S1338">
        <v>127.5</v>
      </c>
      <c r="T1338" t="s">
        <v>7275</v>
      </c>
    </row>
    <row r="1339" spans="1:20">
      <c r="A1339">
        <v>685866</v>
      </c>
      <c r="B1339" t="s">
        <v>7276</v>
      </c>
      <c r="C1339" t="str">
        <f>"9780889203235"</f>
        <v>9780889203235</v>
      </c>
      <c r="D1339" t="str">
        <f>"9780889206298"</f>
        <v>9780889206298</v>
      </c>
      <c r="E1339" t="s">
        <v>6047</v>
      </c>
      <c r="F1339" t="s">
        <v>6047</v>
      </c>
      <c r="G1339" s="1">
        <v>38718</v>
      </c>
      <c r="J1339" t="s">
        <v>7277</v>
      </c>
      <c r="K1339" t="s">
        <v>467</v>
      </c>
      <c r="L1339" t="s">
        <v>7278</v>
      </c>
      <c r="M1339" t="s">
        <v>7279</v>
      </c>
      <c r="N1339" t="s">
        <v>7280</v>
      </c>
      <c r="O1339" t="s">
        <v>26</v>
      </c>
      <c r="P1339">
        <v>85</v>
      </c>
      <c r="Q1339">
        <v>106.25</v>
      </c>
      <c r="R1339">
        <v>85</v>
      </c>
      <c r="S1339">
        <v>127.5</v>
      </c>
      <c r="T1339" t="s">
        <v>7281</v>
      </c>
    </row>
    <row r="1340" spans="1:20">
      <c r="A1340">
        <v>685869</v>
      </c>
      <c r="B1340" t="s">
        <v>7282</v>
      </c>
      <c r="C1340" t="str">
        <f>"9780889201910"</f>
        <v>9780889201910</v>
      </c>
      <c r="D1340" t="str">
        <f>"9780889206267"</f>
        <v>9780889206267</v>
      </c>
      <c r="E1340" t="s">
        <v>6047</v>
      </c>
      <c r="F1340" t="s">
        <v>6047</v>
      </c>
      <c r="G1340" s="1">
        <v>38718</v>
      </c>
      <c r="J1340" t="s">
        <v>7283</v>
      </c>
      <c r="K1340" t="s">
        <v>1464</v>
      </c>
      <c r="L1340" t="s">
        <v>7284</v>
      </c>
      <c r="M1340">
        <v>800</v>
      </c>
      <c r="N1340" t="s">
        <v>7285</v>
      </c>
      <c r="O1340" t="s">
        <v>26</v>
      </c>
      <c r="P1340">
        <v>85</v>
      </c>
      <c r="Q1340">
        <v>106.25</v>
      </c>
      <c r="R1340">
        <v>85</v>
      </c>
      <c r="S1340">
        <v>127.5</v>
      </c>
      <c r="T1340" t="s">
        <v>7286</v>
      </c>
    </row>
    <row r="1341" spans="1:20">
      <c r="A1341">
        <v>685870</v>
      </c>
      <c r="B1341" t="s">
        <v>7287</v>
      </c>
      <c r="C1341" t="str">
        <f>"9780889209718"</f>
        <v>9780889209718</v>
      </c>
      <c r="D1341" t="str">
        <f>"9780889206250"</f>
        <v>9780889206250</v>
      </c>
      <c r="E1341" t="s">
        <v>6047</v>
      </c>
      <c r="F1341" t="s">
        <v>6047</v>
      </c>
      <c r="G1341" s="1">
        <v>38718</v>
      </c>
      <c r="I1341" t="s">
        <v>6145</v>
      </c>
      <c r="J1341" t="s">
        <v>7288</v>
      </c>
      <c r="K1341" t="s">
        <v>1892</v>
      </c>
      <c r="L1341" t="s">
        <v>7289</v>
      </c>
      <c r="M1341">
        <v>297</v>
      </c>
      <c r="N1341" t="s">
        <v>7290</v>
      </c>
      <c r="O1341" t="s">
        <v>26</v>
      </c>
      <c r="P1341">
        <v>85</v>
      </c>
      <c r="Q1341">
        <v>106.25</v>
      </c>
      <c r="R1341">
        <v>85</v>
      </c>
      <c r="S1341">
        <v>127.5</v>
      </c>
      <c r="T1341" t="s">
        <v>7291</v>
      </c>
    </row>
    <row r="1342" spans="1:20">
      <c r="A1342">
        <v>685871</v>
      </c>
      <c r="B1342" t="s">
        <v>7292</v>
      </c>
      <c r="C1342" t="str">
        <f>"9780889204737"</f>
        <v>9780889204737</v>
      </c>
      <c r="D1342" t="str">
        <f>"9780889209374"</f>
        <v>9780889209374</v>
      </c>
      <c r="E1342" t="s">
        <v>6047</v>
      </c>
      <c r="F1342" t="s">
        <v>6047</v>
      </c>
      <c r="G1342" s="1">
        <v>38718</v>
      </c>
      <c r="J1342" t="s">
        <v>7293</v>
      </c>
      <c r="K1342" t="s">
        <v>257</v>
      </c>
      <c r="L1342" t="s">
        <v>7294</v>
      </c>
      <c r="M1342" t="s">
        <v>7295</v>
      </c>
      <c r="N1342" t="s">
        <v>7296</v>
      </c>
      <c r="O1342" t="s">
        <v>26</v>
      </c>
      <c r="P1342">
        <v>85</v>
      </c>
      <c r="Q1342">
        <v>106.25</v>
      </c>
      <c r="R1342">
        <v>85</v>
      </c>
      <c r="S1342">
        <v>127.5</v>
      </c>
      <c r="T1342" t="s">
        <v>7297</v>
      </c>
    </row>
    <row r="1343" spans="1:20">
      <c r="A1343">
        <v>685873</v>
      </c>
      <c r="B1343" t="s">
        <v>7298</v>
      </c>
      <c r="C1343" t="str">
        <f>"9780889202054"</f>
        <v>9780889202054</v>
      </c>
      <c r="D1343" t="str">
        <f>"9780889206243"</f>
        <v>9780889206243</v>
      </c>
      <c r="E1343" t="s">
        <v>6047</v>
      </c>
      <c r="F1343" t="s">
        <v>6047</v>
      </c>
      <c r="G1343" s="1">
        <v>38718</v>
      </c>
      <c r="J1343" t="s">
        <v>7299</v>
      </c>
      <c r="K1343" t="s">
        <v>1464</v>
      </c>
      <c r="L1343" t="s">
        <v>7300</v>
      </c>
      <c r="M1343">
        <v>800</v>
      </c>
      <c r="N1343" t="s">
        <v>7301</v>
      </c>
      <c r="O1343" t="s">
        <v>26</v>
      </c>
      <c r="P1343">
        <v>85</v>
      </c>
      <c r="Q1343">
        <v>106.25</v>
      </c>
      <c r="R1343">
        <v>85</v>
      </c>
      <c r="S1343">
        <v>127.5</v>
      </c>
      <c r="T1343" t="s">
        <v>7302</v>
      </c>
    </row>
    <row r="1344" spans="1:20">
      <c r="A1344">
        <v>685876</v>
      </c>
      <c r="B1344" t="s">
        <v>7303</v>
      </c>
      <c r="C1344" t="str">
        <f>"9781554580217"</f>
        <v>9781554580217</v>
      </c>
      <c r="D1344" t="str">
        <f>"9781554581269"</f>
        <v>9781554581269</v>
      </c>
      <c r="E1344" t="s">
        <v>6047</v>
      </c>
      <c r="F1344" t="s">
        <v>6047</v>
      </c>
      <c r="G1344" s="1">
        <v>39554</v>
      </c>
      <c r="I1344" t="s">
        <v>6683</v>
      </c>
      <c r="J1344" t="s">
        <v>7304</v>
      </c>
      <c r="K1344" t="s">
        <v>1464</v>
      </c>
      <c r="L1344" t="s">
        <v>7305</v>
      </c>
      <c r="M1344" t="s">
        <v>4026</v>
      </c>
      <c r="N1344" t="s">
        <v>7306</v>
      </c>
      <c r="O1344" t="s">
        <v>26</v>
      </c>
      <c r="P1344">
        <v>85</v>
      </c>
      <c r="Q1344">
        <v>106.25</v>
      </c>
      <c r="R1344">
        <v>85</v>
      </c>
      <c r="S1344">
        <v>127.5</v>
      </c>
      <c r="T1344" t="s">
        <v>7307</v>
      </c>
    </row>
    <row r="1345" spans="1:20">
      <c r="A1345">
        <v>685878</v>
      </c>
      <c r="B1345" t="s">
        <v>7308</v>
      </c>
      <c r="C1345" t="str">
        <f>"9780889204232"</f>
        <v>9780889204232</v>
      </c>
      <c r="D1345" t="str">
        <f>"9780889206212"</f>
        <v>9780889206212</v>
      </c>
      <c r="E1345" t="s">
        <v>6047</v>
      </c>
      <c r="F1345" t="s">
        <v>6047</v>
      </c>
      <c r="G1345" s="1">
        <v>38718</v>
      </c>
      <c r="J1345" t="s">
        <v>7309</v>
      </c>
      <c r="K1345" t="s">
        <v>1464</v>
      </c>
      <c r="L1345" t="s">
        <v>7310</v>
      </c>
      <c r="M1345" t="s">
        <v>7311</v>
      </c>
      <c r="N1345" t="s">
        <v>7312</v>
      </c>
      <c r="O1345" t="s">
        <v>26</v>
      </c>
      <c r="P1345">
        <v>85</v>
      </c>
      <c r="Q1345">
        <v>106.25</v>
      </c>
      <c r="R1345">
        <v>85</v>
      </c>
      <c r="S1345">
        <v>127.5</v>
      </c>
      <c r="T1345" t="s">
        <v>7313</v>
      </c>
    </row>
    <row r="1346" spans="1:20">
      <c r="A1346">
        <v>685879</v>
      </c>
      <c r="B1346" t="s">
        <v>7314</v>
      </c>
      <c r="C1346" t="str">
        <f>"9781554580354"</f>
        <v>9781554580354</v>
      </c>
      <c r="D1346" t="str">
        <f>"9781554581276"</f>
        <v>9781554581276</v>
      </c>
      <c r="E1346" t="s">
        <v>6047</v>
      </c>
      <c r="F1346" t="s">
        <v>6047</v>
      </c>
      <c r="G1346" s="1">
        <v>39560</v>
      </c>
      <c r="I1346" t="s">
        <v>7315</v>
      </c>
      <c r="J1346" t="s">
        <v>7316</v>
      </c>
      <c r="K1346" t="s">
        <v>1892</v>
      </c>
      <c r="L1346" t="s">
        <v>7317</v>
      </c>
      <c r="M1346" t="s">
        <v>7318</v>
      </c>
      <c r="N1346" t="s">
        <v>7319</v>
      </c>
      <c r="O1346" t="s">
        <v>26</v>
      </c>
      <c r="P1346">
        <v>85</v>
      </c>
      <c r="Q1346">
        <v>106.25</v>
      </c>
      <c r="R1346">
        <v>85</v>
      </c>
      <c r="S1346">
        <v>127.5</v>
      </c>
      <c r="T1346" t="s">
        <v>7320</v>
      </c>
    </row>
    <row r="1347" spans="1:20">
      <c r="A1347">
        <v>685880</v>
      </c>
      <c r="B1347" t="s">
        <v>7321</v>
      </c>
      <c r="C1347" t="str">
        <f>"9780889204195"</f>
        <v>9780889204195</v>
      </c>
      <c r="D1347" t="str">
        <f>"9781554581283"</f>
        <v>9781554581283</v>
      </c>
      <c r="E1347" t="s">
        <v>6047</v>
      </c>
      <c r="F1347" t="s">
        <v>6047</v>
      </c>
      <c r="G1347" s="1">
        <v>38718</v>
      </c>
      <c r="I1347" t="s">
        <v>6048</v>
      </c>
      <c r="J1347" t="s">
        <v>7322</v>
      </c>
      <c r="K1347" t="s">
        <v>1892</v>
      </c>
      <c r="L1347" t="s">
        <v>7323</v>
      </c>
      <c r="M1347" t="s">
        <v>7324</v>
      </c>
      <c r="N1347" t="s">
        <v>7325</v>
      </c>
      <c r="O1347" t="s">
        <v>26</v>
      </c>
      <c r="P1347">
        <v>85</v>
      </c>
      <c r="Q1347">
        <v>106.25</v>
      </c>
      <c r="R1347">
        <v>85</v>
      </c>
      <c r="S1347">
        <v>127.5</v>
      </c>
      <c r="T1347" t="s">
        <v>7326</v>
      </c>
    </row>
    <row r="1348" spans="1:20">
      <c r="A1348">
        <v>685881</v>
      </c>
      <c r="B1348" t="s">
        <v>7327</v>
      </c>
      <c r="C1348" t="str">
        <f>"9780889204454"</f>
        <v>9780889204454</v>
      </c>
      <c r="D1348" t="str">
        <f>"9780889209343"</f>
        <v>9780889209343</v>
      </c>
      <c r="E1348" t="s">
        <v>6047</v>
      </c>
      <c r="F1348" t="s">
        <v>6047</v>
      </c>
      <c r="G1348" s="1">
        <v>38718</v>
      </c>
      <c r="I1348" t="s">
        <v>6048</v>
      </c>
      <c r="J1348" t="s">
        <v>7328</v>
      </c>
      <c r="K1348" t="s">
        <v>1892</v>
      </c>
      <c r="L1348" t="s">
        <v>7329</v>
      </c>
      <c r="M1348" t="s">
        <v>7144</v>
      </c>
      <c r="N1348" t="s">
        <v>7330</v>
      </c>
      <c r="O1348" t="s">
        <v>26</v>
      </c>
      <c r="P1348">
        <v>85</v>
      </c>
      <c r="Q1348">
        <v>106.25</v>
      </c>
      <c r="R1348">
        <v>85</v>
      </c>
      <c r="S1348">
        <v>127.5</v>
      </c>
      <c r="T1348" t="s">
        <v>7331</v>
      </c>
    </row>
    <row r="1349" spans="1:20">
      <c r="A1349">
        <v>685882</v>
      </c>
      <c r="B1349" t="s">
        <v>7332</v>
      </c>
      <c r="C1349" t="str">
        <f>"9780889205055"</f>
        <v>9780889205055</v>
      </c>
      <c r="D1349" t="str">
        <f>"9781554581290"</f>
        <v>9781554581290</v>
      </c>
      <c r="E1349" t="s">
        <v>6047</v>
      </c>
      <c r="F1349" t="s">
        <v>6047</v>
      </c>
      <c r="G1349" s="1">
        <v>39122</v>
      </c>
      <c r="J1349" t="s">
        <v>7333</v>
      </c>
      <c r="K1349" t="s">
        <v>1150</v>
      </c>
      <c r="L1349" t="s">
        <v>7334</v>
      </c>
      <c r="M1349" t="s">
        <v>7335</v>
      </c>
      <c r="N1349" t="s">
        <v>7336</v>
      </c>
      <c r="O1349" t="s">
        <v>26</v>
      </c>
      <c r="P1349">
        <v>85</v>
      </c>
      <c r="Q1349">
        <v>106.25</v>
      </c>
      <c r="R1349">
        <v>85</v>
      </c>
      <c r="S1349">
        <v>127.5</v>
      </c>
      <c r="T1349" t="s">
        <v>7337</v>
      </c>
    </row>
    <row r="1350" spans="1:20">
      <c r="A1350">
        <v>685883</v>
      </c>
      <c r="B1350" t="s">
        <v>7338</v>
      </c>
      <c r="C1350" t="str">
        <f>"9781554580347"</f>
        <v>9781554580347</v>
      </c>
      <c r="D1350" t="str">
        <f>"9781554581306"</f>
        <v>9781554581306</v>
      </c>
      <c r="E1350" t="s">
        <v>6047</v>
      </c>
      <c r="F1350" t="s">
        <v>6047</v>
      </c>
      <c r="G1350" s="1">
        <v>39790</v>
      </c>
      <c r="J1350" t="s">
        <v>7339</v>
      </c>
      <c r="K1350" t="s">
        <v>2260</v>
      </c>
      <c r="L1350" t="s">
        <v>7340</v>
      </c>
      <c r="M1350">
        <v>616.80092000000002</v>
      </c>
      <c r="N1350" t="s">
        <v>7341</v>
      </c>
      <c r="O1350" t="s">
        <v>26</v>
      </c>
      <c r="P1350">
        <v>85</v>
      </c>
      <c r="Q1350">
        <v>106.25</v>
      </c>
      <c r="R1350">
        <v>85</v>
      </c>
      <c r="S1350">
        <v>127.5</v>
      </c>
      <c r="T1350" t="s">
        <v>7342</v>
      </c>
    </row>
    <row r="1351" spans="1:20">
      <c r="A1351">
        <v>685885</v>
      </c>
      <c r="B1351" t="s">
        <v>7343</v>
      </c>
      <c r="C1351" t="str">
        <f>"9780889201392"</f>
        <v>9780889201392</v>
      </c>
      <c r="D1351" t="str">
        <f>"9780889206199"</f>
        <v>9780889206199</v>
      </c>
      <c r="E1351" t="s">
        <v>6047</v>
      </c>
      <c r="F1351" t="s">
        <v>6047</v>
      </c>
      <c r="G1351" s="1">
        <v>38718</v>
      </c>
      <c r="J1351" t="s">
        <v>7344</v>
      </c>
      <c r="K1351" t="s">
        <v>263</v>
      </c>
      <c r="L1351" t="s">
        <v>7345</v>
      </c>
      <c r="M1351" t="s">
        <v>7346</v>
      </c>
      <c r="N1351" t="s">
        <v>7347</v>
      </c>
      <c r="O1351" t="s">
        <v>26</v>
      </c>
      <c r="P1351">
        <v>85</v>
      </c>
      <c r="Q1351">
        <v>106.25</v>
      </c>
      <c r="R1351">
        <v>85</v>
      </c>
      <c r="S1351">
        <v>127.5</v>
      </c>
      <c r="T1351" t="s">
        <v>7348</v>
      </c>
    </row>
    <row r="1352" spans="1:20">
      <c r="A1352">
        <v>685886</v>
      </c>
      <c r="B1352" t="s">
        <v>7349</v>
      </c>
      <c r="C1352" t="str">
        <f>"9780889203969"</f>
        <v>9780889203969</v>
      </c>
      <c r="D1352" t="str">
        <f>"9780889206182"</f>
        <v>9780889206182</v>
      </c>
      <c r="E1352" t="s">
        <v>6047</v>
      </c>
      <c r="F1352" t="s">
        <v>6047</v>
      </c>
      <c r="G1352" s="1">
        <v>38718</v>
      </c>
      <c r="I1352" t="s">
        <v>6061</v>
      </c>
      <c r="J1352" t="s">
        <v>7350</v>
      </c>
      <c r="K1352" t="s">
        <v>291</v>
      </c>
      <c r="L1352" t="s">
        <v>7351</v>
      </c>
      <c r="M1352" t="s">
        <v>7352</v>
      </c>
      <c r="N1352" t="s">
        <v>7353</v>
      </c>
      <c r="O1352" t="s">
        <v>26</v>
      </c>
      <c r="P1352">
        <v>85</v>
      </c>
      <c r="Q1352">
        <v>106.25</v>
      </c>
      <c r="R1352">
        <v>85</v>
      </c>
      <c r="S1352">
        <v>127.5</v>
      </c>
      <c r="T1352" t="s">
        <v>7354</v>
      </c>
    </row>
    <row r="1353" spans="1:20">
      <c r="A1353">
        <v>685887</v>
      </c>
      <c r="B1353" t="s">
        <v>7355</v>
      </c>
      <c r="C1353" t="str">
        <f>"9780889203129"</f>
        <v>9780889203129</v>
      </c>
      <c r="D1353" t="str">
        <f>"9780889206175"</f>
        <v>9780889206175</v>
      </c>
      <c r="E1353" t="s">
        <v>6047</v>
      </c>
      <c r="F1353" t="s">
        <v>6047</v>
      </c>
      <c r="G1353" s="1">
        <v>38718</v>
      </c>
      <c r="J1353" t="s">
        <v>7356</v>
      </c>
      <c r="K1353" t="s">
        <v>1550</v>
      </c>
      <c r="L1353" t="s">
        <v>7357</v>
      </c>
      <c r="M1353" t="s">
        <v>7358</v>
      </c>
      <c r="N1353" t="s">
        <v>7359</v>
      </c>
      <c r="O1353" t="s">
        <v>26</v>
      </c>
      <c r="P1353">
        <v>85</v>
      </c>
      <c r="Q1353">
        <v>106.25</v>
      </c>
      <c r="R1353">
        <v>85</v>
      </c>
      <c r="S1353">
        <v>127.5</v>
      </c>
      <c r="T1353" t="s">
        <v>7360</v>
      </c>
    </row>
    <row r="1354" spans="1:20">
      <c r="A1354">
        <v>685888</v>
      </c>
      <c r="B1354" t="s">
        <v>7361</v>
      </c>
      <c r="C1354" t="str">
        <f>"9781554580279"</f>
        <v>9781554580279</v>
      </c>
      <c r="D1354" t="str">
        <f>"9781554581313"</f>
        <v>9781554581313</v>
      </c>
      <c r="E1354" t="s">
        <v>6047</v>
      </c>
      <c r="F1354" t="s">
        <v>6047</v>
      </c>
      <c r="G1354" s="1">
        <v>39723</v>
      </c>
      <c r="I1354" t="s">
        <v>7362</v>
      </c>
      <c r="J1354" t="s">
        <v>7363</v>
      </c>
      <c r="K1354" t="s">
        <v>467</v>
      </c>
      <c r="L1354" t="s">
        <v>7364</v>
      </c>
      <c r="M1354">
        <v>325.24299999999999</v>
      </c>
      <c r="N1354" t="s">
        <v>7365</v>
      </c>
      <c r="O1354" t="s">
        <v>26</v>
      </c>
      <c r="P1354">
        <v>85</v>
      </c>
      <c r="Q1354">
        <v>106.25</v>
      </c>
      <c r="R1354">
        <v>85</v>
      </c>
      <c r="S1354">
        <v>127.5</v>
      </c>
      <c r="T1354" t="s">
        <v>7366</v>
      </c>
    </row>
    <row r="1355" spans="1:20">
      <c r="A1355">
        <v>685889</v>
      </c>
      <c r="B1355" t="s">
        <v>7367</v>
      </c>
      <c r="C1355" t="str">
        <f>"9780889202085"</f>
        <v>9780889202085</v>
      </c>
      <c r="D1355" t="str">
        <f>"9780889206168"</f>
        <v>9780889206168</v>
      </c>
      <c r="E1355" t="s">
        <v>6047</v>
      </c>
      <c r="F1355" t="s">
        <v>6047</v>
      </c>
      <c r="G1355" s="1">
        <v>38718</v>
      </c>
      <c r="I1355" t="s">
        <v>6048</v>
      </c>
      <c r="J1355" t="s">
        <v>7368</v>
      </c>
      <c r="K1355" t="s">
        <v>1859</v>
      </c>
      <c r="L1355" t="s">
        <v>7369</v>
      </c>
      <c r="M1355">
        <v>170</v>
      </c>
      <c r="N1355" t="s">
        <v>7370</v>
      </c>
      <c r="O1355" t="s">
        <v>26</v>
      </c>
      <c r="P1355">
        <v>85</v>
      </c>
      <c r="Q1355">
        <v>106.25</v>
      </c>
      <c r="R1355">
        <v>85</v>
      </c>
      <c r="S1355">
        <v>127.5</v>
      </c>
      <c r="T1355" t="s">
        <v>7371</v>
      </c>
    </row>
    <row r="1356" spans="1:20">
      <c r="A1356">
        <v>685890</v>
      </c>
      <c r="B1356" t="s">
        <v>7372</v>
      </c>
      <c r="C1356" t="str">
        <f>"9780889200326"</f>
        <v>9780889200326</v>
      </c>
      <c r="D1356" t="str">
        <f>"9780889206151"</f>
        <v>9780889206151</v>
      </c>
      <c r="E1356" t="s">
        <v>6047</v>
      </c>
      <c r="F1356" t="s">
        <v>6047</v>
      </c>
      <c r="G1356" s="1">
        <v>38718</v>
      </c>
      <c r="J1356" t="s">
        <v>7373</v>
      </c>
      <c r="K1356" t="s">
        <v>1464</v>
      </c>
      <c r="L1356" t="s">
        <v>7374</v>
      </c>
      <c r="M1356">
        <v>840</v>
      </c>
      <c r="N1356" t="s">
        <v>7375</v>
      </c>
      <c r="O1356" t="s">
        <v>94</v>
      </c>
      <c r="P1356">
        <v>85</v>
      </c>
      <c r="Q1356">
        <v>106.25</v>
      </c>
      <c r="R1356">
        <v>85</v>
      </c>
      <c r="S1356">
        <v>127.5</v>
      </c>
      <c r="T1356" t="s">
        <v>7376</v>
      </c>
    </row>
    <row r="1357" spans="1:20">
      <c r="A1357">
        <v>685892</v>
      </c>
      <c r="B1357" t="s">
        <v>7377</v>
      </c>
      <c r="C1357" t="str">
        <f>"9780889204829"</f>
        <v>9780889204829</v>
      </c>
      <c r="D1357" t="str">
        <f>"9780889209114"</f>
        <v>9780889209114</v>
      </c>
      <c r="E1357" t="s">
        <v>6047</v>
      </c>
      <c r="F1357" t="s">
        <v>6047</v>
      </c>
      <c r="G1357" s="1">
        <v>38718</v>
      </c>
      <c r="I1357" t="s">
        <v>6116</v>
      </c>
      <c r="J1357" t="s">
        <v>7378</v>
      </c>
      <c r="K1357" t="s">
        <v>1892</v>
      </c>
      <c r="L1357" t="s">
        <v>7379</v>
      </c>
      <c r="M1357" t="s">
        <v>7380</v>
      </c>
      <c r="N1357" t="s">
        <v>7381</v>
      </c>
      <c r="O1357" t="s">
        <v>26</v>
      </c>
      <c r="P1357">
        <v>85</v>
      </c>
      <c r="Q1357">
        <v>106.25</v>
      </c>
      <c r="R1357">
        <v>85</v>
      </c>
      <c r="S1357">
        <v>127.5</v>
      </c>
      <c r="T1357" t="s">
        <v>7382</v>
      </c>
    </row>
    <row r="1358" spans="1:20">
      <c r="A1358">
        <v>685893</v>
      </c>
      <c r="B1358" t="s">
        <v>7383</v>
      </c>
      <c r="C1358" t="str">
        <f>"9780889205109"</f>
        <v>9780889205109</v>
      </c>
      <c r="D1358" t="str">
        <f>"9781554581320"</f>
        <v>9781554581320</v>
      </c>
      <c r="E1358" t="s">
        <v>6047</v>
      </c>
      <c r="F1358" t="s">
        <v>6047</v>
      </c>
      <c r="G1358" s="1">
        <v>38841</v>
      </c>
      <c r="I1358" t="s">
        <v>6079</v>
      </c>
      <c r="J1358" t="s">
        <v>7384</v>
      </c>
      <c r="K1358" t="s">
        <v>291</v>
      </c>
      <c r="L1358" t="s">
        <v>7385</v>
      </c>
      <c r="M1358">
        <v>972.94</v>
      </c>
      <c r="N1358" t="s">
        <v>7386</v>
      </c>
      <c r="O1358" t="s">
        <v>26</v>
      </c>
      <c r="P1358">
        <v>85</v>
      </c>
      <c r="Q1358">
        <v>106.25</v>
      </c>
      <c r="R1358">
        <v>85</v>
      </c>
      <c r="S1358">
        <v>127.5</v>
      </c>
      <c r="T1358" t="s">
        <v>7387</v>
      </c>
    </row>
    <row r="1359" spans="1:20">
      <c r="A1359">
        <v>685894</v>
      </c>
      <c r="B1359" t="s">
        <v>7388</v>
      </c>
      <c r="C1359" t="str">
        <f>"9781554580392"</f>
        <v>9781554580392</v>
      </c>
      <c r="D1359" t="str">
        <f>"9781554581337"</f>
        <v>9781554581337</v>
      </c>
      <c r="E1359" t="s">
        <v>6047</v>
      </c>
      <c r="F1359" t="s">
        <v>6047</v>
      </c>
      <c r="G1359" s="1">
        <v>39562</v>
      </c>
      <c r="I1359" t="s">
        <v>6273</v>
      </c>
      <c r="J1359" t="s">
        <v>7389</v>
      </c>
      <c r="K1359" t="s">
        <v>1464</v>
      </c>
      <c r="L1359" t="s">
        <v>7390</v>
      </c>
      <c r="M1359" t="s">
        <v>1497</v>
      </c>
      <c r="N1359" t="s">
        <v>7391</v>
      </c>
      <c r="O1359" t="s">
        <v>26</v>
      </c>
      <c r="P1359">
        <v>85</v>
      </c>
      <c r="Q1359">
        <v>106.25</v>
      </c>
      <c r="R1359">
        <v>85</v>
      </c>
      <c r="S1359">
        <v>127.5</v>
      </c>
      <c r="T1359" t="s">
        <v>7392</v>
      </c>
    </row>
    <row r="1360" spans="1:20">
      <c r="A1360">
        <v>685896</v>
      </c>
      <c r="B1360" t="s">
        <v>7393</v>
      </c>
      <c r="C1360" t="str">
        <f>"9780889204867"</f>
        <v>9780889204867</v>
      </c>
      <c r="D1360" t="str">
        <f>"9780889209107"</f>
        <v>9780889209107</v>
      </c>
      <c r="E1360" t="s">
        <v>6047</v>
      </c>
      <c r="F1360" t="s">
        <v>6047</v>
      </c>
      <c r="G1360" s="1">
        <v>38751</v>
      </c>
      <c r="I1360" t="s">
        <v>6189</v>
      </c>
      <c r="J1360" t="s">
        <v>7394</v>
      </c>
      <c r="K1360" t="s">
        <v>263</v>
      </c>
      <c r="L1360" t="s">
        <v>7395</v>
      </c>
      <c r="M1360" t="s">
        <v>4054</v>
      </c>
      <c r="N1360" t="s">
        <v>7396</v>
      </c>
      <c r="O1360" t="s">
        <v>26</v>
      </c>
      <c r="P1360">
        <v>85</v>
      </c>
      <c r="Q1360">
        <v>106.25</v>
      </c>
      <c r="R1360">
        <v>85</v>
      </c>
      <c r="S1360">
        <v>127.5</v>
      </c>
      <c r="T1360" t="s">
        <v>7397</v>
      </c>
    </row>
    <row r="1361" spans="1:20">
      <c r="A1361">
        <v>685903</v>
      </c>
      <c r="B1361" t="s">
        <v>7398</v>
      </c>
      <c r="C1361" t="str">
        <f>"9780889200517"</f>
        <v>9780889200517</v>
      </c>
      <c r="D1361" t="str">
        <f>"9780889206069"</f>
        <v>9780889206069</v>
      </c>
      <c r="E1361" t="s">
        <v>6047</v>
      </c>
      <c r="F1361" t="s">
        <v>6047</v>
      </c>
      <c r="G1361" s="1">
        <v>38718</v>
      </c>
      <c r="J1361" t="s">
        <v>7399</v>
      </c>
      <c r="K1361" t="s">
        <v>6813</v>
      </c>
      <c r="L1361" t="s">
        <v>7400</v>
      </c>
      <c r="M1361" t="s">
        <v>7401</v>
      </c>
      <c r="N1361" t="s">
        <v>7402</v>
      </c>
      <c r="O1361" t="s">
        <v>26</v>
      </c>
      <c r="P1361">
        <v>85</v>
      </c>
      <c r="Q1361">
        <v>106.25</v>
      </c>
      <c r="R1361">
        <v>85</v>
      </c>
      <c r="S1361">
        <v>127.5</v>
      </c>
      <c r="T1361" t="s">
        <v>7403</v>
      </c>
    </row>
    <row r="1362" spans="1:20">
      <c r="A1362">
        <v>685904</v>
      </c>
      <c r="B1362" t="s">
        <v>7404</v>
      </c>
      <c r="C1362" t="str">
        <f>"9780889209992"</f>
        <v>9780889209992</v>
      </c>
      <c r="D1362" t="str">
        <f>"9780889206052"</f>
        <v>9780889206052</v>
      </c>
      <c r="E1362" t="s">
        <v>6047</v>
      </c>
      <c r="F1362" t="s">
        <v>6047</v>
      </c>
      <c r="G1362" s="1">
        <v>38718</v>
      </c>
      <c r="J1362" t="s">
        <v>7399</v>
      </c>
      <c r="K1362" t="s">
        <v>7075</v>
      </c>
      <c r="L1362" t="s">
        <v>7405</v>
      </c>
      <c r="M1362" t="s">
        <v>7406</v>
      </c>
      <c r="N1362" t="s">
        <v>7407</v>
      </c>
      <c r="O1362" t="s">
        <v>26</v>
      </c>
      <c r="P1362">
        <v>85</v>
      </c>
      <c r="Q1362">
        <v>106.25</v>
      </c>
      <c r="R1362">
        <v>85</v>
      </c>
      <c r="S1362">
        <v>127.5</v>
      </c>
      <c r="T1362" t="s">
        <v>7408</v>
      </c>
    </row>
    <row r="1363" spans="1:20">
      <c r="A1363">
        <v>685905</v>
      </c>
      <c r="B1363" t="s">
        <v>7409</v>
      </c>
      <c r="C1363" t="str">
        <f>"9780889202436"</f>
        <v>9780889202436</v>
      </c>
      <c r="D1363" t="str">
        <f>"9780889206045"</f>
        <v>9780889206045</v>
      </c>
      <c r="E1363" t="s">
        <v>6047</v>
      </c>
      <c r="F1363" t="s">
        <v>6047</v>
      </c>
      <c r="G1363" s="1">
        <v>38718</v>
      </c>
      <c r="J1363" t="s">
        <v>7410</v>
      </c>
      <c r="K1363" t="s">
        <v>1471</v>
      </c>
      <c r="L1363" t="s">
        <v>7411</v>
      </c>
      <c r="M1363" t="s">
        <v>7412</v>
      </c>
      <c r="N1363" t="s">
        <v>7413</v>
      </c>
      <c r="O1363" t="s">
        <v>26</v>
      </c>
      <c r="P1363">
        <v>85</v>
      </c>
      <c r="Q1363">
        <v>106.25</v>
      </c>
      <c r="R1363">
        <v>85</v>
      </c>
      <c r="S1363">
        <v>127.5</v>
      </c>
      <c r="T1363" t="s">
        <v>7414</v>
      </c>
    </row>
    <row r="1364" spans="1:20">
      <c r="A1364">
        <v>685907</v>
      </c>
      <c r="B1364" t="s">
        <v>7415</v>
      </c>
      <c r="C1364" t="str">
        <f>"9780889202481"</f>
        <v>9780889202481</v>
      </c>
      <c r="D1364" t="str">
        <f>"9780889206007"</f>
        <v>9780889206007</v>
      </c>
      <c r="E1364" t="s">
        <v>6047</v>
      </c>
      <c r="F1364" t="s">
        <v>6047</v>
      </c>
      <c r="G1364" s="1">
        <v>38718</v>
      </c>
      <c r="I1364" t="s">
        <v>6061</v>
      </c>
      <c r="J1364" t="s">
        <v>7416</v>
      </c>
      <c r="K1364" t="s">
        <v>3848</v>
      </c>
      <c r="L1364" t="s">
        <v>7417</v>
      </c>
      <c r="M1364">
        <v>800</v>
      </c>
      <c r="N1364" t="s">
        <v>7418</v>
      </c>
      <c r="O1364" t="s">
        <v>26</v>
      </c>
      <c r="P1364">
        <v>85</v>
      </c>
      <c r="Q1364">
        <v>106.25</v>
      </c>
      <c r="R1364">
        <v>85</v>
      </c>
      <c r="S1364">
        <v>127.5</v>
      </c>
      <c r="T1364" t="s">
        <v>7419</v>
      </c>
    </row>
    <row r="1365" spans="1:20">
      <c r="A1365">
        <v>685908</v>
      </c>
      <c r="B1365" t="s">
        <v>7420</v>
      </c>
      <c r="C1365" t="str">
        <f>"9780889205215"</f>
        <v>9780889205215</v>
      </c>
      <c r="D1365" t="str">
        <f>"9780889205321"</f>
        <v>9780889205321</v>
      </c>
      <c r="E1365" t="s">
        <v>6047</v>
      </c>
      <c r="F1365" t="s">
        <v>6047</v>
      </c>
      <c r="G1365" s="1">
        <v>38783</v>
      </c>
      <c r="H1365">
        <v>3</v>
      </c>
      <c r="I1365" t="s">
        <v>6061</v>
      </c>
      <c r="J1365" t="s">
        <v>7416</v>
      </c>
      <c r="K1365" t="s">
        <v>2387</v>
      </c>
      <c r="L1365" t="s">
        <v>7421</v>
      </c>
      <c r="M1365" t="s">
        <v>7422</v>
      </c>
      <c r="N1365" t="s">
        <v>7423</v>
      </c>
      <c r="O1365" t="s">
        <v>26</v>
      </c>
      <c r="P1365">
        <v>85</v>
      </c>
      <c r="Q1365">
        <v>106.25</v>
      </c>
      <c r="R1365">
        <v>85</v>
      </c>
      <c r="S1365">
        <v>127.5</v>
      </c>
      <c r="T1365" t="s">
        <v>7424</v>
      </c>
    </row>
    <row r="1366" spans="1:20">
      <c r="A1366">
        <v>685909</v>
      </c>
      <c r="B1366" t="s">
        <v>7425</v>
      </c>
      <c r="C1366" t="str">
        <f>"9780889203211"</f>
        <v>9780889203211</v>
      </c>
      <c r="D1366" t="str">
        <f>"9780889205994"</f>
        <v>9780889205994</v>
      </c>
      <c r="E1366" t="s">
        <v>6047</v>
      </c>
      <c r="F1366" t="s">
        <v>6047</v>
      </c>
      <c r="G1366" s="1">
        <v>38718</v>
      </c>
      <c r="I1366" t="s">
        <v>6048</v>
      </c>
      <c r="J1366" t="s">
        <v>7426</v>
      </c>
      <c r="K1366" t="s">
        <v>3095</v>
      </c>
      <c r="L1366" t="s">
        <v>7427</v>
      </c>
      <c r="M1366" t="s">
        <v>3097</v>
      </c>
      <c r="N1366" t="s">
        <v>7428</v>
      </c>
      <c r="O1366" t="s">
        <v>26</v>
      </c>
      <c r="P1366">
        <v>85</v>
      </c>
      <c r="Q1366">
        <v>106.25</v>
      </c>
      <c r="R1366">
        <v>85</v>
      </c>
      <c r="S1366">
        <v>127.5</v>
      </c>
      <c r="T1366" t="s">
        <v>7429</v>
      </c>
    </row>
    <row r="1367" spans="1:20">
      <c r="A1367">
        <v>685911</v>
      </c>
      <c r="B1367" t="s">
        <v>7430</v>
      </c>
      <c r="C1367" t="str">
        <f>"9780889203457"</f>
        <v>9780889203457</v>
      </c>
      <c r="D1367" t="str">
        <f>"9780889205970"</f>
        <v>9780889205970</v>
      </c>
      <c r="E1367" t="s">
        <v>6047</v>
      </c>
      <c r="F1367" t="s">
        <v>6047</v>
      </c>
      <c r="G1367" s="1">
        <v>38718</v>
      </c>
      <c r="J1367" t="s">
        <v>7431</v>
      </c>
      <c r="K1367" t="s">
        <v>291</v>
      </c>
      <c r="L1367" t="s">
        <v>7432</v>
      </c>
      <c r="M1367">
        <v>968.79100000000005</v>
      </c>
      <c r="N1367" t="s">
        <v>7433</v>
      </c>
      <c r="O1367" t="s">
        <v>26</v>
      </c>
      <c r="P1367">
        <v>85</v>
      </c>
      <c r="Q1367">
        <v>106.25</v>
      </c>
      <c r="R1367">
        <v>85</v>
      </c>
      <c r="S1367">
        <v>127.5</v>
      </c>
      <c r="T1367" t="s">
        <v>7434</v>
      </c>
    </row>
    <row r="1368" spans="1:20">
      <c r="A1368">
        <v>685912</v>
      </c>
      <c r="B1368" t="s">
        <v>7435</v>
      </c>
      <c r="C1368" t="str">
        <f>"9780889204980"</f>
        <v>9780889204980</v>
      </c>
      <c r="D1368" t="str">
        <f>"9781554581344"</f>
        <v>9781554581344</v>
      </c>
      <c r="E1368" t="s">
        <v>6047</v>
      </c>
      <c r="F1368" t="s">
        <v>6047</v>
      </c>
      <c r="G1368" s="1">
        <v>38828</v>
      </c>
      <c r="J1368" t="s">
        <v>7431</v>
      </c>
      <c r="K1368" t="s">
        <v>291</v>
      </c>
      <c r="L1368" t="s">
        <v>7436</v>
      </c>
      <c r="M1368" t="s">
        <v>7437</v>
      </c>
      <c r="N1368" t="s">
        <v>7438</v>
      </c>
      <c r="O1368" t="s">
        <v>26</v>
      </c>
      <c r="P1368">
        <v>85</v>
      </c>
      <c r="Q1368">
        <v>106.25</v>
      </c>
      <c r="R1368">
        <v>85</v>
      </c>
      <c r="S1368">
        <v>127.5</v>
      </c>
      <c r="T1368" t="s">
        <v>7439</v>
      </c>
    </row>
    <row r="1369" spans="1:20">
      <c r="A1369">
        <v>685913</v>
      </c>
      <c r="B1369" t="s">
        <v>7440</v>
      </c>
      <c r="C1369" t="str">
        <f>"9780889209916"</f>
        <v>9780889209916</v>
      </c>
      <c r="D1369" t="str">
        <f>"9780889205963"</f>
        <v>9780889205963</v>
      </c>
      <c r="E1369" t="s">
        <v>6047</v>
      </c>
      <c r="F1369" t="s">
        <v>6047</v>
      </c>
      <c r="G1369" s="1">
        <v>38718</v>
      </c>
      <c r="J1369" t="s">
        <v>7441</v>
      </c>
      <c r="K1369" t="s">
        <v>1892</v>
      </c>
      <c r="L1369" t="s">
        <v>7442</v>
      </c>
      <c r="M1369">
        <v>242</v>
      </c>
      <c r="N1369" t="s">
        <v>7443</v>
      </c>
      <c r="O1369" t="s">
        <v>26</v>
      </c>
      <c r="P1369">
        <v>85</v>
      </c>
      <c r="Q1369">
        <v>106.25</v>
      </c>
      <c r="R1369">
        <v>85</v>
      </c>
      <c r="S1369">
        <v>127.5</v>
      </c>
      <c r="T1369" t="s">
        <v>7444</v>
      </c>
    </row>
    <row r="1370" spans="1:20">
      <c r="A1370">
        <v>685914</v>
      </c>
      <c r="B1370" t="s">
        <v>7445</v>
      </c>
      <c r="C1370" t="str">
        <f>"9780889209787"</f>
        <v>9780889209787</v>
      </c>
      <c r="D1370" t="str">
        <f>"9780889205956"</f>
        <v>9780889205956</v>
      </c>
      <c r="E1370" t="s">
        <v>6047</v>
      </c>
      <c r="F1370" t="s">
        <v>6047</v>
      </c>
      <c r="G1370" s="1">
        <v>38718</v>
      </c>
      <c r="J1370" t="s">
        <v>7446</v>
      </c>
      <c r="K1370" t="s">
        <v>568</v>
      </c>
      <c r="L1370" t="s">
        <v>7447</v>
      </c>
      <c r="M1370" t="s">
        <v>7448</v>
      </c>
      <c r="N1370" t="s">
        <v>7449</v>
      </c>
      <c r="O1370" t="s">
        <v>26</v>
      </c>
      <c r="P1370">
        <v>85</v>
      </c>
      <c r="Q1370">
        <v>106.25</v>
      </c>
      <c r="R1370">
        <v>85</v>
      </c>
      <c r="S1370">
        <v>127.5</v>
      </c>
      <c r="T1370" t="s">
        <v>7450</v>
      </c>
    </row>
    <row r="1371" spans="1:20">
      <c r="A1371">
        <v>685915</v>
      </c>
      <c r="B1371" t="s">
        <v>7451</v>
      </c>
      <c r="C1371" t="str">
        <f>"9780889201118"</f>
        <v>9780889201118</v>
      </c>
      <c r="D1371" t="str">
        <f>"9780889205949"</f>
        <v>9780889205949</v>
      </c>
      <c r="E1371" t="s">
        <v>6047</v>
      </c>
      <c r="F1371" t="s">
        <v>6047</v>
      </c>
      <c r="G1371" s="1">
        <v>38718</v>
      </c>
      <c r="J1371" t="s">
        <v>7452</v>
      </c>
      <c r="K1371" t="s">
        <v>2260</v>
      </c>
      <c r="L1371" t="s">
        <v>7453</v>
      </c>
      <c r="M1371" t="s">
        <v>7454</v>
      </c>
      <c r="N1371" t="s">
        <v>7455</v>
      </c>
      <c r="O1371" t="s">
        <v>26</v>
      </c>
      <c r="P1371">
        <v>85</v>
      </c>
      <c r="Q1371">
        <v>106.25</v>
      </c>
      <c r="R1371">
        <v>85</v>
      </c>
      <c r="S1371">
        <v>127.5</v>
      </c>
      <c r="T1371" t="s">
        <v>7456</v>
      </c>
    </row>
    <row r="1372" spans="1:20">
      <c r="A1372">
        <v>685916</v>
      </c>
      <c r="B1372" t="s">
        <v>7457</v>
      </c>
      <c r="C1372" t="str">
        <f>"9780889205161"</f>
        <v>9780889205161</v>
      </c>
      <c r="D1372" t="str">
        <f>"9781554581351"</f>
        <v>9781554581351</v>
      </c>
      <c r="E1372" t="s">
        <v>6047</v>
      </c>
      <c r="F1372" t="s">
        <v>6047</v>
      </c>
      <c r="G1372" s="1">
        <v>39118</v>
      </c>
      <c r="I1372" t="s">
        <v>6683</v>
      </c>
      <c r="J1372" t="s">
        <v>7458</v>
      </c>
      <c r="K1372" t="s">
        <v>4081</v>
      </c>
      <c r="L1372" t="s">
        <v>7459</v>
      </c>
      <c r="M1372" t="s">
        <v>7460</v>
      </c>
      <c r="N1372" t="s">
        <v>7461</v>
      </c>
      <c r="O1372" t="s">
        <v>26</v>
      </c>
      <c r="P1372">
        <v>85</v>
      </c>
      <c r="Q1372">
        <v>106.25</v>
      </c>
      <c r="R1372">
        <v>85</v>
      </c>
      <c r="S1372">
        <v>127.5</v>
      </c>
      <c r="T1372" t="s">
        <v>7462</v>
      </c>
    </row>
    <row r="1373" spans="1:20">
      <c r="A1373">
        <v>685917</v>
      </c>
      <c r="B1373" t="s">
        <v>7463</v>
      </c>
      <c r="C1373" t="str">
        <f>"9781554581566"</f>
        <v>9781554581566</v>
      </c>
      <c r="D1373" t="str">
        <f>"9781554581740"</f>
        <v>9781554581740</v>
      </c>
      <c r="E1373" t="s">
        <v>6047</v>
      </c>
      <c r="F1373" t="s">
        <v>6047</v>
      </c>
      <c r="G1373" s="1">
        <v>40162</v>
      </c>
      <c r="I1373" t="s">
        <v>6079</v>
      </c>
      <c r="J1373" t="s">
        <v>7464</v>
      </c>
      <c r="K1373" t="s">
        <v>305</v>
      </c>
      <c r="L1373" t="s">
        <v>7465</v>
      </c>
      <c r="M1373" t="s">
        <v>7466</v>
      </c>
      <c r="N1373" t="s">
        <v>7467</v>
      </c>
      <c r="O1373" t="s">
        <v>26</v>
      </c>
      <c r="P1373">
        <v>85</v>
      </c>
      <c r="Q1373">
        <v>106.25</v>
      </c>
      <c r="R1373">
        <v>85</v>
      </c>
      <c r="S1373">
        <v>127.5</v>
      </c>
      <c r="T1373" t="s">
        <v>7468</v>
      </c>
    </row>
    <row r="1374" spans="1:20">
      <c r="A1374">
        <v>685920</v>
      </c>
      <c r="B1374" t="s">
        <v>7469</v>
      </c>
      <c r="C1374" t="str">
        <f>"9781554581498"</f>
        <v>9781554581498</v>
      </c>
      <c r="D1374" t="str">
        <f>"9781554581757"</f>
        <v>9781554581757</v>
      </c>
      <c r="E1374" t="s">
        <v>6047</v>
      </c>
      <c r="F1374" t="s">
        <v>6047</v>
      </c>
      <c r="G1374" s="1">
        <v>39868</v>
      </c>
      <c r="I1374" t="s">
        <v>6048</v>
      </c>
      <c r="J1374" t="s">
        <v>7470</v>
      </c>
      <c r="K1374" t="s">
        <v>1464</v>
      </c>
      <c r="L1374" t="s">
        <v>7471</v>
      </c>
      <c r="M1374">
        <v>800</v>
      </c>
      <c r="N1374" t="s">
        <v>7472</v>
      </c>
      <c r="O1374" t="s">
        <v>26</v>
      </c>
      <c r="P1374">
        <v>85</v>
      </c>
      <c r="Q1374">
        <v>106.25</v>
      </c>
      <c r="R1374">
        <v>85</v>
      </c>
      <c r="S1374">
        <v>127.5</v>
      </c>
      <c r="T1374" t="s">
        <v>7473</v>
      </c>
    </row>
    <row r="1375" spans="1:20">
      <c r="A1375">
        <v>685921</v>
      </c>
      <c r="B1375" t="s">
        <v>7474</v>
      </c>
      <c r="C1375" t="str">
        <f>"9780889209596"</f>
        <v>9780889209596</v>
      </c>
      <c r="D1375" t="str">
        <f>"9780889205925"</f>
        <v>9780889205925</v>
      </c>
      <c r="E1375" t="s">
        <v>6047</v>
      </c>
      <c r="F1375" t="s">
        <v>6047</v>
      </c>
      <c r="G1375" s="1">
        <v>38718</v>
      </c>
      <c r="J1375" t="s">
        <v>7475</v>
      </c>
      <c r="K1375" t="s">
        <v>1464</v>
      </c>
      <c r="L1375" t="s">
        <v>7476</v>
      </c>
      <c r="M1375">
        <v>823</v>
      </c>
      <c r="N1375" t="s">
        <v>7477</v>
      </c>
      <c r="O1375" t="s">
        <v>26</v>
      </c>
      <c r="P1375">
        <v>85</v>
      </c>
      <c r="Q1375">
        <v>106.25</v>
      </c>
      <c r="R1375">
        <v>85</v>
      </c>
      <c r="S1375">
        <v>127.5</v>
      </c>
      <c r="T1375" t="s">
        <v>7478</v>
      </c>
    </row>
    <row r="1376" spans="1:20">
      <c r="A1376">
        <v>685924</v>
      </c>
      <c r="B1376" t="s">
        <v>7479</v>
      </c>
      <c r="C1376" t="str">
        <f>"9781554580545"</f>
        <v>9781554580545</v>
      </c>
      <c r="D1376" t="str">
        <f>"9781554582945"</f>
        <v>9781554582945</v>
      </c>
      <c r="E1376" t="s">
        <v>6047</v>
      </c>
      <c r="F1376" t="s">
        <v>6047</v>
      </c>
      <c r="G1376" s="1">
        <v>40029</v>
      </c>
      <c r="J1376" t="s">
        <v>7480</v>
      </c>
      <c r="K1376" t="s">
        <v>1464</v>
      </c>
      <c r="L1376" t="s">
        <v>7481</v>
      </c>
      <c r="M1376">
        <v>810.93579999999997</v>
      </c>
      <c r="N1376" t="s">
        <v>7482</v>
      </c>
      <c r="O1376" t="s">
        <v>26</v>
      </c>
      <c r="P1376">
        <v>85</v>
      </c>
      <c r="Q1376">
        <v>106.25</v>
      </c>
      <c r="R1376">
        <v>85</v>
      </c>
      <c r="S1376">
        <v>127.5</v>
      </c>
      <c r="T1376" t="s">
        <v>7483</v>
      </c>
    </row>
    <row r="1377" spans="1:20">
      <c r="A1377">
        <v>685925</v>
      </c>
      <c r="B1377" t="s">
        <v>7484</v>
      </c>
      <c r="C1377" t="str">
        <f>"9780889203518"</f>
        <v>9780889203518</v>
      </c>
      <c r="D1377" t="str">
        <f>"9780889205895"</f>
        <v>9780889205895</v>
      </c>
      <c r="E1377" t="s">
        <v>6047</v>
      </c>
      <c r="F1377" t="s">
        <v>6047</v>
      </c>
      <c r="G1377" s="1">
        <v>38718</v>
      </c>
      <c r="I1377" t="s">
        <v>6152</v>
      </c>
      <c r="J1377" t="s">
        <v>7485</v>
      </c>
      <c r="K1377" t="s">
        <v>263</v>
      </c>
      <c r="L1377" t="s">
        <v>7486</v>
      </c>
      <c r="M1377" t="s">
        <v>7487</v>
      </c>
      <c r="N1377" t="s">
        <v>7488</v>
      </c>
      <c r="O1377" t="s">
        <v>26</v>
      </c>
      <c r="P1377">
        <v>85</v>
      </c>
      <c r="Q1377">
        <v>106.25</v>
      </c>
      <c r="R1377">
        <v>85</v>
      </c>
      <c r="S1377">
        <v>127.5</v>
      </c>
      <c r="T1377" t="s">
        <v>7489</v>
      </c>
    </row>
    <row r="1378" spans="1:20">
      <c r="A1378">
        <v>685926</v>
      </c>
      <c r="B1378" t="s">
        <v>7490</v>
      </c>
      <c r="C1378" t="str">
        <f>"9780889203198"</f>
        <v>9780889203198</v>
      </c>
      <c r="D1378" t="str">
        <f>"9780889205888"</f>
        <v>9780889205888</v>
      </c>
      <c r="E1378" t="s">
        <v>6047</v>
      </c>
      <c r="F1378" t="s">
        <v>6047</v>
      </c>
      <c r="G1378" s="1">
        <v>38718</v>
      </c>
      <c r="J1378" t="s">
        <v>7491</v>
      </c>
      <c r="K1378" t="s">
        <v>291</v>
      </c>
      <c r="L1378" t="s">
        <v>7492</v>
      </c>
      <c r="M1378" t="s">
        <v>7493</v>
      </c>
      <c r="N1378" t="s">
        <v>7494</v>
      </c>
      <c r="O1378" t="s">
        <v>26</v>
      </c>
      <c r="P1378">
        <v>85</v>
      </c>
      <c r="Q1378">
        <v>106.25</v>
      </c>
      <c r="R1378">
        <v>85</v>
      </c>
      <c r="S1378">
        <v>127.5</v>
      </c>
      <c r="T1378" t="s">
        <v>7495</v>
      </c>
    </row>
    <row r="1379" spans="1:20">
      <c r="A1379">
        <v>685930</v>
      </c>
      <c r="B1379" t="s">
        <v>7496</v>
      </c>
      <c r="C1379" t="str">
        <f>"9780889204997"</f>
        <v>9780889204997</v>
      </c>
      <c r="D1379" t="str">
        <f>"9781554581375"</f>
        <v>9781554581375</v>
      </c>
      <c r="E1379" t="s">
        <v>6047</v>
      </c>
      <c r="F1379" t="s">
        <v>6047</v>
      </c>
      <c r="G1379" s="1">
        <v>38866</v>
      </c>
      <c r="J1379" t="s">
        <v>7497</v>
      </c>
      <c r="K1379" t="s">
        <v>263</v>
      </c>
      <c r="L1379" t="s">
        <v>7498</v>
      </c>
      <c r="M1379" t="s">
        <v>7499</v>
      </c>
      <c r="N1379" t="s">
        <v>7500</v>
      </c>
      <c r="O1379" t="s">
        <v>26</v>
      </c>
      <c r="P1379">
        <v>85</v>
      </c>
      <c r="Q1379">
        <v>106.25</v>
      </c>
      <c r="R1379">
        <v>85</v>
      </c>
      <c r="S1379">
        <v>127.5</v>
      </c>
      <c r="T1379" t="s">
        <v>7501</v>
      </c>
    </row>
    <row r="1380" spans="1:20">
      <c r="A1380">
        <v>685936</v>
      </c>
      <c r="B1380" t="s">
        <v>7502</v>
      </c>
      <c r="C1380" t="str">
        <f>"9780889204249"</f>
        <v>9780889204249</v>
      </c>
      <c r="D1380" t="str">
        <f>"9780889205796"</f>
        <v>9780889205796</v>
      </c>
      <c r="E1380" t="s">
        <v>6047</v>
      </c>
      <c r="F1380" t="s">
        <v>6047</v>
      </c>
      <c r="G1380" s="1">
        <v>38718</v>
      </c>
      <c r="I1380" t="s">
        <v>7123</v>
      </c>
      <c r="J1380" t="s">
        <v>7503</v>
      </c>
      <c r="K1380" t="s">
        <v>1892</v>
      </c>
      <c r="L1380" t="s">
        <v>7504</v>
      </c>
      <c r="M1380" t="s">
        <v>7505</v>
      </c>
      <c r="N1380" t="s">
        <v>7506</v>
      </c>
      <c r="O1380" t="s">
        <v>26</v>
      </c>
      <c r="P1380">
        <v>85</v>
      </c>
      <c r="Q1380">
        <v>106.25</v>
      </c>
      <c r="R1380">
        <v>85</v>
      </c>
      <c r="S1380">
        <v>127.5</v>
      </c>
      <c r="T1380" t="s">
        <v>7507</v>
      </c>
    </row>
    <row r="1381" spans="1:20">
      <c r="A1381">
        <v>685937</v>
      </c>
      <c r="B1381" t="s">
        <v>7508</v>
      </c>
      <c r="C1381" t="str">
        <f>"9780889202023"</f>
        <v>9780889202023</v>
      </c>
      <c r="D1381" t="str">
        <f>"9780889205789"</f>
        <v>9780889205789</v>
      </c>
      <c r="E1381" t="s">
        <v>6047</v>
      </c>
      <c r="F1381" t="s">
        <v>6047</v>
      </c>
      <c r="G1381" s="1">
        <v>38718</v>
      </c>
      <c r="J1381" t="s">
        <v>7509</v>
      </c>
      <c r="K1381" t="s">
        <v>1464</v>
      </c>
      <c r="L1381" t="s">
        <v>7510</v>
      </c>
      <c r="M1381" t="s">
        <v>7511</v>
      </c>
      <c r="N1381" t="s">
        <v>7512</v>
      </c>
      <c r="O1381" t="s">
        <v>26</v>
      </c>
      <c r="P1381">
        <v>85</v>
      </c>
      <c r="Q1381">
        <v>106.25</v>
      </c>
      <c r="R1381">
        <v>85</v>
      </c>
      <c r="S1381">
        <v>127.5</v>
      </c>
      <c r="T1381" t="s">
        <v>7513</v>
      </c>
    </row>
    <row r="1382" spans="1:20">
      <c r="A1382">
        <v>685938</v>
      </c>
      <c r="B1382" t="s">
        <v>7514</v>
      </c>
      <c r="C1382" t="str">
        <f>"9780889204874"</f>
        <v>9780889204874</v>
      </c>
      <c r="D1382" t="str">
        <f>"9780889205291"</f>
        <v>9780889205291</v>
      </c>
      <c r="E1382" t="s">
        <v>6047</v>
      </c>
      <c r="F1382" t="s">
        <v>6047</v>
      </c>
      <c r="G1382" s="1">
        <v>38991</v>
      </c>
      <c r="I1382" t="s">
        <v>6463</v>
      </c>
      <c r="J1382" t="s">
        <v>7515</v>
      </c>
      <c r="K1382" t="s">
        <v>1471</v>
      </c>
      <c r="L1382" t="s">
        <v>7516</v>
      </c>
      <c r="M1382" t="s">
        <v>7517</v>
      </c>
      <c r="N1382" t="s">
        <v>7518</v>
      </c>
      <c r="O1382" t="s">
        <v>26</v>
      </c>
      <c r="P1382">
        <v>85</v>
      </c>
      <c r="Q1382">
        <v>106.25</v>
      </c>
      <c r="R1382">
        <v>85</v>
      </c>
      <c r="S1382">
        <v>127.5</v>
      </c>
      <c r="T1382" t="s">
        <v>7519</v>
      </c>
    </row>
    <row r="1383" spans="1:20">
      <c r="A1383">
        <v>685939</v>
      </c>
      <c r="B1383" t="s">
        <v>7520</v>
      </c>
      <c r="C1383" t="str">
        <f>"9780770900632"</f>
        <v>9780770900632</v>
      </c>
      <c r="D1383" t="str">
        <f>"9780889205772"</f>
        <v>9780889205772</v>
      </c>
      <c r="E1383" t="s">
        <v>6047</v>
      </c>
      <c r="F1383" t="s">
        <v>6047</v>
      </c>
      <c r="G1383" s="1">
        <v>38718</v>
      </c>
      <c r="J1383" t="s">
        <v>7521</v>
      </c>
      <c r="K1383" t="s">
        <v>1464</v>
      </c>
      <c r="L1383" t="s">
        <v>7522</v>
      </c>
      <c r="N1383" t="s">
        <v>7523</v>
      </c>
      <c r="O1383" t="s">
        <v>26</v>
      </c>
      <c r="P1383">
        <v>85</v>
      </c>
      <c r="Q1383">
        <v>106.25</v>
      </c>
      <c r="R1383">
        <v>85</v>
      </c>
      <c r="S1383">
        <v>127.5</v>
      </c>
      <c r="T1383" t="s">
        <v>7524</v>
      </c>
    </row>
    <row r="1384" spans="1:20">
      <c r="A1384">
        <v>685940</v>
      </c>
      <c r="B1384" t="s">
        <v>7525</v>
      </c>
      <c r="C1384" t="str">
        <f>"9780889202252"</f>
        <v>9780889202252</v>
      </c>
      <c r="D1384" t="str">
        <f>"9780889205765"</f>
        <v>9780889205765</v>
      </c>
      <c r="E1384" t="s">
        <v>6047</v>
      </c>
      <c r="F1384" t="s">
        <v>6047</v>
      </c>
      <c r="G1384" s="1">
        <v>38718</v>
      </c>
      <c r="J1384" t="s">
        <v>7526</v>
      </c>
      <c r="K1384" t="s">
        <v>1464</v>
      </c>
      <c r="L1384" t="s">
        <v>7527</v>
      </c>
      <c r="M1384">
        <v>800</v>
      </c>
      <c r="N1384" t="s">
        <v>7528</v>
      </c>
      <c r="O1384" t="s">
        <v>26</v>
      </c>
      <c r="P1384">
        <v>85</v>
      </c>
      <c r="Q1384">
        <v>106.25</v>
      </c>
      <c r="R1384">
        <v>85</v>
      </c>
      <c r="S1384">
        <v>127.5</v>
      </c>
      <c r="T1384" t="s">
        <v>7529</v>
      </c>
    </row>
    <row r="1385" spans="1:20">
      <c r="A1385">
        <v>685941</v>
      </c>
      <c r="B1385" t="s">
        <v>7530</v>
      </c>
      <c r="C1385" t="str">
        <f>"9780889204362"</f>
        <v>9780889204362</v>
      </c>
      <c r="D1385" t="str">
        <f>"9780889209152"</f>
        <v>9780889209152</v>
      </c>
      <c r="E1385" t="s">
        <v>6047</v>
      </c>
      <c r="F1385" t="s">
        <v>6047</v>
      </c>
      <c r="G1385" s="1">
        <v>38718</v>
      </c>
      <c r="J1385" t="s">
        <v>7531</v>
      </c>
      <c r="K1385" t="s">
        <v>263</v>
      </c>
      <c r="L1385" t="s">
        <v>7532</v>
      </c>
      <c r="M1385" t="s">
        <v>7533</v>
      </c>
      <c r="N1385" t="s">
        <v>7534</v>
      </c>
      <c r="O1385" t="s">
        <v>26</v>
      </c>
      <c r="P1385">
        <v>150</v>
      </c>
      <c r="Q1385">
        <v>187.5</v>
      </c>
      <c r="R1385">
        <v>150</v>
      </c>
      <c r="S1385">
        <v>225</v>
      </c>
      <c r="T1385" t="s">
        <v>7535</v>
      </c>
    </row>
    <row r="1386" spans="1:20">
      <c r="A1386">
        <v>685943</v>
      </c>
      <c r="B1386" t="s">
        <v>7536</v>
      </c>
      <c r="C1386" t="str">
        <f>"9781554580231"</f>
        <v>9781554580231</v>
      </c>
      <c r="D1386" t="str">
        <f>"9781554581399"</f>
        <v>9781554581399</v>
      </c>
      <c r="E1386" t="s">
        <v>6047</v>
      </c>
      <c r="F1386" t="s">
        <v>6047</v>
      </c>
      <c r="G1386" s="1">
        <v>39674</v>
      </c>
      <c r="J1386" t="s">
        <v>7537</v>
      </c>
      <c r="K1386" t="s">
        <v>1464</v>
      </c>
      <c r="L1386" t="s">
        <v>7538</v>
      </c>
      <c r="M1386">
        <v>810.98950709999997</v>
      </c>
      <c r="N1386" t="s">
        <v>7539</v>
      </c>
      <c r="O1386" t="s">
        <v>26</v>
      </c>
      <c r="P1386">
        <v>85</v>
      </c>
      <c r="Q1386">
        <v>106.25</v>
      </c>
      <c r="R1386">
        <v>85</v>
      </c>
      <c r="S1386">
        <v>127.5</v>
      </c>
      <c r="T1386" t="s">
        <v>7540</v>
      </c>
    </row>
    <row r="1387" spans="1:20">
      <c r="A1387">
        <v>685945</v>
      </c>
      <c r="B1387" t="s">
        <v>7541</v>
      </c>
      <c r="C1387" t="str">
        <f>"9780889204492"</f>
        <v>9780889204492</v>
      </c>
      <c r="D1387" t="str">
        <f>"9780889205369"</f>
        <v>9780889205369</v>
      </c>
      <c r="E1387" t="s">
        <v>6047</v>
      </c>
      <c r="F1387" t="s">
        <v>6047</v>
      </c>
      <c r="G1387" s="1">
        <v>38828</v>
      </c>
      <c r="I1387" t="s">
        <v>6116</v>
      </c>
      <c r="J1387" t="s">
        <v>7542</v>
      </c>
      <c r="K1387" t="s">
        <v>1892</v>
      </c>
      <c r="L1387" t="s">
        <v>7543</v>
      </c>
      <c r="M1387">
        <v>270.10000000000002</v>
      </c>
      <c r="N1387" t="s">
        <v>7544</v>
      </c>
      <c r="O1387" t="s">
        <v>26</v>
      </c>
      <c r="P1387">
        <v>85</v>
      </c>
      <c r="Q1387">
        <v>106.25</v>
      </c>
      <c r="R1387">
        <v>85</v>
      </c>
      <c r="S1387">
        <v>127.5</v>
      </c>
      <c r="T1387" t="s">
        <v>7545</v>
      </c>
    </row>
    <row r="1388" spans="1:20">
      <c r="A1388">
        <v>685946</v>
      </c>
      <c r="B1388" t="s">
        <v>7546</v>
      </c>
      <c r="C1388" t="str">
        <f>"9780889204799"</f>
        <v>9780889204799</v>
      </c>
      <c r="D1388" t="str">
        <f>"9780889209206"</f>
        <v>9780889209206</v>
      </c>
      <c r="E1388" t="s">
        <v>6047</v>
      </c>
      <c r="F1388" t="s">
        <v>6047</v>
      </c>
      <c r="G1388" s="1">
        <v>38718</v>
      </c>
      <c r="I1388" t="s">
        <v>6683</v>
      </c>
      <c r="J1388" t="s">
        <v>7547</v>
      </c>
      <c r="K1388" t="s">
        <v>1550</v>
      </c>
      <c r="L1388" t="s">
        <v>7548</v>
      </c>
      <c r="M1388" t="s">
        <v>3934</v>
      </c>
      <c r="N1388" t="s">
        <v>7549</v>
      </c>
      <c r="O1388" t="s">
        <v>26</v>
      </c>
      <c r="P1388">
        <v>85</v>
      </c>
      <c r="Q1388">
        <v>106.25</v>
      </c>
      <c r="R1388">
        <v>85</v>
      </c>
      <c r="S1388">
        <v>127.5</v>
      </c>
      <c r="T1388" t="s">
        <v>7550</v>
      </c>
    </row>
    <row r="1389" spans="1:20">
      <c r="A1389">
        <v>685948</v>
      </c>
      <c r="B1389" t="s">
        <v>7551</v>
      </c>
      <c r="C1389" t="str">
        <f>"9780889204348"</f>
        <v>9780889204348</v>
      </c>
      <c r="D1389" t="str">
        <f>"9780889205727"</f>
        <v>9780889205727</v>
      </c>
      <c r="E1389" t="s">
        <v>6047</v>
      </c>
      <c r="F1389" t="s">
        <v>6047</v>
      </c>
      <c r="G1389" s="1">
        <v>38718</v>
      </c>
      <c r="J1389" t="s">
        <v>7552</v>
      </c>
      <c r="K1389" t="s">
        <v>7553</v>
      </c>
      <c r="L1389" t="s">
        <v>7554</v>
      </c>
      <c r="M1389" t="s">
        <v>7555</v>
      </c>
      <c r="N1389" t="s">
        <v>7556</v>
      </c>
      <c r="O1389" t="s">
        <v>26</v>
      </c>
      <c r="P1389">
        <v>85</v>
      </c>
      <c r="Q1389">
        <v>106.25</v>
      </c>
      <c r="R1389">
        <v>85</v>
      </c>
      <c r="S1389">
        <v>127.5</v>
      </c>
      <c r="T1389" t="s">
        <v>7557</v>
      </c>
    </row>
    <row r="1390" spans="1:20">
      <c r="A1390">
        <v>685949</v>
      </c>
      <c r="B1390" t="s">
        <v>7558</v>
      </c>
      <c r="C1390" t="str">
        <f>"9780889209794"</f>
        <v>9780889209794</v>
      </c>
      <c r="D1390" t="str">
        <f>"9780889205710"</f>
        <v>9780889205710</v>
      </c>
      <c r="E1390" t="s">
        <v>6047</v>
      </c>
      <c r="F1390" t="s">
        <v>6047</v>
      </c>
      <c r="G1390" s="1">
        <v>38718</v>
      </c>
      <c r="J1390" t="s">
        <v>7559</v>
      </c>
      <c r="K1390" t="s">
        <v>1892</v>
      </c>
      <c r="L1390" t="s">
        <v>7560</v>
      </c>
      <c r="M1390">
        <v>254.5</v>
      </c>
      <c r="N1390" t="s">
        <v>7561</v>
      </c>
      <c r="O1390" t="s">
        <v>26</v>
      </c>
      <c r="P1390">
        <v>85</v>
      </c>
      <c r="Q1390">
        <v>106.25</v>
      </c>
      <c r="R1390">
        <v>85</v>
      </c>
      <c r="S1390">
        <v>127.5</v>
      </c>
      <c r="T1390" t="s">
        <v>7562</v>
      </c>
    </row>
    <row r="1391" spans="1:20">
      <c r="A1391">
        <v>685951</v>
      </c>
      <c r="B1391" t="s">
        <v>7563</v>
      </c>
      <c r="C1391" t="str">
        <f>"9780889203334"</f>
        <v>9780889203334</v>
      </c>
      <c r="D1391" t="str">
        <f>"9780889205697"</f>
        <v>9780889205697</v>
      </c>
      <c r="E1391" t="s">
        <v>6047</v>
      </c>
      <c r="F1391" t="s">
        <v>6047</v>
      </c>
      <c r="G1391" s="1">
        <v>38718</v>
      </c>
      <c r="I1391" t="s">
        <v>6061</v>
      </c>
      <c r="J1391" t="s">
        <v>4397</v>
      </c>
      <c r="K1391" t="s">
        <v>1464</v>
      </c>
      <c r="L1391" t="s">
        <v>7564</v>
      </c>
      <c r="M1391" t="s">
        <v>7565</v>
      </c>
      <c r="N1391" t="s">
        <v>7566</v>
      </c>
      <c r="O1391" t="s">
        <v>26</v>
      </c>
      <c r="P1391">
        <v>95</v>
      </c>
      <c r="Q1391">
        <v>118.75</v>
      </c>
      <c r="R1391">
        <v>95</v>
      </c>
      <c r="S1391">
        <v>142.5</v>
      </c>
      <c r="T1391" t="s">
        <v>7567</v>
      </c>
    </row>
    <row r="1392" spans="1:20">
      <c r="A1392">
        <v>685952</v>
      </c>
      <c r="B1392" t="s">
        <v>7568</v>
      </c>
      <c r="C1392" t="str">
        <f>"9780889204812"</f>
        <v>9780889204812</v>
      </c>
      <c r="D1392" t="str">
        <f>"9780889209145"</f>
        <v>9780889209145</v>
      </c>
      <c r="E1392" t="s">
        <v>6047</v>
      </c>
      <c r="F1392" t="s">
        <v>6047</v>
      </c>
      <c r="G1392" s="1">
        <v>38718</v>
      </c>
      <c r="I1392" t="s">
        <v>6061</v>
      </c>
      <c r="J1392" t="s">
        <v>7569</v>
      </c>
      <c r="K1392" t="s">
        <v>1464</v>
      </c>
      <c r="L1392" t="s">
        <v>7570</v>
      </c>
      <c r="M1392" t="s">
        <v>7571</v>
      </c>
      <c r="N1392" t="s">
        <v>7572</v>
      </c>
      <c r="O1392" t="s">
        <v>26</v>
      </c>
      <c r="P1392">
        <v>85</v>
      </c>
      <c r="Q1392">
        <v>106.25</v>
      </c>
      <c r="R1392">
        <v>85</v>
      </c>
      <c r="S1392">
        <v>127.5</v>
      </c>
      <c r="T1392" t="s">
        <v>7573</v>
      </c>
    </row>
    <row r="1393" spans="1:20">
      <c r="A1393">
        <v>685955</v>
      </c>
      <c r="B1393" t="s">
        <v>7574</v>
      </c>
      <c r="C1393" t="str">
        <f>"9780889204539"</f>
        <v>9780889204539</v>
      </c>
      <c r="D1393" t="str">
        <f>"9780889209312"</f>
        <v>9780889209312</v>
      </c>
      <c r="E1393" t="s">
        <v>6047</v>
      </c>
      <c r="F1393" t="s">
        <v>6047</v>
      </c>
      <c r="G1393" s="1">
        <v>38718</v>
      </c>
      <c r="J1393" t="s">
        <v>7575</v>
      </c>
      <c r="K1393" t="s">
        <v>2154</v>
      </c>
      <c r="L1393" t="s">
        <v>7576</v>
      </c>
      <c r="M1393">
        <v>304.2</v>
      </c>
      <c r="N1393" t="s">
        <v>7577</v>
      </c>
      <c r="O1393" t="s">
        <v>26</v>
      </c>
      <c r="P1393">
        <v>85</v>
      </c>
      <c r="Q1393">
        <v>106.25</v>
      </c>
      <c r="R1393">
        <v>85</v>
      </c>
      <c r="S1393">
        <v>127.5</v>
      </c>
      <c r="T1393" t="s">
        <v>7578</v>
      </c>
    </row>
    <row r="1394" spans="1:20">
      <c r="A1394">
        <v>685956</v>
      </c>
      <c r="B1394" t="s">
        <v>7579</v>
      </c>
      <c r="C1394" t="str">
        <f>"9780889209923"</f>
        <v>9780889209923</v>
      </c>
      <c r="D1394" t="str">
        <f>"9780889205673"</f>
        <v>9780889205673</v>
      </c>
      <c r="E1394" t="s">
        <v>6047</v>
      </c>
      <c r="F1394" t="s">
        <v>6047</v>
      </c>
      <c r="G1394" s="1">
        <v>38718</v>
      </c>
      <c r="J1394" t="s">
        <v>7580</v>
      </c>
      <c r="K1394" t="s">
        <v>1892</v>
      </c>
      <c r="L1394" t="s">
        <v>7581</v>
      </c>
      <c r="M1394">
        <v>284.3</v>
      </c>
      <c r="N1394" t="s">
        <v>7582</v>
      </c>
      <c r="O1394" t="s">
        <v>26</v>
      </c>
      <c r="P1394">
        <v>85</v>
      </c>
      <c r="Q1394">
        <v>106.25</v>
      </c>
      <c r="R1394">
        <v>85</v>
      </c>
      <c r="S1394">
        <v>127.5</v>
      </c>
      <c r="T1394" t="s">
        <v>7583</v>
      </c>
    </row>
    <row r="1395" spans="1:20">
      <c r="A1395">
        <v>685958</v>
      </c>
      <c r="B1395" t="s">
        <v>7584</v>
      </c>
      <c r="C1395" t="str">
        <f>"9780889203068"</f>
        <v>9780889203068</v>
      </c>
      <c r="D1395" t="str">
        <f>"9780889205666"</f>
        <v>9780889205666</v>
      </c>
      <c r="E1395" t="s">
        <v>6047</v>
      </c>
      <c r="F1395" t="s">
        <v>6047</v>
      </c>
      <c r="G1395" s="1">
        <v>38718</v>
      </c>
      <c r="J1395" t="s">
        <v>7585</v>
      </c>
      <c r="K1395" t="s">
        <v>525</v>
      </c>
      <c r="L1395" t="s">
        <v>7586</v>
      </c>
      <c r="M1395" t="s">
        <v>7587</v>
      </c>
      <c r="N1395" t="s">
        <v>7588</v>
      </c>
      <c r="O1395" t="s">
        <v>26</v>
      </c>
      <c r="P1395">
        <v>85</v>
      </c>
      <c r="Q1395">
        <v>106.25</v>
      </c>
      <c r="R1395">
        <v>85</v>
      </c>
      <c r="S1395">
        <v>127.5</v>
      </c>
      <c r="T1395" t="s">
        <v>7589</v>
      </c>
    </row>
    <row r="1396" spans="1:20">
      <c r="A1396">
        <v>685959</v>
      </c>
      <c r="B1396" t="s">
        <v>7590</v>
      </c>
      <c r="C1396" t="str">
        <f>"9781554580224"</f>
        <v>9781554580224</v>
      </c>
      <c r="D1396" t="str">
        <f>"9781554581405"</f>
        <v>9781554581405</v>
      </c>
      <c r="E1396" t="s">
        <v>6047</v>
      </c>
      <c r="F1396" t="s">
        <v>6047</v>
      </c>
      <c r="G1396" s="1">
        <v>39499</v>
      </c>
      <c r="I1396" t="s">
        <v>6079</v>
      </c>
      <c r="J1396" t="s">
        <v>7591</v>
      </c>
      <c r="K1396" t="s">
        <v>467</v>
      </c>
      <c r="L1396" t="s">
        <v>7592</v>
      </c>
      <c r="M1396">
        <v>323</v>
      </c>
      <c r="N1396" t="s">
        <v>7593</v>
      </c>
      <c r="O1396" t="s">
        <v>26</v>
      </c>
      <c r="P1396">
        <v>85</v>
      </c>
      <c r="Q1396">
        <v>106.25</v>
      </c>
      <c r="R1396">
        <v>85</v>
      </c>
      <c r="S1396">
        <v>127.5</v>
      </c>
      <c r="T1396" t="s">
        <v>7594</v>
      </c>
    </row>
    <row r="1397" spans="1:20">
      <c r="A1397">
        <v>685960</v>
      </c>
      <c r="B1397" t="s">
        <v>7595</v>
      </c>
      <c r="C1397" t="str">
        <f>"9780889204850"</f>
        <v>9780889204850</v>
      </c>
      <c r="D1397" t="str">
        <f>"9781554581412"</f>
        <v>9781554581412</v>
      </c>
      <c r="E1397" t="s">
        <v>6047</v>
      </c>
      <c r="F1397" t="s">
        <v>6047</v>
      </c>
      <c r="G1397" s="1">
        <v>38845</v>
      </c>
      <c r="I1397" t="s">
        <v>6048</v>
      </c>
      <c r="J1397" t="s">
        <v>7596</v>
      </c>
      <c r="K1397" t="s">
        <v>1892</v>
      </c>
      <c r="L1397" t="s">
        <v>7597</v>
      </c>
      <c r="M1397" t="s">
        <v>7598</v>
      </c>
      <c r="N1397" t="s">
        <v>7599</v>
      </c>
      <c r="O1397" t="s">
        <v>26</v>
      </c>
      <c r="P1397">
        <v>85</v>
      </c>
      <c r="Q1397">
        <v>106.25</v>
      </c>
      <c r="R1397">
        <v>85</v>
      </c>
      <c r="S1397">
        <v>127.5</v>
      </c>
      <c r="T1397" t="s">
        <v>7600</v>
      </c>
    </row>
    <row r="1398" spans="1:20">
      <c r="A1398">
        <v>685961</v>
      </c>
      <c r="B1398" t="s">
        <v>7601</v>
      </c>
      <c r="C1398" t="str">
        <f>"9780889201903"</f>
        <v>9780889201903</v>
      </c>
      <c r="D1398" t="str">
        <f>"9780889205642"</f>
        <v>9780889205642</v>
      </c>
      <c r="E1398" t="s">
        <v>6047</v>
      </c>
      <c r="F1398" t="s">
        <v>6047</v>
      </c>
      <c r="G1398" s="1">
        <v>38718</v>
      </c>
      <c r="J1398" t="s">
        <v>7602</v>
      </c>
      <c r="K1398" t="s">
        <v>1464</v>
      </c>
      <c r="L1398" t="s">
        <v>7603</v>
      </c>
      <c r="M1398">
        <v>800</v>
      </c>
      <c r="N1398" t="s">
        <v>7604</v>
      </c>
      <c r="O1398" t="s">
        <v>26</v>
      </c>
      <c r="P1398">
        <v>85</v>
      </c>
      <c r="Q1398">
        <v>106.25</v>
      </c>
      <c r="R1398">
        <v>85</v>
      </c>
      <c r="S1398">
        <v>127.5</v>
      </c>
      <c r="T1398" t="s">
        <v>7605</v>
      </c>
    </row>
    <row r="1399" spans="1:20">
      <c r="A1399">
        <v>685962</v>
      </c>
      <c r="B1399" t="s">
        <v>7606</v>
      </c>
      <c r="C1399" t="str">
        <f>"9780889202351"</f>
        <v>9780889202351</v>
      </c>
      <c r="D1399" t="str">
        <f>"9780889205635"</f>
        <v>9780889205635</v>
      </c>
      <c r="E1399" t="s">
        <v>6047</v>
      </c>
      <c r="F1399" t="s">
        <v>6047</v>
      </c>
      <c r="G1399" s="1">
        <v>38718</v>
      </c>
      <c r="I1399" t="s">
        <v>7607</v>
      </c>
      <c r="J1399" t="s">
        <v>7608</v>
      </c>
      <c r="K1399" t="s">
        <v>6813</v>
      </c>
      <c r="L1399" t="s">
        <v>7609</v>
      </c>
      <c r="M1399" t="s">
        <v>7610</v>
      </c>
      <c r="N1399" t="s">
        <v>7611</v>
      </c>
      <c r="O1399" t="s">
        <v>26</v>
      </c>
      <c r="P1399">
        <v>85</v>
      </c>
      <c r="Q1399">
        <v>106.25</v>
      </c>
      <c r="R1399">
        <v>85</v>
      </c>
      <c r="S1399">
        <v>127.5</v>
      </c>
      <c r="T1399" t="s">
        <v>7612</v>
      </c>
    </row>
    <row r="1400" spans="1:20">
      <c r="A1400">
        <v>685963</v>
      </c>
      <c r="B1400" t="s">
        <v>7613</v>
      </c>
      <c r="C1400" t="str">
        <f>"9780889204744"</f>
        <v>9780889204744</v>
      </c>
      <c r="D1400" t="str">
        <f>"9780889209121"</f>
        <v>9780889209121</v>
      </c>
      <c r="E1400" t="s">
        <v>6047</v>
      </c>
      <c r="F1400" t="s">
        <v>6047</v>
      </c>
      <c r="G1400" s="1">
        <v>38718</v>
      </c>
      <c r="J1400" t="s">
        <v>7614</v>
      </c>
      <c r="K1400" t="s">
        <v>1322</v>
      </c>
      <c r="L1400" t="s">
        <v>7615</v>
      </c>
      <c r="M1400" t="s">
        <v>7616</v>
      </c>
      <c r="N1400" t="s">
        <v>7617</v>
      </c>
      <c r="O1400" t="s">
        <v>26</v>
      </c>
      <c r="P1400">
        <v>85</v>
      </c>
      <c r="Q1400">
        <v>106.25</v>
      </c>
      <c r="R1400">
        <v>85</v>
      </c>
      <c r="S1400">
        <v>127.5</v>
      </c>
      <c r="T1400" t="s">
        <v>7618</v>
      </c>
    </row>
    <row r="1401" spans="1:20">
      <c r="A1401">
        <v>685964</v>
      </c>
      <c r="B1401" t="s">
        <v>7619</v>
      </c>
      <c r="C1401" t="str">
        <f>"9780889202597"</f>
        <v>9780889202597</v>
      </c>
      <c r="D1401" t="str">
        <f>"9780889205628"</f>
        <v>9780889205628</v>
      </c>
      <c r="E1401" t="s">
        <v>6047</v>
      </c>
      <c r="F1401" t="s">
        <v>6047</v>
      </c>
      <c r="G1401" s="1">
        <v>38718</v>
      </c>
      <c r="J1401" t="s">
        <v>7620</v>
      </c>
      <c r="K1401" t="s">
        <v>7621</v>
      </c>
      <c r="L1401" t="s">
        <v>7622</v>
      </c>
      <c r="M1401" t="s">
        <v>7623</v>
      </c>
      <c r="N1401" t="s">
        <v>7624</v>
      </c>
      <c r="O1401" t="s">
        <v>26</v>
      </c>
      <c r="P1401">
        <v>85</v>
      </c>
      <c r="Q1401">
        <v>106.25</v>
      </c>
      <c r="R1401">
        <v>85</v>
      </c>
      <c r="S1401">
        <v>127.5</v>
      </c>
      <c r="T1401" t="s">
        <v>7625</v>
      </c>
    </row>
    <row r="1402" spans="1:20">
      <c r="A1402">
        <v>685966</v>
      </c>
      <c r="B1402" t="s">
        <v>7626</v>
      </c>
      <c r="C1402" t="str">
        <f>"9781554580293"</f>
        <v>9781554580293</v>
      </c>
      <c r="D1402" t="str">
        <f>"9781554581429"</f>
        <v>9781554581429</v>
      </c>
      <c r="E1402" t="s">
        <v>6047</v>
      </c>
      <c r="F1402" t="s">
        <v>6047</v>
      </c>
      <c r="G1402" s="1">
        <v>39381</v>
      </c>
      <c r="I1402" t="s">
        <v>6079</v>
      </c>
      <c r="J1402" t="s">
        <v>7627</v>
      </c>
      <c r="K1402" t="s">
        <v>416</v>
      </c>
      <c r="L1402" t="s">
        <v>7628</v>
      </c>
      <c r="M1402" t="s">
        <v>7629</v>
      </c>
      <c r="N1402" t="s">
        <v>7630</v>
      </c>
      <c r="O1402" t="s">
        <v>26</v>
      </c>
      <c r="P1402">
        <v>85</v>
      </c>
      <c r="Q1402">
        <v>106.25</v>
      </c>
      <c r="R1402">
        <v>85</v>
      </c>
      <c r="S1402">
        <v>127.5</v>
      </c>
      <c r="T1402" t="s">
        <v>7631</v>
      </c>
    </row>
    <row r="1403" spans="1:20">
      <c r="A1403">
        <v>685969</v>
      </c>
      <c r="B1403" t="s">
        <v>7632</v>
      </c>
      <c r="C1403" t="str">
        <f>"9780889204591"</f>
        <v>9780889204591</v>
      </c>
      <c r="D1403" t="str">
        <f>"9781554581443"</f>
        <v>9781554581443</v>
      </c>
      <c r="E1403" t="s">
        <v>6047</v>
      </c>
      <c r="F1403" t="s">
        <v>6047</v>
      </c>
      <c r="G1403" s="1">
        <v>39203</v>
      </c>
      <c r="I1403" t="s">
        <v>6683</v>
      </c>
      <c r="J1403" t="s">
        <v>7633</v>
      </c>
      <c r="K1403" t="s">
        <v>1471</v>
      </c>
      <c r="L1403" t="s">
        <v>7634</v>
      </c>
      <c r="M1403">
        <v>781.62973230709997</v>
      </c>
      <c r="N1403" t="s">
        <v>7635</v>
      </c>
      <c r="O1403" t="s">
        <v>26</v>
      </c>
      <c r="P1403">
        <v>85</v>
      </c>
      <c r="Q1403">
        <v>106.25</v>
      </c>
      <c r="R1403">
        <v>85</v>
      </c>
      <c r="S1403">
        <v>127.5</v>
      </c>
      <c r="T1403" t="s">
        <v>7636</v>
      </c>
    </row>
    <row r="1404" spans="1:20">
      <c r="A1404">
        <v>685971</v>
      </c>
      <c r="B1404" t="s">
        <v>7637</v>
      </c>
      <c r="C1404" t="str">
        <f>"9780889204805"</f>
        <v>9780889204805</v>
      </c>
      <c r="D1404" t="str">
        <f>"9780889209190"</f>
        <v>9780889209190</v>
      </c>
      <c r="E1404" t="s">
        <v>6047</v>
      </c>
      <c r="F1404" t="s">
        <v>6047</v>
      </c>
      <c r="G1404" s="1">
        <v>38718</v>
      </c>
      <c r="I1404" t="s">
        <v>7123</v>
      </c>
      <c r="J1404" t="s">
        <v>7638</v>
      </c>
      <c r="K1404" t="s">
        <v>1892</v>
      </c>
      <c r="L1404" t="s">
        <v>7639</v>
      </c>
      <c r="M1404" t="s">
        <v>7640</v>
      </c>
      <c r="N1404" t="s">
        <v>7641</v>
      </c>
      <c r="O1404" t="s">
        <v>26</v>
      </c>
      <c r="P1404">
        <v>85</v>
      </c>
      <c r="Q1404">
        <v>106.25</v>
      </c>
      <c r="R1404">
        <v>85</v>
      </c>
      <c r="S1404">
        <v>127.5</v>
      </c>
      <c r="T1404" t="s">
        <v>7642</v>
      </c>
    </row>
    <row r="1405" spans="1:20">
      <c r="A1405">
        <v>685975</v>
      </c>
      <c r="B1405" t="s">
        <v>7643</v>
      </c>
      <c r="C1405" t="str">
        <f>"9780889204928"</f>
        <v>9780889204928</v>
      </c>
      <c r="D1405" t="str">
        <f>"9780889209084"</f>
        <v>9780889209084</v>
      </c>
      <c r="E1405" t="s">
        <v>6047</v>
      </c>
      <c r="F1405" t="s">
        <v>6047</v>
      </c>
      <c r="G1405" s="1">
        <v>38779</v>
      </c>
      <c r="J1405" t="s">
        <v>7644</v>
      </c>
      <c r="K1405" t="s">
        <v>3939</v>
      </c>
      <c r="L1405" t="s">
        <v>7645</v>
      </c>
      <c r="M1405" t="s">
        <v>7646</v>
      </c>
      <c r="N1405" t="s">
        <v>7647</v>
      </c>
      <c r="O1405" t="s">
        <v>26</v>
      </c>
      <c r="P1405">
        <v>85</v>
      </c>
      <c r="Q1405">
        <v>106.25</v>
      </c>
      <c r="R1405">
        <v>85</v>
      </c>
      <c r="S1405">
        <v>127.5</v>
      </c>
      <c r="T1405" t="s">
        <v>7648</v>
      </c>
    </row>
    <row r="1406" spans="1:20">
      <c r="A1406">
        <v>685976</v>
      </c>
      <c r="B1406" t="s">
        <v>7649</v>
      </c>
      <c r="C1406" t="str">
        <f>"9780889204256"</f>
        <v>9780889204256</v>
      </c>
      <c r="D1406" t="str">
        <f>"9780889205581"</f>
        <v>9780889205581</v>
      </c>
      <c r="E1406" t="s">
        <v>6047</v>
      </c>
      <c r="F1406" t="s">
        <v>6047</v>
      </c>
      <c r="G1406" s="1">
        <v>38718</v>
      </c>
      <c r="I1406" t="s">
        <v>6061</v>
      </c>
      <c r="J1406" t="s">
        <v>7650</v>
      </c>
      <c r="K1406" t="s">
        <v>7651</v>
      </c>
      <c r="L1406" t="s">
        <v>7652</v>
      </c>
      <c r="M1406">
        <v>113</v>
      </c>
      <c r="N1406" t="s">
        <v>7653</v>
      </c>
      <c r="O1406" t="s">
        <v>26</v>
      </c>
      <c r="P1406">
        <v>85</v>
      </c>
      <c r="Q1406">
        <v>106.25</v>
      </c>
      <c r="R1406">
        <v>85</v>
      </c>
      <c r="S1406">
        <v>127.5</v>
      </c>
      <c r="T1406" t="s">
        <v>7654</v>
      </c>
    </row>
    <row r="1407" spans="1:20">
      <c r="A1407">
        <v>685977</v>
      </c>
      <c r="B1407" t="s">
        <v>7655</v>
      </c>
      <c r="C1407" t="str">
        <f>"9780889202221"</f>
        <v>9780889202221</v>
      </c>
      <c r="D1407" t="str">
        <f>"9780889205437"</f>
        <v>9780889205437</v>
      </c>
      <c r="E1407" t="s">
        <v>6047</v>
      </c>
      <c r="F1407" t="s">
        <v>6047</v>
      </c>
      <c r="G1407" s="1">
        <v>38718</v>
      </c>
      <c r="J1407" t="s">
        <v>7656</v>
      </c>
      <c r="K1407" t="s">
        <v>7657</v>
      </c>
      <c r="L1407" t="s">
        <v>7658</v>
      </c>
      <c r="M1407" t="s">
        <v>7659</v>
      </c>
      <c r="N1407" t="s">
        <v>7660</v>
      </c>
      <c r="O1407" t="s">
        <v>26</v>
      </c>
      <c r="P1407">
        <v>85</v>
      </c>
      <c r="Q1407">
        <v>106.25</v>
      </c>
      <c r="R1407">
        <v>85</v>
      </c>
      <c r="S1407">
        <v>127.5</v>
      </c>
      <c r="T1407" t="s">
        <v>7661</v>
      </c>
    </row>
    <row r="1408" spans="1:20">
      <c r="A1408">
        <v>685980</v>
      </c>
      <c r="B1408" t="s">
        <v>7662</v>
      </c>
      <c r="C1408" t="str">
        <f>"9780889209961"</f>
        <v>9780889209961</v>
      </c>
      <c r="D1408" t="str">
        <f>"9780889205550"</f>
        <v>9780889205550</v>
      </c>
      <c r="E1408" t="s">
        <v>6047</v>
      </c>
      <c r="F1408" t="s">
        <v>6047</v>
      </c>
      <c r="G1408" s="1">
        <v>38718</v>
      </c>
      <c r="J1408" t="s">
        <v>7663</v>
      </c>
      <c r="K1408" t="s">
        <v>257</v>
      </c>
      <c r="L1408" t="s">
        <v>7664</v>
      </c>
      <c r="M1408" t="s">
        <v>7665</v>
      </c>
      <c r="N1408" t="s">
        <v>7666</v>
      </c>
      <c r="O1408" t="s">
        <v>26</v>
      </c>
      <c r="P1408">
        <v>85</v>
      </c>
      <c r="Q1408">
        <v>106.25</v>
      </c>
      <c r="R1408">
        <v>85</v>
      </c>
      <c r="S1408">
        <v>127.5</v>
      </c>
      <c r="T1408" t="s">
        <v>7667</v>
      </c>
    </row>
    <row r="1409" spans="1:20">
      <c r="A1409">
        <v>685981</v>
      </c>
      <c r="B1409" t="s">
        <v>7668</v>
      </c>
      <c r="C1409" t="str">
        <f>"9780889204263"</f>
        <v>9780889204263</v>
      </c>
      <c r="D1409" t="str">
        <f>"9780889205543"</f>
        <v>9780889205543</v>
      </c>
      <c r="E1409" t="s">
        <v>6047</v>
      </c>
      <c r="F1409" t="s">
        <v>6047</v>
      </c>
      <c r="G1409" s="1">
        <v>38718</v>
      </c>
      <c r="I1409" t="s">
        <v>6061</v>
      </c>
      <c r="J1409" t="s">
        <v>7669</v>
      </c>
      <c r="K1409" t="s">
        <v>291</v>
      </c>
      <c r="L1409" t="s">
        <v>7670</v>
      </c>
      <c r="M1409" t="s">
        <v>7671</v>
      </c>
      <c r="N1409" t="s">
        <v>7672</v>
      </c>
      <c r="O1409" t="s">
        <v>26</v>
      </c>
      <c r="P1409">
        <v>85</v>
      </c>
      <c r="Q1409">
        <v>106.25</v>
      </c>
      <c r="R1409">
        <v>85</v>
      </c>
      <c r="S1409">
        <v>127.5</v>
      </c>
      <c r="T1409" t="s">
        <v>7673</v>
      </c>
    </row>
    <row r="1410" spans="1:20">
      <c r="A1410">
        <v>685983</v>
      </c>
      <c r="B1410" t="s">
        <v>7674</v>
      </c>
      <c r="C1410" t="str">
        <f>"9780889201965"</f>
        <v>9780889201965</v>
      </c>
      <c r="D1410" t="str">
        <f>"9780889205529"</f>
        <v>9780889205529</v>
      </c>
      <c r="E1410" t="s">
        <v>6047</v>
      </c>
      <c r="F1410" t="s">
        <v>6047</v>
      </c>
      <c r="G1410" s="1">
        <v>38718</v>
      </c>
      <c r="I1410" t="s">
        <v>6116</v>
      </c>
      <c r="J1410" t="s">
        <v>7675</v>
      </c>
      <c r="K1410" t="s">
        <v>1892</v>
      </c>
      <c r="L1410" t="s">
        <v>7243</v>
      </c>
      <c r="M1410" t="s">
        <v>7244</v>
      </c>
      <c r="N1410" t="s">
        <v>7676</v>
      </c>
      <c r="O1410" t="s">
        <v>26</v>
      </c>
      <c r="P1410">
        <v>85</v>
      </c>
      <c r="Q1410">
        <v>106.25</v>
      </c>
      <c r="R1410">
        <v>85</v>
      </c>
      <c r="S1410">
        <v>127.5</v>
      </c>
      <c r="T1410" t="s">
        <v>7677</v>
      </c>
    </row>
    <row r="1411" spans="1:20">
      <c r="A1411">
        <v>685984</v>
      </c>
      <c r="B1411" t="s">
        <v>7678</v>
      </c>
      <c r="C1411" t="str">
        <f>"9780889203563"</f>
        <v>9780889203563</v>
      </c>
      <c r="D1411" t="str">
        <f>"9780889205512"</f>
        <v>9780889205512</v>
      </c>
      <c r="E1411" t="s">
        <v>6047</v>
      </c>
      <c r="F1411" t="s">
        <v>6047</v>
      </c>
      <c r="G1411" s="1">
        <v>38718</v>
      </c>
      <c r="I1411" t="s">
        <v>6116</v>
      </c>
      <c r="J1411" t="s">
        <v>7679</v>
      </c>
      <c r="K1411" t="s">
        <v>1892</v>
      </c>
      <c r="L1411" t="s">
        <v>7680</v>
      </c>
      <c r="M1411" t="s">
        <v>7681</v>
      </c>
      <c r="N1411" t="s">
        <v>7682</v>
      </c>
      <c r="O1411" t="s">
        <v>26</v>
      </c>
      <c r="P1411">
        <v>95</v>
      </c>
      <c r="Q1411">
        <v>118.75</v>
      </c>
      <c r="R1411">
        <v>95</v>
      </c>
      <c r="S1411">
        <v>142.5</v>
      </c>
      <c r="T1411" t="s">
        <v>7683</v>
      </c>
    </row>
    <row r="1412" spans="1:20">
      <c r="A1412">
        <v>685985</v>
      </c>
      <c r="B1412" t="s">
        <v>7684</v>
      </c>
      <c r="C1412" t="str">
        <f>"9780889205000"</f>
        <v>9780889205000</v>
      </c>
      <c r="D1412" t="str">
        <f>"9781554581450"</f>
        <v>9781554581450</v>
      </c>
      <c r="E1412" t="s">
        <v>6047</v>
      </c>
      <c r="F1412" t="s">
        <v>6047</v>
      </c>
      <c r="G1412" s="1">
        <v>38937</v>
      </c>
      <c r="I1412" t="s">
        <v>6152</v>
      </c>
      <c r="J1412" t="s">
        <v>7685</v>
      </c>
      <c r="K1412" t="s">
        <v>291</v>
      </c>
      <c r="L1412" t="s">
        <v>7686</v>
      </c>
      <c r="M1412" t="s">
        <v>7687</v>
      </c>
      <c r="N1412" t="s">
        <v>7688</v>
      </c>
      <c r="O1412" t="s">
        <v>26</v>
      </c>
      <c r="P1412">
        <v>85</v>
      </c>
      <c r="Q1412">
        <v>106.25</v>
      </c>
      <c r="R1412">
        <v>85</v>
      </c>
      <c r="S1412">
        <v>127.5</v>
      </c>
      <c r="T1412" t="s">
        <v>7689</v>
      </c>
    </row>
    <row r="1413" spans="1:20">
      <c r="A1413">
        <v>685986</v>
      </c>
      <c r="B1413" t="s">
        <v>7690</v>
      </c>
      <c r="C1413" t="str">
        <f>"9780889201668"</f>
        <v>9780889201668</v>
      </c>
      <c r="D1413" t="str">
        <f>"9780889205505"</f>
        <v>9780889205505</v>
      </c>
      <c r="E1413" t="s">
        <v>6047</v>
      </c>
      <c r="F1413" t="s">
        <v>6047</v>
      </c>
      <c r="G1413" s="1">
        <v>38718</v>
      </c>
      <c r="J1413" t="s">
        <v>7691</v>
      </c>
      <c r="K1413" t="s">
        <v>291</v>
      </c>
      <c r="L1413" t="s">
        <v>7692</v>
      </c>
      <c r="M1413">
        <v>942.01</v>
      </c>
      <c r="N1413" t="s">
        <v>7693</v>
      </c>
      <c r="O1413" t="s">
        <v>26</v>
      </c>
      <c r="P1413">
        <v>85</v>
      </c>
      <c r="Q1413">
        <v>106.25</v>
      </c>
      <c r="R1413">
        <v>85</v>
      </c>
      <c r="S1413">
        <v>127.5</v>
      </c>
      <c r="T1413" t="s">
        <v>7694</v>
      </c>
    </row>
    <row r="1414" spans="1:20">
      <c r="A1414">
        <v>685988</v>
      </c>
      <c r="B1414" t="s">
        <v>7695</v>
      </c>
      <c r="C1414" t="str">
        <f>"9780889205116"</f>
        <v>9780889205116</v>
      </c>
      <c r="D1414" t="str">
        <f>"9781554581467"</f>
        <v>9781554581467</v>
      </c>
      <c r="E1414" t="s">
        <v>6047</v>
      </c>
      <c r="F1414" t="s">
        <v>6047</v>
      </c>
      <c r="G1414" s="1">
        <v>39066</v>
      </c>
      <c r="J1414" t="s">
        <v>7696</v>
      </c>
      <c r="K1414" t="s">
        <v>1464</v>
      </c>
      <c r="L1414" t="s">
        <v>7697</v>
      </c>
      <c r="M1414" t="s">
        <v>7698</v>
      </c>
      <c r="N1414" t="s">
        <v>7699</v>
      </c>
      <c r="O1414" t="s">
        <v>26</v>
      </c>
      <c r="P1414">
        <v>85</v>
      </c>
      <c r="Q1414">
        <v>106.25</v>
      </c>
      <c r="R1414">
        <v>85</v>
      </c>
      <c r="S1414">
        <v>127.5</v>
      </c>
      <c r="T1414" t="s">
        <v>7700</v>
      </c>
    </row>
    <row r="1415" spans="1:20">
      <c r="A1415">
        <v>685989</v>
      </c>
      <c r="B1415" t="s">
        <v>7701</v>
      </c>
      <c r="C1415" t="str">
        <f>"9780889201989"</f>
        <v>9780889201989</v>
      </c>
      <c r="D1415" t="str">
        <f>"9780889205482"</f>
        <v>9780889205482</v>
      </c>
      <c r="E1415" t="s">
        <v>6047</v>
      </c>
      <c r="F1415" t="s">
        <v>6047</v>
      </c>
      <c r="G1415" s="1">
        <v>38718</v>
      </c>
      <c r="J1415" t="s">
        <v>7702</v>
      </c>
      <c r="K1415" t="s">
        <v>291</v>
      </c>
      <c r="L1415" t="s">
        <v>7703</v>
      </c>
      <c r="M1415">
        <v>968</v>
      </c>
      <c r="N1415" t="s">
        <v>7704</v>
      </c>
      <c r="O1415" t="s">
        <v>26</v>
      </c>
      <c r="P1415">
        <v>85</v>
      </c>
      <c r="Q1415">
        <v>106.25</v>
      </c>
      <c r="R1415">
        <v>85</v>
      </c>
      <c r="S1415">
        <v>127.5</v>
      </c>
      <c r="T1415" t="s">
        <v>7705</v>
      </c>
    </row>
    <row r="1416" spans="1:20">
      <c r="A1416">
        <v>686953</v>
      </c>
      <c r="B1416" t="s">
        <v>7706</v>
      </c>
      <c r="C1416" t="str">
        <f>"9781550229493"</f>
        <v>9781550229493</v>
      </c>
      <c r="D1416" t="str">
        <f>"9781554909490"</f>
        <v>9781554909490</v>
      </c>
      <c r="E1416" t="s">
        <v>7707</v>
      </c>
      <c r="F1416" t="s">
        <v>7707</v>
      </c>
      <c r="G1416" s="1">
        <v>40695</v>
      </c>
      <c r="J1416" t="s">
        <v>7708</v>
      </c>
      <c r="K1416" t="s">
        <v>305</v>
      </c>
      <c r="L1416" t="s">
        <v>7709</v>
      </c>
      <c r="M1416">
        <v>381.4579</v>
      </c>
      <c r="N1416" t="s">
        <v>7710</v>
      </c>
      <c r="O1416" t="s">
        <v>26</v>
      </c>
      <c r="P1416">
        <v>18.95</v>
      </c>
      <c r="Q1416">
        <v>23.69</v>
      </c>
      <c r="R1416">
        <v>18.95</v>
      </c>
      <c r="S1416">
        <v>28.43</v>
      </c>
      <c r="T1416" t="s">
        <v>7711</v>
      </c>
    </row>
    <row r="1417" spans="1:20">
      <c r="A1417">
        <v>688715</v>
      </c>
      <c r="B1417" t="s">
        <v>7712</v>
      </c>
      <c r="C1417" t="str">
        <f>"9780865716728"</f>
        <v>9780865716728</v>
      </c>
      <c r="D1417" t="str">
        <f>"9781550924657"</f>
        <v>9781550924657</v>
      </c>
      <c r="E1417" t="s">
        <v>249</v>
      </c>
      <c r="F1417" t="s">
        <v>249</v>
      </c>
      <c r="G1417" s="1">
        <v>40680</v>
      </c>
      <c r="J1417" t="s">
        <v>7713</v>
      </c>
      <c r="K1417" t="s">
        <v>7714</v>
      </c>
      <c r="L1417" t="s">
        <v>7715</v>
      </c>
      <c r="M1417" t="s">
        <v>7716</v>
      </c>
      <c r="N1417" t="s">
        <v>7717</v>
      </c>
      <c r="O1417" t="s">
        <v>26</v>
      </c>
      <c r="P1417">
        <v>32.950000000000003</v>
      </c>
      <c r="R1417">
        <v>32.950000000000003</v>
      </c>
      <c r="S1417">
        <v>49.43</v>
      </c>
      <c r="T1417" t="s">
        <v>7718</v>
      </c>
    </row>
    <row r="1418" spans="1:20">
      <c r="A1418">
        <v>688758</v>
      </c>
      <c r="B1418" t="s">
        <v>7719</v>
      </c>
      <c r="C1418" t="str">
        <f>"9780865716742"</f>
        <v>9780865716742</v>
      </c>
      <c r="D1418" t="str">
        <f>"9781550924800"</f>
        <v>9781550924800</v>
      </c>
      <c r="E1418" t="s">
        <v>249</v>
      </c>
      <c r="F1418" t="s">
        <v>249</v>
      </c>
      <c r="G1418" s="1">
        <v>40708</v>
      </c>
      <c r="J1418" t="s">
        <v>2588</v>
      </c>
      <c r="K1418" t="s">
        <v>757</v>
      </c>
      <c r="L1418" t="s">
        <v>7720</v>
      </c>
      <c r="M1418" t="s">
        <v>7721</v>
      </c>
      <c r="N1418" t="s">
        <v>7722</v>
      </c>
      <c r="O1418" t="s">
        <v>26</v>
      </c>
      <c r="P1418">
        <v>17.95</v>
      </c>
      <c r="R1418">
        <v>17.95</v>
      </c>
      <c r="S1418">
        <v>26.93</v>
      </c>
      <c r="T1418" t="s">
        <v>7723</v>
      </c>
    </row>
    <row r="1419" spans="1:20">
      <c r="A1419">
        <v>688768</v>
      </c>
      <c r="B1419" t="s">
        <v>7724</v>
      </c>
      <c r="C1419" t="str">
        <f>"9780865716735"</f>
        <v>9780865716735</v>
      </c>
      <c r="D1419" t="str">
        <f>"9781550924787"</f>
        <v>9781550924787</v>
      </c>
      <c r="E1419" t="s">
        <v>249</v>
      </c>
      <c r="F1419" t="s">
        <v>249</v>
      </c>
      <c r="G1419" s="1">
        <v>40694</v>
      </c>
      <c r="J1419" t="s">
        <v>2642</v>
      </c>
      <c r="K1419" t="s">
        <v>416</v>
      </c>
      <c r="L1419" t="s">
        <v>7725</v>
      </c>
      <c r="M1419" t="s">
        <v>7726</v>
      </c>
      <c r="N1419" t="s">
        <v>7727</v>
      </c>
      <c r="O1419" t="s">
        <v>26</v>
      </c>
      <c r="P1419">
        <v>18.95</v>
      </c>
      <c r="R1419">
        <v>18.95</v>
      </c>
      <c r="S1419">
        <v>28.43</v>
      </c>
      <c r="T1419" t="s">
        <v>7728</v>
      </c>
    </row>
    <row r="1420" spans="1:20">
      <c r="A1420">
        <v>713618</v>
      </c>
      <c r="B1420" t="s">
        <v>7729</v>
      </c>
      <c r="C1420" t="str">
        <f>"9781550025804"</f>
        <v>9781550025804</v>
      </c>
      <c r="D1420" t="str">
        <f>"9781550028935"</f>
        <v>9781550028935</v>
      </c>
      <c r="E1420" t="s">
        <v>7730</v>
      </c>
      <c r="F1420" t="s">
        <v>7730</v>
      </c>
      <c r="G1420" s="1">
        <v>39632</v>
      </c>
      <c r="J1420" t="s">
        <v>7731</v>
      </c>
      <c r="K1420" t="s">
        <v>7732</v>
      </c>
      <c r="L1420" t="s">
        <v>7733</v>
      </c>
      <c r="M1420" t="s">
        <v>7734</v>
      </c>
      <c r="N1420" t="s">
        <v>7735</v>
      </c>
      <c r="O1420" t="s">
        <v>26</v>
      </c>
      <c r="P1420">
        <v>18.989999999999998</v>
      </c>
      <c r="R1420">
        <v>18.989999999999998</v>
      </c>
      <c r="S1420">
        <v>28.49</v>
      </c>
      <c r="T1420" t="s">
        <v>7736</v>
      </c>
    </row>
    <row r="1421" spans="1:20">
      <c r="A1421">
        <v>714579</v>
      </c>
      <c r="B1421" t="s">
        <v>7737</v>
      </c>
      <c r="C1421" t="str">
        <f>"9780865716957"</f>
        <v>9780865716957</v>
      </c>
      <c r="D1421" t="str">
        <f>"9781550924831"</f>
        <v>9781550924831</v>
      </c>
      <c r="E1421" t="s">
        <v>249</v>
      </c>
      <c r="F1421" t="s">
        <v>249</v>
      </c>
      <c r="G1421" s="1">
        <v>40764</v>
      </c>
      <c r="J1421" t="s">
        <v>422</v>
      </c>
      <c r="K1421" t="s">
        <v>7738</v>
      </c>
      <c r="L1421" t="s">
        <v>7739</v>
      </c>
      <c r="M1421" t="s">
        <v>7740</v>
      </c>
      <c r="N1421" t="s">
        <v>7741</v>
      </c>
      <c r="O1421" t="s">
        <v>26</v>
      </c>
      <c r="P1421">
        <v>16.95</v>
      </c>
      <c r="R1421">
        <v>16.95</v>
      </c>
      <c r="T1421" t="s">
        <v>7742</v>
      </c>
    </row>
    <row r="1422" spans="1:20">
      <c r="A1422">
        <v>717627</v>
      </c>
      <c r="B1422" t="s">
        <v>7743</v>
      </c>
      <c r="C1422" t="str">
        <f>"9789004174405"</f>
        <v>9789004174405</v>
      </c>
      <c r="D1422" t="str">
        <f>"9789004188327"</f>
        <v>9789004188327</v>
      </c>
      <c r="E1422" t="s">
        <v>2374</v>
      </c>
      <c r="F1422" t="s">
        <v>2374</v>
      </c>
      <c r="G1422" s="1">
        <v>40476</v>
      </c>
      <c r="H1422">
        <v>1</v>
      </c>
      <c r="I1422" t="s">
        <v>7744</v>
      </c>
      <c r="J1422" t="s">
        <v>7745</v>
      </c>
      <c r="K1422" t="s">
        <v>525</v>
      </c>
      <c r="L1422" t="s">
        <v>7746</v>
      </c>
      <c r="M1422" t="s">
        <v>7747</v>
      </c>
      <c r="N1422" t="s">
        <v>7748</v>
      </c>
      <c r="O1422" t="s">
        <v>26</v>
      </c>
      <c r="P1422">
        <v>190</v>
      </c>
      <c r="Q1422">
        <v>237.5</v>
      </c>
      <c r="R1422">
        <v>190</v>
      </c>
      <c r="S1422">
        <v>285</v>
      </c>
      <c r="T1422" t="s">
        <v>7749</v>
      </c>
    </row>
    <row r="1423" spans="1:20">
      <c r="A1423">
        <v>729186</v>
      </c>
      <c r="B1423" t="s">
        <v>7750</v>
      </c>
      <c r="C1423" t="str">
        <f>"9780865715424"</f>
        <v>9780865715424</v>
      </c>
      <c r="D1423" t="str">
        <f>"9781550924978"</f>
        <v>9781550924978</v>
      </c>
      <c r="E1423" t="s">
        <v>249</v>
      </c>
      <c r="F1423" t="s">
        <v>249</v>
      </c>
      <c r="G1423" s="1">
        <v>39203</v>
      </c>
      <c r="I1423" t="s">
        <v>2430</v>
      </c>
      <c r="J1423" t="s">
        <v>7751</v>
      </c>
      <c r="K1423" t="s">
        <v>2260</v>
      </c>
      <c r="L1423" t="s">
        <v>7752</v>
      </c>
      <c r="M1423" t="s">
        <v>7753</v>
      </c>
      <c r="N1423" t="s">
        <v>7754</v>
      </c>
      <c r="O1423" t="s">
        <v>26</v>
      </c>
      <c r="P1423">
        <v>22.95</v>
      </c>
      <c r="R1423">
        <v>22.95</v>
      </c>
      <c r="T1423" t="s">
        <v>7755</v>
      </c>
    </row>
    <row r="1424" spans="1:20">
      <c r="A1424">
        <v>729287</v>
      </c>
      <c r="B1424" t="s">
        <v>7756</v>
      </c>
      <c r="C1424" t="str">
        <f>"9780865716865"</f>
        <v>9780865716865</v>
      </c>
      <c r="D1424" t="str">
        <f>"9781550924794"</f>
        <v>9781550924794</v>
      </c>
      <c r="E1424" t="s">
        <v>249</v>
      </c>
      <c r="F1424" t="s">
        <v>249</v>
      </c>
      <c r="G1424" s="1">
        <v>40729</v>
      </c>
      <c r="J1424" t="s">
        <v>329</v>
      </c>
      <c r="K1424" t="s">
        <v>7757</v>
      </c>
      <c r="L1424" t="s">
        <v>7758</v>
      </c>
      <c r="M1424">
        <v>644</v>
      </c>
      <c r="N1424" t="s">
        <v>7759</v>
      </c>
      <c r="O1424" t="s">
        <v>26</v>
      </c>
      <c r="P1424">
        <v>28.95</v>
      </c>
      <c r="R1424">
        <v>28.95</v>
      </c>
      <c r="T1424" t="s">
        <v>7760</v>
      </c>
    </row>
    <row r="1425" spans="1:20">
      <c r="A1425">
        <v>729414</v>
      </c>
      <c r="B1425" t="s">
        <v>7761</v>
      </c>
      <c r="C1425" t="str">
        <f>"9780865715561"</f>
        <v>9780865715561</v>
      </c>
      <c r="D1425" t="str">
        <f>"9781550924961"</f>
        <v>9781550924961</v>
      </c>
      <c r="E1425" t="s">
        <v>249</v>
      </c>
      <c r="F1425" t="s">
        <v>249</v>
      </c>
      <c r="G1425" s="1">
        <v>39022</v>
      </c>
      <c r="J1425" t="s">
        <v>7762</v>
      </c>
      <c r="K1425" t="s">
        <v>7763</v>
      </c>
      <c r="L1425" t="s">
        <v>7764</v>
      </c>
      <c r="M1425" t="s">
        <v>7765</v>
      </c>
      <c r="N1425" t="s">
        <v>7766</v>
      </c>
      <c r="O1425" t="s">
        <v>26</v>
      </c>
      <c r="P1425">
        <v>18.95</v>
      </c>
      <c r="R1425">
        <v>18.95</v>
      </c>
      <c r="T1425" t="s">
        <v>7767</v>
      </c>
    </row>
    <row r="1426" spans="1:20">
      <c r="A1426">
        <v>730221</v>
      </c>
      <c r="B1426" t="s">
        <v>7768</v>
      </c>
      <c r="C1426" t="str">
        <f>"9781550026641"</f>
        <v>9781550026641</v>
      </c>
      <c r="D1426" t="str">
        <f>"9781550029994"</f>
        <v>9781550029994</v>
      </c>
      <c r="E1426" t="s">
        <v>7730</v>
      </c>
      <c r="F1426" t="s">
        <v>7730</v>
      </c>
      <c r="G1426" s="1">
        <v>38423</v>
      </c>
      <c r="J1426" t="s">
        <v>7769</v>
      </c>
      <c r="K1426" t="s">
        <v>263</v>
      </c>
      <c r="L1426" t="s">
        <v>7770</v>
      </c>
      <c r="M1426">
        <v>306.87400000000002</v>
      </c>
      <c r="N1426" t="s">
        <v>7771</v>
      </c>
      <c r="O1426" t="s">
        <v>26</v>
      </c>
      <c r="P1426">
        <v>20.5</v>
      </c>
      <c r="R1426">
        <v>20.5</v>
      </c>
      <c r="S1426">
        <v>30.75</v>
      </c>
      <c r="T1426" t="s">
        <v>7772</v>
      </c>
    </row>
    <row r="1427" spans="1:20">
      <c r="A1427">
        <v>744569</v>
      </c>
      <c r="B1427" t="s">
        <v>7773</v>
      </c>
      <c r="C1427" t="str">
        <f>"9780865716674"</f>
        <v>9780865716674</v>
      </c>
      <c r="D1427" t="str">
        <f>"9781550924770"</f>
        <v>9781550924770</v>
      </c>
      <c r="E1427" t="s">
        <v>249</v>
      </c>
      <c r="F1427" t="s">
        <v>249</v>
      </c>
      <c r="G1427" s="1">
        <v>40722</v>
      </c>
      <c r="J1427" t="s">
        <v>7774</v>
      </c>
      <c r="K1427" t="s">
        <v>416</v>
      </c>
      <c r="L1427" t="s">
        <v>7775</v>
      </c>
      <c r="M1427">
        <v>332.4</v>
      </c>
      <c r="N1427" t="s">
        <v>7776</v>
      </c>
      <c r="O1427" t="s">
        <v>26</v>
      </c>
      <c r="P1427">
        <v>19.95</v>
      </c>
      <c r="R1427">
        <v>19.95</v>
      </c>
      <c r="T1427" t="s">
        <v>7777</v>
      </c>
    </row>
    <row r="1428" spans="1:20">
      <c r="A1428">
        <v>760094</v>
      </c>
      <c r="B1428" t="s">
        <v>7778</v>
      </c>
      <c r="C1428" t="str">
        <f>"9781552451786"</f>
        <v>9781552451786</v>
      </c>
      <c r="D1428" t="str">
        <f>"9781770562141"</f>
        <v>9781770562141</v>
      </c>
      <c r="E1428" t="s">
        <v>7779</v>
      </c>
      <c r="F1428" t="s">
        <v>7779</v>
      </c>
      <c r="G1428" s="1">
        <v>37574</v>
      </c>
      <c r="J1428" t="s">
        <v>7780</v>
      </c>
      <c r="K1428" t="s">
        <v>7781</v>
      </c>
      <c r="L1428" t="s">
        <v>7782</v>
      </c>
      <c r="M1428" t="s">
        <v>7783</v>
      </c>
      <c r="N1428" t="s">
        <v>7784</v>
      </c>
      <c r="O1428" t="s">
        <v>26</v>
      </c>
      <c r="P1428">
        <v>18.95</v>
      </c>
      <c r="R1428">
        <v>18.95</v>
      </c>
      <c r="T1428" t="s">
        <v>7785</v>
      </c>
    </row>
    <row r="1429" spans="1:20">
      <c r="A1429">
        <v>760095</v>
      </c>
      <c r="B1429" t="s">
        <v>7786</v>
      </c>
      <c r="C1429" t="str">
        <f>"9781552450659"</f>
        <v>9781552450659</v>
      </c>
      <c r="D1429" t="str">
        <f>"9781770560437"</f>
        <v>9781770560437</v>
      </c>
      <c r="E1429" t="s">
        <v>7779</v>
      </c>
      <c r="F1429" t="s">
        <v>7779</v>
      </c>
      <c r="G1429" s="1">
        <v>34352</v>
      </c>
      <c r="J1429" t="s">
        <v>7787</v>
      </c>
      <c r="K1429" t="s">
        <v>2963</v>
      </c>
      <c r="L1429" t="s">
        <v>7788</v>
      </c>
      <c r="M1429">
        <v>917.1</v>
      </c>
      <c r="N1429" t="s">
        <v>7789</v>
      </c>
      <c r="O1429" t="s">
        <v>26</v>
      </c>
      <c r="P1429">
        <v>14.95</v>
      </c>
      <c r="R1429">
        <v>14.95</v>
      </c>
      <c r="T1429" t="s">
        <v>7790</v>
      </c>
    </row>
    <row r="1430" spans="1:20">
      <c r="A1430">
        <v>760096</v>
      </c>
      <c r="B1430" t="s">
        <v>7791</v>
      </c>
      <c r="C1430" t="str">
        <f>"9781552451816"</f>
        <v>9781552451816</v>
      </c>
      <c r="D1430" t="str">
        <f>"9781770561663"</f>
        <v>9781770561663</v>
      </c>
      <c r="E1430" t="s">
        <v>7779</v>
      </c>
      <c r="F1430" t="s">
        <v>7779</v>
      </c>
      <c r="G1430" s="1">
        <v>37725</v>
      </c>
      <c r="J1430" t="s">
        <v>7792</v>
      </c>
      <c r="K1430" t="s">
        <v>1464</v>
      </c>
      <c r="L1430" t="s">
        <v>7793</v>
      </c>
      <c r="M1430">
        <v>841.91399999999999</v>
      </c>
      <c r="N1430" t="s">
        <v>7794</v>
      </c>
      <c r="O1430" t="s">
        <v>26</v>
      </c>
      <c r="P1430">
        <v>12.95</v>
      </c>
      <c r="R1430">
        <v>12.95</v>
      </c>
      <c r="T1430" t="s">
        <v>7795</v>
      </c>
    </row>
    <row r="1431" spans="1:20">
      <c r="A1431">
        <v>760097</v>
      </c>
      <c r="B1431" t="s">
        <v>7796</v>
      </c>
      <c r="C1431" t="str">
        <f>"9781552451946"</f>
        <v>9781552451946</v>
      </c>
      <c r="D1431" t="str">
        <f>"9781770560857"</f>
        <v>9781770560857</v>
      </c>
      <c r="E1431" t="s">
        <v>7779</v>
      </c>
      <c r="F1431" t="s">
        <v>7779</v>
      </c>
      <c r="G1431" s="1">
        <v>38274</v>
      </c>
      <c r="J1431" t="s">
        <v>7797</v>
      </c>
      <c r="K1431" t="s">
        <v>7798</v>
      </c>
      <c r="L1431" t="s">
        <v>7799</v>
      </c>
      <c r="M1431" t="s">
        <v>7800</v>
      </c>
      <c r="N1431" t="s">
        <v>7801</v>
      </c>
      <c r="O1431" t="s">
        <v>26</v>
      </c>
      <c r="P1431">
        <v>18.95</v>
      </c>
      <c r="R1431">
        <v>18.95</v>
      </c>
      <c r="T1431" t="s">
        <v>7802</v>
      </c>
    </row>
    <row r="1432" spans="1:20">
      <c r="A1432">
        <v>760098</v>
      </c>
      <c r="B1432" t="s">
        <v>7803</v>
      </c>
      <c r="C1432" t="str">
        <f>"9781552451427"</f>
        <v>9781552451427</v>
      </c>
      <c r="D1432" t="str">
        <f>"9781770560161"</f>
        <v>9781770560161</v>
      </c>
      <c r="E1432" t="s">
        <v>7779</v>
      </c>
      <c r="F1432" t="s">
        <v>7779</v>
      </c>
      <c r="G1432" s="1">
        <v>36849</v>
      </c>
      <c r="J1432" t="s">
        <v>7804</v>
      </c>
      <c r="K1432" t="s">
        <v>1464</v>
      </c>
      <c r="L1432" t="s">
        <v>7805</v>
      </c>
      <c r="M1432" t="s">
        <v>4026</v>
      </c>
      <c r="N1432" t="s">
        <v>7806</v>
      </c>
      <c r="O1432" t="s">
        <v>26</v>
      </c>
      <c r="P1432">
        <v>16.95</v>
      </c>
      <c r="R1432">
        <v>16.95</v>
      </c>
      <c r="T1432" t="s">
        <v>7807</v>
      </c>
    </row>
    <row r="1433" spans="1:20">
      <c r="A1433">
        <v>760119</v>
      </c>
      <c r="B1433" t="s">
        <v>7808</v>
      </c>
      <c r="C1433" t="str">
        <f>"9781552452134"</f>
        <v>9781552452134</v>
      </c>
      <c r="D1433" t="str">
        <f>"9781770560611"</f>
        <v>9781770560611</v>
      </c>
      <c r="E1433" t="s">
        <v>7779</v>
      </c>
      <c r="F1433" t="s">
        <v>7779</v>
      </c>
      <c r="G1433" s="1">
        <v>38456</v>
      </c>
      <c r="J1433" t="s">
        <v>7809</v>
      </c>
      <c r="K1433" t="s">
        <v>1458</v>
      </c>
      <c r="L1433" t="s">
        <v>7810</v>
      </c>
      <c r="M1433">
        <v>843.54</v>
      </c>
      <c r="N1433" t="s">
        <v>7811</v>
      </c>
      <c r="O1433" t="s">
        <v>26</v>
      </c>
      <c r="P1433">
        <v>14.95</v>
      </c>
      <c r="R1433">
        <v>14.95</v>
      </c>
      <c r="T1433" t="s">
        <v>7812</v>
      </c>
    </row>
    <row r="1434" spans="1:20">
      <c r="A1434">
        <v>760122</v>
      </c>
      <c r="B1434" t="s">
        <v>7813</v>
      </c>
      <c r="C1434" t="str">
        <f>"9781552451724"</f>
        <v>9781552451724</v>
      </c>
      <c r="D1434" t="str">
        <f>"9781770561489"</f>
        <v>9781770561489</v>
      </c>
      <c r="E1434" t="s">
        <v>7779</v>
      </c>
      <c r="F1434" t="s">
        <v>7779</v>
      </c>
      <c r="G1434" s="1">
        <v>37334</v>
      </c>
      <c r="J1434" t="s">
        <v>7814</v>
      </c>
      <c r="K1434" t="s">
        <v>1458</v>
      </c>
      <c r="L1434" t="s">
        <v>7815</v>
      </c>
      <c r="N1434" t="s">
        <v>7816</v>
      </c>
      <c r="O1434" t="s">
        <v>26</v>
      </c>
      <c r="P1434">
        <v>14.95</v>
      </c>
      <c r="R1434">
        <v>14.95</v>
      </c>
      <c r="T1434" t="s">
        <v>7817</v>
      </c>
    </row>
    <row r="1435" spans="1:20">
      <c r="A1435">
        <v>760124</v>
      </c>
      <c r="B1435" t="s">
        <v>7818</v>
      </c>
      <c r="C1435" t="str">
        <f>"9781552451656"</f>
        <v>9781552451656</v>
      </c>
      <c r="D1435" t="str">
        <f>"9781770562417"</f>
        <v>9781770562417</v>
      </c>
      <c r="E1435" t="s">
        <v>7779</v>
      </c>
      <c r="F1435" t="s">
        <v>7779</v>
      </c>
      <c r="G1435" s="1">
        <v>36969</v>
      </c>
      <c r="J1435" t="s">
        <v>7809</v>
      </c>
      <c r="K1435" t="s">
        <v>1458</v>
      </c>
      <c r="L1435" t="s">
        <v>7819</v>
      </c>
      <c r="M1435" t="s">
        <v>7820</v>
      </c>
      <c r="N1435" t="s">
        <v>7811</v>
      </c>
      <c r="O1435" t="s">
        <v>26</v>
      </c>
      <c r="P1435">
        <v>14.95</v>
      </c>
      <c r="R1435">
        <v>14.95</v>
      </c>
      <c r="T1435" t="s">
        <v>7821</v>
      </c>
    </row>
    <row r="1436" spans="1:20">
      <c r="A1436">
        <v>760152</v>
      </c>
      <c r="B1436" t="s">
        <v>7822</v>
      </c>
      <c r="C1436" t="str">
        <f>"9781552451564"</f>
        <v>9781552451564</v>
      </c>
      <c r="D1436" t="str">
        <f>"9781770562356"</f>
        <v>9781770562356</v>
      </c>
      <c r="E1436" t="s">
        <v>7779</v>
      </c>
      <c r="F1436" t="s">
        <v>7779</v>
      </c>
      <c r="G1436" s="1">
        <v>37214</v>
      </c>
      <c r="I1436" t="s">
        <v>7823</v>
      </c>
      <c r="J1436" t="s">
        <v>7824</v>
      </c>
      <c r="K1436" t="s">
        <v>291</v>
      </c>
      <c r="L1436" t="s">
        <v>7825</v>
      </c>
      <c r="M1436" t="s">
        <v>7826</v>
      </c>
      <c r="N1436" t="s">
        <v>7827</v>
      </c>
      <c r="O1436" t="s">
        <v>26</v>
      </c>
      <c r="P1436">
        <v>18.95</v>
      </c>
      <c r="R1436">
        <v>18.95</v>
      </c>
      <c r="T1436" t="s">
        <v>7828</v>
      </c>
    </row>
    <row r="1437" spans="1:20">
      <c r="A1437">
        <v>760161</v>
      </c>
      <c r="B1437" t="s">
        <v>7829</v>
      </c>
      <c r="C1437" t="str">
        <f>"9781552452080"</f>
        <v>9781552452080</v>
      </c>
      <c r="D1437" t="str">
        <f>"9781770561038"</f>
        <v>9781770561038</v>
      </c>
      <c r="E1437" t="s">
        <v>7779</v>
      </c>
      <c r="F1437" t="s">
        <v>7779</v>
      </c>
      <c r="G1437" s="1">
        <v>38274</v>
      </c>
      <c r="J1437" t="s">
        <v>7830</v>
      </c>
      <c r="K1437" t="s">
        <v>7831</v>
      </c>
      <c r="L1437" t="s">
        <v>7832</v>
      </c>
      <c r="M1437" t="s">
        <v>7833</v>
      </c>
      <c r="N1437" t="s">
        <v>7834</v>
      </c>
      <c r="O1437" t="s">
        <v>26</v>
      </c>
      <c r="P1437">
        <v>18.95</v>
      </c>
      <c r="R1437">
        <v>18.95</v>
      </c>
      <c r="T1437" t="s">
        <v>7835</v>
      </c>
    </row>
    <row r="1438" spans="1:20">
      <c r="A1438">
        <v>760169</v>
      </c>
      <c r="B1438" t="s">
        <v>7836</v>
      </c>
      <c r="C1438" t="str">
        <f>"9781552451939"</f>
        <v>9781552451939</v>
      </c>
      <c r="D1438" t="str">
        <f>"9781770560314"</f>
        <v>9781770560314</v>
      </c>
      <c r="E1438" t="s">
        <v>7779</v>
      </c>
      <c r="F1438" t="s">
        <v>7779</v>
      </c>
      <c r="G1438" s="1">
        <v>38274</v>
      </c>
      <c r="J1438" t="s">
        <v>7837</v>
      </c>
      <c r="K1438" t="s">
        <v>7838</v>
      </c>
      <c r="L1438" t="s">
        <v>7839</v>
      </c>
      <c r="M1438" t="s">
        <v>7840</v>
      </c>
      <c r="N1438" t="s">
        <v>7841</v>
      </c>
      <c r="O1438" t="s">
        <v>26</v>
      </c>
      <c r="P1438">
        <v>20.95</v>
      </c>
      <c r="R1438">
        <v>20.95</v>
      </c>
      <c r="T1438" t="s">
        <v>7842</v>
      </c>
    </row>
    <row r="1439" spans="1:20">
      <c r="A1439">
        <v>760182</v>
      </c>
      <c r="B1439" t="s">
        <v>7843</v>
      </c>
      <c r="C1439" t="str">
        <f>"9781552451588"</f>
        <v>9781552451588</v>
      </c>
      <c r="D1439" t="str">
        <f>"9781770560284"</f>
        <v>9781770560284</v>
      </c>
      <c r="E1439" t="s">
        <v>7779</v>
      </c>
      <c r="F1439" t="s">
        <v>7779</v>
      </c>
      <c r="G1439" s="1">
        <v>37183</v>
      </c>
      <c r="J1439" t="s">
        <v>7844</v>
      </c>
      <c r="K1439" t="s">
        <v>1458</v>
      </c>
      <c r="L1439" t="s">
        <v>7845</v>
      </c>
      <c r="M1439" t="s">
        <v>1509</v>
      </c>
      <c r="N1439" t="s">
        <v>7846</v>
      </c>
      <c r="O1439" t="s">
        <v>26</v>
      </c>
      <c r="P1439">
        <v>13.95</v>
      </c>
      <c r="R1439">
        <v>13.95</v>
      </c>
      <c r="T1439" t="s">
        <v>7847</v>
      </c>
    </row>
    <row r="1440" spans="1:20">
      <c r="A1440">
        <v>760187</v>
      </c>
      <c r="B1440" t="s">
        <v>7848</v>
      </c>
      <c r="C1440" t="str">
        <f>"9781552452363"</f>
        <v>9781552452363</v>
      </c>
      <c r="D1440" t="str">
        <f>"9781770562752"</f>
        <v>9781770562752</v>
      </c>
      <c r="E1440" t="s">
        <v>7779</v>
      </c>
      <c r="F1440" t="s">
        <v>7779</v>
      </c>
      <c r="G1440" s="1">
        <v>38990</v>
      </c>
      <c r="J1440" t="s">
        <v>7849</v>
      </c>
      <c r="K1440" t="s">
        <v>1464</v>
      </c>
      <c r="L1440" t="s">
        <v>7850</v>
      </c>
      <c r="M1440" t="s">
        <v>2738</v>
      </c>
      <c r="N1440" t="s">
        <v>7851</v>
      </c>
      <c r="O1440" t="s">
        <v>26</v>
      </c>
      <c r="P1440">
        <v>13.95</v>
      </c>
      <c r="R1440">
        <v>13.95</v>
      </c>
      <c r="T1440" t="s">
        <v>7852</v>
      </c>
    </row>
    <row r="1441" spans="1:20">
      <c r="A1441">
        <v>760190</v>
      </c>
      <c r="B1441" t="s">
        <v>7853</v>
      </c>
      <c r="C1441" t="str">
        <f>"9781552452356"</f>
        <v>9781552452356</v>
      </c>
      <c r="D1441" t="str">
        <f>"9781770562738"</f>
        <v>9781770562738</v>
      </c>
      <c r="E1441" t="s">
        <v>7779</v>
      </c>
      <c r="F1441" t="s">
        <v>7779</v>
      </c>
      <c r="G1441" s="1">
        <v>38990</v>
      </c>
      <c r="J1441" t="s">
        <v>7854</v>
      </c>
      <c r="K1441" t="s">
        <v>1464</v>
      </c>
      <c r="L1441" t="s">
        <v>7855</v>
      </c>
      <c r="M1441" t="s">
        <v>1545</v>
      </c>
      <c r="N1441" t="s">
        <v>7856</v>
      </c>
      <c r="O1441" t="s">
        <v>26</v>
      </c>
      <c r="P1441">
        <v>13.95</v>
      </c>
      <c r="R1441">
        <v>13.95</v>
      </c>
      <c r="T1441" t="s">
        <v>7857</v>
      </c>
    </row>
    <row r="1442" spans="1:20">
      <c r="A1442">
        <v>760209</v>
      </c>
      <c r="B1442" t="s">
        <v>7858</v>
      </c>
      <c r="C1442" t="str">
        <f>"9781552452257"</f>
        <v>9781552452257</v>
      </c>
      <c r="D1442" t="str">
        <f>"9781770562592"</f>
        <v>9781770562592</v>
      </c>
      <c r="E1442" t="s">
        <v>7779</v>
      </c>
      <c r="F1442" t="s">
        <v>7779</v>
      </c>
      <c r="G1442" s="1">
        <v>38639</v>
      </c>
      <c r="H1442">
        <v>2</v>
      </c>
      <c r="J1442" t="s">
        <v>7859</v>
      </c>
      <c r="K1442" t="s">
        <v>1464</v>
      </c>
      <c r="L1442" t="s">
        <v>7860</v>
      </c>
      <c r="M1442">
        <v>811.54</v>
      </c>
      <c r="N1442" t="s">
        <v>7851</v>
      </c>
      <c r="O1442" t="s">
        <v>26</v>
      </c>
      <c r="P1442">
        <v>13.95</v>
      </c>
      <c r="R1442">
        <v>13.95</v>
      </c>
      <c r="T1442" t="s">
        <v>7861</v>
      </c>
    </row>
    <row r="1443" spans="1:20">
      <c r="A1443">
        <v>760215</v>
      </c>
      <c r="B1443" t="s">
        <v>7862</v>
      </c>
      <c r="C1443" t="str">
        <f>"9781552451540"</f>
        <v>9781552451540</v>
      </c>
      <c r="D1443" t="str">
        <f>"9781770561908"</f>
        <v>9781770561908</v>
      </c>
      <c r="E1443" t="s">
        <v>7779</v>
      </c>
      <c r="F1443" t="s">
        <v>7779</v>
      </c>
      <c r="G1443" s="1">
        <v>37000</v>
      </c>
      <c r="J1443" t="s">
        <v>7863</v>
      </c>
      <c r="K1443" t="s">
        <v>1464</v>
      </c>
      <c r="L1443" t="s">
        <v>7864</v>
      </c>
      <c r="M1443" t="s">
        <v>1545</v>
      </c>
      <c r="N1443" t="s">
        <v>7851</v>
      </c>
      <c r="O1443" t="s">
        <v>26</v>
      </c>
      <c r="P1443">
        <v>13.95</v>
      </c>
      <c r="R1443">
        <v>13.95</v>
      </c>
      <c r="T1443" t="s">
        <v>7865</v>
      </c>
    </row>
    <row r="1444" spans="1:20">
      <c r="A1444">
        <v>760217</v>
      </c>
      <c r="B1444" t="s">
        <v>7866</v>
      </c>
      <c r="C1444" t="str">
        <f>"9781552451205"</f>
        <v>9781552451205</v>
      </c>
      <c r="D1444" t="str">
        <f>"9781770560192"</f>
        <v>9781770560192</v>
      </c>
      <c r="E1444" t="s">
        <v>7779</v>
      </c>
      <c r="F1444" t="s">
        <v>7779</v>
      </c>
      <c r="G1444" s="1">
        <v>36269</v>
      </c>
      <c r="J1444" t="s">
        <v>7867</v>
      </c>
      <c r="K1444" t="s">
        <v>1458</v>
      </c>
      <c r="L1444" t="s">
        <v>7868</v>
      </c>
      <c r="M1444" t="s">
        <v>7820</v>
      </c>
      <c r="N1444" t="s">
        <v>7811</v>
      </c>
      <c r="O1444" t="s">
        <v>26</v>
      </c>
      <c r="P1444">
        <v>18.95</v>
      </c>
      <c r="R1444">
        <v>18.95</v>
      </c>
      <c r="T1444" t="s">
        <v>7869</v>
      </c>
    </row>
    <row r="1445" spans="1:20">
      <c r="A1445">
        <v>760223</v>
      </c>
      <c r="B1445" t="s">
        <v>7870</v>
      </c>
      <c r="C1445" t="str">
        <f>"9781552451083"</f>
        <v>9781552451083</v>
      </c>
      <c r="D1445" t="str">
        <f>"9781770560406"</f>
        <v>9781770560406</v>
      </c>
      <c r="E1445" t="s">
        <v>7779</v>
      </c>
      <c r="F1445" t="s">
        <v>7779</v>
      </c>
      <c r="G1445" s="1">
        <v>36087</v>
      </c>
      <c r="J1445" t="s">
        <v>7871</v>
      </c>
      <c r="K1445" t="s">
        <v>1458</v>
      </c>
      <c r="L1445" t="s">
        <v>7872</v>
      </c>
      <c r="M1445" t="s">
        <v>1460</v>
      </c>
      <c r="N1445" t="s">
        <v>7873</v>
      </c>
      <c r="O1445" t="s">
        <v>26</v>
      </c>
      <c r="P1445">
        <v>14.95</v>
      </c>
      <c r="R1445">
        <v>14.95</v>
      </c>
      <c r="T1445" t="s">
        <v>7874</v>
      </c>
    </row>
    <row r="1446" spans="1:20">
      <c r="A1446">
        <v>760224</v>
      </c>
      <c r="B1446" t="s">
        <v>7875</v>
      </c>
      <c r="C1446" t="str">
        <f>"9781552451922"</f>
        <v>9781552451922</v>
      </c>
      <c r="D1446" t="str">
        <f>"9781770561878"</f>
        <v>9781770561878</v>
      </c>
      <c r="E1446" t="s">
        <v>7779</v>
      </c>
      <c r="F1446" t="s">
        <v>7779</v>
      </c>
      <c r="G1446" s="1">
        <v>38274</v>
      </c>
      <c r="J1446" t="s">
        <v>7876</v>
      </c>
      <c r="K1446" t="s">
        <v>1471</v>
      </c>
      <c r="L1446" t="s">
        <v>7877</v>
      </c>
      <c r="M1446" t="s">
        <v>7878</v>
      </c>
      <c r="N1446" t="s">
        <v>7879</v>
      </c>
      <c r="O1446" t="s">
        <v>26</v>
      </c>
      <c r="P1446">
        <v>20.95</v>
      </c>
      <c r="R1446">
        <v>20.95</v>
      </c>
      <c r="T1446" t="s">
        <v>7880</v>
      </c>
    </row>
    <row r="1447" spans="1:20">
      <c r="A1447">
        <v>760227</v>
      </c>
      <c r="B1447" t="s">
        <v>7881</v>
      </c>
      <c r="C1447" t="str">
        <f>"9781552451731"</f>
        <v>9781552451731</v>
      </c>
      <c r="D1447" t="str">
        <f>"9781770561212"</f>
        <v>9781770561212</v>
      </c>
      <c r="E1447" t="s">
        <v>7779</v>
      </c>
      <c r="F1447" t="s">
        <v>7779</v>
      </c>
      <c r="G1447" s="1">
        <v>37529</v>
      </c>
      <c r="J1447" t="s">
        <v>7882</v>
      </c>
      <c r="K1447" t="s">
        <v>1458</v>
      </c>
      <c r="L1447" t="s">
        <v>7883</v>
      </c>
      <c r="M1447" t="s">
        <v>1509</v>
      </c>
      <c r="N1447" t="s">
        <v>7884</v>
      </c>
      <c r="O1447" t="s">
        <v>26</v>
      </c>
      <c r="P1447">
        <v>14.95</v>
      </c>
      <c r="R1447">
        <v>14.95</v>
      </c>
      <c r="T1447" t="s">
        <v>7885</v>
      </c>
    </row>
    <row r="1448" spans="1:20">
      <c r="A1448">
        <v>760235</v>
      </c>
      <c r="B1448" t="s">
        <v>7886</v>
      </c>
      <c r="C1448" t="str">
        <f>"9781552451977"</f>
        <v>9781552451977</v>
      </c>
      <c r="D1448" t="str">
        <f>"9781770560888"</f>
        <v>9781770560888</v>
      </c>
      <c r="E1448" t="s">
        <v>7779</v>
      </c>
      <c r="F1448" t="s">
        <v>7779</v>
      </c>
      <c r="G1448" s="1">
        <v>38091</v>
      </c>
      <c r="J1448" t="s">
        <v>7887</v>
      </c>
      <c r="K1448" t="s">
        <v>1464</v>
      </c>
      <c r="L1448" t="s">
        <v>7888</v>
      </c>
      <c r="M1448" t="s">
        <v>1466</v>
      </c>
      <c r="N1448" t="s">
        <v>7889</v>
      </c>
      <c r="O1448" t="s">
        <v>26</v>
      </c>
      <c r="P1448">
        <v>14.95</v>
      </c>
      <c r="R1448">
        <v>14.95</v>
      </c>
      <c r="T1448" t="s">
        <v>7890</v>
      </c>
    </row>
    <row r="1449" spans="1:20">
      <c r="A1449">
        <v>760236</v>
      </c>
      <c r="B1449" t="s">
        <v>7891</v>
      </c>
      <c r="C1449" t="str">
        <f>"9781552452301"</f>
        <v>9781552452301</v>
      </c>
      <c r="D1449" t="str">
        <f>"9781770562691"</f>
        <v>9781770562691</v>
      </c>
      <c r="E1449" t="s">
        <v>7779</v>
      </c>
      <c r="F1449" t="s">
        <v>7779</v>
      </c>
      <c r="G1449" s="1">
        <v>40310</v>
      </c>
      <c r="J1449" t="s">
        <v>7887</v>
      </c>
      <c r="K1449" t="s">
        <v>1464</v>
      </c>
      <c r="L1449" t="s">
        <v>7892</v>
      </c>
      <c r="M1449" t="s">
        <v>2738</v>
      </c>
      <c r="N1449" t="s">
        <v>7893</v>
      </c>
      <c r="O1449" t="s">
        <v>26</v>
      </c>
      <c r="P1449">
        <v>13.95</v>
      </c>
      <c r="R1449">
        <v>13.95</v>
      </c>
      <c r="T1449" t="s">
        <v>7894</v>
      </c>
    </row>
    <row r="1450" spans="1:20">
      <c r="A1450">
        <v>760245</v>
      </c>
      <c r="B1450" t="s">
        <v>7895</v>
      </c>
      <c r="C1450" t="str">
        <f>"9781552451298"</f>
        <v>9781552451298</v>
      </c>
      <c r="D1450" t="str">
        <f>"9781770562387"</f>
        <v>9781770562387</v>
      </c>
      <c r="E1450" t="s">
        <v>7779</v>
      </c>
      <c r="F1450" t="s">
        <v>7779</v>
      </c>
      <c r="G1450" s="1">
        <v>36452</v>
      </c>
      <c r="J1450" t="s">
        <v>7896</v>
      </c>
      <c r="K1450" t="s">
        <v>1458</v>
      </c>
      <c r="L1450" t="s">
        <v>7897</v>
      </c>
      <c r="M1450" t="s">
        <v>1460</v>
      </c>
      <c r="N1450" t="s">
        <v>7811</v>
      </c>
      <c r="O1450" t="s">
        <v>26</v>
      </c>
      <c r="P1450">
        <v>14.95</v>
      </c>
      <c r="R1450">
        <v>14.95</v>
      </c>
      <c r="T1450" t="s">
        <v>7898</v>
      </c>
    </row>
    <row r="1451" spans="1:20">
      <c r="A1451">
        <v>760247</v>
      </c>
      <c r="B1451" t="s">
        <v>7899</v>
      </c>
      <c r="C1451" t="str">
        <f>"9781552451953"</f>
        <v>9781552451953</v>
      </c>
      <c r="D1451" t="str">
        <f>"9781770562202"</f>
        <v>9781770562202</v>
      </c>
      <c r="E1451" t="s">
        <v>7779</v>
      </c>
      <c r="F1451" t="s">
        <v>7779</v>
      </c>
      <c r="G1451" s="1">
        <v>38091</v>
      </c>
      <c r="J1451" t="s">
        <v>7900</v>
      </c>
      <c r="K1451" t="s">
        <v>1458</v>
      </c>
      <c r="L1451" t="s">
        <v>7901</v>
      </c>
      <c r="M1451" t="s">
        <v>1460</v>
      </c>
      <c r="N1451" t="s">
        <v>7902</v>
      </c>
      <c r="O1451" t="s">
        <v>26</v>
      </c>
      <c r="P1451">
        <v>14.95</v>
      </c>
      <c r="R1451">
        <v>14.95</v>
      </c>
      <c r="T1451" t="s">
        <v>7903</v>
      </c>
    </row>
    <row r="1452" spans="1:20">
      <c r="A1452">
        <v>760248</v>
      </c>
      <c r="B1452" t="s">
        <v>7904</v>
      </c>
      <c r="C1452" t="str">
        <f>"9781552451625"</f>
        <v>9781552451625</v>
      </c>
      <c r="D1452" t="str">
        <f>"9781770562295"</f>
        <v>9781770562295</v>
      </c>
      <c r="E1452" t="s">
        <v>7779</v>
      </c>
      <c r="F1452" t="s">
        <v>7779</v>
      </c>
      <c r="G1452" s="1">
        <v>37153</v>
      </c>
      <c r="J1452" t="s">
        <v>7900</v>
      </c>
      <c r="K1452" t="s">
        <v>1458</v>
      </c>
      <c r="L1452" t="s">
        <v>7905</v>
      </c>
      <c r="M1452" t="s">
        <v>7906</v>
      </c>
      <c r="N1452" t="s">
        <v>7907</v>
      </c>
      <c r="O1452" t="s">
        <v>26</v>
      </c>
      <c r="P1452">
        <v>13.95</v>
      </c>
      <c r="R1452">
        <v>13.95</v>
      </c>
      <c r="T1452" t="s">
        <v>7908</v>
      </c>
    </row>
    <row r="1453" spans="1:20">
      <c r="A1453">
        <v>760250</v>
      </c>
      <c r="B1453" t="s">
        <v>7909</v>
      </c>
      <c r="C1453" t="str">
        <f>"9781552452059"</f>
        <v>9781552452059</v>
      </c>
      <c r="D1453" t="str">
        <f>"9781770560345"</f>
        <v>9781770560345</v>
      </c>
      <c r="E1453" t="s">
        <v>7779</v>
      </c>
      <c r="F1453" t="s">
        <v>7779</v>
      </c>
      <c r="G1453" s="1">
        <v>38274</v>
      </c>
      <c r="J1453" t="s">
        <v>7910</v>
      </c>
      <c r="K1453" t="s">
        <v>1464</v>
      </c>
      <c r="L1453" t="s">
        <v>7911</v>
      </c>
      <c r="M1453">
        <v>811.6</v>
      </c>
      <c r="N1453" t="s">
        <v>7851</v>
      </c>
      <c r="O1453" t="s">
        <v>26</v>
      </c>
      <c r="P1453">
        <v>13.95</v>
      </c>
      <c r="R1453">
        <v>13.95</v>
      </c>
      <c r="T1453" t="s">
        <v>7912</v>
      </c>
    </row>
    <row r="1454" spans="1:20">
      <c r="A1454">
        <v>760256</v>
      </c>
      <c r="B1454" t="s">
        <v>7913</v>
      </c>
      <c r="C1454" t="str">
        <f>"9781552451663"</f>
        <v>9781552451663</v>
      </c>
      <c r="D1454" t="str">
        <f>"9781770561540"</f>
        <v>9781770561540</v>
      </c>
      <c r="E1454" t="s">
        <v>7779</v>
      </c>
      <c r="F1454" t="s">
        <v>7779</v>
      </c>
      <c r="G1454" s="1">
        <v>37365</v>
      </c>
      <c r="J1454" t="s">
        <v>7914</v>
      </c>
      <c r="K1454" t="s">
        <v>1458</v>
      </c>
      <c r="L1454" t="s">
        <v>7915</v>
      </c>
      <c r="M1454" t="s">
        <v>1509</v>
      </c>
      <c r="N1454" t="s">
        <v>7811</v>
      </c>
      <c r="O1454" t="s">
        <v>26</v>
      </c>
      <c r="P1454">
        <v>14.95</v>
      </c>
      <c r="R1454">
        <v>14.95</v>
      </c>
      <c r="T1454" t="s">
        <v>7916</v>
      </c>
    </row>
    <row r="1455" spans="1:20">
      <c r="A1455">
        <v>760261</v>
      </c>
      <c r="B1455" t="s">
        <v>7917</v>
      </c>
      <c r="C1455" t="str">
        <f>"9781552452349"</f>
        <v>9781552452349</v>
      </c>
      <c r="D1455" t="str">
        <f>"9781770562714"</f>
        <v>9781770562714</v>
      </c>
      <c r="E1455" t="s">
        <v>7779</v>
      </c>
      <c r="F1455" t="s">
        <v>7779</v>
      </c>
      <c r="G1455" s="1">
        <v>38990</v>
      </c>
      <c r="J1455" t="s">
        <v>1501</v>
      </c>
      <c r="K1455" t="s">
        <v>1458</v>
      </c>
      <c r="L1455" t="s">
        <v>7918</v>
      </c>
      <c r="M1455" t="s">
        <v>2738</v>
      </c>
      <c r="N1455" t="s">
        <v>7851</v>
      </c>
      <c r="O1455" t="s">
        <v>26</v>
      </c>
      <c r="P1455">
        <v>13.95</v>
      </c>
      <c r="R1455">
        <v>13.95</v>
      </c>
      <c r="T1455" t="s">
        <v>7919</v>
      </c>
    </row>
    <row r="1456" spans="1:20">
      <c r="A1456">
        <v>760276</v>
      </c>
      <c r="B1456" t="s">
        <v>7920</v>
      </c>
      <c r="C1456" t="str">
        <f>"9781552451830"</f>
        <v>9781552451830</v>
      </c>
      <c r="D1456" t="str">
        <f>"9781770560970"</f>
        <v>9781770560970</v>
      </c>
      <c r="E1456" t="s">
        <v>7779</v>
      </c>
      <c r="F1456" t="s">
        <v>7779</v>
      </c>
      <c r="G1456" s="1">
        <v>37725</v>
      </c>
      <c r="J1456" t="s">
        <v>7921</v>
      </c>
      <c r="K1456" t="s">
        <v>1458</v>
      </c>
      <c r="L1456" t="s">
        <v>7922</v>
      </c>
      <c r="M1456">
        <v>812.6</v>
      </c>
      <c r="N1456" t="s">
        <v>7923</v>
      </c>
      <c r="O1456" t="s">
        <v>26</v>
      </c>
      <c r="P1456">
        <v>13.95</v>
      </c>
      <c r="R1456">
        <v>13.95</v>
      </c>
      <c r="T1456" t="s">
        <v>7924</v>
      </c>
    </row>
    <row r="1457" spans="1:20">
      <c r="A1457">
        <v>760282</v>
      </c>
      <c r="B1457" t="s">
        <v>7925</v>
      </c>
      <c r="C1457" t="str">
        <f>"9781552450765"</f>
        <v>9781552450765</v>
      </c>
      <c r="D1457" t="str">
        <f>"9781770560642"</f>
        <v>9781770560642</v>
      </c>
      <c r="E1457" t="s">
        <v>7779</v>
      </c>
      <c r="F1457" t="s">
        <v>7779</v>
      </c>
      <c r="G1457" s="1">
        <v>34352</v>
      </c>
      <c r="J1457" t="s">
        <v>7926</v>
      </c>
      <c r="K1457" t="s">
        <v>1464</v>
      </c>
      <c r="L1457" t="s">
        <v>7927</v>
      </c>
      <c r="M1457" t="s">
        <v>7928</v>
      </c>
      <c r="N1457" t="s">
        <v>7929</v>
      </c>
      <c r="O1457" t="s">
        <v>26</v>
      </c>
      <c r="P1457">
        <v>13.95</v>
      </c>
      <c r="R1457">
        <v>13.95</v>
      </c>
      <c r="T1457" t="s">
        <v>7930</v>
      </c>
    </row>
    <row r="1458" spans="1:20">
      <c r="A1458">
        <v>760289</v>
      </c>
      <c r="B1458" t="s">
        <v>7931</v>
      </c>
      <c r="C1458" t="str">
        <f>"9781552451908"</f>
        <v>9781552451908</v>
      </c>
      <c r="D1458" t="str">
        <f>"9781770560079"</f>
        <v>9781770560079</v>
      </c>
      <c r="E1458" t="s">
        <v>7779</v>
      </c>
      <c r="F1458" t="s">
        <v>7779</v>
      </c>
      <c r="G1458" s="1">
        <v>38274</v>
      </c>
      <c r="J1458" t="s">
        <v>7932</v>
      </c>
      <c r="K1458" t="s">
        <v>1458</v>
      </c>
      <c r="L1458" t="s">
        <v>7933</v>
      </c>
      <c r="M1458" t="s">
        <v>7934</v>
      </c>
      <c r="N1458" t="s">
        <v>7935</v>
      </c>
      <c r="O1458" t="s">
        <v>26</v>
      </c>
      <c r="P1458">
        <v>12.95</v>
      </c>
      <c r="R1458">
        <v>12.95</v>
      </c>
      <c r="T1458" t="s">
        <v>7936</v>
      </c>
    </row>
    <row r="1459" spans="1:20">
      <c r="A1459">
        <v>760291</v>
      </c>
      <c r="B1459" t="s">
        <v>7937</v>
      </c>
      <c r="C1459" t="str">
        <f>"9781552452141"</f>
        <v>9781552452141</v>
      </c>
      <c r="D1459" t="str">
        <f>"9781770560130"</f>
        <v>9781770560130</v>
      </c>
      <c r="E1459" t="s">
        <v>7779</v>
      </c>
      <c r="F1459" t="s">
        <v>7779</v>
      </c>
      <c r="G1459" s="1">
        <v>38456</v>
      </c>
      <c r="J1459" t="s">
        <v>7938</v>
      </c>
      <c r="K1459" t="s">
        <v>1458</v>
      </c>
      <c r="L1459" t="s">
        <v>7939</v>
      </c>
      <c r="M1459">
        <v>813.6</v>
      </c>
      <c r="N1459" t="s">
        <v>7940</v>
      </c>
      <c r="O1459" t="s">
        <v>26</v>
      </c>
      <c r="P1459">
        <v>14.95</v>
      </c>
      <c r="R1459">
        <v>14.95</v>
      </c>
      <c r="T1459" t="s">
        <v>7941</v>
      </c>
    </row>
    <row r="1460" spans="1:20">
      <c r="A1460">
        <v>760292</v>
      </c>
      <c r="B1460" t="s">
        <v>7942</v>
      </c>
      <c r="C1460" t="str">
        <f>"9781552452233"</f>
        <v>9781552452233</v>
      </c>
      <c r="D1460" t="str">
        <f>"9781770562578"</f>
        <v>9781770562578</v>
      </c>
      <c r="E1460" t="s">
        <v>7779</v>
      </c>
      <c r="F1460" t="s">
        <v>7779</v>
      </c>
      <c r="G1460" s="1">
        <v>38639</v>
      </c>
      <c r="J1460" t="s">
        <v>7943</v>
      </c>
      <c r="K1460" t="s">
        <v>1464</v>
      </c>
      <c r="L1460" t="s">
        <v>7944</v>
      </c>
      <c r="M1460" t="s">
        <v>1466</v>
      </c>
      <c r="N1460" t="s">
        <v>7851</v>
      </c>
      <c r="O1460" t="s">
        <v>26</v>
      </c>
      <c r="P1460">
        <v>13.95</v>
      </c>
      <c r="R1460">
        <v>13.95</v>
      </c>
      <c r="T1460" t="s">
        <v>7945</v>
      </c>
    </row>
    <row r="1461" spans="1:20">
      <c r="A1461">
        <v>760299</v>
      </c>
      <c r="B1461" t="s">
        <v>7946</v>
      </c>
      <c r="C1461" t="str">
        <f>"9781552451861"</f>
        <v>9781552451861</v>
      </c>
      <c r="D1461" t="str">
        <f>"9781770562325"</f>
        <v>9781770562325</v>
      </c>
      <c r="E1461" t="s">
        <v>7779</v>
      </c>
      <c r="F1461" t="s">
        <v>7779</v>
      </c>
      <c r="G1461" s="1">
        <v>38274</v>
      </c>
      <c r="J1461" t="s">
        <v>7947</v>
      </c>
      <c r="K1461" t="s">
        <v>1458</v>
      </c>
      <c r="L1461" t="s">
        <v>7948</v>
      </c>
      <c r="M1461" t="s">
        <v>1509</v>
      </c>
      <c r="N1461" t="s">
        <v>7949</v>
      </c>
      <c r="O1461" t="s">
        <v>26</v>
      </c>
      <c r="P1461">
        <v>14.95</v>
      </c>
      <c r="R1461">
        <v>14.95</v>
      </c>
      <c r="T1461" t="s">
        <v>7950</v>
      </c>
    </row>
    <row r="1462" spans="1:20">
      <c r="A1462">
        <v>760301</v>
      </c>
      <c r="B1462" t="s">
        <v>7951</v>
      </c>
      <c r="C1462" t="str">
        <f>"9781552451960"</f>
        <v>9781552451960</v>
      </c>
      <c r="D1462" t="str">
        <f>"9781770560765"</f>
        <v>9781770560765</v>
      </c>
      <c r="E1462" t="s">
        <v>7779</v>
      </c>
      <c r="F1462" t="s">
        <v>7779</v>
      </c>
      <c r="G1462" s="1">
        <v>38091</v>
      </c>
      <c r="J1462" t="s">
        <v>7952</v>
      </c>
      <c r="K1462" t="s">
        <v>1458</v>
      </c>
      <c r="L1462" t="s">
        <v>7953</v>
      </c>
      <c r="M1462">
        <v>813.54</v>
      </c>
      <c r="N1462" t="s">
        <v>7954</v>
      </c>
      <c r="O1462" t="s">
        <v>26</v>
      </c>
      <c r="P1462">
        <v>14.95</v>
      </c>
      <c r="R1462">
        <v>14.95</v>
      </c>
      <c r="T1462" t="s">
        <v>7955</v>
      </c>
    </row>
    <row r="1463" spans="1:20">
      <c r="A1463">
        <v>760305</v>
      </c>
      <c r="B1463" t="s">
        <v>7956</v>
      </c>
      <c r="C1463" t="str">
        <f>"9781552451717"</f>
        <v>9781552451717</v>
      </c>
      <c r="D1463" t="str">
        <f>"9781770560949"</f>
        <v>9781770560949</v>
      </c>
      <c r="E1463" t="s">
        <v>7779</v>
      </c>
      <c r="F1463" t="s">
        <v>7779</v>
      </c>
      <c r="G1463" s="1">
        <v>37334</v>
      </c>
      <c r="J1463" t="s">
        <v>7957</v>
      </c>
      <c r="K1463" t="s">
        <v>1458</v>
      </c>
      <c r="L1463" t="s">
        <v>7958</v>
      </c>
      <c r="M1463">
        <v>812.6</v>
      </c>
      <c r="N1463" t="s">
        <v>7959</v>
      </c>
      <c r="O1463" t="s">
        <v>26</v>
      </c>
      <c r="P1463">
        <v>13.95</v>
      </c>
      <c r="R1463">
        <v>13.95</v>
      </c>
      <c r="T1463" t="s">
        <v>7960</v>
      </c>
    </row>
    <row r="1464" spans="1:20">
      <c r="A1464">
        <v>760306</v>
      </c>
      <c r="B1464" t="s">
        <v>7961</v>
      </c>
      <c r="C1464" t="str">
        <f>"9781552451342"</f>
        <v>9781552451342</v>
      </c>
      <c r="D1464" t="str">
        <f>"9781770561724"</f>
        <v>9781770561724</v>
      </c>
      <c r="E1464" t="s">
        <v>7779</v>
      </c>
      <c r="F1464" t="s">
        <v>7779</v>
      </c>
      <c r="G1464" s="1">
        <v>36665</v>
      </c>
      <c r="J1464" t="s">
        <v>7957</v>
      </c>
      <c r="K1464" t="s">
        <v>1458</v>
      </c>
      <c r="L1464" t="s">
        <v>7962</v>
      </c>
      <c r="M1464" t="s">
        <v>7963</v>
      </c>
      <c r="N1464" t="s">
        <v>7964</v>
      </c>
      <c r="O1464" t="s">
        <v>26</v>
      </c>
      <c r="P1464">
        <v>13.95</v>
      </c>
      <c r="R1464">
        <v>13.95</v>
      </c>
      <c r="T1464" t="s">
        <v>7965</v>
      </c>
    </row>
    <row r="1465" spans="1:20">
      <c r="A1465">
        <v>760313</v>
      </c>
      <c r="B1465" t="s">
        <v>7966</v>
      </c>
      <c r="C1465" t="str">
        <f>"9781552452004"</f>
        <v>9781552452004</v>
      </c>
      <c r="D1465" t="str">
        <f>"9781770561816"</f>
        <v>9781770561816</v>
      </c>
      <c r="E1465" t="s">
        <v>7779</v>
      </c>
      <c r="F1465" t="s">
        <v>7779</v>
      </c>
      <c r="G1465" s="1">
        <v>38091</v>
      </c>
      <c r="J1465" t="s">
        <v>7967</v>
      </c>
      <c r="K1465" t="s">
        <v>1471</v>
      </c>
      <c r="L1465" t="s">
        <v>7968</v>
      </c>
      <c r="M1465" t="s">
        <v>7969</v>
      </c>
      <c r="N1465" t="s">
        <v>7970</v>
      </c>
      <c r="O1465" t="s">
        <v>26</v>
      </c>
      <c r="P1465">
        <v>20.95</v>
      </c>
      <c r="R1465">
        <v>20.95</v>
      </c>
      <c r="T1465" t="s">
        <v>7971</v>
      </c>
    </row>
    <row r="1466" spans="1:20">
      <c r="A1466">
        <v>760317</v>
      </c>
      <c r="B1466" t="s">
        <v>7972</v>
      </c>
      <c r="C1466" t="str">
        <f>"9781552451076"</f>
        <v>9781552451076</v>
      </c>
      <c r="D1466" t="str">
        <f>"9781770560499"</f>
        <v>9781770560499</v>
      </c>
      <c r="E1466" t="s">
        <v>7779</v>
      </c>
      <c r="F1466" t="s">
        <v>7779</v>
      </c>
      <c r="G1466" s="1">
        <v>36057</v>
      </c>
      <c r="J1466" t="s">
        <v>7973</v>
      </c>
      <c r="K1466" t="s">
        <v>1471</v>
      </c>
      <c r="L1466" t="s">
        <v>7974</v>
      </c>
      <c r="M1466" t="s">
        <v>7975</v>
      </c>
      <c r="N1466" t="s">
        <v>7976</v>
      </c>
      <c r="O1466" t="s">
        <v>26</v>
      </c>
      <c r="P1466">
        <v>14.95</v>
      </c>
      <c r="R1466">
        <v>14.95</v>
      </c>
      <c r="T1466" t="s">
        <v>7977</v>
      </c>
    </row>
    <row r="1467" spans="1:20">
      <c r="A1467">
        <v>760318</v>
      </c>
      <c r="B1467" t="s">
        <v>7978</v>
      </c>
      <c r="C1467" t="str">
        <f>"9781552451304"</f>
        <v>9781552451304</v>
      </c>
      <c r="D1467" t="str">
        <f>"9781770560109"</f>
        <v>9781770560109</v>
      </c>
      <c r="E1467" t="s">
        <v>7779</v>
      </c>
      <c r="F1467" t="s">
        <v>7779</v>
      </c>
      <c r="G1467" s="1">
        <v>36452</v>
      </c>
      <c r="J1467" t="s">
        <v>7979</v>
      </c>
      <c r="K1467" t="s">
        <v>1458</v>
      </c>
      <c r="L1467" t="s">
        <v>7980</v>
      </c>
      <c r="M1467">
        <v>813.6</v>
      </c>
      <c r="N1467" t="s">
        <v>7981</v>
      </c>
      <c r="O1467" t="s">
        <v>26</v>
      </c>
      <c r="P1467">
        <v>13.95</v>
      </c>
      <c r="R1467">
        <v>13.95</v>
      </c>
      <c r="T1467" t="s">
        <v>7982</v>
      </c>
    </row>
    <row r="1468" spans="1:20">
      <c r="A1468">
        <v>760319</v>
      </c>
      <c r="B1468" t="s">
        <v>7983</v>
      </c>
      <c r="C1468" t="str">
        <f>"9781552451571"</f>
        <v>9781552451571</v>
      </c>
      <c r="D1468" t="str">
        <f>"9781770560376"</f>
        <v>9781770560376</v>
      </c>
      <c r="E1468" t="s">
        <v>7779</v>
      </c>
      <c r="F1468" t="s">
        <v>7779</v>
      </c>
      <c r="G1468" s="1">
        <v>37183</v>
      </c>
      <c r="J1468" t="s">
        <v>7984</v>
      </c>
      <c r="K1468" t="s">
        <v>1458</v>
      </c>
      <c r="L1468" t="s">
        <v>7985</v>
      </c>
      <c r="M1468">
        <v>813.6</v>
      </c>
      <c r="N1468" t="s">
        <v>7986</v>
      </c>
      <c r="O1468" t="s">
        <v>26</v>
      </c>
      <c r="P1468">
        <v>14.95</v>
      </c>
      <c r="R1468">
        <v>14.95</v>
      </c>
      <c r="T1468" t="s">
        <v>7987</v>
      </c>
    </row>
    <row r="1469" spans="1:20">
      <c r="A1469">
        <v>760328</v>
      </c>
      <c r="B1469" t="s">
        <v>7988</v>
      </c>
      <c r="C1469" t="str">
        <f>"9781552451557"</f>
        <v>9781552451557</v>
      </c>
      <c r="D1469" t="str">
        <f>"9781770560529"</f>
        <v>9781770560529</v>
      </c>
      <c r="E1469" t="s">
        <v>7779</v>
      </c>
      <c r="F1469" t="s">
        <v>7779</v>
      </c>
      <c r="G1469" s="1">
        <v>37000</v>
      </c>
      <c r="J1469" t="s">
        <v>7989</v>
      </c>
      <c r="K1469" t="s">
        <v>1458</v>
      </c>
      <c r="L1469" t="s">
        <v>7990</v>
      </c>
      <c r="M1469" t="s">
        <v>7906</v>
      </c>
      <c r="N1469" t="s">
        <v>7991</v>
      </c>
      <c r="O1469" t="s">
        <v>26</v>
      </c>
      <c r="P1469">
        <v>13.95</v>
      </c>
      <c r="R1469">
        <v>13.95</v>
      </c>
      <c r="T1469" t="s">
        <v>7992</v>
      </c>
    </row>
    <row r="1470" spans="1:20">
      <c r="A1470">
        <v>760330</v>
      </c>
      <c r="B1470" t="s">
        <v>7993</v>
      </c>
      <c r="C1470" t="str">
        <f>"9781552451311"</f>
        <v>9781552451311</v>
      </c>
      <c r="D1470" t="str">
        <f>"9781770560673"</f>
        <v>9781770560673</v>
      </c>
      <c r="E1470" t="s">
        <v>7779</v>
      </c>
      <c r="F1470" t="s">
        <v>7779</v>
      </c>
      <c r="G1470" s="1">
        <v>36422</v>
      </c>
      <c r="J1470" t="s">
        <v>7994</v>
      </c>
      <c r="K1470" t="s">
        <v>1471</v>
      </c>
      <c r="L1470" t="s">
        <v>7995</v>
      </c>
      <c r="M1470">
        <v>791.43</v>
      </c>
      <c r="N1470" t="s">
        <v>7996</v>
      </c>
      <c r="O1470" t="s">
        <v>26</v>
      </c>
      <c r="P1470">
        <v>18.95</v>
      </c>
      <c r="R1470">
        <v>18.95</v>
      </c>
      <c r="T1470" t="s">
        <v>7997</v>
      </c>
    </row>
    <row r="1471" spans="1:20">
      <c r="A1471">
        <v>760335</v>
      </c>
      <c r="B1471" t="s">
        <v>7998</v>
      </c>
      <c r="C1471" t="str">
        <f>"9781552451885"</f>
        <v>9781552451885</v>
      </c>
      <c r="D1471" t="str">
        <f>"9781770562059"</f>
        <v>9781770562059</v>
      </c>
      <c r="E1471" t="s">
        <v>7779</v>
      </c>
      <c r="F1471" t="s">
        <v>7779</v>
      </c>
      <c r="G1471" s="1">
        <v>38274</v>
      </c>
      <c r="J1471" t="s">
        <v>1577</v>
      </c>
      <c r="K1471" t="s">
        <v>1464</v>
      </c>
      <c r="L1471" t="s">
        <v>7999</v>
      </c>
      <c r="M1471" t="s">
        <v>1497</v>
      </c>
      <c r="N1471" t="s">
        <v>8000</v>
      </c>
      <c r="O1471" t="s">
        <v>26</v>
      </c>
      <c r="P1471">
        <v>13.95</v>
      </c>
      <c r="R1471">
        <v>13.95</v>
      </c>
      <c r="T1471" t="s">
        <v>8001</v>
      </c>
    </row>
    <row r="1472" spans="1:20">
      <c r="A1472">
        <v>760338</v>
      </c>
      <c r="B1472" t="s">
        <v>8002</v>
      </c>
      <c r="C1472" t="str">
        <f>"9781552452264"</f>
        <v>9781552452264</v>
      </c>
      <c r="D1472" t="str">
        <f>"9781770562615"</f>
        <v>9781770562615</v>
      </c>
      <c r="E1472" t="s">
        <v>7779</v>
      </c>
      <c r="F1472" t="s">
        <v>7779</v>
      </c>
      <c r="G1472" s="1">
        <v>40299</v>
      </c>
      <c r="J1472" t="s">
        <v>8003</v>
      </c>
      <c r="K1472" t="s">
        <v>291</v>
      </c>
      <c r="L1472" t="s">
        <v>8004</v>
      </c>
      <c r="M1472" t="s">
        <v>7826</v>
      </c>
      <c r="N1472" t="s">
        <v>8005</v>
      </c>
      <c r="O1472" t="s">
        <v>26</v>
      </c>
      <c r="P1472">
        <v>18.95</v>
      </c>
      <c r="R1472">
        <v>18.95</v>
      </c>
      <c r="T1472" t="s">
        <v>8006</v>
      </c>
    </row>
    <row r="1473" spans="1:20">
      <c r="A1473">
        <v>760348</v>
      </c>
      <c r="B1473" t="s">
        <v>8007</v>
      </c>
      <c r="C1473" t="str">
        <f>"9780889104549"</f>
        <v>9780889104549</v>
      </c>
      <c r="D1473" t="str">
        <f>"9781770560048"</f>
        <v>9781770560048</v>
      </c>
      <c r="E1473" t="s">
        <v>7779</v>
      </c>
      <c r="F1473" t="s">
        <v>7779</v>
      </c>
      <c r="G1473" s="1">
        <v>34352</v>
      </c>
      <c r="J1473" t="s">
        <v>8008</v>
      </c>
      <c r="K1473" t="s">
        <v>1835</v>
      </c>
      <c r="L1473" t="s">
        <v>8009</v>
      </c>
      <c r="M1473">
        <v>811.54</v>
      </c>
      <c r="N1473" t="s">
        <v>8010</v>
      </c>
      <c r="O1473" t="s">
        <v>26</v>
      </c>
      <c r="P1473">
        <v>13.95</v>
      </c>
      <c r="R1473">
        <v>13.95</v>
      </c>
      <c r="T1473" t="s">
        <v>8011</v>
      </c>
    </row>
    <row r="1474" spans="1:20">
      <c r="A1474">
        <v>760349</v>
      </c>
      <c r="B1474" t="s">
        <v>8012</v>
      </c>
      <c r="C1474" t="str">
        <f>"9781552450901"</f>
        <v>9781552450901</v>
      </c>
      <c r="D1474" t="str">
        <f>"9781770560734"</f>
        <v>9781770560734</v>
      </c>
      <c r="E1474" t="s">
        <v>7779</v>
      </c>
      <c r="F1474" t="s">
        <v>7779</v>
      </c>
      <c r="G1474" s="1">
        <v>34352</v>
      </c>
      <c r="H1474">
        <v>2</v>
      </c>
      <c r="J1474" t="s">
        <v>8008</v>
      </c>
      <c r="K1474" t="s">
        <v>1464</v>
      </c>
      <c r="L1474" t="s">
        <v>8013</v>
      </c>
      <c r="M1474" t="s">
        <v>7928</v>
      </c>
      <c r="N1474" t="s">
        <v>7889</v>
      </c>
      <c r="O1474" t="s">
        <v>26</v>
      </c>
      <c r="P1474">
        <v>14.95</v>
      </c>
      <c r="R1474">
        <v>14.95</v>
      </c>
      <c r="T1474" t="s">
        <v>8014</v>
      </c>
    </row>
    <row r="1475" spans="1:20">
      <c r="A1475">
        <v>760350</v>
      </c>
      <c r="B1475" t="s">
        <v>8015</v>
      </c>
      <c r="C1475" t="str">
        <f>"9781552451373"</f>
        <v>9781552451373</v>
      </c>
      <c r="D1475" t="str">
        <f>"9781770561243"</f>
        <v>9781770561243</v>
      </c>
      <c r="E1475" t="s">
        <v>7779</v>
      </c>
      <c r="F1475" t="s">
        <v>7779</v>
      </c>
      <c r="G1475" s="1">
        <v>36635</v>
      </c>
      <c r="J1475" t="s">
        <v>8008</v>
      </c>
      <c r="K1475" t="s">
        <v>1464</v>
      </c>
      <c r="L1475" t="s">
        <v>8016</v>
      </c>
      <c r="M1475">
        <v>811.54</v>
      </c>
      <c r="N1475" t="s">
        <v>8017</v>
      </c>
      <c r="O1475" t="s">
        <v>26</v>
      </c>
      <c r="P1475">
        <v>13.95</v>
      </c>
      <c r="R1475">
        <v>13.95</v>
      </c>
      <c r="T1475" t="s">
        <v>8018</v>
      </c>
    </row>
    <row r="1476" spans="1:20">
      <c r="A1476">
        <v>760352</v>
      </c>
      <c r="B1476" t="s">
        <v>8019</v>
      </c>
      <c r="C1476" t="str">
        <f>"9780889103191"</f>
        <v>9780889103191</v>
      </c>
      <c r="D1476" t="str">
        <f>"9781770561397"</f>
        <v>9781770561397</v>
      </c>
      <c r="E1476" t="s">
        <v>7779</v>
      </c>
      <c r="F1476" t="s">
        <v>7779</v>
      </c>
      <c r="G1476" s="1">
        <v>34352</v>
      </c>
      <c r="J1476" t="s">
        <v>8008</v>
      </c>
      <c r="K1476" t="s">
        <v>1464</v>
      </c>
      <c r="L1476" t="s">
        <v>8020</v>
      </c>
      <c r="M1476">
        <v>811.54</v>
      </c>
      <c r="N1476" t="s">
        <v>8021</v>
      </c>
      <c r="O1476" t="s">
        <v>26</v>
      </c>
      <c r="P1476">
        <v>12.95</v>
      </c>
      <c r="R1476">
        <v>12.95</v>
      </c>
      <c r="T1476" t="s">
        <v>8022</v>
      </c>
    </row>
    <row r="1477" spans="1:20">
      <c r="A1477">
        <v>760353</v>
      </c>
      <c r="B1477" t="s">
        <v>8023</v>
      </c>
      <c r="C1477" t="str">
        <f>"9781552450284"</f>
        <v>9781552450284</v>
      </c>
      <c r="D1477" t="str">
        <f>"9781770561427"</f>
        <v>9781770561427</v>
      </c>
      <c r="E1477" t="s">
        <v>7779</v>
      </c>
      <c r="F1477" t="s">
        <v>7779</v>
      </c>
      <c r="G1477" s="1">
        <v>34352</v>
      </c>
      <c r="H1477">
        <v>2</v>
      </c>
      <c r="J1477" t="s">
        <v>8008</v>
      </c>
      <c r="K1477" t="s">
        <v>1464</v>
      </c>
      <c r="L1477" t="s">
        <v>8024</v>
      </c>
      <c r="M1477" t="s">
        <v>8025</v>
      </c>
      <c r="N1477" t="s">
        <v>7851</v>
      </c>
      <c r="O1477" t="s">
        <v>26</v>
      </c>
      <c r="P1477">
        <v>12.95</v>
      </c>
      <c r="R1477">
        <v>12.95</v>
      </c>
      <c r="T1477" t="s">
        <v>8026</v>
      </c>
    </row>
    <row r="1478" spans="1:20">
      <c r="A1478">
        <v>760354</v>
      </c>
      <c r="B1478" t="s">
        <v>8027</v>
      </c>
      <c r="C1478" t="str">
        <f>"9781552450888"</f>
        <v>9781552450888</v>
      </c>
      <c r="D1478" t="str">
        <f>"9781770561458"</f>
        <v>9781770561458</v>
      </c>
      <c r="E1478" t="s">
        <v>7779</v>
      </c>
      <c r="F1478" t="s">
        <v>7779</v>
      </c>
      <c r="G1478" s="1">
        <v>34352</v>
      </c>
      <c r="J1478" t="s">
        <v>8008</v>
      </c>
      <c r="K1478" t="s">
        <v>1464</v>
      </c>
      <c r="L1478" t="s">
        <v>8024</v>
      </c>
      <c r="M1478" t="s">
        <v>8025</v>
      </c>
      <c r="N1478" t="s">
        <v>7851</v>
      </c>
      <c r="O1478" t="s">
        <v>26</v>
      </c>
      <c r="P1478">
        <v>12.95</v>
      </c>
      <c r="R1478">
        <v>12.95</v>
      </c>
      <c r="T1478" t="s">
        <v>8028</v>
      </c>
    </row>
    <row r="1479" spans="1:20">
      <c r="A1479">
        <v>760355</v>
      </c>
      <c r="B1479" t="s">
        <v>8029</v>
      </c>
      <c r="C1479" t="str">
        <f>"9781552450864"</f>
        <v>9781552450864</v>
      </c>
      <c r="D1479" t="str">
        <f>"9781770562479"</f>
        <v>9781770562479</v>
      </c>
      <c r="E1479" t="s">
        <v>7779</v>
      </c>
      <c r="F1479" t="s">
        <v>7779</v>
      </c>
      <c r="G1479" s="1">
        <v>34352</v>
      </c>
      <c r="J1479" t="s">
        <v>8008</v>
      </c>
      <c r="K1479" t="s">
        <v>1464</v>
      </c>
      <c r="L1479" t="s">
        <v>8030</v>
      </c>
      <c r="M1479" t="s">
        <v>7928</v>
      </c>
      <c r="N1479" t="s">
        <v>7851</v>
      </c>
      <c r="O1479" t="s">
        <v>26</v>
      </c>
      <c r="P1479">
        <v>13.95</v>
      </c>
      <c r="R1479">
        <v>13.95</v>
      </c>
      <c r="T1479" t="s">
        <v>8031</v>
      </c>
    </row>
    <row r="1480" spans="1:20">
      <c r="A1480">
        <v>760359</v>
      </c>
      <c r="B1480" t="s">
        <v>8032</v>
      </c>
      <c r="C1480" t="str">
        <f>"9781552452103"</f>
        <v>9781552452103</v>
      </c>
      <c r="D1480" t="str">
        <f>"9781770560017"</f>
        <v>9781770560017</v>
      </c>
      <c r="E1480" t="s">
        <v>7779</v>
      </c>
      <c r="F1480" t="s">
        <v>7779</v>
      </c>
      <c r="G1480" s="1">
        <v>38274</v>
      </c>
      <c r="J1480" t="s">
        <v>8033</v>
      </c>
      <c r="K1480" t="s">
        <v>1458</v>
      </c>
      <c r="L1480" t="s">
        <v>8034</v>
      </c>
      <c r="M1480" t="s">
        <v>8035</v>
      </c>
      <c r="N1480" t="s">
        <v>7991</v>
      </c>
      <c r="O1480" t="s">
        <v>26</v>
      </c>
      <c r="P1480">
        <v>13.95</v>
      </c>
      <c r="R1480">
        <v>13.95</v>
      </c>
      <c r="T1480" t="s">
        <v>8036</v>
      </c>
    </row>
    <row r="1481" spans="1:20">
      <c r="A1481">
        <v>760360</v>
      </c>
      <c r="B1481" t="s">
        <v>8037</v>
      </c>
      <c r="C1481" t="str">
        <f>"9781552450710"</f>
        <v>9781552450710</v>
      </c>
      <c r="D1481" t="str">
        <f>"9781770561120"</f>
        <v>9781770561120</v>
      </c>
      <c r="E1481" t="s">
        <v>7779</v>
      </c>
      <c r="F1481" t="s">
        <v>7779</v>
      </c>
      <c r="G1481" s="1">
        <v>35480</v>
      </c>
      <c r="J1481" t="s">
        <v>8033</v>
      </c>
      <c r="K1481" t="s">
        <v>1464</v>
      </c>
      <c r="L1481" t="s">
        <v>8038</v>
      </c>
      <c r="M1481" t="s">
        <v>7963</v>
      </c>
      <c r="N1481" t="s">
        <v>7991</v>
      </c>
      <c r="O1481" t="s">
        <v>26</v>
      </c>
      <c r="P1481">
        <v>13.95</v>
      </c>
      <c r="R1481">
        <v>13.95</v>
      </c>
      <c r="T1481" t="s">
        <v>8039</v>
      </c>
    </row>
    <row r="1482" spans="1:20">
      <c r="A1482">
        <v>760361</v>
      </c>
      <c r="B1482" t="s">
        <v>8040</v>
      </c>
      <c r="C1482" t="str">
        <f>"9781552451212"</f>
        <v>9781552451212</v>
      </c>
      <c r="D1482" t="str">
        <f>"9781770561786"</f>
        <v>9781770561786</v>
      </c>
      <c r="E1482" t="s">
        <v>7779</v>
      </c>
      <c r="F1482" t="s">
        <v>7779</v>
      </c>
      <c r="G1482" s="1">
        <v>36299</v>
      </c>
      <c r="J1482" t="s">
        <v>8033</v>
      </c>
      <c r="K1482" t="s">
        <v>1458</v>
      </c>
      <c r="L1482" t="s">
        <v>8041</v>
      </c>
      <c r="M1482" t="s">
        <v>7963</v>
      </c>
      <c r="N1482" t="s">
        <v>7991</v>
      </c>
      <c r="O1482" t="s">
        <v>26</v>
      </c>
      <c r="P1482">
        <v>13.95</v>
      </c>
      <c r="R1482">
        <v>13.95</v>
      </c>
      <c r="T1482" t="s">
        <v>8042</v>
      </c>
    </row>
    <row r="1483" spans="1:20">
      <c r="A1483">
        <v>760362</v>
      </c>
      <c r="B1483" t="s">
        <v>8043</v>
      </c>
      <c r="C1483" t="str">
        <f>"9781552451700"</f>
        <v>9781552451700</v>
      </c>
      <c r="D1483" t="str">
        <f>"9781770562080"</f>
        <v>9781770562080</v>
      </c>
      <c r="E1483" t="s">
        <v>7779</v>
      </c>
      <c r="F1483" t="s">
        <v>7779</v>
      </c>
      <c r="G1483" s="1">
        <v>37334</v>
      </c>
      <c r="J1483" t="s">
        <v>8033</v>
      </c>
      <c r="K1483" t="s">
        <v>1458</v>
      </c>
      <c r="L1483" t="s">
        <v>8044</v>
      </c>
      <c r="M1483">
        <v>818.6</v>
      </c>
      <c r="N1483" t="s">
        <v>7991</v>
      </c>
      <c r="O1483" t="s">
        <v>26</v>
      </c>
      <c r="P1483">
        <v>13.95</v>
      </c>
      <c r="R1483">
        <v>13.95</v>
      </c>
      <c r="T1483" t="s">
        <v>8045</v>
      </c>
    </row>
    <row r="1484" spans="1:20">
      <c r="A1484">
        <v>760363</v>
      </c>
      <c r="B1484" t="s">
        <v>8046</v>
      </c>
      <c r="C1484" t="str">
        <f>"9781552451380"</f>
        <v>9781552451380</v>
      </c>
      <c r="D1484" t="str">
        <f>"9781770562448"</f>
        <v>9781770562448</v>
      </c>
      <c r="E1484" t="s">
        <v>7779</v>
      </c>
      <c r="F1484" t="s">
        <v>7779</v>
      </c>
      <c r="G1484" s="1">
        <v>36665</v>
      </c>
      <c r="J1484" t="s">
        <v>8033</v>
      </c>
      <c r="K1484" t="s">
        <v>1458</v>
      </c>
      <c r="L1484" t="s">
        <v>8047</v>
      </c>
      <c r="N1484" t="s">
        <v>7851</v>
      </c>
      <c r="O1484" t="s">
        <v>26</v>
      </c>
      <c r="P1484">
        <v>14.95</v>
      </c>
      <c r="R1484">
        <v>14.95</v>
      </c>
      <c r="T1484" t="s">
        <v>8048</v>
      </c>
    </row>
    <row r="1485" spans="1:20">
      <c r="A1485">
        <v>760365</v>
      </c>
      <c r="B1485" t="s">
        <v>8049</v>
      </c>
      <c r="C1485" t="str">
        <f>"9781552452394"</f>
        <v>9781552452394</v>
      </c>
      <c r="D1485" t="str">
        <f>"9781770562776"</f>
        <v>9781770562776</v>
      </c>
      <c r="E1485" t="s">
        <v>7779</v>
      </c>
      <c r="F1485" t="s">
        <v>7779</v>
      </c>
      <c r="G1485" s="1">
        <v>39004</v>
      </c>
      <c r="J1485" t="s">
        <v>8050</v>
      </c>
      <c r="K1485" t="s">
        <v>1458</v>
      </c>
      <c r="L1485" t="s">
        <v>8051</v>
      </c>
      <c r="M1485" t="s">
        <v>1693</v>
      </c>
      <c r="N1485" t="s">
        <v>8052</v>
      </c>
      <c r="O1485" t="s">
        <v>26</v>
      </c>
      <c r="P1485">
        <v>14.95</v>
      </c>
      <c r="R1485">
        <v>14.95</v>
      </c>
      <c r="T1485" t="s">
        <v>8053</v>
      </c>
    </row>
    <row r="1486" spans="1:20">
      <c r="A1486">
        <v>760368</v>
      </c>
      <c r="B1486" t="s">
        <v>8054</v>
      </c>
      <c r="C1486" t="str">
        <f>"9781552452011"</f>
        <v>9781552452011</v>
      </c>
      <c r="D1486" t="str">
        <f>"9781770560468"</f>
        <v>9781770560468</v>
      </c>
      <c r="E1486" t="s">
        <v>7779</v>
      </c>
      <c r="F1486" t="s">
        <v>7779</v>
      </c>
      <c r="G1486" s="1">
        <v>38472</v>
      </c>
      <c r="J1486" t="s">
        <v>8055</v>
      </c>
      <c r="K1486" t="s">
        <v>1458</v>
      </c>
      <c r="L1486" t="s">
        <v>8056</v>
      </c>
      <c r="M1486">
        <v>812.6</v>
      </c>
      <c r="N1486" t="s">
        <v>7991</v>
      </c>
      <c r="O1486" t="s">
        <v>26</v>
      </c>
      <c r="P1486">
        <v>13.95</v>
      </c>
      <c r="R1486">
        <v>13.95</v>
      </c>
      <c r="T1486" t="s">
        <v>8057</v>
      </c>
    </row>
    <row r="1487" spans="1:20">
      <c r="A1487">
        <v>760372</v>
      </c>
      <c r="B1487" t="s">
        <v>8058</v>
      </c>
      <c r="C1487" t="str">
        <f>"9781552451670"</f>
        <v>9781552451670</v>
      </c>
      <c r="D1487" t="str">
        <f>"9781770561274"</f>
        <v>9781770561274</v>
      </c>
      <c r="E1487" t="s">
        <v>7779</v>
      </c>
      <c r="F1487" t="s">
        <v>7779</v>
      </c>
      <c r="G1487" s="1">
        <v>37365</v>
      </c>
      <c r="J1487" t="s">
        <v>8059</v>
      </c>
      <c r="K1487" t="s">
        <v>1464</v>
      </c>
      <c r="L1487" t="s">
        <v>8060</v>
      </c>
      <c r="M1487">
        <v>811.6</v>
      </c>
      <c r="N1487" t="s">
        <v>7851</v>
      </c>
      <c r="O1487" t="s">
        <v>26</v>
      </c>
      <c r="P1487">
        <v>13.95</v>
      </c>
      <c r="R1487">
        <v>13.95</v>
      </c>
      <c r="T1487" t="s">
        <v>8061</v>
      </c>
    </row>
    <row r="1488" spans="1:20">
      <c r="A1488">
        <v>760374</v>
      </c>
      <c r="B1488" t="s">
        <v>8062</v>
      </c>
      <c r="C1488" t="str">
        <f>"9781552451632"</f>
        <v>9781552451632</v>
      </c>
      <c r="D1488" t="str">
        <f>"9781770560826"</f>
        <v>9781770560826</v>
      </c>
      <c r="E1488" t="s">
        <v>7779</v>
      </c>
      <c r="F1488" t="s">
        <v>7779</v>
      </c>
      <c r="G1488" s="1">
        <v>37214</v>
      </c>
      <c r="J1488" t="s">
        <v>8063</v>
      </c>
      <c r="K1488" t="s">
        <v>1458</v>
      </c>
      <c r="L1488" t="s">
        <v>8064</v>
      </c>
      <c r="M1488" t="s">
        <v>8065</v>
      </c>
      <c r="N1488" t="s">
        <v>8066</v>
      </c>
      <c r="O1488" t="s">
        <v>26</v>
      </c>
      <c r="P1488">
        <v>12.95</v>
      </c>
      <c r="R1488">
        <v>12.95</v>
      </c>
      <c r="T1488" t="s">
        <v>8067</v>
      </c>
    </row>
    <row r="1489" spans="1:20">
      <c r="A1489">
        <v>760385</v>
      </c>
      <c r="B1489" t="s">
        <v>8068</v>
      </c>
      <c r="C1489" t="str">
        <f>"9781552452073"</f>
        <v>9781552452073</v>
      </c>
      <c r="D1489" t="str">
        <f>"9781770561991"</f>
        <v>9781770561991</v>
      </c>
      <c r="E1489" t="s">
        <v>7779</v>
      </c>
      <c r="F1489" t="s">
        <v>7779</v>
      </c>
      <c r="G1489" s="1">
        <v>38274</v>
      </c>
      <c r="J1489" t="s">
        <v>8069</v>
      </c>
      <c r="K1489" t="s">
        <v>1464</v>
      </c>
      <c r="L1489" t="s">
        <v>8070</v>
      </c>
      <c r="M1489" t="s">
        <v>8071</v>
      </c>
      <c r="N1489" t="s">
        <v>8072</v>
      </c>
      <c r="O1489" t="s">
        <v>26</v>
      </c>
      <c r="P1489">
        <v>14.95</v>
      </c>
      <c r="R1489">
        <v>14.95</v>
      </c>
      <c r="T1489" t="s">
        <v>8073</v>
      </c>
    </row>
    <row r="1490" spans="1:20">
      <c r="A1490">
        <v>760386</v>
      </c>
      <c r="B1490" t="s">
        <v>8074</v>
      </c>
      <c r="C1490" t="str">
        <f>"9781552451007"</f>
        <v>9781552451007</v>
      </c>
      <c r="D1490" t="str">
        <f>"9781770561007"</f>
        <v>9781770561007</v>
      </c>
      <c r="E1490" t="s">
        <v>7779</v>
      </c>
      <c r="F1490" t="s">
        <v>7779</v>
      </c>
      <c r="G1490" s="1">
        <v>35934</v>
      </c>
      <c r="J1490" t="s">
        <v>8075</v>
      </c>
      <c r="K1490" t="s">
        <v>1458</v>
      </c>
      <c r="L1490" t="s">
        <v>8076</v>
      </c>
      <c r="M1490">
        <v>813.6</v>
      </c>
      <c r="N1490" t="s">
        <v>8077</v>
      </c>
      <c r="O1490" t="s">
        <v>26</v>
      </c>
      <c r="P1490">
        <v>14.95</v>
      </c>
      <c r="R1490">
        <v>14.95</v>
      </c>
      <c r="T1490" t="s">
        <v>8078</v>
      </c>
    </row>
    <row r="1491" spans="1:20">
      <c r="A1491">
        <v>760388</v>
      </c>
      <c r="B1491" t="s">
        <v>8079</v>
      </c>
      <c r="C1491" t="str">
        <f>"9781552451755"</f>
        <v>9781552451755</v>
      </c>
      <c r="D1491" t="str">
        <f>"9781770562264"</f>
        <v>9781770562264</v>
      </c>
      <c r="E1491" t="s">
        <v>7779</v>
      </c>
      <c r="F1491" t="s">
        <v>7779</v>
      </c>
      <c r="G1491" s="1">
        <v>37529</v>
      </c>
      <c r="J1491" t="s">
        <v>8080</v>
      </c>
      <c r="K1491" t="s">
        <v>1464</v>
      </c>
      <c r="L1491" t="s">
        <v>8081</v>
      </c>
      <c r="M1491" t="s">
        <v>8082</v>
      </c>
      <c r="N1491" t="s">
        <v>7851</v>
      </c>
      <c r="O1491" t="s">
        <v>26</v>
      </c>
      <c r="P1491">
        <v>13.95</v>
      </c>
      <c r="R1491">
        <v>13.95</v>
      </c>
      <c r="T1491" t="s">
        <v>8083</v>
      </c>
    </row>
    <row r="1492" spans="1:20">
      <c r="A1492">
        <v>760391</v>
      </c>
      <c r="B1492" t="s">
        <v>8084</v>
      </c>
      <c r="C1492" t="str">
        <f>"9781552452202"</f>
        <v>9781552452202</v>
      </c>
      <c r="D1492" t="str">
        <f>"9781770562530"</f>
        <v>9781770562530</v>
      </c>
      <c r="E1492" t="s">
        <v>7779</v>
      </c>
      <c r="F1492" t="s">
        <v>7779</v>
      </c>
      <c r="G1492" s="1">
        <v>38639</v>
      </c>
      <c r="J1492" t="s">
        <v>8085</v>
      </c>
      <c r="K1492" t="s">
        <v>1458</v>
      </c>
      <c r="L1492" t="s">
        <v>8086</v>
      </c>
      <c r="M1492" t="s">
        <v>1567</v>
      </c>
      <c r="N1492" t="s">
        <v>8087</v>
      </c>
      <c r="O1492" t="s">
        <v>26</v>
      </c>
      <c r="P1492">
        <v>14.95</v>
      </c>
      <c r="R1492">
        <v>14.95</v>
      </c>
      <c r="T1492" t="s">
        <v>8088</v>
      </c>
    </row>
    <row r="1493" spans="1:20">
      <c r="A1493">
        <v>760394</v>
      </c>
      <c r="B1493" t="s">
        <v>8089</v>
      </c>
      <c r="C1493" t="str">
        <f>"9781552452172"</f>
        <v>9781552452172</v>
      </c>
      <c r="D1493" t="str">
        <f>"9781770560918"</f>
        <v>9781770560918</v>
      </c>
      <c r="E1493" t="s">
        <v>7779</v>
      </c>
      <c r="F1493" t="s">
        <v>7779</v>
      </c>
      <c r="G1493" s="1">
        <v>38456</v>
      </c>
      <c r="J1493" t="s">
        <v>8090</v>
      </c>
      <c r="K1493" t="s">
        <v>1464</v>
      </c>
      <c r="L1493" t="s">
        <v>8091</v>
      </c>
      <c r="M1493" t="s">
        <v>2738</v>
      </c>
      <c r="N1493" t="s">
        <v>7851</v>
      </c>
      <c r="O1493" t="s">
        <v>26</v>
      </c>
      <c r="P1493">
        <v>13.95</v>
      </c>
      <c r="R1493">
        <v>13.95</v>
      </c>
      <c r="T1493" t="s">
        <v>8092</v>
      </c>
    </row>
    <row r="1494" spans="1:20">
      <c r="A1494">
        <v>760399</v>
      </c>
      <c r="B1494" t="s">
        <v>8093</v>
      </c>
      <c r="C1494" t="str">
        <f>"9781552451328"</f>
        <v>9781552451328</v>
      </c>
      <c r="D1494" t="str">
        <f>"9781770561601"</f>
        <v>9781770561601</v>
      </c>
      <c r="E1494" t="s">
        <v>7779</v>
      </c>
      <c r="F1494" t="s">
        <v>7779</v>
      </c>
      <c r="G1494" s="1">
        <v>36452</v>
      </c>
      <c r="J1494" t="s">
        <v>8094</v>
      </c>
      <c r="K1494" t="s">
        <v>1458</v>
      </c>
      <c r="L1494" t="s">
        <v>8095</v>
      </c>
      <c r="M1494" t="s">
        <v>8096</v>
      </c>
      <c r="N1494" t="s">
        <v>7991</v>
      </c>
      <c r="O1494" t="s">
        <v>26</v>
      </c>
      <c r="P1494">
        <v>12.95</v>
      </c>
      <c r="R1494">
        <v>12.95</v>
      </c>
      <c r="T1494" t="s">
        <v>8097</v>
      </c>
    </row>
    <row r="1495" spans="1:20">
      <c r="A1495">
        <v>760400</v>
      </c>
      <c r="B1495" t="s">
        <v>8098</v>
      </c>
      <c r="C1495" t="str">
        <f>"9781552452288"</f>
        <v>9781552452288</v>
      </c>
      <c r="D1495" t="str">
        <f>"9781770562653"</f>
        <v>9781770562653</v>
      </c>
      <c r="E1495" t="s">
        <v>7779</v>
      </c>
      <c r="F1495" t="s">
        <v>7779</v>
      </c>
      <c r="G1495" s="1">
        <v>40299</v>
      </c>
      <c r="J1495" t="s">
        <v>8099</v>
      </c>
      <c r="K1495" t="s">
        <v>1458</v>
      </c>
      <c r="L1495" t="s">
        <v>8100</v>
      </c>
      <c r="M1495" t="s">
        <v>1693</v>
      </c>
      <c r="N1495" t="s">
        <v>8101</v>
      </c>
      <c r="O1495" t="s">
        <v>26</v>
      </c>
      <c r="P1495">
        <v>14.95</v>
      </c>
      <c r="R1495">
        <v>14.95</v>
      </c>
      <c r="T1495" t="s">
        <v>8102</v>
      </c>
    </row>
    <row r="1496" spans="1:20">
      <c r="A1496">
        <v>760407</v>
      </c>
      <c r="B1496" t="s">
        <v>8103</v>
      </c>
      <c r="C1496" t="str">
        <f>"9781552451809"</f>
        <v>9781552451809</v>
      </c>
      <c r="D1496" t="str">
        <f>"9781770561519"</f>
        <v>9781770561519</v>
      </c>
      <c r="E1496" t="s">
        <v>7779</v>
      </c>
      <c r="F1496" t="s">
        <v>7779</v>
      </c>
      <c r="G1496" s="1">
        <v>37725</v>
      </c>
      <c r="J1496" t="s">
        <v>8104</v>
      </c>
      <c r="K1496" t="s">
        <v>1458</v>
      </c>
      <c r="L1496" t="s">
        <v>8105</v>
      </c>
      <c r="M1496">
        <v>813.6</v>
      </c>
      <c r="N1496" t="s">
        <v>8106</v>
      </c>
      <c r="O1496" t="s">
        <v>26</v>
      </c>
      <c r="P1496">
        <v>14.95</v>
      </c>
      <c r="R1496">
        <v>14.95</v>
      </c>
      <c r="T1496" t="s">
        <v>8107</v>
      </c>
    </row>
    <row r="1497" spans="1:20">
      <c r="A1497">
        <v>760408</v>
      </c>
      <c r="B1497" t="s">
        <v>8108</v>
      </c>
      <c r="C1497" t="str">
        <f>"9781552451854"</f>
        <v>9781552451854</v>
      </c>
      <c r="D1497" t="str">
        <f>"9781770561847"</f>
        <v>9781770561847</v>
      </c>
      <c r="E1497" t="s">
        <v>7779</v>
      </c>
      <c r="F1497" t="s">
        <v>7779</v>
      </c>
      <c r="G1497" s="1">
        <v>38274</v>
      </c>
      <c r="J1497" t="s">
        <v>8109</v>
      </c>
      <c r="K1497" t="s">
        <v>1458</v>
      </c>
      <c r="L1497" t="s">
        <v>8110</v>
      </c>
      <c r="M1497" t="s">
        <v>1509</v>
      </c>
      <c r="N1497" t="s">
        <v>8111</v>
      </c>
      <c r="O1497" t="s">
        <v>26</v>
      </c>
      <c r="P1497">
        <v>14.95</v>
      </c>
      <c r="R1497">
        <v>14.95</v>
      </c>
      <c r="T1497" t="s">
        <v>8112</v>
      </c>
    </row>
    <row r="1498" spans="1:20">
      <c r="A1498">
        <v>760412</v>
      </c>
      <c r="B1498" t="s">
        <v>8113</v>
      </c>
      <c r="C1498" t="str">
        <f>"9781552451823"</f>
        <v>9781552451823</v>
      </c>
      <c r="D1498" t="str">
        <f>"9781770561069"</f>
        <v>9781770561069</v>
      </c>
      <c r="E1498" t="s">
        <v>7779</v>
      </c>
      <c r="F1498" t="s">
        <v>7779</v>
      </c>
      <c r="G1498" s="1">
        <v>37725</v>
      </c>
      <c r="J1498" t="s">
        <v>8114</v>
      </c>
      <c r="K1498" t="s">
        <v>1464</v>
      </c>
      <c r="L1498" t="s">
        <v>8115</v>
      </c>
      <c r="M1498">
        <v>811.6</v>
      </c>
      <c r="N1498" t="s">
        <v>7889</v>
      </c>
      <c r="O1498" t="s">
        <v>26</v>
      </c>
      <c r="P1498">
        <v>13.95</v>
      </c>
      <c r="R1498">
        <v>13.95</v>
      </c>
      <c r="T1498" t="s">
        <v>8116</v>
      </c>
    </row>
    <row r="1499" spans="1:20">
      <c r="A1499">
        <v>760413</v>
      </c>
      <c r="B1499" t="s">
        <v>8117</v>
      </c>
      <c r="C1499" t="str">
        <f>"9781552452295"</f>
        <v>9781552452295</v>
      </c>
      <c r="D1499" t="str">
        <f>"9781770562677"</f>
        <v>9781770562677</v>
      </c>
      <c r="E1499" t="s">
        <v>7779</v>
      </c>
      <c r="F1499" t="s">
        <v>7779</v>
      </c>
      <c r="G1499" s="1">
        <v>40231</v>
      </c>
      <c r="J1499" t="s">
        <v>8114</v>
      </c>
      <c r="K1499" t="s">
        <v>1464</v>
      </c>
      <c r="L1499" t="s">
        <v>8118</v>
      </c>
      <c r="M1499" t="s">
        <v>1545</v>
      </c>
      <c r="N1499" t="s">
        <v>7893</v>
      </c>
      <c r="O1499" t="s">
        <v>26</v>
      </c>
      <c r="P1499">
        <v>13.95</v>
      </c>
      <c r="R1499">
        <v>13.95</v>
      </c>
      <c r="T1499" t="s">
        <v>8119</v>
      </c>
    </row>
    <row r="1500" spans="1:20">
      <c r="A1500">
        <v>766121</v>
      </c>
      <c r="B1500" t="s">
        <v>8120</v>
      </c>
      <c r="C1500" t="str">
        <f>"9781554693962"</f>
        <v>9781554693962</v>
      </c>
      <c r="D1500" t="str">
        <f>"9781554693979"</f>
        <v>9781554693979</v>
      </c>
      <c r="E1500" t="s">
        <v>4668</v>
      </c>
      <c r="F1500" t="s">
        <v>4668</v>
      </c>
      <c r="G1500" s="1">
        <v>40664</v>
      </c>
      <c r="H1500">
        <v>1</v>
      </c>
      <c r="I1500" t="s">
        <v>4703</v>
      </c>
      <c r="J1500" t="s">
        <v>5681</v>
      </c>
      <c r="K1500" t="s">
        <v>1464</v>
      </c>
      <c r="L1500" t="s">
        <v>8121</v>
      </c>
      <c r="M1500" t="s">
        <v>1509</v>
      </c>
      <c r="N1500" t="s">
        <v>8122</v>
      </c>
      <c r="O1500" t="s">
        <v>26</v>
      </c>
      <c r="P1500">
        <v>6.99</v>
      </c>
      <c r="Q1500">
        <v>8.74</v>
      </c>
      <c r="R1500">
        <v>6.99</v>
      </c>
      <c r="T1500" t="s">
        <v>8123</v>
      </c>
    </row>
    <row r="1501" spans="1:20">
      <c r="A1501">
        <v>766122</v>
      </c>
      <c r="B1501" t="s">
        <v>8124</v>
      </c>
      <c r="C1501" t="str">
        <f>"9781554698127"</f>
        <v>9781554698127</v>
      </c>
      <c r="D1501" t="str">
        <f>"9781554698134"</f>
        <v>9781554698134</v>
      </c>
      <c r="E1501" t="s">
        <v>4668</v>
      </c>
      <c r="F1501" t="s">
        <v>4668</v>
      </c>
      <c r="G1501" s="1">
        <v>40664</v>
      </c>
      <c r="H1501">
        <v>1</v>
      </c>
      <c r="I1501" t="s">
        <v>4703</v>
      </c>
      <c r="J1501" t="s">
        <v>8125</v>
      </c>
      <c r="K1501" t="s">
        <v>4809</v>
      </c>
      <c r="L1501" t="s">
        <v>8126</v>
      </c>
      <c r="M1501">
        <v>68</v>
      </c>
      <c r="N1501" t="s">
        <v>4959</v>
      </c>
      <c r="O1501" t="s">
        <v>94</v>
      </c>
      <c r="P1501">
        <v>6.99</v>
      </c>
      <c r="Q1501">
        <v>8.74</v>
      </c>
      <c r="R1501">
        <v>6.99</v>
      </c>
      <c r="T1501" t="s">
        <v>8127</v>
      </c>
    </row>
    <row r="1502" spans="1:20">
      <c r="A1502">
        <v>766123</v>
      </c>
      <c r="B1502" t="s">
        <v>8128</v>
      </c>
      <c r="C1502" t="str">
        <f>"9781554698141"</f>
        <v>9781554698141</v>
      </c>
      <c r="D1502" t="str">
        <f>"9781554698158"</f>
        <v>9781554698158</v>
      </c>
      <c r="E1502" t="s">
        <v>4668</v>
      </c>
      <c r="F1502" t="s">
        <v>4668</v>
      </c>
      <c r="G1502" s="1">
        <v>40664</v>
      </c>
      <c r="H1502">
        <v>1</v>
      </c>
      <c r="I1502" t="s">
        <v>4703</v>
      </c>
      <c r="J1502" t="s">
        <v>8125</v>
      </c>
      <c r="K1502" t="s">
        <v>8129</v>
      </c>
      <c r="L1502" t="s">
        <v>8126</v>
      </c>
      <c r="M1502">
        <v>70</v>
      </c>
      <c r="N1502" t="s">
        <v>4795</v>
      </c>
      <c r="O1502" t="s">
        <v>94</v>
      </c>
      <c r="P1502">
        <v>6.99</v>
      </c>
      <c r="Q1502">
        <v>8.74</v>
      </c>
      <c r="R1502">
        <v>6.99</v>
      </c>
      <c r="T1502" t="s">
        <v>8130</v>
      </c>
    </row>
    <row r="1503" spans="1:20">
      <c r="A1503">
        <v>766124</v>
      </c>
      <c r="B1503" t="s">
        <v>8131</v>
      </c>
      <c r="C1503" t="str">
        <f>"9781554694006"</f>
        <v>9781554694006</v>
      </c>
      <c r="D1503" t="str">
        <f>"9781554694013"</f>
        <v>9781554694013</v>
      </c>
      <c r="E1503" t="s">
        <v>4668</v>
      </c>
      <c r="F1503" t="s">
        <v>4668</v>
      </c>
      <c r="G1503" s="1">
        <v>40634</v>
      </c>
      <c r="J1503" t="s">
        <v>8132</v>
      </c>
      <c r="K1503" t="s">
        <v>3572</v>
      </c>
      <c r="L1503" t="s">
        <v>8133</v>
      </c>
      <c r="M1503" t="s">
        <v>7820</v>
      </c>
      <c r="N1503" t="s">
        <v>8134</v>
      </c>
      <c r="O1503" t="s">
        <v>26</v>
      </c>
      <c r="P1503">
        <v>19.989999999999998</v>
      </c>
      <c r="Q1503">
        <v>24.99</v>
      </c>
      <c r="R1503">
        <v>19.989999999999998</v>
      </c>
      <c r="T1503" t="s">
        <v>8135</v>
      </c>
    </row>
    <row r="1504" spans="1:20">
      <c r="A1504">
        <v>766125</v>
      </c>
      <c r="B1504" t="s">
        <v>8136</v>
      </c>
      <c r="C1504" t="str">
        <f>"9781554692842"</f>
        <v>9781554692842</v>
      </c>
      <c r="D1504" t="str">
        <f>"9781554692859"</f>
        <v>9781554692859</v>
      </c>
      <c r="E1504" t="s">
        <v>4668</v>
      </c>
      <c r="F1504" t="s">
        <v>4668</v>
      </c>
      <c r="G1504" s="1">
        <v>40664</v>
      </c>
      <c r="H1504">
        <v>1</v>
      </c>
      <c r="J1504" t="s">
        <v>8137</v>
      </c>
      <c r="K1504" t="s">
        <v>3572</v>
      </c>
      <c r="L1504" t="s">
        <v>8138</v>
      </c>
      <c r="M1504" t="s">
        <v>4693</v>
      </c>
      <c r="N1504" t="s">
        <v>8139</v>
      </c>
      <c r="O1504" t="s">
        <v>26</v>
      </c>
      <c r="P1504">
        <v>19.989999999999998</v>
      </c>
      <c r="Q1504">
        <v>24.99</v>
      </c>
      <c r="R1504">
        <v>19.989999999999998</v>
      </c>
      <c r="T1504" t="s">
        <v>8140</v>
      </c>
    </row>
    <row r="1505" spans="1:20">
      <c r="A1505">
        <v>766126</v>
      </c>
      <c r="B1505" t="s">
        <v>8141</v>
      </c>
      <c r="C1505" t="str">
        <f>"9781554697878"</f>
        <v>9781554697878</v>
      </c>
      <c r="D1505" t="str">
        <f>"9781554697885"</f>
        <v>9781554697885</v>
      </c>
      <c r="E1505" t="s">
        <v>4668</v>
      </c>
      <c r="F1505" t="s">
        <v>4668</v>
      </c>
      <c r="G1505" s="1">
        <v>40664</v>
      </c>
      <c r="H1505">
        <v>1</v>
      </c>
      <c r="I1505" t="s">
        <v>4703</v>
      </c>
      <c r="J1505" t="s">
        <v>8142</v>
      </c>
      <c r="K1505" t="s">
        <v>3572</v>
      </c>
      <c r="L1505" t="s">
        <v>8143</v>
      </c>
      <c r="M1505" t="s">
        <v>1509</v>
      </c>
      <c r="N1505" t="s">
        <v>8144</v>
      </c>
      <c r="O1505" t="s">
        <v>26</v>
      </c>
      <c r="P1505">
        <v>6.99</v>
      </c>
      <c r="Q1505">
        <v>8.74</v>
      </c>
      <c r="R1505">
        <v>6.99</v>
      </c>
      <c r="T1505" t="s">
        <v>8145</v>
      </c>
    </row>
    <row r="1506" spans="1:20">
      <c r="A1506">
        <v>766127</v>
      </c>
      <c r="B1506" t="s">
        <v>8146</v>
      </c>
      <c r="C1506" t="str">
        <f>"9781554693191"</f>
        <v>9781554693191</v>
      </c>
      <c r="D1506" t="str">
        <f>"9781554693207"</f>
        <v>9781554693207</v>
      </c>
      <c r="E1506" t="s">
        <v>4668</v>
      </c>
      <c r="F1506" t="s">
        <v>4668</v>
      </c>
      <c r="G1506" s="1">
        <v>40664</v>
      </c>
      <c r="H1506">
        <v>1</v>
      </c>
      <c r="J1506" t="s">
        <v>8147</v>
      </c>
      <c r="K1506" t="s">
        <v>3572</v>
      </c>
      <c r="L1506" t="s">
        <v>8148</v>
      </c>
      <c r="M1506" t="s">
        <v>1460</v>
      </c>
      <c r="N1506" t="s">
        <v>8149</v>
      </c>
      <c r="O1506" t="s">
        <v>26</v>
      </c>
      <c r="P1506">
        <v>9.99</v>
      </c>
      <c r="Q1506">
        <v>12.49</v>
      </c>
      <c r="R1506">
        <v>9.99</v>
      </c>
      <c r="T1506" t="s">
        <v>8150</v>
      </c>
    </row>
    <row r="1507" spans="1:20">
      <c r="A1507">
        <v>766128</v>
      </c>
      <c r="B1507" t="s">
        <v>8151</v>
      </c>
      <c r="C1507" t="str">
        <f>"9781554698493"</f>
        <v>9781554698493</v>
      </c>
      <c r="D1507" t="str">
        <f>"9781554698516"</f>
        <v>9781554698516</v>
      </c>
      <c r="E1507" t="s">
        <v>4668</v>
      </c>
      <c r="F1507" t="s">
        <v>4668</v>
      </c>
      <c r="G1507" s="1">
        <v>40634</v>
      </c>
      <c r="H1507">
        <v>1</v>
      </c>
      <c r="I1507" t="s">
        <v>4685</v>
      </c>
      <c r="J1507" t="s">
        <v>8152</v>
      </c>
      <c r="K1507" t="s">
        <v>3572</v>
      </c>
      <c r="L1507" t="s">
        <v>8153</v>
      </c>
      <c r="M1507" t="s">
        <v>1460</v>
      </c>
      <c r="N1507" t="s">
        <v>8154</v>
      </c>
      <c r="O1507" t="s">
        <v>26</v>
      </c>
      <c r="P1507">
        <v>9.99</v>
      </c>
      <c r="Q1507">
        <v>12.49</v>
      </c>
      <c r="R1507">
        <v>9.99</v>
      </c>
      <c r="T1507" t="s">
        <v>8155</v>
      </c>
    </row>
    <row r="1508" spans="1:20">
      <c r="A1508">
        <v>766129</v>
      </c>
      <c r="B1508" t="s">
        <v>8156</v>
      </c>
      <c r="C1508" t="str">
        <f>"9781554698325"</f>
        <v>9781554698325</v>
      </c>
      <c r="D1508" t="str">
        <f>"9781554698332"</f>
        <v>9781554698332</v>
      </c>
      <c r="E1508" t="s">
        <v>4668</v>
      </c>
      <c r="F1508" t="s">
        <v>8157</v>
      </c>
      <c r="G1508" s="1">
        <v>40634</v>
      </c>
      <c r="H1508">
        <v>1</v>
      </c>
      <c r="I1508" t="s">
        <v>8158</v>
      </c>
      <c r="J1508" t="s">
        <v>8159</v>
      </c>
      <c r="K1508" t="s">
        <v>1464</v>
      </c>
      <c r="L1508" t="s">
        <v>8160</v>
      </c>
      <c r="M1508" t="s">
        <v>1509</v>
      </c>
      <c r="N1508" t="s">
        <v>8161</v>
      </c>
      <c r="O1508" t="s">
        <v>26</v>
      </c>
      <c r="P1508">
        <v>9.99</v>
      </c>
      <c r="Q1508">
        <v>12.49</v>
      </c>
      <c r="R1508">
        <v>9.99</v>
      </c>
      <c r="T1508" t="s">
        <v>8162</v>
      </c>
    </row>
    <row r="1509" spans="1:20">
      <c r="A1509">
        <v>766130</v>
      </c>
      <c r="B1509" t="s">
        <v>8163</v>
      </c>
      <c r="C1509" t="str">
        <f>"9781554693450"</f>
        <v>9781554693450</v>
      </c>
      <c r="D1509" t="str">
        <f>"9781554693467"</f>
        <v>9781554693467</v>
      </c>
      <c r="E1509" t="s">
        <v>4668</v>
      </c>
      <c r="F1509" t="s">
        <v>4668</v>
      </c>
      <c r="G1509" s="1">
        <v>40634</v>
      </c>
      <c r="H1509">
        <v>1</v>
      </c>
      <c r="J1509" t="s">
        <v>5141</v>
      </c>
      <c r="K1509" t="s">
        <v>3572</v>
      </c>
      <c r="L1509" t="s">
        <v>8164</v>
      </c>
      <c r="M1509" t="s">
        <v>4671</v>
      </c>
      <c r="N1509" t="s">
        <v>8165</v>
      </c>
      <c r="O1509" t="s">
        <v>26</v>
      </c>
      <c r="P1509">
        <v>9.99</v>
      </c>
      <c r="Q1509">
        <v>12.49</v>
      </c>
      <c r="R1509">
        <v>9.99</v>
      </c>
      <c r="T1509" t="s">
        <v>8166</v>
      </c>
    </row>
    <row r="1510" spans="1:20">
      <c r="A1510">
        <v>766131</v>
      </c>
      <c r="B1510" t="s">
        <v>8167</v>
      </c>
      <c r="C1510" t="str">
        <f>"9781554698653"</f>
        <v>9781554698653</v>
      </c>
      <c r="D1510" t="str">
        <f>"9781554699636"</f>
        <v>9781554699636</v>
      </c>
      <c r="E1510" t="s">
        <v>4668</v>
      </c>
      <c r="F1510" t="s">
        <v>4668</v>
      </c>
      <c r="G1510" s="1">
        <v>40664</v>
      </c>
      <c r="H1510">
        <v>1</v>
      </c>
      <c r="I1510" t="s">
        <v>5010</v>
      </c>
      <c r="K1510" t="s">
        <v>3572</v>
      </c>
      <c r="L1510" t="s">
        <v>8168</v>
      </c>
      <c r="M1510" t="s">
        <v>1460</v>
      </c>
      <c r="N1510" t="s">
        <v>8169</v>
      </c>
      <c r="O1510" t="s">
        <v>26</v>
      </c>
      <c r="P1510">
        <v>7.99</v>
      </c>
      <c r="Q1510">
        <v>9.99</v>
      </c>
      <c r="R1510">
        <v>7.99</v>
      </c>
      <c r="T1510" t="s">
        <v>8170</v>
      </c>
    </row>
    <row r="1511" spans="1:20">
      <c r="A1511">
        <v>766132</v>
      </c>
      <c r="B1511" t="s">
        <v>8171</v>
      </c>
      <c r="C1511" t="str">
        <f>"9781554693832"</f>
        <v>9781554693832</v>
      </c>
      <c r="D1511" t="str">
        <f>"9781554693849"</f>
        <v>9781554693849</v>
      </c>
      <c r="E1511" t="s">
        <v>4668</v>
      </c>
      <c r="F1511" t="s">
        <v>4668</v>
      </c>
      <c r="G1511" s="1">
        <v>40664</v>
      </c>
      <c r="H1511">
        <v>1</v>
      </c>
      <c r="I1511" t="s">
        <v>5010</v>
      </c>
      <c r="K1511" t="s">
        <v>1464</v>
      </c>
      <c r="L1511" t="s">
        <v>8172</v>
      </c>
      <c r="M1511" t="s">
        <v>5427</v>
      </c>
      <c r="N1511" t="s">
        <v>8173</v>
      </c>
      <c r="O1511" t="s">
        <v>26</v>
      </c>
      <c r="P1511">
        <v>7.99</v>
      </c>
      <c r="Q1511">
        <v>9.99</v>
      </c>
      <c r="R1511">
        <v>7.99</v>
      </c>
      <c r="T1511" t="s">
        <v>8174</v>
      </c>
    </row>
    <row r="1512" spans="1:20">
      <c r="A1512">
        <v>766133</v>
      </c>
      <c r="B1512" t="s">
        <v>8175</v>
      </c>
      <c r="C1512" t="str">
        <f>"9781554698530"</f>
        <v>9781554698530</v>
      </c>
      <c r="D1512" t="str">
        <f>"9781554698547"</f>
        <v>9781554698547</v>
      </c>
      <c r="E1512" t="s">
        <v>4668</v>
      </c>
      <c r="F1512" t="s">
        <v>4668</v>
      </c>
      <c r="G1512" s="1">
        <v>40634</v>
      </c>
      <c r="H1512">
        <v>1</v>
      </c>
      <c r="I1512" t="s">
        <v>4685</v>
      </c>
      <c r="J1512" t="s">
        <v>8176</v>
      </c>
      <c r="K1512" t="s">
        <v>5359</v>
      </c>
      <c r="L1512" t="s">
        <v>8177</v>
      </c>
      <c r="M1512">
        <v>142</v>
      </c>
      <c r="N1512" t="s">
        <v>8178</v>
      </c>
      <c r="O1512" t="s">
        <v>94</v>
      </c>
      <c r="P1512">
        <v>9.99</v>
      </c>
      <c r="Q1512">
        <v>12.49</v>
      </c>
      <c r="R1512">
        <v>9.99</v>
      </c>
      <c r="T1512" t="s">
        <v>8179</v>
      </c>
    </row>
    <row r="1513" spans="1:20">
      <c r="A1513">
        <v>766134</v>
      </c>
      <c r="B1513" t="s">
        <v>8180</v>
      </c>
      <c r="C1513" t="str">
        <f>"9781554698356"</f>
        <v>9781554698356</v>
      </c>
      <c r="D1513" t="str">
        <f>"9781554698363"</f>
        <v>9781554698363</v>
      </c>
      <c r="E1513" t="s">
        <v>4668</v>
      </c>
      <c r="F1513" t="s">
        <v>8157</v>
      </c>
      <c r="G1513" s="1">
        <v>40634</v>
      </c>
      <c r="H1513">
        <v>1</v>
      </c>
      <c r="I1513" t="s">
        <v>8158</v>
      </c>
      <c r="J1513" t="s">
        <v>8181</v>
      </c>
      <c r="K1513" t="s">
        <v>1458</v>
      </c>
      <c r="L1513" t="s">
        <v>8182</v>
      </c>
      <c r="M1513" t="s">
        <v>1509</v>
      </c>
      <c r="N1513" t="s">
        <v>8183</v>
      </c>
      <c r="O1513" t="s">
        <v>26</v>
      </c>
      <c r="P1513">
        <v>9.99</v>
      </c>
      <c r="Q1513">
        <v>12.49</v>
      </c>
      <c r="R1513">
        <v>9.99</v>
      </c>
      <c r="T1513" t="s">
        <v>8184</v>
      </c>
    </row>
    <row r="1514" spans="1:20">
      <c r="A1514">
        <v>766135</v>
      </c>
      <c r="B1514" t="s">
        <v>8185</v>
      </c>
      <c r="C1514" t="str">
        <f>"9781554698417"</f>
        <v>9781554698417</v>
      </c>
      <c r="D1514" t="str">
        <f>"9781554698431"</f>
        <v>9781554698431</v>
      </c>
      <c r="E1514" t="s">
        <v>4668</v>
      </c>
      <c r="F1514" t="s">
        <v>4668</v>
      </c>
      <c r="G1514" s="1">
        <v>40634</v>
      </c>
      <c r="H1514">
        <v>1</v>
      </c>
      <c r="I1514" t="s">
        <v>5056</v>
      </c>
      <c r="J1514" t="s">
        <v>5287</v>
      </c>
      <c r="K1514" t="s">
        <v>1464</v>
      </c>
      <c r="L1514" t="s">
        <v>8186</v>
      </c>
      <c r="M1514" t="s">
        <v>1509</v>
      </c>
      <c r="N1514" t="s">
        <v>8187</v>
      </c>
      <c r="O1514" t="s">
        <v>26</v>
      </c>
      <c r="P1514">
        <v>9.99</v>
      </c>
      <c r="Q1514">
        <v>12.49</v>
      </c>
      <c r="R1514">
        <v>9.99</v>
      </c>
      <c r="T1514" t="s">
        <v>8188</v>
      </c>
    </row>
    <row r="1515" spans="1:20">
      <c r="A1515">
        <v>766136</v>
      </c>
      <c r="B1515" t="s">
        <v>8189</v>
      </c>
      <c r="C1515" t="str">
        <f>"9781554698592"</f>
        <v>9781554698592</v>
      </c>
      <c r="D1515" t="str">
        <f>"9781554698608"</f>
        <v>9781554698608</v>
      </c>
      <c r="E1515" t="s">
        <v>4668</v>
      </c>
      <c r="F1515" t="s">
        <v>4668</v>
      </c>
      <c r="G1515" s="1">
        <v>40664</v>
      </c>
      <c r="H1515">
        <v>1</v>
      </c>
      <c r="I1515" t="s">
        <v>5056</v>
      </c>
      <c r="J1515" t="s">
        <v>8190</v>
      </c>
      <c r="K1515" t="s">
        <v>5703</v>
      </c>
      <c r="L1515" t="s">
        <v>8191</v>
      </c>
      <c r="M1515">
        <v>118</v>
      </c>
      <c r="N1515" t="s">
        <v>8192</v>
      </c>
      <c r="O1515" t="s">
        <v>94</v>
      </c>
      <c r="P1515">
        <v>9.99</v>
      </c>
      <c r="Q1515">
        <v>12.49</v>
      </c>
      <c r="R1515">
        <v>9.99</v>
      </c>
      <c r="T1515" t="s">
        <v>8193</v>
      </c>
    </row>
    <row r="1516" spans="1:20">
      <c r="A1516">
        <v>766137</v>
      </c>
      <c r="B1516" t="s">
        <v>8194</v>
      </c>
      <c r="C1516" t="str">
        <f>"9781554698073"</f>
        <v>9781554698073</v>
      </c>
      <c r="D1516" t="str">
        <f>"9781554698097"</f>
        <v>9781554698097</v>
      </c>
      <c r="E1516" t="s">
        <v>4668</v>
      </c>
      <c r="F1516" t="s">
        <v>4668</v>
      </c>
      <c r="G1516" s="1">
        <v>40603</v>
      </c>
      <c r="H1516">
        <v>1</v>
      </c>
      <c r="I1516" t="s">
        <v>4685</v>
      </c>
      <c r="J1516" t="s">
        <v>8195</v>
      </c>
      <c r="K1516" t="s">
        <v>3572</v>
      </c>
      <c r="L1516" t="s">
        <v>8196</v>
      </c>
      <c r="M1516" t="s">
        <v>1509</v>
      </c>
      <c r="N1516" t="s">
        <v>8197</v>
      </c>
      <c r="O1516" t="s">
        <v>26</v>
      </c>
      <c r="P1516">
        <v>9.99</v>
      </c>
      <c r="Q1516">
        <v>12.49</v>
      </c>
      <c r="R1516">
        <v>9.99</v>
      </c>
      <c r="T1516" t="s">
        <v>8198</v>
      </c>
    </row>
    <row r="1517" spans="1:20">
      <c r="A1517">
        <v>766138</v>
      </c>
      <c r="B1517" t="s">
        <v>8199</v>
      </c>
      <c r="C1517" t="str">
        <f>"9781554693627"</f>
        <v>9781554693627</v>
      </c>
      <c r="D1517" t="str">
        <f>"9781554693634"</f>
        <v>9781554693634</v>
      </c>
      <c r="E1517" t="s">
        <v>4668</v>
      </c>
      <c r="F1517" t="s">
        <v>4668</v>
      </c>
      <c r="G1517" s="1">
        <v>40603</v>
      </c>
      <c r="H1517">
        <v>1</v>
      </c>
      <c r="J1517" t="s">
        <v>5484</v>
      </c>
      <c r="K1517" t="s">
        <v>4112</v>
      </c>
      <c r="L1517" t="s">
        <v>8200</v>
      </c>
      <c r="M1517">
        <v>226</v>
      </c>
      <c r="N1517" t="s">
        <v>8201</v>
      </c>
      <c r="O1517" t="s">
        <v>26</v>
      </c>
      <c r="P1517">
        <v>9.99</v>
      </c>
      <c r="Q1517">
        <v>12.49</v>
      </c>
      <c r="R1517">
        <v>9.99</v>
      </c>
      <c r="T1517" t="s">
        <v>8202</v>
      </c>
    </row>
    <row r="1518" spans="1:20">
      <c r="A1518">
        <v>766139</v>
      </c>
      <c r="B1518" t="s">
        <v>8203</v>
      </c>
      <c r="C1518" t="str">
        <f>"9781554694167"</f>
        <v>9781554694167</v>
      </c>
      <c r="D1518" t="str">
        <f>"9781554694181"</f>
        <v>9781554694181</v>
      </c>
      <c r="E1518" t="s">
        <v>4668</v>
      </c>
      <c r="F1518" t="s">
        <v>4668</v>
      </c>
      <c r="G1518" s="1">
        <v>40603</v>
      </c>
      <c r="H1518">
        <v>1</v>
      </c>
      <c r="I1518" t="s">
        <v>5056</v>
      </c>
      <c r="J1518" t="s">
        <v>5499</v>
      </c>
      <c r="K1518" t="s">
        <v>3572</v>
      </c>
      <c r="L1518" t="s">
        <v>8204</v>
      </c>
      <c r="M1518" t="s">
        <v>1460</v>
      </c>
      <c r="N1518" t="s">
        <v>8205</v>
      </c>
      <c r="O1518" t="s">
        <v>26</v>
      </c>
      <c r="P1518">
        <v>9.99</v>
      </c>
      <c r="Q1518">
        <v>12.49</v>
      </c>
      <c r="R1518">
        <v>9.99</v>
      </c>
      <c r="T1518" t="s">
        <v>8206</v>
      </c>
    </row>
    <row r="1519" spans="1:20">
      <c r="A1519">
        <v>766140</v>
      </c>
      <c r="B1519" t="s">
        <v>8207</v>
      </c>
      <c r="C1519" t="str">
        <f>"9781554698554"</f>
        <v>9781554698554</v>
      </c>
      <c r="D1519" t="str">
        <f>"9781554698561"</f>
        <v>9781554698561</v>
      </c>
      <c r="E1519" t="s">
        <v>4668</v>
      </c>
      <c r="F1519" t="s">
        <v>4668</v>
      </c>
      <c r="G1519" s="1">
        <v>40634</v>
      </c>
      <c r="H1519">
        <v>1</v>
      </c>
      <c r="I1519" t="s">
        <v>4685</v>
      </c>
      <c r="J1519" t="s">
        <v>8208</v>
      </c>
      <c r="K1519" t="s">
        <v>5703</v>
      </c>
      <c r="L1519" t="s">
        <v>8209</v>
      </c>
      <c r="M1519">
        <v>126</v>
      </c>
      <c r="N1519" t="s">
        <v>8210</v>
      </c>
      <c r="O1519" t="s">
        <v>94</v>
      </c>
      <c r="P1519">
        <v>9.9499999999999993</v>
      </c>
      <c r="Q1519">
        <v>12.44</v>
      </c>
      <c r="R1519">
        <v>9.9499999999999993</v>
      </c>
      <c r="T1519" t="s">
        <v>8211</v>
      </c>
    </row>
    <row r="1520" spans="1:20">
      <c r="A1520">
        <v>766141</v>
      </c>
      <c r="B1520" t="s">
        <v>8212</v>
      </c>
      <c r="C1520" t="str">
        <f>"9781554693351"</f>
        <v>9781554693351</v>
      </c>
      <c r="D1520" t="str">
        <f>"9781554693368"</f>
        <v>9781554693368</v>
      </c>
      <c r="E1520" t="s">
        <v>4668</v>
      </c>
      <c r="F1520" t="s">
        <v>4668</v>
      </c>
      <c r="G1520" s="1">
        <v>40634</v>
      </c>
      <c r="H1520">
        <v>1</v>
      </c>
      <c r="J1520" t="s">
        <v>5575</v>
      </c>
      <c r="K1520" t="s">
        <v>5158</v>
      </c>
      <c r="L1520" t="s">
        <v>8213</v>
      </c>
      <c r="M1520">
        <v>219</v>
      </c>
      <c r="N1520" t="s">
        <v>8214</v>
      </c>
      <c r="O1520" t="s">
        <v>26</v>
      </c>
      <c r="P1520">
        <v>12.99</v>
      </c>
      <c r="Q1520">
        <v>16.239999999999998</v>
      </c>
      <c r="R1520">
        <v>12.99</v>
      </c>
      <c r="T1520" t="s">
        <v>8215</v>
      </c>
    </row>
    <row r="1521" spans="1:20">
      <c r="A1521">
        <v>766142</v>
      </c>
      <c r="B1521" t="s">
        <v>8216</v>
      </c>
      <c r="C1521" t="str">
        <f>"9781554698387"</f>
        <v>9781554698387</v>
      </c>
      <c r="D1521" t="str">
        <f>"9781554698394"</f>
        <v>9781554698394</v>
      </c>
      <c r="E1521" t="s">
        <v>4668</v>
      </c>
      <c r="F1521" t="s">
        <v>8157</v>
      </c>
      <c r="G1521" s="1">
        <v>40634</v>
      </c>
      <c r="H1521">
        <v>1</v>
      </c>
      <c r="I1521" t="s">
        <v>8158</v>
      </c>
      <c r="J1521" t="s">
        <v>8217</v>
      </c>
      <c r="K1521" t="s">
        <v>1464</v>
      </c>
      <c r="L1521" t="s">
        <v>8218</v>
      </c>
      <c r="M1521" t="s">
        <v>1460</v>
      </c>
      <c r="N1521" t="s">
        <v>8219</v>
      </c>
      <c r="O1521" t="s">
        <v>26</v>
      </c>
      <c r="P1521">
        <v>9.99</v>
      </c>
      <c r="Q1521">
        <v>12.49</v>
      </c>
      <c r="R1521">
        <v>9.99</v>
      </c>
      <c r="T1521" t="s">
        <v>8220</v>
      </c>
    </row>
    <row r="1522" spans="1:20">
      <c r="A1522">
        <v>766143</v>
      </c>
      <c r="B1522" t="s">
        <v>8221</v>
      </c>
      <c r="C1522" t="str">
        <f>"9781554693283"</f>
        <v>9781554693283</v>
      </c>
      <c r="D1522" t="str">
        <f>"9781554693290"</f>
        <v>9781554693290</v>
      </c>
      <c r="E1522" t="s">
        <v>4668</v>
      </c>
      <c r="F1522" t="s">
        <v>4668</v>
      </c>
      <c r="G1522" s="1">
        <v>40634</v>
      </c>
      <c r="H1522">
        <v>1</v>
      </c>
      <c r="J1522" t="s">
        <v>5627</v>
      </c>
      <c r="K1522" t="s">
        <v>3572</v>
      </c>
      <c r="L1522" t="s">
        <v>8222</v>
      </c>
      <c r="M1522" t="s">
        <v>4671</v>
      </c>
      <c r="N1522" t="s">
        <v>8223</v>
      </c>
      <c r="O1522" t="s">
        <v>26</v>
      </c>
      <c r="P1522">
        <v>9.99</v>
      </c>
      <c r="Q1522">
        <v>12.49</v>
      </c>
      <c r="R1522">
        <v>9.99</v>
      </c>
      <c r="T1522" t="s">
        <v>8224</v>
      </c>
    </row>
    <row r="1523" spans="1:20">
      <c r="A1523">
        <v>766144</v>
      </c>
      <c r="B1523" t="s">
        <v>8225</v>
      </c>
      <c r="C1523" t="str">
        <f>"9781554698165"</f>
        <v>9781554698165</v>
      </c>
      <c r="D1523" t="str">
        <f>"9781554698189"</f>
        <v>9781554698189</v>
      </c>
      <c r="E1523" t="s">
        <v>4668</v>
      </c>
      <c r="F1523" t="s">
        <v>4668</v>
      </c>
      <c r="G1523" s="1">
        <v>40634</v>
      </c>
      <c r="H1523">
        <v>1</v>
      </c>
      <c r="I1523" t="s">
        <v>4685</v>
      </c>
      <c r="J1523" t="s">
        <v>5694</v>
      </c>
      <c r="K1523" t="s">
        <v>3572</v>
      </c>
      <c r="L1523" t="s">
        <v>8226</v>
      </c>
      <c r="M1523" t="s">
        <v>1509</v>
      </c>
      <c r="N1523" t="s">
        <v>8227</v>
      </c>
      <c r="O1523" t="s">
        <v>26</v>
      </c>
      <c r="P1523">
        <v>9.99</v>
      </c>
      <c r="Q1523">
        <v>12.49</v>
      </c>
      <c r="R1523">
        <v>9.99</v>
      </c>
      <c r="T1523" t="s">
        <v>8228</v>
      </c>
    </row>
    <row r="1524" spans="1:20">
      <c r="A1524">
        <v>766145</v>
      </c>
      <c r="B1524" t="s">
        <v>8229</v>
      </c>
      <c r="C1524" t="str">
        <f>"9781554693306"</f>
        <v>9781554693306</v>
      </c>
      <c r="D1524" t="str">
        <f>"9781554693313"</f>
        <v>9781554693313</v>
      </c>
      <c r="E1524" t="s">
        <v>4668</v>
      </c>
      <c r="F1524" t="s">
        <v>4668</v>
      </c>
      <c r="G1524" s="1">
        <v>40634</v>
      </c>
      <c r="H1524">
        <v>1</v>
      </c>
      <c r="J1524" t="s">
        <v>5708</v>
      </c>
      <c r="K1524" t="s">
        <v>1464</v>
      </c>
      <c r="L1524" t="s">
        <v>8230</v>
      </c>
      <c r="M1524" t="s">
        <v>3612</v>
      </c>
      <c r="N1524" t="s">
        <v>8231</v>
      </c>
      <c r="O1524" t="s">
        <v>26</v>
      </c>
      <c r="P1524">
        <v>12.99</v>
      </c>
      <c r="Q1524">
        <v>16.239999999999998</v>
      </c>
      <c r="R1524">
        <v>12.99</v>
      </c>
      <c r="T1524" t="s">
        <v>8232</v>
      </c>
    </row>
    <row r="1525" spans="1:20">
      <c r="A1525">
        <v>766146</v>
      </c>
      <c r="B1525" t="s">
        <v>8233</v>
      </c>
      <c r="C1525" t="str">
        <f>"9781554693856"</f>
        <v>9781554693856</v>
      </c>
      <c r="D1525" t="str">
        <f>"9781554693863"</f>
        <v>9781554693863</v>
      </c>
      <c r="E1525" t="s">
        <v>4668</v>
      </c>
      <c r="F1525" t="s">
        <v>4668</v>
      </c>
      <c r="G1525" s="1">
        <v>40664</v>
      </c>
      <c r="H1525">
        <v>1</v>
      </c>
      <c r="I1525" t="s">
        <v>5010</v>
      </c>
      <c r="J1525" t="s">
        <v>8234</v>
      </c>
      <c r="K1525" t="s">
        <v>3572</v>
      </c>
      <c r="L1525" t="s">
        <v>8235</v>
      </c>
      <c r="M1525" t="s">
        <v>1509</v>
      </c>
      <c r="N1525" t="s">
        <v>8236</v>
      </c>
      <c r="O1525" t="s">
        <v>26</v>
      </c>
      <c r="P1525">
        <v>7.99</v>
      </c>
      <c r="Q1525">
        <v>9.99</v>
      </c>
      <c r="R1525">
        <v>7.99</v>
      </c>
      <c r="T1525" t="s">
        <v>8237</v>
      </c>
    </row>
    <row r="1526" spans="1:20">
      <c r="A1526">
        <v>766147</v>
      </c>
      <c r="B1526" t="s">
        <v>8238</v>
      </c>
      <c r="C1526" t="str">
        <f>"9781554693566"</f>
        <v>9781554693566</v>
      </c>
      <c r="D1526" t="str">
        <f>"9781554693573"</f>
        <v>9781554693573</v>
      </c>
      <c r="E1526" t="s">
        <v>4668</v>
      </c>
      <c r="F1526" t="s">
        <v>4668</v>
      </c>
      <c r="G1526" s="1">
        <v>40664</v>
      </c>
      <c r="H1526">
        <v>1</v>
      </c>
      <c r="J1526" t="s">
        <v>8239</v>
      </c>
      <c r="K1526" t="s">
        <v>1464</v>
      </c>
      <c r="L1526" t="s">
        <v>8240</v>
      </c>
      <c r="M1526" t="s">
        <v>1460</v>
      </c>
      <c r="N1526" t="s">
        <v>8241</v>
      </c>
      <c r="O1526" t="s">
        <v>26</v>
      </c>
      <c r="P1526">
        <v>12.99</v>
      </c>
      <c r="Q1526">
        <v>16.239999999999998</v>
      </c>
      <c r="R1526">
        <v>12.99</v>
      </c>
      <c r="T1526" t="s">
        <v>8242</v>
      </c>
    </row>
    <row r="1527" spans="1:20">
      <c r="A1527">
        <v>766148</v>
      </c>
      <c r="B1527" t="s">
        <v>8243</v>
      </c>
      <c r="C1527" t="str">
        <f>"9781554693924"</f>
        <v>9781554693924</v>
      </c>
      <c r="D1527" t="str">
        <f>"9781554693931"</f>
        <v>9781554693931</v>
      </c>
      <c r="E1527" t="s">
        <v>4668</v>
      </c>
      <c r="F1527" t="s">
        <v>4668</v>
      </c>
      <c r="G1527" s="1">
        <v>40664</v>
      </c>
      <c r="H1527">
        <v>1</v>
      </c>
      <c r="I1527" t="s">
        <v>8244</v>
      </c>
      <c r="J1527" t="s">
        <v>8245</v>
      </c>
      <c r="K1527" t="s">
        <v>3572</v>
      </c>
      <c r="L1527" t="s">
        <v>8246</v>
      </c>
      <c r="M1527" t="s">
        <v>8247</v>
      </c>
      <c r="N1527" t="s">
        <v>8248</v>
      </c>
      <c r="O1527" t="s">
        <v>26</v>
      </c>
      <c r="P1527">
        <v>9.99</v>
      </c>
      <c r="Q1527">
        <v>12.49</v>
      </c>
      <c r="R1527">
        <v>9.99</v>
      </c>
      <c r="T1527" t="s">
        <v>8249</v>
      </c>
    </row>
    <row r="1528" spans="1:20">
      <c r="A1528">
        <v>766149</v>
      </c>
      <c r="B1528" t="s">
        <v>8250</v>
      </c>
      <c r="C1528" t="str">
        <f>"9781554694198"</f>
        <v>9781554694198</v>
      </c>
      <c r="D1528" t="str">
        <f>"9781554694211"</f>
        <v>9781554694211</v>
      </c>
      <c r="E1528" t="s">
        <v>4668</v>
      </c>
      <c r="F1528" t="s">
        <v>4668</v>
      </c>
      <c r="G1528" s="1">
        <v>40603</v>
      </c>
      <c r="H1528">
        <v>1</v>
      </c>
      <c r="I1528" t="s">
        <v>5056</v>
      </c>
      <c r="J1528" t="s">
        <v>5814</v>
      </c>
      <c r="K1528" t="s">
        <v>3572</v>
      </c>
      <c r="L1528" t="s">
        <v>8251</v>
      </c>
      <c r="M1528" t="s">
        <v>1509</v>
      </c>
      <c r="N1528" t="s">
        <v>8252</v>
      </c>
      <c r="O1528" t="s">
        <v>26</v>
      </c>
      <c r="P1528">
        <v>9.99</v>
      </c>
      <c r="Q1528">
        <v>12.49</v>
      </c>
      <c r="R1528">
        <v>9.99</v>
      </c>
      <c r="T1528" t="s">
        <v>8253</v>
      </c>
    </row>
    <row r="1529" spans="1:20">
      <c r="A1529">
        <v>766150</v>
      </c>
      <c r="B1529" t="s">
        <v>8254</v>
      </c>
      <c r="C1529" t="str">
        <f>"9781554694112"</f>
        <v>9781554694112</v>
      </c>
      <c r="D1529" t="str">
        <f>"9781554694136"</f>
        <v>9781554694136</v>
      </c>
      <c r="E1529" t="s">
        <v>4668</v>
      </c>
      <c r="F1529" t="s">
        <v>4668</v>
      </c>
      <c r="G1529" s="1">
        <v>40634</v>
      </c>
      <c r="H1529">
        <v>1</v>
      </c>
      <c r="I1529" t="s">
        <v>5056</v>
      </c>
      <c r="J1529" t="s">
        <v>5907</v>
      </c>
      <c r="K1529" t="s">
        <v>3572</v>
      </c>
      <c r="L1529" t="s">
        <v>8255</v>
      </c>
      <c r="M1529" t="s">
        <v>1509</v>
      </c>
      <c r="N1529" t="s">
        <v>8256</v>
      </c>
      <c r="O1529" t="s">
        <v>26</v>
      </c>
      <c r="P1529">
        <v>9.99</v>
      </c>
      <c r="Q1529">
        <v>12.49</v>
      </c>
      <c r="R1529">
        <v>9.99</v>
      </c>
      <c r="T1529" t="s">
        <v>8257</v>
      </c>
    </row>
    <row r="1530" spans="1:20">
      <c r="A1530">
        <v>766151</v>
      </c>
      <c r="B1530" t="s">
        <v>8258</v>
      </c>
      <c r="C1530" t="str">
        <f>"9781554698639"</f>
        <v>9781554698639</v>
      </c>
      <c r="D1530" t="str">
        <f>"9781554698646"</f>
        <v>9781554698646</v>
      </c>
      <c r="E1530" t="s">
        <v>4668</v>
      </c>
      <c r="F1530" t="s">
        <v>4668</v>
      </c>
      <c r="G1530" s="1">
        <v>40664</v>
      </c>
      <c r="H1530">
        <v>1</v>
      </c>
      <c r="I1530" t="s">
        <v>8259</v>
      </c>
      <c r="J1530" t="s">
        <v>8260</v>
      </c>
      <c r="K1530" t="s">
        <v>3572</v>
      </c>
      <c r="L1530" t="s">
        <v>8261</v>
      </c>
      <c r="M1530">
        <v>813.6</v>
      </c>
      <c r="N1530" t="s">
        <v>8262</v>
      </c>
      <c r="O1530" t="s">
        <v>485</v>
      </c>
      <c r="P1530">
        <v>9.9499999999999993</v>
      </c>
      <c r="Q1530">
        <v>12.44</v>
      </c>
      <c r="R1530">
        <v>9.9499999999999993</v>
      </c>
      <c r="T1530" t="s">
        <v>8263</v>
      </c>
    </row>
    <row r="1531" spans="1:20">
      <c r="A1531">
        <v>766152</v>
      </c>
      <c r="B1531" t="s">
        <v>8264</v>
      </c>
      <c r="C1531" t="str">
        <f>"9781554693498"</f>
        <v>9781554693498</v>
      </c>
      <c r="D1531" t="str">
        <f>"9781554693511"</f>
        <v>9781554693511</v>
      </c>
      <c r="E1531" t="s">
        <v>4668</v>
      </c>
      <c r="F1531" t="s">
        <v>4668</v>
      </c>
      <c r="G1531" s="1">
        <v>40664</v>
      </c>
      <c r="H1531">
        <v>1</v>
      </c>
      <c r="I1531" t="s">
        <v>8244</v>
      </c>
      <c r="J1531" t="s">
        <v>5907</v>
      </c>
      <c r="K1531" t="s">
        <v>3572</v>
      </c>
      <c r="L1531" t="s">
        <v>8265</v>
      </c>
      <c r="M1531" t="s">
        <v>1509</v>
      </c>
      <c r="N1531" t="s">
        <v>8266</v>
      </c>
      <c r="O1531" t="s">
        <v>26</v>
      </c>
      <c r="P1531">
        <v>9.99</v>
      </c>
      <c r="Q1531">
        <v>12.49</v>
      </c>
      <c r="R1531">
        <v>9.99</v>
      </c>
      <c r="T1531" t="s">
        <v>8267</v>
      </c>
    </row>
    <row r="1532" spans="1:20">
      <c r="A1532">
        <v>766153</v>
      </c>
      <c r="B1532" t="s">
        <v>8268</v>
      </c>
      <c r="C1532" t="str">
        <f>"9781554698578"</f>
        <v>9781554698578</v>
      </c>
      <c r="D1532" t="str">
        <f>"9781554698585"</f>
        <v>9781554698585</v>
      </c>
      <c r="E1532" t="s">
        <v>4668</v>
      </c>
      <c r="F1532" t="s">
        <v>4668</v>
      </c>
      <c r="G1532" s="1">
        <v>40664</v>
      </c>
      <c r="H1532">
        <v>1</v>
      </c>
      <c r="I1532" t="s">
        <v>4685</v>
      </c>
      <c r="J1532" t="s">
        <v>8269</v>
      </c>
      <c r="K1532" t="s">
        <v>5703</v>
      </c>
      <c r="L1532" t="s">
        <v>8270</v>
      </c>
      <c r="M1532">
        <v>143</v>
      </c>
      <c r="N1532" t="s">
        <v>8271</v>
      </c>
      <c r="O1532" t="s">
        <v>94</v>
      </c>
      <c r="P1532">
        <v>9.9499999999999993</v>
      </c>
      <c r="Q1532">
        <v>12.44</v>
      </c>
      <c r="R1532">
        <v>9.9499999999999993</v>
      </c>
      <c r="T1532" t="s">
        <v>8272</v>
      </c>
    </row>
    <row r="1533" spans="1:20">
      <c r="A1533">
        <v>766154</v>
      </c>
      <c r="B1533" t="s">
        <v>8273</v>
      </c>
      <c r="C1533" t="str">
        <f>"9781554698615"</f>
        <v>9781554698615</v>
      </c>
      <c r="D1533" t="str">
        <f>"9781554698622"</f>
        <v>9781554698622</v>
      </c>
      <c r="E1533" t="s">
        <v>4668</v>
      </c>
      <c r="F1533" t="s">
        <v>4668</v>
      </c>
      <c r="G1533" s="1">
        <v>40664</v>
      </c>
      <c r="H1533">
        <v>1</v>
      </c>
      <c r="I1533" t="s">
        <v>8259</v>
      </c>
      <c r="J1533" t="s">
        <v>8274</v>
      </c>
      <c r="K1533" t="s">
        <v>3572</v>
      </c>
      <c r="L1533" t="s">
        <v>8275</v>
      </c>
      <c r="M1533" t="s">
        <v>4671</v>
      </c>
      <c r="N1533" t="s">
        <v>8276</v>
      </c>
      <c r="O1533" t="s">
        <v>485</v>
      </c>
      <c r="P1533">
        <v>9.9499999999999993</v>
      </c>
      <c r="Q1533">
        <v>12.44</v>
      </c>
      <c r="R1533">
        <v>9.9499999999999993</v>
      </c>
      <c r="T1533" t="s">
        <v>8277</v>
      </c>
    </row>
    <row r="1534" spans="1:20">
      <c r="A1534">
        <v>766155</v>
      </c>
      <c r="B1534" t="s">
        <v>8278</v>
      </c>
      <c r="C1534" t="str">
        <f>"9781554694082"</f>
        <v>9781554694082</v>
      </c>
      <c r="D1534" t="str">
        <f>"9781554694105"</f>
        <v>9781554694105</v>
      </c>
      <c r="E1534" t="s">
        <v>4668</v>
      </c>
      <c r="F1534" t="s">
        <v>4668</v>
      </c>
      <c r="G1534" s="1">
        <v>40603</v>
      </c>
      <c r="H1534">
        <v>1</v>
      </c>
      <c r="I1534" t="s">
        <v>4685</v>
      </c>
      <c r="J1534" t="s">
        <v>8279</v>
      </c>
      <c r="K1534" t="s">
        <v>3572</v>
      </c>
      <c r="L1534" t="s">
        <v>8280</v>
      </c>
      <c r="M1534" t="s">
        <v>1509</v>
      </c>
      <c r="N1534" t="s">
        <v>8281</v>
      </c>
      <c r="O1534" t="s">
        <v>26</v>
      </c>
      <c r="P1534">
        <v>9.99</v>
      </c>
      <c r="Q1534">
        <v>12.49</v>
      </c>
      <c r="R1534">
        <v>9.99</v>
      </c>
      <c r="T1534" t="s">
        <v>8282</v>
      </c>
    </row>
    <row r="1535" spans="1:20">
      <c r="A1535">
        <v>766156</v>
      </c>
      <c r="B1535" t="s">
        <v>8283</v>
      </c>
      <c r="C1535" t="str">
        <f>"9781554698042"</f>
        <v>9781554698042</v>
      </c>
      <c r="D1535" t="str">
        <f>"9781554698059"</f>
        <v>9781554698059</v>
      </c>
      <c r="E1535" t="s">
        <v>4668</v>
      </c>
      <c r="F1535" t="s">
        <v>8157</v>
      </c>
      <c r="G1535" s="1">
        <v>40664</v>
      </c>
      <c r="H1535">
        <v>1</v>
      </c>
      <c r="I1535" t="s">
        <v>8158</v>
      </c>
      <c r="J1535" t="s">
        <v>8284</v>
      </c>
      <c r="K1535" t="s">
        <v>8285</v>
      </c>
      <c r="L1535" t="s">
        <v>8286</v>
      </c>
      <c r="M1535" t="s">
        <v>8287</v>
      </c>
      <c r="N1535" t="s">
        <v>8288</v>
      </c>
      <c r="O1535" t="s">
        <v>26</v>
      </c>
      <c r="P1535">
        <v>9.99</v>
      </c>
      <c r="Q1535">
        <v>12.49</v>
      </c>
      <c r="R1535">
        <v>9.99</v>
      </c>
      <c r="T1535" t="s">
        <v>8289</v>
      </c>
    </row>
    <row r="1536" spans="1:20">
      <c r="A1536">
        <v>766157</v>
      </c>
      <c r="B1536" t="s">
        <v>8290</v>
      </c>
      <c r="C1536" t="str">
        <f>"9781554693603"</f>
        <v>9781554693603</v>
      </c>
      <c r="D1536" t="str">
        <f>"9781554693610"</f>
        <v>9781554693610</v>
      </c>
      <c r="E1536" t="s">
        <v>4668</v>
      </c>
      <c r="F1536" t="s">
        <v>4668</v>
      </c>
      <c r="G1536" s="1">
        <v>40634</v>
      </c>
      <c r="H1536">
        <v>1</v>
      </c>
      <c r="J1536" t="s">
        <v>8291</v>
      </c>
      <c r="K1536" t="s">
        <v>8292</v>
      </c>
      <c r="L1536" t="s">
        <v>8293</v>
      </c>
      <c r="M1536" t="s">
        <v>8294</v>
      </c>
      <c r="N1536" t="s">
        <v>8295</v>
      </c>
      <c r="O1536" t="s">
        <v>26</v>
      </c>
      <c r="P1536">
        <v>6.99</v>
      </c>
      <c r="Q1536">
        <v>8.74</v>
      </c>
      <c r="R1536">
        <v>6.99</v>
      </c>
      <c r="T1536" t="s">
        <v>8296</v>
      </c>
    </row>
    <row r="1537" spans="1:20">
      <c r="A1537">
        <v>766158</v>
      </c>
      <c r="B1537" t="s">
        <v>8297</v>
      </c>
      <c r="C1537" t="str">
        <f>"9781554693986"</f>
        <v>9781554693986</v>
      </c>
      <c r="D1537" t="str">
        <f>"9781554693993"</f>
        <v>9781554693993</v>
      </c>
      <c r="E1537" t="s">
        <v>4668</v>
      </c>
      <c r="F1537" t="s">
        <v>8157</v>
      </c>
      <c r="G1537" s="1">
        <v>40634</v>
      </c>
      <c r="H1537">
        <v>1</v>
      </c>
      <c r="I1537" t="s">
        <v>8158</v>
      </c>
      <c r="J1537" t="s">
        <v>3322</v>
      </c>
      <c r="K1537" t="s">
        <v>291</v>
      </c>
      <c r="L1537" t="s">
        <v>8298</v>
      </c>
      <c r="M1537" t="s">
        <v>3328</v>
      </c>
      <c r="N1537" t="s">
        <v>8299</v>
      </c>
      <c r="O1537" t="s">
        <v>26</v>
      </c>
      <c r="P1537">
        <v>9.99</v>
      </c>
      <c r="Q1537">
        <v>12.49</v>
      </c>
      <c r="R1537">
        <v>9.99</v>
      </c>
      <c r="T1537" t="s">
        <v>8300</v>
      </c>
    </row>
    <row r="1538" spans="1:20">
      <c r="A1538">
        <v>769472</v>
      </c>
      <c r="B1538" t="s">
        <v>8301</v>
      </c>
      <c r="C1538" t="str">
        <f>"9781897231876"</f>
        <v>9781897231876</v>
      </c>
      <c r="D1538" t="str">
        <f>"9781926845104"</f>
        <v>9781926845104</v>
      </c>
      <c r="E1538" t="s">
        <v>8302</v>
      </c>
      <c r="F1538" t="s">
        <v>8302</v>
      </c>
      <c r="G1538" s="1">
        <v>40282</v>
      </c>
      <c r="J1538" t="s">
        <v>8303</v>
      </c>
      <c r="K1538" t="s">
        <v>3572</v>
      </c>
      <c r="L1538" t="s">
        <v>8304</v>
      </c>
      <c r="M1538" t="s">
        <v>1460</v>
      </c>
      <c r="N1538" t="s">
        <v>8305</v>
      </c>
      <c r="O1538" t="s">
        <v>26</v>
      </c>
      <c r="P1538">
        <v>14.95</v>
      </c>
      <c r="R1538">
        <v>14.95</v>
      </c>
      <c r="T1538" t="s">
        <v>8306</v>
      </c>
    </row>
    <row r="1539" spans="1:20">
      <c r="A1539">
        <v>769480</v>
      </c>
      <c r="B1539" t="s">
        <v>8307</v>
      </c>
      <c r="C1539" t="str">
        <f>"9780973818420"</f>
        <v>9780973818420</v>
      </c>
      <c r="D1539" t="str">
        <f>"9781897231678"</f>
        <v>9781897231678</v>
      </c>
      <c r="E1539" t="s">
        <v>8302</v>
      </c>
      <c r="F1539" t="s">
        <v>8302</v>
      </c>
      <c r="G1539" s="1">
        <v>39005</v>
      </c>
      <c r="J1539" t="s">
        <v>8308</v>
      </c>
      <c r="K1539" t="s">
        <v>1458</v>
      </c>
      <c r="L1539" t="s">
        <v>8309</v>
      </c>
      <c r="N1539" t="s">
        <v>8310</v>
      </c>
      <c r="O1539" t="s">
        <v>26</v>
      </c>
      <c r="P1539">
        <v>14.99</v>
      </c>
      <c r="R1539">
        <v>14.99</v>
      </c>
      <c r="T1539" t="s">
        <v>8311</v>
      </c>
    </row>
    <row r="1540" spans="1:20">
      <c r="A1540">
        <v>769522</v>
      </c>
      <c r="B1540" t="s">
        <v>8312</v>
      </c>
      <c r="C1540" t="str">
        <f>"9781897231494"</f>
        <v>9781897231494</v>
      </c>
      <c r="D1540" t="str">
        <f>"9781897231814"</f>
        <v>9781897231814</v>
      </c>
      <c r="E1540" t="s">
        <v>8302</v>
      </c>
      <c r="F1540" t="s">
        <v>8302</v>
      </c>
      <c r="G1540" s="1">
        <v>39706</v>
      </c>
      <c r="J1540" t="s">
        <v>8313</v>
      </c>
      <c r="K1540" t="s">
        <v>1458</v>
      </c>
      <c r="L1540" t="s">
        <v>8314</v>
      </c>
      <c r="M1540" t="s">
        <v>1693</v>
      </c>
      <c r="N1540" t="s">
        <v>8315</v>
      </c>
      <c r="O1540" t="s">
        <v>26</v>
      </c>
      <c r="P1540">
        <v>16.95</v>
      </c>
      <c r="R1540">
        <v>16.95</v>
      </c>
      <c r="T1540" t="s">
        <v>8316</v>
      </c>
    </row>
    <row r="1541" spans="1:20">
      <c r="A1541">
        <v>769524</v>
      </c>
      <c r="B1541" t="s">
        <v>8317</v>
      </c>
      <c r="C1541" t="str">
        <f>"9781897231395"</f>
        <v>9781897231395</v>
      </c>
      <c r="D1541" t="str">
        <f>"9781897231692"</f>
        <v>9781897231692</v>
      </c>
      <c r="E1541" t="s">
        <v>8302</v>
      </c>
      <c r="F1541" t="s">
        <v>8302</v>
      </c>
      <c r="G1541" s="1">
        <v>39483</v>
      </c>
      <c r="J1541" t="s">
        <v>8318</v>
      </c>
      <c r="K1541" t="s">
        <v>1458</v>
      </c>
      <c r="L1541" t="s">
        <v>8319</v>
      </c>
      <c r="M1541" t="s">
        <v>1460</v>
      </c>
      <c r="N1541" t="s">
        <v>8320</v>
      </c>
      <c r="O1541" t="s">
        <v>26</v>
      </c>
      <c r="P1541">
        <v>14.95</v>
      </c>
      <c r="R1541">
        <v>14.95</v>
      </c>
      <c r="T1541" t="s">
        <v>8321</v>
      </c>
    </row>
    <row r="1542" spans="1:20">
      <c r="A1542">
        <v>771756</v>
      </c>
      <c r="B1542" t="s">
        <v>8322</v>
      </c>
      <c r="C1542" t="str">
        <f>"9781897231463"</f>
        <v>9781897231463</v>
      </c>
      <c r="D1542" t="str">
        <f>"9781897231869"</f>
        <v>9781897231869</v>
      </c>
      <c r="E1542" t="s">
        <v>8302</v>
      </c>
      <c r="F1542" t="s">
        <v>8302</v>
      </c>
      <c r="G1542" s="1">
        <v>39736</v>
      </c>
      <c r="J1542" t="s">
        <v>8323</v>
      </c>
      <c r="K1542" t="s">
        <v>8324</v>
      </c>
      <c r="L1542" t="s">
        <v>8325</v>
      </c>
      <c r="M1542" t="s">
        <v>8326</v>
      </c>
      <c r="N1542" t="s">
        <v>8327</v>
      </c>
      <c r="O1542" t="s">
        <v>26</v>
      </c>
      <c r="P1542">
        <v>11.95</v>
      </c>
      <c r="R1542">
        <v>11.95</v>
      </c>
      <c r="T1542" t="s">
        <v>8328</v>
      </c>
    </row>
    <row r="1543" spans="1:20">
      <c r="A1543">
        <v>771792</v>
      </c>
      <c r="B1543" t="s">
        <v>8329</v>
      </c>
      <c r="C1543" t="str">
        <f>"9781551524160"</f>
        <v>9781551524160</v>
      </c>
      <c r="D1543" t="str">
        <f>"9781551524153"</f>
        <v>9781551524153</v>
      </c>
      <c r="E1543" t="s">
        <v>2416</v>
      </c>
      <c r="F1543" t="s">
        <v>2416</v>
      </c>
      <c r="G1543" s="1">
        <v>40806</v>
      </c>
      <c r="J1543" t="s">
        <v>3061</v>
      </c>
      <c r="K1543" t="s">
        <v>1458</v>
      </c>
      <c r="L1543" t="s">
        <v>8330</v>
      </c>
      <c r="M1543">
        <v>813.54</v>
      </c>
      <c r="N1543" t="s">
        <v>8331</v>
      </c>
      <c r="O1543" t="s">
        <v>26</v>
      </c>
      <c r="P1543">
        <v>16.95</v>
      </c>
      <c r="R1543">
        <v>16.95</v>
      </c>
      <c r="T1543" t="s">
        <v>8332</v>
      </c>
    </row>
    <row r="1544" spans="1:20">
      <c r="A1544">
        <v>772373</v>
      </c>
      <c r="B1544" t="s">
        <v>8333</v>
      </c>
      <c r="C1544" t="str">
        <f>"9780889203341"</f>
        <v>9780889203341</v>
      </c>
      <c r="D1544" t="str">
        <f>"9780889208964"</f>
        <v>9780889208964</v>
      </c>
      <c r="E1544" t="s">
        <v>6047</v>
      </c>
      <c r="F1544" t="s">
        <v>6047</v>
      </c>
      <c r="G1544" s="1">
        <v>38718</v>
      </c>
      <c r="I1544" t="s">
        <v>6061</v>
      </c>
      <c r="J1544" t="s">
        <v>8334</v>
      </c>
      <c r="K1544" t="s">
        <v>525</v>
      </c>
      <c r="L1544" t="s">
        <v>8335</v>
      </c>
      <c r="M1544" t="s">
        <v>8336</v>
      </c>
      <c r="N1544" t="s">
        <v>8337</v>
      </c>
      <c r="O1544" t="s">
        <v>26</v>
      </c>
      <c r="P1544">
        <v>85</v>
      </c>
      <c r="Q1544">
        <v>106.25</v>
      </c>
      <c r="R1544">
        <v>85</v>
      </c>
      <c r="S1544">
        <v>127.5</v>
      </c>
      <c r="T1544" t="s">
        <v>8338</v>
      </c>
    </row>
    <row r="1545" spans="1:20">
      <c r="A1545">
        <v>772374</v>
      </c>
      <c r="B1545" t="s">
        <v>8339</v>
      </c>
      <c r="C1545" t="str">
        <f>"9780889203266"</f>
        <v>9780889203266</v>
      </c>
      <c r="D1545" t="str">
        <f>"9780889208872"</f>
        <v>9780889208872</v>
      </c>
      <c r="E1545" t="s">
        <v>6047</v>
      </c>
      <c r="F1545" t="s">
        <v>6047</v>
      </c>
      <c r="G1545" s="1">
        <v>38718</v>
      </c>
      <c r="I1545" t="s">
        <v>6152</v>
      </c>
      <c r="J1545" t="s">
        <v>8340</v>
      </c>
      <c r="K1545" t="s">
        <v>263</v>
      </c>
      <c r="L1545" t="s">
        <v>8341</v>
      </c>
      <c r="M1545" t="s">
        <v>8342</v>
      </c>
      <c r="N1545" t="s">
        <v>8343</v>
      </c>
      <c r="O1545" t="s">
        <v>26</v>
      </c>
      <c r="P1545">
        <v>85</v>
      </c>
      <c r="Q1545">
        <v>106.25</v>
      </c>
      <c r="R1545">
        <v>85</v>
      </c>
      <c r="S1545">
        <v>127.5</v>
      </c>
      <c r="T1545" t="s">
        <v>8344</v>
      </c>
    </row>
    <row r="1546" spans="1:20">
      <c r="A1546">
        <v>772376</v>
      </c>
      <c r="B1546" t="s">
        <v>8345</v>
      </c>
      <c r="C1546" t="str">
        <f>"9780889203907"</f>
        <v>9780889203907</v>
      </c>
      <c r="D1546" t="str">
        <f>"9780889209473"</f>
        <v>9780889209473</v>
      </c>
      <c r="E1546" t="s">
        <v>6047</v>
      </c>
      <c r="F1546" t="s">
        <v>6047</v>
      </c>
      <c r="G1546" s="1">
        <v>38718</v>
      </c>
      <c r="J1546" t="s">
        <v>8346</v>
      </c>
      <c r="K1546" t="s">
        <v>1471</v>
      </c>
      <c r="L1546" t="s">
        <v>8347</v>
      </c>
      <c r="M1546">
        <v>792.02809200000002</v>
      </c>
      <c r="N1546" t="s">
        <v>8348</v>
      </c>
      <c r="O1546" t="s">
        <v>26</v>
      </c>
      <c r="P1546">
        <v>85</v>
      </c>
      <c r="Q1546">
        <v>106.25</v>
      </c>
      <c r="R1546">
        <v>85</v>
      </c>
      <c r="S1546">
        <v>127.5</v>
      </c>
      <c r="T1546" t="s">
        <v>8349</v>
      </c>
    </row>
    <row r="1547" spans="1:20">
      <c r="A1547">
        <v>772384</v>
      </c>
      <c r="B1547" t="s">
        <v>8350</v>
      </c>
      <c r="C1547" t="str">
        <f>"9780889203501"</f>
        <v>9780889203501</v>
      </c>
      <c r="D1547" t="str">
        <f>"9780889208704"</f>
        <v>9780889208704</v>
      </c>
      <c r="E1547" t="s">
        <v>6047</v>
      </c>
      <c r="F1547" t="s">
        <v>6047</v>
      </c>
      <c r="G1547" s="1">
        <v>38718</v>
      </c>
      <c r="I1547" t="s">
        <v>6061</v>
      </c>
      <c r="J1547" t="s">
        <v>8351</v>
      </c>
      <c r="K1547" t="s">
        <v>1464</v>
      </c>
      <c r="L1547" t="s">
        <v>8352</v>
      </c>
      <c r="M1547" t="s">
        <v>8353</v>
      </c>
      <c r="N1547" t="s">
        <v>8354</v>
      </c>
      <c r="O1547" t="s">
        <v>26</v>
      </c>
      <c r="P1547">
        <v>85</v>
      </c>
      <c r="Q1547">
        <v>106.25</v>
      </c>
      <c r="R1547">
        <v>85</v>
      </c>
      <c r="S1547">
        <v>127.5</v>
      </c>
      <c r="T1547" t="s">
        <v>8355</v>
      </c>
    </row>
    <row r="1548" spans="1:20">
      <c r="A1548">
        <v>772385</v>
      </c>
      <c r="B1548" t="s">
        <v>8356</v>
      </c>
      <c r="C1548" t="str">
        <f>"9780889204300"</f>
        <v>9780889204300</v>
      </c>
      <c r="D1548" t="str">
        <f>"9780889209299"</f>
        <v>9780889209299</v>
      </c>
      <c r="E1548" t="s">
        <v>6047</v>
      </c>
      <c r="F1548" t="s">
        <v>6047</v>
      </c>
      <c r="G1548" s="1">
        <v>38718</v>
      </c>
      <c r="J1548" t="s">
        <v>8357</v>
      </c>
      <c r="K1548" t="s">
        <v>1464</v>
      </c>
      <c r="L1548" t="s">
        <v>8358</v>
      </c>
      <c r="M1548" t="s">
        <v>8359</v>
      </c>
      <c r="N1548" t="s">
        <v>8360</v>
      </c>
      <c r="O1548" t="s">
        <v>26</v>
      </c>
      <c r="P1548">
        <v>85</v>
      </c>
      <c r="Q1548">
        <v>106.25</v>
      </c>
      <c r="R1548">
        <v>85</v>
      </c>
      <c r="S1548">
        <v>127.5</v>
      </c>
      <c r="T1548" t="s">
        <v>8361</v>
      </c>
    </row>
    <row r="1549" spans="1:20">
      <c r="A1549">
        <v>772387</v>
      </c>
      <c r="B1549" t="s">
        <v>8362</v>
      </c>
      <c r="C1549" t="str">
        <f>"9780889205185"</f>
        <v>9780889205185</v>
      </c>
      <c r="D1549" t="str">
        <f>"9781554580750"</f>
        <v>9781554580750</v>
      </c>
      <c r="E1549" t="s">
        <v>6047</v>
      </c>
      <c r="F1549" t="s">
        <v>6047</v>
      </c>
      <c r="G1549" s="1">
        <v>39191</v>
      </c>
      <c r="J1549" t="s">
        <v>8363</v>
      </c>
      <c r="K1549" t="s">
        <v>263</v>
      </c>
      <c r="L1549" t="s">
        <v>8364</v>
      </c>
      <c r="M1549">
        <v>362.70970999999997</v>
      </c>
      <c r="N1549" t="s">
        <v>8365</v>
      </c>
      <c r="O1549" t="s">
        <v>26</v>
      </c>
      <c r="P1549">
        <v>85</v>
      </c>
      <c r="Q1549">
        <v>106.25</v>
      </c>
      <c r="R1549">
        <v>85</v>
      </c>
      <c r="S1549">
        <v>127.5</v>
      </c>
      <c r="T1549" t="s">
        <v>8366</v>
      </c>
    </row>
    <row r="1550" spans="1:20">
      <c r="A1550">
        <v>772395</v>
      </c>
      <c r="B1550" t="s">
        <v>8367</v>
      </c>
      <c r="C1550" t="str">
        <f>"9780889204447"</f>
        <v>9780889204447</v>
      </c>
      <c r="D1550" t="str">
        <f>"9780889209305"</f>
        <v>9780889209305</v>
      </c>
      <c r="E1550" t="s">
        <v>6047</v>
      </c>
      <c r="F1550" t="s">
        <v>6047</v>
      </c>
      <c r="G1550" s="1">
        <v>38718</v>
      </c>
      <c r="I1550" t="s">
        <v>6061</v>
      </c>
      <c r="J1550" t="s">
        <v>8368</v>
      </c>
      <c r="K1550" t="s">
        <v>263</v>
      </c>
      <c r="L1550" t="s">
        <v>8369</v>
      </c>
      <c r="M1550" t="s">
        <v>8370</v>
      </c>
      <c r="N1550" t="s">
        <v>8371</v>
      </c>
      <c r="O1550" t="s">
        <v>26</v>
      </c>
      <c r="P1550">
        <v>85</v>
      </c>
      <c r="Q1550">
        <v>106.25</v>
      </c>
      <c r="R1550">
        <v>85</v>
      </c>
      <c r="S1550">
        <v>127.5</v>
      </c>
      <c r="T1550" t="s">
        <v>8372</v>
      </c>
    </row>
    <row r="1551" spans="1:20">
      <c r="A1551">
        <v>772397</v>
      </c>
      <c r="B1551" t="s">
        <v>8373</v>
      </c>
      <c r="C1551" t="str">
        <f>"9780889204386"</f>
        <v>9780889204386</v>
      </c>
      <c r="D1551" t="str">
        <f>"9780889209251"</f>
        <v>9780889209251</v>
      </c>
      <c r="E1551" t="s">
        <v>6047</v>
      </c>
      <c r="F1551" t="s">
        <v>6047</v>
      </c>
      <c r="G1551" s="1">
        <v>38718</v>
      </c>
      <c r="J1551" t="s">
        <v>8374</v>
      </c>
      <c r="K1551" t="s">
        <v>1464</v>
      </c>
      <c r="L1551" t="s">
        <v>8375</v>
      </c>
      <c r="M1551" t="s">
        <v>1567</v>
      </c>
      <c r="N1551" t="s">
        <v>8376</v>
      </c>
      <c r="O1551" t="s">
        <v>26</v>
      </c>
      <c r="P1551">
        <v>85</v>
      </c>
      <c r="Q1551">
        <v>106.25</v>
      </c>
      <c r="R1551">
        <v>85</v>
      </c>
      <c r="S1551">
        <v>127.5</v>
      </c>
      <c r="T1551" t="s">
        <v>8377</v>
      </c>
    </row>
    <row r="1552" spans="1:20">
      <c r="A1552">
        <v>772398</v>
      </c>
      <c r="B1552" t="s">
        <v>8378</v>
      </c>
      <c r="C1552" t="str">
        <f>"9780889204188"</f>
        <v>9780889204188</v>
      </c>
      <c r="D1552" t="str">
        <f>"9780889208216"</f>
        <v>9780889208216</v>
      </c>
      <c r="E1552" t="s">
        <v>6047</v>
      </c>
      <c r="F1552" t="s">
        <v>6047</v>
      </c>
      <c r="G1552" s="1">
        <v>38718</v>
      </c>
      <c r="I1552" t="s">
        <v>7123</v>
      </c>
      <c r="J1552" t="s">
        <v>8379</v>
      </c>
      <c r="K1552" t="s">
        <v>1892</v>
      </c>
      <c r="L1552" t="s">
        <v>8380</v>
      </c>
      <c r="M1552" t="s">
        <v>8381</v>
      </c>
      <c r="N1552" t="s">
        <v>8382</v>
      </c>
      <c r="O1552" t="s">
        <v>26</v>
      </c>
      <c r="P1552">
        <v>85</v>
      </c>
      <c r="Q1552">
        <v>106.25</v>
      </c>
      <c r="R1552">
        <v>85</v>
      </c>
      <c r="S1552">
        <v>127.5</v>
      </c>
      <c r="T1552" t="s">
        <v>8383</v>
      </c>
    </row>
    <row r="1553" spans="1:20">
      <c r="A1553">
        <v>772408</v>
      </c>
      <c r="B1553" t="s">
        <v>8384</v>
      </c>
      <c r="C1553" t="str">
        <f>"9780889204898"</f>
        <v>9780889204898</v>
      </c>
      <c r="D1553" t="str">
        <f>"9780889209183"</f>
        <v>9780889209183</v>
      </c>
      <c r="E1553" t="s">
        <v>6047</v>
      </c>
      <c r="F1553" t="s">
        <v>6047</v>
      </c>
      <c r="G1553" s="1">
        <v>38718</v>
      </c>
      <c r="I1553" t="s">
        <v>6273</v>
      </c>
      <c r="J1553" t="s">
        <v>8385</v>
      </c>
      <c r="K1553" t="s">
        <v>1464</v>
      </c>
      <c r="L1553" t="s">
        <v>8386</v>
      </c>
      <c r="M1553" t="s">
        <v>7928</v>
      </c>
      <c r="N1553" t="s">
        <v>8387</v>
      </c>
      <c r="O1553" t="s">
        <v>26</v>
      </c>
      <c r="P1553">
        <v>85</v>
      </c>
      <c r="Q1553">
        <v>106.25</v>
      </c>
      <c r="R1553">
        <v>85</v>
      </c>
      <c r="S1553">
        <v>127.5</v>
      </c>
      <c r="T1553" t="s">
        <v>8388</v>
      </c>
    </row>
    <row r="1554" spans="1:20">
      <c r="A1554">
        <v>772411</v>
      </c>
      <c r="B1554" t="s">
        <v>8389</v>
      </c>
      <c r="C1554" t="str">
        <f>"9780889204768"</f>
        <v>9780889204768</v>
      </c>
      <c r="D1554" t="str">
        <f>"9780889209077"</f>
        <v>9780889209077</v>
      </c>
      <c r="E1554" t="s">
        <v>6047</v>
      </c>
      <c r="F1554" t="s">
        <v>6047</v>
      </c>
      <c r="G1554" s="1">
        <v>38718</v>
      </c>
      <c r="I1554" t="s">
        <v>6061</v>
      </c>
      <c r="J1554" t="s">
        <v>8390</v>
      </c>
      <c r="K1554" t="s">
        <v>3860</v>
      </c>
      <c r="L1554" t="s">
        <v>8391</v>
      </c>
      <c r="M1554">
        <v>920</v>
      </c>
      <c r="N1554" t="s">
        <v>8392</v>
      </c>
      <c r="O1554" t="s">
        <v>26</v>
      </c>
      <c r="P1554">
        <v>85</v>
      </c>
      <c r="Q1554">
        <v>106.25</v>
      </c>
      <c r="R1554">
        <v>85</v>
      </c>
      <c r="S1554">
        <v>127.5</v>
      </c>
      <c r="T1554" t="s">
        <v>8393</v>
      </c>
    </row>
    <row r="1555" spans="1:20">
      <c r="A1555">
        <v>772412</v>
      </c>
      <c r="B1555" t="s">
        <v>8394</v>
      </c>
      <c r="C1555" t="str">
        <f>"9780889204546"</f>
        <v>9780889204546</v>
      </c>
      <c r="D1555" t="str">
        <f>"9780889209268"</f>
        <v>9780889209268</v>
      </c>
      <c r="E1555" t="s">
        <v>6047</v>
      </c>
      <c r="F1555" t="s">
        <v>6047</v>
      </c>
      <c r="G1555" s="1">
        <v>38718</v>
      </c>
      <c r="I1555" t="s">
        <v>6189</v>
      </c>
      <c r="J1555" t="s">
        <v>8395</v>
      </c>
      <c r="K1555" t="s">
        <v>1150</v>
      </c>
      <c r="L1555" t="s">
        <v>8396</v>
      </c>
      <c r="M1555">
        <v>793.3</v>
      </c>
      <c r="N1555" t="s">
        <v>8397</v>
      </c>
      <c r="O1555" t="s">
        <v>26</v>
      </c>
      <c r="P1555">
        <v>85</v>
      </c>
      <c r="Q1555">
        <v>106.25</v>
      </c>
      <c r="R1555">
        <v>85</v>
      </c>
      <c r="S1555">
        <v>127.5</v>
      </c>
      <c r="T1555" t="s">
        <v>8398</v>
      </c>
    </row>
    <row r="1556" spans="1:20">
      <c r="A1556">
        <v>772418</v>
      </c>
      <c r="B1556" t="s">
        <v>8399</v>
      </c>
      <c r="C1556" t="str">
        <f>"9780889200081"</f>
        <v>9780889200081</v>
      </c>
      <c r="D1556" t="str">
        <f>"9780889207219"</f>
        <v>9780889207219</v>
      </c>
      <c r="E1556" t="s">
        <v>6047</v>
      </c>
      <c r="F1556" t="s">
        <v>6047</v>
      </c>
      <c r="G1556" s="1">
        <v>38718</v>
      </c>
      <c r="J1556" t="s">
        <v>8400</v>
      </c>
      <c r="K1556" t="s">
        <v>1892</v>
      </c>
      <c r="L1556" t="s">
        <v>8401</v>
      </c>
      <c r="M1556" t="s">
        <v>8402</v>
      </c>
      <c r="N1556" t="s">
        <v>8403</v>
      </c>
      <c r="O1556" t="s">
        <v>26</v>
      </c>
      <c r="P1556">
        <v>85</v>
      </c>
      <c r="Q1556">
        <v>106.25</v>
      </c>
      <c r="R1556">
        <v>85</v>
      </c>
      <c r="S1556">
        <v>127.5</v>
      </c>
      <c r="T1556" t="s">
        <v>8404</v>
      </c>
    </row>
    <row r="1557" spans="1:20">
      <c r="A1557">
        <v>772421</v>
      </c>
      <c r="B1557" t="s">
        <v>8405</v>
      </c>
      <c r="C1557" t="str">
        <f>"9780889205031"</f>
        <v>9780889205031</v>
      </c>
      <c r="D1557" t="str">
        <f>"9780889206946"</f>
        <v>9780889206946</v>
      </c>
      <c r="E1557" t="s">
        <v>6047</v>
      </c>
      <c r="F1557" t="s">
        <v>6047</v>
      </c>
      <c r="G1557" s="1">
        <v>38826</v>
      </c>
      <c r="H1557">
        <v>4</v>
      </c>
      <c r="J1557" t="s">
        <v>8406</v>
      </c>
      <c r="K1557" t="s">
        <v>467</v>
      </c>
      <c r="L1557" t="s">
        <v>8407</v>
      </c>
      <c r="M1557" t="s">
        <v>8408</v>
      </c>
      <c r="N1557" t="s">
        <v>8409</v>
      </c>
      <c r="O1557" t="s">
        <v>26</v>
      </c>
      <c r="P1557">
        <v>85</v>
      </c>
      <c r="Q1557">
        <v>106.25</v>
      </c>
      <c r="R1557">
        <v>85</v>
      </c>
      <c r="S1557">
        <v>127.5</v>
      </c>
      <c r="T1557" t="s">
        <v>8410</v>
      </c>
    </row>
    <row r="1558" spans="1:20">
      <c r="A1558">
        <v>772424</v>
      </c>
      <c r="B1558" t="s">
        <v>8411</v>
      </c>
      <c r="C1558" t="str">
        <f>"9780889203884"</f>
        <v>9780889203884</v>
      </c>
      <c r="D1558" t="str">
        <f>"9780889206663"</f>
        <v>9780889206663</v>
      </c>
      <c r="E1558" t="s">
        <v>6047</v>
      </c>
      <c r="F1558" t="s">
        <v>6047</v>
      </c>
      <c r="G1558" s="1">
        <v>38718</v>
      </c>
      <c r="I1558" t="s">
        <v>6189</v>
      </c>
      <c r="J1558" t="s">
        <v>8412</v>
      </c>
      <c r="K1558" t="s">
        <v>1550</v>
      </c>
      <c r="L1558" t="s">
        <v>8413</v>
      </c>
      <c r="M1558" t="s">
        <v>4054</v>
      </c>
      <c r="N1558" t="s">
        <v>8414</v>
      </c>
      <c r="O1558" t="s">
        <v>26</v>
      </c>
      <c r="P1558">
        <v>85</v>
      </c>
      <c r="Q1558">
        <v>106.25</v>
      </c>
      <c r="R1558">
        <v>85</v>
      </c>
      <c r="S1558">
        <v>127.5</v>
      </c>
      <c r="T1558" t="s">
        <v>8415</v>
      </c>
    </row>
    <row r="1559" spans="1:20">
      <c r="A1559">
        <v>772429</v>
      </c>
      <c r="B1559" t="s">
        <v>8416</v>
      </c>
      <c r="C1559" t="str">
        <f>"9781554580385"</f>
        <v>9781554580385</v>
      </c>
      <c r="D1559" t="str">
        <f>"9781554581733"</f>
        <v>9781554581733</v>
      </c>
      <c r="E1559" t="s">
        <v>6047</v>
      </c>
      <c r="F1559" t="s">
        <v>6047</v>
      </c>
      <c r="G1559" s="1">
        <v>39856</v>
      </c>
      <c r="J1559" t="s">
        <v>8417</v>
      </c>
      <c r="K1559" t="s">
        <v>1464</v>
      </c>
      <c r="L1559" t="s">
        <v>8418</v>
      </c>
      <c r="M1559">
        <v>811.54</v>
      </c>
      <c r="N1559" t="s">
        <v>8419</v>
      </c>
      <c r="O1559" t="s">
        <v>26</v>
      </c>
      <c r="P1559">
        <v>85</v>
      </c>
      <c r="Q1559">
        <v>106.25</v>
      </c>
      <c r="R1559">
        <v>85</v>
      </c>
      <c r="S1559">
        <v>127.5</v>
      </c>
      <c r="T1559" t="s">
        <v>8420</v>
      </c>
    </row>
    <row r="1560" spans="1:20">
      <c r="A1560">
        <v>772431</v>
      </c>
      <c r="B1560" t="s">
        <v>8421</v>
      </c>
      <c r="C1560" t="str">
        <f>"9780889209589"</f>
        <v>9780889209589</v>
      </c>
      <c r="D1560" t="str">
        <f>"9780889206014"</f>
        <v>9780889206014</v>
      </c>
      <c r="E1560" t="s">
        <v>6047</v>
      </c>
      <c r="F1560" t="s">
        <v>6047</v>
      </c>
      <c r="G1560" s="1">
        <v>38718</v>
      </c>
      <c r="J1560" t="s">
        <v>8422</v>
      </c>
      <c r="K1560" t="s">
        <v>291</v>
      </c>
      <c r="L1560" t="s">
        <v>8423</v>
      </c>
      <c r="M1560" t="s">
        <v>8424</v>
      </c>
      <c r="N1560" t="s">
        <v>8425</v>
      </c>
      <c r="O1560" t="s">
        <v>26</v>
      </c>
      <c r="P1560">
        <v>85</v>
      </c>
      <c r="Q1560">
        <v>106.25</v>
      </c>
      <c r="R1560">
        <v>85</v>
      </c>
      <c r="S1560">
        <v>127.5</v>
      </c>
      <c r="T1560" t="s">
        <v>8426</v>
      </c>
    </row>
    <row r="1561" spans="1:20">
      <c r="A1561">
        <v>772438</v>
      </c>
      <c r="B1561" t="s">
        <v>8427</v>
      </c>
      <c r="C1561" t="str">
        <f>"9780889203327"</f>
        <v>9780889203327</v>
      </c>
      <c r="D1561" t="str">
        <f>"9780889205611"</f>
        <v>9780889205611</v>
      </c>
      <c r="E1561" t="s">
        <v>6047</v>
      </c>
      <c r="F1561" t="s">
        <v>6047</v>
      </c>
      <c r="G1561" s="1">
        <v>38718</v>
      </c>
      <c r="J1561" t="s">
        <v>8428</v>
      </c>
      <c r="K1561" t="s">
        <v>263</v>
      </c>
      <c r="L1561" t="s">
        <v>8429</v>
      </c>
      <c r="M1561">
        <v>306.0994</v>
      </c>
      <c r="N1561" t="s">
        <v>8430</v>
      </c>
      <c r="O1561" t="s">
        <v>26</v>
      </c>
      <c r="P1561">
        <v>85</v>
      </c>
      <c r="Q1561">
        <v>106.25</v>
      </c>
      <c r="R1561">
        <v>85</v>
      </c>
      <c r="S1561">
        <v>127.5</v>
      </c>
      <c r="T1561" t="s">
        <v>8431</v>
      </c>
    </row>
    <row r="1562" spans="1:20">
      <c r="A1562">
        <v>772439</v>
      </c>
      <c r="B1562" t="s">
        <v>8432</v>
      </c>
      <c r="C1562" t="str">
        <f>"9780889204058"</f>
        <v>9780889204058</v>
      </c>
      <c r="D1562" t="str">
        <f>"9780889205604"</f>
        <v>9780889205604</v>
      </c>
      <c r="E1562" t="s">
        <v>6047</v>
      </c>
      <c r="F1562" t="s">
        <v>6047</v>
      </c>
      <c r="G1562" s="1">
        <v>38718</v>
      </c>
      <c r="H1562">
        <v>3</v>
      </c>
      <c r="J1562" t="s">
        <v>8433</v>
      </c>
      <c r="K1562" t="s">
        <v>263</v>
      </c>
      <c r="L1562" t="s">
        <v>8434</v>
      </c>
      <c r="M1562" t="s">
        <v>1371</v>
      </c>
      <c r="N1562" t="s">
        <v>8435</v>
      </c>
      <c r="O1562" t="s">
        <v>26</v>
      </c>
      <c r="P1562">
        <v>85</v>
      </c>
      <c r="Q1562">
        <v>106.25</v>
      </c>
      <c r="R1562">
        <v>85</v>
      </c>
      <c r="S1562">
        <v>127.5</v>
      </c>
      <c r="T1562" t="s">
        <v>8436</v>
      </c>
    </row>
    <row r="1563" spans="1:20">
      <c r="A1563">
        <v>773298</v>
      </c>
      <c r="B1563" t="s">
        <v>8437</v>
      </c>
      <c r="C1563" t="str">
        <f>"9781897231531"</f>
        <v>9781897231531</v>
      </c>
      <c r="D1563" t="str">
        <f>"9781897231760"</f>
        <v>9781897231760</v>
      </c>
      <c r="E1563" t="s">
        <v>8302</v>
      </c>
      <c r="F1563" t="s">
        <v>8302</v>
      </c>
      <c r="G1563" s="1">
        <v>39930</v>
      </c>
      <c r="J1563" t="s">
        <v>8438</v>
      </c>
      <c r="K1563" t="s">
        <v>1458</v>
      </c>
      <c r="L1563" t="s">
        <v>8439</v>
      </c>
      <c r="M1563" t="s">
        <v>1567</v>
      </c>
      <c r="N1563" t="s">
        <v>8440</v>
      </c>
      <c r="O1563" t="s">
        <v>26</v>
      </c>
      <c r="P1563">
        <v>17.95</v>
      </c>
      <c r="R1563">
        <v>17.95</v>
      </c>
      <c r="T1563" t="s">
        <v>8441</v>
      </c>
    </row>
    <row r="1564" spans="1:20">
      <c r="A1564">
        <v>773301</v>
      </c>
      <c r="B1564" t="s">
        <v>8442</v>
      </c>
      <c r="C1564" t="str">
        <f>"9781897231500"</f>
        <v>9781897231500</v>
      </c>
      <c r="D1564" t="str">
        <f>"9781897231807"</f>
        <v>9781897231807</v>
      </c>
      <c r="E1564" t="s">
        <v>8302</v>
      </c>
      <c r="F1564" t="s">
        <v>8302</v>
      </c>
      <c r="G1564" s="1">
        <v>39828</v>
      </c>
      <c r="J1564" t="s">
        <v>8443</v>
      </c>
      <c r="K1564" t="s">
        <v>1464</v>
      </c>
      <c r="L1564" t="s">
        <v>8444</v>
      </c>
      <c r="M1564" t="s">
        <v>8445</v>
      </c>
      <c r="N1564" t="s">
        <v>8446</v>
      </c>
      <c r="O1564" t="s">
        <v>26</v>
      </c>
      <c r="P1564">
        <v>19.95</v>
      </c>
      <c r="R1564">
        <v>19.95</v>
      </c>
      <c r="T1564" t="s">
        <v>8447</v>
      </c>
    </row>
    <row r="1565" spans="1:20">
      <c r="A1565">
        <v>773302</v>
      </c>
      <c r="B1565" t="s">
        <v>8448</v>
      </c>
      <c r="C1565" t="str">
        <f>"9781897231180"</f>
        <v>9781897231180</v>
      </c>
      <c r="D1565" t="str">
        <f>"9781897231821"</f>
        <v>9781897231821</v>
      </c>
      <c r="E1565" t="s">
        <v>8302</v>
      </c>
      <c r="F1565" t="s">
        <v>8302</v>
      </c>
      <c r="G1565" s="1">
        <v>38975</v>
      </c>
      <c r="J1565" t="s">
        <v>8449</v>
      </c>
      <c r="K1565" t="s">
        <v>1458</v>
      </c>
      <c r="L1565" t="s">
        <v>8450</v>
      </c>
      <c r="M1565" t="s">
        <v>1567</v>
      </c>
      <c r="N1565" t="s">
        <v>8315</v>
      </c>
      <c r="O1565" t="s">
        <v>26</v>
      </c>
      <c r="P1565">
        <v>19.95</v>
      </c>
      <c r="R1565">
        <v>19.95</v>
      </c>
      <c r="T1565" t="s">
        <v>8451</v>
      </c>
    </row>
    <row r="1566" spans="1:20">
      <c r="A1566">
        <v>773307</v>
      </c>
      <c r="B1566" t="s">
        <v>8452</v>
      </c>
      <c r="C1566" t="str">
        <f>"9781897231548"</f>
        <v>9781897231548</v>
      </c>
      <c r="D1566" t="str">
        <f>"9781897231784"</f>
        <v>9781897231784</v>
      </c>
      <c r="E1566" t="s">
        <v>8302</v>
      </c>
      <c r="F1566" t="s">
        <v>8302</v>
      </c>
      <c r="G1566" s="1">
        <v>39918</v>
      </c>
      <c r="I1566" t="s">
        <v>8453</v>
      </c>
      <c r="J1566" t="s">
        <v>8454</v>
      </c>
      <c r="K1566" t="s">
        <v>1458</v>
      </c>
      <c r="L1566" t="s">
        <v>8455</v>
      </c>
      <c r="M1566" t="s">
        <v>8456</v>
      </c>
      <c r="N1566" t="s">
        <v>8457</v>
      </c>
      <c r="O1566" t="s">
        <v>26</v>
      </c>
      <c r="P1566">
        <v>17.95</v>
      </c>
      <c r="R1566">
        <v>17.95</v>
      </c>
      <c r="T1566" t="s">
        <v>8458</v>
      </c>
    </row>
    <row r="1567" spans="1:20">
      <c r="A1567">
        <v>773313</v>
      </c>
      <c r="B1567" t="s">
        <v>8459</v>
      </c>
      <c r="C1567" t="str">
        <f>"9781897231487"</f>
        <v>9781897231487</v>
      </c>
      <c r="D1567" t="str">
        <f>"9781897231791"</f>
        <v>9781897231791</v>
      </c>
      <c r="E1567" t="s">
        <v>8302</v>
      </c>
      <c r="F1567" t="s">
        <v>8302</v>
      </c>
      <c r="G1567" s="1">
        <v>39721</v>
      </c>
      <c r="J1567" t="s">
        <v>8460</v>
      </c>
      <c r="K1567" t="s">
        <v>8461</v>
      </c>
      <c r="L1567" t="s">
        <v>8462</v>
      </c>
      <c r="M1567" t="s">
        <v>8463</v>
      </c>
      <c r="N1567" t="s">
        <v>8464</v>
      </c>
      <c r="O1567" t="s">
        <v>26</v>
      </c>
      <c r="P1567">
        <v>17.95</v>
      </c>
      <c r="R1567">
        <v>17.95</v>
      </c>
      <c r="T1567" t="s">
        <v>8465</v>
      </c>
    </row>
    <row r="1568" spans="1:20">
      <c r="A1568">
        <v>773321</v>
      </c>
      <c r="B1568" t="s">
        <v>8466</v>
      </c>
      <c r="C1568" t="str">
        <f>"9781897231470"</f>
        <v>9781897231470</v>
      </c>
      <c r="D1568" t="str">
        <f>"9781897231845"</f>
        <v>9781897231845</v>
      </c>
      <c r="E1568" t="s">
        <v>8302</v>
      </c>
      <c r="F1568" t="s">
        <v>8302</v>
      </c>
      <c r="G1568" s="1">
        <v>39706</v>
      </c>
      <c r="J1568" t="s">
        <v>8467</v>
      </c>
      <c r="K1568" t="s">
        <v>1458</v>
      </c>
      <c r="L1568" t="s">
        <v>8468</v>
      </c>
      <c r="M1568">
        <v>813.54</v>
      </c>
      <c r="N1568" t="s">
        <v>8469</v>
      </c>
      <c r="O1568" t="s">
        <v>26</v>
      </c>
      <c r="P1568">
        <v>16.95</v>
      </c>
      <c r="R1568">
        <v>16.95</v>
      </c>
      <c r="T1568" t="s">
        <v>8470</v>
      </c>
    </row>
    <row r="1569" spans="1:20">
      <c r="A1569">
        <v>773326</v>
      </c>
      <c r="B1569" t="s">
        <v>8471</v>
      </c>
      <c r="C1569" t="str">
        <f>"9781897231418"</f>
        <v>9781897231418</v>
      </c>
      <c r="D1569" t="str">
        <f>"9781897231722"</f>
        <v>9781897231722</v>
      </c>
      <c r="E1569" t="s">
        <v>8302</v>
      </c>
      <c r="F1569" t="s">
        <v>8302</v>
      </c>
      <c r="G1569" s="1">
        <v>39553</v>
      </c>
      <c r="J1569" t="s">
        <v>8472</v>
      </c>
      <c r="K1569" t="s">
        <v>1464</v>
      </c>
      <c r="L1569" t="s">
        <v>8473</v>
      </c>
      <c r="M1569" t="s">
        <v>8445</v>
      </c>
      <c r="N1569" t="s">
        <v>8474</v>
      </c>
      <c r="O1569" t="s">
        <v>26</v>
      </c>
      <c r="P1569">
        <v>16.95</v>
      </c>
      <c r="R1569">
        <v>16.95</v>
      </c>
      <c r="T1569" t="s">
        <v>8475</v>
      </c>
    </row>
    <row r="1570" spans="1:20">
      <c r="A1570">
        <v>773331</v>
      </c>
      <c r="B1570" t="s">
        <v>8476</v>
      </c>
      <c r="C1570" t="str">
        <f>"9781897231579"</f>
        <v>9781897231579</v>
      </c>
      <c r="D1570" t="str">
        <f>"9781897231777"</f>
        <v>9781897231777</v>
      </c>
      <c r="E1570" t="s">
        <v>8302</v>
      </c>
      <c r="F1570" t="s">
        <v>8302</v>
      </c>
      <c r="G1570" s="1">
        <v>39918</v>
      </c>
      <c r="J1570" t="s">
        <v>8477</v>
      </c>
      <c r="K1570" t="s">
        <v>1458</v>
      </c>
      <c r="L1570" t="s">
        <v>8478</v>
      </c>
      <c r="M1570">
        <v>813.54</v>
      </c>
      <c r="N1570" t="s">
        <v>8315</v>
      </c>
      <c r="O1570" t="s">
        <v>26</v>
      </c>
      <c r="P1570">
        <v>15.95</v>
      </c>
      <c r="R1570">
        <v>15.95</v>
      </c>
      <c r="T1570" t="s">
        <v>8479</v>
      </c>
    </row>
    <row r="1571" spans="1:20">
      <c r="A1571">
        <v>773334</v>
      </c>
      <c r="B1571" t="s">
        <v>8480</v>
      </c>
      <c r="C1571" t="str">
        <f>"9781897231104"</f>
        <v>9781897231104</v>
      </c>
      <c r="D1571" t="str">
        <f>"9781897231852"</f>
        <v>9781897231852</v>
      </c>
      <c r="E1571" t="s">
        <v>8302</v>
      </c>
      <c r="F1571" t="s">
        <v>8302</v>
      </c>
      <c r="G1571" s="1">
        <v>38863</v>
      </c>
      <c r="J1571" t="s">
        <v>8481</v>
      </c>
      <c r="K1571" t="s">
        <v>1458</v>
      </c>
      <c r="L1571" t="s">
        <v>8482</v>
      </c>
      <c r="M1571" t="s">
        <v>1460</v>
      </c>
      <c r="N1571" t="s">
        <v>8483</v>
      </c>
      <c r="O1571" t="s">
        <v>26</v>
      </c>
      <c r="P1571">
        <v>16.95</v>
      </c>
      <c r="R1571">
        <v>16.95</v>
      </c>
      <c r="T1571" t="s">
        <v>8484</v>
      </c>
    </row>
    <row r="1572" spans="1:20">
      <c r="A1572">
        <v>773335</v>
      </c>
      <c r="B1572" t="s">
        <v>8485</v>
      </c>
      <c r="C1572" t="str">
        <f>"9781897231425"</f>
        <v>9781897231425</v>
      </c>
      <c r="D1572" t="str">
        <f>"9781897231654"</f>
        <v>9781897231654</v>
      </c>
      <c r="E1572" t="s">
        <v>8302</v>
      </c>
      <c r="F1572" t="s">
        <v>8302</v>
      </c>
      <c r="G1572" s="1">
        <v>39553</v>
      </c>
      <c r="J1572" t="s">
        <v>8486</v>
      </c>
      <c r="K1572" t="s">
        <v>1464</v>
      </c>
      <c r="L1572" t="s">
        <v>8487</v>
      </c>
      <c r="M1572" t="s">
        <v>8488</v>
      </c>
      <c r="N1572" t="s">
        <v>8489</v>
      </c>
      <c r="O1572" t="s">
        <v>26</v>
      </c>
      <c r="P1572">
        <v>17.95</v>
      </c>
      <c r="R1572">
        <v>17.95</v>
      </c>
      <c r="T1572" t="s">
        <v>8490</v>
      </c>
    </row>
    <row r="1573" spans="1:20">
      <c r="A1573">
        <v>773338</v>
      </c>
      <c r="B1573" t="s">
        <v>8491</v>
      </c>
      <c r="C1573" t="str">
        <f>"9781897231302"</f>
        <v>9781897231302</v>
      </c>
      <c r="D1573" t="str">
        <f>"9781897231685"</f>
        <v>9781897231685</v>
      </c>
      <c r="E1573" t="s">
        <v>8302</v>
      </c>
      <c r="F1573" t="s">
        <v>8302</v>
      </c>
      <c r="G1573" s="1">
        <v>39340</v>
      </c>
      <c r="J1573" t="s">
        <v>8492</v>
      </c>
      <c r="K1573" t="s">
        <v>1150</v>
      </c>
      <c r="L1573" t="s">
        <v>8493</v>
      </c>
      <c r="M1573">
        <v>796.96199999999999</v>
      </c>
      <c r="N1573" t="s">
        <v>8494</v>
      </c>
      <c r="O1573" t="s">
        <v>26</v>
      </c>
      <c r="P1573">
        <v>16.95</v>
      </c>
      <c r="R1573">
        <v>16.95</v>
      </c>
      <c r="T1573" t="s">
        <v>8495</v>
      </c>
    </row>
    <row r="1574" spans="1:20">
      <c r="A1574">
        <v>773339</v>
      </c>
      <c r="B1574" t="s">
        <v>8496</v>
      </c>
      <c r="C1574" t="str">
        <f>"9781897231388"</f>
        <v>9781897231388</v>
      </c>
      <c r="D1574" t="str">
        <f>"9781897231708"</f>
        <v>9781897231708</v>
      </c>
      <c r="E1574" t="s">
        <v>8302</v>
      </c>
      <c r="F1574" t="s">
        <v>8302</v>
      </c>
      <c r="G1574" s="1">
        <v>39553</v>
      </c>
      <c r="J1574" t="s">
        <v>8492</v>
      </c>
      <c r="K1574" t="s">
        <v>1458</v>
      </c>
      <c r="L1574" t="s">
        <v>8497</v>
      </c>
      <c r="M1574" t="s">
        <v>1460</v>
      </c>
      <c r="N1574" t="s">
        <v>8498</v>
      </c>
      <c r="O1574" t="s">
        <v>26</v>
      </c>
      <c r="P1574">
        <v>14.95</v>
      </c>
      <c r="R1574">
        <v>14.95</v>
      </c>
      <c r="T1574" t="s">
        <v>8499</v>
      </c>
    </row>
    <row r="1575" spans="1:20">
      <c r="A1575">
        <v>773343</v>
      </c>
      <c r="B1575" t="s">
        <v>8500</v>
      </c>
      <c r="C1575" t="str">
        <f>"9781551524276"</f>
        <v>9781551524276</v>
      </c>
      <c r="D1575" t="str">
        <f>"9781551524320"</f>
        <v>9781551524320</v>
      </c>
      <c r="E1575" t="s">
        <v>2416</v>
      </c>
      <c r="F1575" t="s">
        <v>2416</v>
      </c>
      <c r="G1575" s="1">
        <v>41016</v>
      </c>
      <c r="J1575" t="s">
        <v>8501</v>
      </c>
      <c r="K1575" t="s">
        <v>1458</v>
      </c>
      <c r="L1575" t="s">
        <v>8502</v>
      </c>
      <c r="M1575">
        <v>813.54</v>
      </c>
      <c r="N1575" t="s">
        <v>8503</v>
      </c>
      <c r="O1575" t="s">
        <v>26</v>
      </c>
      <c r="P1575">
        <v>19.95</v>
      </c>
      <c r="R1575">
        <v>19.95</v>
      </c>
      <c r="T1575" t="s">
        <v>8504</v>
      </c>
    </row>
    <row r="1576" spans="1:20">
      <c r="A1576">
        <v>773345</v>
      </c>
      <c r="B1576" t="s">
        <v>8505</v>
      </c>
      <c r="C1576" t="str">
        <f>"9781897231333"</f>
        <v>9781897231333</v>
      </c>
      <c r="D1576" t="str">
        <f>"9781897231715"</f>
        <v>9781897231715</v>
      </c>
      <c r="E1576" t="s">
        <v>8302</v>
      </c>
      <c r="F1576" t="s">
        <v>8302</v>
      </c>
      <c r="G1576" s="1">
        <v>39340</v>
      </c>
      <c r="J1576" t="s">
        <v>8506</v>
      </c>
      <c r="K1576" t="s">
        <v>1458</v>
      </c>
      <c r="L1576" t="s">
        <v>8507</v>
      </c>
      <c r="N1576" t="s">
        <v>8508</v>
      </c>
      <c r="O1576" t="s">
        <v>26</v>
      </c>
      <c r="P1576">
        <v>14.95</v>
      </c>
      <c r="R1576">
        <v>14.95</v>
      </c>
      <c r="T1576" t="s">
        <v>8509</v>
      </c>
    </row>
    <row r="1577" spans="1:20">
      <c r="A1577">
        <v>773353</v>
      </c>
      <c r="B1577" t="s">
        <v>8510</v>
      </c>
      <c r="C1577" t="str">
        <f>"9781897231296"</f>
        <v>9781897231296</v>
      </c>
      <c r="D1577" t="str">
        <f>"9781926845074"</f>
        <v>9781926845074</v>
      </c>
      <c r="E1577" t="s">
        <v>8302</v>
      </c>
      <c r="F1577" t="s">
        <v>8302</v>
      </c>
      <c r="G1577" s="1">
        <v>39187</v>
      </c>
      <c r="J1577" t="s">
        <v>8511</v>
      </c>
      <c r="K1577" t="s">
        <v>1464</v>
      </c>
      <c r="L1577" t="s">
        <v>8512</v>
      </c>
      <c r="M1577" t="s">
        <v>8513</v>
      </c>
      <c r="N1577" t="s">
        <v>8514</v>
      </c>
      <c r="O1577" t="s">
        <v>26</v>
      </c>
      <c r="P1577">
        <v>17.95</v>
      </c>
      <c r="R1577">
        <v>17.95</v>
      </c>
      <c r="T1577" t="s">
        <v>8515</v>
      </c>
    </row>
    <row r="1578" spans="1:20">
      <c r="A1578">
        <v>773354</v>
      </c>
      <c r="B1578" t="s">
        <v>8516</v>
      </c>
      <c r="C1578" t="str">
        <f>"9780973597172"</f>
        <v>9780973597172</v>
      </c>
      <c r="D1578" t="str">
        <f>"9781897231838"</f>
        <v>9781897231838</v>
      </c>
      <c r="E1578" t="s">
        <v>8302</v>
      </c>
      <c r="F1578" t="s">
        <v>8302</v>
      </c>
      <c r="G1578" s="1">
        <v>38640</v>
      </c>
      <c r="J1578" t="s">
        <v>8517</v>
      </c>
      <c r="K1578" t="s">
        <v>8518</v>
      </c>
      <c r="L1578" t="s">
        <v>8519</v>
      </c>
      <c r="M1578" t="s">
        <v>1460</v>
      </c>
      <c r="N1578" t="s">
        <v>8520</v>
      </c>
      <c r="O1578" t="s">
        <v>26</v>
      </c>
      <c r="P1578">
        <v>15.99</v>
      </c>
      <c r="R1578">
        <v>15.99</v>
      </c>
      <c r="T1578" t="s">
        <v>8521</v>
      </c>
    </row>
    <row r="1579" spans="1:20">
      <c r="A1579">
        <v>773355</v>
      </c>
      <c r="B1579" t="s">
        <v>8522</v>
      </c>
      <c r="C1579" t="str">
        <f>"9781897231289"</f>
        <v>9781897231289</v>
      </c>
      <c r="D1579" t="str">
        <f>"9781897231753"</f>
        <v>9781897231753</v>
      </c>
      <c r="E1579" t="s">
        <v>8302</v>
      </c>
      <c r="F1579" t="s">
        <v>8302</v>
      </c>
      <c r="G1579" s="1">
        <v>39340</v>
      </c>
      <c r="J1579" t="s">
        <v>8523</v>
      </c>
      <c r="K1579" t="s">
        <v>1458</v>
      </c>
      <c r="L1579" t="s">
        <v>8524</v>
      </c>
      <c r="M1579" t="s">
        <v>1460</v>
      </c>
      <c r="N1579" t="s">
        <v>8525</v>
      </c>
      <c r="O1579" t="s">
        <v>26</v>
      </c>
      <c r="P1579">
        <v>17.95</v>
      </c>
      <c r="R1579">
        <v>17.95</v>
      </c>
      <c r="T1579" t="s">
        <v>8526</v>
      </c>
    </row>
    <row r="1580" spans="1:20">
      <c r="A1580">
        <v>773361</v>
      </c>
      <c r="B1580" t="s">
        <v>8527</v>
      </c>
      <c r="C1580" t="str">
        <f>"9781897231357"</f>
        <v>9781897231357</v>
      </c>
      <c r="D1580" t="str">
        <f>"9781897231661"</f>
        <v>9781897231661</v>
      </c>
      <c r="E1580" t="s">
        <v>8302</v>
      </c>
      <c r="F1580" t="s">
        <v>8302</v>
      </c>
      <c r="G1580" s="1">
        <v>39340</v>
      </c>
      <c r="J1580" t="s">
        <v>8528</v>
      </c>
      <c r="K1580" t="s">
        <v>1458</v>
      </c>
      <c r="L1580" t="s">
        <v>8529</v>
      </c>
      <c r="M1580" t="s">
        <v>1460</v>
      </c>
      <c r="N1580" t="s">
        <v>8315</v>
      </c>
      <c r="O1580" t="s">
        <v>26</v>
      </c>
      <c r="P1580">
        <v>16.95</v>
      </c>
      <c r="R1580">
        <v>16.95</v>
      </c>
      <c r="T1580" t="s">
        <v>8530</v>
      </c>
    </row>
    <row r="1581" spans="1:20">
      <c r="A1581">
        <v>775990</v>
      </c>
      <c r="B1581" t="s">
        <v>8531</v>
      </c>
      <c r="C1581" t="str">
        <f>"9781897231616"</f>
        <v>9781897231616</v>
      </c>
      <c r="D1581" t="str">
        <f>"9781926845036"</f>
        <v>9781926845036</v>
      </c>
      <c r="E1581" t="s">
        <v>8302</v>
      </c>
      <c r="F1581" t="s">
        <v>8302</v>
      </c>
      <c r="G1581" s="1">
        <v>36814</v>
      </c>
      <c r="I1581" t="s">
        <v>8453</v>
      </c>
      <c r="J1581" t="s">
        <v>8532</v>
      </c>
      <c r="K1581" t="s">
        <v>1458</v>
      </c>
      <c r="L1581" t="s">
        <v>8533</v>
      </c>
      <c r="N1581" t="s">
        <v>8315</v>
      </c>
      <c r="O1581" t="s">
        <v>26</v>
      </c>
      <c r="P1581">
        <v>15.95</v>
      </c>
      <c r="R1581">
        <v>15.95</v>
      </c>
      <c r="T1581" t="s">
        <v>8534</v>
      </c>
    </row>
    <row r="1582" spans="1:20">
      <c r="A1582">
        <v>776013</v>
      </c>
      <c r="B1582" t="s">
        <v>8535</v>
      </c>
      <c r="C1582" t="str">
        <f>"9781897231630"</f>
        <v>9781897231630</v>
      </c>
      <c r="D1582" t="str">
        <f>"9781926845050"</f>
        <v>9781926845050</v>
      </c>
      <c r="E1582" t="s">
        <v>8302</v>
      </c>
      <c r="F1582" t="s">
        <v>8302</v>
      </c>
      <c r="G1582" s="1">
        <v>40101</v>
      </c>
      <c r="J1582" t="s">
        <v>8536</v>
      </c>
      <c r="K1582" t="s">
        <v>1458</v>
      </c>
      <c r="L1582" t="s">
        <v>8537</v>
      </c>
      <c r="M1582" t="s">
        <v>1509</v>
      </c>
      <c r="N1582" t="s">
        <v>8315</v>
      </c>
      <c r="O1582" t="s">
        <v>26</v>
      </c>
      <c r="P1582">
        <v>16.95</v>
      </c>
      <c r="R1582">
        <v>16.95</v>
      </c>
      <c r="T1582" t="s">
        <v>8538</v>
      </c>
    </row>
    <row r="1583" spans="1:20">
      <c r="A1583">
        <v>776028</v>
      </c>
      <c r="B1583" t="s">
        <v>8539</v>
      </c>
      <c r="C1583" t="str">
        <f>"9781897231449"</f>
        <v>9781897231449</v>
      </c>
      <c r="D1583" t="str">
        <f>"9781926845722"</f>
        <v>9781926845722</v>
      </c>
      <c r="E1583" t="s">
        <v>8302</v>
      </c>
      <c r="F1583" t="s">
        <v>8302</v>
      </c>
      <c r="G1583" s="1">
        <v>39568</v>
      </c>
      <c r="J1583" t="s">
        <v>8540</v>
      </c>
      <c r="K1583" t="s">
        <v>1464</v>
      </c>
      <c r="L1583" t="s">
        <v>8541</v>
      </c>
      <c r="M1583" t="s">
        <v>8542</v>
      </c>
      <c r="N1583" t="s">
        <v>4665</v>
      </c>
      <c r="O1583" t="s">
        <v>26</v>
      </c>
      <c r="P1583">
        <v>15.95</v>
      </c>
      <c r="R1583">
        <v>15.95</v>
      </c>
      <c r="T1583" t="s">
        <v>8543</v>
      </c>
    </row>
    <row r="1584" spans="1:20">
      <c r="A1584">
        <v>776034</v>
      </c>
      <c r="B1584" t="s">
        <v>8544</v>
      </c>
      <c r="C1584" t="str">
        <f>"9781897231913"</f>
        <v>9781897231913</v>
      </c>
      <c r="D1584" t="str">
        <f>"9781926845135"</f>
        <v>9781926845135</v>
      </c>
      <c r="E1584" t="s">
        <v>8302</v>
      </c>
      <c r="F1584" t="s">
        <v>8302</v>
      </c>
      <c r="G1584" s="1">
        <v>40313</v>
      </c>
      <c r="J1584" t="s">
        <v>8545</v>
      </c>
      <c r="K1584" t="s">
        <v>1458</v>
      </c>
      <c r="L1584" t="s">
        <v>8546</v>
      </c>
      <c r="M1584" t="s">
        <v>1567</v>
      </c>
      <c r="N1584" t="s">
        <v>8315</v>
      </c>
      <c r="O1584" t="s">
        <v>26</v>
      </c>
      <c r="P1584">
        <v>16.95</v>
      </c>
      <c r="R1584">
        <v>16.95</v>
      </c>
      <c r="T1584" t="s">
        <v>8547</v>
      </c>
    </row>
    <row r="1585" spans="1:20">
      <c r="A1585">
        <v>782086</v>
      </c>
      <c r="B1585" t="s">
        <v>8548</v>
      </c>
      <c r="C1585" t="str">
        <f>"9780865717039"</f>
        <v>9780865717039</v>
      </c>
      <c r="D1585" t="str">
        <f>"9781550924916"</f>
        <v>9781550924916</v>
      </c>
      <c r="E1585" t="s">
        <v>249</v>
      </c>
      <c r="F1585" t="s">
        <v>249</v>
      </c>
      <c r="G1585" s="1">
        <v>40827</v>
      </c>
      <c r="J1585" t="s">
        <v>8549</v>
      </c>
      <c r="K1585" t="s">
        <v>2387</v>
      </c>
      <c r="L1585" t="s">
        <v>8550</v>
      </c>
      <c r="M1585">
        <v>641.56299999999999</v>
      </c>
      <c r="N1585" t="s">
        <v>8551</v>
      </c>
      <c r="O1585" t="s">
        <v>26</v>
      </c>
      <c r="P1585">
        <v>19.95</v>
      </c>
      <c r="R1585">
        <v>19.95</v>
      </c>
      <c r="T1585" t="s">
        <v>8552</v>
      </c>
    </row>
    <row r="1586" spans="1:20">
      <c r="A1586">
        <v>782094</v>
      </c>
      <c r="B1586" t="s">
        <v>8553</v>
      </c>
      <c r="C1586" t="str">
        <f>"9781551524283"</f>
        <v>9781551524283</v>
      </c>
      <c r="D1586" t="str">
        <f>"9781551524337"</f>
        <v>9781551524337</v>
      </c>
      <c r="E1586" t="s">
        <v>2416</v>
      </c>
      <c r="F1586" t="s">
        <v>2416</v>
      </c>
      <c r="G1586" s="1">
        <v>41016</v>
      </c>
      <c r="J1586" t="s">
        <v>8554</v>
      </c>
      <c r="K1586" t="s">
        <v>1458</v>
      </c>
      <c r="L1586" t="s">
        <v>8555</v>
      </c>
      <c r="M1586" t="s">
        <v>1460</v>
      </c>
      <c r="N1586" t="s">
        <v>8556</v>
      </c>
      <c r="O1586" t="s">
        <v>26</v>
      </c>
      <c r="P1586">
        <v>15.95</v>
      </c>
      <c r="R1586">
        <v>15.95</v>
      </c>
      <c r="T1586" t="s">
        <v>8557</v>
      </c>
    </row>
    <row r="1587" spans="1:20">
      <c r="A1587">
        <v>782106</v>
      </c>
      <c r="B1587" t="s">
        <v>8558</v>
      </c>
      <c r="C1587" t="str">
        <f>"9780865717015"</f>
        <v>9780865717015</v>
      </c>
      <c r="D1587" t="str">
        <f>"9781550924893"</f>
        <v>9781550924893</v>
      </c>
      <c r="E1587" t="s">
        <v>249</v>
      </c>
      <c r="F1587" t="s">
        <v>249</v>
      </c>
      <c r="G1587" s="1">
        <v>40827</v>
      </c>
      <c r="J1587" t="s">
        <v>8559</v>
      </c>
      <c r="K1587" t="s">
        <v>76</v>
      </c>
      <c r="L1587" t="s">
        <v>8560</v>
      </c>
      <c r="M1587" t="s">
        <v>8561</v>
      </c>
      <c r="N1587" t="s">
        <v>8562</v>
      </c>
      <c r="O1587" t="s">
        <v>26</v>
      </c>
      <c r="P1587">
        <v>29.95</v>
      </c>
      <c r="R1587">
        <v>29.95</v>
      </c>
      <c r="T1587" t="s">
        <v>8563</v>
      </c>
    </row>
    <row r="1588" spans="1:20">
      <c r="A1588">
        <v>782116</v>
      </c>
      <c r="B1588" t="s">
        <v>8564</v>
      </c>
      <c r="C1588" t="str">
        <f>"9781551522944"</f>
        <v>9781551522944</v>
      </c>
      <c r="D1588" t="str">
        <f>"9781551524368"</f>
        <v>9781551524368</v>
      </c>
      <c r="E1588" t="s">
        <v>2416</v>
      </c>
      <c r="F1588" t="s">
        <v>2416</v>
      </c>
      <c r="G1588" s="1">
        <v>40238</v>
      </c>
      <c r="J1588" t="s">
        <v>8565</v>
      </c>
      <c r="K1588" t="s">
        <v>291</v>
      </c>
      <c r="L1588" t="s">
        <v>8566</v>
      </c>
      <c r="M1588" t="s">
        <v>8567</v>
      </c>
      <c r="N1588" t="s">
        <v>8568</v>
      </c>
      <c r="O1588" t="s">
        <v>26</v>
      </c>
      <c r="P1588">
        <v>21.95</v>
      </c>
      <c r="R1588">
        <v>21.95</v>
      </c>
      <c r="T1588" t="s">
        <v>8569</v>
      </c>
    </row>
    <row r="1589" spans="1:20">
      <c r="A1589">
        <v>782151</v>
      </c>
      <c r="B1589" t="s">
        <v>8570</v>
      </c>
      <c r="C1589" t="str">
        <f>"9780865716964"</f>
        <v>9780865716964</v>
      </c>
      <c r="D1589" t="str">
        <f>"9781550924930"</f>
        <v>9781550924930</v>
      </c>
      <c r="E1589" t="s">
        <v>249</v>
      </c>
      <c r="F1589" t="s">
        <v>249</v>
      </c>
      <c r="G1589" s="1">
        <v>40820</v>
      </c>
      <c r="J1589" t="s">
        <v>8571</v>
      </c>
      <c r="K1589" t="s">
        <v>8572</v>
      </c>
      <c r="L1589" t="s">
        <v>8573</v>
      </c>
      <c r="M1589" t="s">
        <v>8574</v>
      </c>
      <c r="N1589" t="s">
        <v>8575</v>
      </c>
      <c r="O1589" t="s">
        <v>26</v>
      </c>
      <c r="P1589">
        <v>24.95</v>
      </c>
      <c r="R1589">
        <v>24.95</v>
      </c>
      <c r="T1589" t="s">
        <v>8576</v>
      </c>
    </row>
    <row r="1590" spans="1:20">
      <c r="A1590">
        <v>782164</v>
      </c>
      <c r="B1590" t="s">
        <v>8577</v>
      </c>
      <c r="C1590" t="str">
        <f>"9781897231326"</f>
        <v>9781897231326</v>
      </c>
      <c r="D1590" t="str">
        <f>"9781897231746"</f>
        <v>9781897231746</v>
      </c>
      <c r="E1590" t="s">
        <v>8302</v>
      </c>
      <c r="F1590" t="s">
        <v>8302</v>
      </c>
      <c r="G1590" s="1">
        <v>39340</v>
      </c>
      <c r="J1590" t="s">
        <v>8506</v>
      </c>
      <c r="K1590" t="s">
        <v>1464</v>
      </c>
      <c r="L1590" t="s">
        <v>8578</v>
      </c>
      <c r="M1590" t="s">
        <v>8579</v>
      </c>
      <c r="N1590" t="s">
        <v>8580</v>
      </c>
      <c r="O1590" t="s">
        <v>26</v>
      </c>
      <c r="P1590">
        <v>23.99</v>
      </c>
      <c r="R1590">
        <v>23.99</v>
      </c>
      <c r="T1590" t="s">
        <v>8581</v>
      </c>
    </row>
    <row r="1591" spans="1:20">
      <c r="A1591">
        <v>782186</v>
      </c>
      <c r="B1591" t="s">
        <v>8582</v>
      </c>
      <c r="C1591" t="str">
        <f>"9780865716971"</f>
        <v>9780865716971</v>
      </c>
      <c r="D1591" t="str">
        <f>"9781550924848"</f>
        <v>9781550924848</v>
      </c>
      <c r="E1591" t="s">
        <v>249</v>
      </c>
      <c r="F1591" t="s">
        <v>249</v>
      </c>
      <c r="G1591" s="1">
        <v>40862</v>
      </c>
      <c r="J1591" t="s">
        <v>472</v>
      </c>
      <c r="K1591" t="s">
        <v>550</v>
      </c>
      <c r="L1591" t="s">
        <v>8583</v>
      </c>
      <c r="M1591" t="s">
        <v>8584</v>
      </c>
      <c r="N1591" t="s">
        <v>8585</v>
      </c>
      <c r="O1591" t="s">
        <v>26</v>
      </c>
      <c r="P1591">
        <v>24.95</v>
      </c>
      <c r="R1591">
        <v>24.95</v>
      </c>
      <c r="T1591" t="s">
        <v>8586</v>
      </c>
    </row>
    <row r="1592" spans="1:20">
      <c r="A1592">
        <v>784103</v>
      </c>
      <c r="B1592" t="s">
        <v>8587</v>
      </c>
      <c r="C1592" t="str">
        <f>"9780865717046"</f>
        <v>9780865717046</v>
      </c>
      <c r="D1592" t="str">
        <f>"9781550924947"</f>
        <v>9781550924947</v>
      </c>
      <c r="E1592" t="s">
        <v>249</v>
      </c>
      <c r="F1592" t="s">
        <v>249</v>
      </c>
      <c r="G1592" s="1">
        <v>40820</v>
      </c>
      <c r="J1592" t="s">
        <v>8588</v>
      </c>
      <c r="K1592" t="s">
        <v>3095</v>
      </c>
      <c r="L1592" t="s">
        <v>8589</v>
      </c>
      <c r="M1592" t="s">
        <v>8590</v>
      </c>
      <c r="N1592" t="s">
        <v>8591</v>
      </c>
      <c r="O1592" t="s">
        <v>26</v>
      </c>
      <c r="P1592">
        <v>24.95</v>
      </c>
      <c r="R1592">
        <v>24.95</v>
      </c>
      <c r="T1592" t="s">
        <v>8592</v>
      </c>
    </row>
    <row r="1593" spans="1:20">
      <c r="A1593">
        <v>784129</v>
      </c>
      <c r="B1593" t="s">
        <v>8593</v>
      </c>
      <c r="C1593" t="str">
        <f>"9780865716889"</f>
        <v>9780865716889</v>
      </c>
      <c r="D1593" t="str">
        <f>"9781550924954"</f>
        <v>9781550924954</v>
      </c>
      <c r="E1593" t="s">
        <v>249</v>
      </c>
      <c r="F1593" t="s">
        <v>249</v>
      </c>
      <c r="G1593" s="1">
        <v>40813</v>
      </c>
      <c r="H1593">
        <v>3</v>
      </c>
      <c r="J1593" t="s">
        <v>8594</v>
      </c>
      <c r="K1593" t="s">
        <v>1530</v>
      </c>
      <c r="L1593" t="s">
        <v>8595</v>
      </c>
      <c r="M1593" t="s">
        <v>8596</v>
      </c>
      <c r="N1593" t="s">
        <v>8597</v>
      </c>
      <c r="O1593" t="s">
        <v>26</v>
      </c>
      <c r="P1593">
        <v>19.95</v>
      </c>
      <c r="R1593">
        <v>19.95</v>
      </c>
      <c r="T1593" t="s">
        <v>8598</v>
      </c>
    </row>
    <row r="1594" spans="1:20">
      <c r="A1594">
        <v>784131</v>
      </c>
      <c r="B1594" t="s">
        <v>8599</v>
      </c>
      <c r="C1594" t="str">
        <f>"9780865716834"</f>
        <v>9780865716834</v>
      </c>
      <c r="D1594" t="str">
        <f>"9781550924886"</f>
        <v>9781550924886</v>
      </c>
      <c r="E1594" t="s">
        <v>249</v>
      </c>
      <c r="F1594" t="s">
        <v>249</v>
      </c>
      <c r="G1594" s="1">
        <v>40862</v>
      </c>
      <c r="J1594" t="s">
        <v>8600</v>
      </c>
      <c r="K1594" t="s">
        <v>8601</v>
      </c>
      <c r="L1594" t="s">
        <v>8602</v>
      </c>
      <c r="M1594" t="s">
        <v>8603</v>
      </c>
      <c r="N1594" t="s">
        <v>8604</v>
      </c>
      <c r="O1594" t="s">
        <v>26</v>
      </c>
      <c r="P1594">
        <v>22.95</v>
      </c>
      <c r="R1594">
        <v>22.95</v>
      </c>
      <c r="T1594" t="s">
        <v>8605</v>
      </c>
    </row>
    <row r="1595" spans="1:20">
      <c r="A1595">
        <v>787796</v>
      </c>
      <c r="B1595" t="s">
        <v>8606</v>
      </c>
      <c r="C1595" t="str">
        <f>"9780865716919"</f>
        <v>9780865716919</v>
      </c>
      <c r="D1595" t="str">
        <f>"9781550924701"</f>
        <v>9781550924701</v>
      </c>
      <c r="E1595" t="s">
        <v>249</v>
      </c>
      <c r="F1595" t="s">
        <v>249</v>
      </c>
      <c r="G1595" s="1">
        <v>40701</v>
      </c>
      <c r="J1595" t="s">
        <v>8607</v>
      </c>
      <c r="K1595" t="s">
        <v>1471</v>
      </c>
      <c r="L1595" t="s">
        <v>8608</v>
      </c>
      <c r="M1595" t="s">
        <v>8609</v>
      </c>
      <c r="N1595" t="s">
        <v>8610</v>
      </c>
      <c r="O1595" t="s">
        <v>26</v>
      </c>
      <c r="P1595">
        <v>22.95</v>
      </c>
      <c r="R1595">
        <v>22.95</v>
      </c>
      <c r="T1595" t="s">
        <v>8611</v>
      </c>
    </row>
    <row r="1596" spans="1:20">
      <c r="A1596">
        <v>787797</v>
      </c>
      <c r="B1596" t="s">
        <v>8612</v>
      </c>
      <c r="C1596" t="str">
        <f>"9780865717022"</f>
        <v>9780865717022</v>
      </c>
      <c r="D1596" t="str">
        <f>"9781550924909"</f>
        <v>9781550924909</v>
      </c>
      <c r="E1596" t="s">
        <v>249</v>
      </c>
      <c r="F1596" t="s">
        <v>249</v>
      </c>
      <c r="G1596" s="1">
        <v>40841</v>
      </c>
      <c r="J1596" t="s">
        <v>8613</v>
      </c>
      <c r="K1596" t="s">
        <v>8614</v>
      </c>
      <c r="L1596" t="s">
        <v>8615</v>
      </c>
      <c r="M1596">
        <v>635</v>
      </c>
      <c r="N1596" t="s">
        <v>8616</v>
      </c>
      <c r="O1596" t="s">
        <v>26</v>
      </c>
      <c r="P1596">
        <v>22.95</v>
      </c>
      <c r="R1596">
        <v>22.95</v>
      </c>
      <c r="T1596" t="s">
        <v>8617</v>
      </c>
    </row>
    <row r="1597" spans="1:20">
      <c r="A1597">
        <v>787801</v>
      </c>
      <c r="B1597" t="s">
        <v>8618</v>
      </c>
      <c r="C1597" t="str">
        <f>"9781551524252"</f>
        <v>9781551524252</v>
      </c>
      <c r="D1597" t="str">
        <f>"9781551524504"</f>
        <v>9781551524504</v>
      </c>
      <c r="E1597" t="s">
        <v>2416</v>
      </c>
      <c r="F1597" t="s">
        <v>2416</v>
      </c>
      <c r="G1597" s="1">
        <v>41016</v>
      </c>
      <c r="H1597">
        <v>2</v>
      </c>
      <c r="J1597" t="s">
        <v>2969</v>
      </c>
      <c r="K1597" t="s">
        <v>1550</v>
      </c>
      <c r="L1597" t="s">
        <v>8619</v>
      </c>
      <c r="M1597" t="s">
        <v>8620</v>
      </c>
      <c r="N1597" t="s">
        <v>8621</v>
      </c>
      <c r="O1597" t="s">
        <v>26</v>
      </c>
      <c r="P1597">
        <v>23.95</v>
      </c>
      <c r="R1597">
        <v>23.95</v>
      </c>
      <c r="T1597" t="s">
        <v>8622</v>
      </c>
    </row>
    <row r="1598" spans="1:20">
      <c r="A1598">
        <v>793905</v>
      </c>
      <c r="B1598" t="s">
        <v>8623</v>
      </c>
      <c r="C1598" t="str">
        <f>"9780865716186"</f>
        <v>9780865716186</v>
      </c>
      <c r="D1598" t="str">
        <f>"9781550924466"</f>
        <v>9781550924466</v>
      </c>
      <c r="E1598" t="s">
        <v>249</v>
      </c>
      <c r="F1598" t="s">
        <v>249</v>
      </c>
      <c r="G1598" s="1">
        <v>40360</v>
      </c>
      <c r="I1598" t="s">
        <v>2916</v>
      </c>
      <c r="J1598" t="s">
        <v>329</v>
      </c>
      <c r="K1598" t="s">
        <v>8624</v>
      </c>
      <c r="L1598" t="s">
        <v>8625</v>
      </c>
      <c r="M1598">
        <v>621.31244000000004</v>
      </c>
      <c r="N1598" t="s">
        <v>8626</v>
      </c>
      <c r="O1598" t="s">
        <v>26</v>
      </c>
      <c r="P1598">
        <v>12.95</v>
      </c>
      <c r="R1598">
        <v>12.95</v>
      </c>
      <c r="T1598" t="s">
        <v>8627</v>
      </c>
    </row>
    <row r="1599" spans="1:20">
      <c r="A1599">
        <v>801036</v>
      </c>
      <c r="B1599" t="s">
        <v>8628</v>
      </c>
      <c r="C1599" t="str">
        <f>"9781553650225"</f>
        <v>9781553650225</v>
      </c>
      <c r="D1599" t="str">
        <f>"9781926685458"</f>
        <v>9781926685458</v>
      </c>
      <c r="E1599" t="s">
        <v>3030</v>
      </c>
      <c r="F1599" t="s">
        <v>3030</v>
      </c>
      <c r="G1599" s="1">
        <v>39995</v>
      </c>
      <c r="J1599" t="s">
        <v>8629</v>
      </c>
      <c r="K1599" t="s">
        <v>2154</v>
      </c>
      <c r="L1599" t="s">
        <v>8630</v>
      </c>
      <c r="M1599">
        <v>304.2</v>
      </c>
      <c r="N1599" t="s">
        <v>8631</v>
      </c>
      <c r="O1599" t="s">
        <v>26</v>
      </c>
      <c r="P1599">
        <v>18.95</v>
      </c>
      <c r="R1599">
        <v>18.95</v>
      </c>
      <c r="S1599">
        <v>28.43</v>
      </c>
      <c r="T1599" t="s">
        <v>8632</v>
      </c>
    </row>
    <row r="1600" spans="1:20">
      <c r="A1600">
        <v>801038</v>
      </c>
      <c r="B1600" t="s">
        <v>8633</v>
      </c>
      <c r="C1600" t="str">
        <f>"9781897231883"</f>
        <v>9781897231883</v>
      </c>
      <c r="D1600" t="str">
        <f>"9781926845128"</f>
        <v>9781926845128</v>
      </c>
      <c r="E1600" t="s">
        <v>8302</v>
      </c>
      <c r="F1600" t="s">
        <v>8302</v>
      </c>
      <c r="G1600" s="1">
        <v>40282</v>
      </c>
      <c r="J1600" t="s">
        <v>8634</v>
      </c>
      <c r="K1600" t="s">
        <v>1458</v>
      </c>
      <c r="L1600" t="s">
        <v>8635</v>
      </c>
      <c r="M1600" t="s">
        <v>1567</v>
      </c>
      <c r="N1600" t="s">
        <v>8636</v>
      </c>
      <c r="O1600" t="s">
        <v>26</v>
      </c>
      <c r="P1600">
        <v>16.95</v>
      </c>
      <c r="R1600">
        <v>16.95</v>
      </c>
      <c r="T1600" t="s">
        <v>8637</v>
      </c>
    </row>
    <row r="1601" spans="1:20">
      <c r="A1601">
        <v>805153</v>
      </c>
      <c r="B1601" t="s">
        <v>8638</v>
      </c>
      <c r="C1601" t="str">
        <f>"9782760307711"</f>
        <v>9782760307711</v>
      </c>
      <c r="D1601" t="str">
        <f>"9782760319844"</f>
        <v>9782760319844</v>
      </c>
      <c r="E1601" t="s">
        <v>3361</v>
      </c>
      <c r="F1601" t="s">
        <v>3361</v>
      </c>
      <c r="G1601" s="1">
        <v>40887</v>
      </c>
      <c r="I1601" t="s">
        <v>8639</v>
      </c>
      <c r="J1601" t="s">
        <v>8640</v>
      </c>
      <c r="K1601" t="s">
        <v>1471</v>
      </c>
      <c r="L1601" t="s">
        <v>8641</v>
      </c>
      <c r="M1601">
        <v>700.971</v>
      </c>
      <c r="N1601" t="s">
        <v>8642</v>
      </c>
      <c r="O1601" t="s">
        <v>94</v>
      </c>
      <c r="P1601">
        <v>119.8</v>
      </c>
      <c r="Q1601">
        <v>74.88</v>
      </c>
      <c r="R1601">
        <v>59.9</v>
      </c>
      <c r="S1601">
        <v>89.85</v>
      </c>
      <c r="T1601" t="s">
        <v>8643</v>
      </c>
    </row>
    <row r="1602" spans="1:20">
      <c r="A1602">
        <v>821620</v>
      </c>
      <c r="B1602" t="s">
        <v>8644</v>
      </c>
      <c r="C1602" t="str">
        <f>"9781554698660"</f>
        <v>9781554698660</v>
      </c>
      <c r="D1602" t="str">
        <f>"9781554698677"</f>
        <v>9781554698677</v>
      </c>
      <c r="E1602" t="s">
        <v>4668</v>
      </c>
      <c r="F1602" t="s">
        <v>4668</v>
      </c>
      <c r="G1602" s="1">
        <v>40817</v>
      </c>
      <c r="J1602" t="s">
        <v>5814</v>
      </c>
      <c r="K1602" t="s">
        <v>3572</v>
      </c>
      <c r="L1602" t="s">
        <v>8645</v>
      </c>
      <c r="M1602" t="s">
        <v>1509</v>
      </c>
      <c r="N1602" t="s">
        <v>8646</v>
      </c>
      <c r="O1602" t="s">
        <v>26</v>
      </c>
      <c r="P1602">
        <v>12.99</v>
      </c>
      <c r="Q1602">
        <v>16.239999999999998</v>
      </c>
      <c r="R1602">
        <v>12.99</v>
      </c>
      <c r="T1602" t="s">
        <v>8647</v>
      </c>
    </row>
    <row r="1603" spans="1:20">
      <c r="A1603">
        <v>821621</v>
      </c>
      <c r="B1603" t="s">
        <v>8648</v>
      </c>
      <c r="C1603" t="str">
        <f>"9781554698301"</f>
        <v>9781554698301</v>
      </c>
      <c r="D1603" t="str">
        <f>"9781554698318"</f>
        <v>9781554698318</v>
      </c>
      <c r="E1603" t="s">
        <v>4668</v>
      </c>
      <c r="F1603" t="s">
        <v>4668</v>
      </c>
      <c r="G1603" s="1">
        <v>40817</v>
      </c>
      <c r="I1603" t="s">
        <v>4703</v>
      </c>
      <c r="J1603" t="s">
        <v>4704</v>
      </c>
      <c r="K1603" t="s">
        <v>3572</v>
      </c>
      <c r="L1603" t="s">
        <v>8649</v>
      </c>
      <c r="M1603" t="s">
        <v>1509</v>
      </c>
      <c r="N1603" t="s">
        <v>8650</v>
      </c>
      <c r="O1603" t="s">
        <v>26</v>
      </c>
      <c r="P1603">
        <v>6.99</v>
      </c>
      <c r="Q1603">
        <v>8.74</v>
      </c>
      <c r="R1603">
        <v>6.99</v>
      </c>
      <c r="T1603" t="s">
        <v>8651</v>
      </c>
    </row>
    <row r="1604" spans="1:20">
      <c r="A1604">
        <v>821622</v>
      </c>
      <c r="B1604" t="s">
        <v>8652</v>
      </c>
      <c r="C1604" t="str">
        <f>"9781554699032"</f>
        <v>9781554699032</v>
      </c>
      <c r="D1604" t="str">
        <f>"9781554699056"</f>
        <v>9781554699056</v>
      </c>
      <c r="E1604" t="s">
        <v>4668</v>
      </c>
      <c r="F1604" t="s">
        <v>4668</v>
      </c>
      <c r="G1604" s="1">
        <v>40817</v>
      </c>
      <c r="I1604" t="s">
        <v>4685</v>
      </c>
      <c r="J1604" t="s">
        <v>8653</v>
      </c>
      <c r="K1604" t="s">
        <v>3572</v>
      </c>
      <c r="L1604" t="s">
        <v>8654</v>
      </c>
      <c r="M1604" t="s">
        <v>4671</v>
      </c>
      <c r="N1604" t="s">
        <v>8655</v>
      </c>
      <c r="O1604" t="s">
        <v>26</v>
      </c>
      <c r="P1604">
        <v>9.99</v>
      </c>
      <c r="Q1604">
        <v>12.49</v>
      </c>
      <c r="R1604">
        <v>9.99</v>
      </c>
      <c r="T1604" t="s">
        <v>8656</v>
      </c>
    </row>
    <row r="1605" spans="1:20">
      <c r="A1605">
        <v>821623</v>
      </c>
      <c r="B1605" t="s">
        <v>8657</v>
      </c>
      <c r="C1605" t="str">
        <f>"9781554698936"</f>
        <v>9781554698936</v>
      </c>
      <c r="D1605" t="str">
        <f>"9781554698950"</f>
        <v>9781554698950</v>
      </c>
      <c r="E1605" t="s">
        <v>4668</v>
      </c>
      <c r="F1605" t="s">
        <v>4668</v>
      </c>
      <c r="G1605" s="1">
        <v>40817</v>
      </c>
      <c r="I1605" t="s">
        <v>5056</v>
      </c>
      <c r="J1605" t="s">
        <v>5907</v>
      </c>
      <c r="K1605" t="s">
        <v>3572</v>
      </c>
      <c r="L1605" t="s">
        <v>8658</v>
      </c>
      <c r="M1605" t="s">
        <v>1509</v>
      </c>
      <c r="N1605" t="s">
        <v>8659</v>
      </c>
      <c r="O1605" t="s">
        <v>26</v>
      </c>
      <c r="P1605">
        <v>9.99</v>
      </c>
      <c r="Q1605">
        <v>12.49</v>
      </c>
      <c r="R1605">
        <v>9.99</v>
      </c>
      <c r="T1605" t="s">
        <v>8660</v>
      </c>
    </row>
    <row r="1606" spans="1:20">
      <c r="A1606">
        <v>821624</v>
      </c>
      <c r="B1606" t="s">
        <v>8661</v>
      </c>
      <c r="C1606" t="str">
        <f>"9781554699858"</f>
        <v>9781554699858</v>
      </c>
      <c r="D1606" t="str">
        <f>"9781554699872"</f>
        <v>9781554699872</v>
      </c>
      <c r="E1606" t="s">
        <v>4668</v>
      </c>
      <c r="F1606" t="s">
        <v>4668</v>
      </c>
      <c r="G1606" s="1">
        <v>40817</v>
      </c>
      <c r="I1606" t="s">
        <v>5056</v>
      </c>
      <c r="J1606" t="s">
        <v>8662</v>
      </c>
      <c r="K1606" t="s">
        <v>3572</v>
      </c>
      <c r="L1606" t="s">
        <v>8663</v>
      </c>
      <c r="M1606" t="s">
        <v>1509</v>
      </c>
      <c r="N1606" t="s">
        <v>8664</v>
      </c>
      <c r="O1606" t="s">
        <v>26</v>
      </c>
      <c r="P1606">
        <v>9.99</v>
      </c>
      <c r="Q1606">
        <v>12.49</v>
      </c>
      <c r="R1606">
        <v>9.99</v>
      </c>
      <c r="T1606" t="s">
        <v>8665</v>
      </c>
    </row>
    <row r="1607" spans="1:20">
      <c r="A1607">
        <v>821625</v>
      </c>
      <c r="B1607" t="s">
        <v>8666</v>
      </c>
      <c r="C1607" t="str">
        <f>"9781554699247"</f>
        <v>9781554699247</v>
      </c>
      <c r="D1607" t="str">
        <f>"9781554699254"</f>
        <v>9781554699254</v>
      </c>
      <c r="E1607" t="s">
        <v>4668</v>
      </c>
      <c r="F1607" t="s">
        <v>4668</v>
      </c>
      <c r="G1607" s="1">
        <v>40817</v>
      </c>
      <c r="I1607" t="s">
        <v>5010</v>
      </c>
      <c r="J1607" t="s">
        <v>8667</v>
      </c>
      <c r="K1607" t="s">
        <v>3572</v>
      </c>
      <c r="L1607" t="s">
        <v>8668</v>
      </c>
      <c r="M1607" t="s">
        <v>5047</v>
      </c>
      <c r="N1607" t="s">
        <v>8669</v>
      </c>
      <c r="O1607" t="s">
        <v>26</v>
      </c>
      <c r="P1607">
        <v>7.99</v>
      </c>
      <c r="Q1607">
        <v>9.99</v>
      </c>
      <c r="R1607">
        <v>7.99</v>
      </c>
      <c r="T1607" t="s">
        <v>8670</v>
      </c>
    </row>
    <row r="1608" spans="1:20">
      <c r="A1608">
        <v>821626</v>
      </c>
      <c r="B1608" t="s">
        <v>8671</v>
      </c>
      <c r="C1608" t="str">
        <f>"9781554693580"</f>
        <v>9781554693580</v>
      </c>
      <c r="D1608" t="str">
        <f>"9781554693597"</f>
        <v>9781554693597</v>
      </c>
      <c r="E1608" t="s">
        <v>4668</v>
      </c>
      <c r="F1608" t="s">
        <v>4668</v>
      </c>
      <c r="G1608" s="1">
        <v>40787</v>
      </c>
      <c r="J1608" t="s">
        <v>8672</v>
      </c>
      <c r="K1608" t="s">
        <v>3975</v>
      </c>
      <c r="L1608" t="s">
        <v>8673</v>
      </c>
      <c r="M1608">
        <v>428.4</v>
      </c>
      <c r="N1608" t="s">
        <v>8674</v>
      </c>
      <c r="O1608" t="s">
        <v>26</v>
      </c>
      <c r="P1608">
        <v>19.989999999999998</v>
      </c>
      <c r="Q1608">
        <v>24.99</v>
      </c>
      <c r="R1608">
        <v>19.989999999999998</v>
      </c>
      <c r="T1608" t="s">
        <v>8675</v>
      </c>
    </row>
    <row r="1609" spans="1:20">
      <c r="A1609">
        <v>821627</v>
      </c>
      <c r="B1609" t="s">
        <v>8676</v>
      </c>
      <c r="C1609" t="str">
        <f>"9781554698271"</f>
        <v>9781554698271</v>
      </c>
      <c r="D1609" t="str">
        <f>"9781554698288"</f>
        <v>9781554698288</v>
      </c>
      <c r="E1609" t="s">
        <v>4668</v>
      </c>
      <c r="F1609" t="s">
        <v>4668</v>
      </c>
      <c r="G1609" s="1">
        <v>40787</v>
      </c>
      <c r="J1609" t="s">
        <v>8677</v>
      </c>
      <c r="K1609" t="s">
        <v>3572</v>
      </c>
      <c r="L1609" t="s">
        <v>8678</v>
      </c>
      <c r="M1609" t="s">
        <v>1509</v>
      </c>
      <c r="N1609" t="s">
        <v>8679</v>
      </c>
      <c r="O1609" t="s">
        <v>26</v>
      </c>
      <c r="P1609">
        <v>12.99</v>
      </c>
      <c r="Q1609">
        <v>16.239999999999998</v>
      </c>
      <c r="R1609">
        <v>12.99</v>
      </c>
      <c r="T1609" t="s">
        <v>8680</v>
      </c>
    </row>
    <row r="1610" spans="1:20">
      <c r="A1610">
        <v>821628</v>
      </c>
      <c r="B1610" t="s">
        <v>8681</v>
      </c>
      <c r="C1610" t="str">
        <f>"9781554699070"</f>
        <v>9781554699070</v>
      </c>
      <c r="D1610" t="str">
        <f>"9781554699087"</f>
        <v>9781554699087</v>
      </c>
      <c r="E1610" t="s">
        <v>4668</v>
      </c>
      <c r="F1610" t="s">
        <v>8157</v>
      </c>
      <c r="G1610" s="1">
        <v>40787</v>
      </c>
      <c r="I1610" t="s">
        <v>8158</v>
      </c>
      <c r="J1610" t="s">
        <v>5385</v>
      </c>
      <c r="K1610" t="s">
        <v>1458</v>
      </c>
      <c r="L1610" t="s">
        <v>8682</v>
      </c>
      <c r="M1610" t="s">
        <v>1460</v>
      </c>
      <c r="N1610" t="s">
        <v>5451</v>
      </c>
      <c r="O1610" t="s">
        <v>26</v>
      </c>
      <c r="P1610">
        <v>9.99</v>
      </c>
      <c r="Q1610">
        <v>12.49</v>
      </c>
      <c r="R1610">
        <v>9.99</v>
      </c>
      <c r="T1610" t="s">
        <v>8683</v>
      </c>
    </row>
    <row r="1611" spans="1:20">
      <c r="A1611">
        <v>821629</v>
      </c>
      <c r="B1611" t="s">
        <v>8684</v>
      </c>
      <c r="C1611" t="str">
        <f>"9781554698721"</f>
        <v>9781554698721</v>
      </c>
      <c r="D1611" t="str">
        <f>"9781554698738"</f>
        <v>9781554698738</v>
      </c>
      <c r="E1611" t="s">
        <v>4668</v>
      </c>
      <c r="F1611" t="s">
        <v>4668</v>
      </c>
      <c r="G1611" s="1">
        <v>40817</v>
      </c>
      <c r="J1611" t="s">
        <v>8685</v>
      </c>
      <c r="K1611" t="s">
        <v>3572</v>
      </c>
      <c r="L1611" t="s">
        <v>8686</v>
      </c>
      <c r="M1611" t="s">
        <v>1509</v>
      </c>
      <c r="N1611" t="s">
        <v>8687</v>
      </c>
      <c r="O1611" t="s">
        <v>26</v>
      </c>
      <c r="P1611">
        <v>9.99</v>
      </c>
      <c r="Q1611">
        <v>12.49</v>
      </c>
      <c r="R1611">
        <v>9.99</v>
      </c>
      <c r="T1611" t="s">
        <v>8688</v>
      </c>
    </row>
    <row r="1612" spans="1:20">
      <c r="A1612">
        <v>821630</v>
      </c>
      <c r="B1612" t="s">
        <v>8689</v>
      </c>
      <c r="C1612" t="str">
        <f>"9781554698851"</f>
        <v>9781554698851</v>
      </c>
      <c r="D1612" t="str">
        <f>"9781554698868"</f>
        <v>9781554698868</v>
      </c>
      <c r="E1612" t="s">
        <v>4668</v>
      </c>
      <c r="F1612" t="s">
        <v>8157</v>
      </c>
      <c r="G1612" s="1">
        <v>40817</v>
      </c>
      <c r="I1612" t="s">
        <v>8158</v>
      </c>
      <c r="J1612" t="s">
        <v>8690</v>
      </c>
      <c r="K1612" t="s">
        <v>1458</v>
      </c>
      <c r="L1612" t="s">
        <v>8691</v>
      </c>
      <c r="M1612" t="s">
        <v>1460</v>
      </c>
      <c r="N1612" t="s">
        <v>8692</v>
      </c>
      <c r="O1612" t="s">
        <v>26</v>
      </c>
      <c r="P1612">
        <v>9.99</v>
      </c>
      <c r="Q1612">
        <v>12.49</v>
      </c>
      <c r="R1612">
        <v>9.99</v>
      </c>
      <c r="T1612" t="s">
        <v>8693</v>
      </c>
    </row>
    <row r="1613" spans="1:20">
      <c r="A1613">
        <v>821631</v>
      </c>
      <c r="B1613" t="s">
        <v>8694</v>
      </c>
      <c r="C1613" t="str">
        <f>"9781554699001"</f>
        <v>9781554699001</v>
      </c>
      <c r="D1613" t="str">
        <f>"9781554699018"</f>
        <v>9781554699018</v>
      </c>
      <c r="E1613" t="s">
        <v>4668</v>
      </c>
      <c r="F1613" t="s">
        <v>8157</v>
      </c>
      <c r="G1613" s="1">
        <v>40817</v>
      </c>
      <c r="I1613" t="s">
        <v>8158</v>
      </c>
      <c r="J1613" t="s">
        <v>3859</v>
      </c>
      <c r="K1613" t="s">
        <v>1458</v>
      </c>
      <c r="L1613" t="s">
        <v>8695</v>
      </c>
      <c r="M1613" t="s">
        <v>1460</v>
      </c>
      <c r="N1613" t="s">
        <v>8696</v>
      </c>
      <c r="O1613" t="s">
        <v>26</v>
      </c>
      <c r="P1613">
        <v>9.99</v>
      </c>
      <c r="Q1613">
        <v>12.49</v>
      </c>
      <c r="R1613">
        <v>9.99</v>
      </c>
      <c r="T1613" t="s">
        <v>8697</v>
      </c>
    </row>
    <row r="1614" spans="1:20">
      <c r="A1614">
        <v>821632</v>
      </c>
      <c r="B1614" t="s">
        <v>8698</v>
      </c>
      <c r="C1614" t="str">
        <f>"9781554692729"</f>
        <v>9781554692729</v>
      </c>
      <c r="D1614" t="str">
        <f>"9781554692736"</f>
        <v>9781554692736</v>
      </c>
      <c r="E1614" t="s">
        <v>4668</v>
      </c>
      <c r="F1614" t="s">
        <v>4668</v>
      </c>
      <c r="G1614" s="1">
        <v>40787</v>
      </c>
      <c r="I1614" t="s">
        <v>5056</v>
      </c>
      <c r="J1614" t="s">
        <v>5853</v>
      </c>
      <c r="K1614" t="s">
        <v>3572</v>
      </c>
      <c r="L1614" t="s">
        <v>8699</v>
      </c>
      <c r="M1614" t="s">
        <v>1460</v>
      </c>
      <c r="N1614" t="s">
        <v>8700</v>
      </c>
      <c r="O1614" t="s">
        <v>26</v>
      </c>
      <c r="P1614">
        <v>9.99</v>
      </c>
      <c r="Q1614">
        <v>12.49</v>
      </c>
      <c r="R1614">
        <v>9.99</v>
      </c>
      <c r="T1614" t="s">
        <v>8701</v>
      </c>
    </row>
    <row r="1615" spans="1:20">
      <c r="A1615">
        <v>821633</v>
      </c>
      <c r="B1615" t="s">
        <v>8702</v>
      </c>
      <c r="C1615" t="str">
        <f>"9781554699537"</f>
        <v>9781554699537</v>
      </c>
      <c r="D1615" t="str">
        <f>"9781554699544"</f>
        <v>9781554699544</v>
      </c>
      <c r="E1615" t="s">
        <v>4668</v>
      </c>
      <c r="F1615" t="s">
        <v>4668</v>
      </c>
      <c r="G1615" s="1">
        <v>40756</v>
      </c>
      <c r="J1615" t="s">
        <v>3636</v>
      </c>
      <c r="K1615" t="s">
        <v>5158</v>
      </c>
      <c r="L1615" t="s">
        <v>8703</v>
      </c>
      <c r="M1615">
        <v>236</v>
      </c>
      <c r="N1615" t="s">
        <v>8704</v>
      </c>
      <c r="O1615" t="s">
        <v>26</v>
      </c>
      <c r="P1615">
        <v>9.99</v>
      </c>
      <c r="Q1615">
        <v>12.49</v>
      </c>
      <c r="R1615">
        <v>9.99</v>
      </c>
      <c r="T1615" t="s">
        <v>8705</v>
      </c>
    </row>
    <row r="1616" spans="1:20">
      <c r="A1616">
        <v>821634</v>
      </c>
      <c r="B1616" t="s">
        <v>8706</v>
      </c>
      <c r="C1616" t="str">
        <f>"9781554693030"</f>
        <v>9781554693030</v>
      </c>
      <c r="D1616" t="str">
        <f>"9781554693047"</f>
        <v>9781554693047</v>
      </c>
      <c r="E1616" t="s">
        <v>4668</v>
      </c>
      <c r="F1616" t="s">
        <v>4668</v>
      </c>
      <c r="G1616" s="1">
        <v>40817</v>
      </c>
      <c r="J1616" t="s">
        <v>8707</v>
      </c>
      <c r="K1616" t="s">
        <v>791</v>
      </c>
      <c r="L1616" t="s">
        <v>8708</v>
      </c>
      <c r="M1616" t="s">
        <v>8709</v>
      </c>
      <c r="N1616" t="s">
        <v>8710</v>
      </c>
      <c r="O1616" t="s">
        <v>26</v>
      </c>
      <c r="P1616">
        <v>19.989999999999998</v>
      </c>
      <c r="Q1616">
        <v>24.99</v>
      </c>
      <c r="R1616">
        <v>19.989999999999998</v>
      </c>
      <c r="T1616" t="s">
        <v>8711</v>
      </c>
    </row>
    <row r="1617" spans="1:20">
      <c r="A1617">
        <v>821635</v>
      </c>
      <c r="B1617" t="s">
        <v>8712</v>
      </c>
      <c r="C1617" t="str">
        <f>"9781554698240"</f>
        <v>9781554698240</v>
      </c>
      <c r="D1617" t="str">
        <f>"9781554698257"</f>
        <v>9781554698257</v>
      </c>
      <c r="E1617" t="s">
        <v>4668</v>
      </c>
      <c r="F1617" t="s">
        <v>4668</v>
      </c>
      <c r="G1617" s="1">
        <v>40817</v>
      </c>
      <c r="J1617" t="s">
        <v>5016</v>
      </c>
      <c r="K1617" t="s">
        <v>3572</v>
      </c>
      <c r="L1617" t="s">
        <v>8713</v>
      </c>
      <c r="M1617" t="s">
        <v>1509</v>
      </c>
      <c r="N1617" t="s">
        <v>8714</v>
      </c>
      <c r="O1617" t="s">
        <v>26</v>
      </c>
      <c r="P1617">
        <v>19.989999999999998</v>
      </c>
      <c r="Q1617">
        <v>24.99</v>
      </c>
      <c r="R1617">
        <v>19.989999999999998</v>
      </c>
      <c r="T1617" t="s">
        <v>8715</v>
      </c>
    </row>
    <row r="1618" spans="1:20">
      <c r="A1618">
        <v>821636</v>
      </c>
      <c r="B1618" t="s">
        <v>8716</v>
      </c>
      <c r="C1618" t="str">
        <f>"9781554694143"</f>
        <v>9781554694143</v>
      </c>
      <c r="D1618" t="str">
        <f>"9781554694150"</f>
        <v>9781554694150</v>
      </c>
      <c r="E1618" t="s">
        <v>4668</v>
      </c>
      <c r="F1618" t="s">
        <v>4668</v>
      </c>
      <c r="G1618" s="1">
        <v>40817</v>
      </c>
      <c r="I1618" t="s">
        <v>5010</v>
      </c>
      <c r="J1618" t="s">
        <v>8717</v>
      </c>
      <c r="K1618" t="s">
        <v>3572</v>
      </c>
      <c r="L1618" t="s">
        <v>8718</v>
      </c>
      <c r="M1618" t="s">
        <v>1509</v>
      </c>
      <c r="N1618" t="s">
        <v>8719</v>
      </c>
      <c r="O1618" t="s">
        <v>26</v>
      </c>
      <c r="P1618">
        <v>7.99</v>
      </c>
      <c r="Q1618">
        <v>9.99</v>
      </c>
      <c r="R1618">
        <v>7.99</v>
      </c>
      <c r="T1618" t="s">
        <v>8720</v>
      </c>
    </row>
    <row r="1619" spans="1:20">
      <c r="A1619">
        <v>821637</v>
      </c>
      <c r="B1619" t="s">
        <v>8721</v>
      </c>
      <c r="C1619" t="str">
        <f>"9781554699179"</f>
        <v>9781554699179</v>
      </c>
      <c r="D1619" t="str">
        <f>"9781554699186"</f>
        <v>9781554699186</v>
      </c>
      <c r="E1619" t="s">
        <v>4668</v>
      </c>
      <c r="F1619" t="s">
        <v>4668</v>
      </c>
      <c r="G1619" s="1">
        <v>40817</v>
      </c>
      <c r="J1619" t="s">
        <v>5604</v>
      </c>
      <c r="K1619" t="s">
        <v>3572</v>
      </c>
      <c r="L1619" t="s">
        <v>8722</v>
      </c>
      <c r="M1619" t="s">
        <v>5427</v>
      </c>
      <c r="N1619" t="s">
        <v>8723</v>
      </c>
      <c r="O1619" t="s">
        <v>26</v>
      </c>
      <c r="P1619">
        <v>9.99</v>
      </c>
      <c r="Q1619">
        <v>12.49</v>
      </c>
      <c r="R1619">
        <v>9.99</v>
      </c>
      <c r="T1619" t="s">
        <v>8724</v>
      </c>
    </row>
    <row r="1620" spans="1:20">
      <c r="A1620">
        <v>821638</v>
      </c>
      <c r="B1620" t="s">
        <v>8725</v>
      </c>
      <c r="C1620" t="str">
        <f>"9781554694068"</f>
        <v>9781554694068</v>
      </c>
      <c r="D1620" t="str">
        <f>"9781554694075"</f>
        <v>9781554694075</v>
      </c>
      <c r="E1620" t="s">
        <v>4668</v>
      </c>
      <c r="F1620" t="s">
        <v>4668</v>
      </c>
      <c r="G1620" s="1">
        <v>40817</v>
      </c>
      <c r="J1620" t="s">
        <v>8726</v>
      </c>
      <c r="K1620" t="s">
        <v>3572</v>
      </c>
      <c r="L1620" t="s">
        <v>8727</v>
      </c>
      <c r="M1620" t="s">
        <v>1460</v>
      </c>
      <c r="N1620" t="s">
        <v>8728</v>
      </c>
      <c r="O1620" t="s">
        <v>26</v>
      </c>
      <c r="P1620">
        <v>19.989999999999998</v>
      </c>
      <c r="Q1620">
        <v>24.99</v>
      </c>
      <c r="R1620">
        <v>19.989999999999998</v>
      </c>
      <c r="T1620" t="s">
        <v>8729</v>
      </c>
    </row>
    <row r="1621" spans="1:20">
      <c r="A1621">
        <v>821639</v>
      </c>
      <c r="B1621" t="s">
        <v>8730</v>
      </c>
      <c r="C1621" t="str">
        <f>"9781554698202"</f>
        <v>9781554698202</v>
      </c>
      <c r="D1621" t="str">
        <f>"9781554698226"</f>
        <v>9781554698226</v>
      </c>
      <c r="E1621" t="s">
        <v>4668</v>
      </c>
      <c r="F1621" t="s">
        <v>4668</v>
      </c>
      <c r="G1621" s="1">
        <v>40787</v>
      </c>
      <c r="I1621" t="s">
        <v>4685</v>
      </c>
      <c r="J1621" t="s">
        <v>5203</v>
      </c>
      <c r="K1621" t="s">
        <v>3572</v>
      </c>
      <c r="L1621" t="s">
        <v>8731</v>
      </c>
      <c r="M1621" t="s">
        <v>4671</v>
      </c>
      <c r="N1621" t="s">
        <v>8732</v>
      </c>
      <c r="O1621" t="s">
        <v>26</v>
      </c>
      <c r="P1621">
        <v>9.99</v>
      </c>
      <c r="Q1621">
        <v>12.49</v>
      </c>
      <c r="R1621">
        <v>9.99</v>
      </c>
      <c r="T1621" t="s">
        <v>8733</v>
      </c>
    </row>
    <row r="1622" spans="1:20">
      <c r="A1622">
        <v>821640</v>
      </c>
      <c r="B1622" t="s">
        <v>8734</v>
      </c>
      <c r="C1622" t="str">
        <f>"9781554699100"</f>
        <v>9781554699100</v>
      </c>
      <c r="D1622" t="str">
        <f>"9781554699124"</f>
        <v>9781554699124</v>
      </c>
      <c r="E1622" t="s">
        <v>4668</v>
      </c>
      <c r="F1622" t="s">
        <v>4668</v>
      </c>
      <c r="G1622" s="1">
        <v>40787</v>
      </c>
      <c r="I1622" t="s">
        <v>4685</v>
      </c>
      <c r="J1622" t="s">
        <v>8735</v>
      </c>
      <c r="K1622" t="s">
        <v>3572</v>
      </c>
      <c r="L1622" t="s">
        <v>8736</v>
      </c>
      <c r="M1622" t="s">
        <v>4671</v>
      </c>
      <c r="N1622" t="s">
        <v>8737</v>
      </c>
      <c r="O1622" t="s">
        <v>26</v>
      </c>
      <c r="P1622">
        <v>9.99</v>
      </c>
      <c r="Q1622">
        <v>12.49</v>
      </c>
      <c r="R1622">
        <v>9.99</v>
      </c>
      <c r="T1622" t="s">
        <v>8738</v>
      </c>
    </row>
    <row r="1623" spans="1:20">
      <c r="A1623">
        <v>821641</v>
      </c>
      <c r="B1623" t="s">
        <v>8739</v>
      </c>
      <c r="C1623" t="str">
        <f>"9781554694044"</f>
        <v>9781554694044</v>
      </c>
      <c r="D1623" t="str">
        <f>"9781554694051"</f>
        <v>9781554694051</v>
      </c>
      <c r="E1623" t="s">
        <v>4668</v>
      </c>
      <c r="F1623" t="s">
        <v>4668</v>
      </c>
      <c r="G1623" s="1">
        <v>40787</v>
      </c>
      <c r="J1623" t="s">
        <v>5512</v>
      </c>
      <c r="K1623" t="s">
        <v>3572</v>
      </c>
      <c r="L1623" t="s">
        <v>8740</v>
      </c>
      <c r="M1623" t="s">
        <v>4671</v>
      </c>
      <c r="N1623" t="s">
        <v>8741</v>
      </c>
      <c r="O1623" t="s">
        <v>26</v>
      </c>
      <c r="P1623">
        <v>9.99</v>
      </c>
      <c r="Q1623">
        <v>12.49</v>
      </c>
      <c r="R1623">
        <v>9.99</v>
      </c>
      <c r="T1623" t="s">
        <v>8742</v>
      </c>
    </row>
    <row r="1624" spans="1:20">
      <c r="A1624">
        <v>821642</v>
      </c>
      <c r="B1624" t="s">
        <v>8743</v>
      </c>
      <c r="C1624" t="str">
        <f>"9781554698455"</f>
        <v>9781554698455</v>
      </c>
      <c r="D1624" t="str">
        <f>"9781554698479"</f>
        <v>9781554698479</v>
      </c>
      <c r="E1624" t="s">
        <v>4668</v>
      </c>
      <c r="F1624" t="s">
        <v>4668</v>
      </c>
      <c r="G1624" s="1">
        <v>40787</v>
      </c>
      <c r="I1624" t="s">
        <v>5056</v>
      </c>
      <c r="J1624" t="s">
        <v>5341</v>
      </c>
      <c r="K1624" t="s">
        <v>3572</v>
      </c>
      <c r="L1624" t="s">
        <v>8744</v>
      </c>
      <c r="M1624" t="s">
        <v>4671</v>
      </c>
      <c r="N1624" t="s">
        <v>8745</v>
      </c>
      <c r="O1624" t="s">
        <v>26</v>
      </c>
      <c r="P1624">
        <v>9.99</v>
      </c>
      <c r="Q1624">
        <v>12.49</v>
      </c>
      <c r="R1624">
        <v>9.99</v>
      </c>
      <c r="T1624" t="s">
        <v>8746</v>
      </c>
    </row>
    <row r="1625" spans="1:20">
      <c r="A1625">
        <v>821643</v>
      </c>
      <c r="B1625" t="s">
        <v>8747</v>
      </c>
      <c r="C1625" t="str">
        <f>"9781554699148"</f>
        <v>9781554699148</v>
      </c>
      <c r="D1625" t="str">
        <f>"9781554699155"</f>
        <v>9781554699155</v>
      </c>
      <c r="E1625" t="s">
        <v>4668</v>
      </c>
      <c r="F1625" t="s">
        <v>4668</v>
      </c>
      <c r="G1625" s="1">
        <v>40787</v>
      </c>
      <c r="I1625" t="s">
        <v>8244</v>
      </c>
      <c r="J1625" t="s">
        <v>8245</v>
      </c>
      <c r="K1625" t="s">
        <v>3572</v>
      </c>
      <c r="L1625" t="s">
        <v>8748</v>
      </c>
      <c r="M1625" t="s">
        <v>4671</v>
      </c>
      <c r="N1625" t="s">
        <v>8749</v>
      </c>
      <c r="O1625" t="s">
        <v>26</v>
      </c>
      <c r="P1625">
        <v>9.99</v>
      </c>
      <c r="Q1625">
        <v>12.49</v>
      </c>
      <c r="R1625">
        <v>9.99</v>
      </c>
      <c r="T1625" t="s">
        <v>8750</v>
      </c>
    </row>
    <row r="1626" spans="1:20">
      <c r="A1626">
        <v>821644</v>
      </c>
      <c r="B1626" t="s">
        <v>8751</v>
      </c>
      <c r="C1626" t="str">
        <f>"9781554694341"</f>
        <v>9781554694341</v>
      </c>
      <c r="D1626" t="str">
        <f>"9781554698899"</f>
        <v>9781554698899</v>
      </c>
      <c r="E1626" t="s">
        <v>4668</v>
      </c>
      <c r="F1626" t="s">
        <v>4668</v>
      </c>
      <c r="G1626" s="1">
        <v>40817</v>
      </c>
      <c r="I1626" t="s">
        <v>4685</v>
      </c>
      <c r="J1626" t="s">
        <v>8279</v>
      </c>
      <c r="K1626" t="s">
        <v>3572</v>
      </c>
      <c r="L1626" t="s">
        <v>8752</v>
      </c>
      <c r="M1626" t="s">
        <v>4671</v>
      </c>
      <c r="N1626" t="s">
        <v>8753</v>
      </c>
      <c r="O1626" t="s">
        <v>26</v>
      </c>
      <c r="P1626">
        <v>9.99</v>
      </c>
      <c r="Q1626">
        <v>12.49</v>
      </c>
      <c r="R1626">
        <v>9.99</v>
      </c>
      <c r="T1626" t="s">
        <v>8754</v>
      </c>
    </row>
    <row r="1627" spans="1:20">
      <c r="A1627">
        <v>821645</v>
      </c>
      <c r="B1627" t="s">
        <v>8755</v>
      </c>
      <c r="C1627" t="str">
        <f>"9781554698769"</f>
        <v>9781554698769</v>
      </c>
      <c r="D1627" t="str">
        <f>"9781554698776"</f>
        <v>9781554698776</v>
      </c>
      <c r="E1627" t="s">
        <v>4668</v>
      </c>
      <c r="F1627" t="s">
        <v>8157</v>
      </c>
      <c r="G1627" s="1">
        <v>40787</v>
      </c>
      <c r="I1627" t="s">
        <v>8158</v>
      </c>
      <c r="J1627" t="s">
        <v>8756</v>
      </c>
      <c r="K1627" t="s">
        <v>1458</v>
      </c>
      <c r="L1627" t="s">
        <v>8757</v>
      </c>
      <c r="M1627" t="s">
        <v>1460</v>
      </c>
      <c r="N1627" t="s">
        <v>8758</v>
      </c>
      <c r="O1627" t="s">
        <v>26</v>
      </c>
      <c r="P1627">
        <v>9.99</v>
      </c>
      <c r="Q1627">
        <v>12.49</v>
      </c>
      <c r="R1627">
        <v>9.99</v>
      </c>
      <c r="T1627" t="s">
        <v>8759</v>
      </c>
    </row>
    <row r="1628" spans="1:20">
      <c r="A1628">
        <v>829598</v>
      </c>
      <c r="B1628" t="s">
        <v>8760</v>
      </c>
      <c r="C1628" t="str">
        <f>"9781551523606"</f>
        <v>9781551523606</v>
      </c>
      <c r="D1628" t="str">
        <f>"9781551523798"</f>
        <v>9781551523798</v>
      </c>
      <c r="E1628" t="s">
        <v>2416</v>
      </c>
      <c r="F1628" t="s">
        <v>2416</v>
      </c>
      <c r="G1628" s="1">
        <v>40477</v>
      </c>
      <c r="J1628" t="s">
        <v>8761</v>
      </c>
      <c r="K1628" t="s">
        <v>8762</v>
      </c>
      <c r="L1628" t="s">
        <v>8763</v>
      </c>
      <c r="M1628">
        <v>970.00496999999996</v>
      </c>
      <c r="N1628" t="s">
        <v>8764</v>
      </c>
      <c r="O1628" t="s">
        <v>26</v>
      </c>
      <c r="P1628">
        <v>11.95</v>
      </c>
      <c r="R1628">
        <v>11.95</v>
      </c>
      <c r="T1628" t="s">
        <v>8765</v>
      </c>
    </row>
    <row r="1629" spans="1:20">
      <c r="A1629">
        <v>829653</v>
      </c>
      <c r="B1629" t="s">
        <v>8766</v>
      </c>
      <c r="C1629" t="str">
        <f>"9781552450550"</f>
        <v>9781552450550</v>
      </c>
      <c r="D1629" t="str">
        <f>"9781770560222"</f>
        <v>9781770560222</v>
      </c>
      <c r="E1629" t="s">
        <v>7779</v>
      </c>
      <c r="F1629" t="s">
        <v>7779</v>
      </c>
      <c r="G1629" s="1">
        <v>34352</v>
      </c>
      <c r="J1629" t="s">
        <v>8094</v>
      </c>
      <c r="K1629" t="s">
        <v>1464</v>
      </c>
      <c r="L1629" t="s">
        <v>8767</v>
      </c>
      <c r="M1629" t="s">
        <v>8096</v>
      </c>
      <c r="N1629" t="s">
        <v>8768</v>
      </c>
      <c r="O1629" t="s">
        <v>26</v>
      </c>
      <c r="P1629">
        <v>13.95</v>
      </c>
      <c r="R1629">
        <v>13.95</v>
      </c>
      <c r="T1629" t="s">
        <v>8769</v>
      </c>
    </row>
    <row r="1630" spans="1:20">
      <c r="A1630">
        <v>829654</v>
      </c>
      <c r="B1630" t="s">
        <v>8770</v>
      </c>
      <c r="C1630" t="str">
        <f>"9781552450123"</f>
        <v>9781552450123</v>
      </c>
      <c r="D1630" t="str">
        <f>"9781770560581"</f>
        <v>9781770560581</v>
      </c>
      <c r="E1630" t="s">
        <v>7779</v>
      </c>
      <c r="F1630" t="s">
        <v>7779</v>
      </c>
      <c r="G1630" s="1">
        <v>34352</v>
      </c>
      <c r="J1630" t="s">
        <v>8771</v>
      </c>
      <c r="K1630" t="s">
        <v>1464</v>
      </c>
      <c r="L1630" t="s">
        <v>8772</v>
      </c>
      <c r="M1630" t="s">
        <v>8773</v>
      </c>
      <c r="N1630" t="s">
        <v>7991</v>
      </c>
      <c r="O1630" t="s">
        <v>26</v>
      </c>
      <c r="P1630">
        <v>12.95</v>
      </c>
      <c r="R1630">
        <v>12.95</v>
      </c>
      <c r="T1630" t="s">
        <v>8774</v>
      </c>
    </row>
    <row r="1631" spans="1:20">
      <c r="A1631">
        <v>829655</v>
      </c>
      <c r="B1631" t="s">
        <v>8775</v>
      </c>
      <c r="C1631" t="str">
        <f>"9781552451274"</f>
        <v>9781552451274</v>
      </c>
      <c r="D1631" t="str">
        <f>"9781770561694"</f>
        <v>9781770561694</v>
      </c>
      <c r="E1631" t="s">
        <v>7779</v>
      </c>
      <c r="F1631" t="s">
        <v>7779</v>
      </c>
      <c r="G1631" s="1">
        <v>36452</v>
      </c>
      <c r="J1631" t="s">
        <v>8776</v>
      </c>
      <c r="K1631" t="s">
        <v>1464</v>
      </c>
      <c r="L1631" t="s">
        <v>8777</v>
      </c>
      <c r="M1631" t="s">
        <v>1497</v>
      </c>
      <c r="N1631" t="s">
        <v>8778</v>
      </c>
      <c r="O1631" t="s">
        <v>26</v>
      </c>
      <c r="P1631">
        <v>13.95</v>
      </c>
      <c r="R1631">
        <v>13.95</v>
      </c>
      <c r="T1631" t="s">
        <v>8779</v>
      </c>
    </row>
    <row r="1632" spans="1:20">
      <c r="A1632">
        <v>829690</v>
      </c>
      <c r="B1632" t="s">
        <v>8780</v>
      </c>
      <c r="C1632" t="str">
        <f>"9781553652359"</f>
        <v>9781553652359</v>
      </c>
      <c r="D1632" t="str">
        <f>"9781926685083"</f>
        <v>9781926685083</v>
      </c>
      <c r="E1632" t="s">
        <v>3030</v>
      </c>
      <c r="F1632" t="s">
        <v>3030</v>
      </c>
      <c r="G1632" s="1">
        <v>39995</v>
      </c>
      <c r="J1632" t="s">
        <v>8781</v>
      </c>
      <c r="K1632" t="s">
        <v>8782</v>
      </c>
      <c r="L1632" t="s">
        <v>8783</v>
      </c>
      <c r="M1632" t="s">
        <v>8784</v>
      </c>
      <c r="N1632" t="s">
        <v>8785</v>
      </c>
      <c r="O1632" t="s">
        <v>26</v>
      </c>
      <c r="P1632">
        <v>19.95</v>
      </c>
      <c r="R1632">
        <v>19.95</v>
      </c>
      <c r="S1632">
        <v>29.93</v>
      </c>
      <c r="T1632" t="s">
        <v>8786</v>
      </c>
    </row>
    <row r="1633" spans="1:20">
      <c r="A1633">
        <v>829778</v>
      </c>
      <c r="B1633" t="s">
        <v>8787</v>
      </c>
      <c r="C1633" t="str">
        <f>"9780865716933"</f>
        <v>9780865716933</v>
      </c>
      <c r="D1633" t="str">
        <f>"9781550924725"</f>
        <v>9781550924725</v>
      </c>
      <c r="E1633" t="s">
        <v>249</v>
      </c>
      <c r="F1633" t="s">
        <v>249</v>
      </c>
      <c r="G1633" s="1">
        <v>40862</v>
      </c>
      <c r="J1633" t="s">
        <v>8788</v>
      </c>
      <c r="K1633" t="s">
        <v>356</v>
      </c>
      <c r="L1633" t="s">
        <v>8789</v>
      </c>
      <c r="M1633">
        <v>307.76097299999998</v>
      </c>
      <c r="N1633" t="s">
        <v>8790</v>
      </c>
      <c r="O1633" t="s">
        <v>26</v>
      </c>
      <c r="P1633">
        <v>16.95</v>
      </c>
      <c r="R1633">
        <v>16.95</v>
      </c>
      <c r="T1633" t="s">
        <v>8791</v>
      </c>
    </row>
    <row r="1634" spans="1:20">
      <c r="A1634">
        <v>844402</v>
      </c>
      <c r="B1634" t="s">
        <v>8792</v>
      </c>
      <c r="C1634" t="str">
        <f>"9781552452417"</f>
        <v>9781552452417</v>
      </c>
      <c r="D1634" t="str">
        <f>"9781770562790"</f>
        <v>9781770562790</v>
      </c>
      <c r="E1634" t="s">
        <v>7779</v>
      </c>
      <c r="F1634" t="s">
        <v>7779</v>
      </c>
      <c r="G1634" s="1">
        <v>40820</v>
      </c>
      <c r="J1634" t="s">
        <v>8793</v>
      </c>
      <c r="K1634" t="s">
        <v>1458</v>
      </c>
      <c r="L1634" t="s">
        <v>8794</v>
      </c>
      <c r="M1634" t="s">
        <v>1567</v>
      </c>
      <c r="N1634" t="s">
        <v>8795</v>
      </c>
      <c r="O1634" t="s">
        <v>26</v>
      </c>
      <c r="P1634">
        <v>12.95</v>
      </c>
      <c r="R1634">
        <v>12.95</v>
      </c>
      <c r="T1634" t="s">
        <v>8796</v>
      </c>
    </row>
    <row r="1635" spans="1:20">
      <c r="A1635">
        <v>844403</v>
      </c>
      <c r="B1635" t="s">
        <v>8797</v>
      </c>
      <c r="C1635" t="str">
        <f>"9781552452424"</f>
        <v>9781552452424</v>
      </c>
      <c r="D1635" t="str">
        <f>"9781770562806"</f>
        <v>9781770562806</v>
      </c>
      <c r="E1635" t="s">
        <v>7779</v>
      </c>
      <c r="F1635" t="s">
        <v>7779</v>
      </c>
      <c r="G1635" s="1">
        <v>40820</v>
      </c>
      <c r="J1635" t="s">
        <v>8798</v>
      </c>
      <c r="K1635" t="s">
        <v>1458</v>
      </c>
      <c r="L1635" t="s">
        <v>8799</v>
      </c>
      <c r="M1635" t="s">
        <v>1460</v>
      </c>
      <c r="N1635" t="s">
        <v>8800</v>
      </c>
      <c r="O1635" t="s">
        <v>26</v>
      </c>
      <c r="P1635">
        <v>14.95</v>
      </c>
      <c r="R1635">
        <v>14.95</v>
      </c>
      <c r="T1635" t="s">
        <v>8801</v>
      </c>
    </row>
    <row r="1636" spans="1:20">
      <c r="A1636">
        <v>844464</v>
      </c>
      <c r="B1636" t="s">
        <v>8802</v>
      </c>
      <c r="C1636" t="str">
        <f>"9781552452431"</f>
        <v>9781552452431</v>
      </c>
      <c r="D1636" t="str">
        <f>"9781770562820"</f>
        <v>9781770562820</v>
      </c>
      <c r="E1636" t="s">
        <v>7779</v>
      </c>
      <c r="F1636" t="s">
        <v>7779</v>
      </c>
      <c r="G1636" s="1">
        <v>39186</v>
      </c>
      <c r="J1636" t="s">
        <v>8803</v>
      </c>
      <c r="K1636" t="s">
        <v>1464</v>
      </c>
      <c r="L1636" t="s">
        <v>8804</v>
      </c>
      <c r="M1636" t="s">
        <v>2738</v>
      </c>
      <c r="N1636" t="s">
        <v>7851</v>
      </c>
      <c r="O1636" t="s">
        <v>26</v>
      </c>
      <c r="P1636">
        <v>13.95</v>
      </c>
      <c r="R1636">
        <v>13.95</v>
      </c>
      <c r="T1636" t="s">
        <v>8805</v>
      </c>
    </row>
    <row r="1637" spans="1:20">
      <c r="A1637">
        <v>844465</v>
      </c>
      <c r="B1637" t="s">
        <v>8806</v>
      </c>
      <c r="C1637" t="str">
        <f>"9781552452486"</f>
        <v>9781552452486</v>
      </c>
      <c r="D1637" t="str">
        <f>"9781770562974"</f>
        <v>9781770562974</v>
      </c>
      <c r="E1637" t="s">
        <v>7779</v>
      </c>
      <c r="F1637" t="s">
        <v>7779</v>
      </c>
      <c r="G1637" s="1">
        <v>40827</v>
      </c>
      <c r="J1637" t="s">
        <v>1577</v>
      </c>
      <c r="K1637" t="s">
        <v>1464</v>
      </c>
      <c r="L1637" t="s">
        <v>8807</v>
      </c>
      <c r="M1637" t="s">
        <v>1545</v>
      </c>
      <c r="N1637" t="s">
        <v>7851</v>
      </c>
      <c r="O1637" t="s">
        <v>26</v>
      </c>
      <c r="P1637">
        <v>12.95</v>
      </c>
      <c r="R1637">
        <v>12.95</v>
      </c>
      <c r="T1637" t="s">
        <v>8808</v>
      </c>
    </row>
    <row r="1638" spans="1:20">
      <c r="A1638">
        <v>862210</v>
      </c>
      <c r="B1638" t="s">
        <v>8809</v>
      </c>
      <c r="C1638" t="str">
        <f>"9781459800090"</f>
        <v>9781459800090</v>
      </c>
      <c r="D1638" t="str">
        <f>"9781459800106"</f>
        <v>9781459800106</v>
      </c>
      <c r="E1638" t="s">
        <v>4668</v>
      </c>
      <c r="F1638" t="s">
        <v>4668</v>
      </c>
      <c r="G1638" s="1">
        <v>40848</v>
      </c>
      <c r="I1638" t="s">
        <v>8810</v>
      </c>
      <c r="J1638" t="s">
        <v>8811</v>
      </c>
      <c r="K1638" t="s">
        <v>8812</v>
      </c>
      <c r="L1638" t="s">
        <v>8126</v>
      </c>
      <c r="M1638">
        <v>70</v>
      </c>
      <c r="N1638" t="s">
        <v>4795</v>
      </c>
      <c r="O1638" t="s">
        <v>94</v>
      </c>
      <c r="P1638">
        <v>6.99</v>
      </c>
      <c r="Q1638">
        <v>8.74</v>
      </c>
      <c r="R1638">
        <v>6.99</v>
      </c>
      <c r="T1638" t="s">
        <v>8813</v>
      </c>
    </row>
    <row r="1639" spans="1:20">
      <c r="A1639">
        <v>862211</v>
      </c>
      <c r="B1639" t="s">
        <v>8814</v>
      </c>
      <c r="C1639" t="str">
        <f>"9781459800113"</f>
        <v>9781459800113</v>
      </c>
      <c r="D1639" t="str">
        <f>"9781459800120"</f>
        <v>9781459800120</v>
      </c>
      <c r="E1639" t="s">
        <v>4668</v>
      </c>
      <c r="F1639" t="s">
        <v>4668</v>
      </c>
      <c r="G1639" s="1">
        <v>40848</v>
      </c>
      <c r="I1639" t="s">
        <v>8810</v>
      </c>
      <c r="J1639" t="s">
        <v>8811</v>
      </c>
      <c r="K1639" t="s">
        <v>8815</v>
      </c>
      <c r="L1639" t="s">
        <v>8126</v>
      </c>
      <c r="M1639">
        <v>72</v>
      </c>
      <c r="N1639" t="s">
        <v>8816</v>
      </c>
      <c r="O1639" t="s">
        <v>94</v>
      </c>
      <c r="P1639">
        <v>6.99</v>
      </c>
      <c r="Q1639">
        <v>8.74</v>
      </c>
      <c r="R1639">
        <v>6.99</v>
      </c>
      <c r="T1639" t="s">
        <v>8817</v>
      </c>
    </row>
    <row r="1640" spans="1:20">
      <c r="A1640">
        <v>862212</v>
      </c>
      <c r="B1640" t="s">
        <v>8818</v>
      </c>
      <c r="C1640" t="str">
        <f>"9781459801288"</f>
        <v>9781459801288</v>
      </c>
      <c r="D1640" t="str">
        <f>"9781459801301"</f>
        <v>9781459801301</v>
      </c>
      <c r="E1640" t="s">
        <v>4668</v>
      </c>
      <c r="F1640" t="s">
        <v>4668</v>
      </c>
      <c r="G1640" s="1">
        <v>40969</v>
      </c>
      <c r="I1640" t="s">
        <v>5056</v>
      </c>
      <c r="J1640" t="s">
        <v>3578</v>
      </c>
      <c r="K1640" t="s">
        <v>1464</v>
      </c>
      <c r="L1640" t="s">
        <v>8819</v>
      </c>
      <c r="M1640" t="s">
        <v>1460</v>
      </c>
      <c r="N1640" t="s">
        <v>8820</v>
      </c>
      <c r="O1640" t="s">
        <v>26</v>
      </c>
      <c r="P1640">
        <v>9.99</v>
      </c>
      <c r="Q1640">
        <v>12.49</v>
      </c>
      <c r="R1640">
        <v>9.99</v>
      </c>
      <c r="T1640" t="s">
        <v>8821</v>
      </c>
    </row>
    <row r="1641" spans="1:20">
      <c r="A1641">
        <v>862213</v>
      </c>
      <c r="B1641" t="s">
        <v>8822</v>
      </c>
      <c r="C1641" t="str">
        <f>"9781554699704"</f>
        <v>9781554699704</v>
      </c>
      <c r="D1641" t="str">
        <f>"9781554699711"</f>
        <v>9781554699711</v>
      </c>
      <c r="E1641" t="s">
        <v>4668</v>
      </c>
      <c r="F1641" t="s">
        <v>4668</v>
      </c>
      <c r="G1641" s="1">
        <v>40848</v>
      </c>
      <c r="I1641" t="s">
        <v>8823</v>
      </c>
      <c r="J1641" t="s">
        <v>5287</v>
      </c>
      <c r="K1641" t="s">
        <v>1464</v>
      </c>
      <c r="L1641" t="s">
        <v>8824</v>
      </c>
      <c r="M1641" t="s">
        <v>1509</v>
      </c>
      <c r="N1641" t="s">
        <v>8825</v>
      </c>
      <c r="O1641" t="s">
        <v>485</v>
      </c>
      <c r="P1641">
        <v>9.99</v>
      </c>
      <c r="Q1641">
        <v>12.49</v>
      </c>
      <c r="R1641">
        <v>9.99</v>
      </c>
      <c r="T1641" t="s">
        <v>8826</v>
      </c>
    </row>
    <row r="1642" spans="1:20">
      <c r="A1642">
        <v>862214</v>
      </c>
      <c r="B1642" t="s">
        <v>8827</v>
      </c>
      <c r="C1642" t="str">
        <f>"9781459800137"</f>
        <v>9781459800137</v>
      </c>
      <c r="D1642" t="str">
        <f>"9781459800144"</f>
        <v>9781459800144</v>
      </c>
      <c r="E1642" t="s">
        <v>4668</v>
      </c>
      <c r="F1642" t="s">
        <v>8157</v>
      </c>
      <c r="G1642" s="1">
        <v>40969</v>
      </c>
      <c r="I1642" t="s">
        <v>8158</v>
      </c>
      <c r="J1642" t="s">
        <v>8828</v>
      </c>
      <c r="K1642" t="s">
        <v>1464</v>
      </c>
      <c r="L1642" t="s">
        <v>8829</v>
      </c>
      <c r="M1642" t="s">
        <v>1460</v>
      </c>
      <c r="N1642" t="s">
        <v>8830</v>
      </c>
      <c r="O1642" t="s">
        <v>26</v>
      </c>
      <c r="P1642">
        <v>9.99</v>
      </c>
      <c r="Q1642">
        <v>12.49</v>
      </c>
      <c r="R1642">
        <v>9.99</v>
      </c>
      <c r="T1642" t="s">
        <v>8831</v>
      </c>
    </row>
    <row r="1643" spans="1:20">
      <c r="A1643">
        <v>862215</v>
      </c>
      <c r="B1643" t="s">
        <v>8832</v>
      </c>
      <c r="C1643" t="str">
        <f>"9781459800571"</f>
        <v>9781459800571</v>
      </c>
      <c r="D1643" t="str">
        <f>"9781459800588"</f>
        <v>9781459800588</v>
      </c>
      <c r="E1643" t="s">
        <v>4668</v>
      </c>
      <c r="F1643" t="s">
        <v>4668</v>
      </c>
      <c r="G1643" s="1">
        <v>40969</v>
      </c>
      <c r="J1643" t="s">
        <v>8833</v>
      </c>
      <c r="K1643" t="s">
        <v>1464</v>
      </c>
      <c r="L1643" t="s">
        <v>8834</v>
      </c>
      <c r="M1643" t="s">
        <v>1509</v>
      </c>
      <c r="N1643" t="s">
        <v>8835</v>
      </c>
      <c r="O1643" t="s">
        <v>26</v>
      </c>
      <c r="P1643">
        <v>9.99</v>
      </c>
      <c r="Q1643">
        <v>12.49</v>
      </c>
      <c r="R1643">
        <v>9.99</v>
      </c>
      <c r="T1643" t="s">
        <v>8836</v>
      </c>
    </row>
    <row r="1644" spans="1:20">
      <c r="A1644">
        <v>862216</v>
      </c>
      <c r="B1644" t="s">
        <v>8837</v>
      </c>
      <c r="C1644" t="str">
        <f>"9781459801721"</f>
        <v>9781459801721</v>
      </c>
      <c r="D1644" t="str">
        <f>"9781459801745"</f>
        <v>9781459801745</v>
      </c>
      <c r="E1644" t="s">
        <v>4668</v>
      </c>
      <c r="F1644" t="s">
        <v>4668</v>
      </c>
      <c r="G1644" s="1">
        <v>40969</v>
      </c>
      <c r="I1644" t="s">
        <v>5056</v>
      </c>
      <c r="J1644" t="s">
        <v>5575</v>
      </c>
      <c r="K1644" t="s">
        <v>1464</v>
      </c>
      <c r="L1644" t="s">
        <v>8838</v>
      </c>
      <c r="M1644" t="s">
        <v>1460</v>
      </c>
      <c r="N1644" t="s">
        <v>8839</v>
      </c>
      <c r="O1644" t="s">
        <v>26</v>
      </c>
      <c r="P1644">
        <v>9.99</v>
      </c>
      <c r="Q1644">
        <v>12.49</v>
      </c>
      <c r="R1644">
        <v>9.99</v>
      </c>
      <c r="T1644" t="s">
        <v>8840</v>
      </c>
    </row>
    <row r="1645" spans="1:20">
      <c r="A1645">
        <v>862217</v>
      </c>
      <c r="B1645" t="s">
        <v>8841</v>
      </c>
      <c r="C1645" t="str">
        <f>"9781554698974"</f>
        <v>9781554698974</v>
      </c>
      <c r="D1645" t="str">
        <f>"9781554698981"</f>
        <v>9781554698981</v>
      </c>
      <c r="E1645" t="s">
        <v>4668</v>
      </c>
      <c r="F1645" t="s">
        <v>8157</v>
      </c>
      <c r="G1645" s="1">
        <v>40969</v>
      </c>
      <c r="I1645" t="s">
        <v>8158</v>
      </c>
      <c r="J1645" t="s">
        <v>8842</v>
      </c>
      <c r="K1645" t="s">
        <v>1464</v>
      </c>
      <c r="L1645" t="s">
        <v>8843</v>
      </c>
      <c r="M1645" t="s">
        <v>1509</v>
      </c>
      <c r="N1645" t="s">
        <v>8844</v>
      </c>
      <c r="O1645" t="s">
        <v>26</v>
      </c>
      <c r="P1645">
        <v>9.99</v>
      </c>
      <c r="Q1645">
        <v>12.49</v>
      </c>
      <c r="R1645">
        <v>9.99</v>
      </c>
      <c r="T1645" t="s">
        <v>8845</v>
      </c>
    </row>
    <row r="1646" spans="1:20">
      <c r="A1646">
        <v>862218</v>
      </c>
      <c r="B1646" t="s">
        <v>8846</v>
      </c>
      <c r="C1646" t="str">
        <f>"9781554699209"</f>
        <v>9781554699209</v>
      </c>
      <c r="D1646" t="str">
        <f>"9781554699223"</f>
        <v>9781554699223</v>
      </c>
      <c r="E1646" t="s">
        <v>4668</v>
      </c>
      <c r="F1646" t="s">
        <v>4668</v>
      </c>
      <c r="G1646" s="1">
        <v>40969</v>
      </c>
      <c r="I1646" t="s">
        <v>4685</v>
      </c>
      <c r="J1646" t="s">
        <v>5287</v>
      </c>
      <c r="K1646" t="s">
        <v>1464</v>
      </c>
      <c r="L1646" t="s">
        <v>8847</v>
      </c>
      <c r="M1646" t="s">
        <v>4671</v>
      </c>
      <c r="N1646" t="s">
        <v>8848</v>
      </c>
      <c r="O1646" t="s">
        <v>26</v>
      </c>
      <c r="P1646">
        <v>9.99</v>
      </c>
      <c r="Q1646">
        <v>12.49</v>
      </c>
      <c r="R1646">
        <v>9.99</v>
      </c>
      <c r="T1646" t="s">
        <v>8849</v>
      </c>
    </row>
    <row r="1647" spans="1:20">
      <c r="A1647">
        <v>862219</v>
      </c>
      <c r="B1647" t="s">
        <v>8850</v>
      </c>
      <c r="C1647" t="str">
        <f>"9781554699735"</f>
        <v>9781554699735</v>
      </c>
      <c r="D1647" t="str">
        <f>"9781554699742"</f>
        <v>9781554699742</v>
      </c>
      <c r="E1647" t="s">
        <v>4668</v>
      </c>
      <c r="F1647" t="s">
        <v>4668</v>
      </c>
      <c r="G1647" s="1">
        <v>40848</v>
      </c>
      <c r="I1647" t="s">
        <v>8823</v>
      </c>
      <c r="J1647" t="s">
        <v>5575</v>
      </c>
      <c r="K1647" t="s">
        <v>1464</v>
      </c>
      <c r="L1647" t="s">
        <v>8851</v>
      </c>
      <c r="M1647" t="s">
        <v>1460</v>
      </c>
      <c r="N1647" t="s">
        <v>8852</v>
      </c>
      <c r="O1647" t="s">
        <v>485</v>
      </c>
      <c r="P1647">
        <v>9.99</v>
      </c>
      <c r="Q1647">
        <v>12.49</v>
      </c>
      <c r="R1647">
        <v>9.99</v>
      </c>
      <c r="T1647" t="s">
        <v>8853</v>
      </c>
    </row>
    <row r="1648" spans="1:20">
      <c r="A1648">
        <v>862220</v>
      </c>
      <c r="B1648" t="s">
        <v>8854</v>
      </c>
      <c r="C1648" t="str">
        <f>"9781554699810"</f>
        <v>9781554699810</v>
      </c>
      <c r="D1648" t="str">
        <f>"9781554699834"</f>
        <v>9781554699834</v>
      </c>
      <c r="E1648" t="s">
        <v>4668</v>
      </c>
      <c r="F1648" t="s">
        <v>4668</v>
      </c>
      <c r="G1648" s="1">
        <v>40969</v>
      </c>
      <c r="I1648" t="s">
        <v>4685</v>
      </c>
      <c r="J1648" t="s">
        <v>8855</v>
      </c>
      <c r="K1648" t="s">
        <v>1464</v>
      </c>
      <c r="L1648" t="s">
        <v>8856</v>
      </c>
      <c r="M1648" t="s">
        <v>4671</v>
      </c>
      <c r="N1648" t="s">
        <v>8857</v>
      </c>
      <c r="O1648" t="s">
        <v>26</v>
      </c>
      <c r="P1648">
        <v>9.99</v>
      </c>
      <c r="Q1648">
        <v>12.49</v>
      </c>
      <c r="R1648">
        <v>9.99</v>
      </c>
      <c r="T1648" t="s">
        <v>8858</v>
      </c>
    </row>
    <row r="1649" spans="1:20">
      <c r="A1649">
        <v>868835</v>
      </c>
      <c r="B1649" t="s">
        <v>8859</v>
      </c>
      <c r="C1649" t="str">
        <f>"9781552450819"</f>
        <v>9781552450819</v>
      </c>
      <c r="D1649" t="str">
        <f>"9781770562233"</f>
        <v>9781770562233</v>
      </c>
      <c r="E1649" t="s">
        <v>7779</v>
      </c>
      <c r="F1649" t="s">
        <v>7779</v>
      </c>
      <c r="G1649" s="1">
        <v>35581</v>
      </c>
      <c r="J1649" t="s">
        <v>8860</v>
      </c>
      <c r="K1649" t="s">
        <v>1458</v>
      </c>
      <c r="L1649" t="s">
        <v>8861</v>
      </c>
      <c r="M1649" t="s">
        <v>8862</v>
      </c>
      <c r="N1649" t="s">
        <v>8863</v>
      </c>
      <c r="O1649" t="s">
        <v>26</v>
      </c>
      <c r="P1649">
        <v>14.95</v>
      </c>
      <c r="R1649">
        <v>14.95</v>
      </c>
      <c r="T1649" t="s">
        <v>8864</v>
      </c>
    </row>
    <row r="1650" spans="1:20">
      <c r="A1650">
        <v>868836</v>
      </c>
      <c r="B1650" t="s">
        <v>8865</v>
      </c>
      <c r="C1650" t="str">
        <f>"9781552451618"</f>
        <v>9781552451618</v>
      </c>
      <c r="D1650" t="str">
        <f>"9781770561755"</f>
        <v>9781770561755</v>
      </c>
      <c r="E1650" t="s">
        <v>7779</v>
      </c>
      <c r="F1650" t="s">
        <v>7779</v>
      </c>
      <c r="G1650" s="1">
        <v>37153</v>
      </c>
      <c r="J1650" t="s">
        <v>8866</v>
      </c>
      <c r="K1650" t="s">
        <v>1464</v>
      </c>
      <c r="L1650" t="s">
        <v>8867</v>
      </c>
      <c r="M1650" t="s">
        <v>8868</v>
      </c>
      <c r="N1650" t="s">
        <v>8869</v>
      </c>
      <c r="O1650" t="s">
        <v>26</v>
      </c>
      <c r="P1650">
        <v>11.95</v>
      </c>
      <c r="R1650">
        <v>11.95</v>
      </c>
      <c r="T1650" t="s">
        <v>8870</v>
      </c>
    </row>
    <row r="1651" spans="1:20">
      <c r="A1651">
        <v>868837</v>
      </c>
      <c r="B1651" t="s">
        <v>8871</v>
      </c>
      <c r="C1651" t="str">
        <f>"9781552452240"</f>
        <v>9781552452240</v>
      </c>
      <c r="D1651" t="str">
        <f>"9781770562493"</f>
        <v>9781770562493</v>
      </c>
      <c r="E1651" t="s">
        <v>7779</v>
      </c>
      <c r="F1651" t="s">
        <v>7779</v>
      </c>
      <c r="G1651" s="1">
        <v>38639</v>
      </c>
      <c r="J1651" t="s">
        <v>8872</v>
      </c>
      <c r="K1651" t="s">
        <v>1458</v>
      </c>
      <c r="L1651" t="s">
        <v>8873</v>
      </c>
      <c r="M1651" t="s">
        <v>1509</v>
      </c>
      <c r="N1651" t="s">
        <v>8874</v>
      </c>
      <c r="O1651" t="s">
        <v>26</v>
      </c>
      <c r="P1651">
        <v>14.95</v>
      </c>
      <c r="R1651">
        <v>14.95</v>
      </c>
      <c r="T1651" t="s">
        <v>8875</v>
      </c>
    </row>
    <row r="1652" spans="1:20">
      <c r="A1652">
        <v>868838</v>
      </c>
      <c r="B1652" t="s">
        <v>8876</v>
      </c>
      <c r="C1652" t="str">
        <f>"9781552452448"</f>
        <v>9781552452448</v>
      </c>
      <c r="D1652" t="str">
        <f>"9781770562844"</f>
        <v>9781770562844</v>
      </c>
      <c r="E1652" t="s">
        <v>7779</v>
      </c>
      <c r="F1652" t="s">
        <v>7779</v>
      </c>
      <c r="G1652" s="1">
        <v>39186</v>
      </c>
      <c r="J1652" t="s">
        <v>8877</v>
      </c>
      <c r="K1652" t="s">
        <v>1464</v>
      </c>
      <c r="L1652" t="s">
        <v>8878</v>
      </c>
      <c r="M1652" t="s">
        <v>2738</v>
      </c>
      <c r="N1652" t="s">
        <v>8879</v>
      </c>
      <c r="O1652" t="s">
        <v>26</v>
      </c>
      <c r="P1652">
        <v>13.95</v>
      </c>
      <c r="R1652">
        <v>13.95</v>
      </c>
      <c r="T1652" t="s">
        <v>8880</v>
      </c>
    </row>
    <row r="1653" spans="1:20">
      <c r="A1653">
        <v>868840</v>
      </c>
      <c r="B1653" t="s">
        <v>8881</v>
      </c>
      <c r="C1653" t="str">
        <f>"9781552452493"</f>
        <v>9781552452493</v>
      </c>
      <c r="D1653" t="str">
        <f>"9781770562998"</f>
        <v>9781770562998</v>
      </c>
      <c r="E1653" t="s">
        <v>7779</v>
      </c>
      <c r="F1653" t="s">
        <v>7779</v>
      </c>
      <c r="G1653" s="1">
        <v>40841</v>
      </c>
      <c r="J1653" t="s">
        <v>8882</v>
      </c>
      <c r="K1653" t="s">
        <v>1464</v>
      </c>
      <c r="L1653" t="s">
        <v>8883</v>
      </c>
      <c r="M1653" t="s">
        <v>2738</v>
      </c>
      <c r="N1653" t="s">
        <v>8000</v>
      </c>
      <c r="O1653" t="s">
        <v>26</v>
      </c>
      <c r="P1653">
        <v>12.95</v>
      </c>
      <c r="R1653">
        <v>12.95</v>
      </c>
      <c r="T1653" t="s">
        <v>8884</v>
      </c>
    </row>
    <row r="1654" spans="1:20">
      <c r="A1654">
        <v>868841</v>
      </c>
      <c r="B1654" t="s">
        <v>8885</v>
      </c>
      <c r="C1654" t="str">
        <f>"9781552452509"</f>
        <v>9781552452509</v>
      </c>
      <c r="D1654" t="str">
        <f>"9781770563018"</f>
        <v>9781770563018</v>
      </c>
      <c r="E1654" t="s">
        <v>7779</v>
      </c>
      <c r="F1654" t="s">
        <v>7779</v>
      </c>
      <c r="G1654" s="1">
        <v>40967</v>
      </c>
      <c r="J1654" t="s">
        <v>8886</v>
      </c>
      <c r="K1654" t="s">
        <v>1464</v>
      </c>
      <c r="L1654" t="s">
        <v>8887</v>
      </c>
      <c r="M1654" t="s">
        <v>8888</v>
      </c>
      <c r="N1654" t="s">
        <v>7851</v>
      </c>
      <c r="O1654" t="s">
        <v>26</v>
      </c>
      <c r="P1654">
        <v>12.95</v>
      </c>
      <c r="R1654">
        <v>12.95</v>
      </c>
      <c r="T1654" t="s">
        <v>8889</v>
      </c>
    </row>
    <row r="1655" spans="1:20">
      <c r="A1655">
        <v>868842</v>
      </c>
      <c r="B1655" t="s">
        <v>8890</v>
      </c>
      <c r="C1655" t="str">
        <f>"9781552452516"</f>
        <v>9781552452516</v>
      </c>
      <c r="D1655" t="str">
        <f>"9781770562950"</f>
        <v>9781770562950</v>
      </c>
      <c r="E1655" t="s">
        <v>7779</v>
      </c>
      <c r="F1655" t="s">
        <v>7779</v>
      </c>
      <c r="G1655" s="1">
        <v>41044</v>
      </c>
      <c r="J1655" t="s">
        <v>8891</v>
      </c>
      <c r="K1655" t="s">
        <v>1458</v>
      </c>
      <c r="L1655" t="s">
        <v>8892</v>
      </c>
      <c r="M1655" t="s">
        <v>1693</v>
      </c>
      <c r="N1655" t="s">
        <v>8893</v>
      </c>
      <c r="O1655" t="s">
        <v>26</v>
      </c>
      <c r="P1655">
        <v>14.95</v>
      </c>
      <c r="R1655">
        <v>14.95</v>
      </c>
      <c r="T1655" t="s">
        <v>8894</v>
      </c>
    </row>
    <row r="1656" spans="1:20">
      <c r="A1656">
        <v>868843</v>
      </c>
      <c r="B1656" t="s">
        <v>8895</v>
      </c>
      <c r="C1656" t="str">
        <f>"9781552452530"</f>
        <v>9781552452530</v>
      </c>
      <c r="D1656" t="str">
        <f>"9781770562936"</f>
        <v>9781770562936</v>
      </c>
      <c r="E1656" t="s">
        <v>7779</v>
      </c>
      <c r="F1656" t="s">
        <v>7779</v>
      </c>
      <c r="G1656" s="1">
        <v>41044</v>
      </c>
      <c r="J1656" t="s">
        <v>8896</v>
      </c>
      <c r="K1656" t="s">
        <v>1458</v>
      </c>
      <c r="L1656" t="s">
        <v>8897</v>
      </c>
      <c r="M1656" t="s">
        <v>8862</v>
      </c>
      <c r="N1656" t="s">
        <v>8898</v>
      </c>
      <c r="O1656" t="s">
        <v>26</v>
      </c>
      <c r="P1656">
        <v>14.95</v>
      </c>
      <c r="R1656">
        <v>14.95</v>
      </c>
      <c r="T1656" t="s">
        <v>8899</v>
      </c>
    </row>
    <row r="1657" spans="1:20">
      <c r="A1657">
        <v>868848</v>
      </c>
      <c r="B1657" t="s">
        <v>8900</v>
      </c>
      <c r="C1657" t="str">
        <f>"9781553652762"</f>
        <v>9781553652762</v>
      </c>
      <c r="D1657" t="str">
        <f>"9781926685731"</f>
        <v>9781926685731</v>
      </c>
      <c r="E1657" t="s">
        <v>3092</v>
      </c>
      <c r="F1657" t="s">
        <v>3093</v>
      </c>
      <c r="G1657" s="1">
        <v>40914</v>
      </c>
      <c r="J1657" t="s">
        <v>8901</v>
      </c>
      <c r="K1657" t="s">
        <v>1550</v>
      </c>
      <c r="L1657" t="s">
        <v>8902</v>
      </c>
      <c r="M1657">
        <v>306.70899707000001</v>
      </c>
      <c r="N1657" t="s">
        <v>8903</v>
      </c>
      <c r="O1657" t="s">
        <v>26</v>
      </c>
      <c r="P1657">
        <v>17.95</v>
      </c>
      <c r="R1657">
        <v>17.95</v>
      </c>
      <c r="S1657">
        <v>26.93</v>
      </c>
      <c r="T1657" t="s">
        <v>8904</v>
      </c>
    </row>
    <row r="1658" spans="1:20">
      <c r="A1658">
        <v>868850</v>
      </c>
      <c r="B1658" t="s">
        <v>8905</v>
      </c>
      <c r="C1658" t="str">
        <f>"9781553654490"</f>
        <v>9781553654490</v>
      </c>
      <c r="D1658" t="str">
        <f>"9781926685670"</f>
        <v>9781926685670</v>
      </c>
      <c r="E1658" t="s">
        <v>3092</v>
      </c>
      <c r="F1658" t="s">
        <v>3093</v>
      </c>
      <c r="G1658" s="1">
        <v>40914</v>
      </c>
      <c r="J1658" t="s">
        <v>8906</v>
      </c>
      <c r="K1658" t="s">
        <v>291</v>
      </c>
      <c r="L1658" t="s">
        <v>8907</v>
      </c>
      <c r="M1658">
        <v>949.70299999999997</v>
      </c>
      <c r="N1658" t="s">
        <v>8908</v>
      </c>
      <c r="O1658" t="s">
        <v>26</v>
      </c>
      <c r="P1658">
        <v>14.95</v>
      </c>
      <c r="R1658">
        <v>14.95</v>
      </c>
      <c r="S1658">
        <v>22.43</v>
      </c>
      <c r="T1658" t="s">
        <v>8909</v>
      </c>
    </row>
    <row r="1659" spans="1:20">
      <c r="A1659">
        <v>868853</v>
      </c>
      <c r="B1659" t="s">
        <v>8910</v>
      </c>
      <c r="C1659" t="str">
        <f>"9781553653813"</f>
        <v>9781553653813</v>
      </c>
      <c r="D1659" t="str">
        <f>"9781926685694"</f>
        <v>9781926685694</v>
      </c>
      <c r="E1659" t="s">
        <v>3092</v>
      </c>
      <c r="F1659" t="s">
        <v>3093</v>
      </c>
      <c r="G1659" s="1">
        <v>40914</v>
      </c>
      <c r="J1659" t="s">
        <v>8911</v>
      </c>
      <c r="K1659" t="s">
        <v>291</v>
      </c>
      <c r="L1659" t="s">
        <v>8912</v>
      </c>
      <c r="M1659">
        <v>971.07</v>
      </c>
      <c r="N1659" t="s">
        <v>8913</v>
      </c>
      <c r="O1659" t="s">
        <v>26</v>
      </c>
      <c r="P1659">
        <v>14.95</v>
      </c>
      <c r="R1659">
        <v>14.95</v>
      </c>
      <c r="S1659">
        <v>22.43</v>
      </c>
      <c r="T1659" t="s">
        <v>8914</v>
      </c>
    </row>
    <row r="1660" spans="1:20">
      <c r="A1660">
        <v>868854</v>
      </c>
      <c r="B1660" t="s">
        <v>8915</v>
      </c>
      <c r="C1660" t="str">
        <f>"9781553654056"</f>
        <v>9781553654056</v>
      </c>
      <c r="D1660" t="str">
        <f>"9781926685854"</f>
        <v>9781926685854</v>
      </c>
      <c r="E1660" t="s">
        <v>3092</v>
      </c>
      <c r="F1660" t="s">
        <v>3093</v>
      </c>
      <c r="G1660" s="1">
        <v>40914</v>
      </c>
      <c r="J1660" t="s">
        <v>8916</v>
      </c>
      <c r="K1660" t="s">
        <v>1458</v>
      </c>
      <c r="L1660" t="s">
        <v>8917</v>
      </c>
      <c r="M1660">
        <v>813.6</v>
      </c>
      <c r="N1660" t="s">
        <v>8918</v>
      </c>
      <c r="O1660" t="s">
        <v>26</v>
      </c>
      <c r="P1660">
        <v>14.95</v>
      </c>
      <c r="R1660">
        <v>14.95</v>
      </c>
      <c r="S1660">
        <v>22.43</v>
      </c>
      <c r="T1660" t="s">
        <v>8919</v>
      </c>
    </row>
    <row r="1661" spans="1:20">
      <c r="A1661">
        <v>870899</v>
      </c>
      <c r="B1661" t="s">
        <v>8920</v>
      </c>
      <c r="C1661" t="str">
        <f>"9781459801196"</f>
        <v>9781459801196</v>
      </c>
      <c r="D1661" t="str">
        <f>"9781459801219"</f>
        <v>9781459801219</v>
      </c>
      <c r="E1661" t="s">
        <v>4668</v>
      </c>
      <c r="F1661" t="s">
        <v>4668</v>
      </c>
      <c r="G1661" s="1">
        <v>41000</v>
      </c>
      <c r="I1661" t="s">
        <v>5056</v>
      </c>
      <c r="J1661" t="s">
        <v>5747</v>
      </c>
      <c r="K1661" t="s">
        <v>1464</v>
      </c>
      <c r="L1661" t="s">
        <v>8921</v>
      </c>
      <c r="M1661" t="s">
        <v>1509</v>
      </c>
      <c r="N1661" t="s">
        <v>8922</v>
      </c>
      <c r="O1661" t="s">
        <v>26</v>
      </c>
      <c r="P1661">
        <v>9.99</v>
      </c>
      <c r="Q1661">
        <v>12.49</v>
      </c>
      <c r="R1661">
        <v>9.99</v>
      </c>
      <c r="T1661" t="s">
        <v>8923</v>
      </c>
    </row>
    <row r="1662" spans="1:20">
      <c r="A1662">
        <v>870900</v>
      </c>
      <c r="B1662" t="s">
        <v>8924</v>
      </c>
      <c r="C1662" t="str">
        <f>"9781459800519"</f>
        <v>9781459800519</v>
      </c>
      <c r="D1662" t="str">
        <f>"9781459800526"</f>
        <v>9781459800526</v>
      </c>
      <c r="E1662" t="s">
        <v>4668</v>
      </c>
      <c r="F1662" t="s">
        <v>4668</v>
      </c>
      <c r="G1662" s="1">
        <v>41000</v>
      </c>
      <c r="I1662" t="s">
        <v>5010</v>
      </c>
      <c r="J1662" t="s">
        <v>5694</v>
      </c>
      <c r="K1662" t="s">
        <v>1464</v>
      </c>
      <c r="L1662" t="s">
        <v>8925</v>
      </c>
      <c r="M1662" t="s">
        <v>1509</v>
      </c>
      <c r="N1662" t="s">
        <v>8926</v>
      </c>
      <c r="O1662" t="s">
        <v>26</v>
      </c>
      <c r="P1662">
        <v>7.99</v>
      </c>
      <c r="Q1662">
        <v>9.99</v>
      </c>
      <c r="R1662">
        <v>7.99</v>
      </c>
      <c r="T1662" t="s">
        <v>8927</v>
      </c>
    </row>
    <row r="1663" spans="1:20">
      <c r="A1663">
        <v>870901</v>
      </c>
      <c r="B1663" t="s">
        <v>8928</v>
      </c>
      <c r="C1663" t="str">
        <f>"9781554699568"</f>
        <v>9781554699568</v>
      </c>
      <c r="D1663" t="str">
        <f>"9781554699575"</f>
        <v>9781554699575</v>
      </c>
      <c r="E1663" t="s">
        <v>4668</v>
      </c>
      <c r="F1663" t="s">
        <v>8157</v>
      </c>
      <c r="G1663" s="1">
        <v>41000</v>
      </c>
      <c r="I1663" t="s">
        <v>8158</v>
      </c>
      <c r="J1663" t="s">
        <v>8929</v>
      </c>
      <c r="K1663" t="s">
        <v>1464</v>
      </c>
      <c r="L1663" t="s">
        <v>8930</v>
      </c>
      <c r="M1663" t="s">
        <v>1509</v>
      </c>
      <c r="N1663" t="s">
        <v>8931</v>
      </c>
      <c r="O1663" t="s">
        <v>26</v>
      </c>
      <c r="P1663">
        <v>9.99</v>
      </c>
      <c r="Q1663">
        <v>12.49</v>
      </c>
      <c r="R1663">
        <v>9.99</v>
      </c>
      <c r="T1663" t="s">
        <v>8932</v>
      </c>
    </row>
    <row r="1664" spans="1:20">
      <c r="A1664">
        <v>870902</v>
      </c>
      <c r="B1664" t="s">
        <v>8933</v>
      </c>
      <c r="C1664" t="str">
        <f>"9781459800700"</f>
        <v>9781459800700</v>
      </c>
      <c r="D1664" t="str">
        <f>"9781459800717"</f>
        <v>9781459800717</v>
      </c>
      <c r="E1664" t="s">
        <v>4668</v>
      </c>
      <c r="F1664" t="s">
        <v>4668</v>
      </c>
      <c r="G1664" s="1">
        <v>41000</v>
      </c>
      <c r="I1664" t="s">
        <v>8244</v>
      </c>
      <c r="J1664" t="s">
        <v>8934</v>
      </c>
      <c r="K1664" t="s">
        <v>1464</v>
      </c>
      <c r="L1664" t="s">
        <v>8935</v>
      </c>
      <c r="M1664" t="s">
        <v>1509</v>
      </c>
      <c r="N1664" t="s">
        <v>8936</v>
      </c>
      <c r="O1664" t="s">
        <v>26</v>
      </c>
      <c r="P1664">
        <v>9.99</v>
      </c>
      <c r="Q1664">
        <v>12.49</v>
      </c>
      <c r="R1664">
        <v>9.99</v>
      </c>
      <c r="T1664" t="s">
        <v>8937</v>
      </c>
    </row>
    <row r="1665" spans="1:20">
      <c r="A1665">
        <v>870903</v>
      </c>
      <c r="B1665" t="s">
        <v>8938</v>
      </c>
      <c r="C1665" t="str">
        <f>"9781554699902"</f>
        <v>9781554699902</v>
      </c>
      <c r="D1665" t="str">
        <f>"9781554699940"</f>
        <v>9781554699940</v>
      </c>
      <c r="E1665" t="s">
        <v>4668</v>
      </c>
      <c r="F1665" t="s">
        <v>8157</v>
      </c>
      <c r="G1665" s="1">
        <v>41000</v>
      </c>
      <c r="I1665" t="s">
        <v>8158</v>
      </c>
      <c r="J1665" t="s">
        <v>8939</v>
      </c>
      <c r="K1665" t="s">
        <v>1464</v>
      </c>
      <c r="L1665" t="s">
        <v>8940</v>
      </c>
      <c r="M1665" t="s">
        <v>1509</v>
      </c>
      <c r="N1665" t="s">
        <v>8941</v>
      </c>
      <c r="O1665" t="s">
        <v>26</v>
      </c>
      <c r="P1665">
        <v>9.99</v>
      </c>
      <c r="Q1665">
        <v>12.49</v>
      </c>
      <c r="R1665">
        <v>9.99</v>
      </c>
      <c r="T1665" t="s">
        <v>8942</v>
      </c>
    </row>
    <row r="1666" spans="1:20">
      <c r="A1666">
        <v>870904</v>
      </c>
      <c r="B1666" t="s">
        <v>8943</v>
      </c>
      <c r="C1666" t="str">
        <f>"9781459800960"</f>
        <v>9781459800960</v>
      </c>
      <c r="D1666" t="str">
        <f>"9781459800984"</f>
        <v>9781459800984</v>
      </c>
      <c r="E1666" t="s">
        <v>4668</v>
      </c>
      <c r="F1666" t="s">
        <v>4668</v>
      </c>
      <c r="G1666" s="1">
        <v>41000</v>
      </c>
      <c r="I1666" t="s">
        <v>4685</v>
      </c>
      <c r="J1666" t="s">
        <v>8195</v>
      </c>
      <c r="K1666" t="s">
        <v>1464</v>
      </c>
      <c r="L1666" t="s">
        <v>8944</v>
      </c>
      <c r="M1666" t="s">
        <v>1509</v>
      </c>
      <c r="N1666" t="s">
        <v>8945</v>
      </c>
      <c r="O1666" t="s">
        <v>26</v>
      </c>
      <c r="P1666">
        <v>9.99</v>
      </c>
      <c r="Q1666">
        <v>12.49</v>
      </c>
      <c r="R1666">
        <v>9.99</v>
      </c>
      <c r="T1666" t="s">
        <v>8946</v>
      </c>
    </row>
    <row r="1667" spans="1:20">
      <c r="A1667">
        <v>870905</v>
      </c>
      <c r="B1667" t="s">
        <v>8947</v>
      </c>
      <c r="C1667" t="str">
        <f>"9781459801394"</f>
        <v>9781459801394</v>
      </c>
      <c r="D1667" t="str">
        <f>"9781459801417"</f>
        <v>9781459801417</v>
      </c>
      <c r="E1667" t="s">
        <v>4668</v>
      </c>
      <c r="F1667" t="s">
        <v>4668</v>
      </c>
      <c r="G1667" s="1">
        <v>40969</v>
      </c>
      <c r="I1667" t="s">
        <v>5056</v>
      </c>
      <c r="J1667" t="s">
        <v>5881</v>
      </c>
      <c r="K1667" t="s">
        <v>1464</v>
      </c>
      <c r="L1667" t="s">
        <v>8948</v>
      </c>
      <c r="M1667" t="s">
        <v>1509</v>
      </c>
      <c r="N1667" t="s">
        <v>8949</v>
      </c>
      <c r="O1667" t="s">
        <v>26</v>
      </c>
      <c r="P1667">
        <v>9.99</v>
      </c>
      <c r="Q1667">
        <v>12.49</v>
      </c>
      <c r="R1667">
        <v>9.99</v>
      </c>
      <c r="T1667" t="s">
        <v>8950</v>
      </c>
    </row>
    <row r="1668" spans="1:20">
      <c r="A1668">
        <v>870906</v>
      </c>
      <c r="B1668" t="s">
        <v>8951</v>
      </c>
      <c r="C1668" t="str">
        <f>"9781554693900"</f>
        <v>9781554693900</v>
      </c>
      <c r="D1668" t="str">
        <f>"9781554693917"</f>
        <v>9781554693917</v>
      </c>
      <c r="E1668" t="s">
        <v>4668</v>
      </c>
      <c r="F1668" t="s">
        <v>4668</v>
      </c>
      <c r="G1668" s="1">
        <v>41000</v>
      </c>
      <c r="J1668" t="s">
        <v>5814</v>
      </c>
      <c r="K1668" t="s">
        <v>1464</v>
      </c>
      <c r="L1668" t="s">
        <v>8952</v>
      </c>
      <c r="M1668" t="s">
        <v>1509</v>
      </c>
      <c r="N1668" t="s">
        <v>8953</v>
      </c>
      <c r="O1668" t="s">
        <v>26</v>
      </c>
      <c r="P1668">
        <v>12.99</v>
      </c>
      <c r="Q1668">
        <v>16.239999999999998</v>
      </c>
      <c r="R1668">
        <v>12.99</v>
      </c>
      <c r="T1668" t="s">
        <v>8954</v>
      </c>
    </row>
    <row r="1669" spans="1:20">
      <c r="A1669">
        <v>870907</v>
      </c>
      <c r="B1669" t="s">
        <v>8955</v>
      </c>
      <c r="C1669" t="str">
        <f>"9781459801035"</f>
        <v>9781459801035</v>
      </c>
      <c r="D1669" t="str">
        <f>"9781459801059"</f>
        <v>9781459801059</v>
      </c>
      <c r="E1669" t="s">
        <v>4668</v>
      </c>
      <c r="F1669" t="s">
        <v>4668</v>
      </c>
      <c r="G1669" s="1">
        <v>41000</v>
      </c>
      <c r="I1669" t="s">
        <v>4685</v>
      </c>
      <c r="J1669" t="s">
        <v>5203</v>
      </c>
      <c r="K1669" t="s">
        <v>1464</v>
      </c>
      <c r="L1669" t="s">
        <v>8956</v>
      </c>
      <c r="M1669" t="s">
        <v>1509</v>
      </c>
      <c r="N1669" t="s">
        <v>8440</v>
      </c>
      <c r="O1669" t="s">
        <v>26</v>
      </c>
      <c r="P1669">
        <v>9.99</v>
      </c>
      <c r="Q1669">
        <v>12.49</v>
      </c>
      <c r="R1669">
        <v>9.99</v>
      </c>
      <c r="T1669" t="s">
        <v>8957</v>
      </c>
    </row>
    <row r="1670" spans="1:20">
      <c r="A1670">
        <v>870908</v>
      </c>
      <c r="B1670" t="s">
        <v>8958</v>
      </c>
      <c r="C1670" t="str">
        <f>"9781459800779"</f>
        <v>9781459800779</v>
      </c>
      <c r="D1670" t="str">
        <f>"9781459800786"</f>
        <v>9781459800786</v>
      </c>
      <c r="E1670" t="s">
        <v>4668</v>
      </c>
      <c r="F1670" t="s">
        <v>4668</v>
      </c>
      <c r="G1670" s="1">
        <v>41000</v>
      </c>
      <c r="J1670" t="s">
        <v>8959</v>
      </c>
      <c r="K1670" t="s">
        <v>1464</v>
      </c>
      <c r="L1670" t="s">
        <v>8960</v>
      </c>
      <c r="M1670" t="s">
        <v>4752</v>
      </c>
      <c r="N1670" t="s">
        <v>8961</v>
      </c>
      <c r="O1670" t="s">
        <v>26</v>
      </c>
      <c r="P1670">
        <v>12.99</v>
      </c>
      <c r="Q1670">
        <v>16.239999999999998</v>
      </c>
      <c r="R1670">
        <v>12.99</v>
      </c>
      <c r="T1670" t="s">
        <v>8962</v>
      </c>
    </row>
    <row r="1671" spans="1:20">
      <c r="A1671">
        <v>870909</v>
      </c>
      <c r="B1671" t="s">
        <v>8963</v>
      </c>
      <c r="C1671" t="str">
        <f>"9781459800458"</f>
        <v>9781459800458</v>
      </c>
      <c r="D1671" t="str">
        <f>"9781459800465"</f>
        <v>9781459800465</v>
      </c>
      <c r="E1671" t="s">
        <v>4668</v>
      </c>
      <c r="F1671" t="s">
        <v>4668</v>
      </c>
      <c r="G1671" s="1">
        <v>41000</v>
      </c>
      <c r="I1671" t="s">
        <v>5010</v>
      </c>
      <c r="J1671" t="s">
        <v>8234</v>
      </c>
      <c r="K1671" t="s">
        <v>1464</v>
      </c>
      <c r="L1671" t="s">
        <v>8964</v>
      </c>
      <c r="M1671" t="s">
        <v>1509</v>
      </c>
      <c r="N1671" t="s">
        <v>8965</v>
      </c>
      <c r="O1671" t="s">
        <v>26</v>
      </c>
      <c r="P1671">
        <v>7.99</v>
      </c>
      <c r="Q1671">
        <v>9.99</v>
      </c>
      <c r="R1671">
        <v>7.99</v>
      </c>
      <c r="T1671" t="s">
        <v>8966</v>
      </c>
    </row>
    <row r="1672" spans="1:20">
      <c r="A1672">
        <v>870910</v>
      </c>
      <c r="B1672" t="s">
        <v>8967</v>
      </c>
      <c r="C1672" t="str">
        <f>"9781554699780"</f>
        <v>9781554699780</v>
      </c>
      <c r="D1672" t="str">
        <f>"9781554699797"</f>
        <v>9781554699797</v>
      </c>
      <c r="E1672" t="s">
        <v>4668</v>
      </c>
      <c r="F1672" t="s">
        <v>4668</v>
      </c>
      <c r="G1672" s="1">
        <v>41000</v>
      </c>
      <c r="J1672" t="s">
        <v>8968</v>
      </c>
      <c r="K1672" t="s">
        <v>4112</v>
      </c>
      <c r="L1672" t="s">
        <v>8969</v>
      </c>
      <c r="M1672">
        <v>272</v>
      </c>
      <c r="N1672" t="s">
        <v>8970</v>
      </c>
      <c r="O1672" t="s">
        <v>26</v>
      </c>
      <c r="P1672">
        <v>12.99</v>
      </c>
      <c r="Q1672">
        <v>16.239999999999998</v>
      </c>
      <c r="R1672">
        <v>12.99</v>
      </c>
      <c r="T1672" t="s">
        <v>8971</v>
      </c>
    </row>
    <row r="1673" spans="1:20">
      <c r="A1673">
        <v>871719</v>
      </c>
      <c r="B1673" t="s">
        <v>8972</v>
      </c>
      <c r="C1673" t="str">
        <f>"9781459800038"</f>
        <v>9781459800038</v>
      </c>
      <c r="D1673" t="str">
        <f>"9781459800045"</f>
        <v>9781459800045</v>
      </c>
      <c r="E1673" t="s">
        <v>4668</v>
      </c>
      <c r="F1673" t="s">
        <v>4668</v>
      </c>
      <c r="G1673" s="1">
        <v>40817</v>
      </c>
      <c r="I1673" t="s">
        <v>8973</v>
      </c>
      <c r="J1673" t="s">
        <v>8269</v>
      </c>
      <c r="K1673" t="s">
        <v>8974</v>
      </c>
      <c r="L1673" t="s">
        <v>8975</v>
      </c>
      <c r="M1673">
        <v>141</v>
      </c>
      <c r="N1673" t="s">
        <v>8976</v>
      </c>
      <c r="O1673" t="s">
        <v>94</v>
      </c>
      <c r="P1673">
        <v>9.99</v>
      </c>
      <c r="Q1673">
        <v>12.49</v>
      </c>
      <c r="R1673">
        <v>9.99</v>
      </c>
      <c r="T1673" t="s">
        <v>8977</v>
      </c>
    </row>
    <row r="1674" spans="1:20">
      <c r="A1674">
        <v>871720</v>
      </c>
      <c r="B1674" t="s">
        <v>8978</v>
      </c>
      <c r="C1674" t="str">
        <f>"9781459800069"</f>
        <v>9781459800069</v>
      </c>
      <c r="D1674" t="str">
        <f>"9781459800076"</f>
        <v>9781459800076</v>
      </c>
      <c r="E1674" t="s">
        <v>4668</v>
      </c>
      <c r="F1674" t="s">
        <v>4668</v>
      </c>
      <c r="G1674" s="1">
        <v>40817</v>
      </c>
      <c r="I1674" t="s">
        <v>8979</v>
      </c>
      <c r="J1674" t="s">
        <v>5287</v>
      </c>
      <c r="K1674" t="s">
        <v>8974</v>
      </c>
      <c r="L1674" t="s">
        <v>8980</v>
      </c>
      <c r="M1674">
        <v>113</v>
      </c>
      <c r="N1674" t="s">
        <v>8981</v>
      </c>
      <c r="O1674" t="s">
        <v>94</v>
      </c>
      <c r="P1674">
        <v>9.99</v>
      </c>
      <c r="Q1674">
        <v>12.49</v>
      </c>
      <c r="R1674">
        <v>9.99</v>
      </c>
      <c r="T1674" t="s">
        <v>8982</v>
      </c>
    </row>
    <row r="1675" spans="1:20">
      <c r="A1675">
        <v>871721</v>
      </c>
      <c r="B1675" t="s">
        <v>8983</v>
      </c>
      <c r="C1675" t="str">
        <f>"9781459800007"</f>
        <v>9781459800007</v>
      </c>
      <c r="D1675" t="str">
        <f>"9781459800014"</f>
        <v>9781459800014</v>
      </c>
      <c r="E1675" t="s">
        <v>4668</v>
      </c>
      <c r="F1675" t="s">
        <v>4668</v>
      </c>
      <c r="G1675" s="1">
        <v>40787</v>
      </c>
      <c r="I1675" t="s">
        <v>8973</v>
      </c>
      <c r="J1675" t="s">
        <v>5575</v>
      </c>
      <c r="K1675" t="s">
        <v>8974</v>
      </c>
      <c r="L1675" t="s">
        <v>8984</v>
      </c>
      <c r="M1675">
        <v>128</v>
      </c>
      <c r="N1675" t="s">
        <v>5589</v>
      </c>
      <c r="O1675" t="s">
        <v>94</v>
      </c>
      <c r="P1675">
        <v>9.99</v>
      </c>
      <c r="Q1675">
        <v>12.49</v>
      </c>
      <c r="R1675">
        <v>9.99</v>
      </c>
      <c r="T1675" t="s">
        <v>8985</v>
      </c>
    </row>
    <row r="1676" spans="1:20">
      <c r="A1676">
        <v>871722</v>
      </c>
      <c r="B1676" t="s">
        <v>8986</v>
      </c>
      <c r="C1676" t="str">
        <f>"9781554699971"</f>
        <v>9781554699971</v>
      </c>
      <c r="D1676" t="str">
        <f>"9781554699988"</f>
        <v>9781554699988</v>
      </c>
      <c r="E1676" t="s">
        <v>4668</v>
      </c>
      <c r="F1676" t="s">
        <v>4668</v>
      </c>
      <c r="G1676" s="1">
        <v>40787</v>
      </c>
      <c r="I1676" t="s">
        <v>8973</v>
      </c>
      <c r="J1676" t="s">
        <v>8987</v>
      </c>
      <c r="K1676" t="s">
        <v>8974</v>
      </c>
      <c r="L1676" t="s">
        <v>8988</v>
      </c>
      <c r="M1676">
        <v>124</v>
      </c>
      <c r="N1676" t="s">
        <v>8989</v>
      </c>
      <c r="O1676" t="s">
        <v>94</v>
      </c>
      <c r="P1676">
        <v>9.99</v>
      </c>
      <c r="Q1676">
        <v>12.49</v>
      </c>
      <c r="R1676">
        <v>9.99</v>
      </c>
      <c r="T1676" t="s">
        <v>8990</v>
      </c>
    </row>
    <row r="1677" spans="1:20">
      <c r="A1677">
        <v>871723</v>
      </c>
      <c r="B1677" t="s">
        <v>8991</v>
      </c>
      <c r="C1677" t="str">
        <f>"9781554698028"</f>
        <v>9781554698028</v>
      </c>
      <c r="D1677" t="str">
        <f>"9781554698035"</f>
        <v>9781554698035</v>
      </c>
      <c r="E1677" t="s">
        <v>4668</v>
      </c>
      <c r="F1677" t="s">
        <v>4668</v>
      </c>
      <c r="G1677" s="1">
        <v>40848</v>
      </c>
      <c r="I1677" t="s">
        <v>4703</v>
      </c>
      <c r="J1677" t="s">
        <v>4919</v>
      </c>
      <c r="K1677" t="s">
        <v>1464</v>
      </c>
      <c r="L1677" t="s">
        <v>8992</v>
      </c>
      <c r="M1677" t="s">
        <v>1509</v>
      </c>
      <c r="N1677" t="s">
        <v>8993</v>
      </c>
      <c r="O1677" t="s">
        <v>26</v>
      </c>
      <c r="P1677">
        <v>6.99</v>
      </c>
      <c r="Q1677">
        <v>8.74</v>
      </c>
      <c r="R1677">
        <v>6.99</v>
      </c>
      <c r="T1677" t="s">
        <v>8994</v>
      </c>
    </row>
    <row r="1678" spans="1:20">
      <c r="A1678">
        <v>871724</v>
      </c>
      <c r="B1678" t="s">
        <v>8995</v>
      </c>
      <c r="C1678" t="str">
        <f>"9781554698790"</f>
        <v>9781554698790</v>
      </c>
      <c r="D1678" t="str">
        <f>"9781554698806"</f>
        <v>9781554698806</v>
      </c>
      <c r="E1678" t="s">
        <v>4668</v>
      </c>
      <c r="F1678" t="s">
        <v>4668</v>
      </c>
      <c r="G1678" s="1">
        <v>40817</v>
      </c>
      <c r="J1678" t="s">
        <v>3584</v>
      </c>
      <c r="K1678" t="s">
        <v>1464</v>
      </c>
      <c r="L1678" t="s">
        <v>8996</v>
      </c>
      <c r="M1678" t="s">
        <v>3574</v>
      </c>
      <c r="N1678" t="s">
        <v>8997</v>
      </c>
      <c r="O1678" t="s">
        <v>26</v>
      </c>
      <c r="P1678">
        <v>12.99</v>
      </c>
      <c r="Q1678">
        <v>16.239999999999998</v>
      </c>
      <c r="R1678">
        <v>12.99</v>
      </c>
      <c r="T1678" t="s">
        <v>8998</v>
      </c>
    </row>
    <row r="1679" spans="1:20">
      <c r="A1679">
        <v>876404</v>
      </c>
      <c r="B1679" t="s">
        <v>8999</v>
      </c>
      <c r="C1679" t="str">
        <f>"9781551524429"</f>
        <v>9781551524429</v>
      </c>
      <c r="D1679" t="str">
        <f>"9781551524436"</f>
        <v>9781551524436</v>
      </c>
      <c r="E1679" t="s">
        <v>2416</v>
      </c>
      <c r="F1679" t="s">
        <v>2416</v>
      </c>
      <c r="G1679" s="1">
        <v>40995</v>
      </c>
      <c r="J1679" t="s">
        <v>2736</v>
      </c>
      <c r="K1679" t="s">
        <v>1464</v>
      </c>
      <c r="L1679" t="s">
        <v>9000</v>
      </c>
      <c r="M1679" t="s">
        <v>9001</v>
      </c>
      <c r="N1679" t="s">
        <v>9002</v>
      </c>
      <c r="O1679" t="s">
        <v>26</v>
      </c>
      <c r="P1679">
        <v>14.95</v>
      </c>
      <c r="R1679">
        <v>14.95</v>
      </c>
      <c r="T1679" t="s">
        <v>9003</v>
      </c>
    </row>
    <row r="1680" spans="1:20">
      <c r="A1680">
        <v>879169</v>
      </c>
      <c r="B1680" t="s">
        <v>9004</v>
      </c>
      <c r="C1680" t="str">
        <f>"9781459800366"</f>
        <v>9781459800366</v>
      </c>
      <c r="D1680" t="str">
        <f>"9781459800373"</f>
        <v>9781459800373</v>
      </c>
      <c r="E1680" t="s">
        <v>4668</v>
      </c>
      <c r="F1680" t="s">
        <v>8157</v>
      </c>
      <c r="G1680" s="1">
        <v>41030</v>
      </c>
      <c r="I1680" t="s">
        <v>8158</v>
      </c>
      <c r="J1680" t="s">
        <v>3322</v>
      </c>
      <c r="K1680" t="s">
        <v>291</v>
      </c>
      <c r="L1680" t="s">
        <v>9005</v>
      </c>
      <c r="M1680">
        <v>940.54</v>
      </c>
      <c r="N1680" t="s">
        <v>9006</v>
      </c>
      <c r="O1680" t="s">
        <v>26</v>
      </c>
      <c r="P1680">
        <v>9.99</v>
      </c>
      <c r="Q1680">
        <v>12.49</v>
      </c>
      <c r="R1680">
        <v>9.99</v>
      </c>
      <c r="T1680" t="s">
        <v>9007</v>
      </c>
    </row>
    <row r="1681" spans="1:20">
      <c r="A1681">
        <v>879170</v>
      </c>
      <c r="B1681" t="s">
        <v>9008</v>
      </c>
      <c r="C1681" t="str">
        <f>"9781554698820"</f>
        <v>9781554698820</v>
      </c>
      <c r="D1681" t="str">
        <f>"9781554698837"</f>
        <v>9781554698837</v>
      </c>
      <c r="E1681" t="s">
        <v>4668</v>
      </c>
      <c r="F1681" t="s">
        <v>4668</v>
      </c>
      <c r="G1681" s="1">
        <v>41030</v>
      </c>
      <c r="J1681" t="s">
        <v>3584</v>
      </c>
      <c r="K1681" t="s">
        <v>1464</v>
      </c>
      <c r="L1681" t="s">
        <v>9009</v>
      </c>
      <c r="M1681" t="s">
        <v>4671</v>
      </c>
      <c r="N1681" t="s">
        <v>9010</v>
      </c>
      <c r="O1681" t="s">
        <v>26</v>
      </c>
      <c r="P1681">
        <v>12.99</v>
      </c>
      <c r="Q1681">
        <v>16.239999999999998</v>
      </c>
      <c r="R1681">
        <v>12.99</v>
      </c>
      <c r="T1681" t="s">
        <v>9011</v>
      </c>
    </row>
    <row r="1682" spans="1:20">
      <c r="A1682">
        <v>879171</v>
      </c>
      <c r="B1682" t="s">
        <v>9012</v>
      </c>
      <c r="C1682" t="str">
        <f>"9781554698691"</f>
        <v>9781554698691</v>
      </c>
      <c r="D1682" t="str">
        <f>"9781554698707"</f>
        <v>9781554698707</v>
      </c>
      <c r="E1682" t="s">
        <v>4668</v>
      </c>
      <c r="F1682" t="s">
        <v>4668</v>
      </c>
      <c r="G1682" s="1">
        <v>41030</v>
      </c>
      <c r="I1682" t="s">
        <v>4703</v>
      </c>
      <c r="J1682" t="s">
        <v>9013</v>
      </c>
      <c r="K1682" t="s">
        <v>1464</v>
      </c>
      <c r="L1682" t="s">
        <v>9014</v>
      </c>
      <c r="M1682" t="s">
        <v>1509</v>
      </c>
      <c r="N1682" t="s">
        <v>9015</v>
      </c>
      <c r="O1682" t="s">
        <v>26</v>
      </c>
      <c r="P1682">
        <v>6.99</v>
      </c>
      <c r="Q1682">
        <v>8.74</v>
      </c>
      <c r="R1682">
        <v>6.99</v>
      </c>
      <c r="T1682" t="s">
        <v>9016</v>
      </c>
    </row>
    <row r="1683" spans="1:20">
      <c r="A1683">
        <v>879172</v>
      </c>
      <c r="B1683" t="s">
        <v>9017</v>
      </c>
      <c r="C1683" t="str">
        <f>"9781459800625"</f>
        <v>9781459800625</v>
      </c>
      <c r="D1683" t="str">
        <f>"9781459800632"</f>
        <v>9781459800632</v>
      </c>
      <c r="E1683" t="s">
        <v>4668</v>
      </c>
      <c r="F1683" t="s">
        <v>4668</v>
      </c>
      <c r="G1683" s="1">
        <v>41030</v>
      </c>
      <c r="I1683" t="s">
        <v>8244</v>
      </c>
      <c r="J1683" t="s">
        <v>8245</v>
      </c>
      <c r="K1683" t="s">
        <v>1464</v>
      </c>
      <c r="L1683" t="s">
        <v>9018</v>
      </c>
      <c r="M1683" t="s">
        <v>3612</v>
      </c>
      <c r="N1683" t="s">
        <v>9019</v>
      </c>
      <c r="O1683" t="s">
        <v>26</v>
      </c>
      <c r="P1683">
        <v>9.99</v>
      </c>
      <c r="Q1683">
        <v>12.49</v>
      </c>
      <c r="R1683">
        <v>9.99</v>
      </c>
      <c r="T1683" t="s">
        <v>9020</v>
      </c>
    </row>
    <row r="1684" spans="1:20">
      <c r="A1684">
        <v>879173</v>
      </c>
      <c r="B1684" t="s">
        <v>9021</v>
      </c>
      <c r="C1684" t="str">
        <f>"9781459800687"</f>
        <v>9781459800687</v>
      </c>
      <c r="D1684" t="str">
        <f>"9781459800694"</f>
        <v>9781459800694</v>
      </c>
      <c r="E1684" t="s">
        <v>4668</v>
      </c>
      <c r="F1684" t="s">
        <v>4668</v>
      </c>
      <c r="G1684" s="1">
        <v>41030</v>
      </c>
      <c r="I1684" t="s">
        <v>4703</v>
      </c>
      <c r="J1684" t="s">
        <v>5681</v>
      </c>
      <c r="K1684" t="s">
        <v>1464</v>
      </c>
      <c r="L1684" t="s">
        <v>9022</v>
      </c>
      <c r="M1684" t="s">
        <v>4671</v>
      </c>
      <c r="N1684" t="s">
        <v>9023</v>
      </c>
      <c r="O1684" t="s">
        <v>26</v>
      </c>
      <c r="P1684">
        <v>6.99</v>
      </c>
      <c r="Q1684">
        <v>8.74</v>
      </c>
      <c r="R1684">
        <v>6.99</v>
      </c>
      <c r="T1684" t="s">
        <v>9024</v>
      </c>
    </row>
    <row r="1685" spans="1:20">
      <c r="A1685">
        <v>879174</v>
      </c>
      <c r="B1685" t="s">
        <v>9025</v>
      </c>
      <c r="C1685" t="str">
        <f>"9781554699292"</f>
        <v>9781554699292</v>
      </c>
      <c r="D1685" t="str">
        <f>"9781554699308"</f>
        <v>9781554699308</v>
      </c>
      <c r="E1685" t="s">
        <v>4668</v>
      </c>
      <c r="F1685" t="s">
        <v>4668</v>
      </c>
      <c r="G1685" s="1">
        <v>41030</v>
      </c>
      <c r="I1685" t="s">
        <v>4703</v>
      </c>
      <c r="J1685" t="s">
        <v>9026</v>
      </c>
      <c r="K1685" t="s">
        <v>1464</v>
      </c>
      <c r="L1685" t="s">
        <v>9027</v>
      </c>
      <c r="M1685" t="s">
        <v>1460</v>
      </c>
      <c r="N1685" t="s">
        <v>9028</v>
      </c>
      <c r="O1685" t="s">
        <v>26</v>
      </c>
      <c r="P1685">
        <v>6.99</v>
      </c>
      <c r="Q1685">
        <v>8.74</v>
      </c>
      <c r="R1685">
        <v>6.99</v>
      </c>
      <c r="T1685" t="s">
        <v>9029</v>
      </c>
    </row>
    <row r="1686" spans="1:20">
      <c r="A1686">
        <v>879175</v>
      </c>
      <c r="B1686" t="s">
        <v>1719</v>
      </c>
      <c r="C1686" t="str">
        <f>"9781554699896"</f>
        <v>9781554699896</v>
      </c>
      <c r="D1686" t="str">
        <f>"9781554699926"</f>
        <v>9781554699926</v>
      </c>
      <c r="E1686" t="s">
        <v>4668</v>
      </c>
      <c r="F1686" t="s">
        <v>4668</v>
      </c>
      <c r="G1686" s="1">
        <v>41000</v>
      </c>
      <c r="J1686" t="s">
        <v>5575</v>
      </c>
      <c r="K1686" t="s">
        <v>1464</v>
      </c>
      <c r="L1686" t="s">
        <v>9030</v>
      </c>
      <c r="M1686" t="s">
        <v>4671</v>
      </c>
      <c r="N1686" t="s">
        <v>9031</v>
      </c>
      <c r="O1686" t="s">
        <v>26</v>
      </c>
      <c r="P1686">
        <v>12.99</v>
      </c>
      <c r="Q1686">
        <v>16.239999999999998</v>
      </c>
      <c r="R1686">
        <v>12.99</v>
      </c>
      <c r="T1686" t="s">
        <v>9032</v>
      </c>
    </row>
    <row r="1687" spans="1:20">
      <c r="A1687">
        <v>879531</v>
      </c>
      <c r="B1687" t="s">
        <v>9033</v>
      </c>
      <c r="C1687" t="str">
        <f>"9781551524467"</f>
        <v>9781551524467</v>
      </c>
      <c r="D1687" t="str">
        <f>"9781551524474"</f>
        <v>9781551524474</v>
      </c>
      <c r="E1687" t="s">
        <v>2416</v>
      </c>
      <c r="F1687" t="s">
        <v>2416</v>
      </c>
      <c r="G1687" s="1">
        <v>41009</v>
      </c>
      <c r="J1687" t="s">
        <v>9034</v>
      </c>
      <c r="K1687" t="s">
        <v>1458</v>
      </c>
      <c r="L1687" t="s">
        <v>9035</v>
      </c>
      <c r="M1687">
        <v>813.6</v>
      </c>
      <c r="N1687" t="s">
        <v>9036</v>
      </c>
      <c r="O1687" t="s">
        <v>26</v>
      </c>
      <c r="P1687">
        <v>15.95</v>
      </c>
      <c r="R1687">
        <v>15.95</v>
      </c>
      <c r="T1687" t="s">
        <v>9037</v>
      </c>
    </row>
    <row r="1688" spans="1:20">
      <c r="A1688">
        <v>879563</v>
      </c>
      <c r="B1688" t="s">
        <v>9038</v>
      </c>
      <c r="C1688" t="str">
        <f>"9781552452523"</f>
        <v>9781552452523</v>
      </c>
      <c r="D1688" t="str">
        <f>"9781770562912"</f>
        <v>9781770562912</v>
      </c>
      <c r="E1688" t="s">
        <v>7779</v>
      </c>
      <c r="F1688" t="s">
        <v>7779</v>
      </c>
      <c r="G1688" s="1">
        <v>41016</v>
      </c>
      <c r="J1688" t="s">
        <v>8059</v>
      </c>
      <c r="K1688" t="s">
        <v>1458</v>
      </c>
      <c r="L1688" t="s">
        <v>9039</v>
      </c>
      <c r="M1688" t="s">
        <v>1693</v>
      </c>
      <c r="N1688" t="s">
        <v>9040</v>
      </c>
      <c r="O1688" t="s">
        <v>26</v>
      </c>
      <c r="P1688">
        <v>14.95</v>
      </c>
      <c r="R1688">
        <v>14.95</v>
      </c>
      <c r="T1688" t="s">
        <v>9041</v>
      </c>
    </row>
    <row r="1689" spans="1:20">
      <c r="A1689">
        <v>879576</v>
      </c>
      <c r="B1689" t="s">
        <v>9042</v>
      </c>
      <c r="C1689" t="str">
        <f>"9781553655268"</f>
        <v>9781553655268</v>
      </c>
      <c r="D1689" t="str">
        <f>"9781926685175"</f>
        <v>9781926685175</v>
      </c>
      <c r="E1689" t="s">
        <v>3030</v>
      </c>
      <c r="F1689" t="s">
        <v>3030</v>
      </c>
      <c r="G1689" s="1">
        <v>39995</v>
      </c>
      <c r="J1689" t="s">
        <v>9043</v>
      </c>
      <c r="K1689" t="s">
        <v>9044</v>
      </c>
      <c r="L1689" t="s">
        <v>9045</v>
      </c>
      <c r="M1689" t="s">
        <v>9046</v>
      </c>
      <c r="N1689" t="s">
        <v>9047</v>
      </c>
      <c r="O1689" t="s">
        <v>26</v>
      </c>
      <c r="P1689">
        <v>16.95</v>
      </c>
      <c r="R1689">
        <v>16.95</v>
      </c>
      <c r="S1689">
        <v>25.43</v>
      </c>
      <c r="T1689" t="s">
        <v>9048</v>
      </c>
    </row>
    <row r="1690" spans="1:20">
      <c r="A1690">
        <v>895754</v>
      </c>
      <c r="B1690" t="s">
        <v>9049</v>
      </c>
      <c r="C1690" t="str">
        <f>"9781553655275"</f>
        <v>9781553655275</v>
      </c>
      <c r="D1690" t="str">
        <f>"9781926685397"</f>
        <v>9781926685397</v>
      </c>
      <c r="E1690" t="s">
        <v>3030</v>
      </c>
      <c r="F1690" t="s">
        <v>3030</v>
      </c>
      <c r="G1690" s="1">
        <v>39934</v>
      </c>
      <c r="J1690" t="s">
        <v>9050</v>
      </c>
      <c r="K1690" t="s">
        <v>9051</v>
      </c>
      <c r="L1690" t="s">
        <v>9052</v>
      </c>
      <c r="M1690" t="s">
        <v>9053</v>
      </c>
      <c r="N1690" t="s">
        <v>9054</v>
      </c>
      <c r="O1690" t="s">
        <v>26</v>
      </c>
      <c r="P1690">
        <v>18.95</v>
      </c>
      <c r="R1690">
        <v>18.95</v>
      </c>
      <c r="S1690">
        <v>28.43</v>
      </c>
      <c r="T1690" t="s">
        <v>9055</v>
      </c>
    </row>
    <row r="1691" spans="1:20">
      <c r="A1691">
        <v>895755</v>
      </c>
      <c r="B1691" t="s">
        <v>9056</v>
      </c>
      <c r="C1691" t="str">
        <f>"9781553653691"</f>
        <v>9781553653691</v>
      </c>
      <c r="D1691" t="str">
        <f>"9781926685465"</f>
        <v>9781926685465</v>
      </c>
      <c r="E1691" t="s">
        <v>3030</v>
      </c>
      <c r="F1691" t="s">
        <v>3030</v>
      </c>
      <c r="G1691" s="1">
        <v>39934</v>
      </c>
      <c r="J1691" t="s">
        <v>9057</v>
      </c>
      <c r="K1691" t="s">
        <v>9058</v>
      </c>
      <c r="L1691" t="s">
        <v>9059</v>
      </c>
      <c r="M1691" t="s">
        <v>9060</v>
      </c>
      <c r="N1691" t="s">
        <v>9061</v>
      </c>
      <c r="O1691" t="s">
        <v>26</v>
      </c>
      <c r="P1691">
        <v>9.9499999999999993</v>
      </c>
      <c r="R1691">
        <v>9.9499999999999993</v>
      </c>
      <c r="S1691">
        <v>14.93</v>
      </c>
      <c r="T1691" t="s">
        <v>9062</v>
      </c>
    </row>
    <row r="1692" spans="1:20">
      <c r="A1692">
        <v>895773</v>
      </c>
      <c r="B1692" t="s">
        <v>9063</v>
      </c>
      <c r="C1692" t="str">
        <f>"9781553653851"</f>
        <v>9781553653851</v>
      </c>
      <c r="D1692" t="str">
        <f>"9781926685045"</f>
        <v>9781926685045</v>
      </c>
      <c r="E1692" t="s">
        <v>3030</v>
      </c>
      <c r="F1692" t="s">
        <v>3030</v>
      </c>
      <c r="G1692" s="1">
        <v>39995</v>
      </c>
      <c r="J1692" t="s">
        <v>9064</v>
      </c>
      <c r="K1692" t="s">
        <v>2387</v>
      </c>
      <c r="L1692" t="s">
        <v>9065</v>
      </c>
      <c r="M1692" t="s">
        <v>9066</v>
      </c>
      <c r="N1692" t="s">
        <v>9067</v>
      </c>
      <c r="O1692" t="s">
        <v>26</v>
      </c>
      <c r="P1692">
        <v>24.95</v>
      </c>
      <c r="R1692">
        <v>24.95</v>
      </c>
      <c r="S1692">
        <v>37.43</v>
      </c>
      <c r="T1692" t="s">
        <v>9068</v>
      </c>
    </row>
    <row r="1693" spans="1:20">
      <c r="A1693">
        <v>895774</v>
      </c>
      <c r="B1693" t="s">
        <v>9069</v>
      </c>
      <c r="C1693" t="str">
        <f>"9781553658054"</f>
        <v>9781553658054</v>
      </c>
      <c r="D1693" t="str">
        <f>"9781926685380"</f>
        <v>9781926685380</v>
      </c>
      <c r="E1693" t="s">
        <v>3030</v>
      </c>
      <c r="F1693" t="s">
        <v>3030</v>
      </c>
      <c r="G1693" s="1">
        <v>39995</v>
      </c>
      <c r="J1693" t="s">
        <v>9070</v>
      </c>
      <c r="K1693" t="s">
        <v>155</v>
      </c>
      <c r="L1693" t="s">
        <v>9071</v>
      </c>
      <c r="M1693">
        <v>599.78</v>
      </c>
      <c r="N1693" t="s">
        <v>9072</v>
      </c>
      <c r="O1693" t="s">
        <v>26</v>
      </c>
      <c r="P1693">
        <v>17.95</v>
      </c>
      <c r="R1693">
        <v>17.95</v>
      </c>
      <c r="S1693">
        <v>26.93</v>
      </c>
      <c r="T1693" t="s">
        <v>9073</v>
      </c>
    </row>
    <row r="1694" spans="1:20">
      <c r="A1694">
        <v>895797</v>
      </c>
      <c r="B1694" t="s">
        <v>9074</v>
      </c>
      <c r="C1694" t="str">
        <f>"9781553653769"</f>
        <v>9781553653769</v>
      </c>
      <c r="D1694" t="str">
        <f>"9781926685311"</f>
        <v>9781926685311</v>
      </c>
      <c r="E1694" t="s">
        <v>3030</v>
      </c>
      <c r="F1694" t="s">
        <v>3030</v>
      </c>
      <c r="G1694" s="1">
        <v>39995</v>
      </c>
      <c r="J1694" t="s">
        <v>9075</v>
      </c>
      <c r="K1694" t="s">
        <v>76</v>
      </c>
      <c r="L1694" t="s">
        <v>9076</v>
      </c>
      <c r="M1694">
        <v>635.09199999999998</v>
      </c>
      <c r="N1694" t="s">
        <v>9077</v>
      </c>
      <c r="O1694" t="s">
        <v>26</v>
      </c>
      <c r="P1694">
        <v>27</v>
      </c>
      <c r="R1694">
        <v>27</v>
      </c>
      <c r="S1694">
        <v>40.5</v>
      </c>
      <c r="T1694" t="s">
        <v>9078</v>
      </c>
    </row>
    <row r="1695" spans="1:20">
      <c r="A1695">
        <v>904481</v>
      </c>
      <c r="B1695" t="s">
        <v>9079</v>
      </c>
      <c r="C1695" t="str">
        <f>"9780865716384"</f>
        <v>9780865716384</v>
      </c>
      <c r="D1695" t="str">
        <f>"9781550924480"</f>
        <v>9781550924480</v>
      </c>
      <c r="E1695" t="s">
        <v>249</v>
      </c>
      <c r="F1695" t="s">
        <v>249</v>
      </c>
      <c r="G1695" s="1">
        <v>40463</v>
      </c>
      <c r="J1695" t="s">
        <v>9080</v>
      </c>
      <c r="K1695" t="s">
        <v>2536</v>
      </c>
      <c r="L1695" t="s">
        <v>9081</v>
      </c>
      <c r="M1695" t="s">
        <v>9082</v>
      </c>
      <c r="N1695" t="s">
        <v>9083</v>
      </c>
      <c r="O1695" t="s">
        <v>26</v>
      </c>
      <c r="P1695">
        <v>29.95</v>
      </c>
      <c r="R1695">
        <v>29.95</v>
      </c>
      <c r="T1695" t="s">
        <v>9084</v>
      </c>
    </row>
    <row r="1696" spans="1:20">
      <c r="A1696">
        <v>904482</v>
      </c>
      <c r="B1696" t="s">
        <v>9085</v>
      </c>
      <c r="C1696" t="str">
        <f>"9780865716193"</f>
        <v>9780865716193</v>
      </c>
      <c r="D1696" t="str">
        <f>"9781550924602"</f>
        <v>9781550924602</v>
      </c>
      <c r="E1696" t="s">
        <v>249</v>
      </c>
      <c r="F1696" t="s">
        <v>249</v>
      </c>
      <c r="G1696" s="1">
        <v>40421</v>
      </c>
      <c r="I1696" t="s">
        <v>2916</v>
      </c>
      <c r="J1696" t="s">
        <v>329</v>
      </c>
      <c r="K1696" t="s">
        <v>9086</v>
      </c>
      <c r="L1696" t="s">
        <v>9087</v>
      </c>
      <c r="M1696">
        <v>629.22900000000004</v>
      </c>
      <c r="N1696" t="s">
        <v>9088</v>
      </c>
      <c r="O1696" t="s">
        <v>26</v>
      </c>
      <c r="P1696">
        <v>12.95</v>
      </c>
      <c r="R1696">
        <v>12.95</v>
      </c>
      <c r="T1696" t="s">
        <v>9089</v>
      </c>
    </row>
    <row r="1697" spans="1:20">
      <c r="A1697">
        <v>904489</v>
      </c>
      <c r="B1697" t="s">
        <v>9090</v>
      </c>
      <c r="C1697" t="str">
        <f>"9780865716537"</f>
        <v>9780865716537</v>
      </c>
      <c r="D1697" t="str">
        <f>"9781550924435"</f>
        <v>9781550924435</v>
      </c>
      <c r="E1697" t="s">
        <v>249</v>
      </c>
      <c r="F1697" t="s">
        <v>249</v>
      </c>
      <c r="G1697" s="1">
        <v>40269</v>
      </c>
      <c r="J1697" t="s">
        <v>9091</v>
      </c>
      <c r="K1697" t="s">
        <v>9092</v>
      </c>
      <c r="L1697" t="s">
        <v>9093</v>
      </c>
      <c r="M1697" t="s">
        <v>9094</v>
      </c>
      <c r="N1697" t="s">
        <v>9095</v>
      </c>
      <c r="O1697" t="s">
        <v>26</v>
      </c>
      <c r="P1697">
        <v>29.95</v>
      </c>
      <c r="R1697">
        <v>29.95</v>
      </c>
      <c r="T1697" t="s">
        <v>9096</v>
      </c>
    </row>
    <row r="1698" spans="1:20">
      <c r="A1698">
        <v>914377</v>
      </c>
      <c r="B1698" t="s">
        <v>9097</v>
      </c>
      <c r="C1698" t="str">
        <f>"9781554693948"</f>
        <v>9781554693948</v>
      </c>
      <c r="D1698" t="str">
        <f>"9781554693955"</f>
        <v>9781554693955</v>
      </c>
      <c r="E1698" t="s">
        <v>4668</v>
      </c>
      <c r="F1698" t="s">
        <v>4668</v>
      </c>
      <c r="G1698" s="1">
        <v>41000</v>
      </c>
      <c r="J1698" t="s">
        <v>9098</v>
      </c>
      <c r="K1698" t="s">
        <v>791</v>
      </c>
      <c r="L1698" t="s">
        <v>9099</v>
      </c>
      <c r="M1698" t="s">
        <v>9100</v>
      </c>
      <c r="N1698" t="s">
        <v>9101</v>
      </c>
      <c r="O1698" t="s">
        <v>26</v>
      </c>
      <c r="P1698">
        <v>19.989999999999998</v>
      </c>
      <c r="Q1698">
        <v>24.99</v>
      </c>
      <c r="R1698">
        <v>19.989999999999998</v>
      </c>
      <c r="T1698" t="s">
        <v>9102</v>
      </c>
    </row>
    <row r="1699" spans="1:20">
      <c r="A1699">
        <v>920683</v>
      </c>
      <c r="B1699" t="s">
        <v>9103</v>
      </c>
      <c r="C1699" t="str">
        <f>"9781554690329"</f>
        <v>9781554690329</v>
      </c>
      <c r="D1699" t="str">
        <f>"9781554690336"</f>
        <v>9781554690336</v>
      </c>
      <c r="E1699" t="s">
        <v>4668</v>
      </c>
      <c r="F1699" t="s">
        <v>4668</v>
      </c>
      <c r="G1699" s="1">
        <v>40817</v>
      </c>
      <c r="J1699" t="s">
        <v>5028</v>
      </c>
      <c r="K1699" t="s">
        <v>1464</v>
      </c>
      <c r="L1699" t="s">
        <v>9104</v>
      </c>
      <c r="M1699" t="s">
        <v>4693</v>
      </c>
      <c r="N1699" t="s">
        <v>9105</v>
      </c>
      <c r="O1699" t="s">
        <v>26</v>
      </c>
      <c r="P1699">
        <v>19.989999999999998</v>
      </c>
      <c r="Q1699">
        <v>24.99</v>
      </c>
      <c r="R1699">
        <v>19.989999999999998</v>
      </c>
      <c r="T1699" t="s">
        <v>9106</v>
      </c>
    </row>
    <row r="1700" spans="1:20">
      <c r="A1700">
        <v>920684</v>
      </c>
      <c r="B1700" t="s">
        <v>9107</v>
      </c>
      <c r="C1700" t="str">
        <f>"9781554692552"</f>
        <v>9781554692552</v>
      </c>
      <c r="D1700" t="str">
        <f>"9781554692569"</f>
        <v>9781554692569</v>
      </c>
      <c r="E1700" t="s">
        <v>4668</v>
      </c>
      <c r="F1700" t="s">
        <v>4668</v>
      </c>
      <c r="G1700" s="1">
        <v>40817</v>
      </c>
      <c r="J1700" t="s">
        <v>9108</v>
      </c>
      <c r="K1700" t="s">
        <v>1464</v>
      </c>
      <c r="L1700" t="s">
        <v>9109</v>
      </c>
      <c r="M1700" t="s">
        <v>4693</v>
      </c>
      <c r="N1700" t="s">
        <v>9110</v>
      </c>
      <c r="O1700" t="s">
        <v>26</v>
      </c>
      <c r="P1700">
        <v>19.989999999999998</v>
      </c>
      <c r="Q1700">
        <v>24.99</v>
      </c>
      <c r="R1700">
        <v>19.989999999999998</v>
      </c>
      <c r="T1700" t="s">
        <v>9111</v>
      </c>
    </row>
    <row r="1701" spans="1:20">
      <c r="A1701">
        <v>920685</v>
      </c>
      <c r="B1701" t="s">
        <v>9112</v>
      </c>
      <c r="C1701" t="str">
        <f>"9781554692996"</f>
        <v>9781554692996</v>
      </c>
      <c r="D1701" t="str">
        <f>"9781554693009"</f>
        <v>9781554693009</v>
      </c>
      <c r="E1701" t="s">
        <v>4668</v>
      </c>
      <c r="F1701" t="s">
        <v>4668</v>
      </c>
      <c r="G1701" s="1">
        <v>40817</v>
      </c>
      <c r="J1701" t="s">
        <v>9113</v>
      </c>
      <c r="K1701" t="s">
        <v>1464</v>
      </c>
      <c r="L1701" t="s">
        <v>9114</v>
      </c>
      <c r="M1701" t="s">
        <v>1460</v>
      </c>
      <c r="N1701" t="s">
        <v>9115</v>
      </c>
      <c r="O1701" t="s">
        <v>26</v>
      </c>
      <c r="P1701">
        <v>19.989999999999998</v>
      </c>
      <c r="Q1701">
        <v>24.99</v>
      </c>
      <c r="R1701">
        <v>19.989999999999998</v>
      </c>
      <c r="T1701" t="s">
        <v>9116</v>
      </c>
    </row>
    <row r="1702" spans="1:20">
      <c r="A1702">
        <v>920686</v>
      </c>
      <c r="B1702" t="s">
        <v>9117</v>
      </c>
      <c r="C1702" t="str">
        <f>"9781554699278"</f>
        <v>9781554699278</v>
      </c>
      <c r="D1702" t="str">
        <f>"9781554699285"</f>
        <v>9781554699285</v>
      </c>
      <c r="E1702" t="s">
        <v>4668</v>
      </c>
      <c r="F1702" t="s">
        <v>4668</v>
      </c>
      <c r="G1702" s="1">
        <v>40848</v>
      </c>
      <c r="I1702" t="s">
        <v>4703</v>
      </c>
      <c r="J1702" t="s">
        <v>9118</v>
      </c>
      <c r="K1702" t="s">
        <v>1464</v>
      </c>
      <c r="L1702" t="s">
        <v>9119</v>
      </c>
      <c r="M1702" t="s">
        <v>1460</v>
      </c>
      <c r="N1702" t="s">
        <v>9120</v>
      </c>
      <c r="O1702" t="s">
        <v>26</v>
      </c>
      <c r="P1702">
        <v>6.99</v>
      </c>
      <c r="Q1702">
        <v>8.74</v>
      </c>
      <c r="R1702">
        <v>6.99</v>
      </c>
      <c r="T1702" t="s">
        <v>9121</v>
      </c>
    </row>
    <row r="1703" spans="1:20">
      <c r="A1703">
        <v>920687</v>
      </c>
      <c r="B1703" t="s">
        <v>9122</v>
      </c>
      <c r="C1703" t="str">
        <f>"9781554692422"</f>
        <v>9781554692422</v>
      </c>
      <c r="D1703" t="str">
        <f>"9781554692439"</f>
        <v>9781554692439</v>
      </c>
      <c r="E1703" t="s">
        <v>4668</v>
      </c>
      <c r="F1703" t="s">
        <v>4668</v>
      </c>
      <c r="G1703" s="1">
        <v>40817</v>
      </c>
      <c r="J1703" t="s">
        <v>9123</v>
      </c>
      <c r="K1703" t="s">
        <v>1464</v>
      </c>
      <c r="L1703" t="s">
        <v>9124</v>
      </c>
      <c r="M1703" t="s">
        <v>1460</v>
      </c>
      <c r="N1703" t="s">
        <v>9125</v>
      </c>
      <c r="O1703" t="s">
        <v>26</v>
      </c>
      <c r="P1703">
        <v>19.989999999999998</v>
      </c>
      <c r="Q1703">
        <v>24.99</v>
      </c>
      <c r="R1703">
        <v>19.989999999999998</v>
      </c>
      <c r="T1703" t="s">
        <v>9126</v>
      </c>
    </row>
    <row r="1704" spans="1:20">
      <c r="A1704">
        <v>934393</v>
      </c>
      <c r="B1704" t="s">
        <v>9127</v>
      </c>
      <c r="C1704" t="str">
        <f>"9781459801578"</f>
        <v>9781459801578</v>
      </c>
      <c r="D1704" t="str">
        <f>"9781459801585"</f>
        <v>9781459801585</v>
      </c>
      <c r="E1704" t="s">
        <v>4668</v>
      </c>
      <c r="F1704" t="s">
        <v>4668</v>
      </c>
      <c r="G1704" s="1">
        <v>41153</v>
      </c>
      <c r="J1704" t="s">
        <v>3636</v>
      </c>
      <c r="K1704" t="s">
        <v>3572</v>
      </c>
      <c r="L1704" t="s">
        <v>9128</v>
      </c>
      <c r="M1704" t="s">
        <v>4671</v>
      </c>
      <c r="N1704" t="s">
        <v>9129</v>
      </c>
      <c r="O1704" t="s">
        <v>26</v>
      </c>
      <c r="P1704">
        <v>9.99</v>
      </c>
      <c r="Q1704">
        <v>12.49</v>
      </c>
      <c r="R1704">
        <v>9.99</v>
      </c>
      <c r="T1704" t="s">
        <v>9130</v>
      </c>
    </row>
    <row r="1705" spans="1:20">
      <c r="A1705">
        <v>938209</v>
      </c>
      <c r="B1705" t="s">
        <v>9131</v>
      </c>
      <c r="C1705" t="str">
        <f>"9783484560109"</f>
        <v>9783484560109</v>
      </c>
      <c r="D1705" t="str">
        <f>"9783110937893"</f>
        <v>9783110937893</v>
      </c>
      <c r="E1705" t="s">
        <v>9132</v>
      </c>
      <c r="F1705" t="s">
        <v>9132</v>
      </c>
      <c r="G1705" s="1">
        <v>34700</v>
      </c>
      <c r="I1705" t="s">
        <v>9133</v>
      </c>
      <c r="J1705" t="s">
        <v>9134</v>
      </c>
      <c r="K1705" t="s">
        <v>1550</v>
      </c>
      <c r="L1705" t="s">
        <v>9135</v>
      </c>
      <c r="M1705" t="s">
        <v>9136</v>
      </c>
      <c r="N1705" t="s">
        <v>9137</v>
      </c>
      <c r="O1705" t="s">
        <v>94</v>
      </c>
      <c r="P1705">
        <v>154</v>
      </c>
      <c r="Q1705">
        <v>192.5</v>
      </c>
      <c r="R1705">
        <v>154</v>
      </c>
      <c r="S1705">
        <v>231</v>
      </c>
      <c r="T1705" t="s">
        <v>9138</v>
      </c>
    </row>
    <row r="1706" spans="1:20">
      <c r="A1706">
        <v>944920</v>
      </c>
      <c r="B1706" t="s">
        <v>9139</v>
      </c>
      <c r="C1706" t="str">
        <f>"9781554699414"</f>
        <v>9781554699414</v>
      </c>
      <c r="D1706" t="str">
        <f>"9781554699421"</f>
        <v>9781554699421</v>
      </c>
      <c r="E1706" t="s">
        <v>4668</v>
      </c>
      <c r="F1706" t="s">
        <v>4668</v>
      </c>
      <c r="G1706" s="1">
        <v>41194</v>
      </c>
      <c r="I1706" t="s">
        <v>9140</v>
      </c>
      <c r="J1706" t="s">
        <v>3636</v>
      </c>
      <c r="K1706" t="s">
        <v>3572</v>
      </c>
      <c r="L1706" t="s">
        <v>9141</v>
      </c>
      <c r="M1706" t="s">
        <v>1460</v>
      </c>
      <c r="N1706" t="s">
        <v>9142</v>
      </c>
      <c r="O1706" t="s">
        <v>26</v>
      </c>
      <c r="P1706">
        <v>9.99</v>
      </c>
      <c r="Q1706">
        <v>12.49</v>
      </c>
      <c r="R1706">
        <v>9.99</v>
      </c>
      <c r="T1706" t="s">
        <v>9143</v>
      </c>
    </row>
    <row r="1707" spans="1:20">
      <c r="A1707">
        <v>944921</v>
      </c>
      <c r="B1707" t="s">
        <v>9144</v>
      </c>
      <c r="C1707" t="str">
        <f>"9781554699506"</f>
        <v>9781554699506</v>
      </c>
      <c r="D1707" t="str">
        <f>"9781554699513"</f>
        <v>9781554699513</v>
      </c>
      <c r="E1707" t="s">
        <v>4668</v>
      </c>
      <c r="F1707" t="s">
        <v>4668</v>
      </c>
      <c r="G1707" s="1">
        <v>41194</v>
      </c>
      <c r="I1707" t="s">
        <v>9140</v>
      </c>
      <c r="J1707" t="s">
        <v>5575</v>
      </c>
      <c r="K1707" t="s">
        <v>3572</v>
      </c>
      <c r="L1707" t="s">
        <v>9145</v>
      </c>
      <c r="M1707" t="s">
        <v>1460</v>
      </c>
      <c r="N1707" t="s">
        <v>9146</v>
      </c>
      <c r="O1707" t="s">
        <v>26</v>
      </c>
      <c r="P1707">
        <v>9.99</v>
      </c>
      <c r="Q1707">
        <v>12.49</v>
      </c>
      <c r="R1707">
        <v>9.99</v>
      </c>
      <c r="T1707" t="s">
        <v>9147</v>
      </c>
    </row>
    <row r="1708" spans="1:20">
      <c r="A1708">
        <v>944922</v>
      </c>
      <c r="B1708" t="s">
        <v>9148</v>
      </c>
      <c r="C1708" t="str">
        <f>"9781459803312"</f>
        <v>9781459803312</v>
      </c>
      <c r="D1708" t="str">
        <f>"9781459803336"</f>
        <v>9781459803336</v>
      </c>
      <c r="E1708" t="s">
        <v>4668</v>
      </c>
      <c r="F1708" t="s">
        <v>4668</v>
      </c>
      <c r="G1708" s="1">
        <v>41183</v>
      </c>
      <c r="I1708" t="s">
        <v>5056</v>
      </c>
      <c r="J1708" t="s">
        <v>9149</v>
      </c>
      <c r="K1708" t="s">
        <v>3572</v>
      </c>
      <c r="L1708" t="s">
        <v>9150</v>
      </c>
      <c r="M1708" t="s">
        <v>1509</v>
      </c>
      <c r="N1708" t="s">
        <v>9151</v>
      </c>
      <c r="O1708" t="s">
        <v>26</v>
      </c>
      <c r="P1708">
        <v>9.99</v>
      </c>
      <c r="Q1708">
        <v>12.49</v>
      </c>
      <c r="R1708">
        <v>9.99</v>
      </c>
      <c r="T1708" t="s">
        <v>9152</v>
      </c>
    </row>
    <row r="1709" spans="1:20">
      <c r="A1709">
        <v>944923</v>
      </c>
      <c r="B1709" t="s">
        <v>9153</v>
      </c>
      <c r="C1709" t="str">
        <f>"9781459802445"</f>
        <v>9781459802445</v>
      </c>
      <c r="D1709" t="str">
        <f>"9781459802469"</f>
        <v>9781459802469</v>
      </c>
      <c r="E1709" t="s">
        <v>4668</v>
      </c>
      <c r="F1709" t="s">
        <v>4668</v>
      </c>
      <c r="G1709" s="1">
        <v>41183</v>
      </c>
      <c r="I1709" t="s">
        <v>5056</v>
      </c>
      <c r="J1709" t="s">
        <v>8662</v>
      </c>
      <c r="K1709" t="s">
        <v>3572</v>
      </c>
      <c r="L1709" t="s">
        <v>9154</v>
      </c>
      <c r="M1709" t="s">
        <v>1509</v>
      </c>
      <c r="N1709" t="s">
        <v>9155</v>
      </c>
      <c r="O1709" t="s">
        <v>26</v>
      </c>
      <c r="P1709">
        <v>9.99</v>
      </c>
      <c r="Q1709">
        <v>12.49</v>
      </c>
      <c r="R1709">
        <v>9.99</v>
      </c>
      <c r="T1709" t="s">
        <v>9156</v>
      </c>
    </row>
    <row r="1710" spans="1:20">
      <c r="A1710">
        <v>944924</v>
      </c>
      <c r="B1710" t="s">
        <v>9157</v>
      </c>
      <c r="C1710" t="str">
        <f>"9781554699384"</f>
        <v>9781554699384</v>
      </c>
      <c r="D1710" t="str">
        <f>"9781554699391"</f>
        <v>9781554699391</v>
      </c>
      <c r="E1710" t="s">
        <v>4668</v>
      </c>
      <c r="F1710" t="s">
        <v>4668</v>
      </c>
      <c r="G1710" s="1">
        <v>41194</v>
      </c>
      <c r="I1710" t="s">
        <v>9140</v>
      </c>
      <c r="J1710" t="s">
        <v>8672</v>
      </c>
      <c r="K1710" t="s">
        <v>3572</v>
      </c>
      <c r="L1710" t="s">
        <v>9158</v>
      </c>
      <c r="M1710" t="s">
        <v>1460</v>
      </c>
      <c r="N1710" t="s">
        <v>9159</v>
      </c>
      <c r="O1710" t="s">
        <v>26</v>
      </c>
      <c r="P1710">
        <v>9.99</v>
      </c>
      <c r="Q1710">
        <v>12.49</v>
      </c>
      <c r="R1710">
        <v>9.99</v>
      </c>
      <c r="T1710" t="s">
        <v>9160</v>
      </c>
    </row>
    <row r="1711" spans="1:20">
      <c r="A1711">
        <v>944925</v>
      </c>
      <c r="B1711" t="s">
        <v>9161</v>
      </c>
      <c r="C1711" t="str">
        <f>"9781459801608"</f>
        <v>9781459801608</v>
      </c>
      <c r="D1711" t="str">
        <f>"9781459801615"</f>
        <v>9781459801615</v>
      </c>
      <c r="E1711" t="s">
        <v>4668</v>
      </c>
      <c r="F1711" t="s">
        <v>4668</v>
      </c>
      <c r="G1711" s="1">
        <v>41214</v>
      </c>
      <c r="I1711" t="s">
        <v>8244</v>
      </c>
      <c r="J1711" t="s">
        <v>5467</v>
      </c>
      <c r="K1711" t="s">
        <v>3572</v>
      </c>
      <c r="L1711" t="s">
        <v>9162</v>
      </c>
      <c r="M1711" t="s">
        <v>1509</v>
      </c>
      <c r="N1711" t="s">
        <v>9163</v>
      </c>
      <c r="O1711" t="s">
        <v>26</v>
      </c>
      <c r="P1711">
        <v>9.99</v>
      </c>
      <c r="Q1711">
        <v>12.49</v>
      </c>
      <c r="R1711">
        <v>9.99</v>
      </c>
      <c r="T1711" t="s">
        <v>9164</v>
      </c>
    </row>
    <row r="1712" spans="1:20">
      <c r="A1712">
        <v>944927</v>
      </c>
      <c r="B1712" t="s">
        <v>9165</v>
      </c>
      <c r="C1712" t="str">
        <f>"9781459800168"</f>
        <v>9781459800168</v>
      </c>
      <c r="D1712" t="str">
        <f>"9781459800175"</f>
        <v>9781459800175</v>
      </c>
      <c r="E1712" t="s">
        <v>4668</v>
      </c>
      <c r="F1712" t="s">
        <v>4668</v>
      </c>
      <c r="G1712" s="1">
        <v>41194</v>
      </c>
      <c r="I1712" t="s">
        <v>9140</v>
      </c>
      <c r="J1712" t="s">
        <v>9166</v>
      </c>
      <c r="K1712" t="s">
        <v>3572</v>
      </c>
      <c r="L1712" t="s">
        <v>9167</v>
      </c>
      <c r="M1712" t="s">
        <v>1460</v>
      </c>
      <c r="N1712" t="s">
        <v>9168</v>
      </c>
      <c r="O1712" t="s">
        <v>26</v>
      </c>
      <c r="P1712">
        <v>9.99</v>
      </c>
      <c r="Q1712">
        <v>12.49</v>
      </c>
      <c r="R1712">
        <v>9.99</v>
      </c>
      <c r="T1712" t="s">
        <v>9169</v>
      </c>
    </row>
    <row r="1713" spans="1:20">
      <c r="A1713">
        <v>944928</v>
      </c>
      <c r="B1713" t="s">
        <v>9170</v>
      </c>
      <c r="C1713" t="str">
        <f>"9781554699476"</f>
        <v>9781554699476</v>
      </c>
      <c r="D1713" t="str">
        <f>"9781554699483"</f>
        <v>9781554699483</v>
      </c>
      <c r="E1713" t="s">
        <v>4668</v>
      </c>
      <c r="F1713" t="s">
        <v>4668</v>
      </c>
      <c r="G1713" s="1">
        <v>41194</v>
      </c>
      <c r="I1713" t="s">
        <v>9140</v>
      </c>
      <c r="J1713" t="s">
        <v>8653</v>
      </c>
      <c r="K1713" t="s">
        <v>3572</v>
      </c>
      <c r="L1713" t="s">
        <v>9171</v>
      </c>
      <c r="M1713" t="s">
        <v>9172</v>
      </c>
      <c r="N1713" t="s">
        <v>9173</v>
      </c>
      <c r="O1713" t="s">
        <v>26</v>
      </c>
      <c r="P1713">
        <v>9.99</v>
      </c>
      <c r="Q1713">
        <v>12.49</v>
      </c>
      <c r="R1713">
        <v>9.99</v>
      </c>
      <c r="T1713" t="s">
        <v>9174</v>
      </c>
    </row>
    <row r="1714" spans="1:20">
      <c r="A1714">
        <v>944929</v>
      </c>
      <c r="B1714" t="s">
        <v>9175</v>
      </c>
      <c r="C1714" t="str">
        <f>"9781554699353"</f>
        <v>9781554699353</v>
      </c>
      <c r="D1714" t="str">
        <f>"9781554699360"</f>
        <v>9781554699360</v>
      </c>
      <c r="E1714" t="s">
        <v>4668</v>
      </c>
      <c r="F1714" t="s">
        <v>4668</v>
      </c>
      <c r="G1714" s="1">
        <v>41194</v>
      </c>
      <c r="I1714" t="s">
        <v>9140</v>
      </c>
      <c r="J1714" t="s">
        <v>9176</v>
      </c>
      <c r="K1714" t="s">
        <v>3572</v>
      </c>
      <c r="L1714" t="s">
        <v>9177</v>
      </c>
      <c r="M1714" t="s">
        <v>1460</v>
      </c>
      <c r="N1714" t="s">
        <v>9178</v>
      </c>
      <c r="O1714" t="s">
        <v>26</v>
      </c>
      <c r="P1714">
        <v>9.99</v>
      </c>
      <c r="Q1714">
        <v>12.49</v>
      </c>
      <c r="R1714">
        <v>9.99</v>
      </c>
      <c r="T1714" t="s">
        <v>9179</v>
      </c>
    </row>
    <row r="1715" spans="1:20">
      <c r="A1715">
        <v>944930</v>
      </c>
      <c r="B1715" t="s">
        <v>9180</v>
      </c>
      <c r="C1715" t="str">
        <f>"9781554699445"</f>
        <v>9781554699445</v>
      </c>
      <c r="D1715" t="str">
        <f>"9781554699452"</f>
        <v>9781554699452</v>
      </c>
      <c r="E1715" t="s">
        <v>4668</v>
      </c>
      <c r="F1715" t="s">
        <v>4668</v>
      </c>
      <c r="G1715" s="1">
        <v>41194</v>
      </c>
      <c r="I1715" t="s">
        <v>9140</v>
      </c>
      <c r="J1715" t="s">
        <v>3584</v>
      </c>
      <c r="K1715" t="s">
        <v>3572</v>
      </c>
      <c r="L1715" t="s">
        <v>9181</v>
      </c>
      <c r="M1715" t="s">
        <v>1460</v>
      </c>
      <c r="N1715" t="s">
        <v>9182</v>
      </c>
      <c r="O1715" t="s">
        <v>26</v>
      </c>
      <c r="P1715">
        <v>9.99</v>
      </c>
      <c r="Q1715">
        <v>12.49</v>
      </c>
      <c r="R1715">
        <v>9.99</v>
      </c>
      <c r="T1715" t="s">
        <v>9183</v>
      </c>
    </row>
    <row r="1716" spans="1:20">
      <c r="A1716">
        <v>944931</v>
      </c>
      <c r="B1716" t="s">
        <v>9184</v>
      </c>
      <c r="C1716" t="str">
        <f>"9781459800809"</f>
        <v>9781459800809</v>
      </c>
      <c r="D1716" t="str">
        <f>"9781459800816"</f>
        <v>9781459800816</v>
      </c>
      <c r="E1716" t="s">
        <v>4668</v>
      </c>
      <c r="F1716" t="s">
        <v>4668</v>
      </c>
      <c r="G1716" s="1">
        <v>41153</v>
      </c>
      <c r="J1716" t="s">
        <v>5747</v>
      </c>
      <c r="K1716" t="s">
        <v>3572</v>
      </c>
      <c r="L1716" t="s">
        <v>9185</v>
      </c>
      <c r="M1716" t="s">
        <v>1509</v>
      </c>
      <c r="N1716" t="s">
        <v>9186</v>
      </c>
      <c r="O1716" t="s">
        <v>26</v>
      </c>
      <c r="P1716">
        <v>12.99</v>
      </c>
      <c r="Q1716">
        <v>16.239999999999998</v>
      </c>
      <c r="R1716">
        <v>12.99</v>
      </c>
      <c r="T1716" t="s">
        <v>9187</v>
      </c>
    </row>
    <row r="1717" spans="1:20">
      <c r="A1717">
        <v>944932</v>
      </c>
      <c r="B1717" t="s">
        <v>9188</v>
      </c>
      <c r="C1717" t="str">
        <f>"9781459803008"</f>
        <v>9781459803008</v>
      </c>
      <c r="D1717" t="str">
        <f>"9781459803022"</f>
        <v>9781459803022</v>
      </c>
      <c r="E1717" t="s">
        <v>4668</v>
      </c>
      <c r="F1717" t="s">
        <v>4668</v>
      </c>
      <c r="G1717" s="1">
        <v>41183</v>
      </c>
      <c r="I1717" t="s">
        <v>5056</v>
      </c>
      <c r="J1717" t="s">
        <v>3578</v>
      </c>
      <c r="K1717" t="s">
        <v>3572</v>
      </c>
      <c r="L1717" t="s">
        <v>9189</v>
      </c>
      <c r="M1717" t="s">
        <v>1460</v>
      </c>
      <c r="N1717" t="s">
        <v>9190</v>
      </c>
      <c r="O1717" t="s">
        <v>26</v>
      </c>
      <c r="P1717">
        <v>9.99</v>
      </c>
      <c r="Q1717">
        <v>12.49</v>
      </c>
      <c r="R1717">
        <v>9.99</v>
      </c>
      <c r="T1717" t="s">
        <v>9191</v>
      </c>
    </row>
    <row r="1718" spans="1:20">
      <c r="A1718">
        <v>944933</v>
      </c>
      <c r="B1718" t="s">
        <v>9192</v>
      </c>
      <c r="C1718" t="str">
        <f>"9781459800380"</f>
        <v>9781459800380</v>
      </c>
      <c r="D1718" t="str">
        <f>"9781459800397"</f>
        <v>9781459800397</v>
      </c>
      <c r="E1718" t="s">
        <v>4668</v>
      </c>
      <c r="F1718" t="s">
        <v>4668</v>
      </c>
      <c r="G1718" s="1">
        <v>41153</v>
      </c>
      <c r="J1718" t="s">
        <v>5062</v>
      </c>
      <c r="K1718" t="s">
        <v>3572</v>
      </c>
      <c r="L1718" t="s">
        <v>9193</v>
      </c>
      <c r="M1718" t="s">
        <v>1509</v>
      </c>
      <c r="N1718" t="s">
        <v>9194</v>
      </c>
      <c r="O1718" t="s">
        <v>26</v>
      </c>
      <c r="P1718">
        <v>12.99</v>
      </c>
      <c r="Q1718">
        <v>16.239999999999998</v>
      </c>
      <c r="R1718">
        <v>12.99</v>
      </c>
      <c r="T1718" t="s">
        <v>9195</v>
      </c>
    </row>
    <row r="1719" spans="1:20">
      <c r="A1719">
        <v>944934</v>
      </c>
      <c r="B1719" t="s">
        <v>9196</v>
      </c>
      <c r="C1719" t="str">
        <f>"9781459802025"</f>
        <v>9781459802025</v>
      </c>
      <c r="D1719" t="str">
        <f>"9781459802049"</f>
        <v>9781459802049</v>
      </c>
      <c r="E1719" t="s">
        <v>4668</v>
      </c>
      <c r="F1719" t="s">
        <v>4668</v>
      </c>
      <c r="G1719" s="1">
        <v>41183</v>
      </c>
      <c r="I1719" t="s">
        <v>5056</v>
      </c>
      <c r="J1719" t="s">
        <v>5907</v>
      </c>
      <c r="K1719" t="s">
        <v>3572</v>
      </c>
      <c r="L1719" t="s">
        <v>9197</v>
      </c>
      <c r="M1719" t="s">
        <v>1509</v>
      </c>
      <c r="N1719" t="s">
        <v>9198</v>
      </c>
      <c r="O1719" t="s">
        <v>26</v>
      </c>
      <c r="P1719">
        <v>9.99</v>
      </c>
      <c r="Q1719">
        <v>12.49</v>
      </c>
      <c r="R1719">
        <v>9.99</v>
      </c>
      <c r="T1719" t="s">
        <v>9199</v>
      </c>
    </row>
    <row r="1720" spans="1:20">
      <c r="A1720">
        <v>944935</v>
      </c>
      <c r="B1720" t="s">
        <v>9200</v>
      </c>
      <c r="C1720" t="str">
        <f>"9781459802506"</f>
        <v>9781459802506</v>
      </c>
      <c r="D1720" t="str">
        <f>"9781459802513"</f>
        <v>9781459802513</v>
      </c>
      <c r="E1720" t="s">
        <v>4668</v>
      </c>
      <c r="F1720" t="s">
        <v>4668</v>
      </c>
      <c r="G1720" s="1">
        <v>41214</v>
      </c>
      <c r="I1720" t="s">
        <v>8244</v>
      </c>
      <c r="J1720" t="s">
        <v>9201</v>
      </c>
      <c r="K1720" t="s">
        <v>3572</v>
      </c>
      <c r="L1720" t="s">
        <v>9202</v>
      </c>
      <c r="M1720" t="s">
        <v>1460</v>
      </c>
      <c r="N1720" t="s">
        <v>9203</v>
      </c>
      <c r="O1720" t="s">
        <v>26</v>
      </c>
      <c r="P1720">
        <v>9.99</v>
      </c>
      <c r="Q1720">
        <v>12.49</v>
      </c>
      <c r="R1720">
        <v>9.99</v>
      </c>
      <c r="T1720" t="s">
        <v>9204</v>
      </c>
    </row>
    <row r="1721" spans="1:20">
      <c r="A1721">
        <v>944936</v>
      </c>
      <c r="B1721" t="s">
        <v>9205</v>
      </c>
      <c r="C1721" t="str">
        <f>"9781459800656"</f>
        <v>9781459800656</v>
      </c>
      <c r="D1721" t="str">
        <f>"9781459800663"</f>
        <v>9781459800663</v>
      </c>
      <c r="E1721" t="s">
        <v>4668</v>
      </c>
      <c r="F1721" t="s">
        <v>4668</v>
      </c>
      <c r="G1721" s="1">
        <v>41183</v>
      </c>
      <c r="J1721" t="s">
        <v>5341</v>
      </c>
      <c r="K1721" t="s">
        <v>3572</v>
      </c>
      <c r="L1721" t="s">
        <v>9206</v>
      </c>
      <c r="M1721" t="s">
        <v>1509</v>
      </c>
      <c r="N1721" t="s">
        <v>9207</v>
      </c>
      <c r="O1721" t="s">
        <v>26</v>
      </c>
      <c r="P1721">
        <v>12.99</v>
      </c>
      <c r="Q1721">
        <v>16.239999999999998</v>
      </c>
      <c r="R1721">
        <v>12.99</v>
      </c>
      <c r="T1721" t="s">
        <v>9208</v>
      </c>
    </row>
    <row r="1722" spans="1:20">
      <c r="A1722">
        <v>1000279</v>
      </c>
      <c r="B1722" t="s">
        <v>9209</v>
      </c>
      <c r="C1722" t="str">
        <f>"9781459801004"</f>
        <v>9781459801004</v>
      </c>
      <c r="D1722" t="str">
        <f>"9781459801011"</f>
        <v>9781459801011</v>
      </c>
      <c r="E1722" t="s">
        <v>4668</v>
      </c>
      <c r="F1722" t="s">
        <v>8157</v>
      </c>
      <c r="G1722" s="1">
        <v>41153</v>
      </c>
      <c r="I1722" t="s">
        <v>8158</v>
      </c>
      <c r="J1722" t="s">
        <v>8181</v>
      </c>
      <c r="K1722" t="s">
        <v>1458</v>
      </c>
      <c r="L1722" t="s">
        <v>9210</v>
      </c>
      <c r="M1722" t="s">
        <v>1509</v>
      </c>
      <c r="N1722" t="s">
        <v>9211</v>
      </c>
      <c r="O1722" t="s">
        <v>26</v>
      </c>
      <c r="P1722">
        <v>9.99</v>
      </c>
      <c r="Q1722">
        <v>12.49</v>
      </c>
      <c r="R1722">
        <v>9.99</v>
      </c>
      <c r="T1722" t="s">
        <v>9212</v>
      </c>
    </row>
    <row r="1723" spans="1:20">
      <c r="A1723">
        <v>1000280</v>
      </c>
      <c r="B1723" t="s">
        <v>9213</v>
      </c>
      <c r="C1723" t="str">
        <f>"9781459801257"</f>
        <v>9781459801257</v>
      </c>
      <c r="D1723" t="str">
        <f>"9781459801264"</f>
        <v>9781459801264</v>
      </c>
      <c r="E1723" t="s">
        <v>4668</v>
      </c>
      <c r="F1723" t="s">
        <v>8157</v>
      </c>
      <c r="G1723" s="1">
        <v>41153</v>
      </c>
      <c r="I1723" t="s">
        <v>8158</v>
      </c>
      <c r="J1723" t="s">
        <v>9214</v>
      </c>
      <c r="K1723" t="s">
        <v>1458</v>
      </c>
      <c r="L1723" t="s">
        <v>9215</v>
      </c>
      <c r="M1723" t="s">
        <v>1509</v>
      </c>
      <c r="N1723" t="s">
        <v>9216</v>
      </c>
      <c r="O1723" t="s">
        <v>26</v>
      </c>
      <c r="P1723">
        <v>9.99</v>
      </c>
      <c r="Q1723">
        <v>12.49</v>
      </c>
      <c r="R1723">
        <v>9.99</v>
      </c>
      <c r="T1723" t="s">
        <v>9217</v>
      </c>
    </row>
    <row r="1724" spans="1:20">
      <c r="A1724">
        <v>1000281</v>
      </c>
      <c r="B1724" t="s">
        <v>9218</v>
      </c>
      <c r="C1724" t="str">
        <f>"9781459802360"</f>
        <v>9781459802360</v>
      </c>
      <c r="D1724" t="str">
        <f>"9781459802384"</f>
        <v>9781459802384</v>
      </c>
      <c r="E1724" t="s">
        <v>4668</v>
      </c>
      <c r="F1724" t="s">
        <v>4668</v>
      </c>
      <c r="G1724" s="1">
        <v>41153</v>
      </c>
      <c r="I1724" t="s">
        <v>4685</v>
      </c>
      <c r="J1724" t="s">
        <v>5449</v>
      </c>
      <c r="K1724" t="s">
        <v>3572</v>
      </c>
      <c r="L1724" t="s">
        <v>9219</v>
      </c>
      <c r="M1724" t="s">
        <v>1509</v>
      </c>
      <c r="N1724" t="s">
        <v>9220</v>
      </c>
      <c r="O1724" t="s">
        <v>26</v>
      </c>
      <c r="P1724">
        <v>9.99</v>
      </c>
      <c r="Q1724">
        <v>12.49</v>
      </c>
      <c r="R1724">
        <v>9.99</v>
      </c>
      <c r="T1724" t="s">
        <v>9221</v>
      </c>
    </row>
    <row r="1725" spans="1:20">
      <c r="A1725">
        <v>1011422</v>
      </c>
      <c r="B1725" t="s">
        <v>9222</v>
      </c>
      <c r="C1725" t="str">
        <f>"9781926824550"</f>
        <v>9781926824550</v>
      </c>
      <c r="D1725" t="str">
        <f>"9781926824659"</f>
        <v>9781926824659</v>
      </c>
      <c r="E1725" t="s">
        <v>9223</v>
      </c>
      <c r="F1725" t="s">
        <v>9223</v>
      </c>
      <c r="G1725" s="1">
        <v>41153</v>
      </c>
      <c r="J1725" t="s">
        <v>9224</v>
      </c>
      <c r="K1725" t="s">
        <v>9225</v>
      </c>
      <c r="L1725" t="s">
        <v>9226</v>
      </c>
      <c r="M1725">
        <v>136.69999999999999</v>
      </c>
      <c r="N1725" t="s">
        <v>9227</v>
      </c>
      <c r="O1725" t="s">
        <v>26</v>
      </c>
      <c r="P1725">
        <v>14.99</v>
      </c>
      <c r="Q1725">
        <v>12.99</v>
      </c>
      <c r="R1725">
        <v>9.99</v>
      </c>
      <c r="S1725">
        <v>14.99</v>
      </c>
      <c r="T1725" t="s">
        <v>9228</v>
      </c>
    </row>
    <row r="1726" spans="1:20">
      <c r="A1726">
        <v>1011427</v>
      </c>
      <c r="B1726" t="s">
        <v>9229</v>
      </c>
      <c r="C1726" t="str">
        <f>"9781926824093"</f>
        <v>9781926824093</v>
      </c>
      <c r="D1726" t="str">
        <f>"9781926824635"</f>
        <v>9781926824635</v>
      </c>
      <c r="E1726" t="s">
        <v>9223</v>
      </c>
      <c r="F1726" t="s">
        <v>9223</v>
      </c>
      <c r="G1726" s="1">
        <v>41061</v>
      </c>
      <c r="J1726" t="s">
        <v>9230</v>
      </c>
      <c r="K1726" t="s">
        <v>7621</v>
      </c>
      <c r="L1726" t="s">
        <v>9231</v>
      </c>
      <c r="M1726" t="s">
        <v>9232</v>
      </c>
      <c r="N1726" t="s">
        <v>9233</v>
      </c>
      <c r="O1726" t="s">
        <v>26</v>
      </c>
      <c r="P1726">
        <v>41.99</v>
      </c>
      <c r="Q1726">
        <v>36.39</v>
      </c>
      <c r="R1726">
        <v>27.99</v>
      </c>
      <c r="S1726">
        <v>41.99</v>
      </c>
      <c r="T1726" t="s">
        <v>9234</v>
      </c>
    </row>
    <row r="1727" spans="1:20">
      <c r="A1727">
        <v>1039485</v>
      </c>
      <c r="B1727" t="s">
        <v>9235</v>
      </c>
      <c r="C1727" t="str">
        <f>"9781459800540"</f>
        <v>9781459800540</v>
      </c>
      <c r="D1727" t="str">
        <f>"9781459800557"</f>
        <v>9781459800557</v>
      </c>
      <c r="E1727" t="s">
        <v>4668</v>
      </c>
      <c r="F1727" t="s">
        <v>8157</v>
      </c>
      <c r="G1727" s="1">
        <v>41183</v>
      </c>
      <c r="I1727" t="s">
        <v>8158</v>
      </c>
      <c r="J1727" t="s">
        <v>5575</v>
      </c>
      <c r="K1727" t="s">
        <v>1458</v>
      </c>
      <c r="L1727" t="s">
        <v>9236</v>
      </c>
      <c r="M1727" t="s">
        <v>1509</v>
      </c>
      <c r="N1727" t="s">
        <v>9237</v>
      </c>
      <c r="O1727" t="s">
        <v>26</v>
      </c>
      <c r="P1727">
        <v>9.99</v>
      </c>
      <c r="Q1727">
        <v>12.49</v>
      </c>
      <c r="R1727">
        <v>9.99</v>
      </c>
      <c r="T1727" t="s">
        <v>9238</v>
      </c>
    </row>
    <row r="1728" spans="1:20">
      <c r="A1728">
        <v>1039486</v>
      </c>
      <c r="B1728" t="s">
        <v>9239</v>
      </c>
      <c r="C1728" t="str">
        <f>"9781459801141"</f>
        <v>9781459801141</v>
      </c>
      <c r="D1728" t="str">
        <f>"9781459801158"</f>
        <v>9781459801158</v>
      </c>
      <c r="E1728" t="s">
        <v>4668</v>
      </c>
      <c r="F1728" t="s">
        <v>8157</v>
      </c>
      <c r="G1728" s="1">
        <v>41183</v>
      </c>
      <c r="I1728" t="s">
        <v>8158</v>
      </c>
      <c r="J1728" t="s">
        <v>9240</v>
      </c>
      <c r="K1728" t="s">
        <v>9241</v>
      </c>
      <c r="L1728" t="s">
        <v>9242</v>
      </c>
      <c r="M1728" t="s">
        <v>8287</v>
      </c>
      <c r="N1728" t="s">
        <v>9243</v>
      </c>
      <c r="O1728" t="s">
        <v>26</v>
      </c>
      <c r="P1728">
        <v>9.99</v>
      </c>
      <c r="Q1728">
        <v>12.49</v>
      </c>
      <c r="R1728">
        <v>9.99</v>
      </c>
      <c r="T1728" t="s">
        <v>9244</v>
      </c>
    </row>
    <row r="1729" spans="1:20">
      <c r="A1729">
        <v>1039487</v>
      </c>
      <c r="B1729" t="s">
        <v>9245</v>
      </c>
      <c r="C1729" t="str">
        <f>"9781459801431"</f>
        <v>9781459801431</v>
      </c>
      <c r="D1729" t="str">
        <f>"9781459801455"</f>
        <v>9781459801455</v>
      </c>
      <c r="E1729" t="s">
        <v>4668</v>
      </c>
      <c r="F1729" t="s">
        <v>4668</v>
      </c>
      <c r="G1729" s="1">
        <v>41153</v>
      </c>
      <c r="I1729" t="s">
        <v>4685</v>
      </c>
      <c r="J1729" t="s">
        <v>5694</v>
      </c>
      <c r="K1729" t="s">
        <v>3572</v>
      </c>
      <c r="L1729" t="s">
        <v>9246</v>
      </c>
      <c r="M1729" t="s">
        <v>1509</v>
      </c>
      <c r="N1729" t="s">
        <v>9247</v>
      </c>
      <c r="O1729" t="s">
        <v>26</v>
      </c>
      <c r="P1729">
        <v>9.99</v>
      </c>
      <c r="Q1729">
        <v>12.49</v>
      </c>
      <c r="R1729">
        <v>9.99</v>
      </c>
      <c r="T1729" t="s">
        <v>9248</v>
      </c>
    </row>
    <row r="1730" spans="1:20">
      <c r="A1730">
        <v>1039488</v>
      </c>
      <c r="B1730" t="s">
        <v>9249</v>
      </c>
      <c r="C1730" t="str">
        <f>"9781459801325"</f>
        <v>9781459801325</v>
      </c>
      <c r="D1730" t="str">
        <f>"9781459801349"</f>
        <v>9781459801349</v>
      </c>
      <c r="E1730" t="s">
        <v>4668</v>
      </c>
      <c r="F1730" t="s">
        <v>4668</v>
      </c>
      <c r="G1730" s="1">
        <v>41183</v>
      </c>
      <c r="I1730" t="s">
        <v>4685</v>
      </c>
      <c r="J1730" t="s">
        <v>5907</v>
      </c>
      <c r="K1730" t="s">
        <v>3572</v>
      </c>
      <c r="L1730" t="s">
        <v>9250</v>
      </c>
      <c r="M1730" t="s">
        <v>9251</v>
      </c>
      <c r="N1730" t="s">
        <v>9252</v>
      </c>
      <c r="O1730" t="s">
        <v>26</v>
      </c>
      <c r="P1730">
        <v>9.99</v>
      </c>
      <c r="Q1730">
        <v>12.49</v>
      </c>
      <c r="R1730">
        <v>9.99</v>
      </c>
      <c r="T1730" t="s">
        <v>9253</v>
      </c>
    </row>
    <row r="1731" spans="1:20">
      <c r="A1731">
        <v>1043698</v>
      </c>
      <c r="B1731" t="s">
        <v>9254</v>
      </c>
      <c r="C1731" t="str">
        <f>"9781459802704"</f>
        <v>9781459802704</v>
      </c>
      <c r="D1731" t="str">
        <f>"9781459802711"</f>
        <v>9781459802711</v>
      </c>
      <c r="E1731" t="s">
        <v>4668</v>
      </c>
      <c r="F1731" t="s">
        <v>4668</v>
      </c>
      <c r="G1731" s="1">
        <v>41194</v>
      </c>
      <c r="I1731" t="s">
        <v>9140</v>
      </c>
      <c r="J1731" t="s">
        <v>4668</v>
      </c>
      <c r="K1731" t="s">
        <v>3572</v>
      </c>
      <c r="L1731" t="s">
        <v>9255</v>
      </c>
      <c r="M1731" t="s">
        <v>9256</v>
      </c>
      <c r="N1731" t="s">
        <v>9257</v>
      </c>
      <c r="O1731" t="s">
        <v>26</v>
      </c>
      <c r="P1731">
        <v>59.99</v>
      </c>
      <c r="Q1731">
        <v>74.989999999999995</v>
      </c>
      <c r="R1731">
        <v>59.99</v>
      </c>
      <c r="T1731" t="s">
        <v>9258</v>
      </c>
    </row>
    <row r="1732" spans="1:20">
      <c r="A1732">
        <v>1050037</v>
      </c>
      <c r="B1732" t="s">
        <v>9259</v>
      </c>
      <c r="C1732" t="str">
        <f>"9781459802285"</f>
        <v>9781459802285</v>
      </c>
      <c r="D1732" t="str">
        <f>"9781459802308"</f>
        <v>9781459802308</v>
      </c>
      <c r="E1732" t="s">
        <v>4668</v>
      </c>
      <c r="F1732" t="s">
        <v>4668</v>
      </c>
      <c r="G1732" s="1">
        <v>41153</v>
      </c>
      <c r="I1732" t="s">
        <v>4685</v>
      </c>
      <c r="J1732" t="s">
        <v>5708</v>
      </c>
      <c r="K1732" t="s">
        <v>3572</v>
      </c>
      <c r="L1732" t="s">
        <v>9260</v>
      </c>
      <c r="M1732" t="s">
        <v>1509</v>
      </c>
      <c r="N1732" t="s">
        <v>9261</v>
      </c>
      <c r="O1732" t="s">
        <v>26</v>
      </c>
      <c r="P1732">
        <v>9.99</v>
      </c>
      <c r="Q1732">
        <v>12.49</v>
      </c>
      <c r="R1732">
        <v>9.99</v>
      </c>
      <c r="T1732" t="s">
        <v>9262</v>
      </c>
    </row>
    <row r="1733" spans="1:20">
      <c r="A1733">
        <v>1053771</v>
      </c>
      <c r="B1733" t="s">
        <v>9263</v>
      </c>
      <c r="C1733" t="str">
        <f>"9781459801936"</f>
        <v>9781459801936</v>
      </c>
      <c r="D1733" t="str">
        <f>"9781459801943"</f>
        <v>9781459801943</v>
      </c>
      <c r="E1733" t="s">
        <v>4668</v>
      </c>
      <c r="F1733" t="s">
        <v>4668</v>
      </c>
      <c r="G1733" s="1">
        <v>41030</v>
      </c>
      <c r="I1733" t="s">
        <v>8973</v>
      </c>
      <c r="J1733" t="s">
        <v>3578</v>
      </c>
      <c r="K1733" t="s">
        <v>5359</v>
      </c>
      <c r="L1733" t="s">
        <v>9264</v>
      </c>
      <c r="M1733">
        <v>128</v>
      </c>
      <c r="N1733" t="s">
        <v>9265</v>
      </c>
      <c r="O1733" t="s">
        <v>94</v>
      </c>
      <c r="P1733">
        <v>9.99</v>
      </c>
      <c r="Q1733">
        <v>12.49</v>
      </c>
      <c r="R1733">
        <v>9.99</v>
      </c>
      <c r="T1733" t="s">
        <v>9266</v>
      </c>
    </row>
    <row r="1734" spans="1:20">
      <c r="A1734">
        <v>1053772</v>
      </c>
      <c r="B1734" t="s">
        <v>9267</v>
      </c>
      <c r="C1734" t="str">
        <f>"9781459801905"</f>
        <v>9781459801905</v>
      </c>
      <c r="D1734" t="str">
        <f>"9781459801912"</f>
        <v>9781459801912</v>
      </c>
      <c r="E1734" t="s">
        <v>4668</v>
      </c>
      <c r="F1734" t="s">
        <v>4668</v>
      </c>
      <c r="G1734" s="1">
        <v>41030</v>
      </c>
      <c r="I1734" t="s">
        <v>8973</v>
      </c>
      <c r="J1734" t="s">
        <v>5287</v>
      </c>
      <c r="K1734" t="s">
        <v>9268</v>
      </c>
      <c r="L1734" t="s">
        <v>9269</v>
      </c>
      <c r="M1734">
        <v>151</v>
      </c>
      <c r="N1734" t="s">
        <v>9270</v>
      </c>
      <c r="O1734" t="s">
        <v>94</v>
      </c>
      <c r="P1734">
        <v>9.99</v>
      </c>
      <c r="Q1734">
        <v>12.49</v>
      </c>
      <c r="R1734">
        <v>9.99</v>
      </c>
      <c r="T1734" t="s">
        <v>9271</v>
      </c>
    </row>
    <row r="1735" spans="1:20">
      <c r="A1735">
        <v>1054237</v>
      </c>
      <c r="B1735" t="s">
        <v>9272</v>
      </c>
      <c r="C1735" t="str">
        <f>"9789052017839"</f>
        <v>9789052017839</v>
      </c>
      <c r="D1735" t="str">
        <f>"9783035261110"</f>
        <v>9783035261110</v>
      </c>
      <c r="E1735" t="s">
        <v>9273</v>
      </c>
      <c r="F1735" t="s">
        <v>9273</v>
      </c>
      <c r="G1735" s="1">
        <v>40970</v>
      </c>
      <c r="I1735" t="s">
        <v>9274</v>
      </c>
      <c r="J1735" t="s">
        <v>9275</v>
      </c>
      <c r="K1735" t="s">
        <v>6444</v>
      </c>
      <c r="L1735" t="s">
        <v>9276</v>
      </c>
      <c r="M1735">
        <v>327.09394090130002</v>
      </c>
      <c r="N1735" t="s">
        <v>9277</v>
      </c>
      <c r="O1735" t="s">
        <v>94</v>
      </c>
      <c r="P1735">
        <v>102.38</v>
      </c>
      <c r="R1735">
        <v>81.900000000000006</v>
      </c>
      <c r="T1735" t="s">
        <v>9278</v>
      </c>
    </row>
    <row r="1736" spans="1:20">
      <c r="A1736">
        <v>1058372</v>
      </c>
      <c r="B1736" t="s">
        <v>9279</v>
      </c>
      <c r="C1736" t="str">
        <f>"9781459803145"</f>
        <v>9781459803145</v>
      </c>
      <c r="D1736" t="str">
        <f>"9781459803152"</f>
        <v>9781459803152</v>
      </c>
      <c r="E1736" t="s">
        <v>4668</v>
      </c>
      <c r="F1736" t="s">
        <v>4668</v>
      </c>
      <c r="G1736" s="1">
        <v>41214</v>
      </c>
      <c r="I1736" t="s">
        <v>8973</v>
      </c>
      <c r="J1736" t="s">
        <v>5203</v>
      </c>
      <c r="K1736" t="s">
        <v>3572</v>
      </c>
      <c r="L1736" t="s">
        <v>9280</v>
      </c>
      <c r="M1736" t="s">
        <v>1509</v>
      </c>
      <c r="N1736" t="s">
        <v>9281</v>
      </c>
      <c r="O1736" t="s">
        <v>94</v>
      </c>
      <c r="P1736">
        <v>9.99</v>
      </c>
      <c r="Q1736">
        <v>12.49</v>
      </c>
      <c r="R1736">
        <v>9.99</v>
      </c>
      <c r="T1736" t="s">
        <v>9282</v>
      </c>
    </row>
    <row r="1737" spans="1:20">
      <c r="A1737">
        <v>1076276</v>
      </c>
      <c r="B1737" t="s">
        <v>9283</v>
      </c>
      <c r="C1737" t="str">
        <f>"9781459803114"</f>
        <v>9781459803114</v>
      </c>
      <c r="D1737" t="str">
        <f>"9781459803121"</f>
        <v>9781459803121</v>
      </c>
      <c r="E1737" t="s">
        <v>4668</v>
      </c>
      <c r="F1737" t="s">
        <v>4668</v>
      </c>
      <c r="G1737" s="1">
        <v>41214</v>
      </c>
      <c r="I1737" t="s">
        <v>8973</v>
      </c>
      <c r="J1737" t="s">
        <v>8653</v>
      </c>
      <c r="K1737" t="s">
        <v>3572</v>
      </c>
      <c r="L1737" t="s">
        <v>9284</v>
      </c>
      <c r="M1737" t="s">
        <v>1460</v>
      </c>
      <c r="N1737" t="s">
        <v>9285</v>
      </c>
      <c r="O1737" t="s">
        <v>94</v>
      </c>
      <c r="P1737">
        <v>9.99</v>
      </c>
      <c r="Q1737">
        <v>12.49</v>
      </c>
      <c r="R1737">
        <v>9.99</v>
      </c>
      <c r="T1737" t="s">
        <v>9286</v>
      </c>
    </row>
    <row r="1738" spans="1:20">
      <c r="A1738">
        <v>1076277</v>
      </c>
      <c r="B1738" t="s">
        <v>9287</v>
      </c>
      <c r="C1738" t="str">
        <f>"9781459803053"</f>
        <v>9781459803053</v>
      </c>
      <c r="D1738" t="str">
        <f>"9781459803060"</f>
        <v>9781459803060</v>
      </c>
      <c r="E1738" t="s">
        <v>4668</v>
      </c>
      <c r="F1738" t="s">
        <v>4668</v>
      </c>
      <c r="G1738" s="1">
        <v>41214</v>
      </c>
      <c r="I1738" t="s">
        <v>8823</v>
      </c>
      <c r="J1738" t="s">
        <v>5814</v>
      </c>
      <c r="K1738" t="s">
        <v>3572</v>
      </c>
      <c r="L1738" t="s">
        <v>9288</v>
      </c>
      <c r="M1738" t="s">
        <v>1509</v>
      </c>
      <c r="N1738" t="s">
        <v>8252</v>
      </c>
      <c r="O1738" t="s">
        <v>485</v>
      </c>
      <c r="P1738">
        <v>9.99</v>
      </c>
      <c r="Q1738">
        <v>12.49</v>
      </c>
      <c r="R1738">
        <v>9.99</v>
      </c>
      <c r="T1738" t="s">
        <v>9289</v>
      </c>
    </row>
    <row r="1739" spans="1:20">
      <c r="A1739">
        <v>1076278</v>
      </c>
      <c r="B1739" t="s">
        <v>9290</v>
      </c>
      <c r="C1739" t="str">
        <f>"9781554699315"</f>
        <v>9781554699315</v>
      </c>
      <c r="D1739" t="str">
        <f>"9781554699322"</f>
        <v>9781554699322</v>
      </c>
      <c r="E1739" t="s">
        <v>4668</v>
      </c>
      <c r="F1739" t="s">
        <v>4668</v>
      </c>
      <c r="G1739" s="1">
        <v>41214</v>
      </c>
      <c r="I1739" t="s">
        <v>4703</v>
      </c>
      <c r="J1739" t="s">
        <v>9026</v>
      </c>
      <c r="K1739" t="s">
        <v>3572</v>
      </c>
      <c r="L1739" t="s">
        <v>9291</v>
      </c>
      <c r="M1739" t="s">
        <v>1460</v>
      </c>
      <c r="N1739" t="s">
        <v>9292</v>
      </c>
      <c r="O1739" t="s">
        <v>26</v>
      </c>
      <c r="P1739">
        <v>6.99</v>
      </c>
      <c r="Q1739">
        <v>8.74</v>
      </c>
      <c r="R1739">
        <v>6.99</v>
      </c>
      <c r="T1739" t="s">
        <v>9293</v>
      </c>
    </row>
    <row r="1740" spans="1:20">
      <c r="A1740">
        <v>1076279</v>
      </c>
      <c r="B1740" t="s">
        <v>9294</v>
      </c>
      <c r="C1740" t="str">
        <f>"9781459802001"</f>
        <v>9781459802001</v>
      </c>
      <c r="D1740" t="str">
        <f>"9781459802018"</f>
        <v>9781459802018</v>
      </c>
      <c r="E1740" t="s">
        <v>4668</v>
      </c>
      <c r="F1740" t="s">
        <v>4668</v>
      </c>
      <c r="G1740" s="1">
        <v>41214</v>
      </c>
      <c r="I1740" t="s">
        <v>4703</v>
      </c>
      <c r="J1740" t="s">
        <v>3636</v>
      </c>
      <c r="K1740" t="s">
        <v>3572</v>
      </c>
      <c r="L1740" t="s">
        <v>9295</v>
      </c>
      <c r="M1740" t="s">
        <v>1460</v>
      </c>
      <c r="N1740" t="s">
        <v>9296</v>
      </c>
      <c r="O1740" t="s">
        <v>26</v>
      </c>
      <c r="P1740">
        <v>6.99</v>
      </c>
      <c r="Q1740">
        <v>8.74</v>
      </c>
      <c r="R1740">
        <v>6.99</v>
      </c>
      <c r="T1740" t="s">
        <v>9297</v>
      </c>
    </row>
    <row r="1741" spans="1:20">
      <c r="A1741">
        <v>1076280</v>
      </c>
      <c r="B1741" t="s">
        <v>9298</v>
      </c>
      <c r="C1741" t="str">
        <f>"9781459803084"</f>
        <v>9781459803084</v>
      </c>
      <c r="D1741" t="str">
        <f>"9781459803091"</f>
        <v>9781459803091</v>
      </c>
      <c r="E1741" t="s">
        <v>4668</v>
      </c>
      <c r="F1741" t="s">
        <v>4668</v>
      </c>
      <c r="G1741" s="1">
        <v>41214</v>
      </c>
      <c r="I1741" t="s">
        <v>8823</v>
      </c>
      <c r="J1741" t="s">
        <v>3578</v>
      </c>
      <c r="K1741" t="s">
        <v>3572</v>
      </c>
      <c r="L1741" t="s">
        <v>9299</v>
      </c>
      <c r="M1741" t="s">
        <v>1460</v>
      </c>
      <c r="N1741" t="s">
        <v>5122</v>
      </c>
      <c r="O1741" t="s">
        <v>485</v>
      </c>
      <c r="P1741">
        <v>9.99</v>
      </c>
      <c r="Q1741">
        <v>12.49</v>
      </c>
      <c r="R1741">
        <v>9.99</v>
      </c>
      <c r="T1741" t="s">
        <v>9300</v>
      </c>
    </row>
    <row r="1742" spans="1:20">
      <c r="A1742">
        <v>1076281</v>
      </c>
      <c r="B1742" t="s">
        <v>9301</v>
      </c>
      <c r="C1742" t="str">
        <f>"9781554699919"</f>
        <v>9781554699919</v>
      </c>
      <c r="D1742" t="str">
        <f>"9781554699964"</f>
        <v>9781554699964</v>
      </c>
      <c r="E1742" t="s">
        <v>4668</v>
      </c>
      <c r="F1742" t="s">
        <v>4668</v>
      </c>
      <c r="G1742" s="1">
        <v>41214</v>
      </c>
      <c r="I1742" t="s">
        <v>4703</v>
      </c>
      <c r="J1742" t="s">
        <v>9302</v>
      </c>
      <c r="K1742" t="s">
        <v>3572</v>
      </c>
      <c r="L1742" t="s">
        <v>9303</v>
      </c>
      <c r="M1742" t="s">
        <v>1460</v>
      </c>
      <c r="N1742" t="s">
        <v>9304</v>
      </c>
      <c r="O1742" t="s">
        <v>26</v>
      </c>
      <c r="P1742">
        <v>6.99</v>
      </c>
      <c r="Q1742">
        <v>8.74</v>
      </c>
      <c r="R1742">
        <v>6.99</v>
      </c>
      <c r="T1742" t="s">
        <v>9305</v>
      </c>
    </row>
    <row r="1743" spans="1:20">
      <c r="A1743">
        <v>1080499</v>
      </c>
      <c r="B1743" t="s">
        <v>9306</v>
      </c>
      <c r="C1743" t="str">
        <f>"9781443821209"</f>
        <v>9781443821209</v>
      </c>
      <c r="D1743" t="str">
        <f>"9781443821841"</f>
        <v>9781443821841</v>
      </c>
      <c r="E1743" t="s">
        <v>9307</v>
      </c>
      <c r="F1743" t="s">
        <v>9307</v>
      </c>
      <c r="G1743" s="1">
        <v>40330</v>
      </c>
      <c r="H1743">
        <v>1</v>
      </c>
      <c r="J1743" t="s">
        <v>9308</v>
      </c>
      <c r="K1743" t="s">
        <v>1471</v>
      </c>
      <c r="L1743" t="s">
        <v>9309</v>
      </c>
      <c r="M1743">
        <v>792.08900000000006</v>
      </c>
      <c r="N1743" t="s">
        <v>9310</v>
      </c>
      <c r="O1743" t="s">
        <v>26</v>
      </c>
      <c r="P1743">
        <v>91.95</v>
      </c>
      <c r="R1743">
        <v>91.95</v>
      </c>
      <c r="T1743" t="s">
        <v>9311</v>
      </c>
    </row>
    <row r="1744" spans="1:20">
      <c r="A1744">
        <v>1080613</v>
      </c>
      <c r="B1744" t="s">
        <v>9312</v>
      </c>
      <c r="C1744" t="str">
        <f>"9781443805902"</f>
        <v>9781443805902</v>
      </c>
      <c r="D1744" t="str">
        <f>"9781443814553"</f>
        <v>9781443814553</v>
      </c>
      <c r="E1744" t="s">
        <v>9307</v>
      </c>
      <c r="F1744" t="s">
        <v>9307</v>
      </c>
      <c r="G1744" s="1">
        <v>39965</v>
      </c>
      <c r="H1744">
        <v>1</v>
      </c>
      <c r="J1744" t="s">
        <v>9313</v>
      </c>
      <c r="K1744" t="s">
        <v>4081</v>
      </c>
      <c r="L1744" t="s">
        <v>9314</v>
      </c>
      <c r="M1744">
        <v>427.97135409999999</v>
      </c>
      <c r="N1744" t="s">
        <v>9315</v>
      </c>
      <c r="O1744" t="s">
        <v>26</v>
      </c>
      <c r="P1744">
        <v>70.95</v>
      </c>
      <c r="R1744">
        <v>70.95</v>
      </c>
      <c r="T1744" t="s">
        <v>9316</v>
      </c>
    </row>
    <row r="1745" spans="1:20">
      <c r="A1745">
        <v>1080655</v>
      </c>
      <c r="B1745" t="s">
        <v>9317</v>
      </c>
      <c r="C1745" t="str">
        <f>"9781443825641"</f>
        <v>9781443825641</v>
      </c>
      <c r="D1745" t="str">
        <f>"9781443826044"</f>
        <v>9781443826044</v>
      </c>
      <c r="E1745" t="s">
        <v>9307</v>
      </c>
      <c r="F1745" t="s">
        <v>9307</v>
      </c>
      <c r="G1745" s="1">
        <v>40513</v>
      </c>
      <c r="H1745">
        <v>1</v>
      </c>
      <c r="J1745" t="s">
        <v>9318</v>
      </c>
      <c r="K1745" t="s">
        <v>1550</v>
      </c>
      <c r="L1745" t="s">
        <v>9319</v>
      </c>
      <c r="M1745">
        <v>305.89607100000001</v>
      </c>
      <c r="N1745" t="s">
        <v>9320</v>
      </c>
      <c r="O1745" t="s">
        <v>26</v>
      </c>
      <c r="P1745">
        <v>91.95</v>
      </c>
      <c r="R1745">
        <v>91.95</v>
      </c>
      <c r="T1745" t="s">
        <v>9321</v>
      </c>
    </row>
    <row r="1746" spans="1:20">
      <c r="A1746">
        <v>1080710</v>
      </c>
      <c r="B1746" t="s">
        <v>9322</v>
      </c>
      <c r="C1746" t="str">
        <f>"9781847185235"</f>
        <v>9781847185235</v>
      </c>
      <c r="D1746" t="str">
        <f>"9781443810555"</f>
        <v>9781443810555</v>
      </c>
      <c r="E1746" t="s">
        <v>9307</v>
      </c>
      <c r="F1746" t="s">
        <v>9307</v>
      </c>
      <c r="G1746" s="1">
        <v>39539</v>
      </c>
      <c r="H1746">
        <v>1</v>
      </c>
      <c r="J1746" t="s">
        <v>9323</v>
      </c>
      <c r="K1746" t="s">
        <v>3848</v>
      </c>
      <c r="L1746" t="s">
        <v>9324</v>
      </c>
      <c r="M1746">
        <v>971</v>
      </c>
      <c r="N1746" t="s">
        <v>9325</v>
      </c>
      <c r="O1746" t="s">
        <v>26</v>
      </c>
      <c r="P1746">
        <v>81.95</v>
      </c>
      <c r="R1746">
        <v>81.95</v>
      </c>
      <c r="T1746" t="s">
        <v>9326</v>
      </c>
    </row>
    <row r="1747" spans="1:20">
      <c r="A1747">
        <v>1080717</v>
      </c>
      <c r="B1747" t="s">
        <v>9327</v>
      </c>
      <c r="C1747" t="str">
        <f>"9781443800129"</f>
        <v>9781443800129</v>
      </c>
      <c r="D1747" t="str">
        <f>"9781443815109"</f>
        <v>9781443815109</v>
      </c>
      <c r="E1747" t="s">
        <v>9307</v>
      </c>
      <c r="F1747" t="s">
        <v>9307</v>
      </c>
      <c r="G1747" s="1">
        <v>39753</v>
      </c>
      <c r="H1747">
        <v>1</v>
      </c>
      <c r="J1747" t="s">
        <v>9328</v>
      </c>
      <c r="K1747" t="s">
        <v>1464</v>
      </c>
      <c r="L1747" t="s">
        <v>9329</v>
      </c>
      <c r="M1747">
        <v>813.54</v>
      </c>
      <c r="N1747" t="s">
        <v>9330</v>
      </c>
      <c r="O1747" t="s">
        <v>26</v>
      </c>
      <c r="P1747">
        <v>70.95</v>
      </c>
      <c r="R1747">
        <v>70.95</v>
      </c>
      <c r="T1747" t="s">
        <v>9331</v>
      </c>
    </row>
    <row r="1748" spans="1:20">
      <c r="A1748">
        <v>1080891</v>
      </c>
      <c r="B1748" t="s">
        <v>9332</v>
      </c>
      <c r="C1748" t="str">
        <f>"9781847187321"</f>
        <v>9781847187321</v>
      </c>
      <c r="D1748" t="str">
        <f>"9781443815055"</f>
        <v>9781443815055</v>
      </c>
      <c r="E1748" t="s">
        <v>9307</v>
      </c>
      <c r="F1748" t="s">
        <v>9307</v>
      </c>
      <c r="G1748" s="1">
        <v>39692</v>
      </c>
      <c r="H1748">
        <v>1</v>
      </c>
      <c r="J1748" t="s">
        <v>9333</v>
      </c>
      <c r="K1748" t="s">
        <v>1464</v>
      </c>
      <c r="L1748" t="s">
        <v>9334</v>
      </c>
      <c r="M1748">
        <v>810.99287000000004</v>
      </c>
      <c r="N1748" t="s">
        <v>9335</v>
      </c>
      <c r="O1748" t="s">
        <v>26</v>
      </c>
      <c r="P1748">
        <v>70.95</v>
      </c>
      <c r="R1748">
        <v>70.95</v>
      </c>
      <c r="T1748" t="s">
        <v>9336</v>
      </c>
    </row>
    <row r="1749" spans="1:20">
      <c r="A1749">
        <v>1092516</v>
      </c>
      <c r="B1749" t="s">
        <v>9337</v>
      </c>
      <c r="C1749" t="str">
        <f>"9781459801639"</f>
        <v>9781459801639</v>
      </c>
      <c r="D1749" t="str">
        <f>"9781459801646"</f>
        <v>9781459801646</v>
      </c>
      <c r="E1749" t="s">
        <v>4668</v>
      </c>
      <c r="F1749" t="s">
        <v>4668</v>
      </c>
      <c r="G1749" s="1">
        <v>41183</v>
      </c>
      <c r="J1749" t="s">
        <v>9338</v>
      </c>
      <c r="K1749" t="s">
        <v>9339</v>
      </c>
      <c r="L1749" t="s">
        <v>9340</v>
      </c>
      <c r="M1749" t="s">
        <v>9341</v>
      </c>
      <c r="N1749" t="s">
        <v>9342</v>
      </c>
      <c r="O1749" t="s">
        <v>26</v>
      </c>
      <c r="P1749">
        <v>9.99</v>
      </c>
      <c r="Q1749">
        <v>12.49</v>
      </c>
      <c r="R1749">
        <v>9.99</v>
      </c>
      <c r="T1749" t="s">
        <v>9343</v>
      </c>
    </row>
    <row r="1750" spans="1:20">
      <c r="A1750">
        <v>1092518</v>
      </c>
      <c r="B1750" t="s">
        <v>9344</v>
      </c>
      <c r="C1750" t="str">
        <f>"9781459801547"</f>
        <v>9781459801547</v>
      </c>
      <c r="D1750" t="str">
        <f>"9781459801554"</f>
        <v>9781459801554</v>
      </c>
      <c r="E1750" t="s">
        <v>4668</v>
      </c>
      <c r="F1750" t="s">
        <v>4668</v>
      </c>
      <c r="G1750" s="1">
        <v>41183</v>
      </c>
      <c r="J1750" t="s">
        <v>9345</v>
      </c>
      <c r="K1750" t="s">
        <v>3572</v>
      </c>
      <c r="L1750" t="s">
        <v>9346</v>
      </c>
      <c r="M1750" t="s">
        <v>1509</v>
      </c>
      <c r="N1750" t="s">
        <v>9347</v>
      </c>
      <c r="O1750" t="s">
        <v>26</v>
      </c>
      <c r="P1750">
        <v>10.99</v>
      </c>
      <c r="Q1750">
        <v>13.74</v>
      </c>
      <c r="R1750">
        <v>10.99</v>
      </c>
      <c r="T1750" t="s">
        <v>9348</v>
      </c>
    </row>
    <row r="1751" spans="1:20">
      <c r="A1751">
        <v>1099559</v>
      </c>
      <c r="B1751" t="s">
        <v>9349</v>
      </c>
      <c r="C1751" t="str">
        <f>"9789042035683"</f>
        <v>9789042035683</v>
      </c>
      <c r="D1751" t="str">
        <f>"9789401208437"</f>
        <v>9789401208437</v>
      </c>
      <c r="E1751" t="s">
        <v>9350</v>
      </c>
      <c r="F1751" t="s">
        <v>9351</v>
      </c>
      <c r="G1751" s="1">
        <v>40909</v>
      </c>
      <c r="H1751">
        <v>1</v>
      </c>
      <c r="I1751" t="s">
        <v>9352</v>
      </c>
      <c r="J1751" t="s">
        <v>9353</v>
      </c>
      <c r="K1751" t="s">
        <v>1464</v>
      </c>
      <c r="L1751" t="s">
        <v>9354</v>
      </c>
      <c r="M1751">
        <v>808.8035220905</v>
      </c>
      <c r="N1751" t="s">
        <v>9355</v>
      </c>
      <c r="O1751" t="s">
        <v>26</v>
      </c>
      <c r="P1751">
        <v>47</v>
      </c>
      <c r="Q1751">
        <v>58.75</v>
      </c>
      <c r="R1751">
        <v>47</v>
      </c>
      <c r="S1751">
        <v>70.5</v>
      </c>
      <c r="T1751" t="s">
        <v>9356</v>
      </c>
    </row>
    <row r="1752" spans="1:20">
      <c r="A1752">
        <v>1101259</v>
      </c>
      <c r="B1752" t="s">
        <v>9357</v>
      </c>
      <c r="C1752" t="str">
        <f>""</f>
        <v/>
      </c>
      <c r="D1752" t="str">
        <f>"9781459804494"</f>
        <v>9781459804494</v>
      </c>
      <c r="E1752" t="s">
        <v>4668</v>
      </c>
      <c r="F1752" t="s">
        <v>8157</v>
      </c>
      <c r="G1752" s="1">
        <v>41250</v>
      </c>
      <c r="I1752" t="s">
        <v>8158</v>
      </c>
      <c r="J1752" t="s">
        <v>8756</v>
      </c>
      <c r="K1752" t="s">
        <v>1464</v>
      </c>
      <c r="L1752" t="s">
        <v>9358</v>
      </c>
      <c r="M1752">
        <v>813</v>
      </c>
      <c r="N1752" t="s">
        <v>9359</v>
      </c>
      <c r="O1752" t="s">
        <v>26</v>
      </c>
      <c r="P1752">
        <v>9.99</v>
      </c>
      <c r="Q1752">
        <v>12.49</v>
      </c>
      <c r="R1752">
        <v>9.99</v>
      </c>
      <c r="T1752" t="s">
        <v>9360</v>
      </c>
    </row>
    <row r="1753" spans="1:20">
      <c r="A1753">
        <v>1101260</v>
      </c>
      <c r="B1753" t="s">
        <v>9361</v>
      </c>
      <c r="C1753" t="str">
        <f>""</f>
        <v/>
      </c>
      <c r="D1753" t="str">
        <f>"9781459804487"</f>
        <v>9781459804487</v>
      </c>
      <c r="E1753" t="s">
        <v>4668</v>
      </c>
      <c r="F1753" t="s">
        <v>8157</v>
      </c>
      <c r="G1753" s="1">
        <v>41250</v>
      </c>
      <c r="I1753" t="s">
        <v>8158</v>
      </c>
      <c r="J1753" t="s">
        <v>8828</v>
      </c>
      <c r="K1753" t="s">
        <v>1464</v>
      </c>
      <c r="L1753" t="s">
        <v>9362</v>
      </c>
      <c r="M1753">
        <v>813.54</v>
      </c>
      <c r="N1753" t="s">
        <v>9363</v>
      </c>
      <c r="O1753" t="s">
        <v>26</v>
      </c>
      <c r="P1753">
        <v>9.99</v>
      </c>
      <c r="Q1753">
        <v>12.49</v>
      </c>
      <c r="R1753">
        <v>9.99</v>
      </c>
      <c r="T1753" t="s">
        <v>9364</v>
      </c>
    </row>
    <row r="1754" spans="1:20">
      <c r="A1754">
        <v>1107110</v>
      </c>
      <c r="B1754" t="s">
        <v>9365</v>
      </c>
      <c r="C1754" t="str">
        <f>"9781847181107"</f>
        <v>9781847181107</v>
      </c>
      <c r="D1754" t="str">
        <f>"9781443807586"</f>
        <v>9781443807586</v>
      </c>
      <c r="E1754" t="s">
        <v>9307</v>
      </c>
      <c r="F1754" t="s">
        <v>9307</v>
      </c>
      <c r="G1754" s="1">
        <v>39114</v>
      </c>
      <c r="H1754">
        <v>1</v>
      </c>
      <c r="J1754" t="s">
        <v>9366</v>
      </c>
      <c r="K1754" t="s">
        <v>1550</v>
      </c>
      <c r="L1754" t="s">
        <v>9367</v>
      </c>
      <c r="M1754">
        <v>305.89607100000001</v>
      </c>
      <c r="N1754" t="s">
        <v>9368</v>
      </c>
      <c r="O1754" t="s">
        <v>26</v>
      </c>
      <c r="P1754">
        <v>91.95</v>
      </c>
      <c r="R1754">
        <v>91.95</v>
      </c>
      <c r="T1754" t="s">
        <v>9369</v>
      </c>
    </row>
    <row r="1755" spans="1:20">
      <c r="A1755">
        <v>1114232</v>
      </c>
      <c r="B1755" t="s">
        <v>9370</v>
      </c>
      <c r="C1755" t="str">
        <f>"9781443823814"</f>
        <v>9781443823814</v>
      </c>
      <c r="D1755" t="str">
        <f>"9781443824347"</f>
        <v>9781443824347</v>
      </c>
      <c r="E1755" t="s">
        <v>9307</v>
      </c>
      <c r="F1755" t="s">
        <v>9307</v>
      </c>
      <c r="G1755" s="1">
        <v>40452</v>
      </c>
      <c r="H1755">
        <v>1</v>
      </c>
      <c r="J1755" t="s">
        <v>9371</v>
      </c>
      <c r="K1755" t="s">
        <v>467</v>
      </c>
      <c r="L1755" t="s">
        <v>9372</v>
      </c>
      <c r="M1755" t="s">
        <v>9373</v>
      </c>
      <c r="N1755" t="s">
        <v>9374</v>
      </c>
      <c r="O1755" t="s">
        <v>26</v>
      </c>
      <c r="P1755">
        <v>81.95</v>
      </c>
      <c r="R1755">
        <v>81.95</v>
      </c>
      <c r="T1755" t="s">
        <v>9375</v>
      </c>
    </row>
    <row r="1756" spans="1:20">
      <c r="A1756">
        <v>1118970</v>
      </c>
      <c r="B1756" t="s">
        <v>9376</v>
      </c>
      <c r="C1756" t="str">
        <f>"9780826346025"</f>
        <v>9780826346025</v>
      </c>
      <c r="D1756" t="str">
        <f>"9780826346032"</f>
        <v>9780826346032</v>
      </c>
      <c r="E1756" t="s">
        <v>9377</v>
      </c>
      <c r="F1756" t="s">
        <v>9377</v>
      </c>
      <c r="G1756" s="1">
        <v>40406</v>
      </c>
      <c r="J1756" t="s">
        <v>9378</v>
      </c>
      <c r="K1756" t="s">
        <v>291</v>
      </c>
      <c r="L1756" t="s">
        <v>9379</v>
      </c>
      <c r="M1756" t="s">
        <v>9380</v>
      </c>
      <c r="N1756" t="s">
        <v>9381</v>
      </c>
      <c r="O1756" t="s">
        <v>26</v>
      </c>
      <c r="P1756">
        <v>19.95</v>
      </c>
      <c r="Q1756">
        <v>24.94</v>
      </c>
      <c r="R1756">
        <v>19.95</v>
      </c>
      <c r="S1756">
        <v>29.93</v>
      </c>
      <c r="T1756" t="s">
        <v>9382</v>
      </c>
    </row>
    <row r="1757" spans="1:20">
      <c r="A1757">
        <v>1119734</v>
      </c>
      <c r="B1757" t="s">
        <v>9383</v>
      </c>
      <c r="C1757" t="str">
        <f>"9789221252733"</f>
        <v>9789221252733</v>
      </c>
      <c r="D1757" t="str">
        <f>"9789221252740"</f>
        <v>9789221252740</v>
      </c>
      <c r="E1757" t="s">
        <v>9384</v>
      </c>
      <c r="F1757" t="s">
        <v>9384</v>
      </c>
      <c r="G1757" s="1">
        <v>41275</v>
      </c>
      <c r="J1757" t="s">
        <v>9385</v>
      </c>
      <c r="K1757" t="s">
        <v>416</v>
      </c>
      <c r="L1757" t="s">
        <v>9386</v>
      </c>
      <c r="M1757">
        <v>331.12</v>
      </c>
      <c r="N1757" t="s">
        <v>9387</v>
      </c>
      <c r="O1757" t="s">
        <v>26</v>
      </c>
      <c r="P1757">
        <v>40</v>
      </c>
      <c r="R1757">
        <v>40</v>
      </c>
      <c r="S1757">
        <v>60</v>
      </c>
      <c r="T1757" t="s">
        <v>9388</v>
      </c>
    </row>
    <row r="1758" spans="1:20">
      <c r="A1758">
        <v>1138037</v>
      </c>
      <c r="B1758" t="s">
        <v>9389</v>
      </c>
      <c r="C1758" t="str">
        <f>"9781459802063"</f>
        <v>9781459802063</v>
      </c>
      <c r="D1758" t="str">
        <f>"9781459802070"</f>
        <v>9781459802070</v>
      </c>
      <c r="E1758" t="s">
        <v>4668</v>
      </c>
      <c r="F1758" t="s">
        <v>8157</v>
      </c>
      <c r="G1758" s="1">
        <v>41334</v>
      </c>
      <c r="I1758" t="s">
        <v>8158</v>
      </c>
      <c r="J1758" t="s">
        <v>9390</v>
      </c>
      <c r="K1758" t="s">
        <v>1458</v>
      </c>
      <c r="L1758" t="s">
        <v>9391</v>
      </c>
      <c r="M1758" t="s">
        <v>1460</v>
      </c>
      <c r="N1758" t="s">
        <v>9392</v>
      </c>
      <c r="O1758" t="s">
        <v>26</v>
      </c>
      <c r="P1758">
        <v>9.99</v>
      </c>
      <c r="Q1758">
        <v>12.49</v>
      </c>
      <c r="R1758">
        <v>9.99</v>
      </c>
      <c r="T1758" t="s">
        <v>9393</v>
      </c>
    </row>
    <row r="1759" spans="1:20">
      <c r="A1759">
        <v>1138038</v>
      </c>
      <c r="B1759" t="s">
        <v>9394</v>
      </c>
      <c r="C1759" t="str">
        <f>"9781459802254"</f>
        <v>9781459802254</v>
      </c>
      <c r="D1759" t="str">
        <f>"9781459802261"</f>
        <v>9781459802261</v>
      </c>
      <c r="E1759" t="s">
        <v>4668</v>
      </c>
      <c r="F1759" t="s">
        <v>8157</v>
      </c>
      <c r="G1759" s="1">
        <v>41334</v>
      </c>
      <c r="I1759" t="s">
        <v>8158</v>
      </c>
      <c r="J1759" t="s">
        <v>8756</v>
      </c>
      <c r="K1759" t="s">
        <v>1458</v>
      </c>
      <c r="L1759" t="s">
        <v>9395</v>
      </c>
      <c r="M1759" t="s">
        <v>1460</v>
      </c>
      <c r="N1759" t="s">
        <v>9396</v>
      </c>
      <c r="O1759" t="s">
        <v>26</v>
      </c>
      <c r="P1759">
        <v>9.99</v>
      </c>
      <c r="Q1759">
        <v>12.49</v>
      </c>
      <c r="R1759">
        <v>9.99</v>
      </c>
      <c r="T1759" t="s">
        <v>9397</v>
      </c>
    </row>
    <row r="1760" spans="1:20">
      <c r="A1760">
        <v>1138039</v>
      </c>
      <c r="B1760" t="s">
        <v>9398</v>
      </c>
      <c r="C1760" t="str">
        <f>"9781459801769"</f>
        <v>9781459801769</v>
      </c>
      <c r="D1760" t="str">
        <f>"9781459801776"</f>
        <v>9781459801776</v>
      </c>
      <c r="E1760" t="s">
        <v>4668</v>
      </c>
      <c r="F1760" t="s">
        <v>8157</v>
      </c>
      <c r="G1760" s="1">
        <v>41365</v>
      </c>
      <c r="I1760" t="s">
        <v>8158</v>
      </c>
      <c r="J1760" t="s">
        <v>3859</v>
      </c>
      <c r="K1760" t="s">
        <v>1458</v>
      </c>
      <c r="L1760" t="s">
        <v>9399</v>
      </c>
      <c r="M1760" t="s">
        <v>1460</v>
      </c>
      <c r="N1760" t="s">
        <v>9400</v>
      </c>
      <c r="O1760" t="s">
        <v>26</v>
      </c>
      <c r="P1760">
        <v>9.99</v>
      </c>
      <c r="Q1760">
        <v>12.49</v>
      </c>
      <c r="R1760">
        <v>9.99</v>
      </c>
      <c r="T1760" t="s">
        <v>9401</v>
      </c>
    </row>
    <row r="1761" spans="1:20">
      <c r="A1761">
        <v>1142777</v>
      </c>
      <c r="B1761" t="s">
        <v>9402</v>
      </c>
      <c r="C1761" t="str">
        <f>"9781459802544"</f>
        <v>9781459802544</v>
      </c>
      <c r="D1761" t="str">
        <f>"9781459802544"</f>
        <v>9781459802544</v>
      </c>
      <c r="E1761" t="s">
        <v>4668</v>
      </c>
      <c r="F1761" t="s">
        <v>8157</v>
      </c>
      <c r="G1761" s="1">
        <v>41365</v>
      </c>
      <c r="I1761" t="s">
        <v>8158</v>
      </c>
      <c r="J1761" t="s">
        <v>9403</v>
      </c>
      <c r="K1761" t="s">
        <v>1464</v>
      </c>
      <c r="L1761" t="s">
        <v>9404</v>
      </c>
      <c r="N1761" t="s">
        <v>9405</v>
      </c>
      <c r="O1761" t="s">
        <v>26</v>
      </c>
      <c r="P1761">
        <v>9.99</v>
      </c>
      <c r="Q1761">
        <v>12.49</v>
      </c>
      <c r="R1761">
        <v>9.99</v>
      </c>
      <c r="T1761" t="s">
        <v>9406</v>
      </c>
    </row>
    <row r="1762" spans="1:20">
      <c r="A1762">
        <v>1144373</v>
      </c>
      <c r="B1762" t="s">
        <v>9407</v>
      </c>
      <c r="C1762" t="str">
        <f>"9781459801509"</f>
        <v>9781459801509</v>
      </c>
      <c r="D1762" t="str">
        <f>"9781459801523"</f>
        <v>9781459801523</v>
      </c>
      <c r="E1762" t="s">
        <v>4668</v>
      </c>
      <c r="F1762" t="s">
        <v>4668</v>
      </c>
      <c r="G1762" s="1">
        <v>41334</v>
      </c>
      <c r="I1762" t="s">
        <v>4685</v>
      </c>
      <c r="J1762" t="s">
        <v>5116</v>
      </c>
      <c r="K1762" t="s">
        <v>3572</v>
      </c>
      <c r="L1762" t="s">
        <v>9408</v>
      </c>
      <c r="M1762" t="s">
        <v>1509</v>
      </c>
      <c r="N1762" t="s">
        <v>9409</v>
      </c>
      <c r="O1762" t="s">
        <v>26</v>
      </c>
      <c r="P1762">
        <v>9.99</v>
      </c>
      <c r="Q1762">
        <v>12.49</v>
      </c>
      <c r="R1762">
        <v>9.99</v>
      </c>
      <c r="T1762" t="s">
        <v>9410</v>
      </c>
    </row>
    <row r="1763" spans="1:20">
      <c r="A1763">
        <v>1144374</v>
      </c>
      <c r="B1763" t="s">
        <v>9411</v>
      </c>
      <c r="C1763" t="str">
        <f>"9781459803497"</f>
        <v>9781459803497</v>
      </c>
      <c r="D1763" t="str">
        <f>"9781459803503"</f>
        <v>9781459803503</v>
      </c>
      <c r="E1763" t="s">
        <v>4668</v>
      </c>
      <c r="F1763" t="s">
        <v>4668</v>
      </c>
      <c r="G1763" s="1">
        <v>41334</v>
      </c>
      <c r="I1763" t="s">
        <v>4685</v>
      </c>
      <c r="J1763" t="s">
        <v>9412</v>
      </c>
      <c r="K1763" t="s">
        <v>3572</v>
      </c>
      <c r="L1763" t="s">
        <v>9413</v>
      </c>
      <c r="M1763" t="s">
        <v>1509</v>
      </c>
      <c r="N1763" t="s">
        <v>9414</v>
      </c>
      <c r="O1763" t="s">
        <v>26</v>
      </c>
      <c r="P1763">
        <v>9.99</v>
      </c>
      <c r="Q1763">
        <v>12.49</v>
      </c>
      <c r="R1763">
        <v>9.99</v>
      </c>
      <c r="T1763" t="s">
        <v>9415</v>
      </c>
    </row>
    <row r="1764" spans="1:20">
      <c r="A1764">
        <v>1144375</v>
      </c>
      <c r="B1764" t="s">
        <v>9416</v>
      </c>
      <c r="C1764" t="str">
        <f>"9781459800748"</f>
        <v>9781459800748</v>
      </c>
      <c r="D1764" t="str">
        <f>"9781459800755"</f>
        <v>9781459800755</v>
      </c>
      <c r="E1764" t="s">
        <v>4668</v>
      </c>
      <c r="F1764" t="s">
        <v>4668</v>
      </c>
      <c r="G1764" s="1">
        <v>41334</v>
      </c>
      <c r="J1764" t="s">
        <v>9417</v>
      </c>
      <c r="K1764" t="s">
        <v>3572</v>
      </c>
      <c r="L1764" t="s">
        <v>9418</v>
      </c>
      <c r="M1764" t="s">
        <v>1509</v>
      </c>
      <c r="N1764" t="s">
        <v>9419</v>
      </c>
      <c r="O1764" t="s">
        <v>26</v>
      </c>
      <c r="P1764">
        <v>12.99</v>
      </c>
      <c r="Q1764">
        <v>16.239999999999998</v>
      </c>
      <c r="R1764">
        <v>12.99</v>
      </c>
      <c r="T1764" t="s">
        <v>9420</v>
      </c>
    </row>
    <row r="1765" spans="1:20">
      <c r="A1765">
        <v>1144376</v>
      </c>
      <c r="B1765" t="s">
        <v>9421</v>
      </c>
      <c r="C1765" t="str">
        <f>"9781554699599"</f>
        <v>9781554699599</v>
      </c>
      <c r="D1765" t="str">
        <f>"9781554699605"</f>
        <v>9781554699605</v>
      </c>
      <c r="E1765" t="s">
        <v>4668</v>
      </c>
      <c r="F1765" t="s">
        <v>4668</v>
      </c>
      <c r="G1765" s="1">
        <v>41334</v>
      </c>
      <c r="J1765" t="s">
        <v>5814</v>
      </c>
      <c r="K1765" t="s">
        <v>3572</v>
      </c>
      <c r="L1765" t="s">
        <v>9422</v>
      </c>
      <c r="M1765" t="s">
        <v>1509</v>
      </c>
      <c r="N1765" t="s">
        <v>9423</v>
      </c>
      <c r="O1765" t="s">
        <v>26</v>
      </c>
      <c r="P1765">
        <v>9.99</v>
      </c>
      <c r="Q1765">
        <v>12.49</v>
      </c>
      <c r="R1765">
        <v>9.99</v>
      </c>
      <c r="T1765" t="s">
        <v>9424</v>
      </c>
    </row>
    <row r="1766" spans="1:20">
      <c r="A1766">
        <v>1144377</v>
      </c>
      <c r="B1766" t="s">
        <v>9425</v>
      </c>
      <c r="C1766" t="str">
        <f>"9781459802162"</f>
        <v>9781459802162</v>
      </c>
      <c r="D1766" t="str">
        <f>"9781459802179"</f>
        <v>9781459802179</v>
      </c>
      <c r="E1766" t="s">
        <v>4668</v>
      </c>
      <c r="F1766" t="s">
        <v>4668</v>
      </c>
      <c r="G1766" s="1">
        <v>41334</v>
      </c>
      <c r="J1766" t="s">
        <v>5627</v>
      </c>
      <c r="K1766" t="s">
        <v>3572</v>
      </c>
      <c r="L1766" t="s">
        <v>9426</v>
      </c>
      <c r="M1766" t="s">
        <v>1509</v>
      </c>
      <c r="N1766" t="s">
        <v>9427</v>
      </c>
      <c r="O1766" t="s">
        <v>26</v>
      </c>
      <c r="P1766">
        <v>9.99</v>
      </c>
      <c r="Q1766">
        <v>12.49</v>
      </c>
      <c r="R1766">
        <v>9.99</v>
      </c>
      <c r="T1766" t="s">
        <v>9428</v>
      </c>
    </row>
    <row r="1767" spans="1:20">
      <c r="A1767">
        <v>1162758</v>
      </c>
      <c r="B1767" t="s">
        <v>9429</v>
      </c>
      <c r="C1767" t="str">
        <f>"9781926824772"</f>
        <v>9781926824772</v>
      </c>
      <c r="D1767" t="str">
        <f>"9781926824802"</f>
        <v>9781926824802</v>
      </c>
      <c r="E1767" t="s">
        <v>9223</v>
      </c>
      <c r="F1767" t="s">
        <v>9223</v>
      </c>
      <c r="G1767" s="1">
        <v>41365</v>
      </c>
      <c r="J1767" t="s">
        <v>9430</v>
      </c>
      <c r="K1767" t="s">
        <v>291</v>
      </c>
      <c r="L1767" t="s">
        <v>9431</v>
      </c>
      <c r="M1767">
        <v>971.42809999999997</v>
      </c>
      <c r="N1767" t="s">
        <v>9432</v>
      </c>
      <c r="O1767" t="s">
        <v>26</v>
      </c>
      <c r="P1767">
        <v>23.99</v>
      </c>
      <c r="Q1767">
        <v>20.79</v>
      </c>
      <c r="R1767">
        <v>15.99</v>
      </c>
      <c r="S1767">
        <v>23.99</v>
      </c>
      <c r="T1767" t="s">
        <v>9433</v>
      </c>
    </row>
    <row r="1768" spans="1:20">
      <c r="A1768">
        <v>1165546</v>
      </c>
      <c r="B1768" t="s">
        <v>9434</v>
      </c>
      <c r="C1768" t="str">
        <f>"9781443828635"</f>
        <v>9781443828635</v>
      </c>
      <c r="D1768" t="str">
        <f>"9781443830140"</f>
        <v>9781443830140</v>
      </c>
      <c r="E1768" t="s">
        <v>9307</v>
      </c>
      <c r="F1768" t="s">
        <v>9307</v>
      </c>
      <c r="G1768" s="1">
        <v>40664</v>
      </c>
      <c r="H1768">
        <v>1</v>
      </c>
      <c r="J1768" t="s">
        <v>9435</v>
      </c>
      <c r="K1768" t="s">
        <v>2154</v>
      </c>
      <c r="L1768" t="s">
        <v>9436</v>
      </c>
      <c r="M1768">
        <v>363.70600999999999</v>
      </c>
      <c r="N1768" t="s">
        <v>9437</v>
      </c>
      <c r="O1768" t="s">
        <v>26</v>
      </c>
      <c r="P1768">
        <v>61.95</v>
      </c>
      <c r="R1768">
        <v>61.95</v>
      </c>
      <c r="T1768" t="s">
        <v>9438</v>
      </c>
    </row>
    <row r="1769" spans="1:20">
      <c r="A1769">
        <v>1165786</v>
      </c>
      <c r="B1769" t="s">
        <v>9439</v>
      </c>
      <c r="C1769" t="str">
        <f>"9781443813105"</f>
        <v>9781443813105</v>
      </c>
      <c r="D1769" t="str">
        <f>"9781443816137"</f>
        <v>9781443816137</v>
      </c>
      <c r="E1769" t="s">
        <v>9307</v>
      </c>
      <c r="F1769" t="s">
        <v>9307</v>
      </c>
      <c r="G1769" s="1">
        <v>40087</v>
      </c>
      <c r="H1769">
        <v>1</v>
      </c>
      <c r="J1769" t="s">
        <v>9440</v>
      </c>
      <c r="K1769" t="s">
        <v>1550</v>
      </c>
      <c r="L1769" t="s">
        <v>9441</v>
      </c>
      <c r="M1769">
        <v>305.89162071380002</v>
      </c>
      <c r="N1769" t="s">
        <v>9442</v>
      </c>
      <c r="O1769" t="s">
        <v>26</v>
      </c>
      <c r="P1769">
        <v>91.95</v>
      </c>
      <c r="R1769">
        <v>91.95</v>
      </c>
      <c r="T1769" t="s">
        <v>9443</v>
      </c>
    </row>
    <row r="1770" spans="1:20">
      <c r="A1770">
        <v>1168351</v>
      </c>
      <c r="B1770" t="s">
        <v>9444</v>
      </c>
      <c r="C1770" t="str">
        <f>"9781459801974"</f>
        <v>9781459801974</v>
      </c>
      <c r="D1770" t="str">
        <f>"9781459801981"</f>
        <v>9781459801981</v>
      </c>
      <c r="E1770" t="s">
        <v>4668</v>
      </c>
      <c r="F1770" t="s">
        <v>4668</v>
      </c>
      <c r="G1770" s="1">
        <v>41365</v>
      </c>
      <c r="J1770" t="s">
        <v>5411</v>
      </c>
      <c r="K1770" t="s">
        <v>3572</v>
      </c>
      <c r="L1770" t="s">
        <v>9445</v>
      </c>
      <c r="M1770" t="s">
        <v>1460</v>
      </c>
      <c r="N1770" t="s">
        <v>9446</v>
      </c>
      <c r="O1770" t="s">
        <v>26</v>
      </c>
      <c r="P1770">
        <v>12.99</v>
      </c>
      <c r="Q1770">
        <v>16.239999999999998</v>
      </c>
      <c r="R1770">
        <v>12.99</v>
      </c>
      <c r="T1770" t="s">
        <v>9447</v>
      </c>
    </row>
    <row r="1771" spans="1:20">
      <c r="A1771">
        <v>1168352</v>
      </c>
      <c r="B1771" t="s">
        <v>9448</v>
      </c>
      <c r="C1771" t="str">
        <f>"9781459802322"</f>
        <v>9781459802322</v>
      </c>
      <c r="D1771" t="str">
        <f>"9781459802346"</f>
        <v>9781459802346</v>
      </c>
      <c r="E1771" t="s">
        <v>4668</v>
      </c>
      <c r="F1771" t="s">
        <v>4668</v>
      </c>
      <c r="G1771" s="1">
        <v>41365</v>
      </c>
      <c r="I1771" t="s">
        <v>4685</v>
      </c>
      <c r="J1771" t="s">
        <v>9449</v>
      </c>
      <c r="K1771" t="s">
        <v>3572</v>
      </c>
      <c r="L1771" t="s">
        <v>9450</v>
      </c>
      <c r="M1771" t="s">
        <v>1460</v>
      </c>
      <c r="N1771" t="s">
        <v>9451</v>
      </c>
      <c r="O1771" t="s">
        <v>26</v>
      </c>
      <c r="P1771">
        <v>9.99</v>
      </c>
      <c r="Q1771">
        <v>12.49</v>
      </c>
      <c r="R1771">
        <v>9.99</v>
      </c>
      <c r="T1771" t="s">
        <v>9452</v>
      </c>
    </row>
    <row r="1772" spans="1:20">
      <c r="A1772">
        <v>1168353</v>
      </c>
      <c r="B1772" t="s">
        <v>9453</v>
      </c>
      <c r="C1772" t="str">
        <f>"9781459803602"</f>
        <v>9781459803602</v>
      </c>
      <c r="D1772" t="str">
        <f>"9781459803619"</f>
        <v>9781459803619</v>
      </c>
      <c r="E1772" t="s">
        <v>4668</v>
      </c>
      <c r="F1772" t="s">
        <v>4668</v>
      </c>
      <c r="G1772" s="1">
        <v>41365</v>
      </c>
      <c r="I1772" t="s">
        <v>5056</v>
      </c>
      <c r="J1772" t="s">
        <v>5814</v>
      </c>
      <c r="K1772" t="s">
        <v>3572</v>
      </c>
      <c r="L1772" t="s">
        <v>9454</v>
      </c>
      <c r="M1772" t="s">
        <v>1509</v>
      </c>
      <c r="N1772" t="s">
        <v>9455</v>
      </c>
      <c r="O1772" t="s">
        <v>26</v>
      </c>
      <c r="P1772">
        <v>9.99</v>
      </c>
      <c r="Q1772">
        <v>12.49</v>
      </c>
      <c r="R1772">
        <v>9.99</v>
      </c>
      <c r="T1772" t="s">
        <v>9456</v>
      </c>
    </row>
    <row r="1773" spans="1:20">
      <c r="A1773">
        <v>1168354</v>
      </c>
      <c r="B1773" t="s">
        <v>9457</v>
      </c>
      <c r="C1773" t="str">
        <f>"9781459803640"</f>
        <v>9781459803640</v>
      </c>
      <c r="D1773" t="str">
        <f>"9781459803664"</f>
        <v>9781459803664</v>
      </c>
      <c r="E1773" t="s">
        <v>4668</v>
      </c>
      <c r="F1773" t="s">
        <v>4668</v>
      </c>
      <c r="G1773" s="1">
        <v>41365</v>
      </c>
      <c r="I1773" t="s">
        <v>5056</v>
      </c>
      <c r="J1773" t="s">
        <v>9458</v>
      </c>
      <c r="K1773" t="s">
        <v>3572</v>
      </c>
      <c r="L1773" t="s">
        <v>9459</v>
      </c>
      <c r="M1773" t="s">
        <v>1509</v>
      </c>
      <c r="N1773" t="s">
        <v>9460</v>
      </c>
      <c r="O1773" t="s">
        <v>26</v>
      </c>
      <c r="P1773">
        <v>9.99</v>
      </c>
      <c r="Q1773">
        <v>12.49</v>
      </c>
      <c r="R1773">
        <v>9.99</v>
      </c>
      <c r="T1773" t="s">
        <v>9461</v>
      </c>
    </row>
    <row r="1774" spans="1:20">
      <c r="A1774">
        <v>1168355</v>
      </c>
      <c r="B1774" t="s">
        <v>9462</v>
      </c>
      <c r="C1774" t="str">
        <f>"9781459801097"</f>
        <v>9781459801097</v>
      </c>
      <c r="D1774" t="str">
        <f>"9781459801103"</f>
        <v>9781459801103</v>
      </c>
      <c r="E1774" t="s">
        <v>4668</v>
      </c>
      <c r="F1774" t="s">
        <v>4668</v>
      </c>
      <c r="G1774" s="1">
        <v>41365</v>
      </c>
      <c r="J1774" t="s">
        <v>5517</v>
      </c>
      <c r="K1774" t="s">
        <v>3572</v>
      </c>
      <c r="L1774" t="s">
        <v>9463</v>
      </c>
      <c r="M1774" t="s">
        <v>1509</v>
      </c>
      <c r="N1774" t="s">
        <v>9464</v>
      </c>
      <c r="O1774" t="s">
        <v>26</v>
      </c>
      <c r="P1774">
        <v>12.99</v>
      </c>
      <c r="Q1774">
        <v>16.239999999999998</v>
      </c>
      <c r="R1774">
        <v>12.99</v>
      </c>
      <c r="T1774" t="s">
        <v>9465</v>
      </c>
    </row>
    <row r="1775" spans="1:20">
      <c r="A1775">
        <v>1168356</v>
      </c>
      <c r="B1775" t="s">
        <v>9466</v>
      </c>
      <c r="C1775" t="str">
        <f>"9781459802773"</f>
        <v>9781459802773</v>
      </c>
      <c r="D1775" t="str">
        <f>"9781459802780"</f>
        <v>9781459802780</v>
      </c>
      <c r="E1775" t="s">
        <v>4668</v>
      </c>
      <c r="F1775" t="s">
        <v>4668</v>
      </c>
      <c r="G1775" s="1">
        <v>41365</v>
      </c>
      <c r="I1775" t="s">
        <v>5010</v>
      </c>
      <c r="J1775" t="s">
        <v>5652</v>
      </c>
      <c r="K1775" t="s">
        <v>3572</v>
      </c>
      <c r="L1775" t="s">
        <v>9467</v>
      </c>
      <c r="M1775" t="s">
        <v>1509</v>
      </c>
      <c r="N1775" t="s">
        <v>9468</v>
      </c>
      <c r="O1775" t="s">
        <v>26</v>
      </c>
      <c r="P1775">
        <v>7.99</v>
      </c>
      <c r="Q1775">
        <v>9.99</v>
      </c>
      <c r="R1775">
        <v>7.99</v>
      </c>
      <c r="T1775" t="s">
        <v>9469</v>
      </c>
    </row>
    <row r="1776" spans="1:20">
      <c r="A1776">
        <v>1168357</v>
      </c>
      <c r="B1776" t="s">
        <v>9470</v>
      </c>
      <c r="C1776" t="str">
        <f>"9781459804197"</f>
        <v>9781459804197</v>
      </c>
      <c r="D1776" t="str">
        <f>"9781459804210"</f>
        <v>9781459804210</v>
      </c>
      <c r="E1776" t="s">
        <v>4668</v>
      </c>
      <c r="F1776" t="s">
        <v>4668</v>
      </c>
      <c r="G1776" s="1">
        <v>41365</v>
      </c>
      <c r="I1776" t="s">
        <v>5056</v>
      </c>
      <c r="J1776" t="s">
        <v>8662</v>
      </c>
      <c r="K1776" t="s">
        <v>3572</v>
      </c>
      <c r="L1776" t="s">
        <v>9471</v>
      </c>
      <c r="M1776" t="s">
        <v>1509</v>
      </c>
      <c r="N1776" t="s">
        <v>9472</v>
      </c>
      <c r="O1776" t="s">
        <v>26</v>
      </c>
      <c r="P1776">
        <v>9.99</v>
      </c>
      <c r="Q1776">
        <v>12.49</v>
      </c>
      <c r="R1776">
        <v>9.99</v>
      </c>
      <c r="T1776" t="s">
        <v>9473</v>
      </c>
    </row>
    <row r="1777" spans="1:20">
      <c r="A1777">
        <v>1168358</v>
      </c>
      <c r="B1777" t="s">
        <v>9474</v>
      </c>
      <c r="C1777" t="str">
        <f>"9781459801486"</f>
        <v>9781459801486</v>
      </c>
      <c r="D1777" t="str">
        <f>"9781459801486"</f>
        <v>9781459801486</v>
      </c>
      <c r="E1777" t="s">
        <v>4668</v>
      </c>
      <c r="F1777" t="s">
        <v>4668</v>
      </c>
      <c r="G1777" s="1">
        <v>41365</v>
      </c>
      <c r="J1777" t="s">
        <v>9475</v>
      </c>
      <c r="K1777" t="s">
        <v>1464</v>
      </c>
      <c r="L1777" t="s">
        <v>9476</v>
      </c>
      <c r="N1777" t="s">
        <v>9477</v>
      </c>
      <c r="O1777" t="s">
        <v>26</v>
      </c>
      <c r="P1777">
        <v>9.99</v>
      </c>
      <c r="Q1777">
        <v>12.49</v>
      </c>
      <c r="R1777">
        <v>9.99</v>
      </c>
      <c r="T1777" t="s">
        <v>9478</v>
      </c>
    </row>
    <row r="1778" spans="1:20">
      <c r="A1778">
        <v>1168359</v>
      </c>
      <c r="B1778" t="s">
        <v>9479</v>
      </c>
      <c r="C1778" t="str">
        <f>"9781459803770"</f>
        <v>9781459803770</v>
      </c>
      <c r="D1778" t="str">
        <f>"9781459803770"</f>
        <v>9781459803770</v>
      </c>
      <c r="E1778" t="s">
        <v>4668</v>
      </c>
      <c r="F1778" t="s">
        <v>4668</v>
      </c>
      <c r="G1778" s="1">
        <v>41365</v>
      </c>
      <c r="I1778" t="s">
        <v>4685</v>
      </c>
      <c r="J1778" t="s">
        <v>3584</v>
      </c>
      <c r="K1778" t="s">
        <v>1464</v>
      </c>
      <c r="L1778" t="s">
        <v>9480</v>
      </c>
      <c r="M1778">
        <v>813</v>
      </c>
      <c r="N1778" t="s">
        <v>9481</v>
      </c>
      <c r="O1778" t="s">
        <v>26</v>
      </c>
      <c r="P1778">
        <v>9.99</v>
      </c>
      <c r="Q1778">
        <v>12.49</v>
      </c>
      <c r="R1778">
        <v>9.99</v>
      </c>
      <c r="T1778" t="s">
        <v>9482</v>
      </c>
    </row>
    <row r="1779" spans="1:20">
      <c r="A1779">
        <v>1168360</v>
      </c>
      <c r="B1779" t="s">
        <v>9483</v>
      </c>
      <c r="C1779" t="str">
        <f>"9781459801691"</f>
        <v>9781459801691</v>
      </c>
      <c r="D1779" t="str">
        <f>"9781459801691"</f>
        <v>9781459801691</v>
      </c>
      <c r="E1779" t="s">
        <v>4668</v>
      </c>
      <c r="F1779" t="s">
        <v>4668</v>
      </c>
      <c r="G1779" s="1">
        <v>41365</v>
      </c>
      <c r="I1779" t="s">
        <v>5056</v>
      </c>
      <c r="J1779" t="s">
        <v>3636</v>
      </c>
      <c r="K1779" t="s">
        <v>1464</v>
      </c>
      <c r="L1779" t="s">
        <v>9484</v>
      </c>
      <c r="M1779" t="s">
        <v>1460</v>
      </c>
      <c r="N1779" t="s">
        <v>9485</v>
      </c>
      <c r="O1779" t="s">
        <v>26</v>
      </c>
      <c r="P1779">
        <v>9.99</v>
      </c>
      <c r="Q1779">
        <v>12.49</v>
      </c>
      <c r="R1779">
        <v>9.99</v>
      </c>
      <c r="T1779" t="s">
        <v>9486</v>
      </c>
    </row>
    <row r="1780" spans="1:20">
      <c r="A1780">
        <v>1168361</v>
      </c>
      <c r="B1780" t="s">
        <v>9487</v>
      </c>
      <c r="C1780" t="str">
        <f>"9781459800830"</f>
        <v>9781459800830</v>
      </c>
      <c r="D1780" t="str">
        <f>"9781459800847"</f>
        <v>9781459800847</v>
      </c>
      <c r="E1780" t="s">
        <v>4668</v>
      </c>
      <c r="F1780" t="s">
        <v>4668</v>
      </c>
      <c r="G1780" s="1">
        <v>41365</v>
      </c>
      <c r="J1780" t="s">
        <v>9488</v>
      </c>
      <c r="K1780" t="s">
        <v>3572</v>
      </c>
      <c r="L1780" t="s">
        <v>9489</v>
      </c>
      <c r="M1780" t="s">
        <v>1460</v>
      </c>
      <c r="N1780" t="s">
        <v>9490</v>
      </c>
      <c r="O1780" t="s">
        <v>26</v>
      </c>
      <c r="P1780">
        <v>12.99</v>
      </c>
      <c r="Q1780">
        <v>16.239999999999998</v>
      </c>
      <c r="R1780">
        <v>12.99</v>
      </c>
      <c r="T1780" t="s">
        <v>9491</v>
      </c>
    </row>
    <row r="1781" spans="1:20">
      <c r="A1781">
        <v>1181640</v>
      </c>
      <c r="B1781" t="s">
        <v>9492</v>
      </c>
      <c r="C1781" t="str">
        <f>"9780889226586"</f>
        <v>9780889226586</v>
      </c>
      <c r="D1781" t="str">
        <f>"9780889228214"</f>
        <v>9780889228214</v>
      </c>
      <c r="E1781" t="s">
        <v>9493</v>
      </c>
      <c r="F1781" t="s">
        <v>9493</v>
      </c>
      <c r="G1781" s="1">
        <v>41394</v>
      </c>
      <c r="J1781" t="s">
        <v>9494</v>
      </c>
      <c r="K1781" t="s">
        <v>1458</v>
      </c>
      <c r="L1781" t="s">
        <v>9495</v>
      </c>
      <c r="M1781" t="s">
        <v>8096</v>
      </c>
      <c r="N1781" t="s">
        <v>9496</v>
      </c>
      <c r="O1781" t="s">
        <v>26</v>
      </c>
      <c r="P1781">
        <v>17.95</v>
      </c>
      <c r="R1781">
        <v>17.95</v>
      </c>
      <c r="S1781">
        <v>26.93</v>
      </c>
      <c r="T1781" t="s">
        <v>9497</v>
      </c>
    </row>
    <row r="1782" spans="1:20">
      <c r="A1782">
        <v>1181656</v>
      </c>
      <c r="B1782" t="s">
        <v>9498</v>
      </c>
      <c r="C1782" t="str">
        <f>"9780889226500"</f>
        <v>9780889226500</v>
      </c>
      <c r="D1782" t="str">
        <f>"9780889228221"</f>
        <v>9780889228221</v>
      </c>
      <c r="E1782" t="s">
        <v>9493</v>
      </c>
      <c r="F1782" t="s">
        <v>9493</v>
      </c>
      <c r="G1782" s="1">
        <v>41395</v>
      </c>
      <c r="J1782" t="s">
        <v>9499</v>
      </c>
      <c r="K1782" t="s">
        <v>1458</v>
      </c>
      <c r="L1782" t="s">
        <v>9500</v>
      </c>
      <c r="M1782" t="s">
        <v>7963</v>
      </c>
      <c r="N1782" t="s">
        <v>9501</v>
      </c>
      <c r="O1782" t="s">
        <v>26</v>
      </c>
      <c r="P1782">
        <v>17.95</v>
      </c>
      <c r="R1782">
        <v>17.95</v>
      </c>
      <c r="S1782">
        <v>26.93</v>
      </c>
      <c r="T1782" t="s">
        <v>9502</v>
      </c>
    </row>
    <row r="1783" spans="1:20">
      <c r="A1783">
        <v>1184875</v>
      </c>
      <c r="B1783" t="s">
        <v>9503</v>
      </c>
      <c r="C1783" t="str">
        <f>"9780865717381"</f>
        <v>9780865717381</v>
      </c>
      <c r="D1783" t="str">
        <f>"9781550925333"</f>
        <v>9781550925333</v>
      </c>
      <c r="E1783" t="s">
        <v>249</v>
      </c>
      <c r="F1783" t="s">
        <v>249</v>
      </c>
      <c r="G1783" s="1">
        <v>41432</v>
      </c>
      <c r="J1783" t="s">
        <v>9504</v>
      </c>
      <c r="K1783" t="s">
        <v>9505</v>
      </c>
      <c r="L1783" t="s">
        <v>9506</v>
      </c>
      <c r="M1783">
        <v>301.31</v>
      </c>
      <c r="N1783" t="s">
        <v>9507</v>
      </c>
      <c r="O1783" t="s">
        <v>26</v>
      </c>
      <c r="P1783">
        <v>17.95</v>
      </c>
      <c r="R1783">
        <v>17.95</v>
      </c>
      <c r="S1783">
        <v>26.93</v>
      </c>
      <c r="T1783" t="s">
        <v>9508</v>
      </c>
    </row>
    <row r="1784" spans="1:20">
      <c r="A1784">
        <v>1186808</v>
      </c>
      <c r="B1784" t="s">
        <v>9509</v>
      </c>
      <c r="C1784" t="str">
        <f>"9781554698004"</f>
        <v>9781554698004</v>
      </c>
      <c r="D1784" t="str">
        <f>"9781554698011"</f>
        <v>9781554698011</v>
      </c>
      <c r="E1784" t="s">
        <v>4668</v>
      </c>
      <c r="F1784" t="s">
        <v>4668</v>
      </c>
      <c r="G1784" s="1">
        <v>40817</v>
      </c>
      <c r="J1784" t="s">
        <v>9510</v>
      </c>
      <c r="K1784" t="s">
        <v>3572</v>
      </c>
      <c r="L1784" t="s">
        <v>9511</v>
      </c>
      <c r="M1784" t="s">
        <v>1509</v>
      </c>
      <c r="N1784" t="s">
        <v>9512</v>
      </c>
      <c r="O1784" t="s">
        <v>26</v>
      </c>
      <c r="P1784">
        <v>9.99</v>
      </c>
      <c r="Q1784">
        <v>12.49</v>
      </c>
      <c r="R1784">
        <v>9.99</v>
      </c>
      <c r="T1784" t="s">
        <v>9513</v>
      </c>
    </row>
    <row r="1785" spans="1:20">
      <c r="A1785">
        <v>1187771</v>
      </c>
      <c r="B1785" t="s">
        <v>9514</v>
      </c>
      <c r="C1785" t="str">
        <f>"9781551433127"</f>
        <v>9781551433127</v>
      </c>
      <c r="D1785" t="str">
        <f>"9781551438627"</f>
        <v>9781551438627</v>
      </c>
      <c r="E1785" t="s">
        <v>4668</v>
      </c>
      <c r="F1785" t="s">
        <v>4668</v>
      </c>
      <c r="G1785" s="1">
        <v>38078</v>
      </c>
      <c r="J1785" t="s">
        <v>5411</v>
      </c>
      <c r="K1785" t="s">
        <v>8974</v>
      </c>
      <c r="L1785" t="s">
        <v>9515</v>
      </c>
      <c r="M1785">
        <v>174</v>
      </c>
      <c r="N1785" t="s">
        <v>9516</v>
      </c>
      <c r="O1785" t="s">
        <v>26</v>
      </c>
      <c r="P1785">
        <v>9.99</v>
      </c>
      <c r="Q1785">
        <v>12.49</v>
      </c>
      <c r="R1785">
        <v>9.99</v>
      </c>
      <c r="T1785" t="s">
        <v>9517</v>
      </c>
    </row>
    <row r="1786" spans="1:20">
      <c r="A1786">
        <v>1187774</v>
      </c>
      <c r="B1786" t="s">
        <v>9518</v>
      </c>
      <c r="C1786" t="str">
        <f>"9781551433387"</f>
        <v>9781551433387</v>
      </c>
      <c r="D1786" t="str">
        <f>"9781551438290"</f>
        <v>9781551438290</v>
      </c>
      <c r="E1786" t="s">
        <v>4668</v>
      </c>
      <c r="F1786" t="s">
        <v>4668</v>
      </c>
      <c r="G1786" s="1">
        <v>38443</v>
      </c>
      <c r="J1786" t="s">
        <v>5411</v>
      </c>
      <c r="K1786" t="s">
        <v>1464</v>
      </c>
      <c r="L1786" t="s">
        <v>9519</v>
      </c>
      <c r="M1786" t="s">
        <v>3574</v>
      </c>
      <c r="N1786" t="s">
        <v>9520</v>
      </c>
      <c r="O1786" t="s">
        <v>26</v>
      </c>
      <c r="P1786">
        <v>9.99</v>
      </c>
      <c r="Q1786">
        <v>12.49</v>
      </c>
      <c r="R1786">
        <v>9.99</v>
      </c>
      <c r="T1786" t="s">
        <v>9521</v>
      </c>
    </row>
    <row r="1787" spans="1:20">
      <c r="A1787">
        <v>1187775</v>
      </c>
      <c r="B1787" t="s">
        <v>9522</v>
      </c>
      <c r="C1787" t="str">
        <f>"9781551435145"</f>
        <v>9781551435145</v>
      </c>
      <c r="D1787" t="str">
        <f>"9781551435169"</f>
        <v>9781551435169</v>
      </c>
      <c r="E1787" t="s">
        <v>4668</v>
      </c>
      <c r="F1787" t="s">
        <v>4668</v>
      </c>
      <c r="G1787" s="1">
        <v>38961</v>
      </c>
      <c r="J1787" t="s">
        <v>9523</v>
      </c>
      <c r="K1787" t="s">
        <v>1464</v>
      </c>
      <c r="L1787" t="s">
        <v>9524</v>
      </c>
      <c r="M1787" t="s">
        <v>1509</v>
      </c>
      <c r="N1787" t="s">
        <v>9525</v>
      </c>
      <c r="O1787" t="s">
        <v>26</v>
      </c>
      <c r="P1787">
        <v>8.99</v>
      </c>
      <c r="Q1787">
        <v>11.24</v>
      </c>
      <c r="R1787">
        <v>8.99</v>
      </c>
      <c r="T1787" t="s">
        <v>9526</v>
      </c>
    </row>
    <row r="1788" spans="1:20">
      <c r="A1788">
        <v>1187777</v>
      </c>
      <c r="B1788" t="s">
        <v>9527</v>
      </c>
      <c r="C1788" t="str">
        <f>"9781551438924"</f>
        <v>9781551438924</v>
      </c>
      <c r="D1788" t="str">
        <f>"9781551438948"</f>
        <v>9781551438948</v>
      </c>
      <c r="E1788" t="s">
        <v>4668</v>
      </c>
      <c r="F1788" t="s">
        <v>4668</v>
      </c>
      <c r="G1788" s="1">
        <v>39722</v>
      </c>
      <c r="J1788" t="s">
        <v>9528</v>
      </c>
      <c r="K1788" t="s">
        <v>467</v>
      </c>
      <c r="L1788" t="s">
        <v>9529</v>
      </c>
      <c r="M1788" t="s">
        <v>9530</v>
      </c>
      <c r="N1788" t="s">
        <v>9531</v>
      </c>
      <c r="O1788" t="s">
        <v>26</v>
      </c>
      <c r="P1788">
        <v>19.989999999999998</v>
      </c>
      <c r="Q1788">
        <v>24.99</v>
      </c>
      <c r="R1788">
        <v>19.989999999999998</v>
      </c>
      <c r="T1788" t="s">
        <v>9532</v>
      </c>
    </row>
    <row r="1789" spans="1:20">
      <c r="A1789">
        <v>1187778</v>
      </c>
      <c r="B1789" t="s">
        <v>9533</v>
      </c>
      <c r="C1789" t="str">
        <f>"9781551432403"</f>
        <v>9781551432403</v>
      </c>
      <c r="D1789" t="str">
        <f>"9781551438399"</f>
        <v>9781551438399</v>
      </c>
      <c r="E1789" t="s">
        <v>4668</v>
      </c>
      <c r="F1789" t="s">
        <v>4668</v>
      </c>
      <c r="G1789" s="1">
        <v>37257</v>
      </c>
      <c r="J1789" t="s">
        <v>9534</v>
      </c>
      <c r="L1789" t="s">
        <v>9535</v>
      </c>
      <c r="M1789" t="s">
        <v>4671</v>
      </c>
      <c r="N1789" t="s">
        <v>9536</v>
      </c>
      <c r="O1789" t="s">
        <v>26</v>
      </c>
      <c r="P1789">
        <v>9.99</v>
      </c>
      <c r="Q1789">
        <v>12.49</v>
      </c>
      <c r="R1789">
        <v>9.99</v>
      </c>
      <c r="T1789" t="s">
        <v>9537</v>
      </c>
    </row>
    <row r="1790" spans="1:20">
      <c r="A1790">
        <v>1187779</v>
      </c>
      <c r="B1790" t="s">
        <v>9538</v>
      </c>
      <c r="C1790" t="str">
        <f>"9781554692507"</f>
        <v>9781554692507</v>
      </c>
      <c r="D1790" t="str">
        <f>"9781554692514"</f>
        <v>9781554692514</v>
      </c>
      <c r="E1790" t="s">
        <v>4668</v>
      </c>
      <c r="F1790" t="s">
        <v>4668</v>
      </c>
      <c r="G1790" s="1">
        <v>41000</v>
      </c>
      <c r="J1790" t="s">
        <v>9539</v>
      </c>
      <c r="K1790" t="s">
        <v>1464</v>
      </c>
      <c r="L1790" t="s">
        <v>9540</v>
      </c>
      <c r="M1790" t="s">
        <v>1460</v>
      </c>
      <c r="N1790" t="s">
        <v>9541</v>
      </c>
      <c r="O1790" t="s">
        <v>26</v>
      </c>
      <c r="P1790">
        <v>19.989999999999998</v>
      </c>
      <c r="Q1790">
        <v>24.99</v>
      </c>
      <c r="R1790">
        <v>19.989999999999998</v>
      </c>
      <c r="T1790" t="s">
        <v>9542</v>
      </c>
    </row>
    <row r="1791" spans="1:20">
      <c r="A1791">
        <v>1187780</v>
      </c>
      <c r="B1791" t="s">
        <v>9543</v>
      </c>
      <c r="C1791" t="str">
        <f>"9781459801233"</f>
        <v>9781459801233</v>
      </c>
      <c r="D1791" t="str">
        <f>"9781459801240"</f>
        <v>9781459801240</v>
      </c>
      <c r="E1791" t="s">
        <v>4668</v>
      </c>
      <c r="F1791" t="s">
        <v>4668</v>
      </c>
      <c r="G1791" s="1">
        <v>41000</v>
      </c>
      <c r="J1791" t="s">
        <v>9544</v>
      </c>
      <c r="K1791" t="s">
        <v>9545</v>
      </c>
      <c r="L1791" t="s">
        <v>9546</v>
      </c>
      <c r="M1791" t="s">
        <v>9547</v>
      </c>
      <c r="N1791" t="s">
        <v>9548</v>
      </c>
      <c r="O1791" t="s">
        <v>26</v>
      </c>
      <c r="P1791">
        <v>9.99</v>
      </c>
      <c r="Q1791">
        <v>12.49</v>
      </c>
      <c r="R1791">
        <v>9.99</v>
      </c>
      <c r="T1791" t="s">
        <v>9549</v>
      </c>
    </row>
    <row r="1792" spans="1:20">
      <c r="A1792">
        <v>1187781</v>
      </c>
      <c r="B1792" t="s">
        <v>9550</v>
      </c>
      <c r="C1792" t="str">
        <f>"9781459801875"</f>
        <v>9781459801875</v>
      </c>
      <c r="D1792" t="str">
        <f>"9781459801882"</f>
        <v>9781459801882</v>
      </c>
      <c r="E1792" t="s">
        <v>4668</v>
      </c>
      <c r="F1792" t="s">
        <v>4668</v>
      </c>
      <c r="G1792" s="1">
        <v>41030</v>
      </c>
      <c r="I1792" t="s">
        <v>8823</v>
      </c>
      <c r="J1792" t="s">
        <v>5494</v>
      </c>
      <c r="K1792" t="s">
        <v>1464</v>
      </c>
      <c r="L1792" t="s">
        <v>9551</v>
      </c>
      <c r="M1792" t="s">
        <v>1509</v>
      </c>
      <c r="N1792" t="s">
        <v>9552</v>
      </c>
      <c r="O1792" t="s">
        <v>485</v>
      </c>
      <c r="P1792">
        <v>9.99</v>
      </c>
      <c r="Q1792">
        <v>12.49</v>
      </c>
      <c r="R1792">
        <v>9.99</v>
      </c>
      <c r="T1792" t="s">
        <v>9553</v>
      </c>
    </row>
    <row r="1793" spans="1:20">
      <c r="A1793">
        <v>1187782</v>
      </c>
      <c r="B1793" t="s">
        <v>9554</v>
      </c>
      <c r="C1793" t="str">
        <f>"9781554694020"</f>
        <v>9781554694020</v>
      </c>
      <c r="D1793" t="str">
        <f>"9781554694037"</f>
        <v>9781554694037</v>
      </c>
      <c r="E1793" t="s">
        <v>4668</v>
      </c>
      <c r="F1793" t="s">
        <v>4668</v>
      </c>
      <c r="G1793" s="1">
        <v>41000</v>
      </c>
      <c r="J1793" t="s">
        <v>9555</v>
      </c>
      <c r="K1793" t="s">
        <v>1464</v>
      </c>
      <c r="L1793" t="s">
        <v>9556</v>
      </c>
      <c r="M1793" t="s">
        <v>1460</v>
      </c>
      <c r="N1793" t="s">
        <v>9557</v>
      </c>
      <c r="O1793" t="s">
        <v>26</v>
      </c>
      <c r="P1793">
        <v>19.989999999999998</v>
      </c>
      <c r="Q1793">
        <v>24.99</v>
      </c>
      <c r="R1793">
        <v>19.989999999999998</v>
      </c>
      <c r="T1793" t="s">
        <v>9558</v>
      </c>
    </row>
    <row r="1794" spans="1:20">
      <c r="A1794">
        <v>1187783</v>
      </c>
      <c r="B1794" t="s">
        <v>9559</v>
      </c>
      <c r="C1794" t="str">
        <f>"9781459801844"</f>
        <v>9781459801844</v>
      </c>
      <c r="D1794" t="str">
        <f>"9781459801851"</f>
        <v>9781459801851</v>
      </c>
      <c r="E1794" t="s">
        <v>4668</v>
      </c>
      <c r="F1794" t="s">
        <v>4668</v>
      </c>
      <c r="G1794" s="1">
        <v>41030</v>
      </c>
      <c r="I1794" t="s">
        <v>8823</v>
      </c>
      <c r="J1794" t="s">
        <v>5814</v>
      </c>
      <c r="K1794" t="s">
        <v>1464</v>
      </c>
      <c r="L1794" t="s">
        <v>9560</v>
      </c>
      <c r="M1794" t="s">
        <v>1509</v>
      </c>
      <c r="N1794" t="s">
        <v>9561</v>
      </c>
      <c r="O1794" t="s">
        <v>485</v>
      </c>
      <c r="P1794">
        <v>9.99</v>
      </c>
      <c r="Q1794">
        <v>12.49</v>
      </c>
      <c r="R1794">
        <v>9.99</v>
      </c>
      <c r="T1794" t="s">
        <v>9562</v>
      </c>
    </row>
    <row r="1795" spans="1:20">
      <c r="A1795">
        <v>1187785</v>
      </c>
      <c r="B1795" t="s">
        <v>9563</v>
      </c>
      <c r="C1795" t="str">
        <f>"9781459800601"</f>
        <v>9781459800601</v>
      </c>
      <c r="D1795" t="str">
        <f>"9781459800618"</f>
        <v>9781459800618</v>
      </c>
      <c r="E1795" t="s">
        <v>4668</v>
      </c>
      <c r="F1795" t="s">
        <v>4668</v>
      </c>
      <c r="G1795" s="1">
        <v>41395</v>
      </c>
      <c r="I1795" t="s">
        <v>4703</v>
      </c>
      <c r="J1795" t="s">
        <v>4728</v>
      </c>
      <c r="K1795" t="s">
        <v>1464</v>
      </c>
      <c r="L1795" t="s">
        <v>9564</v>
      </c>
      <c r="M1795" t="s">
        <v>1460</v>
      </c>
      <c r="N1795" t="s">
        <v>9565</v>
      </c>
      <c r="O1795" t="s">
        <v>26</v>
      </c>
      <c r="P1795">
        <v>6.99</v>
      </c>
      <c r="Q1795">
        <v>8.74</v>
      </c>
      <c r="R1795">
        <v>6.99</v>
      </c>
      <c r="T1795" t="s">
        <v>9566</v>
      </c>
    </row>
    <row r="1796" spans="1:20">
      <c r="A1796">
        <v>1187786</v>
      </c>
      <c r="B1796" t="s">
        <v>9567</v>
      </c>
      <c r="C1796" t="str">
        <f>"9781459802483"</f>
        <v>9781459802483</v>
      </c>
      <c r="D1796" t="str">
        <f>"9781459802490"</f>
        <v>9781459802490</v>
      </c>
      <c r="E1796" t="s">
        <v>4668</v>
      </c>
      <c r="F1796" t="s">
        <v>4668</v>
      </c>
      <c r="G1796" s="1">
        <v>41365</v>
      </c>
      <c r="J1796" t="s">
        <v>9568</v>
      </c>
      <c r="K1796" t="s">
        <v>1464</v>
      </c>
      <c r="L1796" t="s">
        <v>9569</v>
      </c>
      <c r="M1796" t="s">
        <v>1460</v>
      </c>
      <c r="N1796" t="s">
        <v>9570</v>
      </c>
      <c r="O1796" t="s">
        <v>26</v>
      </c>
      <c r="P1796">
        <v>9.99</v>
      </c>
      <c r="Q1796">
        <v>12.49</v>
      </c>
      <c r="R1796">
        <v>9.99</v>
      </c>
      <c r="T1796" t="s">
        <v>9571</v>
      </c>
    </row>
    <row r="1797" spans="1:20">
      <c r="A1797">
        <v>1187787</v>
      </c>
      <c r="B1797" t="s">
        <v>9572</v>
      </c>
      <c r="C1797" t="str">
        <f>"9781459801073"</f>
        <v>9781459801073</v>
      </c>
      <c r="D1797" t="str">
        <f>"9781459801080"</f>
        <v>9781459801080</v>
      </c>
      <c r="E1797" t="s">
        <v>4668</v>
      </c>
      <c r="F1797" t="s">
        <v>4668</v>
      </c>
      <c r="G1797" s="1">
        <v>41365</v>
      </c>
      <c r="J1797" t="s">
        <v>9573</v>
      </c>
      <c r="K1797" t="s">
        <v>1464</v>
      </c>
      <c r="L1797" t="s">
        <v>9574</v>
      </c>
      <c r="M1797" t="s">
        <v>1509</v>
      </c>
      <c r="N1797" t="s">
        <v>9575</v>
      </c>
      <c r="O1797" t="s">
        <v>26</v>
      </c>
      <c r="P1797">
        <v>10.99</v>
      </c>
      <c r="Q1797">
        <v>13.74</v>
      </c>
      <c r="R1797">
        <v>10.99</v>
      </c>
      <c r="T1797" t="s">
        <v>9576</v>
      </c>
    </row>
    <row r="1798" spans="1:20">
      <c r="A1798">
        <v>1187788</v>
      </c>
      <c r="B1798" t="s">
        <v>9577</v>
      </c>
      <c r="C1798" t="str">
        <f>"9781459802209"</f>
        <v>9781459802209</v>
      </c>
      <c r="D1798" t="str">
        <f>"9781459802209"</f>
        <v>9781459802209</v>
      </c>
      <c r="E1798" t="s">
        <v>4668</v>
      </c>
      <c r="F1798" t="s">
        <v>4668</v>
      </c>
      <c r="G1798" s="1">
        <v>41365</v>
      </c>
      <c r="I1798" t="s">
        <v>9578</v>
      </c>
      <c r="J1798" t="s">
        <v>5627</v>
      </c>
      <c r="K1798" t="s">
        <v>9579</v>
      </c>
      <c r="L1798" t="s">
        <v>9580</v>
      </c>
      <c r="M1798" t="s">
        <v>9581</v>
      </c>
      <c r="N1798" t="s">
        <v>9582</v>
      </c>
      <c r="O1798" t="s">
        <v>26</v>
      </c>
      <c r="P1798">
        <v>19.989999999999998</v>
      </c>
      <c r="Q1798">
        <v>24.99</v>
      </c>
      <c r="R1798">
        <v>19.989999999999998</v>
      </c>
      <c r="T1798" t="s">
        <v>9583</v>
      </c>
    </row>
    <row r="1799" spans="1:20">
      <c r="A1799">
        <v>1187790</v>
      </c>
      <c r="B1799" t="s">
        <v>9584</v>
      </c>
      <c r="C1799" t="str">
        <f>"9781459803527"</f>
        <v>9781459803527</v>
      </c>
      <c r="D1799" t="str">
        <f>"9781459803534"</f>
        <v>9781459803534</v>
      </c>
      <c r="E1799" t="s">
        <v>4668</v>
      </c>
      <c r="F1799" t="s">
        <v>4668</v>
      </c>
      <c r="G1799" s="1">
        <v>41395</v>
      </c>
      <c r="I1799" t="s">
        <v>8244</v>
      </c>
      <c r="J1799" t="s">
        <v>5467</v>
      </c>
      <c r="K1799" t="s">
        <v>1464</v>
      </c>
      <c r="L1799" t="s">
        <v>9585</v>
      </c>
      <c r="M1799">
        <v>813</v>
      </c>
      <c r="N1799" t="s">
        <v>9586</v>
      </c>
      <c r="O1799" t="s">
        <v>26</v>
      </c>
      <c r="P1799">
        <v>9.99</v>
      </c>
      <c r="Q1799">
        <v>12.49</v>
      </c>
      <c r="R1799">
        <v>9.99</v>
      </c>
      <c r="T1799" t="s">
        <v>9587</v>
      </c>
    </row>
    <row r="1800" spans="1:20">
      <c r="A1800">
        <v>1187791</v>
      </c>
      <c r="B1800" t="s">
        <v>9588</v>
      </c>
      <c r="C1800" t="str">
        <f>"9781459804234"</f>
        <v>9781459804234</v>
      </c>
      <c r="D1800" t="str">
        <f>"9781459804241"</f>
        <v>9781459804241</v>
      </c>
      <c r="E1800" t="s">
        <v>4668</v>
      </c>
      <c r="F1800" t="s">
        <v>4668</v>
      </c>
      <c r="G1800" s="1">
        <v>41395</v>
      </c>
      <c r="I1800" t="s">
        <v>9578</v>
      </c>
      <c r="J1800" t="s">
        <v>5853</v>
      </c>
      <c r="K1800" t="s">
        <v>9589</v>
      </c>
      <c r="L1800" t="s">
        <v>9590</v>
      </c>
      <c r="M1800">
        <v>630</v>
      </c>
      <c r="N1800" t="s">
        <v>9591</v>
      </c>
      <c r="O1800" t="s">
        <v>26</v>
      </c>
      <c r="P1800">
        <v>19.989999999999998</v>
      </c>
      <c r="Q1800">
        <v>24.99</v>
      </c>
      <c r="R1800">
        <v>19.989999999999998</v>
      </c>
      <c r="T1800" t="s">
        <v>9592</v>
      </c>
    </row>
    <row r="1801" spans="1:20">
      <c r="A1801">
        <v>1187792</v>
      </c>
      <c r="B1801" t="s">
        <v>9593</v>
      </c>
      <c r="C1801" t="str">
        <f>"9781554692064"</f>
        <v>9781554692064</v>
      </c>
      <c r="D1801" t="str">
        <f>"9781554692088"</f>
        <v>9781554692088</v>
      </c>
      <c r="E1801" t="s">
        <v>4668</v>
      </c>
      <c r="F1801" t="s">
        <v>4668</v>
      </c>
      <c r="G1801" s="1">
        <v>41470</v>
      </c>
      <c r="J1801" t="s">
        <v>4924</v>
      </c>
      <c r="K1801" t="s">
        <v>155</v>
      </c>
      <c r="L1801" t="s">
        <v>9594</v>
      </c>
      <c r="M1801" t="s">
        <v>9595</v>
      </c>
      <c r="N1801" t="s">
        <v>9596</v>
      </c>
      <c r="O1801" t="s">
        <v>26</v>
      </c>
      <c r="P1801">
        <v>18.989999999999998</v>
      </c>
      <c r="Q1801">
        <v>23.74</v>
      </c>
      <c r="R1801">
        <v>18.989999999999998</v>
      </c>
      <c r="T1801" t="s">
        <v>9597</v>
      </c>
    </row>
    <row r="1802" spans="1:20">
      <c r="A1802">
        <v>1187793</v>
      </c>
      <c r="B1802" t="s">
        <v>9598</v>
      </c>
      <c r="C1802" t="str">
        <f>"9781554693016"</f>
        <v>9781554693016</v>
      </c>
      <c r="D1802" t="str">
        <f>"9781554693023"</f>
        <v>9781554693023</v>
      </c>
      <c r="E1802" t="s">
        <v>4668</v>
      </c>
      <c r="F1802" t="s">
        <v>4668</v>
      </c>
      <c r="G1802" s="1">
        <v>41000</v>
      </c>
      <c r="J1802" t="s">
        <v>9599</v>
      </c>
      <c r="K1802" t="s">
        <v>1464</v>
      </c>
      <c r="L1802" t="s">
        <v>9600</v>
      </c>
      <c r="M1802" t="s">
        <v>9601</v>
      </c>
      <c r="N1802" t="s">
        <v>9602</v>
      </c>
      <c r="O1802" t="s">
        <v>26</v>
      </c>
      <c r="P1802">
        <v>10.99</v>
      </c>
      <c r="Q1802">
        <v>13.74</v>
      </c>
      <c r="R1802">
        <v>10.99</v>
      </c>
      <c r="T1802" t="s">
        <v>9603</v>
      </c>
    </row>
    <row r="1803" spans="1:20">
      <c r="A1803">
        <v>1187794</v>
      </c>
      <c r="B1803" t="s">
        <v>9604</v>
      </c>
      <c r="C1803" t="str">
        <f>"9781554699339"</f>
        <v>9781554699339</v>
      </c>
      <c r="D1803" t="str">
        <f>"9781554699346"</f>
        <v>9781554699346</v>
      </c>
      <c r="E1803" t="s">
        <v>4668</v>
      </c>
      <c r="F1803" t="s">
        <v>4668</v>
      </c>
      <c r="G1803" s="1">
        <v>41395</v>
      </c>
      <c r="I1803" t="s">
        <v>4703</v>
      </c>
      <c r="J1803" t="s">
        <v>9118</v>
      </c>
      <c r="K1803" t="s">
        <v>1464</v>
      </c>
      <c r="L1803" t="s">
        <v>9605</v>
      </c>
      <c r="M1803">
        <v>813</v>
      </c>
      <c r="N1803" t="s">
        <v>9606</v>
      </c>
      <c r="O1803" t="s">
        <v>26</v>
      </c>
      <c r="P1803">
        <v>6.99</v>
      </c>
      <c r="Q1803">
        <v>8.74</v>
      </c>
      <c r="R1803">
        <v>6.99</v>
      </c>
      <c r="T1803" t="s">
        <v>9607</v>
      </c>
    </row>
    <row r="1804" spans="1:20">
      <c r="A1804">
        <v>1192044</v>
      </c>
      <c r="B1804" t="s">
        <v>9608</v>
      </c>
      <c r="C1804" t="str">
        <f>"9780889226289"</f>
        <v>9780889226289</v>
      </c>
      <c r="D1804" t="str">
        <f>"9780889228191"</f>
        <v>9780889228191</v>
      </c>
      <c r="E1804" t="s">
        <v>9493</v>
      </c>
      <c r="F1804" t="s">
        <v>9493</v>
      </c>
      <c r="G1804" s="1">
        <v>41380</v>
      </c>
      <c r="J1804" t="s">
        <v>9609</v>
      </c>
      <c r="K1804" t="s">
        <v>1464</v>
      </c>
      <c r="L1804" t="s">
        <v>9610</v>
      </c>
      <c r="M1804" t="s">
        <v>8096</v>
      </c>
      <c r="N1804" t="s">
        <v>9611</v>
      </c>
      <c r="O1804" t="s">
        <v>26</v>
      </c>
      <c r="P1804">
        <v>16.95</v>
      </c>
      <c r="R1804">
        <v>16.95</v>
      </c>
      <c r="S1804">
        <v>25.43</v>
      </c>
      <c r="T1804" t="s">
        <v>9612</v>
      </c>
    </row>
    <row r="1805" spans="1:20">
      <c r="A1805">
        <v>1205624</v>
      </c>
      <c r="B1805" t="s">
        <v>9613</v>
      </c>
      <c r="C1805" t="str">
        <f>"9781459802131"</f>
        <v>9781459802131</v>
      </c>
      <c r="D1805" t="str">
        <f>"9781459802148"</f>
        <v>9781459802148</v>
      </c>
      <c r="E1805" t="s">
        <v>4668</v>
      </c>
      <c r="F1805" t="s">
        <v>4668</v>
      </c>
      <c r="G1805" s="1">
        <v>41395</v>
      </c>
      <c r="I1805" t="s">
        <v>8244</v>
      </c>
      <c r="J1805" t="s">
        <v>9614</v>
      </c>
      <c r="K1805" t="s">
        <v>1464</v>
      </c>
      <c r="L1805" t="s">
        <v>9615</v>
      </c>
      <c r="M1805" t="s">
        <v>1460</v>
      </c>
      <c r="N1805" t="s">
        <v>9616</v>
      </c>
      <c r="O1805" t="s">
        <v>26</v>
      </c>
      <c r="P1805">
        <v>9.99</v>
      </c>
      <c r="Q1805">
        <v>12.49</v>
      </c>
      <c r="R1805">
        <v>9.99</v>
      </c>
      <c r="T1805" t="s">
        <v>9617</v>
      </c>
    </row>
    <row r="1806" spans="1:20">
      <c r="A1806">
        <v>1205625</v>
      </c>
      <c r="B1806" t="s">
        <v>9618</v>
      </c>
      <c r="C1806" t="str">
        <f>"9781459801127"</f>
        <v>9781459801127</v>
      </c>
      <c r="D1806" t="str">
        <f>"9781459801134"</f>
        <v>9781459801134</v>
      </c>
      <c r="E1806" t="s">
        <v>4668</v>
      </c>
      <c r="F1806" t="s">
        <v>4668</v>
      </c>
      <c r="G1806" s="1">
        <v>41395</v>
      </c>
      <c r="I1806" t="s">
        <v>4703</v>
      </c>
      <c r="J1806" t="s">
        <v>4704</v>
      </c>
      <c r="K1806" t="s">
        <v>1464</v>
      </c>
      <c r="L1806" t="s">
        <v>9619</v>
      </c>
      <c r="M1806" t="s">
        <v>1509</v>
      </c>
      <c r="N1806" t="s">
        <v>9620</v>
      </c>
      <c r="O1806" t="s">
        <v>26</v>
      </c>
      <c r="P1806">
        <v>6.99</v>
      </c>
      <c r="Q1806">
        <v>8.74</v>
      </c>
      <c r="R1806">
        <v>6.99</v>
      </c>
      <c r="T1806" t="s">
        <v>9621</v>
      </c>
    </row>
    <row r="1807" spans="1:20">
      <c r="A1807">
        <v>1209142</v>
      </c>
      <c r="B1807" t="s">
        <v>9622</v>
      </c>
      <c r="C1807" t="str">
        <f>"9780889227866"</f>
        <v>9780889227866</v>
      </c>
      <c r="D1807" t="str">
        <f>"9780889227873"</f>
        <v>9780889227873</v>
      </c>
      <c r="E1807" t="s">
        <v>9493</v>
      </c>
      <c r="F1807" t="s">
        <v>9493</v>
      </c>
      <c r="G1807" s="1">
        <v>41659</v>
      </c>
      <c r="J1807" t="s">
        <v>9623</v>
      </c>
      <c r="K1807" t="s">
        <v>1464</v>
      </c>
      <c r="L1807" t="s">
        <v>9624</v>
      </c>
      <c r="M1807" t="s">
        <v>9625</v>
      </c>
      <c r="N1807" t="s">
        <v>9626</v>
      </c>
      <c r="O1807" t="s">
        <v>26</v>
      </c>
      <c r="P1807">
        <v>17.95</v>
      </c>
      <c r="R1807">
        <v>17.95</v>
      </c>
      <c r="S1807">
        <v>26.93</v>
      </c>
      <c r="T1807" t="s">
        <v>9627</v>
      </c>
    </row>
    <row r="1808" spans="1:20">
      <c r="A1808">
        <v>1209144</v>
      </c>
      <c r="B1808" t="s">
        <v>9628</v>
      </c>
      <c r="C1808" t="str">
        <f>"9780865714168"</f>
        <v>9780865714168</v>
      </c>
      <c r="D1808" t="str">
        <f>"9781550925524"</f>
        <v>9781550925524</v>
      </c>
      <c r="E1808" t="s">
        <v>249</v>
      </c>
      <c r="F1808" t="s">
        <v>249</v>
      </c>
      <c r="G1808" s="1">
        <v>41442</v>
      </c>
      <c r="I1808" t="s">
        <v>9629</v>
      </c>
      <c r="J1808" t="s">
        <v>9630</v>
      </c>
      <c r="K1808" t="s">
        <v>305</v>
      </c>
      <c r="L1808" t="s">
        <v>9631</v>
      </c>
      <c r="M1808" t="s">
        <v>9632</v>
      </c>
      <c r="N1808" t="s">
        <v>9633</v>
      </c>
      <c r="O1808" t="s">
        <v>26</v>
      </c>
      <c r="P1808">
        <v>21.95</v>
      </c>
      <c r="R1808">
        <v>21.95</v>
      </c>
      <c r="S1808">
        <v>32.93</v>
      </c>
      <c r="T1808" t="s">
        <v>9634</v>
      </c>
    </row>
    <row r="1809" spans="1:20">
      <c r="A1809">
        <v>1209146</v>
      </c>
      <c r="B1809" t="s">
        <v>9635</v>
      </c>
      <c r="C1809" t="str">
        <f>"9780889227842"</f>
        <v>9780889227842</v>
      </c>
      <c r="D1809" t="str">
        <f>"9780889227859"</f>
        <v>9780889227859</v>
      </c>
      <c r="E1809" t="s">
        <v>9493</v>
      </c>
      <c r="F1809" t="s">
        <v>9493</v>
      </c>
      <c r="G1809" s="1">
        <v>41659</v>
      </c>
      <c r="J1809" t="s">
        <v>9636</v>
      </c>
      <c r="K1809" t="s">
        <v>1464</v>
      </c>
      <c r="L1809" t="s">
        <v>9637</v>
      </c>
      <c r="M1809" t="s">
        <v>7934</v>
      </c>
      <c r="N1809" t="s">
        <v>9638</v>
      </c>
      <c r="O1809" t="s">
        <v>26</v>
      </c>
      <c r="P1809">
        <v>24.95</v>
      </c>
      <c r="R1809">
        <v>24.95</v>
      </c>
      <c r="S1809">
        <v>37.43</v>
      </c>
      <c r="T1809" t="s">
        <v>9639</v>
      </c>
    </row>
    <row r="1810" spans="1:20">
      <c r="A1810">
        <v>1321795</v>
      </c>
      <c r="B1810" t="s">
        <v>9640</v>
      </c>
      <c r="C1810" t="str">
        <f>"9780865717466"</f>
        <v>9780865717466</v>
      </c>
      <c r="D1810" t="str">
        <f>"9781550925449"</f>
        <v>9781550925449</v>
      </c>
      <c r="E1810" t="s">
        <v>249</v>
      </c>
      <c r="F1810" t="s">
        <v>249</v>
      </c>
      <c r="G1810" s="1">
        <v>41568</v>
      </c>
      <c r="J1810" t="s">
        <v>9641</v>
      </c>
      <c r="K1810" t="s">
        <v>416</v>
      </c>
      <c r="L1810" t="s">
        <v>9642</v>
      </c>
      <c r="M1810">
        <v>334</v>
      </c>
      <c r="N1810" t="s">
        <v>9643</v>
      </c>
      <c r="O1810" t="s">
        <v>26</v>
      </c>
      <c r="P1810">
        <v>17.95</v>
      </c>
      <c r="R1810">
        <v>17.95</v>
      </c>
      <c r="S1810">
        <v>26.93</v>
      </c>
      <c r="T1810" t="s">
        <v>9644</v>
      </c>
    </row>
    <row r="1811" spans="1:20">
      <c r="A1811">
        <v>1321796</v>
      </c>
      <c r="B1811" t="s">
        <v>9645</v>
      </c>
      <c r="C1811" t="str">
        <f>"9780865717497"</f>
        <v>9780865717497</v>
      </c>
      <c r="D1811" t="str">
        <f>"9781550925487"</f>
        <v>9781550925487</v>
      </c>
      <c r="E1811" t="s">
        <v>249</v>
      </c>
      <c r="F1811" t="s">
        <v>249</v>
      </c>
      <c r="G1811" s="1">
        <v>41568</v>
      </c>
      <c r="J1811" t="s">
        <v>9646</v>
      </c>
      <c r="K1811" t="s">
        <v>9647</v>
      </c>
      <c r="L1811" t="s">
        <v>9648</v>
      </c>
      <c r="M1811">
        <v>304.80973</v>
      </c>
      <c r="N1811" t="s">
        <v>9649</v>
      </c>
      <c r="O1811" t="s">
        <v>26</v>
      </c>
      <c r="P1811">
        <v>19.95</v>
      </c>
      <c r="R1811">
        <v>19.95</v>
      </c>
      <c r="S1811">
        <v>29.93</v>
      </c>
      <c r="T1811" t="s">
        <v>9650</v>
      </c>
    </row>
    <row r="1812" spans="1:20">
      <c r="A1812">
        <v>1336806</v>
      </c>
      <c r="B1812" t="s">
        <v>9651</v>
      </c>
      <c r="C1812" t="str">
        <f>"9781443847469"</f>
        <v>9781443847469</v>
      </c>
      <c r="D1812" t="str">
        <f>"9781443850964"</f>
        <v>9781443850964</v>
      </c>
      <c r="E1812" t="s">
        <v>9307</v>
      </c>
      <c r="F1812" t="s">
        <v>9307</v>
      </c>
      <c r="G1812" s="1">
        <v>41426</v>
      </c>
      <c r="H1812">
        <v>1</v>
      </c>
      <c r="J1812" t="s">
        <v>9652</v>
      </c>
      <c r="K1812" t="s">
        <v>1464</v>
      </c>
      <c r="L1812" t="s">
        <v>9653</v>
      </c>
      <c r="M1812">
        <v>801.95</v>
      </c>
      <c r="N1812" t="s">
        <v>9654</v>
      </c>
      <c r="O1812" t="s">
        <v>26</v>
      </c>
      <c r="P1812">
        <v>91.95</v>
      </c>
      <c r="R1812">
        <v>91.95</v>
      </c>
      <c r="T1812" t="s">
        <v>9655</v>
      </c>
    </row>
    <row r="1813" spans="1:20">
      <c r="A1813">
        <v>1355849</v>
      </c>
      <c r="B1813" t="s">
        <v>9656</v>
      </c>
      <c r="C1813" t="str">
        <f>"9781781908600"</f>
        <v>9781781908600</v>
      </c>
      <c r="D1813" t="str">
        <f>"9781781908617"</f>
        <v>9781781908617</v>
      </c>
      <c r="E1813" t="s">
        <v>9657</v>
      </c>
      <c r="F1813" t="s">
        <v>9657</v>
      </c>
      <c r="G1813" s="1">
        <v>41376</v>
      </c>
      <c r="I1813" t="s">
        <v>9658</v>
      </c>
      <c r="J1813" t="s">
        <v>9659</v>
      </c>
      <c r="K1813" t="s">
        <v>1709</v>
      </c>
      <c r="L1813" t="s">
        <v>9660</v>
      </c>
      <c r="M1813">
        <v>647.94000000000005</v>
      </c>
      <c r="N1813" t="s">
        <v>9661</v>
      </c>
      <c r="O1813" t="s">
        <v>26</v>
      </c>
      <c r="P1813">
        <v>199</v>
      </c>
      <c r="R1813">
        <v>199</v>
      </c>
      <c r="S1813">
        <v>298.5</v>
      </c>
      <c r="T1813" t="s">
        <v>9662</v>
      </c>
    </row>
    <row r="1814" spans="1:20">
      <c r="A1814">
        <v>1372128</v>
      </c>
      <c r="B1814" t="s">
        <v>9663</v>
      </c>
      <c r="C1814" t="str">
        <f>"9781783090297"</f>
        <v>9781783090297</v>
      </c>
      <c r="D1814" t="str">
        <f>"9781783090310"</f>
        <v>9781783090310</v>
      </c>
      <c r="E1814" t="s">
        <v>9664</v>
      </c>
      <c r="F1814" t="s">
        <v>9665</v>
      </c>
      <c r="G1814" s="1">
        <v>41495</v>
      </c>
      <c r="H1814">
        <v>1</v>
      </c>
      <c r="I1814" t="s">
        <v>9666</v>
      </c>
      <c r="J1814" t="s">
        <v>9667</v>
      </c>
      <c r="K1814" t="s">
        <v>4081</v>
      </c>
      <c r="L1814" t="s">
        <v>9668</v>
      </c>
      <c r="M1814" t="s">
        <v>9669</v>
      </c>
      <c r="N1814" t="s">
        <v>9670</v>
      </c>
      <c r="O1814" t="s">
        <v>26</v>
      </c>
      <c r="P1814">
        <v>159.94999999999999</v>
      </c>
      <c r="Q1814">
        <v>199.94</v>
      </c>
      <c r="R1814">
        <v>159.94999999999999</v>
      </c>
      <c r="S1814">
        <v>239.93</v>
      </c>
      <c r="T1814" t="s">
        <v>9671</v>
      </c>
    </row>
    <row r="1815" spans="1:20">
      <c r="A1815">
        <v>1418316</v>
      </c>
      <c r="B1815" t="s">
        <v>9672</v>
      </c>
      <c r="C1815" t="str">
        <f>"9781459801363"</f>
        <v>9781459801363</v>
      </c>
      <c r="D1815" t="str">
        <f>"9781459801370"</f>
        <v>9781459801370</v>
      </c>
      <c r="E1815" t="s">
        <v>4668</v>
      </c>
      <c r="F1815" t="s">
        <v>4668</v>
      </c>
      <c r="G1815" s="1">
        <v>41518</v>
      </c>
      <c r="I1815" t="s">
        <v>5721</v>
      </c>
      <c r="J1815" t="s">
        <v>5708</v>
      </c>
      <c r="K1815" t="s">
        <v>1464</v>
      </c>
      <c r="L1815" t="s">
        <v>9673</v>
      </c>
      <c r="M1815" t="s">
        <v>1509</v>
      </c>
      <c r="N1815" t="s">
        <v>9674</v>
      </c>
      <c r="O1815" t="s">
        <v>26</v>
      </c>
      <c r="P1815">
        <v>12.99</v>
      </c>
      <c r="Q1815">
        <v>16.239999999999998</v>
      </c>
      <c r="R1815">
        <v>12.99</v>
      </c>
      <c r="T1815" t="s">
        <v>9675</v>
      </c>
    </row>
    <row r="1816" spans="1:20">
      <c r="A1816">
        <v>1418317</v>
      </c>
      <c r="B1816" t="s">
        <v>9676</v>
      </c>
      <c r="C1816" t="str">
        <f>"9781459802094"</f>
        <v>9781459802094</v>
      </c>
      <c r="D1816" t="str">
        <f>"9781459802100"</f>
        <v>9781459802100</v>
      </c>
      <c r="E1816" t="s">
        <v>4668</v>
      </c>
      <c r="F1816" t="s">
        <v>8157</v>
      </c>
      <c r="G1816" s="1">
        <v>41518</v>
      </c>
      <c r="I1816" t="s">
        <v>8158</v>
      </c>
      <c r="J1816" t="s">
        <v>9677</v>
      </c>
      <c r="K1816" t="s">
        <v>1464</v>
      </c>
      <c r="L1816" t="s">
        <v>9678</v>
      </c>
      <c r="M1816" t="s">
        <v>1460</v>
      </c>
      <c r="N1816" t="s">
        <v>9679</v>
      </c>
      <c r="O1816" t="s">
        <v>26</v>
      </c>
      <c r="P1816">
        <v>9.99</v>
      </c>
      <c r="Q1816">
        <v>12.49</v>
      </c>
      <c r="R1816">
        <v>9.99</v>
      </c>
      <c r="T1816" t="s">
        <v>9680</v>
      </c>
    </row>
    <row r="1817" spans="1:20">
      <c r="A1817">
        <v>1418318</v>
      </c>
      <c r="B1817" t="s">
        <v>9681</v>
      </c>
      <c r="C1817" t="str">
        <f>"9781459802742"</f>
        <v>9781459802742</v>
      </c>
      <c r="D1817" t="str">
        <f>"9781459802759"</f>
        <v>9781459802759</v>
      </c>
      <c r="E1817" t="s">
        <v>4668</v>
      </c>
      <c r="F1817" t="s">
        <v>4668</v>
      </c>
      <c r="G1817" s="1">
        <v>41518</v>
      </c>
      <c r="I1817" t="s">
        <v>5721</v>
      </c>
      <c r="J1817" t="s">
        <v>9682</v>
      </c>
      <c r="K1817" t="s">
        <v>1464</v>
      </c>
      <c r="L1817" t="s">
        <v>9683</v>
      </c>
      <c r="M1817" t="s">
        <v>1509</v>
      </c>
      <c r="N1817" t="s">
        <v>9684</v>
      </c>
      <c r="O1817" t="s">
        <v>26</v>
      </c>
      <c r="P1817">
        <v>12.99</v>
      </c>
      <c r="Q1817">
        <v>16.239999999999998</v>
      </c>
      <c r="R1817">
        <v>12.99</v>
      </c>
      <c r="T1817" t="s">
        <v>9685</v>
      </c>
    </row>
    <row r="1818" spans="1:20">
      <c r="A1818">
        <v>1418319</v>
      </c>
      <c r="B1818" t="s">
        <v>9686</v>
      </c>
      <c r="C1818" t="str">
        <f>"9781459802865"</f>
        <v>9781459802865</v>
      </c>
      <c r="D1818" t="str">
        <f>"9781459802872"</f>
        <v>9781459802872</v>
      </c>
      <c r="E1818" t="s">
        <v>4668</v>
      </c>
      <c r="F1818" t="s">
        <v>4668</v>
      </c>
      <c r="G1818" s="1">
        <v>41548</v>
      </c>
      <c r="I1818" t="s">
        <v>5721</v>
      </c>
      <c r="J1818" t="s">
        <v>5141</v>
      </c>
      <c r="K1818" t="s">
        <v>1464</v>
      </c>
      <c r="L1818" t="s">
        <v>9687</v>
      </c>
      <c r="M1818" t="s">
        <v>1460</v>
      </c>
      <c r="N1818" t="s">
        <v>9688</v>
      </c>
      <c r="O1818" t="s">
        <v>26</v>
      </c>
      <c r="P1818">
        <v>12.99</v>
      </c>
      <c r="Q1818">
        <v>16.239999999999998</v>
      </c>
      <c r="R1818">
        <v>12.99</v>
      </c>
      <c r="T1818" t="s">
        <v>9689</v>
      </c>
    </row>
    <row r="1819" spans="1:20">
      <c r="A1819">
        <v>1418320</v>
      </c>
      <c r="B1819" t="s">
        <v>9690</v>
      </c>
      <c r="C1819" t="str">
        <f>"9781459803275"</f>
        <v>9781459803275</v>
      </c>
      <c r="D1819" t="str">
        <f>"9781459803282"</f>
        <v>9781459803282</v>
      </c>
      <c r="E1819" t="s">
        <v>4668</v>
      </c>
      <c r="F1819" t="s">
        <v>8157</v>
      </c>
      <c r="G1819" s="1">
        <v>41518</v>
      </c>
      <c r="I1819" t="s">
        <v>8158</v>
      </c>
      <c r="J1819" t="s">
        <v>8828</v>
      </c>
      <c r="K1819" t="s">
        <v>1464</v>
      </c>
      <c r="L1819" t="s">
        <v>9691</v>
      </c>
      <c r="M1819" t="s">
        <v>1460</v>
      </c>
      <c r="N1819" t="s">
        <v>9692</v>
      </c>
      <c r="O1819" t="s">
        <v>26</v>
      </c>
      <c r="P1819">
        <v>9.99</v>
      </c>
      <c r="Q1819">
        <v>12.49</v>
      </c>
      <c r="R1819">
        <v>9.99</v>
      </c>
      <c r="T1819" t="s">
        <v>9693</v>
      </c>
    </row>
    <row r="1820" spans="1:20">
      <c r="A1820">
        <v>1418321</v>
      </c>
      <c r="B1820" t="s">
        <v>9694</v>
      </c>
      <c r="C1820" t="str">
        <f>"9781459803565"</f>
        <v>9781459803565</v>
      </c>
      <c r="D1820" t="str">
        <f>"9781459803589"</f>
        <v>9781459803589</v>
      </c>
      <c r="E1820" t="s">
        <v>4668</v>
      </c>
      <c r="F1820" t="s">
        <v>4668</v>
      </c>
      <c r="G1820" s="1">
        <v>41518</v>
      </c>
      <c r="I1820" t="s">
        <v>4685</v>
      </c>
      <c r="J1820" t="s">
        <v>9695</v>
      </c>
      <c r="K1820" t="s">
        <v>1464</v>
      </c>
      <c r="L1820" t="s">
        <v>9696</v>
      </c>
      <c r="M1820" t="s">
        <v>5427</v>
      </c>
      <c r="N1820" t="s">
        <v>9697</v>
      </c>
      <c r="O1820" t="s">
        <v>26</v>
      </c>
      <c r="P1820">
        <v>9.99</v>
      </c>
      <c r="Q1820">
        <v>12.49</v>
      </c>
      <c r="R1820">
        <v>9.99</v>
      </c>
      <c r="T1820" t="s">
        <v>9698</v>
      </c>
    </row>
    <row r="1821" spans="1:20">
      <c r="A1821">
        <v>1418322</v>
      </c>
      <c r="B1821" t="s">
        <v>9699</v>
      </c>
      <c r="C1821" t="str">
        <f>"9781459803718"</f>
        <v>9781459803718</v>
      </c>
      <c r="D1821" t="str">
        <f>"9781459803732"</f>
        <v>9781459803732</v>
      </c>
      <c r="E1821" t="s">
        <v>4668</v>
      </c>
      <c r="F1821" t="s">
        <v>4668</v>
      </c>
      <c r="G1821" s="1">
        <v>41518</v>
      </c>
      <c r="I1821" t="s">
        <v>4685</v>
      </c>
      <c r="J1821" t="s">
        <v>5203</v>
      </c>
      <c r="K1821" t="s">
        <v>1464</v>
      </c>
      <c r="L1821" t="s">
        <v>9700</v>
      </c>
      <c r="M1821" t="s">
        <v>5047</v>
      </c>
      <c r="N1821" t="s">
        <v>9701</v>
      </c>
      <c r="O1821" t="s">
        <v>26</v>
      </c>
      <c r="P1821">
        <v>9.99</v>
      </c>
      <c r="Q1821">
        <v>12.49</v>
      </c>
      <c r="R1821">
        <v>9.99</v>
      </c>
      <c r="T1821" t="s">
        <v>9702</v>
      </c>
    </row>
    <row r="1822" spans="1:20">
      <c r="A1822">
        <v>1418323</v>
      </c>
      <c r="B1822" t="s">
        <v>9703</v>
      </c>
      <c r="C1822" t="str">
        <f>"9781459805118"</f>
        <v>9781459805118</v>
      </c>
      <c r="D1822" t="str">
        <f>"9781459805125"</f>
        <v>9781459805125</v>
      </c>
      <c r="E1822" t="s">
        <v>4668</v>
      </c>
      <c r="F1822" t="s">
        <v>4668</v>
      </c>
      <c r="G1822" s="1">
        <v>41518</v>
      </c>
      <c r="I1822" t="s">
        <v>5056</v>
      </c>
      <c r="J1822" t="s">
        <v>5575</v>
      </c>
      <c r="K1822" t="s">
        <v>1464</v>
      </c>
      <c r="L1822" t="s">
        <v>9704</v>
      </c>
      <c r="M1822" t="s">
        <v>1460</v>
      </c>
      <c r="N1822" t="s">
        <v>9705</v>
      </c>
      <c r="O1822" t="s">
        <v>26</v>
      </c>
      <c r="P1822">
        <v>9.99</v>
      </c>
      <c r="Q1822">
        <v>12.49</v>
      </c>
      <c r="R1822">
        <v>9.99</v>
      </c>
      <c r="T1822" t="s">
        <v>9706</v>
      </c>
    </row>
    <row r="1823" spans="1:20">
      <c r="A1823">
        <v>1426442</v>
      </c>
      <c r="B1823" t="s">
        <v>9707</v>
      </c>
      <c r="C1823" t="str">
        <f>"9780865716483"</f>
        <v>9780865716483</v>
      </c>
      <c r="D1823" t="str">
        <f>"9781550925661"</f>
        <v>9781550925661</v>
      </c>
      <c r="E1823" t="s">
        <v>249</v>
      </c>
      <c r="F1823" t="s">
        <v>249</v>
      </c>
      <c r="G1823" s="1">
        <v>41540</v>
      </c>
      <c r="I1823" t="s">
        <v>9708</v>
      </c>
      <c r="J1823" t="s">
        <v>9709</v>
      </c>
      <c r="K1823" t="s">
        <v>1056</v>
      </c>
      <c r="L1823" t="s">
        <v>9710</v>
      </c>
      <c r="M1823">
        <v>338.92700000000002</v>
      </c>
      <c r="N1823" t="s">
        <v>9711</v>
      </c>
      <c r="O1823" t="s">
        <v>26</v>
      </c>
      <c r="P1823">
        <v>29.95</v>
      </c>
      <c r="R1823">
        <v>29.95</v>
      </c>
      <c r="S1823">
        <v>44.93</v>
      </c>
      <c r="T1823" t="s">
        <v>9712</v>
      </c>
    </row>
    <row r="1824" spans="1:20">
      <c r="A1824">
        <v>1433331</v>
      </c>
      <c r="B1824" t="s">
        <v>9713</v>
      </c>
      <c r="C1824" t="str">
        <f>"9781459804784"</f>
        <v>9781459804784</v>
      </c>
      <c r="D1824" t="str">
        <f>"9781459804791"</f>
        <v>9781459804791</v>
      </c>
      <c r="E1824" t="s">
        <v>4668</v>
      </c>
      <c r="F1824" t="s">
        <v>4668</v>
      </c>
      <c r="G1824" s="1">
        <v>41548</v>
      </c>
      <c r="I1824" t="s">
        <v>5010</v>
      </c>
      <c r="J1824" t="s">
        <v>5425</v>
      </c>
      <c r="K1824" t="s">
        <v>1464</v>
      </c>
      <c r="L1824" t="s">
        <v>9714</v>
      </c>
      <c r="M1824" t="s">
        <v>1460</v>
      </c>
      <c r="N1824" t="s">
        <v>5002</v>
      </c>
      <c r="O1824" t="s">
        <v>26</v>
      </c>
      <c r="P1824">
        <v>7.99</v>
      </c>
      <c r="Q1824">
        <v>9.99</v>
      </c>
      <c r="R1824">
        <v>7.99</v>
      </c>
      <c r="T1824" t="s">
        <v>9715</v>
      </c>
    </row>
    <row r="1825" spans="1:20">
      <c r="A1825">
        <v>1433332</v>
      </c>
      <c r="B1825" t="s">
        <v>9716</v>
      </c>
      <c r="C1825" t="str">
        <f>"9781459804135"</f>
        <v>9781459804135</v>
      </c>
      <c r="D1825" t="str">
        <f>"9781459804142"</f>
        <v>9781459804142</v>
      </c>
      <c r="E1825" t="s">
        <v>4668</v>
      </c>
      <c r="F1825" t="s">
        <v>4668</v>
      </c>
      <c r="G1825" s="1">
        <v>41548</v>
      </c>
      <c r="I1825" t="s">
        <v>9717</v>
      </c>
      <c r="J1825" t="s">
        <v>8677</v>
      </c>
      <c r="K1825" t="s">
        <v>1464</v>
      </c>
      <c r="L1825" t="s">
        <v>9718</v>
      </c>
      <c r="M1825" t="s">
        <v>1509</v>
      </c>
      <c r="N1825" t="s">
        <v>9719</v>
      </c>
      <c r="O1825" t="s">
        <v>26</v>
      </c>
      <c r="P1825">
        <v>9.99</v>
      </c>
      <c r="Q1825">
        <v>12.49</v>
      </c>
      <c r="R1825">
        <v>9.99</v>
      </c>
      <c r="T1825" t="s">
        <v>9720</v>
      </c>
    </row>
    <row r="1826" spans="1:20">
      <c r="A1826">
        <v>1433333</v>
      </c>
      <c r="B1826" t="s">
        <v>9721</v>
      </c>
      <c r="C1826" t="str">
        <f>"9781459805262"</f>
        <v>9781459805262</v>
      </c>
      <c r="D1826" t="str">
        <f>"9781459805279"</f>
        <v>9781459805279</v>
      </c>
      <c r="E1826" t="s">
        <v>4668</v>
      </c>
      <c r="F1826" t="s">
        <v>4668</v>
      </c>
      <c r="G1826" s="1">
        <v>41548</v>
      </c>
      <c r="I1826" t="s">
        <v>5056</v>
      </c>
      <c r="J1826" t="s">
        <v>5287</v>
      </c>
      <c r="K1826" t="s">
        <v>1464</v>
      </c>
      <c r="L1826" t="s">
        <v>9722</v>
      </c>
      <c r="M1826" t="s">
        <v>1509</v>
      </c>
      <c r="N1826" t="s">
        <v>5451</v>
      </c>
      <c r="O1826" t="s">
        <v>26</v>
      </c>
      <c r="P1826">
        <v>9.99</v>
      </c>
      <c r="Q1826">
        <v>12.49</v>
      </c>
      <c r="R1826">
        <v>9.99</v>
      </c>
      <c r="T1826" t="s">
        <v>9723</v>
      </c>
    </row>
    <row r="1827" spans="1:20">
      <c r="A1827">
        <v>1433334</v>
      </c>
      <c r="B1827" t="s">
        <v>9724</v>
      </c>
      <c r="C1827" t="str">
        <f>"9781459805224"</f>
        <v>9781459805224</v>
      </c>
      <c r="D1827" t="str">
        <f>"9781459805231"</f>
        <v>9781459805231</v>
      </c>
      <c r="E1827" t="s">
        <v>4668</v>
      </c>
      <c r="F1827" t="s">
        <v>4668</v>
      </c>
      <c r="G1827" s="1">
        <v>41548</v>
      </c>
      <c r="I1827" t="s">
        <v>5056</v>
      </c>
      <c r="J1827" t="s">
        <v>3578</v>
      </c>
      <c r="K1827" t="s">
        <v>1464</v>
      </c>
      <c r="L1827" t="s">
        <v>9725</v>
      </c>
      <c r="M1827" t="s">
        <v>1460</v>
      </c>
      <c r="N1827" t="s">
        <v>5002</v>
      </c>
      <c r="O1827" t="s">
        <v>26</v>
      </c>
      <c r="P1827">
        <v>9.99</v>
      </c>
      <c r="Q1827">
        <v>12.49</v>
      </c>
      <c r="R1827">
        <v>9.99</v>
      </c>
      <c r="T1827" t="s">
        <v>9726</v>
      </c>
    </row>
    <row r="1828" spans="1:20">
      <c r="A1828">
        <v>1433335</v>
      </c>
      <c r="B1828" t="s">
        <v>9727</v>
      </c>
      <c r="C1828" t="str">
        <f>"9781459802643"</f>
        <v>9781459802643</v>
      </c>
      <c r="D1828" t="str">
        <f>"9781459802650"</f>
        <v>9781459802650</v>
      </c>
      <c r="E1828" t="s">
        <v>4668</v>
      </c>
      <c r="F1828" t="s">
        <v>4668</v>
      </c>
      <c r="G1828" s="1">
        <v>41548</v>
      </c>
      <c r="I1828" t="s">
        <v>5721</v>
      </c>
      <c r="J1828" t="s">
        <v>9728</v>
      </c>
      <c r="K1828" t="s">
        <v>1464</v>
      </c>
      <c r="L1828" t="s">
        <v>9729</v>
      </c>
      <c r="M1828" t="s">
        <v>9730</v>
      </c>
      <c r="N1828" t="s">
        <v>9731</v>
      </c>
      <c r="O1828" t="s">
        <v>26</v>
      </c>
      <c r="P1828">
        <v>12.99</v>
      </c>
      <c r="Q1828">
        <v>16.239999999999998</v>
      </c>
      <c r="R1828">
        <v>12.99</v>
      </c>
      <c r="T1828" t="s">
        <v>9732</v>
      </c>
    </row>
    <row r="1829" spans="1:20">
      <c r="A1829">
        <v>1433336</v>
      </c>
      <c r="B1829" t="s">
        <v>9733</v>
      </c>
      <c r="C1829" t="str">
        <f>"9781459804968"</f>
        <v>9781459804968</v>
      </c>
      <c r="D1829" t="str">
        <f>"9781459804975"</f>
        <v>9781459804975</v>
      </c>
      <c r="E1829" t="s">
        <v>4668</v>
      </c>
      <c r="F1829" t="s">
        <v>4668</v>
      </c>
      <c r="G1829" s="1">
        <v>41548</v>
      </c>
      <c r="I1829" t="s">
        <v>4685</v>
      </c>
      <c r="J1829" t="s">
        <v>9734</v>
      </c>
      <c r="K1829" t="s">
        <v>1464</v>
      </c>
      <c r="L1829" t="s">
        <v>9735</v>
      </c>
      <c r="M1829">
        <v>813.54</v>
      </c>
      <c r="N1829" t="s">
        <v>9736</v>
      </c>
      <c r="O1829" t="s">
        <v>26</v>
      </c>
      <c r="P1829">
        <v>9.99</v>
      </c>
      <c r="Q1829">
        <v>12.49</v>
      </c>
      <c r="R1829">
        <v>9.99</v>
      </c>
      <c r="T1829" t="s">
        <v>9737</v>
      </c>
    </row>
    <row r="1830" spans="1:20">
      <c r="A1830">
        <v>1433337</v>
      </c>
      <c r="B1830" t="s">
        <v>9738</v>
      </c>
      <c r="C1830" t="str">
        <f>"9781459804036"</f>
        <v>9781459804036</v>
      </c>
      <c r="D1830" t="str">
        <f>"9781459804043"</f>
        <v>9781459804043</v>
      </c>
      <c r="E1830" t="s">
        <v>4668</v>
      </c>
      <c r="F1830" t="s">
        <v>4668</v>
      </c>
      <c r="G1830" s="1">
        <v>41548</v>
      </c>
      <c r="I1830" t="s">
        <v>5010</v>
      </c>
      <c r="J1830" t="s">
        <v>9739</v>
      </c>
      <c r="K1830" t="s">
        <v>1464</v>
      </c>
      <c r="L1830" t="s">
        <v>9740</v>
      </c>
      <c r="M1830" t="s">
        <v>1509</v>
      </c>
      <c r="N1830" t="s">
        <v>5002</v>
      </c>
      <c r="O1830" t="s">
        <v>26</v>
      </c>
      <c r="P1830">
        <v>7.99</v>
      </c>
      <c r="Q1830">
        <v>9.99</v>
      </c>
      <c r="R1830">
        <v>7.99</v>
      </c>
      <c r="T1830" t="s">
        <v>9741</v>
      </c>
    </row>
    <row r="1831" spans="1:20">
      <c r="A1831">
        <v>1433338</v>
      </c>
      <c r="B1831" t="s">
        <v>9742</v>
      </c>
      <c r="C1831" t="str">
        <f>"9781459804586"</f>
        <v>9781459804586</v>
      </c>
      <c r="D1831" t="str">
        <f>"9781459804593"</f>
        <v>9781459804593</v>
      </c>
      <c r="E1831" t="s">
        <v>4668</v>
      </c>
      <c r="F1831" t="s">
        <v>4668</v>
      </c>
      <c r="G1831" s="1">
        <v>41548</v>
      </c>
      <c r="I1831" t="s">
        <v>9717</v>
      </c>
      <c r="J1831" t="s">
        <v>8959</v>
      </c>
      <c r="K1831" t="s">
        <v>1464</v>
      </c>
      <c r="L1831" t="s">
        <v>9743</v>
      </c>
      <c r="M1831" t="s">
        <v>1509</v>
      </c>
      <c r="N1831" t="s">
        <v>5002</v>
      </c>
      <c r="O1831" t="s">
        <v>26</v>
      </c>
      <c r="P1831">
        <v>9.99</v>
      </c>
      <c r="Q1831">
        <v>12.49</v>
      </c>
      <c r="R1831">
        <v>9.99</v>
      </c>
      <c r="T1831" t="s">
        <v>9744</v>
      </c>
    </row>
    <row r="1832" spans="1:20">
      <c r="A1832">
        <v>1433339</v>
      </c>
      <c r="B1832" t="s">
        <v>9745</v>
      </c>
      <c r="C1832" t="str">
        <f>"9781459804371"</f>
        <v>9781459804371</v>
      </c>
      <c r="D1832" t="str">
        <f>"9781459804395"</f>
        <v>9781459804395</v>
      </c>
      <c r="E1832" t="s">
        <v>4668</v>
      </c>
      <c r="F1832" t="s">
        <v>4668</v>
      </c>
      <c r="G1832" s="1">
        <v>41548</v>
      </c>
      <c r="I1832" t="s">
        <v>4685</v>
      </c>
      <c r="J1832" t="s">
        <v>8653</v>
      </c>
      <c r="K1832" t="s">
        <v>1464</v>
      </c>
      <c r="L1832" t="s">
        <v>9746</v>
      </c>
      <c r="M1832" t="s">
        <v>1460</v>
      </c>
      <c r="N1832" t="s">
        <v>9747</v>
      </c>
      <c r="O1832" t="s">
        <v>26</v>
      </c>
      <c r="P1832">
        <v>9.99</v>
      </c>
      <c r="Q1832">
        <v>12.49</v>
      </c>
      <c r="R1832">
        <v>9.99</v>
      </c>
      <c r="T1832" t="s">
        <v>9748</v>
      </c>
    </row>
    <row r="1833" spans="1:20">
      <c r="A1833">
        <v>1433340</v>
      </c>
      <c r="B1833" t="s">
        <v>9749</v>
      </c>
      <c r="C1833" t="str">
        <f>"9781459803824"</f>
        <v>9781459803824</v>
      </c>
      <c r="D1833" t="str">
        <f>"9781459803831"</f>
        <v>9781459803831</v>
      </c>
      <c r="E1833" t="s">
        <v>4668</v>
      </c>
      <c r="F1833" t="s">
        <v>4668</v>
      </c>
      <c r="G1833" s="1">
        <v>41548</v>
      </c>
      <c r="I1833" t="s">
        <v>9717</v>
      </c>
      <c r="J1833" t="s">
        <v>5814</v>
      </c>
      <c r="K1833" t="s">
        <v>1464</v>
      </c>
      <c r="L1833" t="s">
        <v>9750</v>
      </c>
      <c r="M1833" t="s">
        <v>1509</v>
      </c>
      <c r="N1833" t="s">
        <v>5002</v>
      </c>
      <c r="O1833" t="s">
        <v>26</v>
      </c>
      <c r="P1833">
        <v>9.99</v>
      </c>
      <c r="Q1833">
        <v>12.49</v>
      </c>
      <c r="R1833">
        <v>9.99</v>
      </c>
      <c r="T1833" t="s">
        <v>9751</v>
      </c>
    </row>
    <row r="1834" spans="1:20">
      <c r="A1834">
        <v>1433341</v>
      </c>
      <c r="B1834" t="s">
        <v>9752</v>
      </c>
      <c r="C1834" t="str">
        <f>"9781459804340"</f>
        <v>9781459804340</v>
      </c>
      <c r="D1834" t="str">
        <f>"9781459804357"</f>
        <v>9781459804357</v>
      </c>
      <c r="E1834" t="s">
        <v>4668</v>
      </c>
      <c r="F1834" t="s">
        <v>4668</v>
      </c>
      <c r="G1834" s="1">
        <v>41548</v>
      </c>
      <c r="I1834" t="s">
        <v>5721</v>
      </c>
      <c r="J1834" t="s">
        <v>8653</v>
      </c>
      <c r="K1834" t="s">
        <v>1464</v>
      </c>
      <c r="L1834" t="s">
        <v>9753</v>
      </c>
      <c r="M1834" t="s">
        <v>1460</v>
      </c>
      <c r="N1834" t="s">
        <v>9747</v>
      </c>
      <c r="O1834" t="s">
        <v>26</v>
      </c>
      <c r="P1834">
        <v>12.99</v>
      </c>
      <c r="Q1834">
        <v>16.239999999999998</v>
      </c>
      <c r="R1834">
        <v>12.99</v>
      </c>
      <c r="T1834" t="s">
        <v>9754</v>
      </c>
    </row>
    <row r="1835" spans="1:20">
      <c r="A1835">
        <v>1433342</v>
      </c>
      <c r="B1835" t="s">
        <v>9755</v>
      </c>
      <c r="C1835" t="str">
        <f>"9781459804876"</f>
        <v>9781459804876</v>
      </c>
      <c r="D1835" t="str">
        <f>"9781459804883"</f>
        <v>9781459804883</v>
      </c>
      <c r="E1835" t="s">
        <v>4668</v>
      </c>
      <c r="F1835" t="s">
        <v>8157</v>
      </c>
      <c r="G1835" s="1">
        <v>41548</v>
      </c>
      <c r="I1835" t="s">
        <v>8158</v>
      </c>
      <c r="J1835" t="s">
        <v>9214</v>
      </c>
      <c r="K1835" t="s">
        <v>1464</v>
      </c>
      <c r="L1835" t="s">
        <v>9756</v>
      </c>
      <c r="M1835" t="s">
        <v>1509</v>
      </c>
      <c r="N1835" t="s">
        <v>5002</v>
      </c>
      <c r="O1835" t="s">
        <v>26</v>
      </c>
      <c r="P1835">
        <v>9.99</v>
      </c>
      <c r="Q1835">
        <v>12.49</v>
      </c>
      <c r="R1835">
        <v>9.99</v>
      </c>
      <c r="T1835" t="s">
        <v>9757</v>
      </c>
    </row>
    <row r="1836" spans="1:20">
      <c r="A1836">
        <v>1477517</v>
      </c>
      <c r="B1836" t="s">
        <v>9758</v>
      </c>
      <c r="C1836" t="str">
        <f>"9781443851473"</f>
        <v>9781443851473</v>
      </c>
      <c r="D1836" t="str">
        <f>"9781443852661"</f>
        <v>9781443852661</v>
      </c>
      <c r="E1836" t="s">
        <v>9307</v>
      </c>
      <c r="F1836" t="s">
        <v>9307</v>
      </c>
      <c r="G1836" s="1">
        <v>41579</v>
      </c>
      <c r="H1836">
        <v>1</v>
      </c>
      <c r="J1836" t="s">
        <v>9759</v>
      </c>
      <c r="K1836" t="s">
        <v>6055</v>
      </c>
      <c r="L1836" t="s">
        <v>9760</v>
      </c>
      <c r="M1836">
        <v>245</v>
      </c>
      <c r="N1836" t="s">
        <v>9761</v>
      </c>
      <c r="O1836" t="s">
        <v>26</v>
      </c>
      <c r="P1836">
        <v>91.95</v>
      </c>
      <c r="R1836">
        <v>91.95</v>
      </c>
      <c r="T1836" t="s">
        <v>9762</v>
      </c>
    </row>
    <row r="1837" spans="1:20">
      <c r="A1837">
        <v>1492909</v>
      </c>
      <c r="B1837" t="s">
        <v>9763</v>
      </c>
      <c r="C1837" t="str">
        <f>"9781459802216"</f>
        <v>9781459802216</v>
      </c>
      <c r="D1837" t="str">
        <f>"9781459802223"</f>
        <v>9781459802223</v>
      </c>
      <c r="E1837" t="s">
        <v>4668</v>
      </c>
      <c r="F1837" t="s">
        <v>4668</v>
      </c>
      <c r="G1837" s="1">
        <v>41548</v>
      </c>
      <c r="I1837" t="s">
        <v>9578</v>
      </c>
      <c r="J1837" t="s">
        <v>5627</v>
      </c>
      <c r="K1837" t="s">
        <v>2725</v>
      </c>
      <c r="L1837" t="s">
        <v>9764</v>
      </c>
      <c r="M1837" t="s">
        <v>9765</v>
      </c>
      <c r="N1837" t="s">
        <v>9766</v>
      </c>
      <c r="O1837" t="s">
        <v>26</v>
      </c>
      <c r="P1837">
        <v>19.989999999999998</v>
      </c>
      <c r="Q1837">
        <v>24.99</v>
      </c>
      <c r="R1837">
        <v>19.989999999999998</v>
      </c>
      <c r="T1837" t="s">
        <v>9767</v>
      </c>
    </row>
    <row r="1838" spans="1:20">
      <c r="A1838">
        <v>1498790</v>
      </c>
      <c r="B1838" t="s">
        <v>9768</v>
      </c>
      <c r="C1838" t="str">
        <f>"9781459723634"</f>
        <v>9781459723634</v>
      </c>
      <c r="D1838" t="str">
        <f>"9781459724648"</f>
        <v>9781459724648</v>
      </c>
      <c r="E1838" t="s">
        <v>3488</v>
      </c>
      <c r="F1838" t="s">
        <v>3488</v>
      </c>
      <c r="G1838" s="1">
        <v>41737</v>
      </c>
      <c r="J1838" t="s">
        <v>9769</v>
      </c>
      <c r="K1838" t="s">
        <v>305</v>
      </c>
      <c r="L1838" t="s">
        <v>9770</v>
      </c>
      <c r="M1838">
        <v>388.10899999999998</v>
      </c>
      <c r="N1838" t="s">
        <v>9771</v>
      </c>
      <c r="O1838" t="s">
        <v>26</v>
      </c>
      <c r="P1838">
        <v>29.99</v>
      </c>
      <c r="R1838">
        <v>29.99</v>
      </c>
      <c r="S1838">
        <v>44.99</v>
      </c>
      <c r="T1838" t="s">
        <v>9772</v>
      </c>
    </row>
    <row r="1839" spans="1:20">
      <c r="A1839">
        <v>1507373</v>
      </c>
      <c r="B1839" t="s">
        <v>9773</v>
      </c>
      <c r="C1839" t="str">
        <f>"9780889225022"</f>
        <v>9780889225022</v>
      </c>
      <c r="D1839" t="str">
        <f>"9780889228757"</f>
        <v>9780889228757</v>
      </c>
      <c r="E1839" t="s">
        <v>9493</v>
      </c>
      <c r="F1839" t="s">
        <v>9493</v>
      </c>
      <c r="G1839" s="1">
        <v>41572</v>
      </c>
      <c r="H1839">
        <v>2</v>
      </c>
      <c r="J1839" t="s">
        <v>9774</v>
      </c>
      <c r="K1839" t="s">
        <v>1550</v>
      </c>
      <c r="L1839" t="s">
        <v>9775</v>
      </c>
      <c r="M1839" t="s">
        <v>9776</v>
      </c>
      <c r="N1839" t="s">
        <v>9777</v>
      </c>
      <c r="O1839" t="s">
        <v>26</v>
      </c>
      <c r="P1839">
        <v>29.95</v>
      </c>
      <c r="R1839">
        <v>29.95</v>
      </c>
      <c r="S1839">
        <v>44.93</v>
      </c>
      <c r="T1839" t="s">
        <v>9778</v>
      </c>
    </row>
    <row r="1840" spans="1:20">
      <c r="A1840">
        <v>1507375</v>
      </c>
      <c r="B1840" t="s">
        <v>9779</v>
      </c>
      <c r="C1840" t="str">
        <f>"9780889225220"</f>
        <v>9780889225220</v>
      </c>
      <c r="D1840" t="str">
        <f>"9780889228771"</f>
        <v>9780889228771</v>
      </c>
      <c r="E1840" t="s">
        <v>9493</v>
      </c>
      <c r="F1840" t="s">
        <v>9493</v>
      </c>
      <c r="G1840" s="1">
        <v>41589</v>
      </c>
      <c r="J1840" t="s">
        <v>9774</v>
      </c>
      <c r="K1840" t="s">
        <v>1530</v>
      </c>
      <c r="L1840" t="s">
        <v>9780</v>
      </c>
      <c r="M1840" t="s">
        <v>9781</v>
      </c>
      <c r="N1840" t="s">
        <v>9782</v>
      </c>
      <c r="O1840" t="s">
        <v>26</v>
      </c>
      <c r="P1840">
        <v>24.95</v>
      </c>
      <c r="R1840">
        <v>24.95</v>
      </c>
      <c r="S1840">
        <v>37.43</v>
      </c>
      <c r="T1840" t="s">
        <v>9783</v>
      </c>
    </row>
    <row r="1841" spans="1:20">
      <c r="A1841">
        <v>1507378</v>
      </c>
      <c r="B1841" t="s">
        <v>9784</v>
      </c>
      <c r="C1841" t="str">
        <f>"9780889225046"</f>
        <v>9780889225046</v>
      </c>
      <c r="D1841" t="str">
        <f>"9780889228764"</f>
        <v>9780889228764</v>
      </c>
      <c r="E1841" t="s">
        <v>9493</v>
      </c>
      <c r="F1841" t="s">
        <v>9493</v>
      </c>
      <c r="G1841" s="1">
        <v>41589</v>
      </c>
      <c r="J1841" t="s">
        <v>9774</v>
      </c>
      <c r="K1841" t="s">
        <v>1550</v>
      </c>
      <c r="L1841" t="s">
        <v>9775</v>
      </c>
      <c r="M1841">
        <v>390</v>
      </c>
      <c r="N1841" t="s">
        <v>9785</v>
      </c>
      <c r="O1841" t="s">
        <v>26</v>
      </c>
      <c r="P1841">
        <v>24.95</v>
      </c>
      <c r="R1841">
        <v>24.95</v>
      </c>
      <c r="S1841">
        <v>37.43</v>
      </c>
      <c r="T1841" t="s">
        <v>9786</v>
      </c>
    </row>
    <row r="1842" spans="1:20">
      <c r="A1842">
        <v>1543296</v>
      </c>
      <c r="B1842" t="s">
        <v>9787</v>
      </c>
      <c r="C1842" t="str">
        <f>"9781459801653"</f>
        <v>9781459801653</v>
      </c>
      <c r="D1842" t="str">
        <f>"9781459801660"</f>
        <v>9781459801660</v>
      </c>
      <c r="E1842" t="s">
        <v>4668</v>
      </c>
      <c r="F1842" t="s">
        <v>4668</v>
      </c>
      <c r="G1842" s="1">
        <v>41518</v>
      </c>
      <c r="I1842" t="s">
        <v>4703</v>
      </c>
      <c r="J1842" t="s">
        <v>9788</v>
      </c>
      <c r="K1842" t="s">
        <v>1464</v>
      </c>
      <c r="L1842" t="s">
        <v>9789</v>
      </c>
      <c r="M1842" t="s">
        <v>1509</v>
      </c>
      <c r="N1842" t="s">
        <v>9790</v>
      </c>
      <c r="O1842" t="s">
        <v>26</v>
      </c>
      <c r="P1842">
        <v>6.99</v>
      </c>
      <c r="Q1842">
        <v>8.74</v>
      </c>
      <c r="R1842">
        <v>6.99</v>
      </c>
      <c r="T1842" t="s">
        <v>9791</v>
      </c>
    </row>
    <row r="1843" spans="1:20">
      <c r="A1843">
        <v>1543297</v>
      </c>
      <c r="B1843" t="s">
        <v>9792</v>
      </c>
      <c r="C1843" t="str">
        <f>"9781459803947"</f>
        <v>9781459803947</v>
      </c>
      <c r="D1843" t="str">
        <f>"9781459803954"</f>
        <v>9781459803954</v>
      </c>
      <c r="E1843" t="s">
        <v>4668</v>
      </c>
      <c r="F1843" t="s">
        <v>4668</v>
      </c>
      <c r="G1843" s="1">
        <v>41579</v>
      </c>
      <c r="I1843" t="s">
        <v>4703</v>
      </c>
      <c r="J1843" t="s">
        <v>9118</v>
      </c>
      <c r="K1843" t="s">
        <v>1464</v>
      </c>
      <c r="L1843" t="s">
        <v>9605</v>
      </c>
      <c r="M1843" t="s">
        <v>1509</v>
      </c>
      <c r="N1843" t="s">
        <v>9793</v>
      </c>
      <c r="O1843" t="s">
        <v>26</v>
      </c>
      <c r="P1843">
        <v>6.99</v>
      </c>
      <c r="Q1843">
        <v>8.74</v>
      </c>
      <c r="R1843">
        <v>6.99</v>
      </c>
      <c r="T1843" t="s">
        <v>9794</v>
      </c>
    </row>
    <row r="1844" spans="1:20">
      <c r="A1844">
        <v>1543298</v>
      </c>
      <c r="B1844" t="s">
        <v>9795</v>
      </c>
      <c r="C1844" t="str">
        <f>"9781459803855"</f>
        <v>9781459803855</v>
      </c>
      <c r="D1844" t="str">
        <f>"9781459803862"</f>
        <v>9781459803862</v>
      </c>
      <c r="E1844" t="s">
        <v>4668</v>
      </c>
      <c r="F1844" t="s">
        <v>4668</v>
      </c>
      <c r="G1844" s="1">
        <v>41579</v>
      </c>
      <c r="I1844" t="s">
        <v>8244</v>
      </c>
      <c r="J1844" t="s">
        <v>9796</v>
      </c>
      <c r="K1844" t="s">
        <v>1464</v>
      </c>
      <c r="L1844" t="s">
        <v>9797</v>
      </c>
      <c r="M1844" t="s">
        <v>1509</v>
      </c>
      <c r="N1844" t="s">
        <v>9798</v>
      </c>
      <c r="O1844" t="s">
        <v>26</v>
      </c>
      <c r="P1844">
        <v>9.99</v>
      </c>
      <c r="Q1844">
        <v>12.49</v>
      </c>
      <c r="R1844">
        <v>9.99</v>
      </c>
      <c r="T1844" t="s">
        <v>9799</v>
      </c>
    </row>
    <row r="1845" spans="1:20">
      <c r="A1845">
        <v>1543299</v>
      </c>
      <c r="B1845" t="s">
        <v>9800</v>
      </c>
      <c r="C1845" t="str">
        <f>"9781459801172"</f>
        <v>9781459801172</v>
      </c>
      <c r="D1845" t="str">
        <f>"9781459801189"</f>
        <v>9781459801189</v>
      </c>
      <c r="E1845" t="s">
        <v>4668</v>
      </c>
      <c r="F1845" t="s">
        <v>4668</v>
      </c>
      <c r="G1845" s="1">
        <v>41579</v>
      </c>
      <c r="I1845" t="s">
        <v>4703</v>
      </c>
      <c r="J1845" t="s">
        <v>9801</v>
      </c>
      <c r="K1845" t="s">
        <v>1464</v>
      </c>
      <c r="L1845" t="s">
        <v>9802</v>
      </c>
      <c r="M1845" t="s">
        <v>1509</v>
      </c>
      <c r="N1845" t="s">
        <v>9803</v>
      </c>
      <c r="O1845" t="s">
        <v>26</v>
      </c>
      <c r="P1845">
        <v>6.99</v>
      </c>
      <c r="Q1845">
        <v>8.74</v>
      </c>
      <c r="R1845">
        <v>6.99</v>
      </c>
      <c r="T1845" t="s">
        <v>9804</v>
      </c>
    </row>
    <row r="1846" spans="1:20">
      <c r="A1846">
        <v>1564754</v>
      </c>
      <c r="B1846" t="s">
        <v>9805</v>
      </c>
      <c r="C1846" t="str">
        <f>"9783631629437"</f>
        <v>9783631629437</v>
      </c>
      <c r="D1846" t="str">
        <f>"9783653036602"</f>
        <v>9783653036602</v>
      </c>
      <c r="E1846" t="s">
        <v>9806</v>
      </c>
      <c r="F1846" t="s">
        <v>9806</v>
      </c>
      <c r="G1846" s="1">
        <v>41583</v>
      </c>
      <c r="I1846" t="s">
        <v>9807</v>
      </c>
      <c r="J1846" t="s">
        <v>9808</v>
      </c>
      <c r="K1846" t="s">
        <v>6444</v>
      </c>
      <c r="L1846" t="s">
        <v>9809</v>
      </c>
      <c r="M1846">
        <v>327.71093999999999</v>
      </c>
      <c r="N1846" t="s">
        <v>9810</v>
      </c>
      <c r="O1846" t="s">
        <v>94</v>
      </c>
      <c r="P1846">
        <v>152.38</v>
      </c>
      <c r="R1846">
        <v>121.9</v>
      </c>
      <c r="T1846" t="s">
        <v>9811</v>
      </c>
    </row>
    <row r="1847" spans="1:20">
      <c r="A1847">
        <v>1574768</v>
      </c>
      <c r="B1847" t="s">
        <v>9812</v>
      </c>
      <c r="C1847" t="str">
        <f>"9780889221482"</f>
        <v>9780889221482</v>
      </c>
      <c r="D1847" t="str">
        <f>"9780889228856"</f>
        <v>9780889228856</v>
      </c>
      <c r="E1847" t="s">
        <v>9493</v>
      </c>
      <c r="F1847" t="s">
        <v>9493</v>
      </c>
      <c r="G1847" s="1">
        <v>41618</v>
      </c>
      <c r="J1847" t="s">
        <v>9813</v>
      </c>
      <c r="K1847" t="s">
        <v>291</v>
      </c>
      <c r="L1847" t="s">
        <v>9814</v>
      </c>
      <c r="M1847" t="s">
        <v>9815</v>
      </c>
      <c r="N1847" t="s">
        <v>9816</v>
      </c>
      <c r="O1847" t="s">
        <v>26</v>
      </c>
      <c r="P1847">
        <v>19.95</v>
      </c>
      <c r="R1847">
        <v>19.95</v>
      </c>
      <c r="S1847">
        <v>29.93</v>
      </c>
      <c r="T1847" t="s">
        <v>9817</v>
      </c>
    </row>
    <row r="1848" spans="1:20">
      <c r="A1848">
        <v>1577485</v>
      </c>
      <c r="B1848" t="s">
        <v>9818</v>
      </c>
      <c r="C1848" t="str">
        <f>"9781550225433"</f>
        <v>9781550225433</v>
      </c>
      <c r="D1848" t="str">
        <f>"9781770905405"</f>
        <v>9781770905405</v>
      </c>
      <c r="E1848" t="s">
        <v>7707</v>
      </c>
      <c r="F1848" t="s">
        <v>7707</v>
      </c>
      <c r="G1848" s="1">
        <v>37530</v>
      </c>
      <c r="J1848" t="s">
        <v>9819</v>
      </c>
      <c r="K1848" t="s">
        <v>9820</v>
      </c>
      <c r="L1848" t="s">
        <v>9821</v>
      </c>
      <c r="M1848">
        <v>338</v>
      </c>
      <c r="N1848" t="s">
        <v>9822</v>
      </c>
      <c r="O1848" t="s">
        <v>26</v>
      </c>
      <c r="P1848">
        <v>11.99</v>
      </c>
      <c r="Q1848">
        <v>14.99</v>
      </c>
      <c r="R1848">
        <v>11.99</v>
      </c>
      <c r="S1848">
        <v>17.989999999999998</v>
      </c>
      <c r="T1848" t="s">
        <v>9823</v>
      </c>
    </row>
    <row r="1849" spans="1:20">
      <c r="A1849">
        <v>1577486</v>
      </c>
      <c r="B1849" t="s">
        <v>9824</v>
      </c>
      <c r="C1849" t="str">
        <f>"9781550226973"</f>
        <v>9781550226973</v>
      </c>
      <c r="D1849" t="str">
        <f>"9781770905467"</f>
        <v>9781770905467</v>
      </c>
      <c r="E1849" t="s">
        <v>7707</v>
      </c>
      <c r="F1849" t="s">
        <v>7707</v>
      </c>
      <c r="G1849" s="1">
        <v>38971</v>
      </c>
      <c r="J1849" t="s">
        <v>9819</v>
      </c>
      <c r="K1849" t="s">
        <v>9825</v>
      </c>
      <c r="L1849" t="s">
        <v>9826</v>
      </c>
      <c r="M1849">
        <v>370</v>
      </c>
      <c r="N1849" t="s">
        <v>9827</v>
      </c>
      <c r="O1849" t="s">
        <v>26</v>
      </c>
      <c r="P1849">
        <v>11.99</v>
      </c>
      <c r="Q1849">
        <v>14.99</v>
      </c>
      <c r="R1849">
        <v>11.99</v>
      </c>
      <c r="S1849">
        <v>17.989999999999998</v>
      </c>
      <c r="T1849" t="s">
        <v>9828</v>
      </c>
    </row>
    <row r="1850" spans="1:20">
      <c r="A1850">
        <v>1577487</v>
      </c>
      <c r="B1850" t="s">
        <v>9829</v>
      </c>
      <c r="C1850" t="str">
        <f>"9781550226836"</f>
        <v>9781550226836</v>
      </c>
      <c r="D1850" t="str">
        <f>"9781554906833"</f>
        <v>9781554906833</v>
      </c>
      <c r="E1850" t="s">
        <v>7707</v>
      </c>
      <c r="F1850" t="s">
        <v>7707</v>
      </c>
      <c r="G1850" s="1">
        <v>38750</v>
      </c>
      <c r="I1850" t="s">
        <v>9830</v>
      </c>
      <c r="J1850" t="s">
        <v>9831</v>
      </c>
      <c r="K1850" t="s">
        <v>3270</v>
      </c>
      <c r="L1850" t="s">
        <v>9832</v>
      </c>
      <c r="M1850">
        <v>312</v>
      </c>
      <c r="N1850" t="s">
        <v>9833</v>
      </c>
      <c r="O1850" t="s">
        <v>26</v>
      </c>
      <c r="P1850">
        <v>11.99</v>
      </c>
      <c r="Q1850">
        <v>14.99</v>
      </c>
      <c r="R1850">
        <v>11.99</v>
      </c>
      <c r="S1850">
        <v>17.989999999999998</v>
      </c>
      <c r="T1850" t="s">
        <v>9834</v>
      </c>
    </row>
    <row r="1851" spans="1:20">
      <c r="A1851">
        <v>1577637</v>
      </c>
      <c r="B1851" t="s">
        <v>9835</v>
      </c>
      <c r="C1851" t="str">
        <f>"9780889228467"</f>
        <v>9780889228467</v>
      </c>
      <c r="D1851" t="str">
        <f>"9780889228474"</f>
        <v>9780889228474</v>
      </c>
      <c r="E1851" t="s">
        <v>9493</v>
      </c>
      <c r="F1851" t="s">
        <v>9493</v>
      </c>
      <c r="G1851" s="1">
        <v>41821</v>
      </c>
      <c r="J1851" t="s">
        <v>9836</v>
      </c>
      <c r="K1851" t="s">
        <v>1464</v>
      </c>
      <c r="L1851" t="s">
        <v>9837</v>
      </c>
      <c r="M1851" t="s">
        <v>8096</v>
      </c>
      <c r="N1851" t="s">
        <v>9838</v>
      </c>
      <c r="O1851" t="s">
        <v>26</v>
      </c>
      <c r="P1851">
        <v>16.95</v>
      </c>
      <c r="R1851">
        <v>16.95</v>
      </c>
      <c r="S1851">
        <v>25.43</v>
      </c>
      <c r="T1851" t="s">
        <v>9839</v>
      </c>
    </row>
    <row r="1852" spans="1:20">
      <c r="A1852">
        <v>1577662</v>
      </c>
      <c r="B1852" t="s">
        <v>9840</v>
      </c>
      <c r="C1852" t="str">
        <f>"9781552452882"</f>
        <v>9781552452882</v>
      </c>
      <c r="D1852" t="str">
        <f>"9781770563797"</f>
        <v>9781770563797</v>
      </c>
      <c r="E1852" t="s">
        <v>7779</v>
      </c>
      <c r="F1852" t="s">
        <v>7779</v>
      </c>
      <c r="G1852" s="1">
        <v>41708</v>
      </c>
      <c r="J1852" t="s">
        <v>9841</v>
      </c>
      <c r="K1852" t="s">
        <v>1464</v>
      </c>
      <c r="L1852" t="s">
        <v>9842</v>
      </c>
      <c r="M1852" t="s">
        <v>2738</v>
      </c>
      <c r="N1852" t="s">
        <v>7893</v>
      </c>
      <c r="O1852" t="s">
        <v>26</v>
      </c>
      <c r="P1852">
        <v>12.95</v>
      </c>
      <c r="R1852">
        <v>12.95</v>
      </c>
      <c r="S1852">
        <v>19.43</v>
      </c>
      <c r="T1852" t="s">
        <v>9843</v>
      </c>
    </row>
    <row r="1853" spans="1:20">
      <c r="A1853">
        <v>1577672</v>
      </c>
      <c r="B1853" t="s">
        <v>9844</v>
      </c>
      <c r="C1853" t="str">
        <f>"9781552452936"</f>
        <v>9781552452936</v>
      </c>
      <c r="D1853" t="str">
        <f>"9781770563698"</f>
        <v>9781770563698</v>
      </c>
      <c r="E1853" t="s">
        <v>7779</v>
      </c>
      <c r="F1853" t="s">
        <v>7779</v>
      </c>
      <c r="G1853" s="1">
        <v>41715</v>
      </c>
      <c r="J1853" t="s">
        <v>9845</v>
      </c>
      <c r="K1853" t="s">
        <v>1471</v>
      </c>
      <c r="L1853" t="s">
        <v>9846</v>
      </c>
      <c r="M1853">
        <v>759.11</v>
      </c>
      <c r="N1853" t="s">
        <v>9847</v>
      </c>
      <c r="O1853" t="s">
        <v>26</v>
      </c>
      <c r="P1853">
        <v>18.95</v>
      </c>
      <c r="R1853">
        <v>18.95</v>
      </c>
      <c r="S1853">
        <v>28.43</v>
      </c>
      <c r="T1853" t="s">
        <v>9848</v>
      </c>
    </row>
    <row r="1854" spans="1:20">
      <c r="A1854">
        <v>1577683</v>
      </c>
      <c r="B1854" t="s">
        <v>9849</v>
      </c>
      <c r="C1854" t="str">
        <f>"9781552452844"</f>
        <v>9781552452844</v>
      </c>
      <c r="D1854" t="str">
        <f>"9781770563636"</f>
        <v>9781770563636</v>
      </c>
      <c r="E1854" t="s">
        <v>7779</v>
      </c>
      <c r="F1854" t="s">
        <v>7779</v>
      </c>
      <c r="G1854" s="1">
        <v>41805</v>
      </c>
      <c r="I1854" t="s">
        <v>9850</v>
      </c>
      <c r="J1854" t="s">
        <v>9851</v>
      </c>
      <c r="K1854" t="s">
        <v>1471</v>
      </c>
      <c r="L1854" t="s">
        <v>9852</v>
      </c>
      <c r="M1854" t="s">
        <v>9853</v>
      </c>
      <c r="N1854" t="s">
        <v>9854</v>
      </c>
      <c r="O1854" t="s">
        <v>26</v>
      </c>
      <c r="P1854">
        <v>6.95</v>
      </c>
      <c r="R1854">
        <v>6.95</v>
      </c>
      <c r="S1854">
        <v>10.43</v>
      </c>
      <c r="T1854" t="s">
        <v>9855</v>
      </c>
    </row>
    <row r="1855" spans="1:20">
      <c r="A1855">
        <v>1577716</v>
      </c>
      <c r="B1855" t="s">
        <v>9856</v>
      </c>
      <c r="C1855" t="str">
        <f>"9781552452851"</f>
        <v>9781552452851</v>
      </c>
      <c r="D1855" t="str">
        <f>"9781770563650"</f>
        <v>9781770563650</v>
      </c>
      <c r="E1855" t="s">
        <v>7779</v>
      </c>
      <c r="F1855" t="s">
        <v>7779</v>
      </c>
      <c r="G1855" s="1">
        <v>41841</v>
      </c>
      <c r="I1855" t="s">
        <v>9850</v>
      </c>
      <c r="J1855" t="s">
        <v>9857</v>
      </c>
      <c r="K1855" t="s">
        <v>9858</v>
      </c>
      <c r="L1855" t="s">
        <v>9859</v>
      </c>
      <c r="M1855">
        <v>306.4812</v>
      </c>
      <c r="N1855" t="s">
        <v>9860</v>
      </c>
      <c r="O1855" t="s">
        <v>26</v>
      </c>
      <c r="P1855">
        <v>6.95</v>
      </c>
      <c r="R1855">
        <v>6.95</v>
      </c>
      <c r="S1855">
        <v>10.43</v>
      </c>
      <c r="T1855" t="s">
        <v>9861</v>
      </c>
    </row>
    <row r="1856" spans="1:20">
      <c r="A1856">
        <v>1580038</v>
      </c>
      <c r="B1856" t="s">
        <v>9862</v>
      </c>
      <c r="C1856" t="str">
        <f>"9781554691746"</f>
        <v>9781554691746</v>
      </c>
      <c r="D1856" t="str">
        <f>"9781551437545"</f>
        <v>9781551437545</v>
      </c>
      <c r="E1856" t="s">
        <v>4668</v>
      </c>
      <c r="F1856" t="s">
        <v>4668</v>
      </c>
      <c r="G1856" s="1">
        <v>39722</v>
      </c>
      <c r="J1856" t="s">
        <v>9863</v>
      </c>
      <c r="K1856" t="s">
        <v>1464</v>
      </c>
      <c r="L1856" t="s">
        <v>9864</v>
      </c>
      <c r="M1856" t="s">
        <v>4693</v>
      </c>
      <c r="N1856" t="s">
        <v>9865</v>
      </c>
      <c r="O1856" t="s">
        <v>26</v>
      </c>
      <c r="P1856">
        <v>9.99</v>
      </c>
      <c r="Q1856">
        <v>12.49</v>
      </c>
      <c r="R1856">
        <v>9.99</v>
      </c>
      <c r="T1856" t="s">
        <v>9866</v>
      </c>
    </row>
    <row r="1857" spans="1:20">
      <c r="A1857">
        <v>1581534</v>
      </c>
      <c r="B1857" t="s">
        <v>9867</v>
      </c>
      <c r="C1857" t="str">
        <f>"9789042036871"</f>
        <v>9789042036871</v>
      </c>
      <c r="D1857" t="str">
        <f>"9789401209465"</f>
        <v>9789401209465</v>
      </c>
      <c r="E1857" t="s">
        <v>9350</v>
      </c>
      <c r="F1857" t="s">
        <v>9350</v>
      </c>
      <c r="G1857" s="1">
        <v>41548</v>
      </c>
      <c r="I1857" t="s">
        <v>9868</v>
      </c>
      <c r="J1857" t="s">
        <v>9869</v>
      </c>
      <c r="K1857" t="s">
        <v>1464</v>
      </c>
      <c r="L1857" t="s">
        <v>9870</v>
      </c>
      <c r="M1857">
        <v>840.9</v>
      </c>
      <c r="N1857" t="s">
        <v>9871</v>
      </c>
      <c r="O1857" t="s">
        <v>94</v>
      </c>
      <c r="P1857">
        <v>114.75</v>
      </c>
      <c r="Q1857">
        <v>143.44</v>
      </c>
      <c r="R1857">
        <v>114.75</v>
      </c>
      <c r="S1857">
        <v>172.13</v>
      </c>
      <c r="T1857" t="s">
        <v>9872</v>
      </c>
    </row>
    <row r="1858" spans="1:20">
      <c r="A1858">
        <v>1584332</v>
      </c>
      <c r="B1858" t="s">
        <v>9873</v>
      </c>
      <c r="C1858" t="str">
        <f>"9780865717565"</f>
        <v>9780865717565</v>
      </c>
      <c r="D1858" t="str">
        <f>"9781550925548"</f>
        <v>9781550925548</v>
      </c>
      <c r="E1858" t="s">
        <v>249</v>
      </c>
      <c r="F1858" t="s">
        <v>249</v>
      </c>
      <c r="G1858" s="1">
        <v>41687</v>
      </c>
      <c r="J1858" t="s">
        <v>9874</v>
      </c>
      <c r="K1858" t="s">
        <v>76</v>
      </c>
      <c r="L1858" t="s">
        <v>9875</v>
      </c>
      <c r="M1858" t="s">
        <v>1102</v>
      </c>
      <c r="N1858" t="s">
        <v>9876</v>
      </c>
      <c r="O1858" t="s">
        <v>26</v>
      </c>
      <c r="P1858">
        <v>24.95</v>
      </c>
      <c r="R1858">
        <v>24.95</v>
      </c>
      <c r="S1858">
        <v>37.43</v>
      </c>
      <c r="T1858" t="s">
        <v>9877</v>
      </c>
    </row>
    <row r="1859" spans="1:20">
      <c r="A1859">
        <v>1584349</v>
      </c>
      <c r="B1859" t="s">
        <v>9878</v>
      </c>
      <c r="C1859" t="str">
        <f>"9780889222175"</f>
        <v>9780889222175</v>
      </c>
      <c r="D1859" t="str">
        <f>"9780889228801"</f>
        <v>9780889228801</v>
      </c>
      <c r="E1859" t="s">
        <v>9493</v>
      </c>
      <c r="F1859" t="s">
        <v>9493</v>
      </c>
      <c r="G1859" s="1">
        <v>41654</v>
      </c>
      <c r="I1859" t="s">
        <v>9879</v>
      </c>
      <c r="J1859" t="s">
        <v>9880</v>
      </c>
      <c r="K1859" t="s">
        <v>1464</v>
      </c>
      <c r="L1859" t="s">
        <v>9881</v>
      </c>
      <c r="M1859" t="s">
        <v>9882</v>
      </c>
      <c r="N1859" t="s">
        <v>9883</v>
      </c>
      <c r="O1859" t="s">
        <v>26</v>
      </c>
      <c r="P1859">
        <v>14.95</v>
      </c>
      <c r="R1859">
        <v>14.95</v>
      </c>
      <c r="S1859">
        <v>22.43</v>
      </c>
      <c r="T1859" t="s">
        <v>9884</v>
      </c>
    </row>
    <row r="1860" spans="1:20">
      <c r="A1860">
        <v>1589346</v>
      </c>
      <c r="B1860" t="s">
        <v>9885</v>
      </c>
      <c r="C1860" t="str">
        <f>"9780865717688"</f>
        <v>9780865717688</v>
      </c>
      <c r="D1860" t="str">
        <f>"9781550925593"</f>
        <v>9781550925593</v>
      </c>
      <c r="E1860" t="s">
        <v>249</v>
      </c>
      <c r="F1860" t="s">
        <v>249</v>
      </c>
      <c r="G1860" s="1">
        <v>41687</v>
      </c>
      <c r="J1860" t="s">
        <v>9886</v>
      </c>
      <c r="K1860" t="s">
        <v>550</v>
      </c>
      <c r="L1860" t="s">
        <v>9887</v>
      </c>
      <c r="M1860">
        <v>306.3</v>
      </c>
      <c r="N1860" t="s">
        <v>9888</v>
      </c>
      <c r="O1860" t="s">
        <v>26</v>
      </c>
      <c r="P1860">
        <v>16.95</v>
      </c>
      <c r="R1860">
        <v>16.95</v>
      </c>
      <c r="S1860">
        <v>25.43</v>
      </c>
      <c r="T1860" t="s">
        <v>9889</v>
      </c>
    </row>
    <row r="1861" spans="1:20">
      <c r="A1861">
        <v>1595365</v>
      </c>
      <c r="B1861" t="s">
        <v>9890</v>
      </c>
      <c r="C1861" t="str">
        <f>"9781443848268"</f>
        <v>9781443848268</v>
      </c>
      <c r="D1861" t="str">
        <f>"9781443855716"</f>
        <v>9781443855716</v>
      </c>
      <c r="E1861" t="s">
        <v>9307</v>
      </c>
      <c r="F1861" t="s">
        <v>9307</v>
      </c>
      <c r="G1861" s="1">
        <v>41456</v>
      </c>
      <c r="H1861">
        <v>1</v>
      </c>
      <c r="J1861" t="s">
        <v>9891</v>
      </c>
      <c r="K1861" t="s">
        <v>263</v>
      </c>
      <c r="L1861" t="s">
        <v>9892</v>
      </c>
      <c r="M1861">
        <v>306.09539999999998</v>
      </c>
      <c r="N1861" t="s">
        <v>9893</v>
      </c>
      <c r="O1861" t="s">
        <v>26</v>
      </c>
      <c r="P1861">
        <v>91.95</v>
      </c>
      <c r="R1861">
        <v>91.95</v>
      </c>
      <c r="T1861" t="s">
        <v>9894</v>
      </c>
    </row>
    <row r="1862" spans="1:20">
      <c r="A1862">
        <v>1609800</v>
      </c>
      <c r="B1862" t="s">
        <v>9895</v>
      </c>
      <c r="C1862" t="str">
        <f>"9780865717640"</f>
        <v>9780865717640</v>
      </c>
      <c r="D1862" t="str">
        <f>"9781550925579"</f>
        <v>9781550925579</v>
      </c>
      <c r="E1862" t="s">
        <v>249</v>
      </c>
      <c r="F1862" t="s">
        <v>249</v>
      </c>
      <c r="G1862" s="1">
        <v>41715</v>
      </c>
      <c r="J1862" t="s">
        <v>2642</v>
      </c>
      <c r="K1862" t="s">
        <v>6444</v>
      </c>
      <c r="L1862" t="s">
        <v>9896</v>
      </c>
      <c r="M1862">
        <v>973.93</v>
      </c>
      <c r="N1862" t="s">
        <v>9897</v>
      </c>
      <c r="O1862" t="s">
        <v>26</v>
      </c>
      <c r="P1862">
        <v>19.95</v>
      </c>
      <c r="R1862">
        <v>19.95</v>
      </c>
      <c r="S1862">
        <v>29.93</v>
      </c>
      <c r="T1862" t="s">
        <v>9898</v>
      </c>
    </row>
    <row r="1863" spans="1:20">
      <c r="A1863">
        <v>1609805</v>
      </c>
      <c r="B1863" t="s">
        <v>9899</v>
      </c>
      <c r="C1863" t="str">
        <f>"9780889221499"</f>
        <v>9780889221499</v>
      </c>
      <c r="D1863" t="str">
        <f>"9780889228863"</f>
        <v>9780889228863</v>
      </c>
      <c r="E1863" t="s">
        <v>9493</v>
      </c>
      <c r="F1863" t="s">
        <v>9493</v>
      </c>
      <c r="G1863" s="1">
        <v>41687</v>
      </c>
      <c r="J1863" t="s">
        <v>9813</v>
      </c>
      <c r="K1863" t="s">
        <v>291</v>
      </c>
      <c r="L1863" t="s">
        <v>9900</v>
      </c>
      <c r="M1863" t="s">
        <v>9901</v>
      </c>
      <c r="N1863" t="s">
        <v>9816</v>
      </c>
      <c r="O1863" t="s">
        <v>26</v>
      </c>
      <c r="P1863">
        <v>14.95</v>
      </c>
      <c r="R1863">
        <v>14.95</v>
      </c>
      <c r="S1863">
        <v>22.43</v>
      </c>
      <c r="T1863" t="s">
        <v>9902</v>
      </c>
    </row>
    <row r="1864" spans="1:20">
      <c r="A1864">
        <v>1619719</v>
      </c>
      <c r="B1864" t="s">
        <v>9903</v>
      </c>
      <c r="C1864" t="str">
        <f>"9781459804319"</f>
        <v>9781459804319</v>
      </c>
      <c r="D1864" t="str">
        <f>"9781459804326"</f>
        <v>9781459804326</v>
      </c>
      <c r="E1864" t="s">
        <v>4668</v>
      </c>
      <c r="F1864" t="s">
        <v>4668</v>
      </c>
      <c r="G1864" s="1">
        <v>41699</v>
      </c>
      <c r="I1864" t="s">
        <v>9717</v>
      </c>
      <c r="J1864" t="s">
        <v>5499</v>
      </c>
      <c r="K1864" t="s">
        <v>1464</v>
      </c>
      <c r="L1864" t="s">
        <v>9904</v>
      </c>
      <c r="M1864" t="s">
        <v>1460</v>
      </c>
      <c r="N1864" t="s">
        <v>9905</v>
      </c>
      <c r="O1864" t="s">
        <v>26</v>
      </c>
      <c r="P1864">
        <v>9.99</v>
      </c>
      <c r="Q1864">
        <v>12.49</v>
      </c>
      <c r="R1864">
        <v>9.99</v>
      </c>
      <c r="T1864" t="s">
        <v>9906</v>
      </c>
    </row>
    <row r="1865" spans="1:20">
      <c r="A1865">
        <v>1619720</v>
      </c>
      <c r="B1865" t="s">
        <v>9907</v>
      </c>
      <c r="C1865" t="str">
        <f>"9781459804814"</f>
        <v>9781459804814</v>
      </c>
      <c r="D1865" t="str">
        <f>"9781459804821"</f>
        <v>9781459804821</v>
      </c>
      <c r="E1865" t="s">
        <v>4668</v>
      </c>
      <c r="F1865" t="s">
        <v>4668</v>
      </c>
      <c r="G1865" s="1">
        <v>41730</v>
      </c>
      <c r="J1865" t="s">
        <v>8195</v>
      </c>
      <c r="K1865" t="s">
        <v>1464</v>
      </c>
      <c r="L1865" t="s">
        <v>9908</v>
      </c>
      <c r="M1865" t="s">
        <v>1509</v>
      </c>
      <c r="N1865" t="s">
        <v>9909</v>
      </c>
      <c r="O1865" t="s">
        <v>26</v>
      </c>
      <c r="P1865">
        <v>9.99</v>
      </c>
      <c r="Q1865">
        <v>12.49</v>
      </c>
      <c r="R1865">
        <v>9.99</v>
      </c>
      <c r="T1865" t="s">
        <v>9910</v>
      </c>
    </row>
    <row r="1866" spans="1:20">
      <c r="A1866">
        <v>1619721</v>
      </c>
      <c r="B1866" t="s">
        <v>9911</v>
      </c>
      <c r="C1866" t="str">
        <f>"9781459805521"</f>
        <v>9781459805521</v>
      </c>
      <c r="D1866" t="str">
        <f>"9781459805538"</f>
        <v>9781459805538</v>
      </c>
      <c r="E1866" t="s">
        <v>4668</v>
      </c>
      <c r="F1866" t="s">
        <v>4668</v>
      </c>
      <c r="G1866" s="1">
        <v>41730</v>
      </c>
      <c r="I1866" t="s">
        <v>5056</v>
      </c>
      <c r="J1866" t="s">
        <v>8662</v>
      </c>
      <c r="K1866" t="s">
        <v>1464</v>
      </c>
      <c r="L1866" t="s">
        <v>9912</v>
      </c>
      <c r="M1866" t="s">
        <v>1509</v>
      </c>
      <c r="N1866" t="s">
        <v>9913</v>
      </c>
      <c r="O1866" t="s">
        <v>26</v>
      </c>
      <c r="P1866">
        <v>9.99</v>
      </c>
      <c r="Q1866">
        <v>12.49</v>
      </c>
      <c r="R1866">
        <v>9.99</v>
      </c>
      <c r="T1866" t="s">
        <v>9914</v>
      </c>
    </row>
    <row r="1867" spans="1:20">
      <c r="A1867">
        <v>1619722</v>
      </c>
      <c r="B1867" t="s">
        <v>9915</v>
      </c>
      <c r="C1867" t="str">
        <f>"9781459804845"</f>
        <v>9781459804845</v>
      </c>
      <c r="D1867" t="str">
        <f>"9781459804852"</f>
        <v>9781459804852</v>
      </c>
      <c r="E1867" t="s">
        <v>4668</v>
      </c>
      <c r="F1867" t="s">
        <v>4668</v>
      </c>
      <c r="G1867" s="1">
        <v>41730</v>
      </c>
      <c r="J1867" t="s">
        <v>9475</v>
      </c>
      <c r="K1867" t="s">
        <v>1464</v>
      </c>
      <c r="L1867" t="s">
        <v>9916</v>
      </c>
      <c r="M1867" t="s">
        <v>1509</v>
      </c>
      <c r="N1867" t="s">
        <v>9917</v>
      </c>
      <c r="O1867" t="s">
        <v>26</v>
      </c>
      <c r="P1867">
        <v>9.99</v>
      </c>
      <c r="Q1867">
        <v>12.49</v>
      </c>
      <c r="R1867">
        <v>9.99</v>
      </c>
      <c r="T1867" t="s">
        <v>9918</v>
      </c>
    </row>
    <row r="1868" spans="1:20">
      <c r="A1868">
        <v>1619723</v>
      </c>
      <c r="B1868" t="s">
        <v>9919</v>
      </c>
      <c r="C1868" t="str">
        <f>"9781459802674"</f>
        <v>9781459802674</v>
      </c>
      <c r="D1868" t="str">
        <f>"9781459802681"</f>
        <v>9781459802681</v>
      </c>
      <c r="E1868" t="s">
        <v>4668</v>
      </c>
      <c r="F1868" t="s">
        <v>4668</v>
      </c>
      <c r="G1868" s="1">
        <v>41730</v>
      </c>
      <c r="J1868" t="s">
        <v>9728</v>
      </c>
      <c r="K1868" t="s">
        <v>1464</v>
      </c>
      <c r="L1868" t="s">
        <v>9920</v>
      </c>
      <c r="M1868" t="s">
        <v>1509</v>
      </c>
      <c r="N1868" t="s">
        <v>9921</v>
      </c>
      <c r="O1868" t="s">
        <v>26</v>
      </c>
      <c r="P1868">
        <v>14.99</v>
      </c>
      <c r="Q1868">
        <v>18.739999999999998</v>
      </c>
      <c r="R1868">
        <v>14.99</v>
      </c>
      <c r="T1868" t="s">
        <v>9922</v>
      </c>
    </row>
    <row r="1869" spans="1:20">
      <c r="A1869">
        <v>1619724</v>
      </c>
      <c r="B1869" t="s">
        <v>9923</v>
      </c>
      <c r="C1869" t="str">
        <f>"9781459805651"</f>
        <v>9781459805651</v>
      </c>
      <c r="D1869" t="str">
        <f>"9781459805675"</f>
        <v>9781459805675</v>
      </c>
      <c r="E1869" t="s">
        <v>4668</v>
      </c>
      <c r="F1869" t="s">
        <v>4668</v>
      </c>
      <c r="G1869" s="1">
        <v>41699</v>
      </c>
      <c r="I1869" t="s">
        <v>5056</v>
      </c>
      <c r="J1869" t="s">
        <v>9924</v>
      </c>
      <c r="K1869" t="s">
        <v>1464</v>
      </c>
      <c r="L1869" t="s">
        <v>9925</v>
      </c>
      <c r="M1869" t="s">
        <v>1509</v>
      </c>
      <c r="N1869" t="s">
        <v>9926</v>
      </c>
      <c r="O1869" t="s">
        <v>26</v>
      </c>
      <c r="P1869">
        <v>9.99</v>
      </c>
      <c r="Q1869">
        <v>12.49</v>
      </c>
      <c r="R1869">
        <v>9.99</v>
      </c>
      <c r="T1869" t="s">
        <v>9927</v>
      </c>
    </row>
    <row r="1870" spans="1:20">
      <c r="A1870">
        <v>1619725</v>
      </c>
      <c r="B1870" t="s">
        <v>9928</v>
      </c>
      <c r="C1870" t="str">
        <f>"9781459804289"</f>
        <v>9781459804289</v>
      </c>
      <c r="D1870" t="str">
        <f>"9781459804296"</f>
        <v>9781459804296</v>
      </c>
      <c r="E1870" t="s">
        <v>4668</v>
      </c>
      <c r="F1870" t="s">
        <v>4668</v>
      </c>
      <c r="G1870" s="1">
        <v>41699</v>
      </c>
      <c r="I1870" t="s">
        <v>9717</v>
      </c>
      <c r="J1870" t="s">
        <v>5512</v>
      </c>
      <c r="K1870" t="s">
        <v>1464</v>
      </c>
      <c r="L1870" t="s">
        <v>9929</v>
      </c>
      <c r="M1870" t="s">
        <v>1509</v>
      </c>
      <c r="N1870" t="s">
        <v>9930</v>
      </c>
      <c r="O1870" t="s">
        <v>26</v>
      </c>
      <c r="P1870">
        <v>9.99</v>
      </c>
      <c r="Q1870">
        <v>12.49</v>
      </c>
      <c r="R1870">
        <v>9.99</v>
      </c>
      <c r="T1870" t="s">
        <v>9931</v>
      </c>
    </row>
    <row r="1871" spans="1:20">
      <c r="A1871">
        <v>1619726</v>
      </c>
      <c r="B1871" t="s">
        <v>9932</v>
      </c>
      <c r="C1871" t="str">
        <f>"9781459804753"</f>
        <v>9781459804753</v>
      </c>
      <c r="D1871" t="str">
        <f>"9781459804760"</f>
        <v>9781459804760</v>
      </c>
      <c r="E1871" t="s">
        <v>4668</v>
      </c>
      <c r="F1871" t="s">
        <v>4668</v>
      </c>
      <c r="G1871" s="1">
        <v>41730</v>
      </c>
      <c r="J1871" t="s">
        <v>9933</v>
      </c>
      <c r="K1871" t="s">
        <v>1464</v>
      </c>
      <c r="L1871" t="s">
        <v>9934</v>
      </c>
      <c r="M1871" t="s">
        <v>1509</v>
      </c>
      <c r="N1871" t="s">
        <v>9935</v>
      </c>
      <c r="O1871" t="s">
        <v>26</v>
      </c>
      <c r="P1871">
        <v>12.99</v>
      </c>
      <c r="Q1871">
        <v>16.239999999999998</v>
      </c>
      <c r="R1871">
        <v>12.99</v>
      </c>
      <c r="T1871" t="s">
        <v>9936</v>
      </c>
    </row>
    <row r="1872" spans="1:20">
      <c r="A1872">
        <v>1619727</v>
      </c>
      <c r="B1872" t="s">
        <v>9937</v>
      </c>
      <c r="C1872" t="str">
        <f>"9781459802230"</f>
        <v>9781459802230</v>
      </c>
      <c r="D1872" t="str">
        <f>"9781459802247"</f>
        <v>9781459802247</v>
      </c>
      <c r="E1872" t="s">
        <v>4668</v>
      </c>
      <c r="F1872" t="s">
        <v>4668</v>
      </c>
      <c r="G1872" s="1">
        <v>41730</v>
      </c>
      <c r="I1872" t="s">
        <v>9938</v>
      </c>
      <c r="J1872" t="s">
        <v>5627</v>
      </c>
      <c r="K1872" t="s">
        <v>9939</v>
      </c>
      <c r="L1872" t="s">
        <v>9940</v>
      </c>
      <c r="M1872">
        <v>333.91</v>
      </c>
      <c r="N1872" t="s">
        <v>9941</v>
      </c>
      <c r="O1872" t="s">
        <v>26</v>
      </c>
      <c r="P1872">
        <v>19.989999999999998</v>
      </c>
      <c r="Q1872">
        <v>24.99</v>
      </c>
      <c r="R1872">
        <v>19.989999999999998</v>
      </c>
      <c r="T1872" t="s">
        <v>9942</v>
      </c>
    </row>
    <row r="1873" spans="1:20">
      <c r="A1873">
        <v>1619728</v>
      </c>
      <c r="B1873" t="s">
        <v>9943</v>
      </c>
      <c r="C1873" t="str">
        <f>"9781459802407"</f>
        <v>9781459802407</v>
      </c>
      <c r="D1873" t="str">
        <f>"9781459802414"</f>
        <v>9781459802414</v>
      </c>
      <c r="E1873" t="s">
        <v>4668</v>
      </c>
      <c r="F1873" t="s">
        <v>4668</v>
      </c>
      <c r="G1873" s="1">
        <v>41730</v>
      </c>
      <c r="J1873" t="s">
        <v>9944</v>
      </c>
      <c r="K1873" t="s">
        <v>1464</v>
      </c>
      <c r="L1873" t="s">
        <v>9945</v>
      </c>
      <c r="M1873" t="s">
        <v>1460</v>
      </c>
      <c r="N1873" t="s">
        <v>9946</v>
      </c>
      <c r="O1873" t="s">
        <v>26</v>
      </c>
      <c r="P1873">
        <v>9.99</v>
      </c>
      <c r="Q1873">
        <v>12.49</v>
      </c>
      <c r="R1873">
        <v>9.99</v>
      </c>
      <c r="T1873" t="s">
        <v>9947</v>
      </c>
    </row>
    <row r="1874" spans="1:20">
      <c r="A1874">
        <v>1619730</v>
      </c>
      <c r="B1874" t="s">
        <v>9948</v>
      </c>
      <c r="C1874" t="str">
        <f>"9781459804906"</f>
        <v>9781459804906</v>
      </c>
      <c r="D1874" t="str">
        <f>"9781459804913"</f>
        <v>9781459804913</v>
      </c>
      <c r="E1874" t="s">
        <v>4668</v>
      </c>
      <c r="F1874" t="s">
        <v>8157</v>
      </c>
      <c r="G1874" s="1">
        <v>41730</v>
      </c>
      <c r="I1874" t="s">
        <v>8158</v>
      </c>
      <c r="J1874" t="s">
        <v>8929</v>
      </c>
      <c r="K1874" t="s">
        <v>1464</v>
      </c>
      <c r="L1874" t="s">
        <v>9949</v>
      </c>
      <c r="M1874" t="s">
        <v>1509</v>
      </c>
      <c r="N1874" t="s">
        <v>9950</v>
      </c>
      <c r="O1874" t="s">
        <v>26</v>
      </c>
      <c r="P1874">
        <v>9.99</v>
      </c>
      <c r="Q1874">
        <v>12.49</v>
      </c>
      <c r="R1874">
        <v>9.99</v>
      </c>
      <c r="T1874" t="s">
        <v>9951</v>
      </c>
    </row>
    <row r="1875" spans="1:20">
      <c r="A1875">
        <v>1619731</v>
      </c>
      <c r="B1875" t="s">
        <v>9952</v>
      </c>
      <c r="C1875" t="str">
        <f>"9781459802834"</f>
        <v>9781459802834</v>
      </c>
      <c r="D1875" t="str">
        <f>"9781459802841"</f>
        <v>9781459802841</v>
      </c>
      <c r="E1875" t="s">
        <v>4668</v>
      </c>
      <c r="F1875" t="s">
        <v>4668</v>
      </c>
      <c r="G1875" s="1">
        <v>41760</v>
      </c>
      <c r="I1875" t="s">
        <v>4703</v>
      </c>
      <c r="J1875" t="s">
        <v>9953</v>
      </c>
      <c r="K1875" t="s">
        <v>1464</v>
      </c>
      <c r="L1875" t="s">
        <v>9954</v>
      </c>
      <c r="M1875" t="s">
        <v>1509</v>
      </c>
      <c r="N1875" t="s">
        <v>9955</v>
      </c>
      <c r="O1875" t="s">
        <v>26</v>
      </c>
      <c r="P1875">
        <v>6.99</v>
      </c>
      <c r="Q1875">
        <v>8.74</v>
      </c>
      <c r="R1875">
        <v>6.99</v>
      </c>
      <c r="T1875" t="s">
        <v>9956</v>
      </c>
    </row>
    <row r="1876" spans="1:20">
      <c r="A1876">
        <v>1619732</v>
      </c>
      <c r="B1876" t="s">
        <v>9957</v>
      </c>
      <c r="C1876" t="str">
        <f>"9781459804166"</f>
        <v>9781459804166</v>
      </c>
      <c r="D1876" t="str">
        <f>"9781459804173"</f>
        <v>9781459804173</v>
      </c>
      <c r="E1876" t="s">
        <v>4668</v>
      </c>
      <c r="F1876" t="s">
        <v>4668</v>
      </c>
      <c r="G1876" s="1">
        <v>41699</v>
      </c>
      <c r="I1876" t="s">
        <v>8244</v>
      </c>
      <c r="J1876" t="s">
        <v>9958</v>
      </c>
      <c r="K1876" t="s">
        <v>1464</v>
      </c>
      <c r="L1876" t="s">
        <v>9959</v>
      </c>
      <c r="M1876" t="s">
        <v>1509</v>
      </c>
      <c r="N1876" t="s">
        <v>9913</v>
      </c>
      <c r="O1876" t="s">
        <v>26</v>
      </c>
      <c r="P1876">
        <v>9.99</v>
      </c>
      <c r="Q1876">
        <v>12.49</v>
      </c>
      <c r="R1876">
        <v>9.99</v>
      </c>
      <c r="T1876" t="s">
        <v>9960</v>
      </c>
    </row>
    <row r="1877" spans="1:20">
      <c r="A1877">
        <v>1619733</v>
      </c>
      <c r="B1877" t="s">
        <v>9961</v>
      </c>
      <c r="C1877" t="str">
        <f>"9781459803688"</f>
        <v>9781459803688</v>
      </c>
      <c r="D1877" t="str">
        <f>"9781459803695"</f>
        <v>9781459803695</v>
      </c>
      <c r="E1877" t="s">
        <v>4668</v>
      </c>
      <c r="F1877" t="s">
        <v>4668</v>
      </c>
      <c r="G1877" s="1">
        <v>41730</v>
      </c>
      <c r="J1877" t="s">
        <v>9962</v>
      </c>
      <c r="K1877" t="s">
        <v>1464</v>
      </c>
      <c r="L1877" t="s">
        <v>9963</v>
      </c>
      <c r="M1877" t="s">
        <v>1509</v>
      </c>
      <c r="N1877" t="s">
        <v>9964</v>
      </c>
      <c r="O1877" t="s">
        <v>26</v>
      </c>
      <c r="P1877">
        <v>12.99</v>
      </c>
      <c r="Q1877">
        <v>16.239999999999998</v>
      </c>
      <c r="R1877">
        <v>12.99</v>
      </c>
      <c r="T1877" t="s">
        <v>9965</v>
      </c>
    </row>
    <row r="1878" spans="1:20">
      <c r="A1878">
        <v>1619734</v>
      </c>
      <c r="B1878" t="s">
        <v>9966</v>
      </c>
      <c r="C1878" t="str">
        <f>"9781459806986"</f>
        <v>9781459806986</v>
      </c>
      <c r="D1878" t="str">
        <f>"9781459806993"</f>
        <v>9781459806993</v>
      </c>
      <c r="E1878" t="s">
        <v>4668</v>
      </c>
      <c r="F1878" t="s">
        <v>4668</v>
      </c>
      <c r="G1878" s="1">
        <v>41730</v>
      </c>
      <c r="I1878" t="s">
        <v>4685</v>
      </c>
      <c r="J1878" t="s">
        <v>3584</v>
      </c>
      <c r="K1878" t="s">
        <v>9967</v>
      </c>
      <c r="L1878" t="s">
        <v>9968</v>
      </c>
      <c r="M1878" t="s">
        <v>1460</v>
      </c>
      <c r="N1878" t="s">
        <v>9969</v>
      </c>
      <c r="O1878" t="s">
        <v>26</v>
      </c>
      <c r="P1878">
        <v>9.99</v>
      </c>
      <c r="Q1878">
        <v>12.49</v>
      </c>
      <c r="R1878">
        <v>9.99</v>
      </c>
      <c r="T1878" t="s">
        <v>9970</v>
      </c>
    </row>
    <row r="1879" spans="1:20">
      <c r="A1879">
        <v>1619735</v>
      </c>
      <c r="B1879" t="s">
        <v>9971</v>
      </c>
      <c r="C1879" t="str">
        <f>"9781459803886"</f>
        <v>9781459803886</v>
      </c>
      <c r="D1879" t="str">
        <f>"9781459803893"</f>
        <v>9781459803893</v>
      </c>
      <c r="E1879" t="s">
        <v>4668</v>
      </c>
      <c r="F1879" t="s">
        <v>4668</v>
      </c>
      <c r="G1879" s="1">
        <v>41699</v>
      </c>
      <c r="I1879" t="s">
        <v>8244</v>
      </c>
      <c r="J1879" t="s">
        <v>8245</v>
      </c>
      <c r="K1879" t="s">
        <v>1464</v>
      </c>
      <c r="L1879" t="s">
        <v>9972</v>
      </c>
      <c r="M1879" t="s">
        <v>1509</v>
      </c>
      <c r="N1879" t="s">
        <v>9973</v>
      </c>
      <c r="O1879" t="s">
        <v>26</v>
      </c>
      <c r="P1879">
        <v>9.99</v>
      </c>
      <c r="Q1879">
        <v>12.49</v>
      </c>
      <c r="R1879">
        <v>9.99</v>
      </c>
      <c r="T1879" t="s">
        <v>9974</v>
      </c>
    </row>
    <row r="1880" spans="1:20">
      <c r="A1880">
        <v>1619736</v>
      </c>
      <c r="B1880" t="s">
        <v>9975</v>
      </c>
      <c r="C1880" t="str">
        <f>"9781459804999"</f>
        <v>9781459804999</v>
      </c>
      <c r="D1880" t="str">
        <f>"9781459805002"</f>
        <v>9781459805002</v>
      </c>
      <c r="E1880" t="s">
        <v>4668</v>
      </c>
      <c r="F1880" t="s">
        <v>4668</v>
      </c>
      <c r="G1880" s="1">
        <v>41760</v>
      </c>
      <c r="I1880" t="s">
        <v>4703</v>
      </c>
      <c r="J1880" t="s">
        <v>9976</v>
      </c>
      <c r="K1880" t="s">
        <v>1464</v>
      </c>
      <c r="L1880" t="s">
        <v>9977</v>
      </c>
      <c r="M1880" t="s">
        <v>1460</v>
      </c>
      <c r="N1880" t="s">
        <v>9978</v>
      </c>
      <c r="O1880" t="s">
        <v>26</v>
      </c>
      <c r="P1880">
        <v>6.99</v>
      </c>
      <c r="Q1880">
        <v>8.74</v>
      </c>
      <c r="R1880">
        <v>6.99</v>
      </c>
      <c r="T1880" t="s">
        <v>9979</v>
      </c>
    </row>
    <row r="1881" spans="1:20">
      <c r="A1881">
        <v>1619737</v>
      </c>
      <c r="B1881" t="s">
        <v>9980</v>
      </c>
      <c r="C1881" t="str">
        <f>"9781459806498"</f>
        <v>9781459806498</v>
      </c>
      <c r="D1881" t="str">
        <f>"9781459806511"</f>
        <v>9781459806511</v>
      </c>
      <c r="E1881" t="s">
        <v>4668</v>
      </c>
      <c r="F1881" t="s">
        <v>4668</v>
      </c>
      <c r="G1881" s="1">
        <v>41730</v>
      </c>
      <c r="I1881" t="s">
        <v>4685</v>
      </c>
      <c r="J1881" t="s">
        <v>9449</v>
      </c>
      <c r="K1881" t="s">
        <v>1464</v>
      </c>
      <c r="L1881" t="s">
        <v>9981</v>
      </c>
      <c r="M1881" t="s">
        <v>1460</v>
      </c>
      <c r="N1881" t="s">
        <v>9982</v>
      </c>
      <c r="O1881" t="s">
        <v>26</v>
      </c>
      <c r="P1881">
        <v>9.99</v>
      </c>
      <c r="Q1881">
        <v>12.49</v>
      </c>
      <c r="R1881">
        <v>9.99</v>
      </c>
      <c r="T1881" t="s">
        <v>9983</v>
      </c>
    </row>
    <row r="1882" spans="1:20">
      <c r="A1882">
        <v>1619738</v>
      </c>
      <c r="B1882" t="s">
        <v>9984</v>
      </c>
      <c r="C1882" t="str">
        <f>"9781459805149"</f>
        <v>9781459805149</v>
      </c>
      <c r="D1882" t="str">
        <f>"9781459805156"</f>
        <v>9781459805156</v>
      </c>
      <c r="E1882" t="s">
        <v>4668</v>
      </c>
      <c r="F1882" t="s">
        <v>8157</v>
      </c>
      <c r="G1882" s="1">
        <v>41730</v>
      </c>
      <c r="I1882" t="s">
        <v>8158</v>
      </c>
      <c r="J1882" t="s">
        <v>8690</v>
      </c>
      <c r="K1882" t="s">
        <v>1464</v>
      </c>
      <c r="L1882" t="s">
        <v>9985</v>
      </c>
      <c r="M1882" t="s">
        <v>1460</v>
      </c>
      <c r="N1882" t="s">
        <v>9986</v>
      </c>
      <c r="O1882" t="s">
        <v>26</v>
      </c>
      <c r="P1882">
        <v>9.99</v>
      </c>
      <c r="Q1882">
        <v>12.49</v>
      </c>
      <c r="R1882">
        <v>9.99</v>
      </c>
      <c r="T1882" t="s">
        <v>9987</v>
      </c>
    </row>
    <row r="1883" spans="1:20">
      <c r="A1883">
        <v>1619739</v>
      </c>
      <c r="B1883" t="s">
        <v>9988</v>
      </c>
      <c r="C1883" t="str">
        <f>"9781459805699"</f>
        <v>9781459805699</v>
      </c>
      <c r="D1883" t="str">
        <f>"9781459805712"</f>
        <v>9781459805712</v>
      </c>
      <c r="E1883" t="s">
        <v>4668</v>
      </c>
      <c r="F1883" t="s">
        <v>4668</v>
      </c>
      <c r="G1883" s="1">
        <v>41699</v>
      </c>
      <c r="I1883" t="s">
        <v>5056</v>
      </c>
      <c r="J1883" t="s">
        <v>9989</v>
      </c>
      <c r="K1883" t="s">
        <v>1464</v>
      </c>
      <c r="L1883" t="s">
        <v>9990</v>
      </c>
      <c r="M1883" t="s">
        <v>1509</v>
      </c>
      <c r="N1883" t="s">
        <v>9991</v>
      </c>
      <c r="O1883" t="s">
        <v>26</v>
      </c>
      <c r="P1883">
        <v>9.99</v>
      </c>
      <c r="Q1883">
        <v>12.49</v>
      </c>
      <c r="R1883">
        <v>9.99</v>
      </c>
      <c r="T1883" t="s">
        <v>9992</v>
      </c>
    </row>
    <row r="1884" spans="1:20">
      <c r="A1884">
        <v>1619740</v>
      </c>
      <c r="B1884" t="s">
        <v>9993</v>
      </c>
      <c r="C1884" t="str">
        <f>"9781459804616"</f>
        <v>9781459804616</v>
      </c>
      <c r="D1884" t="str">
        <f>"9781459804623"</f>
        <v>9781459804623</v>
      </c>
      <c r="E1884" t="s">
        <v>4668</v>
      </c>
      <c r="F1884" t="s">
        <v>4668</v>
      </c>
      <c r="G1884" s="1">
        <v>41699</v>
      </c>
      <c r="I1884" t="s">
        <v>9717</v>
      </c>
      <c r="J1884" t="s">
        <v>8959</v>
      </c>
      <c r="K1884" t="s">
        <v>1464</v>
      </c>
      <c r="L1884" t="s">
        <v>9994</v>
      </c>
      <c r="M1884" t="s">
        <v>1509</v>
      </c>
      <c r="N1884" t="s">
        <v>9995</v>
      </c>
      <c r="O1884" t="s">
        <v>26</v>
      </c>
      <c r="P1884">
        <v>9.99</v>
      </c>
      <c r="Q1884">
        <v>12.49</v>
      </c>
      <c r="R1884">
        <v>9.99</v>
      </c>
      <c r="T1884" t="s">
        <v>9996</v>
      </c>
    </row>
    <row r="1885" spans="1:20">
      <c r="A1885">
        <v>1619741</v>
      </c>
      <c r="B1885" t="s">
        <v>9997</v>
      </c>
      <c r="C1885" t="str">
        <f>"9781554698912"</f>
        <v>9781554698912</v>
      </c>
      <c r="D1885" t="str">
        <f>"9781554698929"</f>
        <v>9781554698929</v>
      </c>
      <c r="E1885" t="s">
        <v>4668</v>
      </c>
      <c r="F1885" t="s">
        <v>4668</v>
      </c>
      <c r="G1885" s="1">
        <v>41730</v>
      </c>
      <c r="J1885" t="s">
        <v>9998</v>
      </c>
      <c r="K1885" t="s">
        <v>1464</v>
      </c>
      <c r="L1885" t="s">
        <v>9999</v>
      </c>
      <c r="M1885" t="s">
        <v>1460</v>
      </c>
      <c r="N1885" t="s">
        <v>10000</v>
      </c>
      <c r="O1885" t="s">
        <v>26</v>
      </c>
      <c r="P1885">
        <v>19.989999999999998</v>
      </c>
      <c r="Q1885">
        <v>24.99</v>
      </c>
      <c r="R1885">
        <v>19.989999999999998</v>
      </c>
      <c r="T1885" t="s">
        <v>10001</v>
      </c>
    </row>
    <row r="1886" spans="1:20">
      <c r="A1886">
        <v>1619742</v>
      </c>
      <c r="B1886" t="s">
        <v>10002</v>
      </c>
      <c r="C1886" t="str">
        <f>"9781459803466"</f>
        <v>9781459803466</v>
      </c>
      <c r="D1886" t="str">
        <f>"9781459803473"</f>
        <v>9781459803473</v>
      </c>
      <c r="E1886" t="s">
        <v>4668</v>
      </c>
      <c r="F1886" t="s">
        <v>4668</v>
      </c>
      <c r="G1886" s="1">
        <v>41760</v>
      </c>
      <c r="I1886" t="s">
        <v>4703</v>
      </c>
      <c r="J1886" t="s">
        <v>10003</v>
      </c>
      <c r="K1886" t="s">
        <v>1464</v>
      </c>
      <c r="L1886" t="s">
        <v>10004</v>
      </c>
      <c r="M1886">
        <v>813.52</v>
      </c>
      <c r="N1886" t="s">
        <v>10005</v>
      </c>
      <c r="O1886" t="s">
        <v>26</v>
      </c>
      <c r="P1886">
        <v>6.99</v>
      </c>
      <c r="Q1886">
        <v>8.74</v>
      </c>
      <c r="R1886">
        <v>6.99</v>
      </c>
      <c r="T1886" t="s">
        <v>10006</v>
      </c>
    </row>
    <row r="1887" spans="1:20">
      <c r="A1887">
        <v>1619743</v>
      </c>
      <c r="B1887" t="s">
        <v>10007</v>
      </c>
      <c r="C1887" t="str">
        <f>"9781459803916"</f>
        <v>9781459803916</v>
      </c>
      <c r="D1887" t="str">
        <f>"9781459803923"</f>
        <v>9781459803923</v>
      </c>
      <c r="E1887" t="s">
        <v>4668</v>
      </c>
      <c r="F1887" t="s">
        <v>4668</v>
      </c>
      <c r="G1887" s="1">
        <v>41699</v>
      </c>
      <c r="J1887" t="s">
        <v>5708</v>
      </c>
      <c r="K1887" t="s">
        <v>1464</v>
      </c>
      <c r="L1887" t="s">
        <v>10008</v>
      </c>
      <c r="M1887" t="s">
        <v>1509</v>
      </c>
      <c r="N1887" t="s">
        <v>10009</v>
      </c>
      <c r="O1887" t="s">
        <v>26</v>
      </c>
      <c r="P1887">
        <v>12.99</v>
      </c>
      <c r="Q1887">
        <v>16.239999999999998</v>
      </c>
      <c r="R1887">
        <v>12.99</v>
      </c>
      <c r="T1887" t="s">
        <v>10010</v>
      </c>
    </row>
    <row r="1888" spans="1:20">
      <c r="A1888">
        <v>1630203</v>
      </c>
      <c r="B1888" t="s">
        <v>10011</v>
      </c>
      <c r="C1888" t="str">
        <f>"9780889221505"</f>
        <v>9780889221505</v>
      </c>
      <c r="D1888" t="str">
        <f>"9780889228870"</f>
        <v>9780889228870</v>
      </c>
      <c r="E1888" t="s">
        <v>9493</v>
      </c>
      <c r="F1888" t="s">
        <v>9493</v>
      </c>
      <c r="G1888" s="1">
        <v>41687</v>
      </c>
      <c r="J1888" t="s">
        <v>9813</v>
      </c>
      <c r="K1888" t="s">
        <v>291</v>
      </c>
      <c r="L1888" t="s">
        <v>10012</v>
      </c>
      <c r="M1888" t="s">
        <v>9901</v>
      </c>
      <c r="N1888" t="s">
        <v>9816</v>
      </c>
      <c r="O1888" t="s">
        <v>26</v>
      </c>
      <c r="P1888">
        <v>14.95</v>
      </c>
      <c r="R1888">
        <v>14.95</v>
      </c>
      <c r="S1888">
        <v>22.43</v>
      </c>
      <c r="T1888" t="s">
        <v>10013</v>
      </c>
    </row>
    <row r="1889" spans="1:20">
      <c r="A1889">
        <v>1632545</v>
      </c>
      <c r="B1889" t="s">
        <v>10014</v>
      </c>
      <c r="C1889" t="str">
        <f>"9782875740540"</f>
        <v>9782875740540</v>
      </c>
      <c r="D1889" t="str">
        <f>"9783035263053"</f>
        <v>9783035263053</v>
      </c>
      <c r="E1889" t="s">
        <v>9273</v>
      </c>
      <c r="F1889" t="s">
        <v>9273</v>
      </c>
      <c r="G1889" s="1">
        <v>41612</v>
      </c>
      <c r="I1889" t="s">
        <v>9274</v>
      </c>
      <c r="J1889" t="s">
        <v>10015</v>
      </c>
      <c r="K1889" t="s">
        <v>291</v>
      </c>
      <c r="L1889" t="s">
        <v>10016</v>
      </c>
      <c r="M1889">
        <v>971.404</v>
      </c>
      <c r="N1889" t="s">
        <v>10017</v>
      </c>
      <c r="O1889" t="s">
        <v>94</v>
      </c>
      <c r="P1889">
        <v>104.88</v>
      </c>
      <c r="R1889">
        <v>83.9</v>
      </c>
      <c r="T1889" t="s">
        <v>10018</v>
      </c>
    </row>
    <row r="1890" spans="1:20">
      <c r="A1890">
        <v>1649302</v>
      </c>
      <c r="B1890" t="s">
        <v>10019</v>
      </c>
      <c r="C1890" t="str">
        <f>"9780865717633"</f>
        <v>9780865717633</v>
      </c>
      <c r="D1890" t="str">
        <f>"9781550925616"</f>
        <v>9781550925616</v>
      </c>
      <c r="E1890" t="s">
        <v>249</v>
      </c>
      <c r="F1890" t="s">
        <v>249</v>
      </c>
      <c r="G1890" s="1">
        <v>41750</v>
      </c>
      <c r="J1890" t="s">
        <v>10020</v>
      </c>
      <c r="K1890" t="s">
        <v>323</v>
      </c>
      <c r="L1890" t="s">
        <v>10021</v>
      </c>
      <c r="M1890" t="s">
        <v>10022</v>
      </c>
      <c r="N1890" t="s">
        <v>10023</v>
      </c>
      <c r="O1890" t="s">
        <v>26</v>
      </c>
      <c r="P1890">
        <v>29.95</v>
      </c>
      <c r="R1890">
        <v>29.95</v>
      </c>
      <c r="S1890">
        <v>44.93</v>
      </c>
      <c r="T1890" t="s">
        <v>10024</v>
      </c>
    </row>
    <row r="1891" spans="1:20">
      <c r="A1891">
        <v>1649312</v>
      </c>
      <c r="B1891" t="s">
        <v>10025</v>
      </c>
      <c r="C1891" t="str">
        <f>"9780865717664"</f>
        <v>9780865717664</v>
      </c>
      <c r="D1891" t="str">
        <f>"9781550925630"</f>
        <v>9781550925630</v>
      </c>
      <c r="E1891" t="s">
        <v>249</v>
      </c>
      <c r="F1891" t="s">
        <v>249</v>
      </c>
      <c r="G1891" s="1">
        <v>41827</v>
      </c>
      <c r="H1891" t="s">
        <v>10026</v>
      </c>
      <c r="J1891" t="s">
        <v>10027</v>
      </c>
      <c r="K1891" t="s">
        <v>76</v>
      </c>
      <c r="L1891" t="s">
        <v>10028</v>
      </c>
      <c r="M1891" t="s">
        <v>10029</v>
      </c>
      <c r="N1891" t="s">
        <v>10030</v>
      </c>
      <c r="O1891" t="s">
        <v>26</v>
      </c>
      <c r="P1891">
        <v>34.950000000000003</v>
      </c>
      <c r="R1891">
        <v>34.950000000000003</v>
      </c>
      <c r="S1891">
        <v>52.43</v>
      </c>
      <c r="T1891" t="s">
        <v>10031</v>
      </c>
    </row>
    <row r="1892" spans="1:20">
      <c r="A1892">
        <v>1649313</v>
      </c>
      <c r="B1892" t="s">
        <v>10032</v>
      </c>
      <c r="C1892" t="str">
        <f>"9780865717701"</f>
        <v>9780865717701</v>
      </c>
      <c r="D1892" t="str">
        <f>"9781550925531"</f>
        <v>9781550925531</v>
      </c>
      <c r="E1892" t="s">
        <v>249</v>
      </c>
      <c r="F1892" t="s">
        <v>249</v>
      </c>
      <c r="G1892" s="1">
        <v>41736</v>
      </c>
      <c r="J1892" t="s">
        <v>10033</v>
      </c>
      <c r="K1892" t="s">
        <v>10034</v>
      </c>
      <c r="L1892" t="s">
        <v>10035</v>
      </c>
      <c r="M1892">
        <v>799.2</v>
      </c>
      <c r="N1892" t="s">
        <v>10036</v>
      </c>
      <c r="O1892" t="s">
        <v>26</v>
      </c>
      <c r="P1892">
        <v>17.95</v>
      </c>
      <c r="R1892">
        <v>17.95</v>
      </c>
      <c r="S1892">
        <v>26.93</v>
      </c>
      <c r="T1892" t="s">
        <v>10037</v>
      </c>
    </row>
    <row r="1893" spans="1:20">
      <c r="A1893">
        <v>1652886</v>
      </c>
      <c r="B1893" t="s">
        <v>10038</v>
      </c>
      <c r="C1893" t="str">
        <f>"9780865717695"</f>
        <v>9780865717695</v>
      </c>
      <c r="D1893" t="str">
        <f>"9781550925654"</f>
        <v>9781550925654</v>
      </c>
      <c r="E1893" t="s">
        <v>249</v>
      </c>
      <c r="F1893" t="s">
        <v>249</v>
      </c>
      <c r="G1893" s="1">
        <v>41729</v>
      </c>
      <c r="J1893" t="s">
        <v>10039</v>
      </c>
      <c r="K1893" t="s">
        <v>1028</v>
      </c>
      <c r="L1893" t="s">
        <v>10040</v>
      </c>
      <c r="M1893" t="s">
        <v>10041</v>
      </c>
      <c r="N1893" t="s">
        <v>10042</v>
      </c>
      <c r="O1893" t="s">
        <v>26</v>
      </c>
      <c r="P1893">
        <v>19.95</v>
      </c>
      <c r="R1893">
        <v>19.95</v>
      </c>
      <c r="S1893">
        <v>29.93</v>
      </c>
      <c r="T1893" t="s">
        <v>10043</v>
      </c>
    </row>
    <row r="1894" spans="1:20">
      <c r="A1894">
        <v>1657484</v>
      </c>
      <c r="B1894" t="s">
        <v>10044</v>
      </c>
      <c r="C1894" t="str">
        <f>"9780865717589"</f>
        <v>9780865717589</v>
      </c>
      <c r="D1894" t="str">
        <f>"9781550925586"</f>
        <v>9781550925586</v>
      </c>
      <c r="E1894" t="s">
        <v>249</v>
      </c>
      <c r="F1894" t="s">
        <v>249</v>
      </c>
      <c r="G1894" s="1">
        <v>41757</v>
      </c>
      <c r="J1894" t="s">
        <v>3094</v>
      </c>
      <c r="K1894" t="s">
        <v>10045</v>
      </c>
      <c r="L1894" t="s">
        <v>10046</v>
      </c>
      <c r="M1894" t="s">
        <v>10047</v>
      </c>
      <c r="N1894" t="s">
        <v>10048</v>
      </c>
      <c r="O1894" t="s">
        <v>26</v>
      </c>
      <c r="P1894">
        <v>17.95</v>
      </c>
      <c r="R1894">
        <v>17.95</v>
      </c>
      <c r="S1894">
        <v>26.93</v>
      </c>
      <c r="T1894" t="s">
        <v>10049</v>
      </c>
    </row>
    <row r="1895" spans="1:20">
      <c r="A1895">
        <v>1660374</v>
      </c>
      <c r="B1895" t="s">
        <v>10050</v>
      </c>
      <c r="C1895" t="str">
        <f>"9782760308220"</f>
        <v>9782760308220</v>
      </c>
      <c r="D1895" t="str">
        <f>"9782760321335"</f>
        <v>9782760321335</v>
      </c>
      <c r="E1895" t="s">
        <v>3361</v>
      </c>
      <c r="F1895" t="s">
        <v>3361</v>
      </c>
      <c r="G1895" s="1">
        <v>41902</v>
      </c>
      <c r="I1895" t="s">
        <v>10051</v>
      </c>
      <c r="J1895" t="s">
        <v>10052</v>
      </c>
      <c r="K1895" t="s">
        <v>1550</v>
      </c>
      <c r="L1895" t="s">
        <v>10053</v>
      </c>
      <c r="M1895">
        <v>940.54</v>
      </c>
      <c r="N1895" t="s">
        <v>10054</v>
      </c>
      <c r="O1895" t="s">
        <v>94</v>
      </c>
      <c r="P1895">
        <v>200</v>
      </c>
      <c r="Q1895">
        <v>125</v>
      </c>
      <c r="R1895">
        <v>100</v>
      </c>
      <c r="S1895">
        <v>150</v>
      </c>
      <c r="T1895" t="s">
        <v>10055</v>
      </c>
    </row>
    <row r="1896" spans="1:20">
      <c r="A1896">
        <v>1674509</v>
      </c>
      <c r="B1896" t="s">
        <v>10056</v>
      </c>
      <c r="C1896" t="str">
        <f>"9780889223486"</f>
        <v>9780889223486</v>
      </c>
      <c r="D1896" t="str">
        <f>"9780889228672"</f>
        <v>9780889228672</v>
      </c>
      <c r="E1896" t="s">
        <v>9493</v>
      </c>
      <c r="F1896" t="s">
        <v>9493</v>
      </c>
      <c r="G1896" s="1">
        <v>41739</v>
      </c>
      <c r="J1896" t="s">
        <v>10057</v>
      </c>
      <c r="K1896" t="s">
        <v>291</v>
      </c>
      <c r="L1896" t="s">
        <v>10058</v>
      </c>
      <c r="M1896" t="s">
        <v>10059</v>
      </c>
      <c r="N1896" t="s">
        <v>10060</v>
      </c>
      <c r="O1896" t="s">
        <v>26</v>
      </c>
      <c r="P1896">
        <v>15.95</v>
      </c>
      <c r="R1896">
        <v>15.95</v>
      </c>
      <c r="S1896">
        <v>23.93</v>
      </c>
      <c r="T1896" t="s">
        <v>10061</v>
      </c>
    </row>
    <row r="1897" spans="1:20">
      <c r="A1897">
        <v>1674515</v>
      </c>
      <c r="B1897" t="s">
        <v>10062</v>
      </c>
      <c r="C1897" t="str">
        <f>"9780889222205"</f>
        <v>9780889222205</v>
      </c>
      <c r="D1897" t="str">
        <f>"9780889228795"</f>
        <v>9780889228795</v>
      </c>
      <c r="E1897" t="s">
        <v>9493</v>
      </c>
      <c r="F1897" t="s">
        <v>9493</v>
      </c>
      <c r="G1897" s="1">
        <v>41729</v>
      </c>
      <c r="I1897" t="s">
        <v>9879</v>
      </c>
      <c r="J1897" t="s">
        <v>10063</v>
      </c>
      <c r="K1897" t="s">
        <v>1464</v>
      </c>
      <c r="L1897" t="s">
        <v>10064</v>
      </c>
      <c r="M1897" t="s">
        <v>9882</v>
      </c>
      <c r="N1897" t="s">
        <v>10065</v>
      </c>
      <c r="O1897" t="s">
        <v>26</v>
      </c>
      <c r="P1897">
        <v>13.95</v>
      </c>
      <c r="R1897">
        <v>13.95</v>
      </c>
      <c r="S1897">
        <v>20.93</v>
      </c>
      <c r="T1897" t="s">
        <v>10066</v>
      </c>
    </row>
    <row r="1898" spans="1:20">
      <c r="A1898">
        <v>1674523</v>
      </c>
      <c r="B1898" t="s">
        <v>10067</v>
      </c>
      <c r="C1898" t="str">
        <f>"9780865717602"</f>
        <v>9780865717602</v>
      </c>
      <c r="D1898" t="str">
        <f>"9781550925647"</f>
        <v>9781550925647</v>
      </c>
      <c r="E1898" t="s">
        <v>249</v>
      </c>
      <c r="F1898" t="s">
        <v>249</v>
      </c>
      <c r="G1898" s="1">
        <v>41757</v>
      </c>
      <c r="H1898" t="s">
        <v>10026</v>
      </c>
      <c r="J1898" t="s">
        <v>2798</v>
      </c>
      <c r="K1898" t="s">
        <v>2799</v>
      </c>
      <c r="L1898" t="s">
        <v>10068</v>
      </c>
      <c r="M1898" t="s">
        <v>10069</v>
      </c>
      <c r="N1898" t="s">
        <v>10070</v>
      </c>
      <c r="O1898" t="s">
        <v>26</v>
      </c>
      <c r="P1898">
        <v>19.95</v>
      </c>
      <c r="R1898">
        <v>19.95</v>
      </c>
      <c r="S1898">
        <v>29.93</v>
      </c>
      <c r="T1898" t="s">
        <v>10071</v>
      </c>
    </row>
    <row r="1899" spans="1:20">
      <c r="A1899">
        <v>1676711</v>
      </c>
      <c r="B1899" t="s">
        <v>10072</v>
      </c>
      <c r="C1899" t="str">
        <f>"9782760322059"</f>
        <v>9782760322059</v>
      </c>
      <c r="D1899" t="str">
        <f>"9782760321953"</f>
        <v>9782760321953</v>
      </c>
      <c r="E1899" t="s">
        <v>10073</v>
      </c>
      <c r="F1899" t="s">
        <v>3361</v>
      </c>
      <c r="G1899" s="1">
        <v>42039</v>
      </c>
      <c r="I1899" t="s">
        <v>10074</v>
      </c>
      <c r="J1899" t="s">
        <v>10075</v>
      </c>
      <c r="K1899" t="s">
        <v>291</v>
      </c>
      <c r="L1899" t="s">
        <v>10076</v>
      </c>
      <c r="M1899" t="s">
        <v>10077</v>
      </c>
      <c r="N1899" t="s">
        <v>10078</v>
      </c>
      <c r="O1899" t="s">
        <v>94</v>
      </c>
      <c r="P1899">
        <v>359.98</v>
      </c>
      <c r="Q1899">
        <v>224.99</v>
      </c>
      <c r="R1899">
        <v>179.99</v>
      </c>
      <c r="S1899">
        <v>269.99</v>
      </c>
      <c r="T1899" t="s">
        <v>10079</v>
      </c>
    </row>
    <row r="1900" spans="1:20">
      <c r="A1900">
        <v>1676714</v>
      </c>
      <c r="B1900" t="s">
        <v>10080</v>
      </c>
      <c r="C1900" t="str">
        <f>"9782760322042"</f>
        <v>9782760322042</v>
      </c>
      <c r="D1900" t="str">
        <f>"9782760321984"</f>
        <v>9782760321984</v>
      </c>
      <c r="E1900" t="s">
        <v>3361</v>
      </c>
      <c r="F1900" t="s">
        <v>3361</v>
      </c>
      <c r="G1900" s="1">
        <v>41857</v>
      </c>
      <c r="I1900" t="s">
        <v>3362</v>
      </c>
      <c r="J1900" t="s">
        <v>10081</v>
      </c>
      <c r="K1900" t="s">
        <v>257</v>
      </c>
      <c r="L1900" t="s">
        <v>10082</v>
      </c>
      <c r="M1900">
        <v>378.19810000000001</v>
      </c>
      <c r="N1900" t="s">
        <v>10083</v>
      </c>
      <c r="O1900" t="s">
        <v>94</v>
      </c>
      <c r="P1900">
        <v>159.97999999999999</v>
      </c>
      <c r="Q1900">
        <v>99.99</v>
      </c>
      <c r="R1900">
        <v>79.989999999999995</v>
      </c>
      <c r="S1900">
        <v>119.99</v>
      </c>
      <c r="T1900" t="s">
        <v>10084</v>
      </c>
    </row>
    <row r="1901" spans="1:20">
      <c r="A1901">
        <v>1691701</v>
      </c>
      <c r="B1901" t="s">
        <v>10085</v>
      </c>
      <c r="C1901" t="str">
        <f>"9780803246324"</f>
        <v>9780803246324</v>
      </c>
      <c r="D1901" t="str">
        <f>"9780803253476"</f>
        <v>9780803253476</v>
      </c>
      <c r="E1901" t="s">
        <v>10086</v>
      </c>
      <c r="F1901" t="s">
        <v>10087</v>
      </c>
      <c r="G1901" s="1">
        <v>41821</v>
      </c>
      <c r="J1901" t="s">
        <v>10088</v>
      </c>
      <c r="K1901" t="s">
        <v>10089</v>
      </c>
      <c r="L1901" t="s">
        <v>10090</v>
      </c>
      <c r="M1901" t="s">
        <v>10091</v>
      </c>
      <c r="N1901" t="s">
        <v>10092</v>
      </c>
      <c r="O1901" t="s">
        <v>26</v>
      </c>
      <c r="P1901">
        <v>50</v>
      </c>
      <c r="Q1901">
        <v>62.5</v>
      </c>
      <c r="R1901">
        <v>50</v>
      </c>
      <c r="S1901">
        <v>75</v>
      </c>
      <c r="T1901" t="s">
        <v>10093</v>
      </c>
    </row>
    <row r="1902" spans="1:20">
      <c r="A1902">
        <v>1692092</v>
      </c>
      <c r="B1902" t="s">
        <v>10094</v>
      </c>
      <c r="C1902" t="str">
        <f>"9780865717763"</f>
        <v>9780865717763</v>
      </c>
      <c r="D1902" t="str">
        <f>"9781550925708"</f>
        <v>9781550925708</v>
      </c>
      <c r="E1902" t="s">
        <v>249</v>
      </c>
      <c r="F1902" t="s">
        <v>249</v>
      </c>
      <c r="G1902" s="1">
        <v>41848</v>
      </c>
      <c r="J1902" t="s">
        <v>10095</v>
      </c>
      <c r="K1902" t="s">
        <v>467</v>
      </c>
      <c r="L1902" t="s">
        <v>10096</v>
      </c>
      <c r="M1902">
        <v>327.17200000000003</v>
      </c>
      <c r="N1902" t="s">
        <v>10097</v>
      </c>
      <c r="O1902" t="s">
        <v>26</v>
      </c>
      <c r="P1902">
        <v>17.95</v>
      </c>
      <c r="R1902">
        <v>17.95</v>
      </c>
      <c r="S1902">
        <v>26.93</v>
      </c>
      <c r="T1902" t="s">
        <v>10098</v>
      </c>
    </row>
    <row r="1903" spans="1:20">
      <c r="A1903">
        <v>1699986</v>
      </c>
      <c r="B1903" t="s">
        <v>10099</v>
      </c>
      <c r="C1903" t="str">
        <f>"9780865717619"</f>
        <v>9780865717619</v>
      </c>
      <c r="D1903" t="str">
        <f>"9781550925562"</f>
        <v>9781550925562</v>
      </c>
      <c r="E1903" t="s">
        <v>249</v>
      </c>
      <c r="F1903" t="s">
        <v>249</v>
      </c>
      <c r="G1903" s="1">
        <v>41813</v>
      </c>
      <c r="J1903" t="s">
        <v>10100</v>
      </c>
      <c r="K1903" t="s">
        <v>2260</v>
      </c>
      <c r="L1903" t="s">
        <v>10101</v>
      </c>
      <c r="M1903">
        <v>616.85210642000004</v>
      </c>
      <c r="N1903" t="s">
        <v>10102</v>
      </c>
      <c r="O1903" t="s">
        <v>26</v>
      </c>
      <c r="P1903">
        <v>17.95</v>
      </c>
      <c r="R1903">
        <v>17.95</v>
      </c>
      <c r="S1903">
        <v>26.93</v>
      </c>
      <c r="T1903" t="s">
        <v>10103</v>
      </c>
    </row>
    <row r="1904" spans="1:20">
      <c r="A1904">
        <v>1708661</v>
      </c>
      <c r="B1904" t="s">
        <v>10104</v>
      </c>
      <c r="C1904" t="str">
        <f>"9780865717732"</f>
        <v>9780865717732</v>
      </c>
      <c r="D1904" t="str">
        <f>"9781550925777"</f>
        <v>9781550925777</v>
      </c>
      <c r="E1904" t="s">
        <v>249</v>
      </c>
      <c r="F1904" t="s">
        <v>249</v>
      </c>
      <c r="G1904" s="1">
        <v>41820</v>
      </c>
      <c r="J1904" t="s">
        <v>10105</v>
      </c>
      <c r="K1904" t="s">
        <v>76</v>
      </c>
      <c r="L1904" t="s">
        <v>10106</v>
      </c>
      <c r="M1904">
        <v>630</v>
      </c>
      <c r="N1904" t="s">
        <v>10107</v>
      </c>
      <c r="O1904" t="s">
        <v>26</v>
      </c>
      <c r="P1904">
        <v>17.95</v>
      </c>
      <c r="R1904">
        <v>17.95</v>
      </c>
      <c r="S1904">
        <v>26.93</v>
      </c>
      <c r="T1904" t="s">
        <v>10108</v>
      </c>
    </row>
    <row r="1905" spans="1:20">
      <c r="A1905">
        <v>1708672</v>
      </c>
      <c r="B1905" t="s">
        <v>10109</v>
      </c>
      <c r="C1905" t="str">
        <f>"9780889224476"</f>
        <v>9780889224476</v>
      </c>
      <c r="D1905" t="str">
        <f>"9780889228726"</f>
        <v>9780889228726</v>
      </c>
      <c r="E1905" t="s">
        <v>9493</v>
      </c>
      <c r="F1905" t="s">
        <v>9493</v>
      </c>
      <c r="G1905" s="1">
        <v>41821</v>
      </c>
      <c r="J1905" t="s">
        <v>10110</v>
      </c>
      <c r="K1905" t="s">
        <v>1464</v>
      </c>
      <c r="L1905" t="s">
        <v>10111</v>
      </c>
      <c r="M1905">
        <v>808.1</v>
      </c>
      <c r="N1905" t="s">
        <v>10112</v>
      </c>
      <c r="O1905" t="s">
        <v>26</v>
      </c>
      <c r="P1905">
        <v>29.95</v>
      </c>
      <c r="R1905">
        <v>29.95</v>
      </c>
      <c r="S1905">
        <v>44.93</v>
      </c>
      <c r="T1905" t="s">
        <v>10113</v>
      </c>
    </row>
    <row r="1906" spans="1:20">
      <c r="A1906">
        <v>1725330</v>
      </c>
      <c r="B1906" t="s">
        <v>10114</v>
      </c>
      <c r="C1906" t="str">
        <f>"9781552452974"</f>
        <v>9781552452974</v>
      </c>
      <c r="D1906" t="str">
        <f>"9781770563919"</f>
        <v>9781770563919</v>
      </c>
      <c r="E1906" t="s">
        <v>7779</v>
      </c>
      <c r="F1906" t="s">
        <v>7779</v>
      </c>
      <c r="G1906" s="1">
        <v>41904</v>
      </c>
      <c r="J1906" t="s">
        <v>10115</v>
      </c>
      <c r="K1906" t="s">
        <v>1471</v>
      </c>
      <c r="L1906" t="s">
        <v>10116</v>
      </c>
      <c r="M1906">
        <v>791.43089999999995</v>
      </c>
      <c r="N1906" t="s">
        <v>10117</v>
      </c>
      <c r="O1906" t="s">
        <v>26</v>
      </c>
      <c r="P1906">
        <v>12.95</v>
      </c>
      <c r="R1906">
        <v>12.95</v>
      </c>
      <c r="S1906">
        <v>19.43</v>
      </c>
      <c r="T1906" t="s">
        <v>10118</v>
      </c>
    </row>
    <row r="1907" spans="1:20">
      <c r="A1907">
        <v>1725334</v>
      </c>
      <c r="B1907" t="s">
        <v>10119</v>
      </c>
      <c r="C1907" t="str">
        <f>"9780865717794"</f>
        <v>9780865717794</v>
      </c>
      <c r="D1907" t="str">
        <f>"9781550925739"</f>
        <v>9781550925739</v>
      </c>
      <c r="E1907" t="s">
        <v>249</v>
      </c>
      <c r="F1907" t="s">
        <v>249</v>
      </c>
      <c r="G1907" s="1">
        <v>41869</v>
      </c>
      <c r="J1907" t="s">
        <v>10120</v>
      </c>
      <c r="K1907" t="s">
        <v>387</v>
      </c>
      <c r="L1907" t="s">
        <v>10121</v>
      </c>
      <c r="M1907">
        <v>690.80470000000003</v>
      </c>
      <c r="N1907" t="s">
        <v>10122</v>
      </c>
      <c r="O1907" t="s">
        <v>26</v>
      </c>
      <c r="P1907">
        <v>24.95</v>
      </c>
      <c r="R1907">
        <v>24.95</v>
      </c>
      <c r="S1907">
        <v>37.43</v>
      </c>
      <c r="T1907" t="s">
        <v>10123</v>
      </c>
    </row>
    <row r="1908" spans="1:20">
      <c r="A1908">
        <v>1725336</v>
      </c>
      <c r="B1908" t="s">
        <v>10124</v>
      </c>
      <c r="C1908" t="str">
        <f>"9781552453018"</f>
        <v>9781552453018</v>
      </c>
      <c r="D1908" t="str">
        <f>"9781770563896"</f>
        <v>9781770563896</v>
      </c>
      <c r="E1908" t="s">
        <v>7779</v>
      </c>
      <c r="F1908" t="s">
        <v>7779</v>
      </c>
      <c r="G1908" s="1">
        <v>41911</v>
      </c>
      <c r="I1908" t="s">
        <v>9850</v>
      </c>
      <c r="J1908" t="s">
        <v>10125</v>
      </c>
      <c r="K1908" t="s">
        <v>10126</v>
      </c>
      <c r="L1908" t="s">
        <v>10127</v>
      </c>
      <c r="M1908" t="s">
        <v>10128</v>
      </c>
      <c r="N1908" t="s">
        <v>10129</v>
      </c>
      <c r="O1908" t="s">
        <v>26</v>
      </c>
      <c r="P1908">
        <v>6.95</v>
      </c>
      <c r="R1908">
        <v>6.95</v>
      </c>
      <c r="S1908">
        <v>10.43</v>
      </c>
      <c r="T1908" t="s">
        <v>10130</v>
      </c>
    </row>
    <row r="1909" spans="1:20">
      <c r="A1909">
        <v>1725337</v>
      </c>
      <c r="B1909" t="s">
        <v>10131</v>
      </c>
      <c r="C1909" t="str">
        <f>"9781552453049"</f>
        <v>9781552453049</v>
      </c>
      <c r="D1909" t="str">
        <f>"9781770564015"</f>
        <v>9781770564015</v>
      </c>
      <c r="E1909" t="s">
        <v>7779</v>
      </c>
      <c r="F1909" t="s">
        <v>7779</v>
      </c>
      <c r="G1909" s="1">
        <v>41911</v>
      </c>
      <c r="J1909" t="s">
        <v>10132</v>
      </c>
      <c r="K1909" t="s">
        <v>1464</v>
      </c>
      <c r="L1909" t="s">
        <v>10133</v>
      </c>
      <c r="M1909" t="s">
        <v>1497</v>
      </c>
      <c r="N1909" t="s">
        <v>7851</v>
      </c>
      <c r="O1909" t="s">
        <v>26</v>
      </c>
      <c r="P1909">
        <v>12.95</v>
      </c>
      <c r="R1909">
        <v>12.95</v>
      </c>
      <c r="S1909">
        <v>19.43</v>
      </c>
      <c r="T1909" t="s">
        <v>10134</v>
      </c>
    </row>
    <row r="1910" spans="1:20">
      <c r="A1910">
        <v>1725340</v>
      </c>
      <c r="B1910" t="s">
        <v>10135</v>
      </c>
      <c r="C1910" t="str">
        <f>"9780865717510"</f>
        <v>9780865717510</v>
      </c>
      <c r="D1910" t="str">
        <f>"9781550925678"</f>
        <v>9781550925678</v>
      </c>
      <c r="E1910" t="s">
        <v>249</v>
      </c>
      <c r="F1910" t="s">
        <v>249</v>
      </c>
      <c r="G1910" s="1">
        <v>41904</v>
      </c>
      <c r="J1910" t="s">
        <v>10136</v>
      </c>
      <c r="K1910" t="s">
        <v>76</v>
      </c>
      <c r="L1910" t="s">
        <v>10137</v>
      </c>
      <c r="M1910">
        <v>635.29999999999995</v>
      </c>
      <c r="N1910" t="s">
        <v>10138</v>
      </c>
      <c r="O1910" t="s">
        <v>26</v>
      </c>
      <c r="P1910">
        <v>29.95</v>
      </c>
      <c r="R1910">
        <v>29.95</v>
      </c>
      <c r="S1910">
        <v>44.93</v>
      </c>
      <c r="T1910" t="s">
        <v>10139</v>
      </c>
    </row>
    <row r="1911" spans="1:20">
      <c r="A1911">
        <v>1725347</v>
      </c>
      <c r="B1911" t="s">
        <v>10140</v>
      </c>
      <c r="C1911" t="str">
        <f>"9780889228894"</f>
        <v>9780889228894</v>
      </c>
      <c r="D1911" t="str">
        <f>"9780889228900"</f>
        <v>9780889228900</v>
      </c>
      <c r="E1911" t="s">
        <v>9493</v>
      </c>
      <c r="F1911" t="s">
        <v>9493</v>
      </c>
      <c r="G1911" s="1">
        <v>41904</v>
      </c>
      <c r="J1911" t="s">
        <v>10141</v>
      </c>
      <c r="K1911" t="s">
        <v>1464</v>
      </c>
      <c r="L1911" t="s">
        <v>10142</v>
      </c>
      <c r="M1911">
        <v>813.52</v>
      </c>
      <c r="N1911" t="s">
        <v>10143</v>
      </c>
      <c r="O1911" t="s">
        <v>26</v>
      </c>
      <c r="P1911">
        <v>16.95</v>
      </c>
      <c r="R1911">
        <v>16.95</v>
      </c>
      <c r="S1911">
        <v>25.43</v>
      </c>
      <c r="T1911" t="s">
        <v>10144</v>
      </c>
    </row>
    <row r="1912" spans="1:20">
      <c r="A1912">
        <v>1725357</v>
      </c>
      <c r="B1912" t="s">
        <v>10145</v>
      </c>
      <c r="C1912" t="str">
        <f>"9780865717800"</f>
        <v>9780865717800</v>
      </c>
      <c r="D1912" t="str">
        <f>"9781550925746"</f>
        <v>9781550925746</v>
      </c>
      <c r="E1912" t="s">
        <v>249</v>
      </c>
      <c r="F1912" t="s">
        <v>249</v>
      </c>
      <c r="G1912" s="1">
        <v>41890</v>
      </c>
      <c r="J1912" t="s">
        <v>10146</v>
      </c>
      <c r="K1912" t="s">
        <v>2260</v>
      </c>
      <c r="L1912" t="s">
        <v>10147</v>
      </c>
      <c r="M1912">
        <v>618.24199999999996</v>
      </c>
      <c r="N1912" t="s">
        <v>10148</v>
      </c>
      <c r="O1912" t="s">
        <v>26</v>
      </c>
      <c r="P1912">
        <v>24.95</v>
      </c>
      <c r="R1912">
        <v>24.95</v>
      </c>
      <c r="S1912">
        <v>37.43</v>
      </c>
      <c r="T1912" t="s">
        <v>10149</v>
      </c>
    </row>
    <row r="1913" spans="1:20">
      <c r="A1913">
        <v>1725372</v>
      </c>
      <c r="B1913" t="s">
        <v>10150</v>
      </c>
      <c r="C1913" t="str">
        <f>"9781552452998"</f>
        <v>9781552452998</v>
      </c>
      <c r="D1913" t="str">
        <f>"9781770563872"</f>
        <v>9781770563872</v>
      </c>
      <c r="E1913" t="s">
        <v>7779</v>
      </c>
      <c r="F1913" t="s">
        <v>7779</v>
      </c>
      <c r="G1913" s="1">
        <v>41904</v>
      </c>
      <c r="I1913" t="s">
        <v>9850</v>
      </c>
      <c r="J1913" t="s">
        <v>10151</v>
      </c>
      <c r="K1913" t="s">
        <v>1471</v>
      </c>
      <c r="L1913" t="s">
        <v>10152</v>
      </c>
      <c r="M1913">
        <v>708</v>
      </c>
      <c r="N1913" t="s">
        <v>10153</v>
      </c>
      <c r="O1913" t="s">
        <v>26</v>
      </c>
      <c r="P1913">
        <v>6.95</v>
      </c>
      <c r="R1913">
        <v>6.95</v>
      </c>
      <c r="S1913">
        <v>10.43</v>
      </c>
      <c r="T1913" t="s">
        <v>10154</v>
      </c>
    </row>
    <row r="1914" spans="1:20">
      <c r="A1914">
        <v>1725377</v>
      </c>
      <c r="B1914" t="s">
        <v>10155</v>
      </c>
      <c r="C1914" t="str">
        <f>"9780889229068"</f>
        <v>9780889229068</v>
      </c>
      <c r="D1914" t="str">
        <f>"9780889229075"</f>
        <v>9780889229075</v>
      </c>
      <c r="E1914" t="s">
        <v>9493</v>
      </c>
      <c r="F1914" t="s">
        <v>9493</v>
      </c>
      <c r="G1914" s="1">
        <v>41995</v>
      </c>
      <c r="J1914" t="s">
        <v>10156</v>
      </c>
      <c r="K1914" t="s">
        <v>1464</v>
      </c>
      <c r="L1914" t="s">
        <v>10157</v>
      </c>
      <c r="M1914">
        <v>812.60803552000004</v>
      </c>
      <c r="N1914" t="s">
        <v>7991</v>
      </c>
      <c r="O1914" t="s">
        <v>26</v>
      </c>
      <c r="P1914">
        <v>18.95</v>
      </c>
      <c r="R1914">
        <v>18.95</v>
      </c>
      <c r="S1914">
        <v>28.43</v>
      </c>
      <c r="T1914" t="s">
        <v>10158</v>
      </c>
    </row>
    <row r="1915" spans="1:20">
      <c r="A1915">
        <v>1725380</v>
      </c>
      <c r="B1915" t="s">
        <v>10159</v>
      </c>
      <c r="C1915" t="str">
        <f>"9780865717787"</f>
        <v>9780865717787</v>
      </c>
      <c r="D1915" t="str">
        <f>"9781550925715"</f>
        <v>9781550925715</v>
      </c>
      <c r="E1915" t="s">
        <v>249</v>
      </c>
      <c r="F1915" t="s">
        <v>249</v>
      </c>
      <c r="G1915" s="1">
        <v>41932</v>
      </c>
      <c r="J1915" t="s">
        <v>10160</v>
      </c>
      <c r="K1915" t="s">
        <v>1471</v>
      </c>
      <c r="L1915" t="s">
        <v>10161</v>
      </c>
      <c r="M1915" t="s">
        <v>10162</v>
      </c>
      <c r="N1915" t="s">
        <v>10163</v>
      </c>
      <c r="O1915" t="s">
        <v>26</v>
      </c>
      <c r="P1915">
        <v>29.95</v>
      </c>
      <c r="R1915">
        <v>29.95</v>
      </c>
      <c r="S1915">
        <v>44.93</v>
      </c>
      <c r="T1915" t="s">
        <v>10164</v>
      </c>
    </row>
    <row r="1916" spans="1:20">
      <c r="A1916">
        <v>1725394</v>
      </c>
      <c r="B1916" t="s">
        <v>10165</v>
      </c>
      <c r="C1916" t="str">
        <f>"9781552453001"</f>
        <v>9781552453001</v>
      </c>
      <c r="D1916" t="str">
        <f>"9781770563971"</f>
        <v>9781770563971</v>
      </c>
      <c r="E1916" t="s">
        <v>7779</v>
      </c>
      <c r="F1916" t="s">
        <v>7779</v>
      </c>
      <c r="G1916" s="1">
        <v>41939</v>
      </c>
      <c r="J1916" t="s">
        <v>10166</v>
      </c>
      <c r="K1916" t="s">
        <v>1464</v>
      </c>
      <c r="L1916" t="s">
        <v>10167</v>
      </c>
      <c r="M1916">
        <v>822.6</v>
      </c>
      <c r="N1916" t="s">
        <v>10168</v>
      </c>
      <c r="O1916" t="s">
        <v>26</v>
      </c>
      <c r="P1916">
        <v>12.95</v>
      </c>
      <c r="R1916">
        <v>12.95</v>
      </c>
      <c r="S1916">
        <v>19.43</v>
      </c>
      <c r="T1916" t="s">
        <v>10169</v>
      </c>
    </row>
    <row r="1917" spans="1:20">
      <c r="A1917">
        <v>1725398</v>
      </c>
      <c r="B1917" t="s">
        <v>10170</v>
      </c>
      <c r="C1917" t="str">
        <f>"9780865717671"</f>
        <v>9780865717671</v>
      </c>
      <c r="D1917" t="str">
        <f>"9781550925722"</f>
        <v>9781550925722</v>
      </c>
      <c r="E1917" t="s">
        <v>249</v>
      </c>
      <c r="F1917" t="s">
        <v>249</v>
      </c>
      <c r="G1917" s="1">
        <v>42023</v>
      </c>
      <c r="J1917" t="s">
        <v>10171</v>
      </c>
      <c r="K1917" t="s">
        <v>1127</v>
      </c>
      <c r="L1917" t="s">
        <v>10172</v>
      </c>
      <c r="M1917">
        <v>158.1</v>
      </c>
      <c r="N1917" t="s">
        <v>10173</v>
      </c>
      <c r="O1917" t="s">
        <v>26</v>
      </c>
      <c r="P1917">
        <v>17.95</v>
      </c>
      <c r="R1917">
        <v>17.95</v>
      </c>
      <c r="S1917">
        <v>26.93</v>
      </c>
      <c r="T1917" t="s">
        <v>10174</v>
      </c>
    </row>
    <row r="1918" spans="1:20">
      <c r="A1918">
        <v>1725416</v>
      </c>
      <c r="B1918" t="s">
        <v>10175</v>
      </c>
      <c r="C1918" t="str">
        <f>"9780889223332"</f>
        <v>9780889223332</v>
      </c>
      <c r="D1918" t="str">
        <f>"9780889228658"</f>
        <v>9780889228658</v>
      </c>
      <c r="E1918" t="s">
        <v>9493</v>
      </c>
      <c r="F1918" t="s">
        <v>9493</v>
      </c>
      <c r="G1918" s="1">
        <v>41815</v>
      </c>
      <c r="J1918" t="s">
        <v>10176</v>
      </c>
      <c r="K1918" t="s">
        <v>1550</v>
      </c>
      <c r="L1918" t="s">
        <v>10177</v>
      </c>
      <c r="M1918" t="s">
        <v>10178</v>
      </c>
      <c r="N1918" t="s">
        <v>10179</v>
      </c>
      <c r="O1918" t="s">
        <v>26</v>
      </c>
      <c r="P1918">
        <v>14.95</v>
      </c>
      <c r="R1918">
        <v>14.95</v>
      </c>
      <c r="S1918">
        <v>22.43</v>
      </c>
      <c r="T1918" t="s">
        <v>10180</v>
      </c>
    </row>
    <row r="1919" spans="1:20">
      <c r="A1919">
        <v>1725421</v>
      </c>
      <c r="B1919" t="s">
        <v>10181</v>
      </c>
      <c r="C1919" t="str">
        <f>"9781552453025"</f>
        <v>9781552453025</v>
      </c>
      <c r="D1919" t="str">
        <f>"9781770563995"</f>
        <v>9781770563995</v>
      </c>
      <c r="E1919" t="s">
        <v>7779</v>
      </c>
      <c r="F1919" t="s">
        <v>7779</v>
      </c>
      <c r="G1919" s="1">
        <v>41918</v>
      </c>
      <c r="J1919" t="s">
        <v>10182</v>
      </c>
      <c r="K1919" t="s">
        <v>1464</v>
      </c>
      <c r="L1919" t="s">
        <v>10183</v>
      </c>
      <c r="M1919" t="s">
        <v>10184</v>
      </c>
      <c r="N1919" t="s">
        <v>10185</v>
      </c>
      <c r="O1919" t="s">
        <v>26</v>
      </c>
      <c r="P1919">
        <v>14.95</v>
      </c>
      <c r="R1919">
        <v>14.95</v>
      </c>
      <c r="S1919">
        <v>22.43</v>
      </c>
      <c r="T1919" t="s">
        <v>10186</v>
      </c>
    </row>
    <row r="1920" spans="1:20">
      <c r="A1920">
        <v>1725429</v>
      </c>
      <c r="B1920" t="s">
        <v>10187</v>
      </c>
      <c r="C1920" t="str">
        <f>"9781552452981"</f>
        <v>9781552452981</v>
      </c>
      <c r="D1920" t="str">
        <f>"9781770563957"</f>
        <v>9781770563957</v>
      </c>
      <c r="E1920" t="s">
        <v>7779</v>
      </c>
      <c r="F1920" t="s">
        <v>7779</v>
      </c>
      <c r="G1920" s="1">
        <v>41932</v>
      </c>
      <c r="J1920" t="s">
        <v>10188</v>
      </c>
      <c r="K1920" t="s">
        <v>1464</v>
      </c>
      <c r="L1920" t="s">
        <v>10189</v>
      </c>
      <c r="M1920" t="s">
        <v>1466</v>
      </c>
      <c r="N1920" t="s">
        <v>10190</v>
      </c>
      <c r="O1920" t="s">
        <v>26</v>
      </c>
      <c r="P1920">
        <v>12.95</v>
      </c>
      <c r="R1920">
        <v>12.95</v>
      </c>
      <c r="S1920">
        <v>19.43</v>
      </c>
      <c r="T1920" t="s">
        <v>10191</v>
      </c>
    </row>
    <row r="1921" spans="1:20">
      <c r="A1921">
        <v>1725436</v>
      </c>
      <c r="B1921" t="s">
        <v>10192</v>
      </c>
      <c r="C1921" t="str">
        <f>"9780865717756"</f>
        <v>9780865717756</v>
      </c>
      <c r="D1921" t="str">
        <f>"9781550925807"</f>
        <v>9781550925807</v>
      </c>
      <c r="E1921" t="s">
        <v>249</v>
      </c>
      <c r="F1921" t="s">
        <v>249</v>
      </c>
      <c r="G1921" s="1">
        <v>41932</v>
      </c>
      <c r="J1921" t="s">
        <v>10193</v>
      </c>
      <c r="K1921" t="s">
        <v>1127</v>
      </c>
      <c r="L1921" t="s">
        <v>10194</v>
      </c>
      <c r="M1921">
        <v>158.1</v>
      </c>
      <c r="N1921" t="s">
        <v>10195</v>
      </c>
      <c r="O1921" t="s">
        <v>26</v>
      </c>
      <c r="P1921">
        <v>21.95</v>
      </c>
      <c r="R1921">
        <v>21.95</v>
      </c>
      <c r="S1921">
        <v>32.93</v>
      </c>
      <c r="T1921" t="s">
        <v>10196</v>
      </c>
    </row>
    <row r="1922" spans="1:20">
      <c r="A1922">
        <v>1753144</v>
      </c>
      <c r="B1922" t="s">
        <v>10197</v>
      </c>
      <c r="C1922" t="str">
        <f>"9781443849821"</f>
        <v>9781443849821</v>
      </c>
      <c r="D1922" t="str">
        <f>"9781443864268"</f>
        <v>9781443864268</v>
      </c>
      <c r="E1922" t="s">
        <v>9307</v>
      </c>
      <c r="F1922" t="s">
        <v>9307</v>
      </c>
      <c r="G1922" s="1">
        <v>41548</v>
      </c>
      <c r="H1922">
        <v>1</v>
      </c>
      <c r="J1922" t="s">
        <v>10198</v>
      </c>
      <c r="K1922" t="s">
        <v>1530</v>
      </c>
      <c r="L1922" t="s">
        <v>10199</v>
      </c>
      <c r="M1922" t="s">
        <v>10200</v>
      </c>
      <c r="N1922" t="s">
        <v>10201</v>
      </c>
      <c r="O1922" t="s">
        <v>26</v>
      </c>
      <c r="P1922">
        <v>91.95</v>
      </c>
      <c r="R1922">
        <v>91.95</v>
      </c>
      <c r="T1922" t="s">
        <v>10202</v>
      </c>
    </row>
    <row r="1923" spans="1:20">
      <c r="A1923">
        <v>1761946</v>
      </c>
      <c r="B1923" t="s">
        <v>10203</v>
      </c>
      <c r="C1923" t="str">
        <f>"9781459723788"</f>
        <v>9781459723788</v>
      </c>
      <c r="D1923" t="str">
        <f>"9781459730588"</f>
        <v>9781459730588</v>
      </c>
      <c r="E1923" t="s">
        <v>3488</v>
      </c>
      <c r="F1923" t="s">
        <v>3488</v>
      </c>
      <c r="G1923" s="1">
        <v>42238</v>
      </c>
      <c r="I1923" t="s">
        <v>10204</v>
      </c>
      <c r="J1923" t="s">
        <v>10205</v>
      </c>
      <c r="K1923" t="s">
        <v>525</v>
      </c>
      <c r="L1923" t="s">
        <v>10206</v>
      </c>
      <c r="M1923" t="s">
        <v>10207</v>
      </c>
      <c r="N1923" t="s">
        <v>10208</v>
      </c>
      <c r="O1923" t="s">
        <v>26</v>
      </c>
      <c r="P1923">
        <v>9.99</v>
      </c>
      <c r="R1923">
        <v>9.99</v>
      </c>
      <c r="S1923">
        <v>14.99</v>
      </c>
      <c r="T1923" t="s">
        <v>10209</v>
      </c>
    </row>
    <row r="1924" spans="1:20">
      <c r="A1924">
        <v>1762058</v>
      </c>
      <c r="B1924" t="s">
        <v>10210</v>
      </c>
      <c r="C1924" t="str">
        <f>"9781459802803"</f>
        <v>9781459802803</v>
      </c>
      <c r="D1924" t="str">
        <f>"9781459802810"</f>
        <v>9781459802810</v>
      </c>
      <c r="E1924" t="s">
        <v>4668</v>
      </c>
      <c r="F1924" t="s">
        <v>4668</v>
      </c>
      <c r="G1924" s="1">
        <v>41883</v>
      </c>
      <c r="I1924" t="s">
        <v>9717</v>
      </c>
      <c r="J1924" t="s">
        <v>5517</v>
      </c>
      <c r="K1924" t="s">
        <v>1464</v>
      </c>
      <c r="L1924" t="s">
        <v>10211</v>
      </c>
      <c r="M1924">
        <v>813.6</v>
      </c>
      <c r="N1924" t="s">
        <v>10212</v>
      </c>
      <c r="O1924" t="s">
        <v>26</v>
      </c>
      <c r="P1924">
        <v>9.99</v>
      </c>
      <c r="Q1924">
        <v>12.49</v>
      </c>
      <c r="R1924">
        <v>9.99</v>
      </c>
      <c r="T1924" t="s">
        <v>10213</v>
      </c>
    </row>
    <row r="1925" spans="1:20">
      <c r="A1925">
        <v>1762059</v>
      </c>
      <c r="B1925" t="s">
        <v>10214</v>
      </c>
      <c r="C1925" t="str">
        <f>"9781459805798"</f>
        <v>9781459805798</v>
      </c>
      <c r="D1925" t="str">
        <f>"9781459805804"</f>
        <v>9781459805804</v>
      </c>
      <c r="E1925" t="s">
        <v>4668</v>
      </c>
      <c r="F1925" t="s">
        <v>4668</v>
      </c>
      <c r="G1925" s="1">
        <v>41883</v>
      </c>
      <c r="I1925" t="s">
        <v>9717</v>
      </c>
      <c r="J1925" t="s">
        <v>10215</v>
      </c>
      <c r="K1925" t="s">
        <v>1464</v>
      </c>
      <c r="L1925" t="s">
        <v>10216</v>
      </c>
      <c r="M1925">
        <v>813.54</v>
      </c>
      <c r="N1925" t="s">
        <v>10217</v>
      </c>
      <c r="O1925" t="s">
        <v>26</v>
      </c>
      <c r="P1925">
        <v>9.99</v>
      </c>
      <c r="Q1925">
        <v>12.49</v>
      </c>
      <c r="R1925">
        <v>9.99</v>
      </c>
      <c r="T1925" t="s">
        <v>10218</v>
      </c>
    </row>
    <row r="1926" spans="1:20">
      <c r="A1926">
        <v>1762060</v>
      </c>
      <c r="B1926" t="s">
        <v>10219</v>
      </c>
      <c r="C1926" t="str">
        <f>"9781459805767"</f>
        <v>9781459805767</v>
      </c>
      <c r="D1926" t="str">
        <f>"9781459805774"</f>
        <v>9781459805774</v>
      </c>
      <c r="E1926" t="s">
        <v>4668</v>
      </c>
      <c r="F1926" t="s">
        <v>8157</v>
      </c>
      <c r="G1926" s="1">
        <v>41883</v>
      </c>
      <c r="I1926" t="s">
        <v>8158</v>
      </c>
      <c r="J1926" t="s">
        <v>10220</v>
      </c>
      <c r="K1926" t="s">
        <v>1464</v>
      </c>
      <c r="L1926" t="s">
        <v>10221</v>
      </c>
      <c r="M1926">
        <v>813.54</v>
      </c>
      <c r="N1926" t="s">
        <v>10222</v>
      </c>
      <c r="O1926" t="s">
        <v>26</v>
      </c>
      <c r="P1926">
        <v>9.99</v>
      </c>
      <c r="Q1926">
        <v>12.49</v>
      </c>
      <c r="R1926">
        <v>9.99</v>
      </c>
      <c r="T1926" t="s">
        <v>10223</v>
      </c>
    </row>
    <row r="1927" spans="1:20">
      <c r="A1927">
        <v>1762061</v>
      </c>
      <c r="B1927" t="s">
        <v>10224</v>
      </c>
      <c r="C1927" t="str">
        <f>"9781459805941"</f>
        <v>9781459805941</v>
      </c>
      <c r="D1927" t="str">
        <f>"9781459805958"</f>
        <v>9781459805958</v>
      </c>
      <c r="E1927" t="s">
        <v>4668</v>
      </c>
      <c r="F1927" t="s">
        <v>4668</v>
      </c>
      <c r="G1927" s="1">
        <v>41883</v>
      </c>
      <c r="J1927" t="s">
        <v>5575</v>
      </c>
      <c r="K1927" t="s">
        <v>1464</v>
      </c>
      <c r="L1927" t="s">
        <v>10225</v>
      </c>
      <c r="M1927">
        <v>813.54</v>
      </c>
      <c r="N1927" t="s">
        <v>10226</v>
      </c>
      <c r="O1927" t="s">
        <v>26</v>
      </c>
      <c r="P1927">
        <v>12.99</v>
      </c>
      <c r="Q1927">
        <v>16.239999999999998</v>
      </c>
      <c r="R1927">
        <v>12.99</v>
      </c>
      <c r="T1927" t="s">
        <v>10227</v>
      </c>
    </row>
    <row r="1928" spans="1:20">
      <c r="A1928">
        <v>1762062</v>
      </c>
      <c r="B1928" t="s">
        <v>10228</v>
      </c>
      <c r="C1928" t="str">
        <f>"9781459806450"</f>
        <v>9781459806450</v>
      </c>
      <c r="D1928" t="str">
        <f>"9781459806467"</f>
        <v>9781459806467</v>
      </c>
      <c r="E1928" t="s">
        <v>4668</v>
      </c>
      <c r="F1928" t="s">
        <v>4668</v>
      </c>
      <c r="G1928" s="1">
        <v>41883</v>
      </c>
      <c r="I1928" t="s">
        <v>9717</v>
      </c>
      <c r="J1928" t="s">
        <v>8934</v>
      </c>
      <c r="K1928" t="s">
        <v>1464</v>
      </c>
      <c r="L1928" t="s">
        <v>10229</v>
      </c>
      <c r="M1928">
        <v>813.54</v>
      </c>
      <c r="N1928" t="s">
        <v>10217</v>
      </c>
      <c r="O1928" t="s">
        <v>26</v>
      </c>
      <c r="P1928">
        <v>9.99</v>
      </c>
      <c r="Q1928">
        <v>12.49</v>
      </c>
      <c r="R1928">
        <v>9.99</v>
      </c>
      <c r="T1928" t="s">
        <v>10230</v>
      </c>
    </row>
    <row r="1929" spans="1:20">
      <c r="A1929">
        <v>1762063</v>
      </c>
      <c r="B1929" t="s">
        <v>10231</v>
      </c>
      <c r="C1929" t="str">
        <f>"9781459807150"</f>
        <v>9781459807150</v>
      </c>
      <c r="D1929" t="str">
        <f>"9781459807174"</f>
        <v>9781459807174</v>
      </c>
      <c r="E1929" t="s">
        <v>4668</v>
      </c>
      <c r="F1929" t="s">
        <v>4668</v>
      </c>
      <c r="G1929" s="1">
        <v>41883</v>
      </c>
      <c r="I1929" t="s">
        <v>5056</v>
      </c>
      <c r="J1929" t="s">
        <v>5544</v>
      </c>
      <c r="K1929" t="s">
        <v>1464</v>
      </c>
      <c r="L1929" t="s">
        <v>10232</v>
      </c>
      <c r="M1929">
        <v>813.54</v>
      </c>
      <c r="N1929" t="s">
        <v>8503</v>
      </c>
      <c r="O1929" t="s">
        <v>26</v>
      </c>
      <c r="P1929">
        <v>9.99</v>
      </c>
      <c r="Q1929">
        <v>12.49</v>
      </c>
      <c r="R1929">
        <v>9.99</v>
      </c>
      <c r="T1929" t="s">
        <v>10233</v>
      </c>
    </row>
    <row r="1930" spans="1:20">
      <c r="A1930">
        <v>1762064</v>
      </c>
      <c r="B1930" t="s">
        <v>10234</v>
      </c>
      <c r="C1930" t="str">
        <f>"9781459807341"</f>
        <v>9781459807341</v>
      </c>
      <c r="D1930" t="str">
        <f>"9781459807358"</f>
        <v>9781459807358</v>
      </c>
      <c r="E1930" t="s">
        <v>4668</v>
      </c>
      <c r="F1930" t="s">
        <v>8157</v>
      </c>
      <c r="G1930" s="1">
        <v>41883</v>
      </c>
      <c r="I1930" t="s">
        <v>8158</v>
      </c>
      <c r="J1930" t="s">
        <v>10235</v>
      </c>
      <c r="K1930" t="s">
        <v>1464</v>
      </c>
      <c r="L1930" t="s">
        <v>10236</v>
      </c>
      <c r="M1930">
        <v>813.54</v>
      </c>
      <c r="N1930" t="s">
        <v>10237</v>
      </c>
      <c r="O1930" t="s">
        <v>26</v>
      </c>
      <c r="P1930">
        <v>9.99</v>
      </c>
      <c r="Q1930">
        <v>12.49</v>
      </c>
      <c r="R1930">
        <v>9.99</v>
      </c>
      <c r="T1930" t="s">
        <v>10238</v>
      </c>
    </row>
    <row r="1931" spans="1:20">
      <c r="A1931">
        <v>1762065</v>
      </c>
      <c r="B1931" t="s">
        <v>10239</v>
      </c>
      <c r="C1931" t="str">
        <f>"9781459807389"</f>
        <v>9781459807389</v>
      </c>
      <c r="D1931" t="str">
        <f>"9781459807402"</f>
        <v>9781459807402</v>
      </c>
      <c r="E1931" t="s">
        <v>4668</v>
      </c>
      <c r="F1931" t="s">
        <v>4668</v>
      </c>
      <c r="G1931" s="1">
        <v>41883</v>
      </c>
      <c r="I1931" t="s">
        <v>4685</v>
      </c>
      <c r="J1931" t="s">
        <v>8735</v>
      </c>
      <c r="K1931" t="s">
        <v>1464</v>
      </c>
      <c r="L1931" t="s">
        <v>10240</v>
      </c>
      <c r="M1931">
        <v>813.54</v>
      </c>
      <c r="N1931" t="s">
        <v>10241</v>
      </c>
      <c r="O1931" t="s">
        <v>26</v>
      </c>
      <c r="P1931">
        <v>9.99</v>
      </c>
      <c r="Q1931">
        <v>12.49</v>
      </c>
      <c r="R1931">
        <v>9.99</v>
      </c>
      <c r="T1931" t="s">
        <v>10242</v>
      </c>
    </row>
    <row r="1932" spans="1:20">
      <c r="A1932">
        <v>1762066</v>
      </c>
      <c r="B1932" t="s">
        <v>10243</v>
      </c>
      <c r="C1932" t="str">
        <f>"9781459807488"</f>
        <v>9781459807488</v>
      </c>
      <c r="D1932" t="str">
        <f>"9781459807495"</f>
        <v>9781459807495</v>
      </c>
      <c r="E1932" t="s">
        <v>4668</v>
      </c>
      <c r="F1932" t="s">
        <v>8157</v>
      </c>
      <c r="G1932" s="1">
        <v>41883</v>
      </c>
      <c r="I1932" t="s">
        <v>8158</v>
      </c>
      <c r="J1932" t="s">
        <v>8828</v>
      </c>
      <c r="K1932" t="s">
        <v>1464</v>
      </c>
      <c r="L1932" t="s">
        <v>10244</v>
      </c>
      <c r="M1932">
        <v>813.54</v>
      </c>
      <c r="N1932" t="s">
        <v>10245</v>
      </c>
      <c r="O1932" t="s">
        <v>26</v>
      </c>
      <c r="P1932">
        <v>9.99</v>
      </c>
      <c r="Q1932">
        <v>12.49</v>
      </c>
      <c r="R1932">
        <v>9.99</v>
      </c>
      <c r="T1932" t="s">
        <v>10246</v>
      </c>
    </row>
    <row r="1933" spans="1:20">
      <c r="A1933">
        <v>1762067</v>
      </c>
      <c r="B1933" t="s">
        <v>10247</v>
      </c>
      <c r="C1933" t="str">
        <f>"9781459807754"</f>
        <v>9781459807754</v>
      </c>
      <c r="D1933" t="str">
        <f>"9781459807778"</f>
        <v>9781459807778</v>
      </c>
      <c r="E1933" t="s">
        <v>4668</v>
      </c>
      <c r="F1933" t="s">
        <v>4668</v>
      </c>
      <c r="G1933" s="1">
        <v>41883</v>
      </c>
      <c r="I1933" t="s">
        <v>4685</v>
      </c>
      <c r="J1933" t="s">
        <v>5708</v>
      </c>
      <c r="K1933" t="s">
        <v>1464</v>
      </c>
      <c r="L1933" t="s">
        <v>10248</v>
      </c>
      <c r="M1933">
        <v>813.54</v>
      </c>
      <c r="N1933" t="s">
        <v>8503</v>
      </c>
      <c r="O1933" t="s">
        <v>26</v>
      </c>
      <c r="P1933">
        <v>9.99</v>
      </c>
      <c r="Q1933">
        <v>12.49</v>
      </c>
      <c r="R1933">
        <v>9.99</v>
      </c>
      <c r="T1933" t="s">
        <v>10249</v>
      </c>
    </row>
    <row r="1934" spans="1:20">
      <c r="A1934">
        <v>1762068</v>
      </c>
      <c r="B1934" t="s">
        <v>10250</v>
      </c>
      <c r="C1934" t="str">
        <f>"9781459808034"</f>
        <v>9781459808034</v>
      </c>
      <c r="D1934" t="str">
        <f>"9781459808058"</f>
        <v>9781459808058</v>
      </c>
      <c r="E1934" t="s">
        <v>4668</v>
      </c>
      <c r="F1934" t="s">
        <v>4668</v>
      </c>
      <c r="G1934" s="1">
        <v>41883</v>
      </c>
      <c r="I1934" t="s">
        <v>5056</v>
      </c>
      <c r="J1934" t="s">
        <v>10251</v>
      </c>
      <c r="K1934" t="s">
        <v>1464</v>
      </c>
      <c r="L1934" t="s">
        <v>10252</v>
      </c>
      <c r="M1934">
        <v>813.54</v>
      </c>
      <c r="N1934" t="s">
        <v>10253</v>
      </c>
      <c r="O1934" t="s">
        <v>26</v>
      </c>
      <c r="P1934">
        <v>9.99</v>
      </c>
      <c r="Q1934">
        <v>12.49</v>
      </c>
      <c r="R1934">
        <v>9.99</v>
      </c>
      <c r="T1934" t="s">
        <v>10254</v>
      </c>
    </row>
    <row r="1935" spans="1:20">
      <c r="A1935">
        <v>1762069</v>
      </c>
      <c r="B1935" t="s">
        <v>10255</v>
      </c>
      <c r="C1935" t="str">
        <f>"9781459808195"</f>
        <v>9781459808195</v>
      </c>
      <c r="D1935" t="str">
        <f>"9781459808201"</f>
        <v>9781459808201</v>
      </c>
      <c r="E1935" t="s">
        <v>4668</v>
      </c>
      <c r="F1935" t="s">
        <v>8157</v>
      </c>
      <c r="G1935" s="1">
        <v>41883</v>
      </c>
      <c r="I1935" t="s">
        <v>8158</v>
      </c>
      <c r="J1935" t="s">
        <v>9214</v>
      </c>
      <c r="K1935" t="s">
        <v>1464</v>
      </c>
      <c r="L1935" t="s">
        <v>10256</v>
      </c>
      <c r="M1935">
        <v>813.6</v>
      </c>
      <c r="N1935" t="s">
        <v>10257</v>
      </c>
      <c r="O1935" t="s">
        <v>26</v>
      </c>
      <c r="P1935">
        <v>9.99</v>
      </c>
      <c r="Q1935">
        <v>12.49</v>
      </c>
      <c r="R1935">
        <v>9.99</v>
      </c>
      <c r="T1935" t="s">
        <v>10258</v>
      </c>
    </row>
    <row r="1936" spans="1:20">
      <c r="A1936">
        <v>1763851</v>
      </c>
      <c r="B1936" t="s">
        <v>10259</v>
      </c>
      <c r="C1936" t="str">
        <f>"9781771860208"</f>
        <v>9781771860208</v>
      </c>
      <c r="D1936" t="str">
        <f>"9781771860222"</f>
        <v>9781771860222</v>
      </c>
      <c r="E1936" t="s">
        <v>9223</v>
      </c>
      <c r="F1936" t="s">
        <v>9223</v>
      </c>
      <c r="G1936" s="1">
        <v>41897</v>
      </c>
      <c r="J1936" t="s">
        <v>10260</v>
      </c>
      <c r="K1936" t="s">
        <v>1471</v>
      </c>
      <c r="L1936" t="s">
        <v>10261</v>
      </c>
      <c r="M1936">
        <v>759.11</v>
      </c>
      <c r="N1936" t="s">
        <v>10262</v>
      </c>
      <c r="O1936" t="s">
        <v>26</v>
      </c>
      <c r="P1936">
        <v>29.99</v>
      </c>
      <c r="Q1936">
        <v>25.99</v>
      </c>
      <c r="R1936">
        <v>19.989999999999998</v>
      </c>
      <c r="S1936">
        <v>29.99</v>
      </c>
      <c r="T1936" t="s">
        <v>10263</v>
      </c>
    </row>
    <row r="1937" spans="1:20">
      <c r="A1937">
        <v>1768203</v>
      </c>
      <c r="B1937" t="s">
        <v>10264</v>
      </c>
      <c r="C1937" t="str">
        <f>"9780889221895"</f>
        <v>9780889221895</v>
      </c>
      <c r="D1937" t="str">
        <f>"9780889228627"</f>
        <v>9780889228627</v>
      </c>
      <c r="E1937" t="s">
        <v>9493</v>
      </c>
      <c r="F1937" t="s">
        <v>9493</v>
      </c>
      <c r="G1937" s="1">
        <v>41852</v>
      </c>
      <c r="J1937" t="s">
        <v>10265</v>
      </c>
      <c r="K1937" t="s">
        <v>7075</v>
      </c>
      <c r="L1937" t="s">
        <v>10266</v>
      </c>
      <c r="M1937" t="s">
        <v>10267</v>
      </c>
      <c r="N1937" t="s">
        <v>10268</v>
      </c>
      <c r="O1937" t="s">
        <v>26</v>
      </c>
      <c r="P1937">
        <v>19.95</v>
      </c>
      <c r="R1937">
        <v>19.95</v>
      </c>
      <c r="S1937">
        <v>29.93</v>
      </c>
      <c r="T1937" t="s">
        <v>10269</v>
      </c>
    </row>
    <row r="1938" spans="1:20">
      <c r="A1938">
        <v>1777139</v>
      </c>
      <c r="B1938" t="s">
        <v>10270</v>
      </c>
      <c r="C1938" t="str">
        <f>"9780889224308"</f>
        <v>9780889224308</v>
      </c>
      <c r="D1938" t="str">
        <f>"9780889228719"</f>
        <v>9780889228719</v>
      </c>
      <c r="E1938" t="s">
        <v>9493</v>
      </c>
      <c r="F1938" t="s">
        <v>9493</v>
      </c>
      <c r="G1938" s="1">
        <v>41866</v>
      </c>
      <c r="J1938" t="s">
        <v>10265</v>
      </c>
      <c r="K1938" t="s">
        <v>1550</v>
      </c>
      <c r="L1938" t="s">
        <v>10271</v>
      </c>
      <c r="M1938" t="s">
        <v>10272</v>
      </c>
      <c r="N1938" t="s">
        <v>10273</v>
      </c>
      <c r="O1938" t="s">
        <v>26</v>
      </c>
      <c r="P1938">
        <v>18.95</v>
      </c>
      <c r="R1938">
        <v>18.95</v>
      </c>
      <c r="S1938">
        <v>28.43</v>
      </c>
      <c r="T1938" t="s">
        <v>10274</v>
      </c>
    </row>
    <row r="1939" spans="1:20">
      <c r="A1939">
        <v>1777140</v>
      </c>
      <c r="B1939" t="s">
        <v>10275</v>
      </c>
      <c r="C1939" t="str">
        <f>"9780889222465"</f>
        <v>9780889222465</v>
      </c>
      <c r="D1939" t="str">
        <f>"9780889228634"</f>
        <v>9780889228634</v>
      </c>
      <c r="E1939" t="s">
        <v>9493</v>
      </c>
      <c r="F1939" t="s">
        <v>9493</v>
      </c>
      <c r="G1939" s="1">
        <v>41852</v>
      </c>
      <c r="J1939" t="s">
        <v>10276</v>
      </c>
      <c r="K1939" t="s">
        <v>376</v>
      </c>
      <c r="L1939" t="s">
        <v>10277</v>
      </c>
      <c r="M1939">
        <v>362.109711</v>
      </c>
      <c r="N1939" t="s">
        <v>10278</v>
      </c>
      <c r="O1939" t="s">
        <v>26</v>
      </c>
      <c r="P1939">
        <v>24.95</v>
      </c>
      <c r="R1939">
        <v>24.95</v>
      </c>
      <c r="S1939">
        <v>37.43</v>
      </c>
      <c r="T1939" t="s">
        <v>10279</v>
      </c>
    </row>
    <row r="1940" spans="1:20">
      <c r="A1940">
        <v>1777835</v>
      </c>
      <c r="B1940" t="s">
        <v>10280</v>
      </c>
      <c r="C1940" t="str">
        <f>"9789042038875"</f>
        <v>9789042038875</v>
      </c>
      <c r="D1940" t="str">
        <f>"9789401211703"</f>
        <v>9789401211703</v>
      </c>
      <c r="E1940" t="s">
        <v>9350</v>
      </c>
      <c r="F1940" t="s">
        <v>9350</v>
      </c>
      <c r="G1940" s="1">
        <v>41913</v>
      </c>
      <c r="I1940" t="s">
        <v>10281</v>
      </c>
      <c r="J1940" t="s">
        <v>10282</v>
      </c>
      <c r="K1940" t="s">
        <v>1464</v>
      </c>
      <c r="L1940" t="s">
        <v>10283</v>
      </c>
      <c r="M1940">
        <v>843</v>
      </c>
      <c r="N1940" t="s">
        <v>10284</v>
      </c>
      <c r="O1940" t="s">
        <v>94</v>
      </c>
      <c r="P1940">
        <v>73</v>
      </c>
      <c r="Q1940">
        <v>91.25</v>
      </c>
      <c r="R1940">
        <v>73</v>
      </c>
      <c r="S1940">
        <v>109.5</v>
      </c>
      <c r="T1940" t="s">
        <v>10285</v>
      </c>
    </row>
    <row r="1941" spans="1:20">
      <c r="A1941">
        <v>1779280</v>
      </c>
      <c r="B1941" t="s">
        <v>10286</v>
      </c>
      <c r="C1941" t="str">
        <f>"9781459729070"</f>
        <v>9781459729070</v>
      </c>
      <c r="D1941" t="str">
        <f>"9781459729087"</f>
        <v>9781459729087</v>
      </c>
      <c r="E1941" t="s">
        <v>3488</v>
      </c>
      <c r="F1941" t="s">
        <v>3488</v>
      </c>
      <c r="G1941" s="1">
        <v>42224</v>
      </c>
      <c r="J1941" t="s">
        <v>10287</v>
      </c>
      <c r="K1941" t="s">
        <v>1471</v>
      </c>
      <c r="L1941" t="s">
        <v>10288</v>
      </c>
      <c r="M1941">
        <v>759.11</v>
      </c>
      <c r="N1941" t="s">
        <v>10289</v>
      </c>
      <c r="O1941" t="s">
        <v>26</v>
      </c>
      <c r="P1941">
        <v>24.99</v>
      </c>
      <c r="R1941">
        <v>24.99</v>
      </c>
      <c r="S1941">
        <v>37.49</v>
      </c>
      <c r="T1941" t="s">
        <v>10290</v>
      </c>
    </row>
    <row r="1942" spans="1:20">
      <c r="A1942">
        <v>1780923</v>
      </c>
      <c r="B1942" t="s">
        <v>10291</v>
      </c>
      <c r="C1942" t="str">
        <f>"9780889223868"</f>
        <v>9780889223868</v>
      </c>
      <c r="D1942" t="str">
        <f>"9780889228702"</f>
        <v>9780889228702</v>
      </c>
      <c r="E1942" t="s">
        <v>9493</v>
      </c>
      <c r="F1942" t="s">
        <v>9493</v>
      </c>
      <c r="G1942" s="1">
        <v>41907</v>
      </c>
      <c r="I1942" t="s">
        <v>9879</v>
      </c>
      <c r="J1942" t="s">
        <v>10292</v>
      </c>
      <c r="K1942" t="s">
        <v>1464</v>
      </c>
      <c r="L1942" t="s">
        <v>10293</v>
      </c>
      <c r="M1942" t="s">
        <v>9882</v>
      </c>
      <c r="N1942" t="s">
        <v>10294</v>
      </c>
      <c r="O1942" t="s">
        <v>26</v>
      </c>
      <c r="P1942">
        <v>15.95</v>
      </c>
      <c r="R1942">
        <v>15.95</v>
      </c>
      <c r="S1942">
        <v>23.93</v>
      </c>
      <c r="T1942" t="s">
        <v>10295</v>
      </c>
    </row>
    <row r="1943" spans="1:20">
      <c r="A1943">
        <v>1780933</v>
      </c>
      <c r="B1943" t="s">
        <v>10296</v>
      </c>
      <c r="C1943" t="str">
        <f>"9780889224575"</f>
        <v>9780889224575</v>
      </c>
      <c r="D1943" t="str">
        <f>"9780889228733"</f>
        <v>9780889228733</v>
      </c>
      <c r="E1943" t="s">
        <v>9493</v>
      </c>
      <c r="F1943" t="s">
        <v>9493</v>
      </c>
      <c r="G1943" s="1">
        <v>41907</v>
      </c>
      <c r="J1943" t="s">
        <v>10297</v>
      </c>
      <c r="K1943" t="s">
        <v>263</v>
      </c>
      <c r="L1943" t="s">
        <v>10298</v>
      </c>
      <c r="M1943">
        <v>306</v>
      </c>
      <c r="N1943" t="s">
        <v>10299</v>
      </c>
      <c r="O1943" t="s">
        <v>26</v>
      </c>
      <c r="P1943">
        <v>24.95</v>
      </c>
      <c r="R1943">
        <v>24.95</v>
      </c>
      <c r="S1943">
        <v>37.43</v>
      </c>
      <c r="T1943" t="s">
        <v>10300</v>
      </c>
    </row>
    <row r="1944" spans="1:20">
      <c r="A1944">
        <v>1794076</v>
      </c>
      <c r="B1944" t="s">
        <v>10301</v>
      </c>
      <c r="C1944" t="str">
        <f>"9781459805347"</f>
        <v>9781459805347</v>
      </c>
      <c r="D1944" t="str">
        <f>"9781459805361"</f>
        <v>9781459805361</v>
      </c>
      <c r="E1944" t="s">
        <v>4668</v>
      </c>
      <c r="F1944" t="s">
        <v>4668</v>
      </c>
      <c r="G1944" s="1">
        <v>41913</v>
      </c>
      <c r="I1944" t="s">
        <v>10302</v>
      </c>
      <c r="J1944" t="s">
        <v>9176</v>
      </c>
      <c r="K1944" t="s">
        <v>1464</v>
      </c>
      <c r="L1944" t="s">
        <v>10303</v>
      </c>
      <c r="M1944" t="s">
        <v>1460</v>
      </c>
      <c r="N1944" t="s">
        <v>10304</v>
      </c>
      <c r="O1944" t="s">
        <v>26</v>
      </c>
      <c r="P1944">
        <v>10.99</v>
      </c>
      <c r="Q1944">
        <v>13.74</v>
      </c>
      <c r="R1944">
        <v>10.99</v>
      </c>
      <c r="T1944" t="s">
        <v>10305</v>
      </c>
    </row>
    <row r="1945" spans="1:20">
      <c r="A1945">
        <v>1794077</v>
      </c>
      <c r="B1945" t="s">
        <v>10306</v>
      </c>
      <c r="C1945" t="str">
        <f>"9781459805378"</f>
        <v>9781459805378</v>
      </c>
      <c r="D1945" t="str">
        <f>"9781459805385"</f>
        <v>9781459805385</v>
      </c>
      <c r="E1945" t="s">
        <v>4668</v>
      </c>
      <c r="F1945" t="s">
        <v>4668</v>
      </c>
      <c r="G1945" s="1">
        <v>41913</v>
      </c>
      <c r="I1945" t="s">
        <v>10302</v>
      </c>
      <c r="J1945" t="s">
        <v>5575</v>
      </c>
      <c r="K1945" t="s">
        <v>1464</v>
      </c>
      <c r="L1945" t="s">
        <v>10307</v>
      </c>
      <c r="M1945" t="s">
        <v>1460</v>
      </c>
      <c r="N1945" t="s">
        <v>10308</v>
      </c>
      <c r="O1945" t="s">
        <v>26</v>
      </c>
      <c r="P1945">
        <v>10.99</v>
      </c>
      <c r="Q1945">
        <v>13.74</v>
      </c>
      <c r="R1945">
        <v>10.99</v>
      </c>
      <c r="T1945" t="s">
        <v>10309</v>
      </c>
    </row>
    <row r="1946" spans="1:20">
      <c r="A1946">
        <v>1794079</v>
      </c>
      <c r="B1946" t="s">
        <v>10310</v>
      </c>
      <c r="C1946" t="str">
        <f>"9781459805439"</f>
        <v>9781459805439</v>
      </c>
      <c r="D1946" t="str">
        <f>"9781459805453"</f>
        <v>9781459805453</v>
      </c>
      <c r="E1946" t="s">
        <v>4668</v>
      </c>
      <c r="F1946" t="s">
        <v>4668</v>
      </c>
      <c r="G1946" s="1">
        <v>41913</v>
      </c>
      <c r="I1946" t="s">
        <v>10302</v>
      </c>
      <c r="J1946" t="s">
        <v>3636</v>
      </c>
      <c r="K1946" t="s">
        <v>1464</v>
      </c>
      <c r="L1946" t="s">
        <v>10311</v>
      </c>
      <c r="M1946" t="s">
        <v>1460</v>
      </c>
      <c r="N1946" t="s">
        <v>10312</v>
      </c>
      <c r="O1946" t="s">
        <v>26</v>
      </c>
      <c r="P1946">
        <v>10.99</v>
      </c>
      <c r="Q1946">
        <v>13.74</v>
      </c>
      <c r="R1946">
        <v>10.99</v>
      </c>
      <c r="T1946" t="s">
        <v>10313</v>
      </c>
    </row>
    <row r="1947" spans="1:20">
      <c r="A1947">
        <v>1794085</v>
      </c>
      <c r="B1947" t="s">
        <v>10314</v>
      </c>
      <c r="C1947" t="str">
        <f>"9781459807426"</f>
        <v>9781459807426</v>
      </c>
      <c r="D1947" t="str">
        <f>"9781459807433"</f>
        <v>9781459807433</v>
      </c>
      <c r="E1947" t="s">
        <v>4668</v>
      </c>
      <c r="F1947" t="s">
        <v>4668</v>
      </c>
      <c r="G1947" s="1">
        <v>41913</v>
      </c>
      <c r="I1947" t="s">
        <v>9938</v>
      </c>
      <c r="J1947" t="s">
        <v>10315</v>
      </c>
      <c r="K1947" t="s">
        <v>263</v>
      </c>
      <c r="L1947" t="s">
        <v>10316</v>
      </c>
      <c r="M1947" t="s">
        <v>10317</v>
      </c>
      <c r="N1947" t="s">
        <v>10318</v>
      </c>
      <c r="O1947" t="s">
        <v>26</v>
      </c>
      <c r="P1947">
        <v>19.989999999999998</v>
      </c>
      <c r="Q1947">
        <v>24.99</v>
      </c>
      <c r="R1947">
        <v>19.989999999999998</v>
      </c>
      <c r="T1947" t="s">
        <v>10319</v>
      </c>
    </row>
    <row r="1948" spans="1:20">
      <c r="A1948">
        <v>1794087</v>
      </c>
      <c r="B1948" t="s">
        <v>10320</v>
      </c>
      <c r="C1948" t="str">
        <f>"9781459807679"</f>
        <v>9781459807679</v>
      </c>
      <c r="D1948" t="str">
        <f>"9781459807693"</f>
        <v>9781459807693</v>
      </c>
      <c r="E1948" t="s">
        <v>4668</v>
      </c>
      <c r="F1948" t="s">
        <v>4668</v>
      </c>
      <c r="G1948" s="1">
        <v>41913</v>
      </c>
      <c r="I1948" t="s">
        <v>4685</v>
      </c>
      <c r="J1948" t="s">
        <v>9449</v>
      </c>
      <c r="K1948" t="s">
        <v>1464</v>
      </c>
      <c r="L1948" t="s">
        <v>10321</v>
      </c>
      <c r="M1948" t="s">
        <v>1460</v>
      </c>
      <c r="N1948" t="s">
        <v>10322</v>
      </c>
      <c r="O1948" t="s">
        <v>26</v>
      </c>
      <c r="P1948">
        <v>9.99</v>
      </c>
      <c r="Q1948">
        <v>12.49</v>
      </c>
      <c r="R1948">
        <v>9.99</v>
      </c>
      <c r="T1948" t="s">
        <v>10323</v>
      </c>
    </row>
    <row r="1949" spans="1:20">
      <c r="A1949">
        <v>1810248</v>
      </c>
      <c r="B1949" t="s">
        <v>10324</v>
      </c>
      <c r="C1949" t="str">
        <f>"9781459728776"</f>
        <v>9781459728776</v>
      </c>
      <c r="D1949" t="str">
        <f>"9781459728783"</f>
        <v>9781459728783</v>
      </c>
      <c r="E1949" t="s">
        <v>3488</v>
      </c>
      <c r="F1949" t="s">
        <v>3488</v>
      </c>
      <c r="G1949" s="1">
        <v>42224</v>
      </c>
      <c r="J1949" t="s">
        <v>10325</v>
      </c>
      <c r="K1949" t="s">
        <v>10326</v>
      </c>
      <c r="L1949" t="s">
        <v>10327</v>
      </c>
      <c r="M1949">
        <v>385.09714000000002</v>
      </c>
      <c r="N1949" t="s">
        <v>10328</v>
      </c>
      <c r="O1949" t="s">
        <v>26</v>
      </c>
      <c r="P1949">
        <v>14.99</v>
      </c>
      <c r="R1949">
        <v>14.99</v>
      </c>
      <c r="S1949">
        <v>22.49</v>
      </c>
      <c r="T1949" t="s">
        <v>10329</v>
      </c>
    </row>
    <row r="1950" spans="1:20">
      <c r="A1950">
        <v>1810250</v>
      </c>
      <c r="B1950" t="s">
        <v>10330</v>
      </c>
      <c r="C1950" t="str">
        <f>"9781459730663"</f>
        <v>9781459730663</v>
      </c>
      <c r="D1950" t="str">
        <f>"9781459730670"</f>
        <v>9781459730670</v>
      </c>
      <c r="E1950" t="s">
        <v>3488</v>
      </c>
      <c r="F1950" t="s">
        <v>3488</v>
      </c>
      <c r="G1950" s="1">
        <v>42175</v>
      </c>
      <c r="I1950" t="s">
        <v>10331</v>
      </c>
      <c r="J1950" t="s">
        <v>10332</v>
      </c>
      <c r="K1950" t="s">
        <v>525</v>
      </c>
      <c r="L1950" t="s">
        <v>10333</v>
      </c>
      <c r="M1950" t="s">
        <v>10334</v>
      </c>
      <c r="N1950" t="s">
        <v>10335</v>
      </c>
      <c r="O1950" t="s">
        <v>26</v>
      </c>
      <c r="P1950">
        <v>12.99</v>
      </c>
      <c r="R1950">
        <v>12.99</v>
      </c>
      <c r="S1950">
        <v>19.489999999999998</v>
      </c>
      <c r="T1950" t="s">
        <v>10336</v>
      </c>
    </row>
    <row r="1951" spans="1:20">
      <c r="A1951">
        <v>1810251</v>
      </c>
      <c r="B1951" t="s">
        <v>10337</v>
      </c>
      <c r="C1951" t="str">
        <f>"9781459728486"</f>
        <v>9781459728486</v>
      </c>
      <c r="D1951" t="str">
        <f>"9781459728493"</f>
        <v>9781459728493</v>
      </c>
      <c r="E1951" t="s">
        <v>3488</v>
      </c>
      <c r="F1951" t="s">
        <v>3488</v>
      </c>
      <c r="G1951" s="1">
        <v>42231</v>
      </c>
      <c r="J1951" t="s">
        <v>10338</v>
      </c>
      <c r="K1951" t="s">
        <v>10339</v>
      </c>
      <c r="L1951" t="s">
        <v>10340</v>
      </c>
      <c r="M1951" t="s">
        <v>10341</v>
      </c>
      <c r="N1951" t="s">
        <v>10342</v>
      </c>
      <c r="O1951" t="s">
        <v>26</v>
      </c>
      <c r="P1951">
        <v>14.99</v>
      </c>
      <c r="R1951">
        <v>14.99</v>
      </c>
      <c r="S1951">
        <v>22.49</v>
      </c>
      <c r="T1951" t="s">
        <v>10343</v>
      </c>
    </row>
    <row r="1952" spans="1:20">
      <c r="A1952">
        <v>1810252</v>
      </c>
      <c r="B1952" t="s">
        <v>10344</v>
      </c>
      <c r="C1952" t="str">
        <f>"9781459730342"</f>
        <v>9781459730342</v>
      </c>
      <c r="D1952" t="str">
        <f>"9781459730359"</f>
        <v>9781459730359</v>
      </c>
      <c r="E1952" t="s">
        <v>3488</v>
      </c>
      <c r="F1952" t="s">
        <v>3488</v>
      </c>
      <c r="G1952" s="1">
        <v>42231</v>
      </c>
      <c r="J1952" t="s">
        <v>10345</v>
      </c>
      <c r="K1952" t="s">
        <v>1464</v>
      </c>
      <c r="L1952" t="s">
        <v>10346</v>
      </c>
      <c r="M1952">
        <v>813.54</v>
      </c>
      <c r="N1952" t="s">
        <v>10347</v>
      </c>
      <c r="O1952" t="s">
        <v>26</v>
      </c>
      <c r="P1952">
        <v>19.989999999999998</v>
      </c>
      <c r="R1952">
        <v>19.989999999999998</v>
      </c>
      <c r="S1952">
        <v>29.99</v>
      </c>
      <c r="T1952" t="s">
        <v>10348</v>
      </c>
    </row>
    <row r="1953" spans="1:20">
      <c r="A1953">
        <v>1810253</v>
      </c>
      <c r="B1953" t="s">
        <v>10349</v>
      </c>
      <c r="C1953" t="str">
        <f>"9781459730762"</f>
        <v>9781459730762</v>
      </c>
      <c r="D1953" t="str">
        <f>"9781459730779"</f>
        <v>9781459730779</v>
      </c>
      <c r="E1953" t="s">
        <v>3488</v>
      </c>
      <c r="F1953" t="s">
        <v>3488</v>
      </c>
      <c r="G1953" s="1">
        <v>42210</v>
      </c>
      <c r="J1953" t="s">
        <v>10350</v>
      </c>
      <c r="K1953" t="s">
        <v>263</v>
      </c>
      <c r="L1953" t="s">
        <v>10351</v>
      </c>
      <c r="M1953" t="s">
        <v>10352</v>
      </c>
      <c r="N1953" t="s">
        <v>10353</v>
      </c>
      <c r="O1953" t="s">
        <v>26</v>
      </c>
      <c r="P1953">
        <v>12.99</v>
      </c>
      <c r="R1953">
        <v>12.99</v>
      </c>
      <c r="S1953">
        <v>19.489999999999998</v>
      </c>
      <c r="T1953" t="s">
        <v>10354</v>
      </c>
    </row>
    <row r="1954" spans="1:20">
      <c r="A1954">
        <v>1810254</v>
      </c>
      <c r="B1954" t="s">
        <v>10355</v>
      </c>
      <c r="C1954" t="str">
        <f>"9781459731097"</f>
        <v>9781459731097</v>
      </c>
      <c r="D1954" t="str">
        <f>"9781459731103"</f>
        <v>9781459731103</v>
      </c>
      <c r="E1954" t="s">
        <v>3488</v>
      </c>
      <c r="F1954" t="s">
        <v>3488</v>
      </c>
      <c r="G1954" s="1">
        <v>42161</v>
      </c>
      <c r="J1954" t="s">
        <v>10356</v>
      </c>
      <c r="K1954" t="s">
        <v>263</v>
      </c>
      <c r="L1954" t="s">
        <v>10357</v>
      </c>
      <c r="M1954" t="s">
        <v>10358</v>
      </c>
      <c r="N1954" t="s">
        <v>10359</v>
      </c>
      <c r="O1954" t="s">
        <v>26</v>
      </c>
      <c r="P1954">
        <v>10.99</v>
      </c>
      <c r="R1954">
        <v>10.99</v>
      </c>
      <c r="S1954">
        <v>16.489999999999998</v>
      </c>
      <c r="T1954" t="s">
        <v>10360</v>
      </c>
    </row>
    <row r="1955" spans="1:20">
      <c r="A1955">
        <v>1811374</v>
      </c>
      <c r="B1955" t="s">
        <v>10361</v>
      </c>
      <c r="C1955" t="str">
        <f>"9780865717848"</f>
        <v>9780865717848</v>
      </c>
      <c r="D1955" t="str">
        <f>"9781550925791"</f>
        <v>9781550925791</v>
      </c>
      <c r="E1955" t="s">
        <v>249</v>
      </c>
      <c r="F1955" t="s">
        <v>249</v>
      </c>
      <c r="G1955" s="1">
        <v>41932</v>
      </c>
      <c r="H1955">
        <v>14</v>
      </c>
      <c r="J1955" t="s">
        <v>10362</v>
      </c>
      <c r="K1955" t="s">
        <v>10363</v>
      </c>
      <c r="L1955" t="s">
        <v>10364</v>
      </c>
      <c r="M1955">
        <v>621.47</v>
      </c>
      <c r="N1955" t="s">
        <v>10365</v>
      </c>
      <c r="O1955" t="s">
        <v>26</v>
      </c>
      <c r="P1955">
        <v>39.950000000000003</v>
      </c>
      <c r="R1955">
        <v>39.950000000000003</v>
      </c>
      <c r="S1955">
        <v>59.93</v>
      </c>
      <c r="T1955" t="s">
        <v>10366</v>
      </c>
    </row>
    <row r="1956" spans="1:20">
      <c r="A1956">
        <v>1826390</v>
      </c>
      <c r="B1956" t="s">
        <v>10367</v>
      </c>
      <c r="C1956" t="str">
        <f>"9780889223158"</f>
        <v>9780889223158</v>
      </c>
      <c r="D1956" t="str">
        <f>"9780889228641"</f>
        <v>9780889228641</v>
      </c>
      <c r="E1956" t="s">
        <v>9493</v>
      </c>
      <c r="F1956" t="s">
        <v>9493</v>
      </c>
      <c r="G1956" s="1">
        <v>41922</v>
      </c>
      <c r="J1956" t="s">
        <v>10276</v>
      </c>
      <c r="K1956" t="s">
        <v>525</v>
      </c>
      <c r="L1956" t="s">
        <v>10368</v>
      </c>
      <c r="M1956" t="s">
        <v>10369</v>
      </c>
      <c r="N1956" t="s">
        <v>10370</v>
      </c>
      <c r="O1956" t="s">
        <v>26</v>
      </c>
      <c r="P1956">
        <v>29.95</v>
      </c>
      <c r="R1956">
        <v>29.95</v>
      </c>
      <c r="S1956">
        <v>44.93</v>
      </c>
      <c r="T1956" t="s">
        <v>10371</v>
      </c>
    </row>
    <row r="1957" spans="1:20">
      <c r="A1957">
        <v>1826904</v>
      </c>
      <c r="B1957" t="s">
        <v>10372</v>
      </c>
      <c r="C1957" t="str">
        <f>"9781459803978"</f>
        <v>9781459803978</v>
      </c>
      <c r="D1957" t="str">
        <f>"9781459803985"</f>
        <v>9781459803985</v>
      </c>
      <c r="E1957" t="s">
        <v>4668</v>
      </c>
      <c r="F1957" t="s">
        <v>4668</v>
      </c>
      <c r="G1957" s="1">
        <v>41944</v>
      </c>
      <c r="I1957" t="s">
        <v>10373</v>
      </c>
      <c r="J1957" t="s">
        <v>9118</v>
      </c>
      <c r="K1957" t="s">
        <v>1464</v>
      </c>
      <c r="L1957" t="s">
        <v>10374</v>
      </c>
      <c r="M1957" t="s">
        <v>1460</v>
      </c>
      <c r="N1957" t="s">
        <v>10375</v>
      </c>
      <c r="O1957" t="s">
        <v>26</v>
      </c>
      <c r="P1957">
        <v>6.99</v>
      </c>
      <c r="Q1957">
        <v>8.74</v>
      </c>
      <c r="R1957">
        <v>6.99</v>
      </c>
      <c r="T1957" t="s">
        <v>10376</v>
      </c>
    </row>
    <row r="1958" spans="1:20">
      <c r="A1958">
        <v>1826905</v>
      </c>
      <c r="B1958" t="s">
        <v>10377</v>
      </c>
      <c r="C1958" t="str">
        <f>"9781459804005"</f>
        <v>9781459804005</v>
      </c>
      <c r="D1958" t="str">
        <f>"9781459804012"</f>
        <v>9781459804012</v>
      </c>
      <c r="E1958" t="s">
        <v>4668</v>
      </c>
      <c r="F1958" t="s">
        <v>4668</v>
      </c>
      <c r="G1958" s="1">
        <v>41944</v>
      </c>
      <c r="I1958" t="s">
        <v>10373</v>
      </c>
      <c r="J1958" t="s">
        <v>10378</v>
      </c>
      <c r="K1958" t="s">
        <v>1464</v>
      </c>
      <c r="L1958" t="s">
        <v>10379</v>
      </c>
      <c r="M1958" t="s">
        <v>1509</v>
      </c>
      <c r="N1958" t="s">
        <v>10380</v>
      </c>
      <c r="O1958" t="s">
        <v>26</v>
      </c>
      <c r="P1958">
        <v>6.99</v>
      </c>
      <c r="Q1958">
        <v>8.74</v>
      </c>
      <c r="R1958">
        <v>6.99</v>
      </c>
      <c r="T1958" t="s">
        <v>10381</v>
      </c>
    </row>
    <row r="1959" spans="1:20">
      <c r="A1959">
        <v>1826906</v>
      </c>
      <c r="B1959" t="s">
        <v>10382</v>
      </c>
      <c r="C1959" t="str">
        <f>"9781459807013"</f>
        <v>9781459807013</v>
      </c>
      <c r="D1959" t="str">
        <f>"9781459807020"</f>
        <v>9781459807020</v>
      </c>
      <c r="E1959" t="s">
        <v>4668</v>
      </c>
      <c r="F1959" t="s">
        <v>4668</v>
      </c>
      <c r="G1959" s="1">
        <v>41944</v>
      </c>
      <c r="I1959" t="s">
        <v>4703</v>
      </c>
      <c r="J1959" t="s">
        <v>3636</v>
      </c>
      <c r="K1959" t="s">
        <v>1464</v>
      </c>
      <c r="L1959" t="s">
        <v>10383</v>
      </c>
      <c r="M1959" t="s">
        <v>1460</v>
      </c>
      <c r="N1959" t="s">
        <v>10384</v>
      </c>
      <c r="O1959" t="s">
        <v>26</v>
      </c>
      <c r="P1959">
        <v>6.99</v>
      </c>
      <c r="Q1959">
        <v>8.74</v>
      </c>
      <c r="R1959">
        <v>6.99</v>
      </c>
      <c r="T1959" t="s">
        <v>10385</v>
      </c>
    </row>
    <row r="1960" spans="1:20">
      <c r="A1960">
        <v>1826907</v>
      </c>
      <c r="B1960" t="s">
        <v>10386</v>
      </c>
      <c r="C1960" t="str">
        <f>"9781459807518"</f>
        <v>9781459807518</v>
      </c>
      <c r="D1960" t="str">
        <f>"9781459807525"</f>
        <v>9781459807525</v>
      </c>
      <c r="E1960" t="s">
        <v>4668</v>
      </c>
      <c r="F1960" t="s">
        <v>4668</v>
      </c>
      <c r="G1960" s="1">
        <v>41913</v>
      </c>
      <c r="I1960" t="s">
        <v>4685</v>
      </c>
      <c r="J1960" t="s">
        <v>5681</v>
      </c>
      <c r="K1960" t="s">
        <v>1464</v>
      </c>
      <c r="L1960" t="s">
        <v>10387</v>
      </c>
      <c r="M1960" t="s">
        <v>1509</v>
      </c>
      <c r="N1960" t="s">
        <v>10388</v>
      </c>
      <c r="O1960" t="s">
        <v>26</v>
      </c>
      <c r="P1960">
        <v>9.99</v>
      </c>
      <c r="Q1960">
        <v>12.49</v>
      </c>
      <c r="R1960">
        <v>9.99</v>
      </c>
      <c r="T1960" t="s">
        <v>10389</v>
      </c>
    </row>
    <row r="1961" spans="1:20">
      <c r="A1961">
        <v>1826964</v>
      </c>
      <c r="B1961" t="s">
        <v>10390</v>
      </c>
      <c r="C1961" t="str">
        <f>"9781459804418"</f>
        <v>9781459804418</v>
      </c>
      <c r="D1961" t="str">
        <f>"9781459804425"</f>
        <v>9781459804425</v>
      </c>
      <c r="E1961" t="s">
        <v>4668</v>
      </c>
      <c r="F1961" t="s">
        <v>4668</v>
      </c>
      <c r="G1961" s="1">
        <v>41913</v>
      </c>
      <c r="I1961" t="s">
        <v>8244</v>
      </c>
      <c r="J1961" t="s">
        <v>9614</v>
      </c>
      <c r="K1961" t="s">
        <v>1464</v>
      </c>
      <c r="L1961" t="s">
        <v>10391</v>
      </c>
      <c r="M1961" t="s">
        <v>1460</v>
      </c>
      <c r="N1961" t="s">
        <v>10392</v>
      </c>
      <c r="O1961" t="s">
        <v>26</v>
      </c>
      <c r="P1961">
        <v>9.99</v>
      </c>
      <c r="Q1961">
        <v>12.49</v>
      </c>
      <c r="R1961">
        <v>9.99</v>
      </c>
      <c r="T1961" t="s">
        <v>10393</v>
      </c>
    </row>
    <row r="1962" spans="1:20">
      <c r="A1962">
        <v>1866970</v>
      </c>
      <c r="B1962" t="s">
        <v>10394</v>
      </c>
      <c r="C1962" t="str">
        <f>"9780889223066"</f>
        <v>9780889223066</v>
      </c>
      <c r="D1962" t="str">
        <f>"9780889228818"</f>
        <v>9780889228818</v>
      </c>
      <c r="E1962" t="s">
        <v>9493</v>
      </c>
      <c r="F1962" t="s">
        <v>9493</v>
      </c>
      <c r="G1962" s="1">
        <v>41943</v>
      </c>
      <c r="I1962" t="s">
        <v>9879</v>
      </c>
      <c r="J1962" t="s">
        <v>10395</v>
      </c>
      <c r="K1962" t="s">
        <v>1464</v>
      </c>
      <c r="L1962" t="s">
        <v>10396</v>
      </c>
      <c r="M1962" t="s">
        <v>10397</v>
      </c>
      <c r="N1962" t="s">
        <v>10398</v>
      </c>
      <c r="O1962" t="s">
        <v>26</v>
      </c>
      <c r="P1962">
        <v>13.95</v>
      </c>
      <c r="R1962">
        <v>13.95</v>
      </c>
      <c r="S1962">
        <v>20.93</v>
      </c>
      <c r="T1962" t="s">
        <v>10399</v>
      </c>
    </row>
    <row r="1963" spans="1:20">
      <c r="A1963">
        <v>1873212</v>
      </c>
      <c r="B1963" t="s">
        <v>10400</v>
      </c>
      <c r="C1963" t="str">
        <f>"9781459803794"</f>
        <v>9781459803794</v>
      </c>
      <c r="D1963" t="str">
        <f>"9781459803800"</f>
        <v>9781459803800</v>
      </c>
      <c r="E1963" t="s">
        <v>4668</v>
      </c>
      <c r="F1963" t="s">
        <v>4668</v>
      </c>
      <c r="G1963" s="1">
        <v>42064</v>
      </c>
      <c r="J1963" t="s">
        <v>10401</v>
      </c>
      <c r="K1963" t="s">
        <v>1835</v>
      </c>
      <c r="L1963" t="s">
        <v>10402</v>
      </c>
      <c r="M1963" t="s">
        <v>10403</v>
      </c>
      <c r="N1963" t="s">
        <v>10404</v>
      </c>
      <c r="O1963" t="s">
        <v>26</v>
      </c>
      <c r="P1963">
        <v>19.989999999999998</v>
      </c>
      <c r="Q1963">
        <v>24.99</v>
      </c>
      <c r="R1963">
        <v>19.989999999999998</v>
      </c>
      <c r="T1963" t="s">
        <v>10405</v>
      </c>
    </row>
    <row r="1964" spans="1:20">
      <c r="A1964">
        <v>1873213</v>
      </c>
      <c r="B1964" t="s">
        <v>10406</v>
      </c>
      <c r="C1964" t="str">
        <f>"9781459804524"</f>
        <v>9781459804524</v>
      </c>
      <c r="D1964" t="str">
        <f>"9781459804531"</f>
        <v>9781459804531</v>
      </c>
      <c r="E1964" t="s">
        <v>4668</v>
      </c>
      <c r="F1964" t="s">
        <v>4668</v>
      </c>
      <c r="G1964" s="1">
        <v>42125</v>
      </c>
      <c r="I1964" t="s">
        <v>9717</v>
      </c>
      <c r="J1964" t="s">
        <v>5708</v>
      </c>
      <c r="K1964" t="s">
        <v>1464</v>
      </c>
      <c r="L1964" t="s">
        <v>10407</v>
      </c>
      <c r="M1964" t="s">
        <v>1509</v>
      </c>
      <c r="N1964" t="s">
        <v>10408</v>
      </c>
      <c r="O1964" t="s">
        <v>26</v>
      </c>
      <c r="P1964">
        <v>9.99</v>
      </c>
      <c r="Q1964">
        <v>12.49</v>
      </c>
      <c r="R1964">
        <v>9.99</v>
      </c>
      <c r="T1964" t="s">
        <v>10409</v>
      </c>
    </row>
    <row r="1965" spans="1:20">
      <c r="A1965">
        <v>1873214</v>
      </c>
      <c r="B1965" t="s">
        <v>10410</v>
      </c>
      <c r="C1965" t="str">
        <f>"9781459804555"</f>
        <v>9781459804555</v>
      </c>
      <c r="D1965" t="str">
        <f>"9781459804562"</f>
        <v>9781459804562</v>
      </c>
      <c r="E1965" t="s">
        <v>4668</v>
      </c>
      <c r="F1965" t="s">
        <v>4668</v>
      </c>
      <c r="G1965" s="1">
        <v>42064</v>
      </c>
      <c r="I1965" t="s">
        <v>9717</v>
      </c>
      <c r="J1965" t="s">
        <v>8672</v>
      </c>
      <c r="K1965" t="s">
        <v>1127</v>
      </c>
      <c r="L1965" t="s">
        <v>10411</v>
      </c>
      <c r="M1965">
        <v>154.63</v>
      </c>
      <c r="N1965" t="s">
        <v>10412</v>
      </c>
      <c r="O1965" t="s">
        <v>26</v>
      </c>
      <c r="P1965">
        <v>9.99</v>
      </c>
      <c r="Q1965">
        <v>12.49</v>
      </c>
      <c r="R1965">
        <v>9.99</v>
      </c>
      <c r="T1965" t="s">
        <v>10413</v>
      </c>
    </row>
    <row r="1966" spans="1:20">
      <c r="A1966">
        <v>1873215</v>
      </c>
      <c r="B1966" t="s">
        <v>10414</v>
      </c>
      <c r="C1966" t="str">
        <f>"9781459804647"</f>
        <v>9781459804647</v>
      </c>
      <c r="D1966" t="str">
        <f>"9781459804654"</f>
        <v>9781459804654</v>
      </c>
      <c r="E1966" t="s">
        <v>4668</v>
      </c>
      <c r="F1966" t="s">
        <v>4668</v>
      </c>
      <c r="G1966" s="1">
        <v>42095</v>
      </c>
      <c r="I1966" t="s">
        <v>9717</v>
      </c>
      <c r="J1966" t="s">
        <v>9728</v>
      </c>
      <c r="K1966" t="s">
        <v>1464</v>
      </c>
      <c r="L1966" t="s">
        <v>10415</v>
      </c>
      <c r="M1966" t="s">
        <v>1509</v>
      </c>
      <c r="N1966" t="s">
        <v>10416</v>
      </c>
      <c r="O1966" t="s">
        <v>26</v>
      </c>
      <c r="P1966">
        <v>9.99</v>
      </c>
      <c r="Q1966">
        <v>12.49</v>
      </c>
      <c r="R1966">
        <v>9.99</v>
      </c>
      <c r="T1966" t="s">
        <v>10417</v>
      </c>
    </row>
    <row r="1967" spans="1:20">
      <c r="A1967">
        <v>1873216</v>
      </c>
      <c r="B1967" t="s">
        <v>10418</v>
      </c>
      <c r="C1967" t="str">
        <f>"9781459804937"</f>
        <v>9781459804937</v>
      </c>
      <c r="D1967" t="str">
        <f>"9781459804944"</f>
        <v>9781459804944</v>
      </c>
      <c r="E1967" t="s">
        <v>4668</v>
      </c>
      <c r="F1967" t="s">
        <v>4668</v>
      </c>
      <c r="G1967" s="1">
        <v>42125</v>
      </c>
      <c r="I1967" t="s">
        <v>4703</v>
      </c>
      <c r="J1967" t="s">
        <v>10003</v>
      </c>
      <c r="K1967" t="s">
        <v>1464</v>
      </c>
      <c r="L1967" t="s">
        <v>10419</v>
      </c>
      <c r="M1967" t="s">
        <v>1460</v>
      </c>
      <c r="N1967" t="s">
        <v>10420</v>
      </c>
      <c r="O1967" t="s">
        <v>26</v>
      </c>
      <c r="P1967">
        <v>6.99</v>
      </c>
      <c r="Q1967">
        <v>8.74</v>
      </c>
      <c r="R1967">
        <v>6.99</v>
      </c>
      <c r="T1967" t="s">
        <v>10421</v>
      </c>
    </row>
    <row r="1968" spans="1:20">
      <c r="A1968">
        <v>1873217</v>
      </c>
      <c r="B1968" t="s">
        <v>10422</v>
      </c>
      <c r="C1968" t="str">
        <f>"9781459806740"</f>
        <v>9781459806740</v>
      </c>
      <c r="D1968" t="str">
        <f>"9781459806757"</f>
        <v>9781459806757</v>
      </c>
      <c r="E1968" t="s">
        <v>4668</v>
      </c>
      <c r="F1968" t="s">
        <v>8157</v>
      </c>
      <c r="G1968" s="1">
        <v>42050</v>
      </c>
      <c r="I1968" t="s">
        <v>8158</v>
      </c>
      <c r="J1968" t="s">
        <v>9677</v>
      </c>
      <c r="K1968" t="s">
        <v>1464</v>
      </c>
      <c r="L1968" t="s">
        <v>10423</v>
      </c>
      <c r="M1968" t="s">
        <v>1460</v>
      </c>
      <c r="N1968" t="s">
        <v>10424</v>
      </c>
      <c r="O1968" t="s">
        <v>26</v>
      </c>
      <c r="P1968">
        <v>9.99</v>
      </c>
      <c r="Q1968">
        <v>12.49</v>
      </c>
      <c r="R1968">
        <v>9.99</v>
      </c>
      <c r="T1968" t="s">
        <v>10425</v>
      </c>
    </row>
    <row r="1969" spans="1:20">
      <c r="A1969">
        <v>1873218</v>
      </c>
      <c r="B1969" t="s">
        <v>10426</v>
      </c>
      <c r="C1969" t="str">
        <f>"9781459806801"</f>
        <v>9781459806801</v>
      </c>
      <c r="D1969" t="str">
        <f>"9781459806818"</f>
        <v>9781459806818</v>
      </c>
      <c r="E1969" t="s">
        <v>4668</v>
      </c>
      <c r="F1969" t="s">
        <v>4668</v>
      </c>
      <c r="G1969" s="1">
        <v>42050</v>
      </c>
      <c r="J1969" t="s">
        <v>5814</v>
      </c>
      <c r="K1969" t="s">
        <v>1464</v>
      </c>
      <c r="L1969" t="s">
        <v>10427</v>
      </c>
      <c r="M1969" t="s">
        <v>1509</v>
      </c>
      <c r="N1969" t="s">
        <v>10428</v>
      </c>
      <c r="O1969" t="s">
        <v>26</v>
      </c>
      <c r="P1969">
        <v>12.99</v>
      </c>
      <c r="Q1969">
        <v>16.239999999999998</v>
      </c>
      <c r="R1969">
        <v>12.99</v>
      </c>
      <c r="T1969" t="s">
        <v>10429</v>
      </c>
    </row>
    <row r="1970" spans="1:20">
      <c r="A1970">
        <v>1873219</v>
      </c>
      <c r="B1970" t="s">
        <v>10430</v>
      </c>
      <c r="C1970" t="str">
        <f>"9781459807075"</f>
        <v>9781459807075</v>
      </c>
      <c r="D1970" t="str">
        <f>"9781459807082"</f>
        <v>9781459807082</v>
      </c>
      <c r="E1970" t="s">
        <v>4668</v>
      </c>
      <c r="F1970" t="s">
        <v>4668</v>
      </c>
      <c r="G1970" s="1">
        <v>42064</v>
      </c>
      <c r="J1970" t="s">
        <v>10431</v>
      </c>
      <c r="K1970" t="s">
        <v>76</v>
      </c>
      <c r="L1970" t="s">
        <v>10432</v>
      </c>
      <c r="M1970">
        <v>634.73699999999997</v>
      </c>
      <c r="N1970" t="s">
        <v>10433</v>
      </c>
      <c r="O1970" t="s">
        <v>26</v>
      </c>
      <c r="P1970">
        <v>9.99</v>
      </c>
      <c r="Q1970">
        <v>12.49</v>
      </c>
      <c r="R1970">
        <v>9.99</v>
      </c>
      <c r="T1970" t="s">
        <v>10434</v>
      </c>
    </row>
    <row r="1971" spans="1:20">
      <c r="A1971">
        <v>1873220</v>
      </c>
      <c r="B1971" t="s">
        <v>10435</v>
      </c>
      <c r="C1971" t="str">
        <f>"9781459806924"</f>
        <v>9781459806924</v>
      </c>
      <c r="D1971" t="str">
        <f>"9781459806931"</f>
        <v>9781459806931</v>
      </c>
      <c r="E1971" t="s">
        <v>4668</v>
      </c>
      <c r="F1971" t="s">
        <v>4668</v>
      </c>
      <c r="G1971" s="1">
        <v>42095</v>
      </c>
      <c r="I1971" t="s">
        <v>9938</v>
      </c>
      <c r="J1971" t="s">
        <v>5627</v>
      </c>
      <c r="K1971" t="s">
        <v>10436</v>
      </c>
      <c r="L1971" t="s">
        <v>10437</v>
      </c>
      <c r="M1971">
        <v>363.72800000000001</v>
      </c>
      <c r="N1971" t="s">
        <v>10438</v>
      </c>
      <c r="O1971" t="s">
        <v>26</v>
      </c>
      <c r="P1971">
        <v>19.989999999999998</v>
      </c>
      <c r="Q1971">
        <v>24.99</v>
      </c>
      <c r="R1971">
        <v>19.989999999999998</v>
      </c>
      <c r="T1971" t="s">
        <v>10439</v>
      </c>
    </row>
    <row r="1972" spans="1:20">
      <c r="A1972">
        <v>1873221</v>
      </c>
      <c r="B1972" t="s">
        <v>10440</v>
      </c>
      <c r="C1972" t="str">
        <f>"9781459807198"</f>
        <v>9781459807198</v>
      </c>
      <c r="D1972" t="str">
        <f>"9781459807204"</f>
        <v>9781459807204</v>
      </c>
      <c r="E1972" t="s">
        <v>4668</v>
      </c>
      <c r="F1972" t="s">
        <v>4668</v>
      </c>
      <c r="G1972" s="1">
        <v>42125</v>
      </c>
      <c r="I1972" t="s">
        <v>4703</v>
      </c>
      <c r="J1972" t="s">
        <v>10441</v>
      </c>
      <c r="K1972" t="s">
        <v>1464</v>
      </c>
      <c r="L1972" t="s">
        <v>10442</v>
      </c>
      <c r="M1972" t="s">
        <v>1460</v>
      </c>
      <c r="N1972" t="s">
        <v>10443</v>
      </c>
      <c r="O1972" t="s">
        <v>26</v>
      </c>
      <c r="P1972">
        <v>6.99</v>
      </c>
      <c r="Q1972">
        <v>8.74</v>
      </c>
      <c r="R1972">
        <v>6.99</v>
      </c>
      <c r="T1972" t="s">
        <v>10444</v>
      </c>
    </row>
    <row r="1973" spans="1:20">
      <c r="A1973">
        <v>1873222</v>
      </c>
      <c r="B1973" t="s">
        <v>10445</v>
      </c>
      <c r="C1973" t="str">
        <f>"9781459807556"</f>
        <v>9781459807556</v>
      </c>
      <c r="D1973" t="str">
        <f>"9781459807563"</f>
        <v>9781459807563</v>
      </c>
      <c r="E1973" t="s">
        <v>4668</v>
      </c>
      <c r="F1973" t="s">
        <v>4668</v>
      </c>
      <c r="G1973" s="1">
        <v>42095</v>
      </c>
      <c r="J1973" t="s">
        <v>10446</v>
      </c>
      <c r="K1973" t="s">
        <v>1464</v>
      </c>
      <c r="L1973" t="s">
        <v>10447</v>
      </c>
      <c r="M1973" t="s">
        <v>1509</v>
      </c>
      <c r="N1973" t="s">
        <v>10448</v>
      </c>
      <c r="O1973" t="s">
        <v>26</v>
      </c>
      <c r="P1973">
        <v>9.99</v>
      </c>
      <c r="Q1973">
        <v>12.49</v>
      </c>
      <c r="R1973">
        <v>9.99</v>
      </c>
      <c r="T1973" t="s">
        <v>10449</v>
      </c>
    </row>
    <row r="1974" spans="1:20">
      <c r="A1974">
        <v>1873223</v>
      </c>
      <c r="B1974" t="s">
        <v>10450</v>
      </c>
      <c r="C1974" t="str">
        <f>"9781459807716"</f>
        <v>9781459807716</v>
      </c>
      <c r="D1974" t="str">
        <f>"9781459807730"</f>
        <v>9781459807730</v>
      </c>
      <c r="E1974" t="s">
        <v>4668</v>
      </c>
      <c r="F1974" t="s">
        <v>4668</v>
      </c>
      <c r="G1974" s="1">
        <v>42125</v>
      </c>
      <c r="I1974" t="s">
        <v>4685</v>
      </c>
      <c r="J1974" t="s">
        <v>5449</v>
      </c>
      <c r="K1974" t="s">
        <v>1464</v>
      </c>
      <c r="L1974" t="s">
        <v>10451</v>
      </c>
      <c r="M1974" t="s">
        <v>1509</v>
      </c>
      <c r="N1974" t="s">
        <v>10452</v>
      </c>
      <c r="O1974" t="s">
        <v>26</v>
      </c>
      <c r="P1974">
        <v>9.99</v>
      </c>
      <c r="Q1974">
        <v>12.49</v>
      </c>
      <c r="R1974">
        <v>9.99</v>
      </c>
      <c r="T1974" t="s">
        <v>10453</v>
      </c>
    </row>
    <row r="1975" spans="1:20">
      <c r="A1975">
        <v>1873224</v>
      </c>
      <c r="B1975" t="s">
        <v>10454</v>
      </c>
      <c r="C1975" t="str">
        <f>"9781459807914"</f>
        <v>9781459807914</v>
      </c>
      <c r="D1975" t="str">
        <f>"9781459807921"</f>
        <v>9781459807921</v>
      </c>
      <c r="E1975" t="s">
        <v>4668</v>
      </c>
      <c r="F1975" t="s">
        <v>4668</v>
      </c>
      <c r="G1975" s="1">
        <v>42125</v>
      </c>
      <c r="I1975" t="s">
        <v>4703</v>
      </c>
      <c r="J1975" t="s">
        <v>9801</v>
      </c>
      <c r="K1975" t="s">
        <v>1464</v>
      </c>
      <c r="L1975" t="s">
        <v>10455</v>
      </c>
      <c r="M1975" t="s">
        <v>1509</v>
      </c>
      <c r="N1975" t="s">
        <v>10456</v>
      </c>
      <c r="O1975" t="s">
        <v>26</v>
      </c>
      <c r="P1975">
        <v>6.99</v>
      </c>
      <c r="Q1975">
        <v>8.74</v>
      </c>
      <c r="R1975">
        <v>6.99</v>
      </c>
      <c r="T1975" t="s">
        <v>10457</v>
      </c>
    </row>
    <row r="1976" spans="1:20">
      <c r="A1976">
        <v>1873225</v>
      </c>
      <c r="B1976" t="s">
        <v>10458</v>
      </c>
      <c r="C1976" t="str">
        <f>"9781459807945"</f>
        <v>9781459807945</v>
      </c>
      <c r="D1976" t="str">
        <f>"9781459807952"</f>
        <v>9781459807952</v>
      </c>
      <c r="E1976" t="s">
        <v>4668</v>
      </c>
      <c r="F1976" t="s">
        <v>4668</v>
      </c>
      <c r="G1976" s="1">
        <v>42095</v>
      </c>
      <c r="J1976" t="s">
        <v>9475</v>
      </c>
      <c r="K1976" t="s">
        <v>1464</v>
      </c>
      <c r="L1976" t="s">
        <v>10459</v>
      </c>
      <c r="M1976" t="s">
        <v>1509</v>
      </c>
      <c r="N1976" t="s">
        <v>10460</v>
      </c>
      <c r="O1976" t="s">
        <v>26</v>
      </c>
      <c r="P1976">
        <v>9.99</v>
      </c>
      <c r="Q1976">
        <v>12.49</v>
      </c>
      <c r="R1976">
        <v>9.99</v>
      </c>
      <c r="T1976" t="s">
        <v>10461</v>
      </c>
    </row>
    <row r="1977" spans="1:20">
      <c r="A1977">
        <v>1873226</v>
      </c>
      <c r="B1977" t="s">
        <v>10462</v>
      </c>
      <c r="C1977" t="str">
        <f>"9781459808072"</f>
        <v>9781459808072</v>
      </c>
      <c r="D1977" t="str">
        <f>"9781459808089"</f>
        <v>9781459808089</v>
      </c>
      <c r="E1977" t="s">
        <v>4668</v>
      </c>
      <c r="F1977" t="s">
        <v>4668</v>
      </c>
      <c r="G1977" s="1">
        <v>42095</v>
      </c>
      <c r="J1977" t="s">
        <v>10463</v>
      </c>
      <c r="K1977" t="s">
        <v>1464</v>
      </c>
      <c r="L1977" t="s">
        <v>10464</v>
      </c>
      <c r="M1977" t="s">
        <v>1509</v>
      </c>
      <c r="N1977" t="s">
        <v>10465</v>
      </c>
      <c r="O1977" t="s">
        <v>26</v>
      </c>
      <c r="P1977">
        <v>12.99</v>
      </c>
      <c r="Q1977">
        <v>16.239999999999998</v>
      </c>
      <c r="R1977">
        <v>12.99</v>
      </c>
      <c r="T1977" t="s">
        <v>10466</v>
      </c>
    </row>
    <row r="1978" spans="1:20">
      <c r="A1978">
        <v>1873227</v>
      </c>
      <c r="B1978" t="s">
        <v>10467</v>
      </c>
      <c r="C1978" t="str">
        <f>"9781459808102"</f>
        <v>9781459808102</v>
      </c>
      <c r="D1978" t="str">
        <f>"9781459808119"</f>
        <v>9781459808119</v>
      </c>
      <c r="E1978" t="s">
        <v>4668</v>
      </c>
      <c r="F1978" t="s">
        <v>4668</v>
      </c>
      <c r="G1978" s="1">
        <v>42064</v>
      </c>
      <c r="J1978" t="s">
        <v>10468</v>
      </c>
      <c r="K1978" t="s">
        <v>1464</v>
      </c>
      <c r="L1978" t="s">
        <v>10469</v>
      </c>
      <c r="M1978">
        <v>808.83871999999997</v>
      </c>
      <c r="N1978" t="s">
        <v>10470</v>
      </c>
      <c r="O1978" t="s">
        <v>26</v>
      </c>
      <c r="P1978">
        <v>9.99</v>
      </c>
      <c r="Q1978">
        <v>12.49</v>
      </c>
      <c r="R1978">
        <v>9.99</v>
      </c>
      <c r="T1978" t="s">
        <v>10471</v>
      </c>
    </row>
    <row r="1979" spans="1:20">
      <c r="A1979">
        <v>1873228</v>
      </c>
      <c r="B1979" t="s">
        <v>10472</v>
      </c>
      <c r="C1979" t="str">
        <f>"9781459808225"</f>
        <v>9781459808225</v>
      </c>
      <c r="D1979" t="str">
        <f>"9781459808232"</f>
        <v>9781459808232</v>
      </c>
      <c r="E1979" t="s">
        <v>4668</v>
      </c>
      <c r="F1979" t="s">
        <v>8157</v>
      </c>
      <c r="G1979" s="1">
        <v>42050</v>
      </c>
      <c r="I1979" t="s">
        <v>8158</v>
      </c>
      <c r="J1979" t="s">
        <v>10473</v>
      </c>
      <c r="K1979" t="s">
        <v>1464</v>
      </c>
      <c r="L1979" t="s">
        <v>10474</v>
      </c>
      <c r="M1979">
        <v>813.54</v>
      </c>
      <c r="N1979" t="s">
        <v>10424</v>
      </c>
      <c r="O1979" t="s">
        <v>26</v>
      </c>
      <c r="P1979">
        <v>9.99</v>
      </c>
      <c r="Q1979">
        <v>12.49</v>
      </c>
      <c r="R1979">
        <v>9.99</v>
      </c>
      <c r="T1979" t="s">
        <v>10475</v>
      </c>
    </row>
    <row r="1980" spans="1:20">
      <c r="A1980">
        <v>1873229</v>
      </c>
      <c r="B1980" t="s">
        <v>10476</v>
      </c>
      <c r="C1980" t="str">
        <f>"9781459808287"</f>
        <v>9781459808287</v>
      </c>
      <c r="D1980" t="str">
        <f>"9781459808294"</f>
        <v>9781459808294</v>
      </c>
      <c r="E1980" t="s">
        <v>4668</v>
      </c>
      <c r="F1980" t="s">
        <v>4668</v>
      </c>
      <c r="G1980" s="1">
        <v>42095</v>
      </c>
      <c r="J1980" t="s">
        <v>8677</v>
      </c>
      <c r="K1980" t="s">
        <v>10477</v>
      </c>
      <c r="L1980" t="s">
        <v>10478</v>
      </c>
      <c r="M1980" t="s">
        <v>1509</v>
      </c>
      <c r="N1980" t="s">
        <v>10479</v>
      </c>
      <c r="O1980" t="s">
        <v>26</v>
      </c>
      <c r="P1980">
        <v>12.99</v>
      </c>
      <c r="Q1980">
        <v>16.239999999999998</v>
      </c>
      <c r="R1980">
        <v>12.99</v>
      </c>
      <c r="T1980" t="s">
        <v>10480</v>
      </c>
    </row>
    <row r="1981" spans="1:20">
      <c r="A1981">
        <v>1873230</v>
      </c>
      <c r="B1981" t="s">
        <v>10481</v>
      </c>
      <c r="C1981" t="str">
        <f>"9781459808751"</f>
        <v>9781459808751</v>
      </c>
      <c r="D1981" t="str">
        <f>"9781459808768"</f>
        <v>9781459808768</v>
      </c>
      <c r="E1981" t="s">
        <v>4668</v>
      </c>
      <c r="F1981" t="s">
        <v>4668</v>
      </c>
      <c r="G1981" s="1">
        <v>42095</v>
      </c>
      <c r="I1981" t="s">
        <v>5056</v>
      </c>
      <c r="J1981" t="s">
        <v>8662</v>
      </c>
      <c r="K1981" t="s">
        <v>1464</v>
      </c>
      <c r="L1981" t="s">
        <v>10482</v>
      </c>
      <c r="M1981" t="s">
        <v>1509</v>
      </c>
      <c r="N1981" t="s">
        <v>10483</v>
      </c>
      <c r="O1981" t="s">
        <v>26</v>
      </c>
      <c r="P1981">
        <v>9.99</v>
      </c>
      <c r="Q1981">
        <v>12.49</v>
      </c>
      <c r="R1981">
        <v>9.99</v>
      </c>
      <c r="T1981" t="s">
        <v>10484</v>
      </c>
    </row>
    <row r="1982" spans="1:20">
      <c r="A1982">
        <v>1873231</v>
      </c>
      <c r="B1982" t="s">
        <v>10485</v>
      </c>
      <c r="C1982" t="str">
        <f>"9781459808690"</f>
        <v>9781459808690</v>
      </c>
      <c r="D1982" t="str">
        <f>"9781459808706"</f>
        <v>9781459808706</v>
      </c>
      <c r="E1982" t="s">
        <v>4668</v>
      </c>
      <c r="F1982" t="s">
        <v>8157</v>
      </c>
      <c r="G1982" s="1">
        <v>42095</v>
      </c>
      <c r="I1982" t="s">
        <v>8158</v>
      </c>
      <c r="J1982" t="s">
        <v>10486</v>
      </c>
      <c r="K1982" t="s">
        <v>1464</v>
      </c>
      <c r="L1982" t="s">
        <v>10487</v>
      </c>
      <c r="M1982" t="s">
        <v>1509</v>
      </c>
      <c r="N1982" t="s">
        <v>10488</v>
      </c>
      <c r="O1982" t="s">
        <v>26</v>
      </c>
      <c r="P1982">
        <v>9.99</v>
      </c>
      <c r="Q1982">
        <v>12.49</v>
      </c>
      <c r="R1982">
        <v>9.99</v>
      </c>
      <c r="T1982" t="s">
        <v>10489</v>
      </c>
    </row>
    <row r="1983" spans="1:20">
      <c r="A1983">
        <v>1873232</v>
      </c>
      <c r="B1983" t="s">
        <v>10490</v>
      </c>
      <c r="C1983" t="str">
        <f>"9781459808669"</f>
        <v>9781459808669</v>
      </c>
      <c r="D1983" t="str">
        <f>"9781459808676"</f>
        <v>9781459808676</v>
      </c>
      <c r="E1983" t="s">
        <v>4668</v>
      </c>
      <c r="F1983" t="s">
        <v>8157</v>
      </c>
      <c r="G1983" s="1">
        <v>42095</v>
      </c>
      <c r="I1983" t="s">
        <v>8158</v>
      </c>
      <c r="J1983" t="s">
        <v>8181</v>
      </c>
      <c r="K1983" t="s">
        <v>1464</v>
      </c>
      <c r="L1983" t="s">
        <v>10491</v>
      </c>
      <c r="M1983" t="s">
        <v>1509</v>
      </c>
      <c r="N1983" t="s">
        <v>10492</v>
      </c>
      <c r="O1983" t="s">
        <v>26</v>
      </c>
      <c r="P1983">
        <v>9.99</v>
      </c>
      <c r="Q1983">
        <v>12.49</v>
      </c>
      <c r="R1983">
        <v>9.99</v>
      </c>
      <c r="T1983" t="s">
        <v>10493</v>
      </c>
    </row>
    <row r="1984" spans="1:20">
      <c r="A1984">
        <v>1873233</v>
      </c>
      <c r="B1984" t="s">
        <v>10494</v>
      </c>
      <c r="C1984" t="str">
        <f>"9781459808881"</f>
        <v>9781459808881</v>
      </c>
      <c r="D1984" t="str">
        <f>"9781459808898"</f>
        <v>9781459808898</v>
      </c>
      <c r="E1984" t="s">
        <v>4668</v>
      </c>
      <c r="F1984" t="s">
        <v>4668</v>
      </c>
      <c r="G1984" s="1">
        <v>42095</v>
      </c>
      <c r="I1984" t="s">
        <v>8244</v>
      </c>
      <c r="J1984" t="s">
        <v>10495</v>
      </c>
      <c r="K1984" t="s">
        <v>1464</v>
      </c>
      <c r="L1984" t="s">
        <v>10496</v>
      </c>
      <c r="M1984" t="s">
        <v>1509</v>
      </c>
      <c r="N1984" t="s">
        <v>10497</v>
      </c>
      <c r="O1984" t="s">
        <v>26</v>
      </c>
      <c r="P1984">
        <v>9.99</v>
      </c>
      <c r="Q1984">
        <v>12.49</v>
      </c>
      <c r="R1984">
        <v>9.99</v>
      </c>
      <c r="T1984" t="s">
        <v>10498</v>
      </c>
    </row>
    <row r="1985" spans="1:20">
      <c r="A1985">
        <v>1873234</v>
      </c>
      <c r="B1985" t="s">
        <v>10499</v>
      </c>
      <c r="C1985" t="str">
        <f>"9781459809260"</f>
        <v>9781459809260</v>
      </c>
      <c r="D1985" t="str">
        <f>"9781459809284"</f>
        <v>9781459809284</v>
      </c>
      <c r="E1985" t="s">
        <v>4668</v>
      </c>
      <c r="F1985" t="s">
        <v>4668</v>
      </c>
      <c r="G1985" s="1">
        <v>42125</v>
      </c>
      <c r="I1985" t="s">
        <v>5056</v>
      </c>
      <c r="J1985" t="s">
        <v>3578</v>
      </c>
      <c r="K1985" t="s">
        <v>10500</v>
      </c>
      <c r="L1985" t="s">
        <v>10501</v>
      </c>
      <c r="M1985" t="s">
        <v>1460</v>
      </c>
      <c r="N1985" t="s">
        <v>10502</v>
      </c>
      <c r="O1985" t="s">
        <v>26</v>
      </c>
      <c r="P1985">
        <v>9.99</v>
      </c>
      <c r="Q1985">
        <v>12.49</v>
      </c>
      <c r="R1985">
        <v>9.99</v>
      </c>
      <c r="T1985" t="s">
        <v>10503</v>
      </c>
    </row>
    <row r="1986" spans="1:20">
      <c r="A1986">
        <v>1873235</v>
      </c>
      <c r="B1986" t="s">
        <v>10504</v>
      </c>
      <c r="C1986" t="str">
        <f>"9781459810006"</f>
        <v>9781459810006</v>
      </c>
      <c r="D1986" t="str">
        <f>"9781459810020"</f>
        <v>9781459810020</v>
      </c>
      <c r="E1986" t="s">
        <v>4668</v>
      </c>
      <c r="F1986" t="s">
        <v>4668</v>
      </c>
      <c r="G1986" s="1">
        <v>42095</v>
      </c>
      <c r="I1986" t="s">
        <v>4685</v>
      </c>
      <c r="J1986" t="s">
        <v>5907</v>
      </c>
      <c r="K1986" t="s">
        <v>1464</v>
      </c>
      <c r="L1986" t="s">
        <v>10505</v>
      </c>
      <c r="M1986" t="s">
        <v>1509</v>
      </c>
      <c r="N1986" t="s">
        <v>10506</v>
      </c>
      <c r="O1986" t="s">
        <v>26</v>
      </c>
      <c r="P1986">
        <v>9.99</v>
      </c>
      <c r="Q1986">
        <v>12.49</v>
      </c>
      <c r="R1986">
        <v>9.99</v>
      </c>
      <c r="T1986" t="s">
        <v>10507</v>
      </c>
    </row>
    <row r="1987" spans="1:20">
      <c r="A1987">
        <v>1873236</v>
      </c>
      <c r="B1987" t="s">
        <v>10508</v>
      </c>
      <c r="C1987" t="str">
        <f>"9781459809963"</f>
        <v>9781459809963</v>
      </c>
      <c r="D1987" t="str">
        <f>"9781459809987"</f>
        <v>9781459809987</v>
      </c>
      <c r="E1987" t="s">
        <v>4668</v>
      </c>
      <c r="F1987" t="s">
        <v>4668</v>
      </c>
      <c r="G1987" s="1">
        <v>42095</v>
      </c>
      <c r="I1987" t="s">
        <v>4685</v>
      </c>
      <c r="J1987" t="s">
        <v>9201</v>
      </c>
      <c r="K1987" t="s">
        <v>1464</v>
      </c>
      <c r="L1987" t="s">
        <v>10509</v>
      </c>
      <c r="M1987" t="s">
        <v>1460</v>
      </c>
      <c r="N1987" t="s">
        <v>10510</v>
      </c>
      <c r="O1987" t="s">
        <v>26</v>
      </c>
      <c r="P1987">
        <v>9.99</v>
      </c>
      <c r="Q1987">
        <v>12.49</v>
      </c>
      <c r="R1987">
        <v>9.99</v>
      </c>
      <c r="T1987" t="s">
        <v>10511</v>
      </c>
    </row>
    <row r="1988" spans="1:20">
      <c r="A1988">
        <v>1885391</v>
      </c>
      <c r="B1988" t="s">
        <v>10512</v>
      </c>
      <c r="C1988" t="str">
        <f>"9780889225138"</f>
        <v>9780889225138</v>
      </c>
      <c r="D1988" t="str">
        <f>"9780889229396"</f>
        <v>9780889229396</v>
      </c>
      <c r="E1988" t="s">
        <v>9493</v>
      </c>
      <c r="F1988" t="s">
        <v>9493</v>
      </c>
      <c r="G1988" s="1">
        <v>41988</v>
      </c>
      <c r="J1988" t="s">
        <v>10513</v>
      </c>
      <c r="K1988" t="s">
        <v>263</v>
      </c>
      <c r="L1988" t="s">
        <v>10514</v>
      </c>
      <c r="M1988" t="s">
        <v>10515</v>
      </c>
      <c r="N1988" t="s">
        <v>10516</v>
      </c>
      <c r="O1988" t="s">
        <v>26</v>
      </c>
      <c r="P1988">
        <v>19.95</v>
      </c>
      <c r="R1988">
        <v>19.95</v>
      </c>
      <c r="S1988">
        <v>29.93</v>
      </c>
      <c r="T1988" t="s">
        <v>10517</v>
      </c>
    </row>
    <row r="1989" spans="1:20">
      <c r="A1989">
        <v>1891205</v>
      </c>
      <c r="B1989" t="s">
        <v>10518</v>
      </c>
      <c r="C1989" t="str">
        <f>"9780889224759"</f>
        <v>9780889224759</v>
      </c>
      <c r="D1989" t="str">
        <f>"9780889228740"</f>
        <v>9780889228740</v>
      </c>
      <c r="E1989" t="s">
        <v>9493</v>
      </c>
      <c r="F1989" t="s">
        <v>9493</v>
      </c>
      <c r="G1989" s="1">
        <v>41964</v>
      </c>
      <c r="J1989" t="s">
        <v>10519</v>
      </c>
      <c r="K1989" t="s">
        <v>1464</v>
      </c>
      <c r="L1989" t="s">
        <v>10520</v>
      </c>
      <c r="M1989" t="s">
        <v>10521</v>
      </c>
      <c r="N1989" t="s">
        <v>10522</v>
      </c>
      <c r="O1989" t="s">
        <v>26</v>
      </c>
      <c r="P1989">
        <v>19.95</v>
      </c>
      <c r="R1989">
        <v>19.95</v>
      </c>
      <c r="S1989">
        <v>29.93</v>
      </c>
      <c r="T1989" t="s">
        <v>10523</v>
      </c>
    </row>
    <row r="1990" spans="1:20">
      <c r="A1990">
        <v>1918870</v>
      </c>
      <c r="B1990" t="s">
        <v>10524</v>
      </c>
      <c r="C1990" t="str">
        <f>"9780889229327"</f>
        <v>9780889229327</v>
      </c>
      <c r="D1990" t="str">
        <f>"9780889229334"</f>
        <v>9780889229334</v>
      </c>
      <c r="E1990" t="s">
        <v>9493</v>
      </c>
      <c r="F1990" t="s">
        <v>9493</v>
      </c>
      <c r="G1990" s="1">
        <v>42240</v>
      </c>
      <c r="J1990" t="s">
        <v>10525</v>
      </c>
      <c r="K1990" t="s">
        <v>1464</v>
      </c>
      <c r="L1990" t="s">
        <v>10526</v>
      </c>
      <c r="M1990">
        <v>812.54</v>
      </c>
      <c r="N1990" t="s">
        <v>10527</v>
      </c>
      <c r="O1990" t="s">
        <v>26</v>
      </c>
      <c r="P1990">
        <v>17.95</v>
      </c>
      <c r="R1990">
        <v>17.95</v>
      </c>
      <c r="S1990">
        <v>26.93</v>
      </c>
      <c r="T1990" t="s">
        <v>10528</v>
      </c>
    </row>
    <row r="1991" spans="1:20">
      <c r="A1991">
        <v>1936844</v>
      </c>
      <c r="B1991" t="s">
        <v>10529</v>
      </c>
      <c r="C1991" t="str">
        <f>"9780865717862"</f>
        <v>9780865717862</v>
      </c>
      <c r="D1991" t="str">
        <f>"9781550925821"</f>
        <v>9781550925821</v>
      </c>
      <c r="E1991" t="s">
        <v>249</v>
      </c>
      <c r="F1991" t="s">
        <v>249</v>
      </c>
      <c r="G1991" s="1">
        <v>42065</v>
      </c>
      <c r="J1991" t="s">
        <v>2437</v>
      </c>
      <c r="K1991" t="s">
        <v>10530</v>
      </c>
      <c r="L1991" t="s">
        <v>10531</v>
      </c>
      <c r="M1991">
        <v>641.30068100000005</v>
      </c>
      <c r="N1991" t="s">
        <v>10532</v>
      </c>
      <c r="O1991" t="s">
        <v>26</v>
      </c>
      <c r="P1991">
        <v>22.95</v>
      </c>
      <c r="R1991">
        <v>22.95</v>
      </c>
      <c r="S1991">
        <v>34.43</v>
      </c>
      <c r="T1991" t="s">
        <v>10533</v>
      </c>
    </row>
    <row r="1992" spans="1:20">
      <c r="A1992">
        <v>1948826</v>
      </c>
      <c r="B1992" t="s">
        <v>10534</v>
      </c>
      <c r="C1992" t="str">
        <f>"9781552453131"</f>
        <v>9781552453131</v>
      </c>
      <c r="D1992" t="str">
        <f>"9781770564114"</f>
        <v>9781770564114</v>
      </c>
      <c r="E1992" t="s">
        <v>7779</v>
      </c>
      <c r="F1992" t="s">
        <v>7779</v>
      </c>
      <c r="G1992" s="1">
        <v>42135</v>
      </c>
      <c r="I1992" t="s">
        <v>9850</v>
      </c>
      <c r="J1992" t="s">
        <v>10535</v>
      </c>
      <c r="K1992" t="s">
        <v>1471</v>
      </c>
      <c r="L1992" t="s">
        <v>10536</v>
      </c>
      <c r="M1992">
        <v>792</v>
      </c>
      <c r="N1992" t="s">
        <v>10537</v>
      </c>
      <c r="O1992" t="s">
        <v>26</v>
      </c>
      <c r="P1992">
        <v>6.95</v>
      </c>
      <c r="R1992">
        <v>6.95</v>
      </c>
      <c r="S1992">
        <v>10.43</v>
      </c>
      <c r="T1992" t="s">
        <v>10538</v>
      </c>
    </row>
    <row r="1993" spans="1:20">
      <c r="A1993">
        <v>1980234</v>
      </c>
      <c r="B1993" t="s">
        <v>10539</v>
      </c>
      <c r="C1993" t="str">
        <f>"9780865717893"</f>
        <v>9780865717893</v>
      </c>
      <c r="D1993" t="str">
        <f>"9781550925852"</f>
        <v>9781550925852</v>
      </c>
      <c r="E1993" t="s">
        <v>249</v>
      </c>
      <c r="F1993" t="s">
        <v>249</v>
      </c>
      <c r="G1993" s="1">
        <v>42107</v>
      </c>
      <c r="J1993" t="s">
        <v>10540</v>
      </c>
      <c r="K1993" t="s">
        <v>278</v>
      </c>
      <c r="L1993" t="s">
        <v>10541</v>
      </c>
      <c r="M1993">
        <v>338.10973000000001</v>
      </c>
      <c r="N1993" t="s">
        <v>10542</v>
      </c>
      <c r="O1993" t="s">
        <v>26</v>
      </c>
      <c r="P1993">
        <v>29.95</v>
      </c>
      <c r="R1993">
        <v>29.95</v>
      </c>
      <c r="S1993">
        <v>44.93</v>
      </c>
      <c r="T1993" t="s">
        <v>10543</v>
      </c>
    </row>
    <row r="1994" spans="1:20">
      <c r="A1994">
        <v>1985533</v>
      </c>
      <c r="B1994" t="s">
        <v>10544</v>
      </c>
      <c r="C1994" t="str">
        <f>"9780889224766"</f>
        <v>9780889224766</v>
      </c>
      <c r="D1994" t="str">
        <f>"9780889229679"</f>
        <v>9780889229679</v>
      </c>
      <c r="E1994" t="s">
        <v>9493</v>
      </c>
      <c r="F1994" t="s">
        <v>9493</v>
      </c>
      <c r="G1994" s="1">
        <v>37695</v>
      </c>
      <c r="J1994" t="s">
        <v>10545</v>
      </c>
      <c r="K1994" t="s">
        <v>1464</v>
      </c>
      <c r="L1994" t="s">
        <v>10546</v>
      </c>
      <c r="M1994" t="s">
        <v>10547</v>
      </c>
      <c r="N1994" t="s">
        <v>10548</v>
      </c>
      <c r="O1994" t="s">
        <v>26</v>
      </c>
      <c r="P1994">
        <v>18.95</v>
      </c>
      <c r="R1994">
        <v>18.95</v>
      </c>
      <c r="S1994">
        <v>28.43</v>
      </c>
      <c r="T1994" t="s">
        <v>10549</v>
      </c>
    </row>
    <row r="1995" spans="1:20">
      <c r="A1995">
        <v>1985535</v>
      </c>
      <c r="B1995" t="s">
        <v>10550</v>
      </c>
      <c r="C1995" t="str">
        <f>"9780889223585"</f>
        <v>9780889223585</v>
      </c>
      <c r="D1995" t="str">
        <f>"9780889229648"</f>
        <v>9780889229648</v>
      </c>
      <c r="E1995" t="s">
        <v>9493</v>
      </c>
      <c r="F1995" t="s">
        <v>9493</v>
      </c>
      <c r="G1995" s="1">
        <v>35323</v>
      </c>
      <c r="J1995" t="s">
        <v>10551</v>
      </c>
      <c r="K1995" t="s">
        <v>3848</v>
      </c>
      <c r="L1995" t="s">
        <v>10552</v>
      </c>
      <c r="M1995">
        <v>973.91</v>
      </c>
      <c r="N1995" t="s">
        <v>10553</v>
      </c>
      <c r="O1995" t="s">
        <v>26</v>
      </c>
      <c r="P1995">
        <v>15.95</v>
      </c>
      <c r="R1995">
        <v>15.95</v>
      </c>
      <c r="S1995">
        <v>23.93</v>
      </c>
      <c r="T1995" t="s">
        <v>10554</v>
      </c>
    </row>
    <row r="1996" spans="1:20">
      <c r="A1996">
        <v>1990492</v>
      </c>
      <c r="B1996" t="s">
        <v>10555</v>
      </c>
      <c r="C1996" t="str">
        <f>"9780865717930"</f>
        <v>9780865717930</v>
      </c>
      <c r="D1996" t="str">
        <f>"9781550925883"</f>
        <v>9781550925883</v>
      </c>
      <c r="E1996" t="s">
        <v>249</v>
      </c>
      <c r="F1996" t="s">
        <v>249</v>
      </c>
      <c r="G1996" s="1">
        <v>42128</v>
      </c>
      <c r="J1996" t="s">
        <v>10556</v>
      </c>
      <c r="K1996" t="s">
        <v>76</v>
      </c>
      <c r="L1996" t="s">
        <v>10557</v>
      </c>
      <c r="M1996" t="s">
        <v>10558</v>
      </c>
      <c r="N1996" t="s">
        <v>10559</v>
      </c>
      <c r="O1996" t="s">
        <v>26</v>
      </c>
      <c r="P1996">
        <v>14.95</v>
      </c>
      <c r="R1996">
        <v>14.95</v>
      </c>
      <c r="S1996">
        <v>22.43</v>
      </c>
      <c r="T1996" t="s">
        <v>10560</v>
      </c>
    </row>
    <row r="1997" spans="1:20">
      <c r="A1997">
        <v>1996044</v>
      </c>
      <c r="B1997" t="s">
        <v>10561</v>
      </c>
      <c r="C1997" t="str">
        <f>"9780865717985"</f>
        <v>9780865717985</v>
      </c>
      <c r="D1997" t="str">
        <f>"9781550925920"</f>
        <v>9781550925920</v>
      </c>
      <c r="E1997" t="s">
        <v>249</v>
      </c>
      <c r="F1997" t="s">
        <v>249</v>
      </c>
      <c r="G1997" s="1">
        <v>42079</v>
      </c>
      <c r="J1997" t="s">
        <v>10562</v>
      </c>
      <c r="K1997" t="s">
        <v>10563</v>
      </c>
      <c r="L1997" t="s">
        <v>10564</v>
      </c>
      <c r="M1997">
        <v>333.72091999999998</v>
      </c>
      <c r="N1997" t="s">
        <v>10565</v>
      </c>
      <c r="O1997" t="s">
        <v>26</v>
      </c>
      <c r="P1997">
        <v>16.95</v>
      </c>
      <c r="R1997">
        <v>16.95</v>
      </c>
      <c r="S1997">
        <v>25.43</v>
      </c>
      <c r="T1997" t="s">
        <v>10566</v>
      </c>
    </row>
    <row r="1998" spans="1:20">
      <c r="A1998">
        <v>2005708</v>
      </c>
      <c r="B1998" t="s">
        <v>10567</v>
      </c>
      <c r="C1998" t="str">
        <f>"9780865717961"</f>
        <v>9780865717961</v>
      </c>
      <c r="D1998" t="str">
        <f>"9781550925890"</f>
        <v>9781550925890</v>
      </c>
      <c r="E1998" t="s">
        <v>249</v>
      </c>
      <c r="F1998" t="s">
        <v>249</v>
      </c>
      <c r="G1998" s="1">
        <v>42135</v>
      </c>
      <c r="J1998" t="s">
        <v>10146</v>
      </c>
      <c r="K1998" t="s">
        <v>10568</v>
      </c>
      <c r="L1998" t="s">
        <v>10569</v>
      </c>
      <c r="M1998">
        <v>615.32100000000003</v>
      </c>
      <c r="N1998" t="s">
        <v>10570</v>
      </c>
      <c r="O1998" t="s">
        <v>26</v>
      </c>
      <c r="P1998">
        <v>29.95</v>
      </c>
      <c r="R1998">
        <v>29.95</v>
      </c>
      <c r="S1998">
        <v>44.93</v>
      </c>
      <c r="T1998" t="s">
        <v>10571</v>
      </c>
    </row>
    <row r="1999" spans="1:20">
      <c r="A1999">
        <v>2028919</v>
      </c>
      <c r="B1999" t="s">
        <v>10572</v>
      </c>
      <c r="C1999" t="str">
        <f>"9780889225633"</f>
        <v>9780889225633</v>
      </c>
      <c r="D1999" t="str">
        <f>"9780889229686"</f>
        <v>9780889229686</v>
      </c>
      <c r="E1999" t="s">
        <v>9493</v>
      </c>
      <c r="F1999" t="s">
        <v>9493</v>
      </c>
      <c r="G1999" s="1">
        <v>39174</v>
      </c>
      <c r="J1999" t="s">
        <v>10573</v>
      </c>
      <c r="K1999" t="s">
        <v>1835</v>
      </c>
      <c r="L1999" t="s">
        <v>10574</v>
      </c>
      <c r="M1999" t="s">
        <v>10575</v>
      </c>
      <c r="N1999" t="s">
        <v>10576</v>
      </c>
      <c r="O1999" t="s">
        <v>26</v>
      </c>
      <c r="P1999">
        <v>24.95</v>
      </c>
      <c r="R1999">
        <v>24.95</v>
      </c>
      <c r="S1999">
        <v>37.43</v>
      </c>
      <c r="T1999" t="s">
        <v>10577</v>
      </c>
    </row>
    <row r="2000" spans="1:20">
      <c r="A2000">
        <v>2028925</v>
      </c>
      <c r="B2000" t="s">
        <v>10578</v>
      </c>
      <c r="C2000" t="str">
        <f>"9780889225596"</f>
        <v>9780889225596</v>
      </c>
      <c r="D2000" t="str">
        <f>"9780889228603"</f>
        <v>9780889228603</v>
      </c>
      <c r="E2000" t="s">
        <v>9493</v>
      </c>
      <c r="F2000" t="s">
        <v>9493</v>
      </c>
      <c r="G2000" s="1">
        <v>39136</v>
      </c>
      <c r="J2000" t="s">
        <v>10579</v>
      </c>
      <c r="K2000" t="s">
        <v>1464</v>
      </c>
      <c r="L2000" t="s">
        <v>10580</v>
      </c>
      <c r="M2000" t="s">
        <v>1545</v>
      </c>
      <c r="N2000" t="s">
        <v>10581</v>
      </c>
      <c r="O2000" t="s">
        <v>26</v>
      </c>
      <c r="P2000">
        <v>24.95</v>
      </c>
      <c r="R2000">
        <v>24.95</v>
      </c>
      <c r="S2000">
        <v>37.43</v>
      </c>
      <c r="T2000" t="s">
        <v>10582</v>
      </c>
    </row>
    <row r="2001" spans="1:20">
      <c r="A2001">
        <v>2028926</v>
      </c>
      <c r="B2001" t="s">
        <v>10583</v>
      </c>
      <c r="C2001" t="str">
        <f>"9780889224834"</f>
        <v>9780889224834</v>
      </c>
      <c r="D2001" t="str">
        <f>"9780889228610"</f>
        <v>9780889228610</v>
      </c>
      <c r="E2001" t="s">
        <v>9493</v>
      </c>
      <c r="F2001" t="s">
        <v>9493</v>
      </c>
      <c r="G2001" s="1">
        <v>37895</v>
      </c>
      <c r="J2001" t="s">
        <v>10584</v>
      </c>
      <c r="K2001" t="s">
        <v>568</v>
      </c>
      <c r="L2001" t="s">
        <v>10585</v>
      </c>
      <c r="M2001" t="s">
        <v>10586</v>
      </c>
      <c r="N2001" t="s">
        <v>10587</v>
      </c>
      <c r="O2001" t="s">
        <v>26</v>
      </c>
      <c r="P2001">
        <v>19.95</v>
      </c>
      <c r="R2001">
        <v>19.95</v>
      </c>
      <c r="S2001">
        <v>29.93</v>
      </c>
      <c r="T2001" t="s">
        <v>10588</v>
      </c>
    </row>
    <row r="2002" spans="1:20">
      <c r="A2002">
        <v>2028928</v>
      </c>
      <c r="B2002" t="s">
        <v>10589</v>
      </c>
      <c r="C2002" t="str">
        <f>"9780889223592"</f>
        <v>9780889223592</v>
      </c>
      <c r="D2002" t="str">
        <f>"9780889228696"</f>
        <v>9780889228696</v>
      </c>
      <c r="E2002" t="s">
        <v>9493</v>
      </c>
      <c r="F2002" t="s">
        <v>9493</v>
      </c>
      <c r="G2002" s="1">
        <v>34700</v>
      </c>
      <c r="H2002">
        <v>2</v>
      </c>
      <c r="J2002" t="s">
        <v>10590</v>
      </c>
      <c r="K2002" t="s">
        <v>1464</v>
      </c>
      <c r="L2002" t="s">
        <v>10591</v>
      </c>
      <c r="M2002" t="s">
        <v>10592</v>
      </c>
      <c r="N2002" t="s">
        <v>10593</v>
      </c>
      <c r="O2002" t="s">
        <v>26</v>
      </c>
      <c r="P2002">
        <v>24.95</v>
      </c>
      <c r="R2002">
        <v>24.95</v>
      </c>
      <c r="S2002">
        <v>37.43</v>
      </c>
      <c r="T2002" t="s">
        <v>10594</v>
      </c>
    </row>
    <row r="2003" spans="1:20">
      <c r="A2003">
        <v>2028934</v>
      </c>
      <c r="B2003" t="s">
        <v>10595</v>
      </c>
      <c r="C2003" t="str">
        <f>"9781552453100"</f>
        <v>9781552453100</v>
      </c>
      <c r="D2003" t="str">
        <f>"9781770564176"</f>
        <v>9781770564176</v>
      </c>
      <c r="E2003" t="s">
        <v>7779</v>
      </c>
      <c r="F2003" t="s">
        <v>7779</v>
      </c>
      <c r="G2003" s="1">
        <v>42135</v>
      </c>
      <c r="J2003" t="s">
        <v>10596</v>
      </c>
      <c r="K2003" t="s">
        <v>1464</v>
      </c>
      <c r="L2003" t="s">
        <v>10597</v>
      </c>
      <c r="M2003">
        <v>811.6</v>
      </c>
      <c r="N2003" t="s">
        <v>10598</v>
      </c>
      <c r="O2003" t="s">
        <v>26</v>
      </c>
      <c r="P2003">
        <v>12.95</v>
      </c>
      <c r="R2003">
        <v>12.95</v>
      </c>
      <c r="S2003">
        <v>19.43</v>
      </c>
      <c r="T2003" t="s">
        <v>10599</v>
      </c>
    </row>
    <row r="2004" spans="1:20">
      <c r="A2004">
        <v>2028946</v>
      </c>
      <c r="B2004" t="s">
        <v>10600</v>
      </c>
      <c r="C2004" t="str">
        <f>"9781552453094"</f>
        <v>9781552453094</v>
      </c>
      <c r="D2004" t="str">
        <f>"9781770564152"</f>
        <v>9781770564152</v>
      </c>
      <c r="E2004" t="s">
        <v>7779</v>
      </c>
      <c r="F2004" t="s">
        <v>7779</v>
      </c>
      <c r="G2004" s="1">
        <v>42114</v>
      </c>
      <c r="J2004" t="s">
        <v>1577</v>
      </c>
      <c r="K2004" t="s">
        <v>1464</v>
      </c>
      <c r="L2004" t="s">
        <v>10601</v>
      </c>
      <c r="M2004">
        <v>811.08199999999999</v>
      </c>
      <c r="N2004" t="s">
        <v>10602</v>
      </c>
      <c r="O2004" t="s">
        <v>26</v>
      </c>
      <c r="P2004">
        <v>12.95</v>
      </c>
      <c r="R2004">
        <v>12.95</v>
      </c>
      <c r="S2004">
        <v>19.43</v>
      </c>
      <c r="T2004" t="s">
        <v>10603</v>
      </c>
    </row>
    <row r="2005" spans="1:20">
      <c r="A2005">
        <v>2052417</v>
      </c>
      <c r="B2005" t="s">
        <v>10604</v>
      </c>
      <c r="C2005" t="str">
        <f>"9782894508602"</f>
        <v>9782894508602</v>
      </c>
      <c r="D2005" t="str">
        <f>"9782897182397"</f>
        <v>9782897182397</v>
      </c>
      <c r="E2005" t="s">
        <v>10605</v>
      </c>
      <c r="F2005" t="s">
        <v>10606</v>
      </c>
      <c r="G2005" s="1">
        <v>41030</v>
      </c>
      <c r="I2005" t="s">
        <v>10607</v>
      </c>
      <c r="J2005" t="s">
        <v>10608</v>
      </c>
      <c r="K2005" t="s">
        <v>1464</v>
      </c>
      <c r="L2005" t="s">
        <v>10609</v>
      </c>
      <c r="M2005">
        <v>813.6</v>
      </c>
      <c r="N2005" t="s">
        <v>10610</v>
      </c>
      <c r="O2005" t="s">
        <v>26</v>
      </c>
      <c r="P2005">
        <v>3.99</v>
      </c>
      <c r="R2005">
        <v>3.99</v>
      </c>
      <c r="S2005">
        <v>5.99</v>
      </c>
      <c r="T2005" t="s">
        <v>10611</v>
      </c>
    </row>
    <row r="2006" spans="1:20">
      <c r="A2006">
        <v>2053536</v>
      </c>
      <c r="B2006" t="s">
        <v>10612</v>
      </c>
      <c r="C2006" t="str">
        <f>"9780889222366"</f>
        <v>9780889222366</v>
      </c>
      <c r="D2006" t="str">
        <f>"9780889228825"</f>
        <v>9780889228825</v>
      </c>
      <c r="E2006" t="s">
        <v>9493</v>
      </c>
      <c r="F2006" t="s">
        <v>9493</v>
      </c>
      <c r="G2006" s="1">
        <v>31413</v>
      </c>
      <c r="J2006" t="s">
        <v>10613</v>
      </c>
      <c r="K2006" t="s">
        <v>3939</v>
      </c>
      <c r="L2006" t="s">
        <v>10614</v>
      </c>
      <c r="M2006">
        <v>809.89710000000002</v>
      </c>
      <c r="N2006" t="s">
        <v>10615</v>
      </c>
      <c r="O2006" t="s">
        <v>26</v>
      </c>
      <c r="P2006">
        <v>19.95</v>
      </c>
      <c r="R2006">
        <v>19.95</v>
      </c>
      <c r="S2006">
        <v>29.93</v>
      </c>
      <c r="T2006" t="s">
        <v>10616</v>
      </c>
    </row>
    <row r="2007" spans="1:20">
      <c r="A2007">
        <v>2055658</v>
      </c>
      <c r="B2007" t="s">
        <v>10617</v>
      </c>
      <c r="C2007" t="str">
        <f>"9781909808133"</f>
        <v>9781909808133</v>
      </c>
      <c r="D2007" t="str">
        <f>"9781910690932"</f>
        <v>9781910690932</v>
      </c>
      <c r="E2007" t="s">
        <v>10618</v>
      </c>
      <c r="F2007" t="s">
        <v>10618</v>
      </c>
      <c r="G2007" s="1">
        <v>41640</v>
      </c>
      <c r="J2007" t="s">
        <v>10619</v>
      </c>
      <c r="K2007" t="s">
        <v>291</v>
      </c>
      <c r="L2007" t="s">
        <v>10620</v>
      </c>
      <c r="M2007">
        <v>940.44</v>
      </c>
      <c r="N2007" t="s">
        <v>10621</v>
      </c>
      <c r="O2007" t="s">
        <v>26</v>
      </c>
      <c r="P2007">
        <v>26.39</v>
      </c>
      <c r="Q2007">
        <v>32.99</v>
      </c>
      <c r="R2007">
        <v>26.39</v>
      </c>
      <c r="S2007">
        <v>39.590000000000003</v>
      </c>
      <c r="T2007" t="s">
        <v>10622</v>
      </c>
    </row>
    <row r="2008" spans="1:20">
      <c r="A2008">
        <v>2055662</v>
      </c>
      <c r="B2008" t="s">
        <v>10623</v>
      </c>
      <c r="C2008" t="str">
        <f>"9781473838062"</f>
        <v>9781473838062</v>
      </c>
      <c r="D2008" t="str">
        <f>"9781473859746"</f>
        <v>9781473859746</v>
      </c>
      <c r="E2008" t="s">
        <v>10624</v>
      </c>
      <c r="F2008" t="s">
        <v>10625</v>
      </c>
      <c r="G2008" s="1">
        <v>42307</v>
      </c>
      <c r="J2008" t="s">
        <v>10626</v>
      </c>
      <c r="K2008" t="s">
        <v>305</v>
      </c>
      <c r="L2008" t="s">
        <v>10627</v>
      </c>
      <c r="M2008">
        <v>385.09710000000001</v>
      </c>
      <c r="N2008" t="s">
        <v>10628</v>
      </c>
      <c r="O2008" t="s">
        <v>26</v>
      </c>
      <c r="P2008">
        <v>25.29</v>
      </c>
      <c r="Q2008">
        <v>31.61</v>
      </c>
      <c r="R2008">
        <v>25.29</v>
      </c>
      <c r="S2008">
        <v>37.94</v>
      </c>
      <c r="T2008" t="s">
        <v>10629</v>
      </c>
    </row>
    <row r="2009" spans="1:20">
      <c r="A2009">
        <v>2056752</v>
      </c>
      <c r="B2009" t="s">
        <v>10630</v>
      </c>
      <c r="C2009" t="str">
        <f>"9780865717947"</f>
        <v>9780865717947</v>
      </c>
      <c r="D2009" t="str">
        <f>"9781550925876"</f>
        <v>9781550925876</v>
      </c>
      <c r="E2009" t="s">
        <v>249</v>
      </c>
      <c r="F2009" t="s">
        <v>249</v>
      </c>
      <c r="G2009" s="1">
        <v>42184</v>
      </c>
      <c r="J2009" t="s">
        <v>10631</v>
      </c>
      <c r="K2009" t="s">
        <v>1011</v>
      </c>
      <c r="L2009" t="s">
        <v>10632</v>
      </c>
      <c r="M2009">
        <v>339.10923488999998</v>
      </c>
      <c r="N2009" t="s">
        <v>10633</v>
      </c>
      <c r="O2009" t="s">
        <v>26</v>
      </c>
      <c r="P2009">
        <v>18.95</v>
      </c>
      <c r="R2009">
        <v>18.95</v>
      </c>
      <c r="S2009">
        <v>28.43</v>
      </c>
      <c r="T2009" t="s">
        <v>10634</v>
      </c>
    </row>
    <row r="2010" spans="1:20">
      <c r="A2010">
        <v>2059516</v>
      </c>
      <c r="B2010" t="s">
        <v>10635</v>
      </c>
      <c r="C2010" t="str">
        <f>"9781926639857"</f>
        <v>9781926639857</v>
      </c>
      <c r="D2010" t="str">
        <f>"9781926639970"</f>
        <v>9781926639970</v>
      </c>
      <c r="E2010" t="s">
        <v>10636</v>
      </c>
      <c r="F2010" t="s">
        <v>10636</v>
      </c>
      <c r="G2010" s="1">
        <v>42186</v>
      </c>
      <c r="J2010" t="s">
        <v>10637</v>
      </c>
      <c r="O2010" t="s">
        <v>26</v>
      </c>
      <c r="P2010">
        <v>17.989999999999998</v>
      </c>
      <c r="Q2010">
        <v>15.59</v>
      </c>
      <c r="R2010">
        <v>11.99</v>
      </c>
      <c r="S2010">
        <v>17.989999999999998</v>
      </c>
      <c r="T2010" t="s">
        <v>10638</v>
      </c>
    </row>
    <row r="2011" spans="1:20">
      <c r="A2011">
        <v>2066019</v>
      </c>
      <c r="B2011" t="s">
        <v>10639</v>
      </c>
      <c r="C2011" t="str">
        <f>"9781552453063"</f>
        <v>9781552453063</v>
      </c>
      <c r="D2011" t="str">
        <f>"9781770564053"</f>
        <v>9781770564053</v>
      </c>
      <c r="E2011" t="s">
        <v>7779</v>
      </c>
      <c r="F2011" t="s">
        <v>7779</v>
      </c>
      <c r="G2011" s="1">
        <v>42198</v>
      </c>
      <c r="J2011" t="s">
        <v>10640</v>
      </c>
      <c r="K2011" t="s">
        <v>1464</v>
      </c>
      <c r="M2011">
        <v>813.6</v>
      </c>
      <c r="O2011" t="s">
        <v>26</v>
      </c>
      <c r="P2011">
        <v>14.95</v>
      </c>
      <c r="R2011">
        <v>14.95</v>
      </c>
      <c r="S2011">
        <v>22.43</v>
      </c>
      <c r="T2011" t="s">
        <v>10641</v>
      </c>
    </row>
    <row r="2012" spans="1:20">
      <c r="A2012">
        <v>2077753</v>
      </c>
      <c r="B2012" t="s">
        <v>10642</v>
      </c>
      <c r="C2012" t="str">
        <f>"9780889224391"</f>
        <v>9780889224391</v>
      </c>
      <c r="D2012" t="str">
        <f>"9780889229693"</f>
        <v>9780889229693</v>
      </c>
      <c r="E2012" t="s">
        <v>9493</v>
      </c>
      <c r="F2012" t="s">
        <v>9493</v>
      </c>
      <c r="G2012" s="1">
        <v>36526</v>
      </c>
      <c r="J2012" t="s">
        <v>10643</v>
      </c>
      <c r="K2012" t="s">
        <v>1464</v>
      </c>
      <c r="M2012">
        <v>812.54</v>
      </c>
      <c r="O2012" t="s">
        <v>26</v>
      </c>
      <c r="P2012">
        <v>17.95</v>
      </c>
      <c r="R2012">
        <v>17.95</v>
      </c>
      <c r="S2012">
        <v>26.93</v>
      </c>
      <c r="T2012" t="s">
        <v>10644</v>
      </c>
    </row>
    <row r="2013" spans="1:20">
      <c r="A2013">
        <v>2077754</v>
      </c>
      <c r="B2013" t="s">
        <v>10645</v>
      </c>
      <c r="C2013" t="str">
        <f>"9780889228962"</f>
        <v>9780889228962</v>
      </c>
      <c r="D2013" t="str">
        <f>"9780889228979"</f>
        <v>9780889228979</v>
      </c>
      <c r="E2013" t="s">
        <v>9493</v>
      </c>
      <c r="F2013" t="s">
        <v>9493</v>
      </c>
      <c r="G2013" s="1">
        <v>42195</v>
      </c>
      <c r="J2013" t="s">
        <v>10646</v>
      </c>
      <c r="K2013" t="s">
        <v>1464</v>
      </c>
      <c r="L2013" t="s">
        <v>10647</v>
      </c>
      <c r="M2013">
        <v>848</v>
      </c>
      <c r="N2013" t="s">
        <v>10648</v>
      </c>
      <c r="O2013" t="s">
        <v>26</v>
      </c>
      <c r="P2013">
        <v>22.95</v>
      </c>
      <c r="R2013">
        <v>22.95</v>
      </c>
      <c r="S2013">
        <v>34.43</v>
      </c>
      <c r="T2013" t="s">
        <v>10649</v>
      </c>
    </row>
    <row r="2014" spans="1:20">
      <c r="A2014">
        <v>2190147</v>
      </c>
      <c r="B2014" t="s">
        <v>10650</v>
      </c>
      <c r="C2014" t="str">
        <f>"9781926639901"</f>
        <v>9781926639901</v>
      </c>
      <c r="D2014" t="str">
        <f>"9781988040035"</f>
        <v>9781988040035</v>
      </c>
      <c r="E2014" t="s">
        <v>10636</v>
      </c>
      <c r="F2014" t="s">
        <v>10636</v>
      </c>
      <c r="G2014" s="1">
        <v>42248</v>
      </c>
      <c r="J2014" t="s">
        <v>10651</v>
      </c>
      <c r="O2014" t="s">
        <v>26</v>
      </c>
      <c r="P2014">
        <v>17.989999999999998</v>
      </c>
      <c r="Q2014">
        <v>15.59</v>
      </c>
      <c r="R2014">
        <v>11.99</v>
      </c>
      <c r="S2014">
        <v>17.989999999999998</v>
      </c>
      <c r="T2014" t="s">
        <v>10652</v>
      </c>
    </row>
    <row r="2015" spans="1:20">
      <c r="A2015">
        <v>3007386</v>
      </c>
      <c r="B2015" t="s">
        <v>10653</v>
      </c>
      <c r="C2015" t="str">
        <f>"9780660184715"</f>
        <v>9780660184715</v>
      </c>
      <c r="D2015" t="str">
        <f>"9781459302990"</f>
        <v>9781459302990</v>
      </c>
      <c r="E2015" t="s">
        <v>21</v>
      </c>
      <c r="F2015" t="s">
        <v>21</v>
      </c>
      <c r="G2015" s="1">
        <v>35400</v>
      </c>
      <c r="J2015" t="s">
        <v>10654</v>
      </c>
      <c r="K2015" t="s">
        <v>76</v>
      </c>
      <c r="L2015" t="s">
        <v>10655</v>
      </c>
      <c r="M2015" t="s">
        <v>105</v>
      </c>
      <c r="N2015" t="s">
        <v>106</v>
      </c>
      <c r="O2015" t="s">
        <v>26</v>
      </c>
      <c r="P2015">
        <v>29.95</v>
      </c>
      <c r="T2015" t="s">
        <v>10656</v>
      </c>
    </row>
    <row r="2016" spans="1:20">
      <c r="A2016">
        <v>3007387</v>
      </c>
      <c r="B2016" t="s">
        <v>10657</v>
      </c>
      <c r="C2016" t="str">
        <f>"9780660960579"</f>
        <v>9780660960579</v>
      </c>
      <c r="D2016" t="str">
        <f>"9781459303126"</f>
        <v>9781459303126</v>
      </c>
      <c r="E2016" t="s">
        <v>21</v>
      </c>
      <c r="F2016" t="s">
        <v>21</v>
      </c>
      <c r="G2016" s="1">
        <v>36130</v>
      </c>
      <c r="J2016" t="s">
        <v>10658</v>
      </c>
      <c r="K2016" t="s">
        <v>791</v>
      </c>
      <c r="L2016" t="s">
        <v>10659</v>
      </c>
      <c r="M2016" t="s">
        <v>10660</v>
      </c>
      <c r="N2016" t="s">
        <v>10661</v>
      </c>
      <c r="O2016" t="s">
        <v>94</v>
      </c>
      <c r="P2016">
        <v>69.95</v>
      </c>
      <c r="T2016" t="s">
        <v>10662</v>
      </c>
    </row>
    <row r="2017" spans="1:20">
      <c r="A2017">
        <v>3007388</v>
      </c>
      <c r="B2017" t="s">
        <v>10663</v>
      </c>
      <c r="C2017" t="str">
        <f>"9780660192604"</f>
        <v>9780660192604</v>
      </c>
      <c r="D2017" t="str">
        <f>"9781459300446"</f>
        <v>9781459300446</v>
      </c>
      <c r="E2017" t="s">
        <v>21</v>
      </c>
      <c r="F2017" t="s">
        <v>21</v>
      </c>
      <c r="G2017" s="1">
        <v>37591</v>
      </c>
      <c r="J2017" t="s">
        <v>10664</v>
      </c>
      <c r="K2017" t="s">
        <v>23</v>
      </c>
      <c r="L2017" t="s">
        <v>10665</v>
      </c>
      <c r="N2017" t="s">
        <v>10666</v>
      </c>
      <c r="O2017" t="s">
        <v>26</v>
      </c>
      <c r="P2017">
        <v>42.95</v>
      </c>
      <c r="T2017" t="s">
        <v>10667</v>
      </c>
    </row>
    <row r="2018" spans="1:20">
      <c r="A2018">
        <v>3007389</v>
      </c>
      <c r="B2018" t="s">
        <v>10668</v>
      </c>
      <c r="C2018" t="str">
        <f>"9780660192673"</f>
        <v>9780660192673</v>
      </c>
      <c r="D2018" t="str">
        <f>"9780660192673"</f>
        <v>9780660192673</v>
      </c>
      <c r="E2018" t="s">
        <v>21</v>
      </c>
      <c r="F2018" t="s">
        <v>21</v>
      </c>
      <c r="G2018" s="1">
        <v>37956</v>
      </c>
      <c r="J2018" t="s">
        <v>10669</v>
      </c>
      <c r="K2018" t="s">
        <v>10670</v>
      </c>
      <c r="L2018" t="s">
        <v>10671</v>
      </c>
      <c r="M2018" t="s">
        <v>10672</v>
      </c>
      <c r="N2018" t="s">
        <v>10673</v>
      </c>
      <c r="O2018" t="s">
        <v>26</v>
      </c>
      <c r="P2018">
        <v>54.95</v>
      </c>
      <c r="T2018" t="s">
        <v>10674</v>
      </c>
    </row>
    <row r="2019" spans="1:20">
      <c r="A2019">
        <v>3007390</v>
      </c>
      <c r="B2019" t="s">
        <v>10675</v>
      </c>
      <c r="C2019" t="str">
        <f>"9780660193717"</f>
        <v>9780660193717</v>
      </c>
      <c r="D2019" t="str">
        <f>"9781459303089"</f>
        <v>9781459303089</v>
      </c>
      <c r="E2019" t="s">
        <v>21</v>
      </c>
      <c r="F2019" t="s">
        <v>21</v>
      </c>
      <c r="G2019" s="1">
        <v>38322</v>
      </c>
      <c r="J2019" t="s">
        <v>10676</v>
      </c>
      <c r="K2019" t="s">
        <v>110</v>
      </c>
      <c r="L2019" t="s">
        <v>10677</v>
      </c>
      <c r="M2019" t="s">
        <v>10678</v>
      </c>
      <c r="N2019" t="s">
        <v>10679</v>
      </c>
      <c r="O2019" t="s">
        <v>26</v>
      </c>
      <c r="P2019">
        <v>14.95</v>
      </c>
      <c r="T2019" t="s">
        <v>10680</v>
      </c>
    </row>
    <row r="2020" spans="1:20">
      <c r="A2020">
        <v>3007391</v>
      </c>
      <c r="B2020" t="s">
        <v>10681</v>
      </c>
      <c r="C2020" t="str">
        <f>"9780660194219"</f>
        <v>9780660194219</v>
      </c>
      <c r="D2020" t="str">
        <f>"9780660194226"</f>
        <v>9780660194226</v>
      </c>
      <c r="E2020" t="s">
        <v>21</v>
      </c>
      <c r="F2020" t="s">
        <v>21</v>
      </c>
      <c r="G2020" s="1">
        <v>38687</v>
      </c>
      <c r="J2020" t="s">
        <v>10682</v>
      </c>
      <c r="K2020" t="s">
        <v>155</v>
      </c>
      <c r="L2020" t="s">
        <v>10683</v>
      </c>
      <c r="M2020" t="s">
        <v>10684</v>
      </c>
      <c r="N2020" t="s">
        <v>10685</v>
      </c>
      <c r="O2020" t="s">
        <v>26</v>
      </c>
      <c r="P2020">
        <v>45.95</v>
      </c>
      <c r="T2020" t="s">
        <v>10686</v>
      </c>
    </row>
    <row r="2021" spans="1:20">
      <c r="A2021">
        <v>3007392</v>
      </c>
      <c r="B2021" t="s">
        <v>10687</v>
      </c>
      <c r="C2021" t="str">
        <f>"9780660193991"</f>
        <v>9780660193991</v>
      </c>
      <c r="D2021" t="str">
        <f>"9780660194011"</f>
        <v>9780660194011</v>
      </c>
      <c r="E2021" t="s">
        <v>21</v>
      </c>
      <c r="F2021" t="s">
        <v>21</v>
      </c>
      <c r="G2021" s="1">
        <v>38322</v>
      </c>
      <c r="I2021" t="s">
        <v>10688</v>
      </c>
      <c r="J2021" t="s">
        <v>10689</v>
      </c>
      <c r="K2021" t="s">
        <v>23</v>
      </c>
      <c r="L2021" t="s">
        <v>10690</v>
      </c>
      <c r="M2021">
        <v>595.76</v>
      </c>
      <c r="N2021" t="s">
        <v>10691</v>
      </c>
      <c r="O2021" t="s">
        <v>26</v>
      </c>
      <c r="P2021">
        <v>42.95</v>
      </c>
      <c r="T2021" t="s">
        <v>10692</v>
      </c>
    </row>
    <row r="2022" spans="1:20">
      <c r="A2022">
        <v>3007393</v>
      </c>
      <c r="B2022" t="s">
        <v>10693</v>
      </c>
      <c r="C2022" t="str">
        <f>"9780660627137"</f>
        <v>9780660627137</v>
      </c>
      <c r="D2022" t="str">
        <f>"9780662494416"</f>
        <v>9780662494416</v>
      </c>
      <c r="E2022" t="s">
        <v>21</v>
      </c>
      <c r="F2022" t="s">
        <v>21</v>
      </c>
      <c r="G2022" s="1">
        <v>38322</v>
      </c>
      <c r="J2022" t="s">
        <v>10694</v>
      </c>
      <c r="K2022" t="s">
        <v>110</v>
      </c>
      <c r="L2022" t="s">
        <v>10695</v>
      </c>
      <c r="M2022" t="s">
        <v>10696</v>
      </c>
      <c r="N2022" t="s">
        <v>10697</v>
      </c>
      <c r="O2022" t="s">
        <v>26</v>
      </c>
      <c r="P2022">
        <v>50</v>
      </c>
      <c r="T2022" t="s">
        <v>10698</v>
      </c>
    </row>
    <row r="2023" spans="1:20">
      <c r="A2023">
        <v>3007523</v>
      </c>
      <c r="B2023" t="s">
        <v>10699</v>
      </c>
      <c r="C2023" t="str">
        <f>"9781611211115"</f>
        <v>9781611211115</v>
      </c>
      <c r="D2023" t="str">
        <f>"9781611211122"</f>
        <v>9781611211122</v>
      </c>
      <c r="E2023" t="s">
        <v>10700</v>
      </c>
      <c r="F2023" t="s">
        <v>10700</v>
      </c>
      <c r="G2023" s="1">
        <v>41275</v>
      </c>
      <c r="J2023" t="s">
        <v>10701</v>
      </c>
      <c r="K2023" t="s">
        <v>291</v>
      </c>
      <c r="L2023" t="s">
        <v>10702</v>
      </c>
      <c r="M2023" t="s">
        <v>10703</v>
      </c>
      <c r="N2023" t="s">
        <v>10704</v>
      </c>
      <c r="O2023" t="s">
        <v>26</v>
      </c>
      <c r="P2023">
        <v>21.95</v>
      </c>
      <c r="Q2023">
        <v>27.44</v>
      </c>
      <c r="R2023">
        <v>21.95</v>
      </c>
      <c r="S2023">
        <v>32.93</v>
      </c>
      <c r="T2023" t="s">
        <v>10705</v>
      </c>
    </row>
    <row r="2024" spans="1:20">
      <c r="A2024">
        <v>3008149</v>
      </c>
      <c r="B2024" t="s">
        <v>10706</v>
      </c>
      <c r="C2024" t="str">
        <f>"9781550025781"</f>
        <v>9781550025781</v>
      </c>
      <c r="D2024" t="str">
        <f>"9781459317604"</f>
        <v>9781459317604</v>
      </c>
      <c r="E2024" t="s">
        <v>10707</v>
      </c>
      <c r="F2024" t="s">
        <v>10707</v>
      </c>
      <c r="G2024" s="1">
        <v>38687</v>
      </c>
      <c r="J2024" t="s">
        <v>10708</v>
      </c>
      <c r="K2024" t="s">
        <v>278</v>
      </c>
      <c r="L2024" t="s">
        <v>10709</v>
      </c>
      <c r="M2024" t="s">
        <v>10710</v>
      </c>
      <c r="N2024" t="s">
        <v>10711</v>
      </c>
      <c r="O2024" t="s">
        <v>26</v>
      </c>
      <c r="P2024">
        <v>24.99</v>
      </c>
      <c r="R2024">
        <v>24.99</v>
      </c>
      <c r="S2024">
        <v>37.49</v>
      </c>
      <c r="T2024" t="s">
        <v>10712</v>
      </c>
    </row>
    <row r="2025" spans="1:20">
      <c r="A2025">
        <v>3008151</v>
      </c>
      <c r="B2025" t="s">
        <v>10713</v>
      </c>
      <c r="C2025" t="str">
        <f>"9781550023497"</f>
        <v>9781550023497</v>
      </c>
      <c r="D2025" t="str">
        <f>"9781459334403"</f>
        <v>9781459334403</v>
      </c>
      <c r="E2025" t="s">
        <v>10707</v>
      </c>
      <c r="F2025" t="s">
        <v>10707</v>
      </c>
      <c r="G2025" s="1">
        <v>36861</v>
      </c>
      <c r="J2025" t="s">
        <v>10714</v>
      </c>
      <c r="L2025" t="s">
        <v>10715</v>
      </c>
      <c r="N2025" t="s">
        <v>10716</v>
      </c>
      <c r="O2025" t="s">
        <v>26</v>
      </c>
      <c r="P2025">
        <v>40</v>
      </c>
      <c r="R2025">
        <v>40</v>
      </c>
      <c r="S2025">
        <v>60</v>
      </c>
      <c r="T2025" t="s">
        <v>10717</v>
      </c>
    </row>
    <row r="2026" spans="1:20">
      <c r="A2026">
        <v>3012105</v>
      </c>
      <c r="B2026" t="s">
        <v>10718</v>
      </c>
      <c r="C2026" t="str">
        <f>"9781930261143"</f>
        <v>9781930261143</v>
      </c>
      <c r="D2026" t="str">
        <f>"9781552502167"</f>
        <v>9781552502167</v>
      </c>
      <c r="E2026" t="s">
        <v>10719</v>
      </c>
      <c r="F2026" t="s">
        <v>10720</v>
      </c>
      <c r="G2026" s="1">
        <v>38687</v>
      </c>
      <c r="J2026" t="s">
        <v>10721</v>
      </c>
      <c r="K2026" t="s">
        <v>76</v>
      </c>
      <c r="L2026" t="s">
        <v>10722</v>
      </c>
      <c r="N2026" t="s">
        <v>10723</v>
      </c>
      <c r="O2026" t="s">
        <v>26</v>
      </c>
      <c r="P2026">
        <v>35</v>
      </c>
      <c r="Q2026">
        <v>43.75</v>
      </c>
      <c r="R2026">
        <v>35</v>
      </c>
      <c r="S2026">
        <v>52.5</v>
      </c>
      <c r="T2026" t="s">
        <v>10724</v>
      </c>
    </row>
    <row r="2027" spans="1:20">
      <c r="A2027">
        <v>3012106</v>
      </c>
      <c r="B2027" t="s">
        <v>10725</v>
      </c>
      <c r="C2027" t="str">
        <f>"9781552503478"</f>
        <v>9781552503478</v>
      </c>
      <c r="D2027" t="str">
        <f>"9781459334380"</f>
        <v>9781459334380</v>
      </c>
      <c r="E2027" t="s">
        <v>10719</v>
      </c>
      <c r="F2027" t="s">
        <v>10720</v>
      </c>
      <c r="G2027" s="1">
        <v>39052</v>
      </c>
      <c r="J2027" t="s">
        <v>1062</v>
      </c>
      <c r="K2027" t="s">
        <v>435</v>
      </c>
      <c r="L2027" t="s">
        <v>10726</v>
      </c>
      <c r="M2027" t="s">
        <v>10727</v>
      </c>
      <c r="N2027" t="s">
        <v>1069</v>
      </c>
      <c r="O2027" t="s">
        <v>94</v>
      </c>
      <c r="P2027">
        <v>20</v>
      </c>
      <c r="Q2027">
        <v>25</v>
      </c>
      <c r="R2027">
        <v>20</v>
      </c>
      <c r="S2027">
        <v>30</v>
      </c>
      <c r="T2027" t="s">
        <v>10728</v>
      </c>
    </row>
    <row r="2028" spans="1:20">
      <c r="A2028">
        <v>3012107</v>
      </c>
      <c r="B2028" t="s">
        <v>10729</v>
      </c>
      <c r="C2028" t="str">
        <f>"9780889367678"</f>
        <v>9780889367678</v>
      </c>
      <c r="D2028" t="str">
        <f>"9781552502679"</f>
        <v>9781552502679</v>
      </c>
      <c r="E2028" t="s">
        <v>10719</v>
      </c>
      <c r="F2028" t="s">
        <v>10720</v>
      </c>
      <c r="G2028" s="1">
        <v>35765</v>
      </c>
      <c r="J2028" t="s">
        <v>10730</v>
      </c>
      <c r="K2028" t="s">
        <v>263</v>
      </c>
      <c r="L2028" t="s">
        <v>10731</v>
      </c>
      <c r="N2028" t="s">
        <v>10732</v>
      </c>
      <c r="O2028" t="s">
        <v>26</v>
      </c>
      <c r="P2028">
        <v>25</v>
      </c>
      <c r="Q2028">
        <v>31.25</v>
      </c>
      <c r="R2028">
        <v>25</v>
      </c>
      <c r="S2028">
        <v>37.5</v>
      </c>
      <c r="T2028" t="s">
        <v>10733</v>
      </c>
    </row>
    <row r="2029" spans="1:20">
      <c r="A2029">
        <v>3012108</v>
      </c>
      <c r="B2029" t="s">
        <v>10734</v>
      </c>
      <c r="C2029" t="str">
        <f>"9780889368378"</f>
        <v>9780889368378</v>
      </c>
      <c r="D2029" t="str">
        <f>"9781552503812"</f>
        <v>9781552503812</v>
      </c>
      <c r="E2029" t="s">
        <v>10719</v>
      </c>
      <c r="F2029" t="s">
        <v>10720</v>
      </c>
      <c r="G2029" s="1">
        <v>35400</v>
      </c>
      <c r="J2029" t="s">
        <v>10735</v>
      </c>
      <c r="K2029" t="s">
        <v>305</v>
      </c>
      <c r="L2029" t="s">
        <v>10736</v>
      </c>
      <c r="N2029" t="s">
        <v>10737</v>
      </c>
      <c r="O2029" t="s">
        <v>26</v>
      </c>
      <c r="P2029">
        <v>20</v>
      </c>
      <c r="Q2029">
        <v>25</v>
      </c>
      <c r="R2029">
        <v>20</v>
      </c>
      <c r="S2029">
        <v>30</v>
      </c>
      <c r="T2029" t="s">
        <v>10738</v>
      </c>
    </row>
    <row r="2030" spans="1:20">
      <c r="A2030">
        <v>3012109</v>
      </c>
      <c r="B2030" t="s">
        <v>10739</v>
      </c>
      <c r="C2030" t="str">
        <f>"9780889369139"</f>
        <v>9780889369139</v>
      </c>
      <c r="D2030" t="str">
        <f>"9781552500637"</f>
        <v>9781552500637</v>
      </c>
      <c r="E2030" t="s">
        <v>10719</v>
      </c>
      <c r="F2030" t="s">
        <v>10720</v>
      </c>
      <c r="G2030" s="1">
        <v>36540</v>
      </c>
      <c r="J2030" t="s">
        <v>855</v>
      </c>
      <c r="K2030" t="s">
        <v>305</v>
      </c>
      <c r="L2030" t="s">
        <v>10740</v>
      </c>
      <c r="N2030" t="s">
        <v>859</v>
      </c>
      <c r="O2030" t="s">
        <v>94</v>
      </c>
      <c r="P2030">
        <v>35</v>
      </c>
      <c r="Q2030">
        <v>43.75</v>
      </c>
      <c r="R2030">
        <v>35</v>
      </c>
      <c r="S2030">
        <v>52.5</v>
      </c>
      <c r="T2030" t="s">
        <v>10741</v>
      </c>
    </row>
    <row r="2031" spans="1:20">
      <c r="A2031">
        <v>3012110</v>
      </c>
      <c r="B2031" t="s">
        <v>10742</v>
      </c>
      <c r="C2031" t="str">
        <f>"9780889368699"</f>
        <v>9780889368699</v>
      </c>
      <c r="D2031" t="str">
        <f>"9781552502747"</f>
        <v>9781552502747</v>
      </c>
      <c r="E2031" t="s">
        <v>10719</v>
      </c>
      <c r="F2031" t="s">
        <v>10720</v>
      </c>
      <c r="G2031" s="1">
        <v>36130</v>
      </c>
      <c r="J2031" t="s">
        <v>10743</v>
      </c>
      <c r="K2031" t="s">
        <v>76</v>
      </c>
      <c r="L2031" t="s">
        <v>10744</v>
      </c>
      <c r="N2031" t="s">
        <v>10745</v>
      </c>
      <c r="O2031" t="s">
        <v>26</v>
      </c>
      <c r="P2031">
        <v>20</v>
      </c>
      <c r="Q2031">
        <v>25</v>
      </c>
      <c r="R2031">
        <v>20</v>
      </c>
      <c r="S2031">
        <v>30</v>
      </c>
      <c r="T2031" t="s">
        <v>10746</v>
      </c>
    </row>
    <row r="2032" spans="1:20">
      <c r="A2032">
        <v>3012111</v>
      </c>
      <c r="B2032" t="s">
        <v>10747</v>
      </c>
      <c r="C2032" t="str">
        <f>"9780889368217"</f>
        <v>9780889368217</v>
      </c>
      <c r="D2032" t="str">
        <f>"9781552502785"</f>
        <v>9781552502785</v>
      </c>
      <c r="E2032" t="s">
        <v>10719</v>
      </c>
      <c r="F2032" t="s">
        <v>10720</v>
      </c>
      <c r="G2032" s="1">
        <v>35400</v>
      </c>
      <c r="J2032" t="s">
        <v>10748</v>
      </c>
      <c r="K2032" t="s">
        <v>76</v>
      </c>
      <c r="L2032" t="s">
        <v>10749</v>
      </c>
      <c r="N2032" t="s">
        <v>10750</v>
      </c>
      <c r="O2032" t="s">
        <v>26</v>
      </c>
      <c r="P2032">
        <v>30</v>
      </c>
      <c r="Q2032">
        <v>37.5</v>
      </c>
      <c r="R2032">
        <v>30</v>
      </c>
      <c r="S2032">
        <v>45</v>
      </c>
      <c r="T2032" t="s">
        <v>10751</v>
      </c>
    </row>
    <row r="2033" spans="1:20">
      <c r="A2033">
        <v>3012112</v>
      </c>
      <c r="B2033" t="s">
        <v>10752</v>
      </c>
      <c r="C2033" t="str">
        <f>"9780889369993"</f>
        <v>9780889369993</v>
      </c>
      <c r="D2033" t="str">
        <f>"9781552501320"</f>
        <v>9781552501320</v>
      </c>
      <c r="E2033" t="s">
        <v>10719</v>
      </c>
      <c r="F2033" t="s">
        <v>10720</v>
      </c>
      <c r="G2033" s="1">
        <v>37226</v>
      </c>
      <c r="J2033" t="s">
        <v>10753</v>
      </c>
      <c r="K2033" t="s">
        <v>305</v>
      </c>
      <c r="L2033" t="s">
        <v>10754</v>
      </c>
      <c r="N2033" t="s">
        <v>1036</v>
      </c>
      <c r="O2033" t="s">
        <v>26</v>
      </c>
      <c r="P2033">
        <v>30</v>
      </c>
      <c r="Q2033">
        <v>37.5</v>
      </c>
      <c r="R2033">
        <v>30</v>
      </c>
      <c r="S2033">
        <v>45</v>
      </c>
      <c r="T2033" t="s">
        <v>10755</v>
      </c>
    </row>
    <row r="2034" spans="1:20">
      <c r="A2034">
        <v>3012113</v>
      </c>
      <c r="B2034" t="s">
        <v>10756</v>
      </c>
      <c r="C2034" t="str">
        <f>"9780889368767"</f>
        <v>9780889368767</v>
      </c>
      <c r="D2034" t="str">
        <f>"9781552500446"</f>
        <v>9781552500446</v>
      </c>
      <c r="E2034" t="s">
        <v>10719</v>
      </c>
      <c r="F2034" t="s">
        <v>10720</v>
      </c>
      <c r="G2034" s="1">
        <v>36161</v>
      </c>
      <c r="J2034" t="s">
        <v>10753</v>
      </c>
      <c r="K2034" t="s">
        <v>305</v>
      </c>
      <c r="L2034" t="s">
        <v>10757</v>
      </c>
      <c r="N2034" t="s">
        <v>10758</v>
      </c>
      <c r="O2034" t="s">
        <v>94</v>
      </c>
      <c r="P2034">
        <v>25</v>
      </c>
      <c r="Q2034">
        <v>31.25</v>
      </c>
      <c r="R2034">
        <v>25</v>
      </c>
      <c r="S2034">
        <v>37.5</v>
      </c>
      <c r="T2034" t="s">
        <v>10759</v>
      </c>
    </row>
    <row r="2035" spans="1:20">
      <c r="A2035">
        <v>3012114</v>
      </c>
      <c r="B2035" t="s">
        <v>10760</v>
      </c>
      <c r="C2035" t="str">
        <f>"9780889367876"</f>
        <v>9780889367876</v>
      </c>
      <c r="D2035" t="str">
        <f>"9781552502983"</f>
        <v>9781552502983</v>
      </c>
      <c r="E2035" t="s">
        <v>10719</v>
      </c>
      <c r="F2035" t="s">
        <v>10720</v>
      </c>
      <c r="G2035" s="1">
        <v>35034</v>
      </c>
      <c r="J2035" t="s">
        <v>10761</v>
      </c>
      <c r="K2035" t="s">
        <v>305</v>
      </c>
      <c r="L2035" t="s">
        <v>10762</v>
      </c>
      <c r="N2035" t="s">
        <v>10763</v>
      </c>
      <c r="O2035" t="s">
        <v>26</v>
      </c>
      <c r="P2035">
        <v>20</v>
      </c>
      <c r="Q2035">
        <v>25</v>
      </c>
      <c r="R2035">
        <v>20</v>
      </c>
      <c r="S2035">
        <v>30</v>
      </c>
      <c r="T2035" t="s">
        <v>10764</v>
      </c>
    </row>
    <row r="2036" spans="1:20">
      <c r="A2036">
        <v>3012115</v>
      </c>
      <c r="B2036" t="s">
        <v>10765</v>
      </c>
      <c r="C2036" t="str">
        <f>"9780889368354"</f>
        <v>9780889368354</v>
      </c>
      <c r="D2036" t="str">
        <f>"9781552502754"</f>
        <v>9781552502754</v>
      </c>
      <c r="E2036" t="s">
        <v>10719</v>
      </c>
      <c r="F2036" t="s">
        <v>10720</v>
      </c>
      <c r="G2036" s="1">
        <v>35765</v>
      </c>
      <c r="J2036" t="s">
        <v>10735</v>
      </c>
      <c r="K2036" t="s">
        <v>305</v>
      </c>
      <c r="L2036" t="s">
        <v>10766</v>
      </c>
      <c r="M2036">
        <v>384</v>
      </c>
      <c r="N2036" t="s">
        <v>10767</v>
      </c>
      <c r="O2036" t="s">
        <v>26</v>
      </c>
      <c r="P2036">
        <v>15</v>
      </c>
      <c r="Q2036">
        <v>18.75</v>
      </c>
      <c r="R2036">
        <v>15</v>
      </c>
      <c r="S2036">
        <v>22.5</v>
      </c>
      <c r="T2036" t="s">
        <v>10768</v>
      </c>
    </row>
    <row r="2037" spans="1:20">
      <c r="A2037">
        <v>3012116</v>
      </c>
      <c r="B2037" t="s">
        <v>10769</v>
      </c>
      <c r="C2037" t="str">
        <f>"9780889368132"</f>
        <v>9780889368132</v>
      </c>
      <c r="D2037" t="str">
        <f>"9781552500408"</f>
        <v>9781552500408</v>
      </c>
      <c r="E2037" t="s">
        <v>10719</v>
      </c>
      <c r="F2037" t="s">
        <v>10720</v>
      </c>
      <c r="G2037" s="1">
        <v>35765</v>
      </c>
      <c r="J2037" t="s">
        <v>970</v>
      </c>
      <c r="K2037" t="s">
        <v>263</v>
      </c>
      <c r="L2037" t="s">
        <v>10770</v>
      </c>
      <c r="N2037" t="s">
        <v>10771</v>
      </c>
      <c r="O2037" t="s">
        <v>94</v>
      </c>
      <c r="P2037">
        <v>25</v>
      </c>
      <c r="Q2037">
        <v>31.25</v>
      </c>
      <c r="R2037">
        <v>25</v>
      </c>
      <c r="S2037">
        <v>37.5</v>
      </c>
      <c r="T2037" t="s">
        <v>10772</v>
      </c>
    </row>
    <row r="2038" spans="1:20">
      <c r="A2038">
        <v>3012117</v>
      </c>
      <c r="B2038" t="s">
        <v>10773</v>
      </c>
      <c r="C2038" t="str">
        <f>"9780889367906"</f>
        <v>9780889367906</v>
      </c>
      <c r="D2038" t="str">
        <f>"9781552503195"</f>
        <v>9781552503195</v>
      </c>
      <c r="E2038" t="s">
        <v>10719</v>
      </c>
      <c r="F2038" t="s">
        <v>10720</v>
      </c>
      <c r="G2038" s="1">
        <v>34669</v>
      </c>
      <c r="J2038" t="s">
        <v>10774</v>
      </c>
      <c r="K2038" t="s">
        <v>10775</v>
      </c>
      <c r="L2038" t="s">
        <v>10776</v>
      </c>
      <c r="M2038" t="s">
        <v>10777</v>
      </c>
      <c r="N2038" t="s">
        <v>10778</v>
      </c>
      <c r="O2038" t="s">
        <v>26</v>
      </c>
      <c r="P2038">
        <v>35</v>
      </c>
      <c r="Q2038">
        <v>43.75</v>
      </c>
      <c r="R2038">
        <v>35</v>
      </c>
      <c r="S2038">
        <v>52.5</v>
      </c>
      <c r="T2038" t="s">
        <v>10779</v>
      </c>
    </row>
    <row r="2039" spans="1:20">
      <c r="A2039">
        <v>3012118</v>
      </c>
      <c r="B2039" t="s">
        <v>10780</v>
      </c>
      <c r="C2039" t="str">
        <f>"9780889368293"</f>
        <v>9780889368293</v>
      </c>
      <c r="D2039" t="str">
        <f>"9781552502945"</f>
        <v>9781552502945</v>
      </c>
      <c r="E2039" t="s">
        <v>10719</v>
      </c>
      <c r="F2039" t="s">
        <v>10720</v>
      </c>
      <c r="G2039" s="1">
        <v>35765</v>
      </c>
      <c r="J2039" t="s">
        <v>10781</v>
      </c>
      <c r="K2039" t="s">
        <v>4081</v>
      </c>
      <c r="L2039" t="s">
        <v>10782</v>
      </c>
      <c r="N2039" t="s">
        <v>10783</v>
      </c>
      <c r="O2039" t="s">
        <v>26</v>
      </c>
      <c r="P2039">
        <v>20</v>
      </c>
      <c r="Q2039">
        <v>25</v>
      </c>
      <c r="R2039">
        <v>20</v>
      </c>
      <c r="S2039">
        <v>30</v>
      </c>
      <c r="T2039" t="s">
        <v>10784</v>
      </c>
    </row>
    <row r="2040" spans="1:20">
      <c r="A2040">
        <v>3012119</v>
      </c>
      <c r="B2040" t="s">
        <v>10785</v>
      </c>
      <c r="C2040" t="str">
        <f>"9780889368439"</f>
        <v>9780889368439</v>
      </c>
      <c r="D2040" t="str">
        <f>"9781552503829"</f>
        <v>9781552503829</v>
      </c>
      <c r="E2040" t="s">
        <v>10719</v>
      </c>
      <c r="F2040" t="s">
        <v>10720</v>
      </c>
      <c r="G2040" s="1">
        <v>36130</v>
      </c>
      <c r="J2040" t="s">
        <v>10786</v>
      </c>
      <c r="K2040" t="s">
        <v>330</v>
      </c>
      <c r="L2040" t="s">
        <v>10787</v>
      </c>
      <c r="N2040" t="s">
        <v>10788</v>
      </c>
      <c r="O2040" t="s">
        <v>94</v>
      </c>
      <c r="P2040">
        <v>50</v>
      </c>
      <c r="Q2040">
        <v>62.5</v>
      </c>
      <c r="R2040">
        <v>50</v>
      </c>
      <c r="S2040">
        <v>75</v>
      </c>
      <c r="T2040" t="s">
        <v>10789</v>
      </c>
    </row>
    <row r="2041" spans="1:20">
      <c r="A2041">
        <v>3012120</v>
      </c>
      <c r="B2041" t="s">
        <v>10790</v>
      </c>
      <c r="C2041" t="str">
        <f>"9780889368361"</f>
        <v>9780889368361</v>
      </c>
      <c r="D2041" t="str">
        <f>"9781552503836"</f>
        <v>9781552503836</v>
      </c>
      <c r="E2041" t="s">
        <v>10719</v>
      </c>
      <c r="F2041" t="s">
        <v>10720</v>
      </c>
      <c r="G2041" s="1">
        <v>35400</v>
      </c>
      <c r="J2041" t="s">
        <v>10735</v>
      </c>
      <c r="K2041" t="s">
        <v>305</v>
      </c>
      <c r="L2041" t="s">
        <v>10766</v>
      </c>
      <c r="N2041" t="s">
        <v>10767</v>
      </c>
      <c r="O2041" t="s">
        <v>94</v>
      </c>
      <c r="P2041">
        <v>20</v>
      </c>
      <c r="Q2041">
        <v>25</v>
      </c>
      <c r="R2041">
        <v>20</v>
      </c>
      <c r="S2041">
        <v>30</v>
      </c>
      <c r="T2041" t="s">
        <v>10791</v>
      </c>
    </row>
    <row r="2042" spans="1:20">
      <c r="A2042">
        <v>3012121</v>
      </c>
      <c r="B2042" t="s">
        <v>10792</v>
      </c>
      <c r="C2042" t="str">
        <f>"9780889368040"</f>
        <v>9780889368040</v>
      </c>
      <c r="D2042" t="str">
        <f>"9781552502891"</f>
        <v>9781552502891</v>
      </c>
      <c r="E2042" t="s">
        <v>10719</v>
      </c>
      <c r="F2042" t="s">
        <v>10720</v>
      </c>
      <c r="G2042" s="1">
        <v>35034</v>
      </c>
      <c r="J2042" t="s">
        <v>10793</v>
      </c>
      <c r="K2042" t="s">
        <v>9589</v>
      </c>
      <c r="L2042" t="s">
        <v>10794</v>
      </c>
      <c r="N2042" t="s">
        <v>10795</v>
      </c>
      <c r="O2042" t="s">
        <v>26</v>
      </c>
      <c r="P2042">
        <v>35</v>
      </c>
      <c r="Q2042">
        <v>43.75</v>
      </c>
      <c r="R2042">
        <v>35</v>
      </c>
      <c r="S2042">
        <v>52.5</v>
      </c>
      <c r="T2042" t="s">
        <v>10796</v>
      </c>
    </row>
    <row r="2043" spans="1:20">
      <c r="A2043">
        <v>3012122</v>
      </c>
      <c r="B2043" t="s">
        <v>10797</v>
      </c>
      <c r="C2043" t="str">
        <f>"9780889368651"</f>
        <v>9780889368651</v>
      </c>
      <c r="D2043" t="str">
        <f>"9781552500422"</f>
        <v>9781552500422</v>
      </c>
      <c r="E2043" t="s">
        <v>10719</v>
      </c>
      <c r="F2043" t="s">
        <v>10720</v>
      </c>
      <c r="G2043" s="1">
        <v>35810</v>
      </c>
      <c r="J2043" t="s">
        <v>833</v>
      </c>
      <c r="K2043" t="s">
        <v>263</v>
      </c>
      <c r="L2043" t="s">
        <v>834</v>
      </c>
      <c r="N2043" t="s">
        <v>1225</v>
      </c>
      <c r="O2043" t="s">
        <v>94</v>
      </c>
      <c r="P2043">
        <v>25</v>
      </c>
      <c r="Q2043">
        <v>31.25</v>
      </c>
      <c r="R2043">
        <v>25</v>
      </c>
      <c r="S2043">
        <v>37.5</v>
      </c>
      <c r="T2043" t="s">
        <v>10798</v>
      </c>
    </row>
    <row r="2044" spans="1:20">
      <c r="A2044">
        <v>3012123</v>
      </c>
      <c r="B2044" t="s">
        <v>10799</v>
      </c>
      <c r="C2044" t="str">
        <f>"9780889369917"</f>
        <v>9780889369917</v>
      </c>
      <c r="D2044" t="str">
        <f>"9781552501030"</f>
        <v>9781552501030</v>
      </c>
      <c r="E2044" t="s">
        <v>10719</v>
      </c>
      <c r="F2044" t="s">
        <v>10720</v>
      </c>
      <c r="G2044" s="1">
        <v>37591</v>
      </c>
      <c r="J2044" t="s">
        <v>10800</v>
      </c>
      <c r="K2044" t="s">
        <v>525</v>
      </c>
      <c r="L2044" t="s">
        <v>10801</v>
      </c>
      <c r="N2044" t="s">
        <v>10802</v>
      </c>
      <c r="O2044" t="s">
        <v>26</v>
      </c>
      <c r="P2044">
        <v>35</v>
      </c>
      <c r="Q2044">
        <v>43.75</v>
      </c>
      <c r="R2044">
        <v>35</v>
      </c>
      <c r="S2044">
        <v>52.5</v>
      </c>
      <c r="T2044" t="s">
        <v>10803</v>
      </c>
    </row>
    <row r="2045" spans="1:20">
      <c r="A2045">
        <v>3012124</v>
      </c>
      <c r="B2045" t="s">
        <v>10804</v>
      </c>
      <c r="C2045" t="str">
        <f>"9780889368446"</f>
        <v>9780889368446</v>
      </c>
      <c r="D2045" t="str">
        <f>"9781552503003"</f>
        <v>9781552503003</v>
      </c>
      <c r="E2045" t="s">
        <v>10719</v>
      </c>
      <c r="F2045" t="s">
        <v>10720</v>
      </c>
      <c r="G2045" s="1">
        <v>35400</v>
      </c>
      <c r="J2045" t="s">
        <v>10805</v>
      </c>
      <c r="K2045" t="s">
        <v>2136</v>
      </c>
      <c r="L2045" t="s">
        <v>10806</v>
      </c>
      <c r="N2045" t="s">
        <v>10807</v>
      </c>
      <c r="O2045" t="s">
        <v>26</v>
      </c>
      <c r="P2045">
        <v>20</v>
      </c>
      <c r="Q2045">
        <v>25</v>
      </c>
      <c r="R2045">
        <v>20</v>
      </c>
      <c r="S2045">
        <v>30</v>
      </c>
      <c r="T2045" t="s">
        <v>10808</v>
      </c>
    </row>
    <row r="2046" spans="1:20">
      <c r="A2046">
        <v>3012125</v>
      </c>
      <c r="B2046" t="s">
        <v>10809</v>
      </c>
      <c r="C2046" t="str">
        <f>"9780889368453"</f>
        <v>9780889368453</v>
      </c>
      <c r="D2046" t="str">
        <f>"9781552503850"</f>
        <v>9781552503850</v>
      </c>
      <c r="E2046" t="s">
        <v>10719</v>
      </c>
      <c r="F2046" t="s">
        <v>10720</v>
      </c>
      <c r="G2046" s="1">
        <v>35735</v>
      </c>
      <c r="J2046" t="s">
        <v>10743</v>
      </c>
      <c r="K2046" t="s">
        <v>76</v>
      </c>
      <c r="L2046" t="s">
        <v>10810</v>
      </c>
      <c r="N2046" t="s">
        <v>10745</v>
      </c>
      <c r="O2046" t="s">
        <v>94</v>
      </c>
      <c r="P2046">
        <v>20</v>
      </c>
      <c r="Q2046">
        <v>25</v>
      </c>
      <c r="R2046">
        <v>20</v>
      </c>
      <c r="S2046">
        <v>30</v>
      </c>
      <c r="T2046" t="s">
        <v>10811</v>
      </c>
    </row>
    <row r="2047" spans="1:20">
      <c r="A2047">
        <v>3012126</v>
      </c>
      <c r="B2047" t="s">
        <v>10812</v>
      </c>
      <c r="C2047" t="str">
        <f>"9780889369283"</f>
        <v>9780889369283</v>
      </c>
      <c r="D2047" t="str">
        <f>"9781552500583"</f>
        <v>9781552500583</v>
      </c>
      <c r="E2047" t="s">
        <v>10719</v>
      </c>
      <c r="F2047" t="s">
        <v>10720</v>
      </c>
      <c r="G2047" s="1">
        <v>36861</v>
      </c>
      <c r="J2047" t="s">
        <v>733</v>
      </c>
      <c r="K2047" t="s">
        <v>525</v>
      </c>
      <c r="L2047" t="s">
        <v>875</v>
      </c>
      <c r="N2047" t="s">
        <v>10813</v>
      </c>
      <c r="O2047" t="s">
        <v>94</v>
      </c>
      <c r="P2047">
        <v>20</v>
      </c>
      <c r="Q2047">
        <v>25</v>
      </c>
      <c r="R2047">
        <v>20</v>
      </c>
      <c r="S2047">
        <v>30</v>
      </c>
      <c r="T2047" t="s">
        <v>10814</v>
      </c>
    </row>
    <row r="2048" spans="1:20">
      <c r="A2048">
        <v>3012127</v>
      </c>
      <c r="B2048" t="s">
        <v>10815</v>
      </c>
      <c r="C2048" t="str">
        <f>"9780889369900"</f>
        <v>9780889369900</v>
      </c>
      <c r="D2048" t="str">
        <f>"9781552501023"</f>
        <v>9781552501023</v>
      </c>
      <c r="E2048" t="s">
        <v>10719</v>
      </c>
      <c r="F2048" t="s">
        <v>10720</v>
      </c>
      <c r="G2048" s="1">
        <v>37591</v>
      </c>
      <c r="J2048" t="s">
        <v>1286</v>
      </c>
      <c r="K2048" t="s">
        <v>525</v>
      </c>
      <c r="L2048" t="s">
        <v>10801</v>
      </c>
      <c r="N2048" t="s">
        <v>1288</v>
      </c>
      <c r="O2048" t="s">
        <v>94</v>
      </c>
      <c r="P2048">
        <v>35</v>
      </c>
      <c r="Q2048">
        <v>43.75</v>
      </c>
      <c r="R2048">
        <v>35</v>
      </c>
      <c r="S2048">
        <v>52.5</v>
      </c>
      <c r="T2048" t="s">
        <v>10816</v>
      </c>
    </row>
    <row r="2049" spans="1:20">
      <c r="A2049">
        <v>3012128</v>
      </c>
      <c r="B2049" t="s">
        <v>10817</v>
      </c>
      <c r="C2049" t="str">
        <f>"9780889368101"</f>
        <v>9780889368101</v>
      </c>
      <c r="D2049" t="str">
        <f>"9781552503096"</f>
        <v>9781552503096</v>
      </c>
      <c r="E2049" t="s">
        <v>10719</v>
      </c>
      <c r="F2049" t="s">
        <v>10720</v>
      </c>
      <c r="G2049" s="1">
        <v>35735</v>
      </c>
      <c r="J2049" t="s">
        <v>10818</v>
      </c>
      <c r="K2049" t="s">
        <v>291</v>
      </c>
      <c r="L2049" t="s">
        <v>10819</v>
      </c>
      <c r="N2049" t="s">
        <v>10820</v>
      </c>
      <c r="O2049" t="s">
        <v>94</v>
      </c>
      <c r="P2049">
        <v>20</v>
      </c>
      <c r="Q2049">
        <v>25</v>
      </c>
      <c r="R2049">
        <v>20</v>
      </c>
      <c r="S2049">
        <v>30</v>
      </c>
      <c r="T2049" t="s">
        <v>10821</v>
      </c>
    </row>
    <row r="2050" spans="1:20">
      <c r="A2050">
        <v>3012129</v>
      </c>
      <c r="B2050" t="s">
        <v>10822</v>
      </c>
      <c r="C2050" t="str">
        <f>"9780889367715"</f>
        <v>9780889367715</v>
      </c>
      <c r="D2050" t="str">
        <f>"9781552502921"</f>
        <v>9781552502921</v>
      </c>
      <c r="E2050" t="s">
        <v>10719</v>
      </c>
      <c r="F2050" t="s">
        <v>10720</v>
      </c>
      <c r="G2050" s="1">
        <v>34669</v>
      </c>
      <c r="J2050" t="s">
        <v>10823</v>
      </c>
      <c r="K2050" t="s">
        <v>305</v>
      </c>
      <c r="L2050" t="s">
        <v>10824</v>
      </c>
      <c r="N2050" t="s">
        <v>10825</v>
      </c>
      <c r="O2050" t="s">
        <v>26</v>
      </c>
      <c r="P2050">
        <v>20</v>
      </c>
      <c r="Q2050">
        <v>25</v>
      </c>
      <c r="R2050">
        <v>20</v>
      </c>
      <c r="S2050">
        <v>30</v>
      </c>
      <c r="T2050" t="s">
        <v>10826</v>
      </c>
    </row>
    <row r="2051" spans="1:20">
      <c r="A2051">
        <v>3012130</v>
      </c>
      <c r="B2051" t="s">
        <v>10827</v>
      </c>
      <c r="C2051" t="str">
        <f>"9780889367661"</f>
        <v>9780889367661</v>
      </c>
      <c r="D2051" t="str">
        <f>"9781552502853"</f>
        <v>9781552502853</v>
      </c>
      <c r="E2051" t="s">
        <v>10719</v>
      </c>
      <c r="F2051" t="s">
        <v>10720</v>
      </c>
      <c r="G2051" s="1">
        <v>34669</v>
      </c>
      <c r="J2051" t="s">
        <v>10828</v>
      </c>
      <c r="K2051" t="s">
        <v>376</v>
      </c>
      <c r="L2051" t="s">
        <v>10829</v>
      </c>
      <c r="N2051" t="s">
        <v>10830</v>
      </c>
      <c r="O2051" t="s">
        <v>26</v>
      </c>
      <c r="P2051">
        <v>25</v>
      </c>
      <c r="Q2051">
        <v>31.25</v>
      </c>
      <c r="R2051">
        <v>25</v>
      </c>
      <c r="S2051">
        <v>37.5</v>
      </c>
      <c r="T2051" t="s">
        <v>10831</v>
      </c>
    </row>
    <row r="2052" spans="1:20">
      <c r="A2052">
        <v>3012131</v>
      </c>
      <c r="B2052" t="s">
        <v>10832</v>
      </c>
      <c r="C2052" t="str">
        <f>"9780889367937"</f>
        <v>9780889367937</v>
      </c>
      <c r="D2052" t="str">
        <f>"9781552502808"</f>
        <v>9781552502808</v>
      </c>
      <c r="E2052" t="s">
        <v>10719</v>
      </c>
      <c r="F2052" t="s">
        <v>10720</v>
      </c>
      <c r="G2052" s="1">
        <v>34669</v>
      </c>
      <c r="J2052" t="s">
        <v>10833</v>
      </c>
      <c r="K2052" t="s">
        <v>76</v>
      </c>
      <c r="L2052" t="s">
        <v>10834</v>
      </c>
      <c r="M2052" t="s">
        <v>10835</v>
      </c>
      <c r="N2052" t="s">
        <v>10836</v>
      </c>
      <c r="O2052" t="s">
        <v>26</v>
      </c>
      <c r="P2052">
        <v>25</v>
      </c>
      <c r="Q2052">
        <v>31.25</v>
      </c>
      <c r="R2052">
        <v>25</v>
      </c>
      <c r="S2052">
        <v>37.5</v>
      </c>
      <c r="T2052" t="s">
        <v>10837</v>
      </c>
    </row>
    <row r="2053" spans="1:20">
      <c r="A2053">
        <v>3012132</v>
      </c>
      <c r="B2053" t="s">
        <v>10838</v>
      </c>
      <c r="C2053" t="str">
        <f>"9780889368231"</f>
        <v>9780889368231</v>
      </c>
      <c r="D2053" t="str">
        <f>"9781552500569"</f>
        <v>9781552500569</v>
      </c>
      <c r="E2053" t="s">
        <v>10719</v>
      </c>
      <c r="F2053" t="s">
        <v>10720</v>
      </c>
      <c r="G2053" s="1">
        <v>35400</v>
      </c>
      <c r="J2053" t="s">
        <v>678</v>
      </c>
      <c r="K2053" t="s">
        <v>525</v>
      </c>
      <c r="L2053" t="s">
        <v>10839</v>
      </c>
      <c r="N2053" t="s">
        <v>10840</v>
      </c>
      <c r="O2053" t="s">
        <v>94</v>
      </c>
      <c r="P2053">
        <v>30</v>
      </c>
      <c r="Q2053">
        <v>37.5</v>
      </c>
      <c r="R2053">
        <v>30</v>
      </c>
      <c r="S2053">
        <v>45</v>
      </c>
      <c r="T2053" t="s">
        <v>10841</v>
      </c>
    </row>
    <row r="2054" spans="1:20">
      <c r="A2054">
        <v>3012133</v>
      </c>
      <c r="B2054" t="s">
        <v>10842</v>
      </c>
      <c r="C2054" t="str">
        <f>"9780889368095"</f>
        <v>9780889368095</v>
      </c>
      <c r="D2054" t="str">
        <f>"9781552503218"</f>
        <v>9781552503218</v>
      </c>
      <c r="E2054" t="s">
        <v>10719</v>
      </c>
      <c r="F2054" t="s">
        <v>10720</v>
      </c>
      <c r="G2054" s="1">
        <v>35034</v>
      </c>
      <c r="J2054" t="s">
        <v>10843</v>
      </c>
      <c r="K2054" t="s">
        <v>305</v>
      </c>
      <c r="L2054" t="s">
        <v>10844</v>
      </c>
      <c r="N2054" t="s">
        <v>10845</v>
      </c>
      <c r="O2054" t="s">
        <v>26</v>
      </c>
      <c r="P2054">
        <v>20</v>
      </c>
      <c r="Q2054">
        <v>25</v>
      </c>
      <c r="R2054">
        <v>20</v>
      </c>
      <c r="S2054">
        <v>30</v>
      </c>
      <c r="T2054" t="s">
        <v>10846</v>
      </c>
    </row>
    <row r="2055" spans="1:20">
      <c r="A2055">
        <v>3012134</v>
      </c>
      <c r="B2055" t="s">
        <v>10847</v>
      </c>
      <c r="C2055" t="str">
        <f>"9780889369481"</f>
        <v>9780889369481</v>
      </c>
      <c r="D2055" t="str">
        <f>"9781552500231"</f>
        <v>9781552500231</v>
      </c>
      <c r="E2055" t="s">
        <v>10719</v>
      </c>
      <c r="F2055" t="s">
        <v>10720</v>
      </c>
      <c r="G2055" s="1">
        <v>37226</v>
      </c>
      <c r="J2055" t="s">
        <v>10848</v>
      </c>
      <c r="K2055" t="s">
        <v>2818</v>
      </c>
      <c r="L2055" t="s">
        <v>10849</v>
      </c>
      <c r="M2055" t="s">
        <v>10850</v>
      </c>
      <c r="N2055" t="s">
        <v>10851</v>
      </c>
      <c r="O2055" t="s">
        <v>26</v>
      </c>
      <c r="P2055">
        <v>35</v>
      </c>
      <c r="Q2055">
        <v>43.75</v>
      </c>
      <c r="R2055">
        <v>35</v>
      </c>
      <c r="S2055">
        <v>52.5</v>
      </c>
      <c r="T2055" t="s">
        <v>10852</v>
      </c>
    </row>
    <row r="2056" spans="1:20">
      <c r="A2056">
        <v>3012135</v>
      </c>
      <c r="B2056" t="s">
        <v>10853</v>
      </c>
      <c r="C2056" t="str">
        <f>"9780889368613"</f>
        <v>9780889368613</v>
      </c>
      <c r="D2056" t="str">
        <f>"9781552502792"</f>
        <v>9781552502792</v>
      </c>
      <c r="E2056" t="s">
        <v>10719</v>
      </c>
      <c r="F2056" t="s">
        <v>10720</v>
      </c>
      <c r="G2056" s="1">
        <v>35765</v>
      </c>
      <c r="J2056" t="s">
        <v>10854</v>
      </c>
      <c r="K2056" t="s">
        <v>305</v>
      </c>
      <c r="L2056" t="s">
        <v>10855</v>
      </c>
      <c r="N2056" t="s">
        <v>10856</v>
      </c>
      <c r="O2056" t="s">
        <v>26</v>
      </c>
      <c r="P2056">
        <v>35</v>
      </c>
      <c r="Q2056">
        <v>43.75</v>
      </c>
      <c r="R2056">
        <v>35</v>
      </c>
      <c r="S2056">
        <v>52.5</v>
      </c>
      <c r="T2056" t="s">
        <v>10857</v>
      </c>
    </row>
    <row r="2057" spans="1:20">
      <c r="A2057">
        <v>3012136</v>
      </c>
      <c r="B2057" t="s">
        <v>10858</v>
      </c>
      <c r="C2057" t="str">
        <f>"9780889367838"</f>
        <v>9780889367838</v>
      </c>
      <c r="D2057" t="str">
        <f>"9781552502990"</f>
        <v>9781552502990</v>
      </c>
      <c r="E2057" t="s">
        <v>10719</v>
      </c>
      <c r="F2057" t="s">
        <v>10720</v>
      </c>
      <c r="G2057" s="1">
        <v>34669</v>
      </c>
      <c r="J2057" t="s">
        <v>10859</v>
      </c>
      <c r="K2057" t="s">
        <v>10860</v>
      </c>
      <c r="L2057" t="s">
        <v>10861</v>
      </c>
      <c r="N2057" t="s">
        <v>10862</v>
      </c>
      <c r="O2057" t="s">
        <v>26</v>
      </c>
      <c r="P2057">
        <v>30</v>
      </c>
      <c r="Q2057">
        <v>37.5</v>
      </c>
      <c r="R2057">
        <v>30</v>
      </c>
      <c r="S2057">
        <v>45</v>
      </c>
      <c r="T2057" t="s">
        <v>10863</v>
      </c>
    </row>
    <row r="2058" spans="1:20">
      <c r="A2058">
        <v>3012137</v>
      </c>
      <c r="B2058" t="s">
        <v>10864</v>
      </c>
      <c r="C2058" t="str">
        <f>"9781552500002"</f>
        <v>9781552500002</v>
      </c>
      <c r="D2058" t="str">
        <f>"9781552501276"</f>
        <v>9781552501276</v>
      </c>
      <c r="E2058" t="s">
        <v>10719</v>
      </c>
      <c r="F2058" t="s">
        <v>10720</v>
      </c>
      <c r="G2058" s="1">
        <v>37591</v>
      </c>
      <c r="J2058" t="s">
        <v>10865</v>
      </c>
      <c r="K2058" t="s">
        <v>278</v>
      </c>
      <c r="L2058" t="s">
        <v>10866</v>
      </c>
      <c r="M2058" t="s">
        <v>10867</v>
      </c>
      <c r="N2058" t="s">
        <v>10868</v>
      </c>
      <c r="O2058" t="s">
        <v>94</v>
      </c>
      <c r="P2058">
        <v>30</v>
      </c>
      <c r="Q2058">
        <v>37.5</v>
      </c>
      <c r="R2058">
        <v>30</v>
      </c>
      <c r="S2058">
        <v>45</v>
      </c>
      <c r="T2058" t="s">
        <v>10869</v>
      </c>
    </row>
    <row r="2059" spans="1:20">
      <c r="A2059">
        <v>3012138</v>
      </c>
      <c r="B2059" t="s">
        <v>10870</v>
      </c>
      <c r="C2059" t="str">
        <f>"9780889369085"</f>
        <v>9780889369085</v>
      </c>
      <c r="D2059" t="str">
        <f>"9781552500484"</f>
        <v>9781552500484</v>
      </c>
      <c r="E2059" t="s">
        <v>10719</v>
      </c>
      <c r="F2059" t="s">
        <v>10720</v>
      </c>
      <c r="G2059" s="1">
        <v>36495</v>
      </c>
      <c r="J2059" t="s">
        <v>10871</v>
      </c>
      <c r="K2059" t="s">
        <v>263</v>
      </c>
      <c r="L2059" t="s">
        <v>10872</v>
      </c>
      <c r="N2059" t="s">
        <v>10873</v>
      </c>
      <c r="O2059" t="s">
        <v>94</v>
      </c>
      <c r="P2059">
        <v>25</v>
      </c>
      <c r="Q2059">
        <v>31.25</v>
      </c>
      <c r="R2059">
        <v>25</v>
      </c>
      <c r="S2059">
        <v>37.5</v>
      </c>
      <c r="T2059" t="s">
        <v>10874</v>
      </c>
    </row>
    <row r="2060" spans="1:20">
      <c r="A2060">
        <v>3012139</v>
      </c>
      <c r="B2060" t="s">
        <v>10875</v>
      </c>
      <c r="C2060" t="str">
        <f>"9780889367760"</f>
        <v>9780889367760</v>
      </c>
      <c r="D2060" t="str">
        <f>"9781552503133"</f>
        <v>9781552503133</v>
      </c>
      <c r="E2060" t="s">
        <v>10719</v>
      </c>
      <c r="F2060" t="s">
        <v>10720</v>
      </c>
      <c r="G2060" s="1">
        <v>34669</v>
      </c>
      <c r="J2060" t="s">
        <v>10876</v>
      </c>
      <c r="K2060" t="s">
        <v>76</v>
      </c>
      <c r="L2060" t="s">
        <v>10877</v>
      </c>
      <c r="N2060" t="s">
        <v>10878</v>
      </c>
      <c r="O2060" t="s">
        <v>26</v>
      </c>
      <c r="P2060">
        <v>30</v>
      </c>
      <c r="Q2060">
        <v>37.5</v>
      </c>
      <c r="R2060">
        <v>30</v>
      </c>
      <c r="S2060">
        <v>45</v>
      </c>
      <c r="T2060" t="s">
        <v>10879</v>
      </c>
    </row>
    <row r="2061" spans="1:20">
      <c r="A2061">
        <v>3012140</v>
      </c>
      <c r="B2061" t="s">
        <v>10880</v>
      </c>
      <c r="C2061" t="str">
        <f>"9780889368521"</f>
        <v>9780889368521</v>
      </c>
      <c r="D2061" t="str">
        <f>"9781552502709"</f>
        <v>9781552502709</v>
      </c>
      <c r="E2061" t="s">
        <v>10719</v>
      </c>
      <c r="F2061" t="s">
        <v>10720</v>
      </c>
      <c r="G2061" s="1">
        <v>35765</v>
      </c>
      <c r="J2061" t="s">
        <v>10881</v>
      </c>
      <c r="K2061" t="s">
        <v>76</v>
      </c>
      <c r="L2061" t="s">
        <v>10882</v>
      </c>
      <c r="N2061" t="s">
        <v>10883</v>
      </c>
      <c r="O2061" t="s">
        <v>26</v>
      </c>
      <c r="P2061">
        <v>35</v>
      </c>
      <c r="Q2061">
        <v>43.75</v>
      </c>
      <c r="R2061">
        <v>35</v>
      </c>
      <c r="S2061">
        <v>52.5</v>
      </c>
      <c r="T2061" t="s">
        <v>10884</v>
      </c>
    </row>
    <row r="2062" spans="1:20">
      <c r="A2062">
        <v>3012141</v>
      </c>
      <c r="B2062" t="s">
        <v>10885</v>
      </c>
      <c r="C2062" t="str">
        <f>"9781552504406"</f>
        <v>9781552504406</v>
      </c>
      <c r="D2062" t="str">
        <f>"9781552504406"</f>
        <v>9781552504406</v>
      </c>
      <c r="E2062" t="s">
        <v>10719</v>
      </c>
      <c r="F2062" t="s">
        <v>10720</v>
      </c>
      <c r="G2062" s="1">
        <v>35400</v>
      </c>
      <c r="J2062" t="s">
        <v>10886</v>
      </c>
      <c r="K2062" t="s">
        <v>263</v>
      </c>
      <c r="L2062" t="s">
        <v>10887</v>
      </c>
      <c r="N2062" t="s">
        <v>10732</v>
      </c>
      <c r="O2062" t="s">
        <v>26</v>
      </c>
      <c r="P2062">
        <v>25</v>
      </c>
      <c r="Q2062">
        <v>31.25</v>
      </c>
      <c r="R2062">
        <v>25</v>
      </c>
      <c r="S2062">
        <v>37.5</v>
      </c>
      <c r="T2062" t="s">
        <v>10888</v>
      </c>
    </row>
    <row r="2063" spans="1:20">
      <c r="A2063">
        <v>3012142</v>
      </c>
      <c r="B2063" t="s">
        <v>10889</v>
      </c>
      <c r="C2063" t="str">
        <f>"9780889367821"</f>
        <v>9780889367821</v>
      </c>
      <c r="D2063" t="str">
        <f>"9781552502730"</f>
        <v>9781552502730</v>
      </c>
      <c r="E2063" t="s">
        <v>10719</v>
      </c>
      <c r="F2063" t="s">
        <v>10720</v>
      </c>
      <c r="G2063" s="1">
        <v>34669</v>
      </c>
      <c r="J2063" t="s">
        <v>10890</v>
      </c>
      <c r="K2063" t="s">
        <v>305</v>
      </c>
      <c r="L2063" t="s">
        <v>10891</v>
      </c>
      <c r="N2063" t="s">
        <v>10892</v>
      </c>
      <c r="O2063" t="s">
        <v>26</v>
      </c>
      <c r="P2063">
        <v>20</v>
      </c>
      <c r="Q2063">
        <v>25</v>
      </c>
      <c r="R2063">
        <v>20</v>
      </c>
      <c r="S2063">
        <v>30</v>
      </c>
      <c r="T2063" t="s">
        <v>10893</v>
      </c>
    </row>
    <row r="2064" spans="1:20">
      <c r="A2064">
        <v>3012143</v>
      </c>
      <c r="B2064" t="s">
        <v>10894</v>
      </c>
      <c r="C2064" t="str">
        <f>"9780889368309"</f>
        <v>9780889368309</v>
      </c>
      <c r="D2064" t="str">
        <f>"9781552504420"</f>
        <v>9781552504420</v>
      </c>
      <c r="E2064" t="s">
        <v>10719</v>
      </c>
      <c r="F2064" t="s">
        <v>10895</v>
      </c>
      <c r="G2064" s="1">
        <v>35977</v>
      </c>
      <c r="J2064" t="s">
        <v>10896</v>
      </c>
      <c r="K2064" t="s">
        <v>305</v>
      </c>
      <c r="L2064" t="s">
        <v>10897</v>
      </c>
      <c r="N2064" t="s">
        <v>10898</v>
      </c>
      <c r="O2064" t="s">
        <v>26</v>
      </c>
      <c r="P2064">
        <v>25</v>
      </c>
      <c r="Q2064">
        <v>31.25</v>
      </c>
      <c r="R2064">
        <v>25</v>
      </c>
      <c r="S2064">
        <v>37.5</v>
      </c>
      <c r="T2064" t="s">
        <v>10899</v>
      </c>
    </row>
    <row r="2065" spans="1:20">
      <c r="A2065">
        <v>3012144</v>
      </c>
      <c r="B2065" t="s">
        <v>10900</v>
      </c>
      <c r="C2065" t="str">
        <f>"9780889367968"</f>
        <v>9780889367968</v>
      </c>
      <c r="D2065" t="str">
        <f>"9781552503843"</f>
        <v>9781552503843</v>
      </c>
      <c r="E2065" t="s">
        <v>10719</v>
      </c>
      <c r="F2065" t="s">
        <v>10720</v>
      </c>
      <c r="G2065" s="1">
        <v>35065</v>
      </c>
      <c r="J2065" t="s">
        <v>1420</v>
      </c>
      <c r="K2065" t="s">
        <v>1082</v>
      </c>
      <c r="L2065" t="s">
        <v>10901</v>
      </c>
      <c r="N2065" t="s">
        <v>10902</v>
      </c>
      <c r="O2065" t="s">
        <v>94</v>
      </c>
      <c r="P2065">
        <v>25</v>
      </c>
      <c r="Q2065">
        <v>31.25</v>
      </c>
      <c r="R2065">
        <v>25</v>
      </c>
      <c r="S2065">
        <v>37.5</v>
      </c>
      <c r="T2065" t="s">
        <v>10903</v>
      </c>
    </row>
    <row r="2066" spans="1:20">
      <c r="A2066">
        <v>3012145</v>
      </c>
      <c r="B2066" t="s">
        <v>10904</v>
      </c>
      <c r="C2066" t="str">
        <f>"9780889368729"</f>
        <v>9780889368729</v>
      </c>
      <c r="D2066" t="str">
        <f>"9781552500651"</f>
        <v>9781552500651</v>
      </c>
      <c r="E2066" t="s">
        <v>10719</v>
      </c>
      <c r="F2066" t="s">
        <v>10720</v>
      </c>
      <c r="G2066" s="1">
        <v>36130</v>
      </c>
      <c r="J2066" t="s">
        <v>977</v>
      </c>
      <c r="K2066" t="s">
        <v>467</v>
      </c>
      <c r="L2066" t="s">
        <v>10905</v>
      </c>
      <c r="N2066" t="s">
        <v>10906</v>
      </c>
      <c r="O2066" t="s">
        <v>94</v>
      </c>
      <c r="P2066">
        <v>25</v>
      </c>
      <c r="Q2066">
        <v>31.25</v>
      </c>
      <c r="R2066">
        <v>25</v>
      </c>
      <c r="S2066">
        <v>37.5</v>
      </c>
      <c r="T2066" t="s">
        <v>10907</v>
      </c>
    </row>
    <row r="2067" spans="1:20">
      <c r="A2067">
        <v>3012146</v>
      </c>
      <c r="B2067" t="s">
        <v>10908</v>
      </c>
      <c r="C2067" t="str">
        <f>"9780889368835"</f>
        <v>9780889368835</v>
      </c>
      <c r="D2067" t="str">
        <f>"9781552502938"</f>
        <v>9781552502938</v>
      </c>
      <c r="E2067" t="s">
        <v>10719</v>
      </c>
      <c r="F2067" t="s">
        <v>10720</v>
      </c>
      <c r="G2067" s="1">
        <v>36130</v>
      </c>
      <c r="J2067" t="s">
        <v>10909</v>
      </c>
      <c r="K2067" t="s">
        <v>305</v>
      </c>
      <c r="L2067" t="s">
        <v>10910</v>
      </c>
      <c r="N2067" t="s">
        <v>10911</v>
      </c>
      <c r="O2067" t="s">
        <v>26</v>
      </c>
      <c r="P2067">
        <v>25</v>
      </c>
      <c r="Q2067">
        <v>31.25</v>
      </c>
      <c r="R2067">
        <v>25</v>
      </c>
      <c r="S2067">
        <v>37.5</v>
      </c>
      <c r="T2067" t="s">
        <v>10912</v>
      </c>
    </row>
    <row r="2068" spans="1:20">
      <c r="A2068">
        <v>3012147</v>
      </c>
      <c r="B2068" t="s">
        <v>10913</v>
      </c>
      <c r="C2068" t="str">
        <f>"9780889368811"</f>
        <v>9780889368811</v>
      </c>
      <c r="D2068" t="str">
        <f>"9781552503867"</f>
        <v>9781552503867</v>
      </c>
      <c r="E2068" t="s">
        <v>10719</v>
      </c>
      <c r="F2068" t="s">
        <v>10720</v>
      </c>
      <c r="G2068" s="1">
        <v>35765</v>
      </c>
      <c r="J2068" t="s">
        <v>10914</v>
      </c>
      <c r="K2068" t="s">
        <v>76</v>
      </c>
      <c r="L2068" t="s">
        <v>10915</v>
      </c>
      <c r="N2068" t="s">
        <v>10916</v>
      </c>
      <c r="O2068" t="s">
        <v>26</v>
      </c>
      <c r="P2068">
        <v>25</v>
      </c>
      <c r="Q2068">
        <v>31.25</v>
      </c>
      <c r="R2068">
        <v>25</v>
      </c>
      <c r="S2068">
        <v>37.5</v>
      </c>
      <c r="T2068" t="s">
        <v>10917</v>
      </c>
    </row>
    <row r="2069" spans="1:20">
      <c r="A2069">
        <v>3012148</v>
      </c>
      <c r="B2069" t="s">
        <v>10918</v>
      </c>
      <c r="C2069" t="str">
        <f>"9781552504277"</f>
        <v>9781552504277</v>
      </c>
      <c r="D2069" t="str">
        <f>"9781552504277"</f>
        <v>9781552504277</v>
      </c>
      <c r="E2069" t="s">
        <v>10719</v>
      </c>
      <c r="F2069" t="s">
        <v>10919</v>
      </c>
      <c r="G2069" s="1">
        <v>39417</v>
      </c>
      <c r="J2069" t="s">
        <v>10920</v>
      </c>
      <c r="K2069" t="s">
        <v>76</v>
      </c>
      <c r="L2069" t="s">
        <v>10921</v>
      </c>
      <c r="N2069" t="s">
        <v>515</v>
      </c>
      <c r="O2069" t="s">
        <v>26</v>
      </c>
      <c r="P2069">
        <v>60</v>
      </c>
      <c r="Q2069">
        <v>75</v>
      </c>
      <c r="R2069">
        <v>60</v>
      </c>
      <c r="S2069">
        <v>90</v>
      </c>
      <c r="T2069" t="s">
        <v>10922</v>
      </c>
    </row>
    <row r="2070" spans="1:20">
      <c r="A2070">
        <v>3012149</v>
      </c>
      <c r="B2070" t="s">
        <v>10923</v>
      </c>
      <c r="C2070" t="str">
        <f>"9782763786063"</f>
        <v>9782763786063</v>
      </c>
      <c r="D2070" t="str">
        <f>"9781459336650"</f>
        <v>9781459336650</v>
      </c>
      <c r="E2070" t="s">
        <v>10719</v>
      </c>
      <c r="F2070" t="s">
        <v>10720</v>
      </c>
      <c r="G2070" s="1">
        <v>39783</v>
      </c>
      <c r="J2070" t="s">
        <v>1185</v>
      </c>
      <c r="K2070" t="s">
        <v>263</v>
      </c>
      <c r="L2070" t="s">
        <v>10924</v>
      </c>
      <c r="N2070" t="s">
        <v>10925</v>
      </c>
      <c r="O2070" t="s">
        <v>94</v>
      </c>
      <c r="P2070">
        <v>40</v>
      </c>
      <c r="Q2070">
        <v>50</v>
      </c>
      <c r="R2070">
        <v>40</v>
      </c>
      <c r="S2070">
        <v>60</v>
      </c>
      <c r="T2070" t="s">
        <v>10926</v>
      </c>
    </row>
    <row r="2071" spans="1:20">
      <c r="A2071">
        <v>3012150</v>
      </c>
      <c r="B2071" t="s">
        <v>10927</v>
      </c>
      <c r="C2071" t="str">
        <f>"9789004172784"</f>
        <v>9789004172784</v>
      </c>
      <c r="D2071" t="str">
        <f>"9781459336674"</f>
        <v>9781459336674</v>
      </c>
      <c r="E2071" t="s">
        <v>10719</v>
      </c>
      <c r="F2071" t="s">
        <v>10720</v>
      </c>
      <c r="G2071" s="1">
        <v>39783</v>
      </c>
      <c r="J2071" t="s">
        <v>10928</v>
      </c>
      <c r="K2071" t="s">
        <v>305</v>
      </c>
      <c r="L2071" t="s">
        <v>10929</v>
      </c>
      <c r="M2071" t="s">
        <v>10930</v>
      </c>
      <c r="N2071" t="s">
        <v>10931</v>
      </c>
      <c r="O2071" t="s">
        <v>26</v>
      </c>
      <c r="P2071">
        <v>156</v>
      </c>
      <c r="Q2071">
        <v>195</v>
      </c>
      <c r="R2071">
        <v>156</v>
      </c>
      <c r="S2071">
        <v>234</v>
      </c>
      <c r="T2071" t="s">
        <v>10932</v>
      </c>
    </row>
    <row r="2072" spans="1:20">
      <c r="A2072">
        <v>3012151</v>
      </c>
      <c r="B2072" t="s">
        <v>10933</v>
      </c>
      <c r="C2072" t="str">
        <f>"9788132101475"</f>
        <v>9788132101475</v>
      </c>
      <c r="D2072" t="str">
        <f>"9781552504673"</f>
        <v>9781552504673</v>
      </c>
      <c r="E2072" t="s">
        <v>10719</v>
      </c>
      <c r="F2072" t="s">
        <v>10720</v>
      </c>
      <c r="G2072" s="1">
        <v>40060</v>
      </c>
      <c r="J2072" t="s">
        <v>10934</v>
      </c>
      <c r="K2072" t="s">
        <v>2312</v>
      </c>
      <c r="L2072" t="s">
        <v>10935</v>
      </c>
      <c r="M2072">
        <v>320.60000000000002</v>
      </c>
      <c r="N2072" t="s">
        <v>10936</v>
      </c>
      <c r="O2072" t="s">
        <v>26</v>
      </c>
      <c r="P2072">
        <v>30</v>
      </c>
      <c r="Q2072">
        <v>37.5</v>
      </c>
      <c r="R2072">
        <v>30</v>
      </c>
      <c r="S2072">
        <v>45</v>
      </c>
      <c r="T2072" t="s">
        <v>10937</v>
      </c>
    </row>
    <row r="2073" spans="1:20">
      <c r="A2073">
        <v>3012152</v>
      </c>
      <c r="B2073" t="s">
        <v>10938</v>
      </c>
      <c r="C2073" t="str">
        <f>"9781844078066"</f>
        <v>9781844078066</v>
      </c>
      <c r="D2073" t="str">
        <f>"9781552504703"</f>
        <v>9781552504703</v>
      </c>
      <c r="E2073" t="s">
        <v>10719</v>
      </c>
      <c r="F2073" t="s">
        <v>10720</v>
      </c>
      <c r="G2073" s="1">
        <v>40053</v>
      </c>
      <c r="J2073" t="s">
        <v>10939</v>
      </c>
      <c r="K2073" t="s">
        <v>263</v>
      </c>
      <c r="L2073" t="s">
        <v>10940</v>
      </c>
      <c r="M2073">
        <v>302</v>
      </c>
      <c r="N2073" t="s">
        <v>10941</v>
      </c>
      <c r="O2073" t="s">
        <v>26</v>
      </c>
      <c r="P2073">
        <v>50</v>
      </c>
      <c r="Q2073">
        <v>62.5</v>
      </c>
      <c r="R2073">
        <v>50</v>
      </c>
      <c r="S2073">
        <v>75</v>
      </c>
      <c r="T2073" t="s">
        <v>10942</v>
      </c>
    </row>
    <row r="2074" spans="1:20">
      <c r="A2074">
        <v>3014866</v>
      </c>
      <c r="B2074" t="s">
        <v>10943</v>
      </c>
      <c r="C2074" t="str">
        <f>"9781895837421"</f>
        <v>9781895837421</v>
      </c>
      <c r="D2074" t="str">
        <f>"9781459308947"</f>
        <v>9781459308947</v>
      </c>
      <c r="E2074" t="s">
        <v>1119</v>
      </c>
      <c r="F2074" t="s">
        <v>1119</v>
      </c>
      <c r="G2074" s="1">
        <v>35400</v>
      </c>
      <c r="J2074" t="s">
        <v>10944</v>
      </c>
      <c r="K2074" t="s">
        <v>1464</v>
      </c>
      <c r="L2074" t="s">
        <v>10945</v>
      </c>
      <c r="M2074" t="s">
        <v>1460</v>
      </c>
      <c r="N2074" t="s">
        <v>10946</v>
      </c>
      <c r="O2074" t="s">
        <v>26</v>
      </c>
      <c r="P2074">
        <v>18.989999999999998</v>
      </c>
      <c r="R2074">
        <v>18.989999999999998</v>
      </c>
      <c r="S2074">
        <v>28.49</v>
      </c>
      <c r="T2074" t="s">
        <v>10947</v>
      </c>
    </row>
    <row r="2075" spans="1:20">
      <c r="A2075">
        <v>3015317</v>
      </c>
      <c r="B2075" t="s">
        <v>10948</v>
      </c>
      <c r="C2075" t="str">
        <f>"9781908739261"</f>
        <v>9781908739261</v>
      </c>
      <c r="D2075" t="str">
        <f>"9781908739292"</f>
        <v>9781908739292</v>
      </c>
      <c r="E2075" t="s">
        <v>10949</v>
      </c>
      <c r="F2075" t="s">
        <v>10949</v>
      </c>
      <c r="G2075" s="1">
        <v>41365</v>
      </c>
      <c r="J2075" t="s">
        <v>10950</v>
      </c>
      <c r="K2075" t="s">
        <v>291</v>
      </c>
      <c r="L2075" t="s">
        <v>10951</v>
      </c>
      <c r="N2075" t="s">
        <v>10952</v>
      </c>
      <c r="O2075" t="s">
        <v>26</v>
      </c>
      <c r="P2075">
        <v>19.489999999999998</v>
      </c>
      <c r="Q2075">
        <v>16.89</v>
      </c>
      <c r="R2075">
        <v>12.99</v>
      </c>
      <c r="S2075">
        <v>19.489999999999998</v>
      </c>
      <c r="T2075" t="s">
        <v>10953</v>
      </c>
    </row>
    <row r="2076" spans="1:20">
      <c r="A2076">
        <v>3015322</v>
      </c>
      <c r="B2076" t="s">
        <v>10954</v>
      </c>
      <c r="C2076" t="str">
        <f>"9781908739308"</f>
        <v>9781908739308</v>
      </c>
      <c r="D2076" t="str">
        <f>"9781908739339"</f>
        <v>9781908739339</v>
      </c>
      <c r="E2076" t="s">
        <v>10949</v>
      </c>
      <c r="F2076" t="s">
        <v>10949</v>
      </c>
      <c r="G2076" s="1">
        <v>41365</v>
      </c>
      <c r="J2076" t="s">
        <v>10955</v>
      </c>
      <c r="K2076" t="s">
        <v>10956</v>
      </c>
      <c r="L2076" t="s">
        <v>10957</v>
      </c>
      <c r="N2076" t="s">
        <v>10958</v>
      </c>
      <c r="O2076" t="s">
        <v>26</v>
      </c>
      <c r="P2076">
        <v>14.99</v>
      </c>
      <c r="Q2076">
        <v>12.99</v>
      </c>
      <c r="R2076">
        <v>9.99</v>
      </c>
      <c r="S2076">
        <v>14.99</v>
      </c>
      <c r="T2076" t="s">
        <v>10959</v>
      </c>
    </row>
    <row r="2077" spans="1:20">
      <c r="A2077">
        <v>3015323</v>
      </c>
      <c r="B2077" t="s">
        <v>10960</v>
      </c>
      <c r="C2077" t="str">
        <f>"9781908739148"</f>
        <v>9781908739148</v>
      </c>
      <c r="D2077" t="str">
        <f>"9781908739179"</f>
        <v>9781908739179</v>
      </c>
      <c r="E2077" t="s">
        <v>10949</v>
      </c>
      <c r="F2077" t="s">
        <v>10949</v>
      </c>
      <c r="G2077" s="1">
        <v>41153</v>
      </c>
      <c r="J2077" t="s">
        <v>10961</v>
      </c>
      <c r="K2077" t="s">
        <v>1859</v>
      </c>
      <c r="L2077" t="s">
        <v>10962</v>
      </c>
      <c r="N2077" t="s">
        <v>10963</v>
      </c>
      <c r="O2077" t="s">
        <v>26</v>
      </c>
      <c r="P2077">
        <v>14.99</v>
      </c>
      <c r="Q2077">
        <v>12.99</v>
      </c>
      <c r="R2077">
        <v>9.99</v>
      </c>
      <c r="S2077">
        <v>14.99</v>
      </c>
      <c r="T2077" t="s">
        <v>10964</v>
      </c>
    </row>
    <row r="2078" spans="1:20">
      <c r="A2078">
        <v>3027007</v>
      </c>
      <c r="B2078" t="s">
        <v>10965</v>
      </c>
      <c r="C2078" t="str">
        <f>"9780969766728"</f>
        <v>9780969766728</v>
      </c>
      <c r="D2078" t="str">
        <f>"9780969766797"</f>
        <v>9780969766797</v>
      </c>
      <c r="E2078" t="s">
        <v>4668</v>
      </c>
      <c r="F2078" t="s">
        <v>10966</v>
      </c>
      <c r="G2078" s="1">
        <v>41000</v>
      </c>
      <c r="J2078" t="s">
        <v>10967</v>
      </c>
      <c r="K2078" t="s">
        <v>1150</v>
      </c>
      <c r="L2078" t="s">
        <v>10968</v>
      </c>
      <c r="N2078" t="s">
        <v>10969</v>
      </c>
      <c r="O2078" t="s">
        <v>26</v>
      </c>
      <c r="P2078">
        <v>16</v>
      </c>
      <c r="Q2078">
        <v>20</v>
      </c>
      <c r="R2078">
        <v>16</v>
      </c>
      <c r="T2078" t="s">
        <v>10970</v>
      </c>
    </row>
    <row r="2079" spans="1:20">
      <c r="A2079">
        <v>3027008</v>
      </c>
      <c r="B2079" t="s">
        <v>10971</v>
      </c>
      <c r="C2079" t="str">
        <f>"9780969766773"</f>
        <v>9780969766773</v>
      </c>
      <c r="D2079" t="str">
        <f>"9780987779700"</f>
        <v>9780987779700</v>
      </c>
      <c r="E2079" t="s">
        <v>4668</v>
      </c>
      <c r="F2079" t="s">
        <v>10966</v>
      </c>
      <c r="G2079" s="1">
        <v>41000</v>
      </c>
      <c r="J2079" t="s">
        <v>10967</v>
      </c>
      <c r="K2079" t="s">
        <v>1150</v>
      </c>
      <c r="L2079" t="s">
        <v>10972</v>
      </c>
      <c r="M2079" t="s">
        <v>10973</v>
      </c>
      <c r="N2079" t="s">
        <v>10974</v>
      </c>
      <c r="O2079" t="s">
        <v>26</v>
      </c>
      <c r="P2079">
        <v>22.5</v>
      </c>
      <c r="Q2079">
        <v>28.13</v>
      </c>
      <c r="R2079">
        <v>22.5</v>
      </c>
      <c r="T2079" t="s">
        <v>10975</v>
      </c>
    </row>
    <row r="2080" spans="1:20">
      <c r="A2080">
        <v>3027009</v>
      </c>
      <c r="B2080" t="s">
        <v>10976</v>
      </c>
      <c r="C2080" t="str">
        <f>"9780969766766"</f>
        <v>9780969766766</v>
      </c>
      <c r="D2080" t="str">
        <f>"9780969766780"</f>
        <v>9780969766780</v>
      </c>
      <c r="E2080" t="s">
        <v>4668</v>
      </c>
      <c r="F2080" t="s">
        <v>10966</v>
      </c>
      <c r="G2080" s="1">
        <v>41000</v>
      </c>
      <c r="J2080" t="s">
        <v>10967</v>
      </c>
      <c r="K2080" t="s">
        <v>1150</v>
      </c>
      <c r="L2080" t="s">
        <v>10977</v>
      </c>
      <c r="M2080" t="s">
        <v>10973</v>
      </c>
      <c r="N2080" t="s">
        <v>10978</v>
      </c>
      <c r="O2080" t="s">
        <v>26</v>
      </c>
      <c r="P2080">
        <v>22.5</v>
      </c>
      <c r="Q2080">
        <v>28.13</v>
      </c>
      <c r="R2080">
        <v>22.5</v>
      </c>
      <c r="T2080" t="s">
        <v>10979</v>
      </c>
    </row>
    <row r="2081" spans="1:20">
      <c r="A2081">
        <v>3027010</v>
      </c>
      <c r="B2081" t="s">
        <v>10980</v>
      </c>
      <c r="C2081" t="str">
        <f>"9781551431925"</f>
        <v>9781551431925</v>
      </c>
      <c r="D2081" t="str">
        <f>"9781551438023"</f>
        <v>9781551438023</v>
      </c>
      <c r="E2081" t="s">
        <v>4668</v>
      </c>
      <c r="F2081" t="s">
        <v>4668</v>
      </c>
      <c r="G2081" s="1">
        <v>37135</v>
      </c>
      <c r="J2081" t="s">
        <v>10981</v>
      </c>
      <c r="K2081" t="s">
        <v>1464</v>
      </c>
      <c r="L2081" t="s">
        <v>10982</v>
      </c>
      <c r="M2081" t="s">
        <v>1460</v>
      </c>
      <c r="N2081" t="s">
        <v>10983</v>
      </c>
      <c r="O2081" t="s">
        <v>26</v>
      </c>
      <c r="P2081">
        <v>8.99</v>
      </c>
      <c r="Q2081">
        <v>11.24</v>
      </c>
      <c r="R2081">
        <v>8.99</v>
      </c>
      <c r="T2081" t="s">
        <v>10984</v>
      </c>
    </row>
    <row r="2082" spans="1:20">
      <c r="A2082">
        <v>3027011</v>
      </c>
      <c r="B2082" t="s">
        <v>10985</v>
      </c>
      <c r="C2082" t="str">
        <f>"9781459805903"</f>
        <v>9781459805903</v>
      </c>
      <c r="D2082" t="str">
        <f>"9781459805927"</f>
        <v>9781459805927</v>
      </c>
      <c r="E2082" t="s">
        <v>4668</v>
      </c>
      <c r="F2082" t="s">
        <v>4668</v>
      </c>
      <c r="G2082" s="1">
        <v>41730</v>
      </c>
      <c r="I2082" t="s">
        <v>5056</v>
      </c>
      <c r="J2082" t="s">
        <v>8152</v>
      </c>
      <c r="K2082" t="s">
        <v>1464</v>
      </c>
      <c r="L2082" t="s">
        <v>10986</v>
      </c>
      <c r="M2082" t="s">
        <v>1460</v>
      </c>
      <c r="N2082" t="s">
        <v>10987</v>
      </c>
      <c r="O2082" t="s">
        <v>26</v>
      </c>
      <c r="P2082">
        <v>9.99</v>
      </c>
      <c r="Q2082">
        <v>12.49</v>
      </c>
      <c r="R2082">
        <v>9.99</v>
      </c>
      <c r="T2082" t="s">
        <v>10988</v>
      </c>
    </row>
    <row r="2083" spans="1:20">
      <c r="A2083">
        <v>3027906</v>
      </c>
      <c r="B2083" t="s">
        <v>10989</v>
      </c>
      <c r="C2083" t="str">
        <f>"9781550223606"</f>
        <v>9781550223606</v>
      </c>
      <c r="D2083" t="str">
        <f>"9781554903603"</f>
        <v>9781554903603</v>
      </c>
      <c r="E2083" t="s">
        <v>7707</v>
      </c>
      <c r="F2083" t="s">
        <v>7707</v>
      </c>
      <c r="G2083" s="1">
        <v>36069</v>
      </c>
      <c r="J2083" t="s">
        <v>10990</v>
      </c>
      <c r="K2083" t="s">
        <v>1150</v>
      </c>
      <c r="L2083" t="s">
        <v>10991</v>
      </c>
      <c r="N2083" t="s">
        <v>10992</v>
      </c>
      <c r="O2083" t="s">
        <v>26</v>
      </c>
      <c r="P2083">
        <v>10.95</v>
      </c>
      <c r="R2083">
        <v>10.95</v>
      </c>
      <c r="S2083">
        <v>16.43</v>
      </c>
      <c r="T2083" t="s">
        <v>10993</v>
      </c>
    </row>
    <row r="2084" spans="1:20">
      <c r="A2084">
        <v>3027992</v>
      </c>
      <c r="B2084" t="s">
        <v>10994</v>
      </c>
      <c r="C2084" t="str">
        <f>"9781550228298"</f>
        <v>9781550228298</v>
      </c>
      <c r="D2084" t="str">
        <f>"9781554908295"</f>
        <v>9781554908295</v>
      </c>
      <c r="E2084" t="s">
        <v>7707</v>
      </c>
      <c r="F2084" t="s">
        <v>7707</v>
      </c>
      <c r="G2084" s="1">
        <v>38687</v>
      </c>
      <c r="J2084" t="s">
        <v>10995</v>
      </c>
      <c r="K2084" t="s">
        <v>1464</v>
      </c>
      <c r="L2084" t="s">
        <v>10996</v>
      </c>
      <c r="N2084" t="s">
        <v>10997</v>
      </c>
      <c r="O2084" t="s">
        <v>26</v>
      </c>
      <c r="P2084">
        <v>9.9499999999999993</v>
      </c>
      <c r="R2084">
        <v>9.9499999999999993</v>
      </c>
      <c r="S2084">
        <v>14.93</v>
      </c>
      <c r="T2084" t="s">
        <v>10998</v>
      </c>
    </row>
    <row r="2085" spans="1:20">
      <c r="A2085">
        <v>3028000</v>
      </c>
      <c r="B2085" t="s">
        <v>10999</v>
      </c>
      <c r="C2085" t="str">
        <f>"9781550227543"</f>
        <v>9781550227543</v>
      </c>
      <c r="D2085" t="str">
        <f>"9781554907540"</f>
        <v>9781554907540</v>
      </c>
      <c r="E2085" t="s">
        <v>7707</v>
      </c>
      <c r="F2085" t="s">
        <v>7707</v>
      </c>
      <c r="G2085" s="1">
        <v>39203</v>
      </c>
      <c r="J2085" t="s">
        <v>11000</v>
      </c>
      <c r="K2085" t="s">
        <v>1464</v>
      </c>
      <c r="L2085" t="s">
        <v>11001</v>
      </c>
      <c r="M2085" t="s">
        <v>1509</v>
      </c>
      <c r="N2085" t="s">
        <v>11002</v>
      </c>
      <c r="O2085" t="s">
        <v>26</v>
      </c>
      <c r="P2085">
        <v>9.9499999999999993</v>
      </c>
      <c r="R2085">
        <v>9.9499999999999993</v>
      </c>
      <c r="S2085">
        <v>14.93</v>
      </c>
      <c r="T2085" t="s">
        <v>11003</v>
      </c>
    </row>
    <row r="2086" spans="1:20">
      <c r="A2086">
        <v>3028007</v>
      </c>
      <c r="B2086" t="s">
        <v>11004</v>
      </c>
      <c r="C2086" t="str">
        <f>"9781550226614"</f>
        <v>9781550226614</v>
      </c>
      <c r="D2086" t="str">
        <f>"9781554906611"</f>
        <v>9781554906611</v>
      </c>
      <c r="E2086" t="s">
        <v>7707</v>
      </c>
      <c r="F2086" t="s">
        <v>7707</v>
      </c>
      <c r="G2086" s="1">
        <v>38322</v>
      </c>
      <c r="J2086" t="s">
        <v>11005</v>
      </c>
      <c r="K2086" t="s">
        <v>1150</v>
      </c>
      <c r="L2086" t="s">
        <v>11006</v>
      </c>
      <c r="M2086" t="s">
        <v>11007</v>
      </c>
      <c r="N2086" t="s">
        <v>11008</v>
      </c>
      <c r="O2086" t="s">
        <v>26</v>
      </c>
      <c r="P2086">
        <v>11.95</v>
      </c>
      <c r="R2086">
        <v>11.95</v>
      </c>
      <c r="S2086">
        <v>17.93</v>
      </c>
      <c r="T2086" t="s">
        <v>11009</v>
      </c>
    </row>
    <row r="2087" spans="1:20">
      <c r="A2087">
        <v>3028057</v>
      </c>
      <c r="B2087" t="s">
        <v>11010</v>
      </c>
      <c r="C2087" t="str">
        <f>"9781550226669"</f>
        <v>9781550226669</v>
      </c>
      <c r="D2087" t="str">
        <f>"9781554906666"</f>
        <v>9781554906666</v>
      </c>
      <c r="E2087" t="s">
        <v>7707</v>
      </c>
      <c r="F2087" t="s">
        <v>7707</v>
      </c>
      <c r="G2087" s="1">
        <v>38139</v>
      </c>
      <c r="J2087" t="s">
        <v>11011</v>
      </c>
      <c r="K2087" t="s">
        <v>1471</v>
      </c>
      <c r="L2087" t="s">
        <v>11012</v>
      </c>
      <c r="M2087" t="s">
        <v>11013</v>
      </c>
      <c r="N2087" t="s">
        <v>11014</v>
      </c>
      <c r="O2087" t="s">
        <v>26</v>
      </c>
      <c r="P2087">
        <v>13.99</v>
      </c>
      <c r="R2087">
        <v>13.99</v>
      </c>
      <c r="S2087">
        <v>20.99</v>
      </c>
      <c r="T2087" t="s">
        <v>11015</v>
      </c>
    </row>
    <row r="2088" spans="1:20">
      <c r="A2088">
        <v>3028059</v>
      </c>
      <c r="B2088" t="s">
        <v>11016</v>
      </c>
      <c r="C2088" t="str">
        <f>"9781550225488"</f>
        <v>9781550225488</v>
      </c>
      <c r="D2088" t="str">
        <f>"9781554905485"</f>
        <v>9781554905485</v>
      </c>
      <c r="E2088" t="s">
        <v>7707</v>
      </c>
      <c r="F2088" t="s">
        <v>7707</v>
      </c>
      <c r="G2088" s="1">
        <v>37408</v>
      </c>
      <c r="J2088" t="s">
        <v>11011</v>
      </c>
      <c r="K2088" t="s">
        <v>2963</v>
      </c>
      <c r="L2088" t="s">
        <v>11017</v>
      </c>
      <c r="M2088" t="s">
        <v>11018</v>
      </c>
      <c r="N2088" t="s">
        <v>11019</v>
      </c>
      <c r="O2088" t="s">
        <v>26</v>
      </c>
      <c r="P2088">
        <v>13.99</v>
      </c>
      <c r="R2088">
        <v>13.99</v>
      </c>
      <c r="S2088">
        <v>20.99</v>
      </c>
      <c r="T2088" t="s">
        <v>11020</v>
      </c>
    </row>
    <row r="2089" spans="1:20">
      <c r="A2089">
        <v>3028097</v>
      </c>
      <c r="B2089" t="s">
        <v>11021</v>
      </c>
      <c r="C2089" t="str">
        <f>"9781550228137"</f>
        <v>9781550228137</v>
      </c>
      <c r="D2089" t="str">
        <f>"9781554908134"</f>
        <v>9781554908134</v>
      </c>
      <c r="E2089" t="s">
        <v>7707</v>
      </c>
      <c r="F2089" t="s">
        <v>7707</v>
      </c>
      <c r="G2089" s="1">
        <v>39539</v>
      </c>
      <c r="J2089" t="s">
        <v>11000</v>
      </c>
      <c r="K2089" t="s">
        <v>1464</v>
      </c>
      <c r="L2089" t="s">
        <v>11022</v>
      </c>
      <c r="M2089" t="s">
        <v>1509</v>
      </c>
      <c r="N2089" t="s">
        <v>11023</v>
      </c>
      <c r="O2089" t="s">
        <v>26</v>
      </c>
      <c r="P2089">
        <v>10.99</v>
      </c>
      <c r="R2089">
        <v>10.99</v>
      </c>
      <c r="S2089">
        <v>16.489999999999998</v>
      </c>
      <c r="T2089" t="s">
        <v>11024</v>
      </c>
    </row>
    <row r="2090" spans="1:20">
      <c r="A2090">
        <v>3028139</v>
      </c>
      <c r="B2090" t="s">
        <v>11025</v>
      </c>
      <c r="C2090" t="str">
        <f>"9781551521879"</f>
        <v>9781551521879</v>
      </c>
      <c r="D2090" t="str">
        <f>"9781551522852"</f>
        <v>9781551522852</v>
      </c>
      <c r="E2090" t="s">
        <v>2416</v>
      </c>
      <c r="F2090" t="s">
        <v>2416</v>
      </c>
      <c r="G2090" s="1">
        <v>38322</v>
      </c>
      <c r="J2090" t="s">
        <v>11026</v>
      </c>
      <c r="K2090" t="s">
        <v>2387</v>
      </c>
      <c r="L2090" t="s">
        <v>11027</v>
      </c>
      <c r="M2090" t="s">
        <v>11028</v>
      </c>
      <c r="N2090" t="s">
        <v>11029</v>
      </c>
      <c r="O2090" t="s">
        <v>26</v>
      </c>
      <c r="P2090">
        <v>23.95</v>
      </c>
      <c r="R2090">
        <v>23.95</v>
      </c>
      <c r="S2090">
        <v>35.93</v>
      </c>
      <c r="T2090" t="s">
        <v>11030</v>
      </c>
    </row>
    <row r="2091" spans="1:20">
      <c r="A2091">
        <v>3028143</v>
      </c>
      <c r="B2091" t="s">
        <v>11031</v>
      </c>
      <c r="C2091" t="str">
        <f>"9781551522401"</f>
        <v>9781551522401</v>
      </c>
      <c r="D2091" t="str">
        <f>"9781551523187"</f>
        <v>9781551523187</v>
      </c>
      <c r="E2091" t="s">
        <v>2416</v>
      </c>
      <c r="F2091" t="s">
        <v>2416</v>
      </c>
      <c r="G2091" s="1">
        <v>39692</v>
      </c>
      <c r="J2091" t="s">
        <v>11026</v>
      </c>
      <c r="K2091" t="s">
        <v>2387</v>
      </c>
      <c r="L2091" t="s">
        <v>11032</v>
      </c>
      <c r="M2091" t="s">
        <v>11028</v>
      </c>
      <c r="N2091" t="s">
        <v>11033</v>
      </c>
      <c r="O2091" t="s">
        <v>26</v>
      </c>
      <c r="P2091">
        <v>17.95</v>
      </c>
      <c r="R2091">
        <v>17.95</v>
      </c>
      <c r="S2091">
        <v>26.93</v>
      </c>
      <c r="T2091" t="s">
        <v>11034</v>
      </c>
    </row>
    <row r="2092" spans="1:20">
      <c r="A2092">
        <v>3028150</v>
      </c>
      <c r="B2092" t="s">
        <v>11035</v>
      </c>
      <c r="C2092" t="str">
        <f>"9781550228601"</f>
        <v>9781550228601</v>
      </c>
      <c r="D2092" t="str">
        <f>"9781554908608"</f>
        <v>9781554908608</v>
      </c>
      <c r="E2092" t="s">
        <v>7707</v>
      </c>
      <c r="F2092" t="s">
        <v>7707</v>
      </c>
      <c r="G2092" s="1">
        <v>39904</v>
      </c>
      <c r="J2092" t="s">
        <v>11036</v>
      </c>
      <c r="K2092" t="s">
        <v>1464</v>
      </c>
      <c r="L2092" t="s">
        <v>11037</v>
      </c>
      <c r="M2092" t="s">
        <v>1509</v>
      </c>
      <c r="N2092" t="s">
        <v>11038</v>
      </c>
      <c r="O2092" t="s">
        <v>26</v>
      </c>
      <c r="P2092">
        <v>9.99</v>
      </c>
      <c r="R2092">
        <v>9.99</v>
      </c>
      <c r="S2092">
        <v>14.99</v>
      </c>
      <c r="T2092" t="s">
        <v>11039</v>
      </c>
    </row>
    <row r="2093" spans="1:20">
      <c r="A2093">
        <v>3028166</v>
      </c>
      <c r="B2093" t="s">
        <v>11040</v>
      </c>
      <c r="C2093" t="str">
        <f>"9781553653349"</f>
        <v>9781553653349</v>
      </c>
      <c r="D2093" t="str">
        <f>"9781926685687"</f>
        <v>9781926685687</v>
      </c>
      <c r="E2093" t="s">
        <v>3092</v>
      </c>
      <c r="F2093" t="s">
        <v>3093</v>
      </c>
      <c r="G2093" s="1">
        <v>39995</v>
      </c>
      <c r="J2093" t="s">
        <v>11041</v>
      </c>
      <c r="K2093" t="s">
        <v>305</v>
      </c>
      <c r="L2093" t="s">
        <v>11042</v>
      </c>
      <c r="N2093" t="s">
        <v>11043</v>
      </c>
      <c r="O2093" t="s">
        <v>26</v>
      </c>
      <c r="P2093">
        <v>27.95</v>
      </c>
      <c r="R2093">
        <v>27.95</v>
      </c>
      <c r="S2093">
        <v>41.93</v>
      </c>
      <c r="T2093" t="s">
        <v>11044</v>
      </c>
    </row>
    <row r="2094" spans="1:20">
      <c r="A2094">
        <v>3028169</v>
      </c>
      <c r="B2094" t="s">
        <v>11045</v>
      </c>
      <c r="C2094" t="str">
        <f>"9781553652922"</f>
        <v>9781553652922</v>
      </c>
      <c r="D2094" t="str">
        <f>"9781926685885"</f>
        <v>9781926685885</v>
      </c>
      <c r="E2094" t="s">
        <v>3092</v>
      </c>
      <c r="F2094" t="s">
        <v>3093</v>
      </c>
      <c r="G2094" s="1">
        <v>39995</v>
      </c>
      <c r="J2094" t="s">
        <v>11046</v>
      </c>
      <c r="K2094" t="s">
        <v>10956</v>
      </c>
      <c r="L2094" t="s">
        <v>11047</v>
      </c>
      <c r="M2094" t="s">
        <v>11048</v>
      </c>
      <c r="N2094" t="s">
        <v>11049</v>
      </c>
      <c r="O2094" t="s">
        <v>26</v>
      </c>
      <c r="P2094">
        <v>27.95</v>
      </c>
      <c r="R2094">
        <v>27.95</v>
      </c>
      <c r="S2094">
        <v>41.93</v>
      </c>
      <c r="T2094" t="s">
        <v>11050</v>
      </c>
    </row>
    <row r="2095" spans="1:20">
      <c r="A2095">
        <v>3028170</v>
      </c>
      <c r="B2095" t="s">
        <v>11051</v>
      </c>
      <c r="C2095" t="str">
        <f>"9781553653660"</f>
        <v>9781553653660</v>
      </c>
      <c r="D2095" t="str">
        <f>"9781926685908"</f>
        <v>9781926685908</v>
      </c>
      <c r="E2095" t="s">
        <v>3093</v>
      </c>
      <c r="F2095" t="s">
        <v>3093</v>
      </c>
      <c r="G2095" s="1">
        <v>39569</v>
      </c>
      <c r="J2095" t="s">
        <v>11052</v>
      </c>
      <c r="K2095" t="s">
        <v>473</v>
      </c>
      <c r="L2095" t="s">
        <v>11053</v>
      </c>
      <c r="M2095">
        <v>321.8</v>
      </c>
      <c r="N2095" t="s">
        <v>11054</v>
      </c>
      <c r="O2095" t="s">
        <v>26</v>
      </c>
      <c r="P2095">
        <v>24.95</v>
      </c>
      <c r="R2095">
        <v>24.95</v>
      </c>
      <c r="S2095">
        <v>37.43</v>
      </c>
      <c r="T2095" t="s">
        <v>11055</v>
      </c>
    </row>
    <row r="2096" spans="1:20">
      <c r="A2096">
        <v>3028171</v>
      </c>
      <c r="B2096" t="s">
        <v>11056</v>
      </c>
      <c r="C2096" t="str">
        <f>"9780865716209"</f>
        <v>9780865716209</v>
      </c>
      <c r="D2096" t="str">
        <f>"9781550924084"</f>
        <v>9781550924084</v>
      </c>
      <c r="E2096" t="s">
        <v>249</v>
      </c>
      <c r="F2096" t="s">
        <v>249</v>
      </c>
      <c r="G2096" s="1">
        <v>39904</v>
      </c>
      <c r="J2096" t="s">
        <v>329</v>
      </c>
      <c r="K2096" t="s">
        <v>11057</v>
      </c>
      <c r="L2096" t="s">
        <v>11058</v>
      </c>
      <c r="N2096" t="s">
        <v>11059</v>
      </c>
      <c r="O2096" t="s">
        <v>26</v>
      </c>
      <c r="P2096">
        <v>24.95</v>
      </c>
      <c r="R2096">
        <v>24.95</v>
      </c>
      <c r="S2096">
        <v>37.43</v>
      </c>
      <c r="T2096" t="s">
        <v>11060</v>
      </c>
    </row>
    <row r="2097" spans="1:20">
      <c r="A2097">
        <v>3028271</v>
      </c>
      <c r="B2097" t="s">
        <v>11061</v>
      </c>
      <c r="C2097" t="str">
        <f>"9781550228564"</f>
        <v>9781550228564</v>
      </c>
      <c r="D2097" t="str">
        <f>"9781554908561"</f>
        <v>9781554908561</v>
      </c>
      <c r="E2097" t="s">
        <v>7707</v>
      </c>
      <c r="F2097" t="s">
        <v>7707</v>
      </c>
      <c r="G2097" s="1">
        <v>39692</v>
      </c>
      <c r="J2097" t="s">
        <v>11062</v>
      </c>
      <c r="K2097" t="s">
        <v>1464</v>
      </c>
      <c r="L2097" t="s">
        <v>11063</v>
      </c>
      <c r="M2097" t="s">
        <v>1509</v>
      </c>
      <c r="N2097" t="s">
        <v>11064</v>
      </c>
      <c r="O2097" t="s">
        <v>26</v>
      </c>
      <c r="P2097">
        <v>10.99</v>
      </c>
      <c r="R2097">
        <v>10.99</v>
      </c>
      <c r="S2097">
        <v>16.489999999999998</v>
      </c>
      <c r="T2097" t="s">
        <v>11065</v>
      </c>
    </row>
    <row r="2098" spans="1:20">
      <c r="A2098">
        <v>3028298</v>
      </c>
      <c r="B2098" t="s">
        <v>11066</v>
      </c>
      <c r="C2098" t="str">
        <f>"9781551522616"</f>
        <v>9781551522616</v>
      </c>
      <c r="D2098" t="str">
        <f>"9781551523484"</f>
        <v>9781551523484</v>
      </c>
      <c r="E2098" t="s">
        <v>2416</v>
      </c>
      <c r="F2098" t="s">
        <v>2416</v>
      </c>
      <c r="G2098" s="1">
        <v>40087</v>
      </c>
      <c r="I2098" t="s">
        <v>2752</v>
      </c>
      <c r="J2098" t="s">
        <v>11067</v>
      </c>
      <c r="K2098" t="s">
        <v>1471</v>
      </c>
      <c r="L2098" t="s">
        <v>11068</v>
      </c>
      <c r="M2098" t="s">
        <v>11069</v>
      </c>
      <c r="N2098" t="s">
        <v>11070</v>
      </c>
      <c r="O2098" t="s">
        <v>26</v>
      </c>
      <c r="P2098">
        <v>14.95</v>
      </c>
      <c r="R2098">
        <v>14.95</v>
      </c>
      <c r="S2098">
        <v>22.43</v>
      </c>
      <c r="T2098" t="s">
        <v>11071</v>
      </c>
    </row>
    <row r="2099" spans="1:20">
      <c r="A2099">
        <v>3028299</v>
      </c>
      <c r="B2099" t="s">
        <v>11072</v>
      </c>
      <c r="C2099" t="str">
        <f>"9781551522586"</f>
        <v>9781551522586</v>
      </c>
      <c r="D2099" t="str">
        <f>"9781551523453"</f>
        <v>9781551523453</v>
      </c>
      <c r="E2099" t="s">
        <v>2416</v>
      </c>
      <c r="F2099" t="s">
        <v>2416</v>
      </c>
      <c r="G2099" s="1">
        <v>40057</v>
      </c>
      <c r="J2099" t="s">
        <v>11073</v>
      </c>
      <c r="K2099" t="s">
        <v>1464</v>
      </c>
      <c r="L2099" t="s">
        <v>11074</v>
      </c>
      <c r="M2099" t="s">
        <v>1567</v>
      </c>
      <c r="N2099" t="s">
        <v>11075</v>
      </c>
      <c r="O2099" t="s">
        <v>26</v>
      </c>
      <c r="P2099">
        <v>24.95</v>
      </c>
      <c r="R2099">
        <v>24.95</v>
      </c>
      <c r="S2099">
        <v>37.43</v>
      </c>
      <c r="T2099" t="s">
        <v>11076</v>
      </c>
    </row>
    <row r="2100" spans="1:20">
      <c r="A2100">
        <v>3028375</v>
      </c>
      <c r="B2100" t="s">
        <v>11077</v>
      </c>
      <c r="C2100" t="str">
        <f>"9781550224344"</f>
        <v>9781550224344</v>
      </c>
      <c r="D2100" t="str">
        <f>"9781554904891"</f>
        <v>9781554904891</v>
      </c>
      <c r="E2100" t="s">
        <v>7707</v>
      </c>
      <c r="F2100" t="s">
        <v>7707</v>
      </c>
      <c r="G2100" s="1">
        <v>36831</v>
      </c>
      <c r="J2100" t="s">
        <v>11078</v>
      </c>
      <c r="K2100" t="s">
        <v>291</v>
      </c>
      <c r="L2100" t="s">
        <v>11079</v>
      </c>
      <c r="M2100" t="s">
        <v>11080</v>
      </c>
      <c r="N2100" t="s">
        <v>11081</v>
      </c>
      <c r="O2100" t="s">
        <v>26</v>
      </c>
      <c r="P2100">
        <v>13.95</v>
      </c>
      <c r="R2100">
        <v>13.95</v>
      </c>
      <c r="S2100">
        <v>20.93</v>
      </c>
      <c r="T2100" t="s">
        <v>11082</v>
      </c>
    </row>
    <row r="2101" spans="1:20">
      <c r="A2101">
        <v>3028376</v>
      </c>
      <c r="B2101" t="s">
        <v>11083</v>
      </c>
      <c r="C2101" t="str">
        <f>"9781550228915"</f>
        <v>9781550228915</v>
      </c>
      <c r="D2101" t="str">
        <f>"9781554908912"</f>
        <v>9781554908912</v>
      </c>
      <c r="E2101" t="s">
        <v>7707</v>
      </c>
      <c r="F2101" t="s">
        <v>7707</v>
      </c>
      <c r="G2101" s="1">
        <v>40118</v>
      </c>
      <c r="H2101">
        <v>5</v>
      </c>
      <c r="I2101" t="s">
        <v>11083</v>
      </c>
      <c r="J2101" t="s">
        <v>11084</v>
      </c>
      <c r="K2101" t="s">
        <v>1471</v>
      </c>
      <c r="L2101" t="s">
        <v>11085</v>
      </c>
      <c r="M2101" t="s">
        <v>11086</v>
      </c>
      <c r="N2101" t="s">
        <v>11087</v>
      </c>
      <c r="O2101" t="s">
        <v>26</v>
      </c>
      <c r="P2101">
        <v>10.95</v>
      </c>
      <c r="R2101">
        <v>10.95</v>
      </c>
      <c r="S2101">
        <v>16.43</v>
      </c>
      <c r="T2101" t="s">
        <v>11088</v>
      </c>
    </row>
    <row r="2102" spans="1:20">
      <c r="A2102">
        <v>3028379</v>
      </c>
      <c r="B2102" t="s">
        <v>11089</v>
      </c>
      <c r="C2102" t="str">
        <f>"9781550227161"</f>
        <v>9781550227161</v>
      </c>
      <c r="D2102" t="str">
        <f>"9781554907168"</f>
        <v>9781554907168</v>
      </c>
      <c r="E2102" t="s">
        <v>7707</v>
      </c>
      <c r="F2102" t="s">
        <v>7707</v>
      </c>
      <c r="G2102" s="1">
        <v>38847</v>
      </c>
      <c r="H2102">
        <v>2</v>
      </c>
      <c r="J2102" t="s">
        <v>11090</v>
      </c>
      <c r="K2102" t="s">
        <v>1471</v>
      </c>
      <c r="L2102" t="s">
        <v>11091</v>
      </c>
      <c r="M2102" t="s">
        <v>11092</v>
      </c>
      <c r="N2102" t="s">
        <v>11093</v>
      </c>
      <c r="O2102" t="s">
        <v>26</v>
      </c>
      <c r="P2102">
        <v>11.95</v>
      </c>
      <c r="R2102">
        <v>11.95</v>
      </c>
      <c r="S2102">
        <v>17.93</v>
      </c>
      <c r="T2102" t="s">
        <v>11094</v>
      </c>
    </row>
    <row r="2103" spans="1:20">
      <c r="A2103">
        <v>3028383</v>
      </c>
      <c r="B2103" t="s">
        <v>11095</v>
      </c>
      <c r="C2103" t="str">
        <f>"9781550224566"</f>
        <v>9781550224566</v>
      </c>
      <c r="D2103" t="str">
        <f>"9781554904785"</f>
        <v>9781554904785</v>
      </c>
      <c r="E2103" t="s">
        <v>7707</v>
      </c>
      <c r="F2103" t="s">
        <v>7707</v>
      </c>
      <c r="G2103" s="1">
        <v>36982</v>
      </c>
      <c r="J2103" t="s">
        <v>1577</v>
      </c>
      <c r="K2103" t="s">
        <v>1464</v>
      </c>
      <c r="L2103" t="s">
        <v>11096</v>
      </c>
      <c r="M2103" t="s">
        <v>1497</v>
      </c>
      <c r="N2103" t="s">
        <v>11097</v>
      </c>
      <c r="O2103" t="s">
        <v>26</v>
      </c>
      <c r="P2103">
        <v>10.95</v>
      </c>
      <c r="R2103">
        <v>10.95</v>
      </c>
      <c r="S2103">
        <v>16.43</v>
      </c>
      <c r="T2103" t="s">
        <v>11098</v>
      </c>
    </row>
    <row r="2104" spans="1:20">
      <c r="A2104">
        <v>3028386</v>
      </c>
      <c r="B2104" t="s">
        <v>11099</v>
      </c>
      <c r="C2104" t="str">
        <f>"9781550228793"</f>
        <v>9781550228793</v>
      </c>
      <c r="D2104" t="str">
        <f>"9781554908790"</f>
        <v>9781554908790</v>
      </c>
      <c r="E2104" t="s">
        <v>7707</v>
      </c>
      <c r="F2104" t="s">
        <v>7707</v>
      </c>
      <c r="G2104" s="1">
        <v>40057</v>
      </c>
      <c r="J2104" t="s">
        <v>11100</v>
      </c>
      <c r="K2104" t="s">
        <v>263</v>
      </c>
      <c r="L2104" t="s">
        <v>11101</v>
      </c>
      <c r="M2104" t="s">
        <v>11102</v>
      </c>
      <c r="N2104" t="s">
        <v>11103</v>
      </c>
      <c r="O2104" t="s">
        <v>26</v>
      </c>
      <c r="P2104">
        <v>19.95</v>
      </c>
      <c r="R2104">
        <v>19.95</v>
      </c>
      <c r="S2104">
        <v>29.93</v>
      </c>
      <c r="T2104" t="s">
        <v>11104</v>
      </c>
    </row>
    <row r="2105" spans="1:20">
      <c r="A2105">
        <v>3028387</v>
      </c>
      <c r="B2105" t="s">
        <v>11105</v>
      </c>
      <c r="C2105" t="str">
        <f>"9781550226522"</f>
        <v>9781550226522</v>
      </c>
      <c r="D2105" t="str">
        <f>"9781554906529"</f>
        <v>9781554906529</v>
      </c>
      <c r="E2105" t="s">
        <v>7707</v>
      </c>
      <c r="F2105" t="s">
        <v>7707</v>
      </c>
      <c r="G2105" s="1">
        <v>38141</v>
      </c>
      <c r="J2105" t="s">
        <v>11106</v>
      </c>
      <c r="K2105" t="s">
        <v>1859</v>
      </c>
      <c r="L2105" t="s">
        <v>11107</v>
      </c>
      <c r="M2105" t="s">
        <v>11108</v>
      </c>
      <c r="N2105" t="s">
        <v>11109</v>
      </c>
      <c r="O2105" t="s">
        <v>26</v>
      </c>
      <c r="P2105">
        <v>12.95</v>
      </c>
      <c r="R2105">
        <v>12.95</v>
      </c>
      <c r="S2105">
        <v>19.43</v>
      </c>
      <c r="T2105" t="s">
        <v>11110</v>
      </c>
    </row>
    <row r="2106" spans="1:20">
      <c r="A2106">
        <v>3028388</v>
      </c>
      <c r="B2106" t="s">
        <v>11111</v>
      </c>
      <c r="C2106" t="str">
        <f>"9781550228519"</f>
        <v>9781550228519</v>
      </c>
      <c r="D2106" t="str">
        <f>"9781554908516"</f>
        <v>9781554908516</v>
      </c>
      <c r="E2106" t="s">
        <v>7707</v>
      </c>
      <c r="F2106" t="s">
        <v>7707</v>
      </c>
      <c r="G2106" s="1">
        <v>39904</v>
      </c>
      <c r="J2106" t="s">
        <v>11112</v>
      </c>
      <c r="K2106" t="s">
        <v>1471</v>
      </c>
      <c r="L2106" t="s">
        <v>11113</v>
      </c>
      <c r="M2106">
        <v>782.42164092200005</v>
      </c>
      <c r="N2106" t="s">
        <v>11114</v>
      </c>
      <c r="O2106" t="s">
        <v>26</v>
      </c>
      <c r="P2106">
        <v>10.95</v>
      </c>
      <c r="R2106">
        <v>10.95</v>
      </c>
      <c r="S2106">
        <v>16.43</v>
      </c>
      <c r="T2106" t="s">
        <v>11115</v>
      </c>
    </row>
    <row r="2107" spans="1:20">
      <c r="A2107">
        <v>3028389</v>
      </c>
      <c r="B2107" t="s">
        <v>11116</v>
      </c>
      <c r="C2107" t="str">
        <f>"9781550228960"</f>
        <v>9781550228960</v>
      </c>
      <c r="D2107" t="str">
        <f>"9781554908967"</f>
        <v>9781554908967</v>
      </c>
      <c r="E2107" t="s">
        <v>7707</v>
      </c>
      <c r="F2107" t="s">
        <v>7707</v>
      </c>
      <c r="G2107" s="1">
        <v>40101</v>
      </c>
      <c r="J2107" t="s">
        <v>11117</v>
      </c>
      <c r="K2107" t="s">
        <v>1464</v>
      </c>
      <c r="L2107" t="s">
        <v>11118</v>
      </c>
      <c r="M2107" t="s">
        <v>11119</v>
      </c>
      <c r="N2107" t="s">
        <v>11120</v>
      </c>
      <c r="O2107" t="s">
        <v>26</v>
      </c>
      <c r="P2107">
        <v>13.95</v>
      </c>
      <c r="R2107">
        <v>13.95</v>
      </c>
      <c r="S2107">
        <v>20.93</v>
      </c>
      <c r="T2107" t="s">
        <v>11121</v>
      </c>
    </row>
    <row r="2108" spans="1:20">
      <c r="A2108">
        <v>3028390</v>
      </c>
      <c r="B2108" t="s">
        <v>11122</v>
      </c>
      <c r="C2108" t="str">
        <f>"9781550223842"</f>
        <v>9781550223842</v>
      </c>
      <c r="D2108" t="str">
        <f>"9781554905911"</f>
        <v>9781554905911</v>
      </c>
      <c r="E2108" t="s">
        <v>7707</v>
      </c>
      <c r="F2108" t="s">
        <v>7707</v>
      </c>
      <c r="G2108" s="1">
        <v>40057</v>
      </c>
      <c r="J2108" t="s">
        <v>11123</v>
      </c>
      <c r="K2108" t="s">
        <v>11124</v>
      </c>
      <c r="L2108" t="s">
        <v>11125</v>
      </c>
      <c r="M2108">
        <v>540</v>
      </c>
      <c r="N2108" t="s">
        <v>11126</v>
      </c>
      <c r="O2108" t="s">
        <v>26</v>
      </c>
      <c r="P2108">
        <v>12.95</v>
      </c>
      <c r="R2108">
        <v>12.95</v>
      </c>
      <c r="S2108">
        <v>19.43</v>
      </c>
      <c r="T2108" t="s">
        <v>11127</v>
      </c>
    </row>
    <row r="2109" spans="1:20">
      <c r="A2109">
        <v>3028391</v>
      </c>
      <c r="B2109" t="s">
        <v>11128</v>
      </c>
      <c r="C2109" t="str">
        <f>"9781550224542"</f>
        <v>9781550224542</v>
      </c>
      <c r="D2109" t="str">
        <f>"9781554905928"</f>
        <v>9781554905928</v>
      </c>
      <c r="E2109" t="s">
        <v>7707</v>
      </c>
      <c r="F2109" t="s">
        <v>7707</v>
      </c>
      <c r="G2109" s="1">
        <v>36982</v>
      </c>
      <c r="J2109" t="s">
        <v>11129</v>
      </c>
      <c r="K2109" t="s">
        <v>291</v>
      </c>
      <c r="L2109" t="s">
        <v>11130</v>
      </c>
      <c r="M2109" t="s">
        <v>11131</v>
      </c>
      <c r="N2109" t="s">
        <v>11132</v>
      </c>
      <c r="O2109" t="s">
        <v>26</v>
      </c>
      <c r="P2109">
        <v>13.95</v>
      </c>
      <c r="R2109">
        <v>13.95</v>
      </c>
      <c r="S2109">
        <v>20.93</v>
      </c>
      <c r="T2109" t="s">
        <v>11133</v>
      </c>
    </row>
    <row r="2110" spans="1:20">
      <c r="A2110">
        <v>3028392</v>
      </c>
      <c r="B2110" t="s">
        <v>11134</v>
      </c>
      <c r="C2110" t="str">
        <f>"9781550225686"</f>
        <v>9781550225686</v>
      </c>
      <c r="D2110" t="str">
        <f>"9781554905997"</f>
        <v>9781554905997</v>
      </c>
      <c r="E2110" t="s">
        <v>7707</v>
      </c>
      <c r="F2110" t="s">
        <v>7707</v>
      </c>
      <c r="G2110" s="1">
        <v>37775</v>
      </c>
      <c r="J2110" t="s">
        <v>11135</v>
      </c>
      <c r="K2110" t="s">
        <v>263</v>
      </c>
      <c r="L2110" t="s">
        <v>11136</v>
      </c>
      <c r="M2110" t="s">
        <v>11137</v>
      </c>
      <c r="N2110" t="s">
        <v>11138</v>
      </c>
      <c r="O2110" t="s">
        <v>26</v>
      </c>
      <c r="P2110">
        <v>14.95</v>
      </c>
      <c r="R2110">
        <v>14.95</v>
      </c>
      <c r="S2110">
        <v>22.43</v>
      </c>
      <c r="T2110" t="s">
        <v>11139</v>
      </c>
    </row>
    <row r="2111" spans="1:20">
      <c r="A2111">
        <v>3028393</v>
      </c>
      <c r="B2111" t="s">
        <v>11140</v>
      </c>
      <c r="C2111" t="str">
        <f>"9781550229035"</f>
        <v>9781550229035</v>
      </c>
      <c r="D2111" t="str">
        <f>"9781554909032"</f>
        <v>9781554909032</v>
      </c>
      <c r="E2111" t="s">
        <v>7707</v>
      </c>
      <c r="F2111" t="s">
        <v>7707</v>
      </c>
      <c r="G2111" s="1">
        <v>40179</v>
      </c>
      <c r="J2111" t="s">
        <v>11141</v>
      </c>
      <c r="K2111" t="s">
        <v>76</v>
      </c>
      <c r="L2111" t="s">
        <v>11142</v>
      </c>
      <c r="M2111" t="s">
        <v>11143</v>
      </c>
      <c r="N2111" t="s">
        <v>11144</v>
      </c>
      <c r="O2111" t="s">
        <v>26</v>
      </c>
      <c r="P2111">
        <v>12.95</v>
      </c>
      <c r="R2111">
        <v>12.95</v>
      </c>
      <c r="S2111">
        <v>19.43</v>
      </c>
      <c r="T2111" t="s">
        <v>11145</v>
      </c>
    </row>
    <row r="2112" spans="1:20">
      <c r="A2112">
        <v>3028394</v>
      </c>
      <c r="B2112" t="s">
        <v>11146</v>
      </c>
      <c r="C2112" t="str">
        <f>"9781550228991"</f>
        <v>9781550228991</v>
      </c>
      <c r="D2112" t="str">
        <f>"9781554908998"</f>
        <v>9781554908998</v>
      </c>
      <c r="E2112" t="s">
        <v>7707</v>
      </c>
      <c r="F2112" t="s">
        <v>7707</v>
      </c>
      <c r="G2112" s="1">
        <v>40057</v>
      </c>
      <c r="J2112" t="s">
        <v>11147</v>
      </c>
      <c r="K2112" t="s">
        <v>1150</v>
      </c>
      <c r="L2112" t="s">
        <v>11148</v>
      </c>
      <c r="M2112">
        <v>796.81209200000001</v>
      </c>
      <c r="N2112" t="s">
        <v>11149</v>
      </c>
      <c r="O2112" t="s">
        <v>26</v>
      </c>
      <c r="P2112">
        <v>13.95</v>
      </c>
      <c r="R2112">
        <v>13.95</v>
      </c>
      <c r="S2112">
        <v>20.93</v>
      </c>
      <c r="T2112" t="s">
        <v>11150</v>
      </c>
    </row>
    <row r="2113" spans="1:20">
      <c r="A2113">
        <v>3028395</v>
      </c>
      <c r="B2113" t="s">
        <v>11151</v>
      </c>
      <c r="C2113" t="str">
        <f>"9781550228762"</f>
        <v>9781550228762</v>
      </c>
      <c r="D2113" t="str">
        <f>"9781554908769"</f>
        <v>9781554908769</v>
      </c>
      <c r="E2113" t="s">
        <v>7707</v>
      </c>
      <c r="F2113" t="s">
        <v>7707</v>
      </c>
      <c r="G2113" s="1">
        <v>39904</v>
      </c>
      <c r="J2113" t="s">
        <v>11152</v>
      </c>
      <c r="K2113" t="s">
        <v>1471</v>
      </c>
      <c r="L2113" t="s">
        <v>11153</v>
      </c>
      <c r="M2113">
        <v>782.421660922</v>
      </c>
      <c r="N2113" t="s">
        <v>11154</v>
      </c>
      <c r="O2113" t="s">
        <v>26</v>
      </c>
      <c r="P2113">
        <v>15.95</v>
      </c>
      <c r="R2113">
        <v>15.95</v>
      </c>
      <c r="S2113">
        <v>23.93</v>
      </c>
      <c r="T2113" t="s">
        <v>11155</v>
      </c>
    </row>
    <row r="2114" spans="1:20">
      <c r="A2114">
        <v>3028396</v>
      </c>
      <c r="B2114" t="s">
        <v>11156</v>
      </c>
      <c r="C2114" t="str">
        <f>"9781550224993"</f>
        <v>9781550224993</v>
      </c>
      <c r="D2114" t="str">
        <f>"9781554904990"</f>
        <v>9781554904990</v>
      </c>
      <c r="E2114" t="s">
        <v>7707</v>
      </c>
      <c r="F2114" t="s">
        <v>7707</v>
      </c>
      <c r="G2114" s="1">
        <v>37500</v>
      </c>
      <c r="J2114" t="s">
        <v>11157</v>
      </c>
      <c r="K2114" t="s">
        <v>1471</v>
      </c>
      <c r="L2114" t="s">
        <v>11158</v>
      </c>
      <c r="M2114" t="s">
        <v>11159</v>
      </c>
      <c r="N2114" t="s">
        <v>11160</v>
      </c>
      <c r="O2114" t="s">
        <v>26</v>
      </c>
      <c r="P2114">
        <v>10.95</v>
      </c>
      <c r="R2114">
        <v>10.95</v>
      </c>
      <c r="S2114">
        <v>16.43</v>
      </c>
      <c r="T2114" t="s">
        <v>11161</v>
      </c>
    </row>
    <row r="2115" spans="1:20">
      <c r="A2115">
        <v>3028400</v>
      </c>
      <c r="B2115" t="s">
        <v>11162</v>
      </c>
      <c r="C2115" t="str">
        <f>"9781550228687"</f>
        <v>9781550228687</v>
      </c>
      <c r="D2115" t="str">
        <f>"9781554906291"</f>
        <v>9781554906291</v>
      </c>
      <c r="E2115" t="s">
        <v>7707</v>
      </c>
      <c r="F2115" t="s">
        <v>7707</v>
      </c>
      <c r="G2115" s="1">
        <v>40238</v>
      </c>
      <c r="J2115" t="s">
        <v>11163</v>
      </c>
      <c r="K2115" t="s">
        <v>1150</v>
      </c>
      <c r="L2115" t="s">
        <v>11164</v>
      </c>
      <c r="M2115">
        <v>796.81209200000001</v>
      </c>
      <c r="N2115" t="s">
        <v>11165</v>
      </c>
      <c r="O2115" t="s">
        <v>26</v>
      </c>
      <c r="P2115">
        <v>13.95</v>
      </c>
      <c r="R2115">
        <v>13.95</v>
      </c>
      <c r="S2115">
        <v>20.93</v>
      </c>
      <c r="T2115" t="s">
        <v>11166</v>
      </c>
    </row>
    <row r="2116" spans="1:20">
      <c r="A2116">
        <v>3028402</v>
      </c>
      <c r="B2116" t="s">
        <v>11167</v>
      </c>
      <c r="C2116" t="str">
        <f>"9781550229189"</f>
        <v>9781550229189</v>
      </c>
      <c r="D2116" t="str">
        <f>"9781554909186"</f>
        <v>9781554909186</v>
      </c>
      <c r="E2116" t="s">
        <v>7707</v>
      </c>
      <c r="F2116" t="s">
        <v>7707</v>
      </c>
      <c r="G2116" s="1">
        <v>40269</v>
      </c>
      <c r="J2116" t="s">
        <v>11168</v>
      </c>
      <c r="K2116" t="s">
        <v>2260</v>
      </c>
      <c r="L2116" t="s">
        <v>11169</v>
      </c>
      <c r="M2116" t="s">
        <v>11170</v>
      </c>
      <c r="N2116" t="s">
        <v>11171</v>
      </c>
      <c r="O2116" t="s">
        <v>26</v>
      </c>
      <c r="P2116">
        <v>12.95</v>
      </c>
      <c r="R2116">
        <v>12.95</v>
      </c>
      <c r="S2116">
        <v>19.43</v>
      </c>
      <c r="T2116" t="s">
        <v>11172</v>
      </c>
    </row>
    <row r="2117" spans="1:20">
      <c r="A2117">
        <v>3028466</v>
      </c>
      <c r="B2117" t="s">
        <v>11173</v>
      </c>
      <c r="C2117" t="str">
        <f>"9781550229219"</f>
        <v>9781550229219</v>
      </c>
      <c r="D2117" t="str">
        <f>"9781554909216"</f>
        <v>9781554909216</v>
      </c>
      <c r="E2117" t="s">
        <v>7707</v>
      </c>
      <c r="F2117" t="s">
        <v>7707</v>
      </c>
      <c r="G2117" s="1">
        <v>40210</v>
      </c>
      <c r="J2117" t="s">
        <v>11174</v>
      </c>
      <c r="K2117" t="s">
        <v>1150</v>
      </c>
      <c r="L2117" t="s">
        <v>11175</v>
      </c>
      <c r="M2117">
        <v>796.41092000000003</v>
      </c>
      <c r="N2117" t="s">
        <v>11176</v>
      </c>
      <c r="O2117" t="s">
        <v>26</v>
      </c>
      <c r="P2117">
        <v>12.95</v>
      </c>
      <c r="R2117">
        <v>12.95</v>
      </c>
      <c r="S2117">
        <v>19.43</v>
      </c>
      <c r="T2117" t="s">
        <v>11177</v>
      </c>
    </row>
    <row r="2118" spans="1:20">
      <c r="A2118">
        <v>3028467</v>
      </c>
      <c r="B2118" t="s">
        <v>11178</v>
      </c>
      <c r="C2118" t="str">
        <f>"9781550229257"</f>
        <v>9781550229257</v>
      </c>
      <c r="D2118" t="str">
        <f>"9781554909254"</f>
        <v>9781554909254</v>
      </c>
      <c r="E2118" t="s">
        <v>7707</v>
      </c>
      <c r="F2118" t="s">
        <v>7707</v>
      </c>
      <c r="G2118" s="1">
        <v>40299</v>
      </c>
      <c r="J2118" t="s">
        <v>11179</v>
      </c>
      <c r="K2118" t="s">
        <v>1464</v>
      </c>
      <c r="L2118" t="s">
        <v>11180</v>
      </c>
      <c r="M2118" t="s">
        <v>1693</v>
      </c>
      <c r="N2118" t="s">
        <v>11181</v>
      </c>
      <c r="O2118" t="s">
        <v>26</v>
      </c>
      <c r="P2118">
        <v>10.95</v>
      </c>
      <c r="R2118">
        <v>10.95</v>
      </c>
      <c r="S2118">
        <v>16.43</v>
      </c>
      <c r="T2118" t="s">
        <v>11182</v>
      </c>
    </row>
    <row r="2119" spans="1:20">
      <c r="A2119">
        <v>3028468</v>
      </c>
      <c r="B2119" t="s">
        <v>11183</v>
      </c>
      <c r="C2119" t="str">
        <f>"9781550229295"</f>
        <v>9781550229295</v>
      </c>
      <c r="D2119" t="str">
        <f>"9781554909292"</f>
        <v>9781554909292</v>
      </c>
      <c r="E2119" t="s">
        <v>7707</v>
      </c>
      <c r="F2119" t="s">
        <v>7707</v>
      </c>
      <c r="G2119" s="1">
        <v>40299</v>
      </c>
      <c r="J2119" t="s">
        <v>11184</v>
      </c>
      <c r="K2119" t="s">
        <v>1471</v>
      </c>
      <c r="L2119" t="s">
        <v>11185</v>
      </c>
      <c r="M2119" t="s">
        <v>11186</v>
      </c>
      <c r="N2119" t="s">
        <v>11187</v>
      </c>
      <c r="O2119" t="s">
        <v>26</v>
      </c>
      <c r="P2119">
        <v>11.95</v>
      </c>
      <c r="R2119">
        <v>11.95</v>
      </c>
      <c r="S2119">
        <v>17.93</v>
      </c>
      <c r="T2119" t="s">
        <v>11188</v>
      </c>
    </row>
    <row r="2120" spans="1:20">
      <c r="A2120">
        <v>3028469</v>
      </c>
      <c r="B2120" t="s">
        <v>11189</v>
      </c>
      <c r="C2120" t="str">
        <f>"9781550229158"</f>
        <v>9781550229158</v>
      </c>
      <c r="D2120" t="str">
        <f>"9781554909155"</f>
        <v>9781554909155</v>
      </c>
      <c r="E2120" t="s">
        <v>7707</v>
      </c>
      <c r="F2120" t="s">
        <v>7707</v>
      </c>
      <c r="G2120" s="1">
        <v>40269</v>
      </c>
      <c r="K2120" t="s">
        <v>1464</v>
      </c>
      <c r="L2120" t="s">
        <v>11190</v>
      </c>
      <c r="M2120" t="s">
        <v>2738</v>
      </c>
      <c r="N2120" t="s">
        <v>1546</v>
      </c>
      <c r="O2120" t="s">
        <v>26</v>
      </c>
      <c r="P2120">
        <v>11.95</v>
      </c>
      <c r="R2120">
        <v>11.95</v>
      </c>
      <c r="S2120">
        <v>17.93</v>
      </c>
      <c r="T2120" t="s">
        <v>11191</v>
      </c>
    </row>
    <row r="2121" spans="1:20">
      <c r="A2121">
        <v>3028470</v>
      </c>
      <c r="B2121" t="s">
        <v>11192</v>
      </c>
      <c r="C2121" t="str">
        <f>"9781550229196"</f>
        <v>9781550229196</v>
      </c>
      <c r="D2121" t="str">
        <f>"9781554909193"</f>
        <v>9781554909193</v>
      </c>
      <c r="E2121" t="s">
        <v>7707</v>
      </c>
      <c r="F2121" t="s">
        <v>7707</v>
      </c>
      <c r="G2121" s="1">
        <v>40269</v>
      </c>
      <c r="J2121" t="s">
        <v>11193</v>
      </c>
      <c r="K2121" t="s">
        <v>1471</v>
      </c>
      <c r="L2121" t="s">
        <v>11194</v>
      </c>
      <c r="M2121">
        <v>786.20920000000001</v>
      </c>
      <c r="N2121" t="s">
        <v>11195</v>
      </c>
      <c r="O2121" t="s">
        <v>26</v>
      </c>
      <c r="P2121">
        <v>18.95</v>
      </c>
      <c r="R2121">
        <v>18.95</v>
      </c>
      <c r="S2121">
        <v>28.43</v>
      </c>
      <c r="T2121" t="s">
        <v>11196</v>
      </c>
    </row>
    <row r="2122" spans="1:20">
      <c r="A2122">
        <v>3028471</v>
      </c>
      <c r="B2122" t="s">
        <v>11197</v>
      </c>
      <c r="C2122" t="str">
        <f>"9781550229042"</f>
        <v>9781550229042</v>
      </c>
      <c r="D2122" t="str">
        <f>"9781554906376"</f>
        <v>9781554906376</v>
      </c>
      <c r="E2122" t="s">
        <v>7707</v>
      </c>
      <c r="F2122" t="s">
        <v>7707</v>
      </c>
      <c r="G2122" s="1">
        <v>40238</v>
      </c>
      <c r="J2122" t="s">
        <v>11198</v>
      </c>
      <c r="K2122" t="s">
        <v>416</v>
      </c>
      <c r="L2122" t="s">
        <v>11199</v>
      </c>
      <c r="M2122" t="s">
        <v>11200</v>
      </c>
      <c r="N2122" t="s">
        <v>11201</v>
      </c>
      <c r="O2122" t="s">
        <v>26</v>
      </c>
      <c r="P2122">
        <v>14.95</v>
      </c>
      <c r="R2122">
        <v>14.95</v>
      </c>
      <c r="S2122">
        <v>22.43</v>
      </c>
      <c r="T2122" t="s">
        <v>11202</v>
      </c>
    </row>
    <row r="2123" spans="1:20">
      <c r="A2123">
        <v>3028472</v>
      </c>
      <c r="B2123" t="s">
        <v>11203</v>
      </c>
      <c r="C2123" t="str">
        <f>"9781550229240"</f>
        <v>9781550229240</v>
      </c>
      <c r="D2123" t="str">
        <f>"9781554909247"</f>
        <v>9781554909247</v>
      </c>
      <c r="E2123" t="s">
        <v>7707</v>
      </c>
      <c r="F2123" t="s">
        <v>7707</v>
      </c>
      <c r="G2123" s="1">
        <v>40269</v>
      </c>
      <c r="I2123" t="s">
        <v>11204</v>
      </c>
      <c r="J2123" t="s">
        <v>11205</v>
      </c>
      <c r="K2123" t="s">
        <v>3219</v>
      </c>
      <c r="L2123" t="s">
        <v>11206</v>
      </c>
      <c r="M2123" t="s">
        <v>11207</v>
      </c>
      <c r="N2123" t="s">
        <v>11208</v>
      </c>
      <c r="O2123" t="s">
        <v>26</v>
      </c>
      <c r="P2123">
        <v>11.95</v>
      </c>
      <c r="R2123">
        <v>11.95</v>
      </c>
      <c r="S2123">
        <v>17.93</v>
      </c>
      <c r="T2123" t="s">
        <v>11209</v>
      </c>
    </row>
    <row r="2124" spans="1:20">
      <c r="A2124">
        <v>3028473</v>
      </c>
      <c r="B2124" t="s">
        <v>11210</v>
      </c>
      <c r="C2124" t="str">
        <f>"9781550229301"</f>
        <v>9781550229301</v>
      </c>
      <c r="D2124" t="str">
        <f>"9781554909308"</f>
        <v>9781554909308</v>
      </c>
      <c r="E2124" t="s">
        <v>7707</v>
      </c>
      <c r="F2124" t="s">
        <v>7707</v>
      </c>
      <c r="G2124" s="1">
        <v>40330</v>
      </c>
      <c r="J2124" t="s">
        <v>11184</v>
      </c>
      <c r="K2124" t="s">
        <v>1464</v>
      </c>
      <c r="L2124" t="s">
        <v>11211</v>
      </c>
      <c r="M2124" t="s">
        <v>1509</v>
      </c>
      <c r="N2124" t="s">
        <v>11212</v>
      </c>
      <c r="O2124" t="s">
        <v>26</v>
      </c>
      <c r="P2124">
        <v>11.95</v>
      </c>
      <c r="R2124">
        <v>11.95</v>
      </c>
      <c r="S2124">
        <v>17.93</v>
      </c>
      <c r="T2124" t="s">
        <v>11213</v>
      </c>
    </row>
    <row r="2125" spans="1:20">
      <c r="A2125">
        <v>3028474</v>
      </c>
      <c r="B2125" t="s">
        <v>11214</v>
      </c>
      <c r="C2125" t="str">
        <f>"9781550229141"</f>
        <v>9781550229141</v>
      </c>
      <c r="D2125" t="str">
        <f>"9781554909148"</f>
        <v>9781554909148</v>
      </c>
      <c r="E2125" t="s">
        <v>7707</v>
      </c>
      <c r="F2125" t="s">
        <v>7707</v>
      </c>
      <c r="G2125" s="1">
        <v>40299</v>
      </c>
      <c r="J2125" t="s">
        <v>11215</v>
      </c>
      <c r="K2125" t="s">
        <v>1464</v>
      </c>
      <c r="L2125" t="s">
        <v>11216</v>
      </c>
      <c r="M2125" t="s">
        <v>1545</v>
      </c>
      <c r="N2125" t="s">
        <v>1546</v>
      </c>
      <c r="O2125" t="s">
        <v>26</v>
      </c>
      <c r="P2125">
        <v>12.95</v>
      </c>
      <c r="R2125">
        <v>12.95</v>
      </c>
      <c r="S2125">
        <v>19.43</v>
      </c>
      <c r="T2125" t="s">
        <v>11217</v>
      </c>
    </row>
    <row r="2126" spans="1:20">
      <c r="A2126">
        <v>3028475</v>
      </c>
      <c r="B2126" t="s">
        <v>11218</v>
      </c>
      <c r="C2126" t="str">
        <f>"9781550229288"</f>
        <v>9781550229288</v>
      </c>
      <c r="D2126" t="str">
        <f>"9781554909285"</f>
        <v>9781554909285</v>
      </c>
      <c r="E2126" t="s">
        <v>7707</v>
      </c>
      <c r="F2126" t="s">
        <v>7707</v>
      </c>
      <c r="G2126" s="1">
        <v>40269</v>
      </c>
      <c r="J2126" t="s">
        <v>11219</v>
      </c>
      <c r="K2126" t="s">
        <v>1471</v>
      </c>
      <c r="L2126" t="s">
        <v>11220</v>
      </c>
      <c r="M2126" t="s">
        <v>9853</v>
      </c>
      <c r="N2126" t="s">
        <v>11221</v>
      </c>
      <c r="O2126" t="s">
        <v>26</v>
      </c>
      <c r="P2126">
        <v>13.95</v>
      </c>
      <c r="R2126">
        <v>13.95</v>
      </c>
      <c r="S2126">
        <v>20.93</v>
      </c>
      <c r="T2126" t="s">
        <v>11222</v>
      </c>
    </row>
    <row r="2127" spans="1:20">
      <c r="A2127">
        <v>3028476</v>
      </c>
      <c r="B2127" t="s">
        <v>11223</v>
      </c>
      <c r="C2127" t="str">
        <f>"9781550229271"</f>
        <v>9781550229271</v>
      </c>
      <c r="D2127" t="str">
        <f>"9781554909278"</f>
        <v>9781554909278</v>
      </c>
      <c r="E2127" t="s">
        <v>7707</v>
      </c>
      <c r="F2127" t="s">
        <v>7707</v>
      </c>
      <c r="G2127" s="1">
        <v>40299</v>
      </c>
      <c r="I2127" t="s">
        <v>11224</v>
      </c>
      <c r="J2127" t="s">
        <v>11000</v>
      </c>
      <c r="K2127" t="s">
        <v>1464</v>
      </c>
      <c r="L2127" t="s">
        <v>11225</v>
      </c>
      <c r="M2127" t="s">
        <v>1693</v>
      </c>
      <c r="N2127" t="s">
        <v>11181</v>
      </c>
      <c r="O2127" t="s">
        <v>26</v>
      </c>
      <c r="P2127">
        <v>10.95</v>
      </c>
      <c r="R2127">
        <v>10.95</v>
      </c>
      <c r="S2127">
        <v>16.43</v>
      </c>
      <c r="T2127" t="s">
        <v>11226</v>
      </c>
    </row>
    <row r="2128" spans="1:20">
      <c r="A2128">
        <v>3028477</v>
      </c>
      <c r="B2128" t="s">
        <v>11227</v>
      </c>
      <c r="C2128" t="str">
        <f>"9781550229172"</f>
        <v>9781550229172</v>
      </c>
      <c r="D2128" t="str">
        <f>"9781554909179"</f>
        <v>9781554909179</v>
      </c>
      <c r="E2128" t="s">
        <v>7707</v>
      </c>
      <c r="F2128" t="s">
        <v>7707</v>
      </c>
      <c r="G2128" s="1">
        <v>40269</v>
      </c>
      <c r="J2128" t="s">
        <v>8866</v>
      </c>
      <c r="K2128" t="s">
        <v>1464</v>
      </c>
      <c r="L2128" t="s">
        <v>11228</v>
      </c>
      <c r="M2128" t="s">
        <v>1693</v>
      </c>
      <c r="N2128" t="s">
        <v>11229</v>
      </c>
      <c r="O2128" t="s">
        <v>26</v>
      </c>
      <c r="P2128">
        <v>13.95</v>
      </c>
      <c r="R2128">
        <v>13.95</v>
      </c>
      <c r="S2128">
        <v>20.93</v>
      </c>
      <c r="T2128" t="s">
        <v>11230</v>
      </c>
    </row>
    <row r="2129" spans="1:20">
      <c r="A2129">
        <v>3028478</v>
      </c>
      <c r="B2129" t="s">
        <v>11231</v>
      </c>
      <c r="C2129" t="str">
        <f>"9781550229264"</f>
        <v>9781550229264</v>
      </c>
      <c r="D2129" t="str">
        <f>"9781554909261"</f>
        <v>9781554909261</v>
      </c>
      <c r="E2129" t="s">
        <v>7707</v>
      </c>
      <c r="F2129" t="s">
        <v>7707</v>
      </c>
      <c r="G2129" s="1">
        <v>40299</v>
      </c>
      <c r="I2129" t="s">
        <v>11232</v>
      </c>
      <c r="J2129" t="s">
        <v>11233</v>
      </c>
      <c r="K2129" t="s">
        <v>1464</v>
      </c>
      <c r="L2129" t="s">
        <v>11234</v>
      </c>
      <c r="M2129" t="s">
        <v>1693</v>
      </c>
      <c r="N2129" t="s">
        <v>11181</v>
      </c>
      <c r="O2129" t="s">
        <v>26</v>
      </c>
      <c r="P2129">
        <v>10.95</v>
      </c>
      <c r="R2129">
        <v>10.95</v>
      </c>
      <c r="S2129">
        <v>16.43</v>
      </c>
      <c r="T2129" t="s">
        <v>11235</v>
      </c>
    </row>
    <row r="2130" spans="1:20">
      <c r="A2130">
        <v>3028479</v>
      </c>
      <c r="B2130" t="s">
        <v>11236</v>
      </c>
      <c r="C2130" t="str">
        <f>"9781550229165"</f>
        <v>9781550229165</v>
      </c>
      <c r="D2130" t="str">
        <f>"9781554909162"</f>
        <v>9781554909162</v>
      </c>
      <c r="E2130" t="s">
        <v>7707</v>
      </c>
      <c r="F2130" t="s">
        <v>7707</v>
      </c>
      <c r="G2130" s="1">
        <v>40299</v>
      </c>
      <c r="J2130" t="s">
        <v>11237</v>
      </c>
      <c r="K2130" t="s">
        <v>1464</v>
      </c>
      <c r="L2130" t="s">
        <v>11238</v>
      </c>
      <c r="M2130" t="s">
        <v>1693</v>
      </c>
      <c r="N2130" t="s">
        <v>11229</v>
      </c>
      <c r="O2130" t="s">
        <v>26</v>
      </c>
      <c r="P2130">
        <v>10.95</v>
      </c>
      <c r="R2130">
        <v>10.95</v>
      </c>
      <c r="S2130">
        <v>16.43</v>
      </c>
      <c r="T2130" t="s">
        <v>11239</v>
      </c>
    </row>
    <row r="2131" spans="1:20">
      <c r="A2131">
        <v>3028510</v>
      </c>
      <c r="B2131" t="s">
        <v>11240</v>
      </c>
      <c r="C2131" t="str">
        <f>"9781550228939"</f>
        <v>9781550228939</v>
      </c>
      <c r="D2131" t="str">
        <f>"9781554908936"</f>
        <v>9781554908936</v>
      </c>
      <c r="E2131" t="s">
        <v>7707</v>
      </c>
      <c r="F2131" t="s">
        <v>7707</v>
      </c>
      <c r="G2131" s="1">
        <v>40087</v>
      </c>
      <c r="J2131" t="s">
        <v>1957</v>
      </c>
      <c r="K2131" t="s">
        <v>1464</v>
      </c>
      <c r="L2131" t="s">
        <v>11241</v>
      </c>
      <c r="M2131" t="s">
        <v>1545</v>
      </c>
      <c r="N2131" t="s">
        <v>11242</v>
      </c>
      <c r="O2131" t="s">
        <v>26</v>
      </c>
      <c r="P2131">
        <v>11.95</v>
      </c>
      <c r="R2131">
        <v>11.95</v>
      </c>
      <c r="S2131">
        <v>17.93</v>
      </c>
      <c r="T2131" t="s">
        <v>11243</v>
      </c>
    </row>
    <row r="2132" spans="1:20">
      <c r="A2132">
        <v>3028511</v>
      </c>
      <c r="B2132" t="s">
        <v>11244</v>
      </c>
      <c r="C2132" t="str">
        <f>"9781550229028"</f>
        <v>9781550229028</v>
      </c>
      <c r="D2132" t="str">
        <f>"9781554909025"</f>
        <v>9781554909025</v>
      </c>
      <c r="E2132" t="s">
        <v>7707</v>
      </c>
      <c r="F2132" t="s">
        <v>7707</v>
      </c>
      <c r="G2132" s="1">
        <v>40118</v>
      </c>
      <c r="J2132" t="s">
        <v>11245</v>
      </c>
      <c r="K2132" t="s">
        <v>1150</v>
      </c>
      <c r="L2132" t="s">
        <v>11246</v>
      </c>
      <c r="M2132">
        <v>796.81209200000001</v>
      </c>
      <c r="N2132" t="s">
        <v>11247</v>
      </c>
      <c r="O2132" t="s">
        <v>26</v>
      </c>
      <c r="P2132">
        <v>15.95</v>
      </c>
      <c r="R2132">
        <v>15.95</v>
      </c>
      <c r="S2132">
        <v>23.93</v>
      </c>
      <c r="T2132" t="s">
        <v>11248</v>
      </c>
    </row>
    <row r="2133" spans="1:20">
      <c r="A2133">
        <v>3028512</v>
      </c>
      <c r="B2133" t="s">
        <v>11249</v>
      </c>
      <c r="C2133" t="str">
        <f>"9781550225174"</f>
        <v>9781550225174</v>
      </c>
      <c r="D2133" t="str">
        <f>"9781554905171"</f>
        <v>9781554905171</v>
      </c>
      <c r="E2133" t="s">
        <v>7707</v>
      </c>
      <c r="F2133" t="s">
        <v>7707</v>
      </c>
      <c r="G2133" s="1">
        <v>37530</v>
      </c>
      <c r="J2133" t="s">
        <v>11250</v>
      </c>
      <c r="K2133" t="s">
        <v>1150</v>
      </c>
      <c r="L2133" t="s">
        <v>11251</v>
      </c>
      <c r="M2133">
        <v>796.81500000000005</v>
      </c>
      <c r="N2133" t="s">
        <v>11252</v>
      </c>
      <c r="O2133" t="s">
        <v>26</v>
      </c>
      <c r="P2133">
        <v>11.95</v>
      </c>
      <c r="R2133">
        <v>11.95</v>
      </c>
      <c r="S2133">
        <v>17.93</v>
      </c>
      <c r="T2133" t="s">
        <v>11253</v>
      </c>
    </row>
    <row r="2134" spans="1:20">
      <c r="A2134">
        <v>3028513</v>
      </c>
      <c r="B2134" t="s">
        <v>11254</v>
      </c>
      <c r="C2134" t="str">
        <f>"9781550228632"</f>
        <v>9781550228632</v>
      </c>
      <c r="D2134" t="str">
        <f>"9781554908639"</f>
        <v>9781554908639</v>
      </c>
      <c r="E2134" t="s">
        <v>7707</v>
      </c>
      <c r="F2134" t="s">
        <v>7707</v>
      </c>
      <c r="G2134" s="1">
        <v>40117</v>
      </c>
      <c r="J2134" t="s">
        <v>11255</v>
      </c>
      <c r="K2134" t="s">
        <v>11256</v>
      </c>
      <c r="L2134" t="s">
        <v>11257</v>
      </c>
      <c r="M2134" t="s">
        <v>11258</v>
      </c>
      <c r="N2134" t="s">
        <v>11259</v>
      </c>
      <c r="O2134" t="s">
        <v>26</v>
      </c>
      <c r="P2134">
        <v>10.95</v>
      </c>
      <c r="R2134">
        <v>10.95</v>
      </c>
      <c r="S2134">
        <v>16.43</v>
      </c>
      <c r="T2134" t="s">
        <v>11260</v>
      </c>
    </row>
    <row r="2135" spans="1:20">
      <c r="A2135">
        <v>3028514</v>
      </c>
      <c r="B2135" t="s">
        <v>11261</v>
      </c>
      <c r="C2135" t="str">
        <f>"9781550228847"</f>
        <v>9781550228847</v>
      </c>
      <c r="D2135" t="str">
        <f>"9781554908844"</f>
        <v>9781554908844</v>
      </c>
      <c r="E2135" t="s">
        <v>7707</v>
      </c>
      <c r="F2135" t="s">
        <v>7707</v>
      </c>
      <c r="G2135" s="1">
        <v>40118</v>
      </c>
      <c r="J2135" t="s">
        <v>11262</v>
      </c>
      <c r="K2135" t="s">
        <v>1150</v>
      </c>
      <c r="L2135" t="s">
        <v>11263</v>
      </c>
      <c r="M2135">
        <v>796.81200000000001</v>
      </c>
      <c r="N2135" t="s">
        <v>11264</v>
      </c>
      <c r="O2135" t="s">
        <v>26</v>
      </c>
      <c r="P2135">
        <v>15.95</v>
      </c>
      <c r="R2135">
        <v>15.95</v>
      </c>
      <c r="S2135">
        <v>23.93</v>
      </c>
      <c r="T2135" t="s">
        <v>11265</v>
      </c>
    </row>
    <row r="2136" spans="1:20">
      <c r="A2136">
        <v>3028515</v>
      </c>
      <c r="B2136" t="s">
        <v>11266</v>
      </c>
      <c r="C2136" t="str">
        <f>"9781550225297"</f>
        <v>9781550225297</v>
      </c>
      <c r="D2136" t="str">
        <f>"9781554906680"</f>
        <v>9781554906680</v>
      </c>
      <c r="E2136" t="s">
        <v>7707</v>
      </c>
      <c r="F2136" t="s">
        <v>7707</v>
      </c>
      <c r="G2136" s="1">
        <v>37530</v>
      </c>
      <c r="J2136" t="s">
        <v>11267</v>
      </c>
      <c r="K2136" t="s">
        <v>3825</v>
      </c>
      <c r="L2136" t="s">
        <v>11268</v>
      </c>
      <c r="M2136" t="s">
        <v>11269</v>
      </c>
      <c r="N2136" t="s">
        <v>11270</v>
      </c>
      <c r="O2136" t="s">
        <v>26</v>
      </c>
      <c r="P2136">
        <v>18.95</v>
      </c>
      <c r="R2136">
        <v>18.95</v>
      </c>
      <c r="S2136">
        <v>28.43</v>
      </c>
      <c r="T2136" t="s">
        <v>11271</v>
      </c>
    </row>
    <row r="2137" spans="1:20">
      <c r="A2137">
        <v>3028516</v>
      </c>
      <c r="B2137" t="s">
        <v>11272</v>
      </c>
      <c r="C2137" t="str">
        <f>"9781550228861"</f>
        <v>9781550228861</v>
      </c>
      <c r="D2137" t="str">
        <f>"9781554908868"</f>
        <v>9781554908868</v>
      </c>
      <c r="E2137" t="s">
        <v>7707</v>
      </c>
      <c r="F2137" t="s">
        <v>7707</v>
      </c>
      <c r="G2137" s="1">
        <v>40087</v>
      </c>
      <c r="J2137" t="s">
        <v>11273</v>
      </c>
      <c r="K2137" t="s">
        <v>1471</v>
      </c>
      <c r="L2137" t="s">
        <v>11274</v>
      </c>
      <c r="M2137">
        <v>782.42164202070001</v>
      </c>
      <c r="N2137" t="s">
        <v>11275</v>
      </c>
      <c r="O2137" t="s">
        <v>26</v>
      </c>
      <c r="P2137">
        <v>7.95</v>
      </c>
      <c r="R2137">
        <v>7.95</v>
      </c>
      <c r="S2137">
        <v>11.93</v>
      </c>
      <c r="T2137" t="s">
        <v>11276</v>
      </c>
    </row>
    <row r="2138" spans="1:20">
      <c r="A2138">
        <v>3028517</v>
      </c>
      <c r="B2138" t="s">
        <v>11277</v>
      </c>
      <c r="C2138" t="str">
        <f>"9781550229332"</f>
        <v>9781550229332</v>
      </c>
      <c r="D2138" t="str">
        <f>"9781554909339"</f>
        <v>9781554909339</v>
      </c>
      <c r="E2138" t="s">
        <v>7707</v>
      </c>
      <c r="F2138" t="s">
        <v>7707</v>
      </c>
      <c r="G2138" s="1">
        <v>40330</v>
      </c>
      <c r="J2138" t="s">
        <v>11278</v>
      </c>
      <c r="K2138" t="s">
        <v>1471</v>
      </c>
      <c r="L2138" t="s">
        <v>11279</v>
      </c>
      <c r="M2138" t="s">
        <v>11086</v>
      </c>
      <c r="N2138" t="s">
        <v>11280</v>
      </c>
      <c r="O2138" t="s">
        <v>26</v>
      </c>
      <c r="P2138">
        <v>13.95</v>
      </c>
      <c r="R2138">
        <v>13.95</v>
      </c>
      <c r="S2138">
        <v>20.93</v>
      </c>
      <c r="T2138" t="s">
        <v>11281</v>
      </c>
    </row>
    <row r="2139" spans="1:20">
      <c r="A2139">
        <v>3028518</v>
      </c>
      <c r="B2139" t="s">
        <v>11282</v>
      </c>
      <c r="C2139" t="str">
        <f>"9781550228809"</f>
        <v>9781550228809</v>
      </c>
      <c r="D2139" t="str">
        <f>"9781554908806"</f>
        <v>9781554908806</v>
      </c>
      <c r="E2139" t="s">
        <v>7707</v>
      </c>
      <c r="F2139" t="s">
        <v>7707</v>
      </c>
      <c r="G2139" s="1">
        <v>40391</v>
      </c>
      <c r="J2139" t="s">
        <v>11267</v>
      </c>
      <c r="K2139" t="s">
        <v>6857</v>
      </c>
      <c r="L2139" t="s">
        <v>11283</v>
      </c>
      <c r="M2139" t="s">
        <v>11284</v>
      </c>
      <c r="N2139" t="s">
        <v>11285</v>
      </c>
      <c r="O2139" t="s">
        <v>26</v>
      </c>
      <c r="P2139">
        <v>18.95</v>
      </c>
      <c r="R2139">
        <v>18.95</v>
      </c>
      <c r="S2139">
        <v>28.43</v>
      </c>
      <c r="T2139" t="s">
        <v>11286</v>
      </c>
    </row>
    <row r="2140" spans="1:20">
      <c r="A2140">
        <v>3028519</v>
      </c>
      <c r="B2140" t="s">
        <v>11287</v>
      </c>
      <c r="C2140" t="str">
        <f>"9781550225303"</f>
        <v>9781550225303</v>
      </c>
      <c r="D2140" t="str">
        <f>"9781554905300"</f>
        <v>9781554905300</v>
      </c>
      <c r="E2140" t="s">
        <v>7707</v>
      </c>
      <c r="F2140" t="s">
        <v>7707</v>
      </c>
      <c r="G2140" s="1">
        <v>37530</v>
      </c>
      <c r="J2140" t="s">
        <v>11288</v>
      </c>
      <c r="K2140" t="s">
        <v>1471</v>
      </c>
      <c r="L2140" t="s">
        <v>11289</v>
      </c>
      <c r="M2140">
        <v>781.66</v>
      </c>
      <c r="N2140" t="s">
        <v>11290</v>
      </c>
      <c r="O2140" t="s">
        <v>26</v>
      </c>
      <c r="P2140">
        <v>15.95</v>
      </c>
      <c r="R2140">
        <v>15.95</v>
      </c>
      <c r="S2140">
        <v>23.93</v>
      </c>
      <c r="T2140" t="s">
        <v>11291</v>
      </c>
    </row>
    <row r="2141" spans="1:20">
      <c r="A2141">
        <v>3028520</v>
      </c>
      <c r="B2141" t="s">
        <v>11292</v>
      </c>
      <c r="C2141" t="str">
        <f>"9781550228977"</f>
        <v>9781550228977</v>
      </c>
      <c r="D2141" t="str">
        <f>"9781554908974"</f>
        <v>9781554908974</v>
      </c>
      <c r="E2141" t="s">
        <v>7707</v>
      </c>
      <c r="F2141" t="s">
        <v>7707</v>
      </c>
      <c r="G2141" s="1">
        <v>40087</v>
      </c>
      <c r="J2141" t="s">
        <v>11293</v>
      </c>
      <c r="K2141" t="s">
        <v>11294</v>
      </c>
      <c r="L2141" t="s">
        <v>11295</v>
      </c>
      <c r="M2141" t="s">
        <v>11296</v>
      </c>
      <c r="N2141" t="s">
        <v>11297</v>
      </c>
      <c r="O2141" t="s">
        <v>26</v>
      </c>
      <c r="P2141">
        <v>13.95</v>
      </c>
      <c r="R2141">
        <v>13.95</v>
      </c>
      <c r="S2141">
        <v>20.93</v>
      </c>
      <c r="T2141" t="s">
        <v>11298</v>
      </c>
    </row>
    <row r="2142" spans="1:20">
      <c r="A2142">
        <v>3028521</v>
      </c>
      <c r="B2142" t="s">
        <v>11299</v>
      </c>
      <c r="C2142" t="str">
        <f>"9781550228922"</f>
        <v>9781550228922</v>
      </c>
      <c r="D2142" t="str">
        <f>"9781554908929"</f>
        <v>9781554908929</v>
      </c>
      <c r="E2142" t="s">
        <v>7707</v>
      </c>
      <c r="F2142" t="s">
        <v>7707</v>
      </c>
      <c r="G2142" s="1">
        <v>40087</v>
      </c>
      <c r="I2142" t="s">
        <v>11300</v>
      </c>
      <c r="J2142" t="s">
        <v>11301</v>
      </c>
      <c r="K2142" t="s">
        <v>1464</v>
      </c>
      <c r="L2142" t="s">
        <v>11302</v>
      </c>
      <c r="M2142" t="s">
        <v>1466</v>
      </c>
      <c r="N2142" t="s">
        <v>11303</v>
      </c>
      <c r="O2142" t="s">
        <v>26</v>
      </c>
      <c r="P2142">
        <v>11.95</v>
      </c>
      <c r="R2142">
        <v>11.95</v>
      </c>
      <c r="S2142">
        <v>17.93</v>
      </c>
      <c r="T2142" t="s">
        <v>11304</v>
      </c>
    </row>
    <row r="2143" spans="1:20">
      <c r="A2143">
        <v>3028522</v>
      </c>
      <c r="B2143" t="s">
        <v>11305</v>
      </c>
      <c r="C2143" t="str">
        <f>"9781550229073"</f>
        <v>9781550229073</v>
      </c>
      <c r="D2143" t="str">
        <f>"9781554909070"</f>
        <v>9781554909070</v>
      </c>
      <c r="E2143" t="s">
        <v>7707</v>
      </c>
      <c r="F2143" t="s">
        <v>7707</v>
      </c>
      <c r="G2143" s="1">
        <v>40422</v>
      </c>
      <c r="J2143" t="s">
        <v>11306</v>
      </c>
      <c r="K2143" t="s">
        <v>1150</v>
      </c>
      <c r="L2143" t="s">
        <v>11307</v>
      </c>
      <c r="M2143">
        <v>796.33202000000006</v>
      </c>
      <c r="N2143" t="s">
        <v>11308</v>
      </c>
      <c r="O2143" t="s">
        <v>26</v>
      </c>
      <c r="P2143">
        <v>7.95</v>
      </c>
      <c r="R2143">
        <v>7.95</v>
      </c>
      <c r="S2143">
        <v>11.93</v>
      </c>
      <c r="T2143" t="s">
        <v>11309</v>
      </c>
    </row>
    <row r="2144" spans="1:20">
      <c r="A2144">
        <v>3028523</v>
      </c>
      <c r="B2144" t="s">
        <v>11310</v>
      </c>
      <c r="C2144" t="str">
        <f>"9781550228823"</f>
        <v>9781550228823</v>
      </c>
      <c r="D2144" t="str">
        <f>"9781554908820"</f>
        <v>9781554908820</v>
      </c>
      <c r="E2144" t="s">
        <v>7707</v>
      </c>
      <c r="F2144" t="s">
        <v>7707</v>
      </c>
      <c r="G2144" s="1">
        <v>40117</v>
      </c>
      <c r="J2144" t="s">
        <v>11311</v>
      </c>
      <c r="K2144" t="s">
        <v>3230</v>
      </c>
      <c r="L2144" t="s">
        <v>11312</v>
      </c>
      <c r="M2144" t="s">
        <v>11313</v>
      </c>
      <c r="N2144" t="s">
        <v>11314</v>
      </c>
      <c r="O2144" t="s">
        <v>26</v>
      </c>
      <c r="P2144">
        <v>16.95</v>
      </c>
      <c r="R2144">
        <v>16.95</v>
      </c>
      <c r="S2144">
        <v>25.43</v>
      </c>
      <c r="T2144" t="s">
        <v>11315</v>
      </c>
    </row>
    <row r="2145" spans="1:20">
      <c r="A2145">
        <v>3028526</v>
      </c>
      <c r="B2145" t="s">
        <v>11316</v>
      </c>
      <c r="C2145" t="str">
        <f>""</f>
        <v/>
      </c>
      <c r="D2145" t="str">
        <f>"9781554909971"</f>
        <v>9781554909971</v>
      </c>
      <c r="E2145" t="s">
        <v>7707</v>
      </c>
      <c r="F2145" t="s">
        <v>7707</v>
      </c>
      <c r="G2145" s="1">
        <v>40452</v>
      </c>
      <c r="J2145" t="s">
        <v>11317</v>
      </c>
      <c r="K2145" t="s">
        <v>1464</v>
      </c>
      <c r="L2145" t="s">
        <v>11318</v>
      </c>
      <c r="N2145" t="s">
        <v>11319</v>
      </c>
      <c r="O2145" t="s">
        <v>26</v>
      </c>
      <c r="P2145">
        <v>9.9499999999999993</v>
      </c>
      <c r="R2145">
        <v>9.9499999999999993</v>
      </c>
      <c r="S2145">
        <v>14.93</v>
      </c>
      <c r="T2145" t="s">
        <v>11320</v>
      </c>
    </row>
    <row r="2146" spans="1:20">
      <c r="A2146">
        <v>3028535</v>
      </c>
      <c r="B2146" t="s">
        <v>11321</v>
      </c>
      <c r="C2146" t="str">
        <f>"9781550229233"</f>
        <v>9781550229233</v>
      </c>
      <c r="D2146" t="str">
        <f>"9781554909230"</f>
        <v>9781554909230</v>
      </c>
      <c r="E2146" t="s">
        <v>7707</v>
      </c>
      <c r="F2146" t="s">
        <v>7707</v>
      </c>
      <c r="G2146" s="1">
        <v>40482</v>
      </c>
      <c r="J2146" t="s">
        <v>11322</v>
      </c>
      <c r="K2146" t="s">
        <v>1150</v>
      </c>
      <c r="L2146" t="s">
        <v>11323</v>
      </c>
      <c r="M2146">
        <v>796.81502999999998</v>
      </c>
      <c r="N2146" t="s">
        <v>11324</v>
      </c>
      <c r="O2146" t="s">
        <v>26</v>
      </c>
      <c r="P2146">
        <v>18.95</v>
      </c>
      <c r="R2146">
        <v>18.95</v>
      </c>
      <c r="S2146">
        <v>28.43</v>
      </c>
      <c r="T2146" t="s">
        <v>11325</v>
      </c>
    </row>
    <row r="2147" spans="1:20">
      <c r="A2147">
        <v>3028536</v>
      </c>
      <c r="B2147" t="s">
        <v>11326</v>
      </c>
      <c r="C2147" t="str">
        <f>"9781550229639"</f>
        <v>9781550229639</v>
      </c>
      <c r="D2147" t="str">
        <f>"9781554909636"</f>
        <v>9781554909636</v>
      </c>
      <c r="E2147" t="s">
        <v>7707</v>
      </c>
      <c r="F2147" t="s">
        <v>7707</v>
      </c>
      <c r="G2147" s="1">
        <v>40452</v>
      </c>
      <c r="K2147" t="s">
        <v>1464</v>
      </c>
      <c r="L2147" t="s">
        <v>11327</v>
      </c>
      <c r="M2147" t="s">
        <v>1509</v>
      </c>
      <c r="N2147" t="s">
        <v>8440</v>
      </c>
      <c r="O2147" t="s">
        <v>26</v>
      </c>
      <c r="P2147">
        <v>12.95</v>
      </c>
      <c r="R2147">
        <v>12.95</v>
      </c>
      <c r="S2147">
        <v>19.43</v>
      </c>
      <c r="T2147" t="s">
        <v>11328</v>
      </c>
    </row>
    <row r="2148" spans="1:20">
      <c r="A2148">
        <v>3028537</v>
      </c>
      <c r="B2148" t="s">
        <v>11329</v>
      </c>
      <c r="C2148" t="str">
        <f>"9781550229479"</f>
        <v>9781550229479</v>
      </c>
      <c r="D2148" t="str">
        <f>"9781554909476"</f>
        <v>9781554909476</v>
      </c>
      <c r="E2148" t="s">
        <v>7707</v>
      </c>
      <c r="F2148" t="s">
        <v>7707</v>
      </c>
      <c r="G2148" s="1">
        <v>40422</v>
      </c>
      <c r="J2148" t="s">
        <v>11330</v>
      </c>
      <c r="K2148" t="s">
        <v>1471</v>
      </c>
      <c r="L2148" t="s">
        <v>11331</v>
      </c>
      <c r="M2148" t="s">
        <v>11332</v>
      </c>
      <c r="N2148" t="s">
        <v>11333</v>
      </c>
      <c r="O2148" t="s">
        <v>26</v>
      </c>
      <c r="P2148">
        <v>11.95</v>
      </c>
      <c r="R2148">
        <v>11.95</v>
      </c>
      <c r="S2148">
        <v>17.93</v>
      </c>
      <c r="T2148" t="s">
        <v>11334</v>
      </c>
    </row>
    <row r="2149" spans="1:20">
      <c r="A2149">
        <v>3028539</v>
      </c>
      <c r="B2149" t="s">
        <v>11335</v>
      </c>
      <c r="C2149" t="str">
        <f>"9781550229523"</f>
        <v>9781550229523</v>
      </c>
      <c r="D2149" t="str">
        <f>"9781554909520"</f>
        <v>9781554909520</v>
      </c>
      <c r="E2149" t="s">
        <v>7707</v>
      </c>
      <c r="F2149" t="s">
        <v>7707</v>
      </c>
      <c r="G2149" s="1">
        <v>40422</v>
      </c>
      <c r="J2149" t="s">
        <v>11336</v>
      </c>
      <c r="K2149" t="s">
        <v>10568</v>
      </c>
      <c r="L2149" t="s">
        <v>11337</v>
      </c>
      <c r="M2149" t="s">
        <v>11338</v>
      </c>
      <c r="N2149" t="s">
        <v>11339</v>
      </c>
      <c r="O2149" t="s">
        <v>26</v>
      </c>
      <c r="P2149">
        <v>13.95</v>
      </c>
      <c r="R2149">
        <v>13.95</v>
      </c>
      <c r="S2149">
        <v>20.93</v>
      </c>
      <c r="T2149" t="s">
        <v>11340</v>
      </c>
    </row>
    <row r="2150" spans="1:20">
      <c r="A2150">
        <v>3028540</v>
      </c>
      <c r="B2150" t="s">
        <v>11341</v>
      </c>
      <c r="C2150" t="str">
        <f>"9781550229622"</f>
        <v>9781550229622</v>
      </c>
      <c r="D2150" t="str">
        <f>"9781554909629"</f>
        <v>9781554909629</v>
      </c>
      <c r="E2150" t="s">
        <v>7707</v>
      </c>
      <c r="F2150" t="s">
        <v>7707</v>
      </c>
      <c r="G2150" s="1">
        <v>40422</v>
      </c>
      <c r="J2150" t="s">
        <v>11342</v>
      </c>
      <c r="K2150" t="s">
        <v>1471</v>
      </c>
      <c r="L2150" t="s">
        <v>11343</v>
      </c>
      <c r="M2150">
        <v>780.976</v>
      </c>
      <c r="N2150" t="s">
        <v>11344</v>
      </c>
      <c r="O2150" t="s">
        <v>26</v>
      </c>
      <c r="P2150">
        <v>12.95</v>
      </c>
      <c r="R2150">
        <v>12.95</v>
      </c>
      <c r="S2150">
        <v>19.43</v>
      </c>
      <c r="T2150" t="s">
        <v>11345</v>
      </c>
    </row>
    <row r="2151" spans="1:20">
      <c r="A2151">
        <v>3028541</v>
      </c>
      <c r="B2151" t="s">
        <v>11346</v>
      </c>
      <c r="C2151" t="str">
        <f>"9781550229820"</f>
        <v>9781550229820</v>
      </c>
      <c r="D2151" t="str">
        <f>"9781554909827"</f>
        <v>9781554909827</v>
      </c>
      <c r="E2151" t="s">
        <v>7707</v>
      </c>
      <c r="F2151" t="s">
        <v>7707</v>
      </c>
      <c r="G2151" s="1">
        <v>40422</v>
      </c>
      <c r="J2151" t="s">
        <v>1992</v>
      </c>
      <c r="K2151" t="s">
        <v>1464</v>
      </c>
      <c r="L2151" t="s">
        <v>11347</v>
      </c>
      <c r="M2151" t="s">
        <v>1497</v>
      </c>
      <c r="N2151" t="s">
        <v>11348</v>
      </c>
      <c r="O2151" t="s">
        <v>26</v>
      </c>
      <c r="P2151">
        <v>12.95</v>
      </c>
      <c r="R2151">
        <v>12.95</v>
      </c>
      <c r="S2151">
        <v>19.43</v>
      </c>
      <c r="T2151" t="s">
        <v>11349</v>
      </c>
    </row>
    <row r="2152" spans="1:20">
      <c r="A2152">
        <v>3028542</v>
      </c>
      <c r="B2152" t="s">
        <v>11350</v>
      </c>
      <c r="C2152" t="str">
        <f>"9781550226652"</f>
        <v>9781550226652</v>
      </c>
      <c r="D2152" t="str">
        <f>"9781554906277"</f>
        <v>9781554906277</v>
      </c>
      <c r="E2152" t="s">
        <v>7707</v>
      </c>
      <c r="F2152" t="s">
        <v>7707</v>
      </c>
      <c r="G2152" s="1">
        <v>38149</v>
      </c>
      <c r="J2152" t="s">
        <v>11011</v>
      </c>
      <c r="K2152" t="s">
        <v>2963</v>
      </c>
      <c r="L2152" t="s">
        <v>11351</v>
      </c>
      <c r="M2152" t="s">
        <v>11352</v>
      </c>
      <c r="N2152" t="s">
        <v>11353</v>
      </c>
      <c r="O2152" t="s">
        <v>26</v>
      </c>
      <c r="P2152">
        <v>12.95</v>
      </c>
      <c r="R2152">
        <v>12.95</v>
      </c>
      <c r="S2152">
        <v>19.43</v>
      </c>
      <c r="T2152" t="s">
        <v>11354</v>
      </c>
    </row>
    <row r="2153" spans="1:20">
      <c r="A2153">
        <v>3028543</v>
      </c>
      <c r="B2153" t="s">
        <v>11355</v>
      </c>
      <c r="C2153" t="str">
        <f>"9781550229721"</f>
        <v>9781550229721</v>
      </c>
      <c r="D2153" t="str">
        <f>"9781554909728"</f>
        <v>9781554909728</v>
      </c>
      <c r="E2153" t="s">
        <v>7707</v>
      </c>
      <c r="F2153" t="s">
        <v>7707</v>
      </c>
      <c r="G2153" s="1">
        <v>40422</v>
      </c>
      <c r="J2153" t="s">
        <v>11356</v>
      </c>
      <c r="K2153" t="s">
        <v>1464</v>
      </c>
      <c r="L2153" t="s">
        <v>11357</v>
      </c>
      <c r="M2153" t="s">
        <v>1509</v>
      </c>
      <c r="N2153" t="s">
        <v>11229</v>
      </c>
      <c r="O2153" t="s">
        <v>26</v>
      </c>
      <c r="P2153">
        <v>11.95</v>
      </c>
      <c r="R2153">
        <v>11.95</v>
      </c>
      <c r="S2153">
        <v>17.93</v>
      </c>
      <c r="T2153" t="s">
        <v>11358</v>
      </c>
    </row>
    <row r="2154" spans="1:20">
      <c r="A2154">
        <v>3028544</v>
      </c>
      <c r="B2154" t="s">
        <v>11359</v>
      </c>
      <c r="C2154" t="str">
        <f>"9781550229769"</f>
        <v>9781550229769</v>
      </c>
      <c r="D2154" t="str">
        <f>"9781554909766"</f>
        <v>9781554909766</v>
      </c>
      <c r="E2154" t="s">
        <v>7707</v>
      </c>
      <c r="F2154" t="s">
        <v>7707</v>
      </c>
      <c r="G2154" s="1">
        <v>40452</v>
      </c>
      <c r="J2154" t="s">
        <v>11360</v>
      </c>
      <c r="K2154" t="s">
        <v>1445</v>
      </c>
      <c r="L2154" t="s">
        <v>11361</v>
      </c>
      <c r="M2154" t="s">
        <v>11362</v>
      </c>
      <c r="N2154" t="s">
        <v>11363</v>
      </c>
      <c r="O2154" t="s">
        <v>26</v>
      </c>
      <c r="P2154">
        <v>14.95</v>
      </c>
      <c r="R2154">
        <v>14.95</v>
      </c>
      <c r="S2154">
        <v>22.43</v>
      </c>
      <c r="T2154" t="s">
        <v>11364</v>
      </c>
    </row>
    <row r="2155" spans="1:20">
      <c r="A2155">
        <v>3028545</v>
      </c>
      <c r="B2155" t="s">
        <v>11365</v>
      </c>
      <c r="C2155" t="str">
        <f>"9781550229318"</f>
        <v>9781550229318</v>
      </c>
      <c r="D2155" t="str">
        <f>"9781554909315"</f>
        <v>9781554909315</v>
      </c>
      <c r="E2155" t="s">
        <v>7707</v>
      </c>
      <c r="F2155" t="s">
        <v>7707</v>
      </c>
      <c r="G2155" s="1">
        <v>40330</v>
      </c>
      <c r="J2155" t="s">
        <v>11184</v>
      </c>
      <c r="K2155" t="s">
        <v>1471</v>
      </c>
      <c r="L2155" t="s">
        <v>11366</v>
      </c>
      <c r="M2155" t="s">
        <v>11092</v>
      </c>
      <c r="N2155" t="s">
        <v>11367</v>
      </c>
      <c r="O2155" t="s">
        <v>26</v>
      </c>
      <c r="P2155">
        <v>10.95</v>
      </c>
      <c r="R2155">
        <v>10.95</v>
      </c>
      <c r="S2155">
        <v>16.43</v>
      </c>
      <c r="T2155" t="s">
        <v>11368</v>
      </c>
    </row>
    <row r="2156" spans="1:20">
      <c r="A2156">
        <v>3028546</v>
      </c>
      <c r="B2156" t="s">
        <v>11369</v>
      </c>
      <c r="C2156" t="str">
        <f>"9781550229356"</f>
        <v>9781550229356</v>
      </c>
      <c r="D2156" t="str">
        <f>"9781554909353"</f>
        <v>9781554909353</v>
      </c>
      <c r="E2156" t="s">
        <v>7707</v>
      </c>
      <c r="F2156" t="s">
        <v>7707</v>
      </c>
      <c r="G2156" s="1">
        <v>40452</v>
      </c>
      <c r="J2156" t="s">
        <v>11370</v>
      </c>
      <c r="K2156" t="s">
        <v>1464</v>
      </c>
      <c r="L2156" t="s">
        <v>11371</v>
      </c>
      <c r="M2156" t="s">
        <v>1509</v>
      </c>
      <c r="N2156" t="s">
        <v>11372</v>
      </c>
      <c r="O2156" t="s">
        <v>26</v>
      </c>
      <c r="P2156">
        <v>12.95</v>
      </c>
      <c r="R2156">
        <v>12.95</v>
      </c>
      <c r="S2156">
        <v>19.43</v>
      </c>
      <c r="T2156" t="s">
        <v>11373</v>
      </c>
    </row>
    <row r="2157" spans="1:20">
      <c r="A2157">
        <v>3028547</v>
      </c>
      <c r="B2157" t="s">
        <v>11374</v>
      </c>
      <c r="C2157" t="str">
        <f>"9781550229554"</f>
        <v>9781550229554</v>
      </c>
      <c r="D2157" t="str">
        <f>"9781554909551"</f>
        <v>9781554909551</v>
      </c>
      <c r="E2157" t="s">
        <v>7707</v>
      </c>
      <c r="F2157" t="s">
        <v>7707</v>
      </c>
      <c r="G2157" s="1">
        <v>40422</v>
      </c>
      <c r="J2157" t="s">
        <v>11375</v>
      </c>
      <c r="K2157" t="s">
        <v>1471</v>
      </c>
      <c r="L2157" t="s">
        <v>11376</v>
      </c>
      <c r="M2157" t="s">
        <v>11086</v>
      </c>
      <c r="N2157" t="s">
        <v>11377</v>
      </c>
      <c r="O2157" t="s">
        <v>26</v>
      </c>
      <c r="P2157">
        <v>13.95</v>
      </c>
      <c r="R2157">
        <v>13.95</v>
      </c>
      <c r="S2157">
        <v>20.93</v>
      </c>
      <c r="T2157" t="s">
        <v>11378</v>
      </c>
    </row>
    <row r="2158" spans="1:20">
      <c r="A2158">
        <v>3028548</v>
      </c>
      <c r="B2158" t="s">
        <v>11379</v>
      </c>
      <c r="C2158" t="str">
        <f>"9781550229813"</f>
        <v>9781550229813</v>
      </c>
      <c r="D2158" t="str">
        <f>"9781554909810"</f>
        <v>9781554909810</v>
      </c>
      <c r="E2158" t="s">
        <v>7707</v>
      </c>
      <c r="F2158" t="s">
        <v>7707</v>
      </c>
      <c r="G2158" s="1">
        <v>40422</v>
      </c>
      <c r="J2158" t="s">
        <v>11380</v>
      </c>
      <c r="K2158" t="s">
        <v>1464</v>
      </c>
      <c r="L2158" t="s">
        <v>11381</v>
      </c>
      <c r="M2158" t="s">
        <v>1466</v>
      </c>
      <c r="N2158" t="s">
        <v>11382</v>
      </c>
      <c r="O2158" t="s">
        <v>26</v>
      </c>
      <c r="P2158">
        <v>12.95</v>
      </c>
      <c r="R2158">
        <v>12.95</v>
      </c>
      <c r="S2158">
        <v>19.43</v>
      </c>
      <c r="T2158" t="s">
        <v>11383</v>
      </c>
    </row>
    <row r="2159" spans="1:20">
      <c r="A2159">
        <v>3028549</v>
      </c>
      <c r="B2159" t="s">
        <v>11384</v>
      </c>
      <c r="C2159" t="str">
        <f>"9781550229547"</f>
        <v>9781550229547</v>
      </c>
      <c r="D2159" t="str">
        <f>"9781554909544"</f>
        <v>9781554909544</v>
      </c>
      <c r="E2159" t="s">
        <v>7707</v>
      </c>
      <c r="F2159" t="s">
        <v>7707</v>
      </c>
      <c r="G2159" s="1">
        <v>40422</v>
      </c>
      <c r="J2159" t="s">
        <v>11385</v>
      </c>
      <c r="K2159" t="s">
        <v>1464</v>
      </c>
      <c r="L2159" t="s">
        <v>11386</v>
      </c>
      <c r="M2159" t="s">
        <v>1460</v>
      </c>
      <c r="N2159" t="s">
        <v>11387</v>
      </c>
      <c r="O2159" t="s">
        <v>26</v>
      </c>
      <c r="P2159">
        <v>10.95</v>
      </c>
      <c r="R2159">
        <v>10.95</v>
      </c>
      <c r="S2159">
        <v>16.43</v>
      </c>
      <c r="T2159" t="s">
        <v>11388</v>
      </c>
    </row>
    <row r="2160" spans="1:20">
      <c r="A2160">
        <v>3028550</v>
      </c>
      <c r="B2160" t="s">
        <v>11389</v>
      </c>
      <c r="C2160" t="str">
        <f>"9781550229387"</f>
        <v>9781550229387</v>
      </c>
      <c r="D2160" t="str">
        <f>"9781554909384"</f>
        <v>9781554909384</v>
      </c>
      <c r="E2160" t="s">
        <v>7707</v>
      </c>
      <c r="F2160" t="s">
        <v>7707</v>
      </c>
      <c r="G2160" s="1">
        <v>40422</v>
      </c>
      <c r="J2160" t="s">
        <v>11390</v>
      </c>
      <c r="K2160" t="s">
        <v>1471</v>
      </c>
      <c r="L2160" t="s">
        <v>11391</v>
      </c>
      <c r="M2160" t="s">
        <v>11086</v>
      </c>
      <c r="N2160" t="s">
        <v>11392</v>
      </c>
      <c r="O2160" t="s">
        <v>26</v>
      </c>
      <c r="P2160">
        <v>10.95</v>
      </c>
      <c r="R2160">
        <v>10.95</v>
      </c>
      <c r="S2160">
        <v>16.43</v>
      </c>
      <c r="T2160" t="s">
        <v>11393</v>
      </c>
    </row>
    <row r="2161" spans="1:20">
      <c r="A2161">
        <v>3028551</v>
      </c>
      <c r="B2161" t="s">
        <v>11394</v>
      </c>
      <c r="C2161" t="str">
        <f>"9781550229783"</f>
        <v>9781550229783</v>
      </c>
      <c r="D2161" t="str">
        <f>"9781554909780"</f>
        <v>9781554909780</v>
      </c>
      <c r="E2161" t="s">
        <v>7707</v>
      </c>
      <c r="F2161" t="s">
        <v>7707</v>
      </c>
      <c r="G2161" s="1">
        <v>40422</v>
      </c>
      <c r="J2161" t="s">
        <v>11395</v>
      </c>
      <c r="K2161" t="s">
        <v>1471</v>
      </c>
      <c r="L2161" t="s">
        <v>11396</v>
      </c>
      <c r="M2161" t="s">
        <v>11086</v>
      </c>
      <c r="N2161" t="s">
        <v>11397</v>
      </c>
      <c r="O2161" t="s">
        <v>26</v>
      </c>
      <c r="P2161">
        <v>10.95</v>
      </c>
      <c r="R2161">
        <v>10.95</v>
      </c>
      <c r="S2161">
        <v>16.43</v>
      </c>
      <c r="T2161" t="s">
        <v>11398</v>
      </c>
    </row>
    <row r="2162" spans="1:20">
      <c r="A2162">
        <v>3028552</v>
      </c>
      <c r="B2162" t="s">
        <v>11399</v>
      </c>
      <c r="C2162" t="str">
        <f>"9781550229486"</f>
        <v>9781550229486</v>
      </c>
      <c r="D2162" t="str">
        <f>"9781554909483"</f>
        <v>9781554909483</v>
      </c>
      <c r="E2162" t="s">
        <v>7707</v>
      </c>
      <c r="F2162" t="s">
        <v>7707</v>
      </c>
      <c r="G2162" s="1">
        <v>40452</v>
      </c>
      <c r="J2162" t="s">
        <v>11400</v>
      </c>
      <c r="K2162" t="s">
        <v>1464</v>
      </c>
      <c r="L2162" t="s">
        <v>11401</v>
      </c>
      <c r="M2162" t="s">
        <v>1509</v>
      </c>
      <c r="N2162" t="s">
        <v>11402</v>
      </c>
      <c r="O2162" t="s">
        <v>26</v>
      </c>
      <c r="P2162">
        <v>13.95</v>
      </c>
      <c r="R2162">
        <v>13.95</v>
      </c>
      <c r="S2162">
        <v>20.93</v>
      </c>
      <c r="T2162" t="s">
        <v>11403</v>
      </c>
    </row>
    <row r="2163" spans="1:20">
      <c r="A2163">
        <v>3028582</v>
      </c>
      <c r="B2163" t="s">
        <v>11404</v>
      </c>
      <c r="C2163" t="str">
        <f>"9781550229516"</f>
        <v>9781550229516</v>
      </c>
      <c r="D2163" t="str">
        <f>"9781554909513"</f>
        <v>9781554909513</v>
      </c>
      <c r="E2163" t="s">
        <v>7707</v>
      </c>
      <c r="F2163" t="s">
        <v>7707</v>
      </c>
      <c r="G2163" s="1">
        <v>40482</v>
      </c>
      <c r="I2163" t="s">
        <v>11083</v>
      </c>
      <c r="J2163" t="s">
        <v>11405</v>
      </c>
      <c r="K2163" t="s">
        <v>1471</v>
      </c>
      <c r="L2163" t="s">
        <v>11406</v>
      </c>
      <c r="M2163" t="s">
        <v>11086</v>
      </c>
      <c r="N2163" t="s">
        <v>11407</v>
      </c>
      <c r="O2163" t="s">
        <v>26</v>
      </c>
      <c r="P2163">
        <v>10.95</v>
      </c>
      <c r="R2163">
        <v>10.95</v>
      </c>
      <c r="S2163">
        <v>16.43</v>
      </c>
      <c r="T2163" t="s">
        <v>11408</v>
      </c>
    </row>
    <row r="2164" spans="1:20">
      <c r="A2164">
        <v>3028583</v>
      </c>
      <c r="B2164" t="s">
        <v>11409</v>
      </c>
      <c r="C2164" t="str">
        <f>""</f>
        <v/>
      </c>
      <c r="D2164" t="str">
        <f>"9781554909957"</f>
        <v>9781554909957</v>
      </c>
      <c r="E2164" t="s">
        <v>7707</v>
      </c>
      <c r="F2164" t="s">
        <v>7707</v>
      </c>
      <c r="G2164" s="1">
        <v>40483</v>
      </c>
      <c r="J2164" t="s">
        <v>1996</v>
      </c>
      <c r="K2164" t="s">
        <v>1464</v>
      </c>
      <c r="L2164" t="s">
        <v>11410</v>
      </c>
      <c r="N2164" t="s">
        <v>11411</v>
      </c>
      <c r="O2164" t="s">
        <v>26</v>
      </c>
      <c r="P2164">
        <v>9.9499999999999993</v>
      </c>
      <c r="R2164">
        <v>9.9499999999999993</v>
      </c>
      <c r="S2164">
        <v>14.93</v>
      </c>
      <c r="T2164" t="s">
        <v>11412</v>
      </c>
    </row>
    <row r="2165" spans="1:20">
      <c r="A2165">
        <v>3028624</v>
      </c>
      <c r="B2165" t="s">
        <v>11413</v>
      </c>
      <c r="C2165" t="str">
        <f>"9781550229950"</f>
        <v>9781550229950</v>
      </c>
      <c r="D2165" t="str">
        <f>"9781554909063"</f>
        <v>9781554909063</v>
      </c>
      <c r="E2165" t="s">
        <v>7707</v>
      </c>
      <c r="F2165" t="s">
        <v>7707</v>
      </c>
      <c r="G2165" s="1">
        <v>40664</v>
      </c>
      <c r="J2165" t="s">
        <v>11414</v>
      </c>
      <c r="K2165" t="s">
        <v>2260</v>
      </c>
      <c r="L2165" t="s">
        <v>11415</v>
      </c>
      <c r="M2165" t="s">
        <v>11416</v>
      </c>
      <c r="N2165" t="s">
        <v>11417</v>
      </c>
      <c r="O2165" t="s">
        <v>26</v>
      </c>
      <c r="P2165">
        <v>13.95</v>
      </c>
      <c r="R2165">
        <v>13.95</v>
      </c>
      <c r="S2165">
        <v>20.93</v>
      </c>
      <c r="T2165" t="s">
        <v>11418</v>
      </c>
    </row>
    <row r="2166" spans="1:20">
      <c r="A2166">
        <v>3028625</v>
      </c>
      <c r="B2166" t="s">
        <v>11419</v>
      </c>
      <c r="C2166" t="str">
        <f>"9781550229431"</f>
        <v>9781550229431</v>
      </c>
      <c r="D2166" t="str">
        <f>"9781554909438"</f>
        <v>9781554909438</v>
      </c>
      <c r="E2166" t="s">
        <v>7707</v>
      </c>
      <c r="F2166" t="s">
        <v>7707</v>
      </c>
      <c r="G2166" s="1">
        <v>40664</v>
      </c>
      <c r="J2166" t="s">
        <v>11420</v>
      </c>
      <c r="K2166" t="s">
        <v>1464</v>
      </c>
      <c r="L2166" t="s">
        <v>11421</v>
      </c>
      <c r="M2166" t="s">
        <v>4596</v>
      </c>
      <c r="N2166" t="s">
        <v>11422</v>
      </c>
      <c r="O2166" t="s">
        <v>26</v>
      </c>
      <c r="P2166">
        <v>12.95</v>
      </c>
      <c r="R2166">
        <v>12.95</v>
      </c>
      <c r="S2166">
        <v>19.43</v>
      </c>
      <c r="T2166" t="s">
        <v>11423</v>
      </c>
    </row>
    <row r="2167" spans="1:20">
      <c r="A2167">
        <v>3028626</v>
      </c>
      <c r="B2167" t="s">
        <v>11424</v>
      </c>
      <c r="C2167" t="str">
        <f>"9781550229561"</f>
        <v>9781550229561</v>
      </c>
      <c r="D2167" t="str">
        <f>"9781554909568"</f>
        <v>9781554909568</v>
      </c>
      <c r="E2167" t="s">
        <v>7707</v>
      </c>
      <c r="F2167" t="s">
        <v>7707</v>
      </c>
      <c r="G2167" s="1">
        <v>40664</v>
      </c>
      <c r="J2167" t="s">
        <v>11425</v>
      </c>
      <c r="K2167" t="s">
        <v>1471</v>
      </c>
      <c r="L2167" t="s">
        <v>11426</v>
      </c>
      <c r="M2167">
        <v>782.42166092000002</v>
      </c>
      <c r="N2167" t="s">
        <v>11427</v>
      </c>
      <c r="O2167" t="s">
        <v>26</v>
      </c>
      <c r="P2167">
        <v>14.95</v>
      </c>
      <c r="R2167">
        <v>14.95</v>
      </c>
      <c r="S2167">
        <v>22.43</v>
      </c>
      <c r="T2167" t="s">
        <v>11428</v>
      </c>
    </row>
    <row r="2168" spans="1:20">
      <c r="A2168">
        <v>3028627</v>
      </c>
      <c r="B2168" t="s">
        <v>11429</v>
      </c>
      <c r="C2168" t="str">
        <f>"9781770410053"</f>
        <v>9781770410053</v>
      </c>
      <c r="D2168" t="str">
        <f>"9781554909094"</f>
        <v>9781554909094</v>
      </c>
      <c r="E2168" t="s">
        <v>7707</v>
      </c>
      <c r="F2168" t="s">
        <v>7707</v>
      </c>
      <c r="G2168" s="1">
        <v>40664</v>
      </c>
      <c r="I2168" t="s">
        <v>11430</v>
      </c>
      <c r="J2168" t="s">
        <v>11431</v>
      </c>
      <c r="K2168" t="s">
        <v>1464</v>
      </c>
      <c r="L2168" t="s">
        <v>11432</v>
      </c>
      <c r="M2168" t="s">
        <v>1509</v>
      </c>
      <c r="N2168" t="s">
        <v>11433</v>
      </c>
      <c r="O2168" t="s">
        <v>26</v>
      </c>
      <c r="P2168">
        <v>9.9499999999999993</v>
      </c>
      <c r="R2168">
        <v>9.9499999999999993</v>
      </c>
      <c r="S2168">
        <v>14.93</v>
      </c>
      <c r="T2168" t="s">
        <v>11434</v>
      </c>
    </row>
    <row r="2169" spans="1:20">
      <c r="A2169">
        <v>3028628</v>
      </c>
      <c r="B2169" t="s">
        <v>11435</v>
      </c>
      <c r="C2169" t="str">
        <f>"9781770410091"</f>
        <v>9781770410091</v>
      </c>
      <c r="D2169" t="str">
        <f>"9781554909100"</f>
        <v>9781554909100</v>
      </c>
      <c r="E2169" t="s">
        <v>7707</v>
      </c>
      <c r="F2169" t="s">
        <v>7707</v>
      </c>
      <c r="G2169" s="1">
        <v>40664</v>
      </c>
      <c r="J2169" t="s">
        <v>11436</v>
      </c>
      <c r="K2169" t="s">
        <v>11437</v>
      </c>
      <c r="L2169" t="s">
        <v>11438</v>
      </c>
      <c r="M2169">
        <v>500</v>
      </c>
      <c r="N2169" t="s">
        <v>11439</v>
      </c>
      <c r="O2169" t="s">
        <v>26</v>
      </c>
      <c r="P2169">
        <v>11.95</v>
      </c>
      <c r="R2169">
        <v>11.95</v>
      </c>
      <c r="S2169">
        <v>17.93</v>
      </c>
      <c r="T2169" t="s">
        <v>11440</v>
      </c>
    </row>
    <row r="2170" spans="1:20">
      <c r="A2170">
        <v>3028630</v>
      </c>
      <c r="B2170" t="s">
        <v>11441</v>
      </c>
      <c r="C2170" t="str">
        <f>""</f>
        <v/>
      </c>
      <c r="D2170" t="str">
        <f>"9781770900004"</f>
        <v>9781770900004</v>
      </c>
      <c r="E2170" t="s">
        <v>7707</v>
      </c>
      <c r="F2170" t="s">
        <v>7707</v>
      </c>
      <c r="G2170" s="1">
        <v>40664</v>
      </c>
      <c r="J2170" t="s">
        <v>1992</v>
      </c>
      <c r="K2170" t="s">
        <v>1464</v>
      </c>
      <c r="L2170" t="s">
        <v>11442</v>
      </c>
      <c r="N2170" t="s">
        <v>11443</v>
      </c>
      <c r="O2170" t="s">
        <v>26</v>
      </c>
      <c r="P2170">
        <v>9.9499999999999993</v>
      </c>
      <c r="R2170">
        <v>9.9499999999999993</v>
      </c>
      <c r="S2170">
        <v>14.93</v>
      </c>
      <c r="T2170" t="s">
        <v>11444</v>
      </c>
    </row>
    <row r="2171" spans="1:20">
      <c r="A2171">
        <v>3028631</v>
      </c>
      <c r="B2171" t="s">
        <v>11445</v>
      </c>
      <c r="C2171" t="str">
        <f>"9781550229806"</f>
        <v>9781550229806</v>
      </c>
      <c r="D2171" t="str">
        <f>"9781554909803"</f>
        <v>9781554909803</v>
      </c>
      <c r="E2171" t="s">
        <v>7707</v>
      </c>
      <c r="F2171" t="s">
        <v>7707</v>
      </c>
      <c r="G2171" s="1">
        <v>40634</v>
      </c>
      <c r="J2171" t="s">
        <v>11446</v>
      </c>
      <c r="K2171" t="s">
        <v>1150</v>
      </c>
      <c r="L2171" t="s">
        <v>11447</v>
      </c>
      <c r="M2171">
        <v>796.07500000000005</v>
      </c>
      <c r="N2171" t="s">
        <v>11448</v>
      </c>
      <c r="O2171" t="s">
        <v>26</v>
      </c>
      <c r="P2171">
        <v>12.95</v>
      </c>
      <c r="R2171">
        <v>12.95</v>
      </c>
      <c r="S2171">
        <v>19.43</v>
      </c>
      <c r="T2171" t="s">
        <v>11449</v>
      </c>
    </row>
    <row r="2172" spans="1:20">
      <c r="A2172">
        <v>3028632</v>
      </c>
      <c r="B2172" t="s">
        <v>11450</v>
      </c>
      <c r="C2172" t="str">
        <f>"9781770410138"</f>
        <v>9781770410138</v>
      </c>
      <c r="D2172" t="str">
        <f>"9781554909209"</f>
        <v>9781554909209</v>
      </c>
      <c r="E2172" t="s">
        <v>7707</v>
      </c>
      <c r="F2172" t="s">
        <v>7707</v>
      </c>
      <c r="G2172" s="1">
        <v>40634</v>
      </c>
      <c r="J2172" t="s">
        <v>11451</v>
      </c>
      <c r="K2172" t="s">
        <v>1464</v>
      </c>
      <c r="L2172" t="s">
        <v>11452</v>
      </c>
      <c r="M2172" t="s">
        <v>1567</v>
      </c>
      <c r="N2172" t="s">
        <v>11453</v>
      </c>
      <c r="O2172" t="s">
        <v>26</v>
      </c>
      <c r="P2172">
        <v>13.95</v>
      </c>
      <c r="R2172">
        <v>13.95</v>
      </c>
      <c r="S2172">
        <v>20.93</v>
      </c>
      <c r="T2172" t="s">
        <v>11454</v>
      </c>
    </row>
    <row r="2173" spans="1:20">
      <c r="A2173">
        <v>3028633</v>
      </c>
      <c r="B2173" t="s">
        <v>11455</v>
      </c>
      <c r="C2173" t="str">
        <f>"9781770410176"</f>
        <v>9781770410176</v>
      </c>
      <c r="D2173" t="str">
        <f>"9781554909407"</f>
        <v>9781554909407</v>
      </c>
      <c r="E2173" t="s">
        <v>7707</v>
      </c>
      <c r="F2173" t="s">
        <v>7707</v>
      </c>
      <c r="G2173" s="1">
        <v>40634</v>
      </c>
      <c r="J2173" t="s">
        <v>11062</v>
      </c>
      <c r="K2173" t="s">
        <v>1464</v>
      </c>
      <c r="L2173" t="s">
        <v>11456</v>
      </c>
      <c r="M2173" t="s">
        <v>2738</v>
      </c>
      <c r="N2173" t="s">
        <v>7929</v>
      </c>
      <c r="O2173" t="s">
        <v>26</v>
      </c>
      <c r="P2173">
        <v>13.95</v>
      </c>
      <c r="R2173">
        <v>13.95</v>
      </c>
      <c r="S2173">
        <v>20.93</v>
      </c>
      <c r="T2173" t="s">
        <v>11457</v>
      </c>
    </row>
    <row r="2174" spans="1:20">
      <c r="A2174">
        <v>3028634</v>
      </c>
      <c r="B2174" t="s">
        <v>11458</v>
      </c>
      <c r="C2174" t="str">
        <f>"9781550228830"</f>
        <v>9781550228830</v>
      </c>
      <c r="D2174" t="str">
        <f>"9781554909087"</f>
        <v>9781554909087</v>
      </c>
      <c r="E2174" t="s">
        <v>7707</v>
      </c>
      <c r="F2174" t="s">
        <v>7707</v>
      </c>
      <c r="G2174" s="1">
        <v>40634</v>
      </c>
      <c r="J2174" t="s">
        <v>11459</v>
      </c>
      <c r="K2174" t="s">
        <v>1471</v>
      </c>
      <c r="L2174" t="s">
        <v>11460</v>
      </c>
      <c r="M2174" t="s">
        <v>11461</v>
      </c>
      <c r="N2174" t="s">
        <v>11462</v>
      </c>
      <c r="O2174" t="s">
        <v>26</v>
      </c>
      <c r="P2174">
        <v>14.95</v>
      </c>
      <c r="R2174">
        <v>14.95</v>
      </c>
      <c r="S2174">
        <v>22.43</v>
      </c>
      <c r="T2174" t="s">
        <v>11463</v>
      </c>
    </row>
    <row r="2175" spans="1:20">
      <c r="A2175">
        <v>3028635</v>
      </c>
      <c r="B2175" t="s">
        <v>11464</v>
      </c>
      <c r="C2175" t="str">
        <f>"9781550229578"</f>
        <v>9781550229578</v>
      </c>
      <c r="D2175" t="str">
        <f>"9781554909575"</f>
        <v>9781554909575</v>
      </c>
      <c r="E2175" t="s">
        <v>7707</v>
      </c>
      <c r="F2175" t="s">
        <v>7707</v>
      </c>
      <c r="G2175" s="1">
        <v>40634</v>
      </c>
      <c r="J2175" t="s">
        <v>11465</v>
      </c>
      <c r="K2175" t="s">
        <v>1150</v>
      </c>
      <c r="L2175" t="s">
        <v>11466</v>
      </c>
      <c r="M2175" t="s">
        <v>11467</v>
      </c>
      <c r="N2175" t="s">
        <v>11468</v>
      </c>
      <c r="O2175" t="s">
        <v>26</v>
      </c>
      <c r="P2175">
        <v>29.95</v>
      </c>
      <c r="R2175">
        <v>29.95</v>
      </c>
      <c r="S2175">
        <v>44.93</v>
      </c>
      <c r="T2175" t="s">
        <v>11469</v>
      </c>
    </row>
    <row r="2176" spans="1:20">
      <c r="A2176">
        <v>3028636</v>
      </c>
      <c r="B2176" t="s">
        <v>11470</v>
      </c>
      <c r="C2176" t="str">
        <f>"9781550229363"</f>
        <v>9781550229363</v>
      </c>
      <c r="D2176" t="str">
        <f>"9781554909360"</f>
        <v>9781554909360</v>
      </c>
      <c r="E2176" t="s">
        <v>7707</v>
      </c>
      <c r="F2176" t="s">
        <v>7707</v>
      </c>
      <c r="G2176" s="1">
        <v>40664</v>
      </c>
      <c r="I2176" t="s">
        <v>11471</v>
      </c>
      <c r="J2176" t="s">
        <v>11036</v>
      </c>
      <c r="K2176" t="s">
        <v>1464</v>
      </c>
      <c r="L2176" t="s">
        <v>11472</v>
      </c>
      <c r="M2176" t="s">
        <v>1509</v>
      </c>
      <c r="N2176" t="s">
        <v>11473</v>
      </c>
      <c r="O2176" t="s">
        <v>26</v>
      </c>
      <c r="P2176">
        <v>18.95</v>
      </c>
      <c r="R2176">
        <v>18.95</v>
      </c>
      <c r="S2176">
        <v>28.43</v>
      </c>
      <c r="T2176" t="s">
        <v>11474</v>
      </c>
    </row>
    <row r="2177" spans="1:20">
      <c r="A2177">
        <v>3028637</v>
      </c>
      <c r="B2177" t="s">
        <v>11475</v>
      </c>
      <c r="C2177" t="str">
        <f>"9781550229660"</f>
        <v>9781550229660</v>
      </c>
      <c r="D2177" t="str">
        <f>"9781554909667"</f>
        <v>9781554909667</v>
      </c>
      <c r="E2177" t="s">
        <v>7707</v>
      </c>
      <c r="F2177" t="s">
        <v>7707</v>
      </c>
      <c r="G2177" s="1">
        <v>40664</v>
      </c>
      <c r="J2177" t="s">
        <v>11476</v>
      </c>
      <c r="K2177" t="s">
        <v>1471</v>
      </c>
      <c r="L2177" t="s">
        <v>11477</v>
      </c>
      <c r="M2177">
        <v>782.42166097135396</v>
      </c>
      <c r="N2177" t="s">
        <v>11478</v>
      </c>
      <c r="O2177" t="s">
        <v>26</v>
      </c>
      <c r="P2177">
        <v>22.95</v>
      </c>
      <c r="R2177">
        <v>22.95</v>
      </c>
      <c r="S2177">
        <v>34.43</v>
      </c>
      <c r="T2177" t="s">
        <v>11479</v>
      </c>
    </row>
    <row r="2178" spans="1:20">
      <c r="A2178">
        <v>3028638</v>
      </c>
      <c r="B2178" t="s">
        <v>11480</v>
      </c>
      <c r="C2178" t="str">
        <f>"9781770410152"</f>
        <v>9781770410152</v>
      </c>
      <c r="D2178" t="str">
        <f>"9781554909391"</f>
        <v>9781554909391</v>
      </c>
      <c r="E2178" t="s">
        <v>7707</v>
      </c>
      <c r="F2178" t="s">
        <v>7707</v>
      </c>
      <c r="G2178" s="1">
        <v>40634</v>
      </c>
      <c r="H2178">
        <v>2</v>
      </c>
      <c r="J2178" t="s">
        <v>11481</v>
      </c>
      <c r="K2178" t="s">
        <v>1464</v>
      </c>
      <c r="L2178" t="s">
        <v>11482</v>
      </c>
      <c r="M2178" t="s">
        <v>1497</v>
      </c>
      <c r="N2178" t="s">
        <v>11483</v>
      </c>
      <c r="O2178" t="s">
        <v>26</v>
      </c>
      <c r="P2178">
        <v>13.95</v>
      </c>
      <c r="R2178">
        <v>13.95</v>
      </c>
      <c r="S2178">
        <v>20.93</v>
      </c>
      <c r="T2178" t="s">
        <v>11484</v>
      </c>
    </row>
    <row r="2179" spans="1:20">
      <c r="A2179">
        <v>3028639</v>
      </c>
      <c r="B2179" t="s">
        <v>11485</v>
      </c>
      <c r="C2179" t="str">
        <f>"9781550229868"</f>
        <v>9781550229868</v>
      </c>
      <c r="D2179" t="str">
        <f>"9781554909865"</f>
        <v>9781554909865</v>
      </c>
      <c r="E2179" t="s">
        <v>7707</v>
      </c>
      <c r="F2179" t="s">
        <v>7707</v>
      </c>
      <c r="G2179" s="1">
        <v>40634</v>
      </c>
      <c r="J2179" t="s">
        <v>11486</v>
      </c>
      <c r="K2179" t="s">
        <v>263</v>
      </c>
      <c r="L2179" t="s">
        <v>11487</v>
      </c>
      <c r="M2179" t="s">
        <v>11488</v>
      </c>
      <c r="N2179" t="s">
        <v>11489</v>
      </c>
      <c r="O2179" t="s">
        <v>26</v>
      </c>
      <c r="P2179">
        <v>13.95</v>
      </c>
      <c r="R2179">
        <v>13.95</v>
      </c>
      <c r="S2179">
        <v>20.93</v>
      </c>
      <c r="T2179" t="s">
        <v>11490</v>
      </c>
    </row>
    <row r="2180" spans="1:20">
      <c r="A2180">
        <v>3028640</v>
      </c>
      <c r="B2180" t="s">
        <v>11491</v>
      </c>
      <c r="C2180" t="str">
        <f>"9781550229929"</f>
        <v>9781550229929</v>
      </c>
      <c r="D2180" t="str">
        <f>"9781554909926"</f>
        <v>9781554909926</v>
      </c>
      <c r="E2180" t="s">
        <v>7707</v>
      </c>
      <c r="F2180" t="s">
        <v>7707</v>
      </c>
      <c r="G2180" s="1">
        <v>40695</v>
      </c>
      <c r="J2180" t="s">
        <v>11492</v>
      </c>
      <c r="K2180" t="s">
        <v>1471</v>
      </c>
      <c r="L2180" t="s">
        <v>11493</v>
      </c>
      <c r="M2180" t="s">
        <v>11494</v>
      </c>
      <c r="N2180" t="s">
        <v>11495</v>
      </c>
      <c r="O2180" t="s">
        <v>26</v>
      </c>
      <c r="P2180">
        <v>22.95</v>
      </c>
      <c r="R2180">
        <v>22.95</v>
      </c>
      <c r="S2180">
        <v>34.43</v>
      </c>
      <c r="T2180" t="s">
        <v>11496</v>
      </c>
    </row>
    <row r="2181" spans="1:20">
      <c r="A2181">
        <v>3028641</v>
      </c>
      <c r="B2181" t="s">
        <v>11497</v>
      </c>
      <c r="C2181" t="str">
        <f>"9781550229615"</f>
        <v>9781550229615</v>
      </c>
      <c r="D2181" t="str">
        <f>"9781554909612"</f>
        <v>9781554909612</v>
      </c>
      <c r="E2181" t="s">
        <v>7707</v>
      </c>
      <c r="F2181" t="s">
        <v>7707</v>
      </c>
      <c r="G2181" s="1">
        <v>40695</v>
      </c>
      <c r="J2181" t="s">
        <v>11498</v>
      </c>
      <c r="K2181" t="s">
        <v>1150</v>
      </c>
      <c r="L2181" t="s">
        <v>11499</v>
      </c>
      <c r="M2181" t="s">
        <v>11500</v>
      </c>
      <c r="N2181" t="s">
        <v>11501</v>
      </c>
      <c r="O2181" t="s">
        <v>26</v>
      </c>
      <c r="P2181">
        <v>14.95</v>
      </c>
      <c r="R2181">
        <v>14.95</v>
      </c>
      <c r="S2181">
        <v>22.43</v>
      </c>
      <c r="T2181" t="s">
        <v>11502</v>
      </c>
    </row>
    <row r="2182" spans="1:20">
      <c r="A2182">
        <v>3028642</v>
      </c>
      <c r="B2182" t="s">
        <v>11503</v>
      </c>
      <c r="C2182" t="str">
        <f>"9781550229455"</f>
        <v>9781550229455</v>
      </c>
      <c r="D2182" t="str">
        <f>"9781554909452"</f>
        <v>9781554909452</v>
      </c>
      <c r="E2182" t="s">
        <v>7707</v>
      </c>
      <c r="F2182" t="s">
        <v>7707</v>
      </c>
      <c r="G2182" s="1">
        <v>40664</v>
      </c>
      <c r="J2182" t="s">
        <v>11504</v>
      </c>
      <c r="K2182" t="s">
        <v>1471</v>
      </c>
      <c r="L2182" t="s">
        <v>11505</v>
      </c>
      <c r="M2182">
        <v>782.42166092000002</v>
      </c>
      <c r="N2182" t="s">
        <v>11506</v>
      </c>
      <c r="O2182" t="s">
        <v>26</v>
      </c>
      <c r="P2182">
        <v>13.95</v>
      </c>
      <c r="R2182">
        <v>13.95</v>
      </c>
      <c r="S2182">
        <v>20.93</v>
      </c>
      <c r="T2182" t="s">
        <v>11507</v>
      </c>
    </row>
    <row r="2183" spans="1:20">
      <c r="A2183">
        <v>3028643</v>
      </c>
      <c r="B2183" t="s">
        <v>11508</v>
      </c>
      <c r="C2183" t="str">
        <f>"9781770410145"</f>
        <v>9781770410145</v>
      </c>
      <c r="D2183" t="str">
        <f>"9781554909377"</f>
        <v>9781554909377</v>
      </c>
      <c r="E2183" t="s">
        <v>7707</v>
      </c>
      <c r="F2183" t="s">
        <v>7707</v>
      </c>
      <c r="G2183" s="1">
        <v>40634</v>
      </c>
      <c r="J2183" t="s">
        <v>11509</v>
      </c>
      <c r="K2183" t="s">
        <v>1464</v>
      </c>
      <c r="L2183" t="s">
        <v>11510</v>
      </c>
      <c r="M2183" t="s">
        <v>2738</v>
      </c>
      <c r="N2183" t="s">
        <v>7929</v>
      </c>
      <c r="O2183" t="s">
        <v>26</v>
      </c>
      <c r="P2183">
        <v>13.95</v>
      </c>
      <c r="R2183">
        <v>13.95</v>
      </c>
      <c r="S2183">
        <v>20.93</v>
      </c>
      <c r="T2183" t="s">
        <v>11511</v>
      </c>
    </row>
    <row r="2184" spans="1:20">
      <c r="A2184">
        <v>3028644</v>
      </c>
      <c r="B2184" t="s">
        <v>11512</v>
      </c>
      <c r="C2184" t="str">
        <f>"9781770410589"</f>
        <v>9781770410589</v>
      </c>
      <c r="D2184" t="str">
        <f>"9781770900202"</f>
        <v>9781770900202</v>
      </c>
      <c r="E2184" t="s">
        <v>7707</v>
      </c>
      <c r="F2184" t="s">
        <v>7707</v>
      </c>
      <c r="G2184" s="1">
        <v>40664</v>
      </c>
      <c r="J2184" t="s">
        <v>11011</v>
      </c>
      <c r="K2184" t="s">
        <v>1471</v>
      </c>
      <c r="L2184" t="s">
        <v>11513</v>
      </c>
      <c r="M2184" t="s">
        <v>11514</v>
      </c>
      <c r="N2184" t="s">
        <v>11515</v>
      </c>
      <c r="O2184" t="s">
        <v>26</v>
      </c>
      <c r="P2184">
        <v>13.95</v>
      </c>
      <c r="R2184">
        <v>13.95</v>
      </c>
      <c r="S2184">
        <v>20.93</v>
      </c>
      <c r="T2184" t="s">
        <v>11516</v>
      </c>
    </row>
    <row r="2185" spans="1:20">
      <c r="A2185">
        <v>3028645</v>
      </c>
      <c r="B2185" t="s">
        <v>11517</v>
      </c>
      <c r="C2185" t="str">
        <f>"9781550229349"</f>
        <v>9781550229349</v>
      </c>
      <c r="D2185" t="str">
        <f>"9781554909056"</f>
        <v>9781554909056</v>
      </c>
      <c r="E2185" t="s">
        <v>7707</v>
      </c>
      <c r="F2185" t="s">
        <v>7707</v>
      </c>
      <c r="G2185" s="1">
        <v>40695</v>
      </c>
      <c r="J2185" t="s">
        <v>11518</v>
      </c>
      <c r="K2185" t="s">
        <v>1464</v>
      </c>
      <c r="L2185" t="s">
        <v>11519</v>
      </c>
      <c r="M2185" t="s">
        <v>1460</v>
      </c>
      <c r="N2185" t="s">
        <v>11520</v>
      </c>
      <c r="O2185" t="s">
        <v>26</v>
      </c>
      <c r="P2185">
        <v>12.95</v>
      </c>
      <c r="R2185">
        <v>12.95</v>
      </c>
      <c r="S2185">
        <v>19.43</v>
      </c>
      <c r="T2185" t="s">
        <v>11521</v>
      </c>
    </row>
    <row r="2186" spans="1:20">
      <c r="A2186">
        <v>3028646</v>
      </c>
      <c r="B2186" t="s">
        <v>11522</v>
      </c>
      <c r="C2186" t="str">
        <f>"9781550229585"</f>
        <v>9781550229585</v>
      </c>
      <c r="D2186" t="str">
        <f>"9781554909582"</f>
        <v>9781554909582</v>
      </c>
      <c r="E2186" t="s">
        <v>7707</v>
      </c>
      <c r="F2186" t="s">
        <v>7707</v>
      </c>
      <c r="G2186" s="1">
        <v>40634</v>
      </c>
      <c r="J2186" t="s">
        <v>9880</v>
      </c>
      <c r="K2186" t="s">
        <v>1464</v>
      </c>
      <c r="L2186" t="s">
        <v>11523</v>
      </c>
      <c r="M2186" t="s">
        <v>11524</v>
      </c>
      <c r="N2186" t="s">
        <v>11525</v>
      </c>
      <c r="O2186" t="s">
        <v>26</v>
      </c>
      <c r="P2186">
        <v>14.95</v>
      </c>
      <c r="R2186">
        <v>14.95</v>
      </c>
      <c r="S2186">
        <v>22.43</v>
      </c>
      <c r="T2186" t="s">
        <v>11526</v>
      </c>
    </row>
    <row r="2187" spans="1:20">
      <c r="A2187">
        <v>3028710</v>
      </c>
      <c r="B2187" t="s">
        <v>11527</v>
      </c>
      <c r="C2187" t="str">
        <f>"9781550229370"</f>
        <v>9781550229370</v>
      </c>
      <c r="D2187" t="str">
        <f>"9781770900981"</f>
        <v>9781770900981</v>
      </c>
      <c r="E2187" t="s">
        <v>7707</v>
      </c>
      <c r="F2187" t="s">
        <v>7707</v>
      </c>
      <c r="G2187" s="1">
        <v>40817</v>
      </c>
      <c r="J2187" t="s">
        <v>11528</v>
      </c>
      <c r="K2187" t="s">
        <v>10500</v>
      </c>
      <c r="L2187" t="s">
        <v>11529</v>
      </c>
      <c r="M2187" t="s">
        <v>1460</v>
      </c>
      <c r="N2187" t="s">
        <v>11530</v>
      </c>
      <c r="O2187" t="s">
        <v>26</v>
      </c>
      <c r="P2187">
        <v>11.95</v>
      </c>
      <c r="R2187">
        <v>11.95</v>
      </c>
      <c r="S2187">
        <v>17.93</v>
      </c>
      <c r="T2187" t="s">
        <v>11531</v>
      </c>
    </row>
    <row r="2188" spans="1:20">
      <c r="A2188">
        <v>3028712</v>
      </c>
      <c r="B2188" t="s">
        <v>11532</v>
      </c>
      <c r="C2188" t="str">
        <f>"9781770410602"</f>
        <v>9781770410602</v>
      </c>
      <c r="D2188" t="str">
        <f>"9781554907021"</f>
        <v>9781554907021</v>
      </c>
      <c r="E2188" t="s">
        <v>7707</v>
      </c>
      <c r="F2188" t="s">
        <v>7707</v>
      </c>
      <c r="G2188" s="1">
        <v>38660</v>
      </c>
      <c r="J2188" t="s">
        <v>11533</v>
      </c>
      <c r="K2188" t="s">
        <v>1150</v>
      </c>
      <c r="L2188" t="s">
        <v>11534</v>
      </c>
      <c r="M2188" t="s">
        <v>11535</v>
      </c>
      <c r="N2188" t="s">
        <v>11536</v>
      </c>
      <c r="O2188" t="s">
        <v>26</v>
      </c>
      <c r="P2188">
        <v>10.95</v>
      </c>
      <c r="R2188">
        <v>10.95</v>
      </c>
      <c r="S2188">
        <v>16.43</v>
      </c>
      <c r="T2188" t="s">
        <v>11537</v>
      </c>
    </row>
    <row r="2189" spans="1:20">
      <c r="A2189">
        <v>3028715</v>
      </c>
      <c r="B2189" t="s">
        <v>11538</v>
      </c>
      <c r="C2189" t="str">
        <f>""</f>
        <v/>
      </c>
      <c r="D2189" t="str">
        <f>"9781770901384"</f>
        <v>9781770901384</v>
      </c>
      <c r="E2189" t="s">
        <v>7707</v>
      </c>
      <c r="F2189" t="s">
        <v>7707</v>
      </c>
      <c r="G2189" s="1">
        <v>40664</v>
      </c>
      <c r="J2189" t="s">
        <v>11011</v>
      </c>
      <c r="K2189" t="s">
        <v>1471</v>
      </c>
      <c r="L2189" t="s">
        <v>11539</v>
      </c>
      <c r="N2189" t="s">
        <v>11540</v>
      </c>
      <c r="O2189" t="s">
        <v>26</v>
      </c>
      <c r="P2189">
        <v>13.95</v>
      </c>
      <c r="R2189">
        <v>13.95</v>
      </c>
      <c r="S2189">
        <v>20.93</v>
      </c>
      <c r="T2189" t="s">
        <v>11541</v>
      </c>
    </row>
    <row r="2190" spans="1:20">
      <c r="A2190">
        <v>3028717</v>
      </c>
      <c r="B2190" t="s">
        <v>11542</v>
      </c>
      <c r="C2190" t="str">
        <f>""</f>
        <v/>
      </c>
      <c r="D2190" t="str">
        <f>"9781770900233"</f>
        <v>9781770900233</v>
      </c>
      <c r="E2190" t="s">
        <v>7707</v>
      </c>
      <c r="F2190" t="s">
        <v>7707</v>
      </c>
      <c r="G2190" s="1">
        <v>40787</v>
      </c>
      <c r="J2190" t="s">
        <v>11543</v>
      </c>
      <c r="K2190" t="s">
        <v>1464</v>
      </c>
      <c r="L2190" t="s">
        <v>11544</v>
      </c>
      <c r="N2190" t="s">
        <v>8315</v>
      </c>
      <c r="O2190" t="s">
        <v>26</v>
      </c>
      <c r="P2190">
        <v>9.9499999999999993</v>
      </c>
      <c r="R2190">
        <v>9.9499999999999993</v>
      </c>
      <c r="S2190">
        <v>14.93</v>
      </c>
      <c r="T2190" t="s">
        <v>11545</v>
      </c>
    </row>
    <row r="2191" spans="1:20">
      <c r="A2191">
        <v>3028732</v>
      </c>
      <c r="B2191" t="s">
        <v>11546</v>
      </c>
      <c r="C2191" t="str">
        <f>""</f>
        <v/>
      </c>
      <c r="D2191" t="str">
        <f>"9781770901353"</f>
        <v>9781770901353</v>
      </c>
      <c r="E2191" t="s">
        <v>7707</v>
      </c>
      <c r="F2191" t="s">
        <v>7707</v>
      </c>
      <c r="G2191" s="1">
        <v>40664</v>
      </c>
      <c r="J2191" t="s">
        <v>11547</v>
      </c>
      <c r="K2191" t="s">
        <v>1464</v>
      </c>
      <c r="L2191" t="s">
        <v>11548</v>
      </c>
      <c r="N2191" t="s">
        <v>11549</v>
      </c>
      <c r="O2191" t="s">
        <v>26</v>
      </c>
      <c r="P2191">
        <v>19.95</v>
      </c>
      <c r="R2191">
        <v>19.95</v>
      </c>
      <c r="S2191">
        <v>29.93</v>
      </c>
      <c r="T2191" t="s">
        <v>11550</v>
      </c>
    </row>
    <row r="2192" spans="1:20">
      <c r="A2192">
        <v>3028737</v>
      </c>
      <c r="B2192" t="s">
        <v>11551</v>
      </c>
      <c r="C2192" t="str">
        <f>"9781552450437"</f>
        <v>9781552450437</v>
      </c>
      <c r="D2192" t="str">
        <f>"9781770560703"</f>
        <v>9781770560703</v>
      </c>
      <c r="E2192" t="s">
        <v>7779</v>
      </c>
      <c r="F2192" t="s">
        <v>7779</v>
      </c>
      <c r="G2192" s="1">
        <v>34352</v>
      </c>
      <c r="J2192" t="s">
        <v>11552</v>
      </c>
      <c r="K2192" t="s">
        <v>1464</v>
      </c>
      <c r="L2192" t="s">
        <v>11553</v>
      </c>
      <c r="N2192" t="s">
        <v>7851</v>
      </c>
      <c r="O2192" t="s">
        <v>26</v>
      </c>
      <c r="P2192">
        <v>14.95</v>
      </c>
      <c r="R2192">
        <v>14.95</v>
      </c>
      <c r="S2192">
        <v>22.43</v>
      </c>
      <c r="T2192" t="s">
        <v>11554</v>
      </c>
    </row>
    <row r="2193" spans="1:20">
      <c r="A2193">
        <v>3028739</v>
      </c>
      <c r="B2193" t="s">
        <v>11555</v>
      </c>
      <c r="C2193" t="str">
        <f>"9781552452165"</f>
        <v>9781552452165</v>
      </c>
      <c r="D2193" t="str">
        <f>"9781770560550"</f>
        <v>9781770560550</v>
      </c>
      <c r="E2193" t="s">
        <v>7779</v>
      </c>
      <c r="F2193" t="s">
        <v>7779</v>
      </c>
      <c r="G2193" s="1">
        <v>38456</v>
      </c>
      <c r="J2193" t="s">
        <v>8059</v>
      </c>
      <c r="K2193" t="s">
        <v>1464</v>
      </c>
      <c r="L2193" t="s">
        <v>11556</v>
      </c>
      <c r="M2193" t="s">
        <v>2738</v>
      </c>
      <c r="N2193" t="s">
        <v>7851</v>
      </c>
      <c r="O2193" t="s">
        <v>26</v>
      </c>
      <c r="P2193">
        <v>13.95</v>
      </c>
      <c r="R2193">
        <v>13.95</v>
      </c>
      <c r="S2193">
        <v>20.93</v>
      </c>
      <c r="T2193" t="s">
        <v>11557</v>
      </c>
    </row>
    <row r="2194" spans="1:20">
      <c r="A2194">
        <v>3028742</v>
      </c>
      <c r="B2194" t="s">
        <v>11558</v>
      </c>
      <c r="C2194" t="str">
        <f>""</f>
        <v/>
      </c>
      <c r="D2194" t="str">
        <f>"9781770901490"</f>
        <v>9781770901490</v>
      </c>
      <c r="E2194" t="s">
        <v>7707</v>
      </c>
      <c r="F2194" t="s">
        <v>7707</v>
      </c>
      <c r="G2194" s="1">
        <v>40817</v>
      </c>
      <c r="J2194" t="s">
        <v>11062</v>
      </c>
      <c r="K2194" t="s">
        <v>1464</v>
      </c>
      <c r="L2194" t="s">
        <v>11559</v>
      </c>
      <c r="N2194" t="s">
        <v>11560</v>
      </c>
      <c r="O2194" t="s">
        <v>26</v>
      </c>
      <c r="P2194">
        <v>9.9499999999999993</v>
      </c>
      <c r="R2194">
        <v>9.9499999999999993</v>
      </c>
      <c r="S2194">
        <v>14.93</v>
      </c>
      <c r="T2194" t="s">
        <v>11561</v>
      </c>
    </row>
    <row r="2195" spans="1:20">
      <c r="A2195">
        <v>3028743</v>
      </c>
      <c r="B2195" t="s">
        <v>11562</v>
      </c>
      <c r="C2195" t="str">
        <f>""</f>
        <v/>
      </c>
      <c r="D2195" t="str">
        <f>"9781770901742"</f>
        <v>9781770901742</v>
      </c>
      <c r="E2195" t="s">
        <v>7707</v>
      </c>
      <c r="F2195" t="s">
        <v>7707</v>
      </c>
      <c r="G2195" s="1">
        <v>40848</v>
      </c>
      <c r="J2195" t="s">
        <v>11563</v>
      </c>
      <c r="K2195" t="s">
        <v>1464</v>
      </c>
      <c r="L2195" t="s">
        <v>11564</v>
      </c>
      <c r="N2195" t="s">
        <v>7811</v>
      </c>
      <c r="O2195" t="s">
        <v>26</v>
      </c>
      <c r="P2195">
        <v>19.95</v>
      </c>
      <c r="R2195">
        <v>19.95</v>
      </c>
      <c r="S2195">
        <v>29.93</v>
      </c>
      <c r="T2195" t="s">
        <v>11565</v>
      </c>
    </row>
    <row r="2196" spans="1:20">
      <c r="A2196">
        <v>3028747</v>
      </c>
      <c r="B2196" t="s">
        <v>11566</v>
      </c>
      <c r="C2196" t="str">
        <f>""</f>
        <v/>
      </c>
      <c r="D2196" t="str">
        <f>"9781770901773"</f>
        <v>9781770901773</v>
      </c>
      <c r="E2196" t="s">
        <v>7707</v>
      </c>
      <c r="F2196" t="s">
        <v>7707</v>
      </c>
      <c r="G2196" s="1">
        <v>40848</v>
      </c>
      <c r="J2196" t="s">
        <v>11179</v>
      </c>
      <c r="K2196" t="s">
        <v>1464</v>
      </c>
      <c r="L2196" t="s">
        <v>11567</v>
      </c>
      <c r="N2196" t="s">
        <v>7811</v>
      </c>
      <c r="O2196" t="s">
        <v>26</v>
      </c>
      <c r="P2196">
        <v>19.95</v>
      </c>
      <c r="R2196">
        <v>19.95</v>
      </c>
      <c r="S2196">
        <v>29.93</v>
      </c>
      <c r="T2196" t="s">
        <v>11568</v>
      </c>
    </row>
    <row r="2197" spans="1:20">
      <c r="A2197">
        <v>3028748</v>
      </c>
      <c r="B2197" t="s">
        <v>11569</v>
      </c>
      <c r="C2197" t="str">
        <f>""</f>
        <v/>
      </c>
      <c r="D2197" t="str">
        <f>"9781770901803"</f>
        <v>9781770901803</v>
      </c>
      <c r="E2197" t="s">
        <v>7707</v>
      </c>
      <c r="F2197" t="s">
        <v>7707</v>
      </c>
      <c r="G2197" s="1">
        <v>40848</v>
      </c>
      <c r="J2197" t="s">
        <v>11385</v>
      </c>
      <c r="K2197" t="s">
        <v>1464</v>
      </c>
      <c r="L2197" t="s">
        <v>11570</v>
      </c>
      <c r="N2197" t="s">
        <v>7811</v>
      </c>
      <c r="O2197" t="s">
        <v>26</v>
      </c>
      <c r="P2197">
        <v>19.95</v>
      </c>
      <c r="R2197">
        <v>19.95</v>
      </c>
      <c r="S2197">
        <v>29.93</v>
      </c>
      <c r="T2197" t="s">
        <v>11571</v>
      </c>
    </row>
    <row r="2198" spans="1:20">
      <c r="A2198">
        <v>3028762</v>
      </c>
      <c r="B2198" t="s">
        <v>11572</v>
      </c>
      <c r="C2198" t="str">
        <f>"9781550229325"</f>
        <v>9781550229325</v>
      </c>
      <c r="D2198" t="str">
        <f>"9781554909322"</f>
        <v>9781554909322</v>
      </c>
      <c r="E2198" t="s">
        <v>7707</v>
      </c>
      <c r="F2198" t="s">
        <v>7707</v>
      </c>
      <c r="G2198" s="1">
        <v>40269</v>
      </c>
      <c r="J2198" t="s">
        <v>11573</v>
      </c>
      <c r="K2198" t="s">
        <v>1471</v>
      </c>
      <c r="L2198" t="s">
        <v>11574</v>
      </c>
      <c r="M2198">
        <v>782.42166092000002</v>
      </c>
      <c r="N2198" t="s">
        <v>11575</v>
      </c>
      <c r="O2198" t="s">
        <v>26</v>
      </c>
      <c r="P2198">
        <v>13.95</v>
      </c>
      <c r="R2198">
        <v>13.95</v>
      </c>
      <c r="S2198">
        <v>20.93</v>
      </c>
      <c r="T2198" t="s">
        <v>11576</v>
      </c>
    </row>
    <row r="2199" spans="1:20">
      <c r="A2199">
        <v>3028784</v>
      </c>
      <c r="B2199" t="s">
        <v>11577</v>
      </c>
      <c r="C2199" t="str">
        <f>"9781553655336"</f>
        <v>9781553655336</v>
      </c>
      <c r="D2199" t="str">
        <f>"9781553659136"</f>
        <v>9781553659136</v>
      </c>
      <c r="E2199" t="s">
        <v>3030</v>
      </c>
      <c r="F2199" t="s">
        <v>3030</v>
      </c>
      <c r="G2199" s="1">
        <v>40558</v>
      </c>
      <c r="J2199" t="s">
        <v>11578</v>
      </c>
      <c r="K2199" t="s">
        <v>263</v>
      </c>
      <c r="M2199" t="s">
        <v>11579</v>
      </c>
      <c r="O2199" t="s">
        <v>26</v>
      </c>
      <c r="P2199">
        <v>16.95</v>
      </c>
      <c r="R2199">
        <v>16.95</v>
      </c>
      <c r="S2199">
        <v>25.43</v>
      </c>
      <c r="T2199" t="s">
        <v>11580</v>
      </c>
    </row>
    <row r="2200" spans="1:20">
      <c r="A2200">
        <v>3028807</v>
      </c>
      <c r="B2200" t="s">
        <v>11581</v>
      </c>
      <c r="C2200" t="str">
        <f>""</f>
        <v/>
      </c>
      <c r="D2200" t="str">
        <f>"9781770903258"</f>
        <v>9781770903258</v>
      </c>
      <c r="E2200" t="s">
        <v>7707</v>
      </c>
      <c r="F2200" t="s">
        <v>7707</v>
      </c>
      <c r="G2200" s="1">
        <v>41000</v>
      </c>
      <c r="J2200" t="s">
        <v>10995</v>
      </c>
      <c r="K2200" t="s">
        <v>1464</v>
      </c>
      <c r="L2200" t="s">
        <v>11582</v>
      </c>
      <c r="N2200" t="s">
        <v>11583</v>
      </c>
      <c r="O2200" t="s">
        <v>26</v>
      </c>
      <c r="P2200">
        <v>13.95</v>
      </c>
      <c r="R2200">
        <v>13.95</v>
      </c>
      <c r="S2200">
        <v>20.93</v>
      </c>
      <c r="T2200" t="s">
        <v>11584</v>
      </c>
    </row>
    <row r="2201" spans="1:20">
      <c r="A2201">
        <v>3028811</v>
      </c>
      <c r="B2201" t="s">
        <v>11585</v>
      </c>
      <c r="C2201" t="str">
        <f>"9781770410473"</f>
        <v>9781770410473</v>
      </c>
      <c r="D2201" t="str">
        <f>"9781770902411"</f>
        <v>9781770902411</v>
      </c>
      <c r="E2201" t="s">
        <v>7707</v>
      </c>
      <c r="F2201" t="s">
        <v>7707</v>
      </c>
      <c r="G2201" s="1">
        <v>41000</v>
      </c>
      <c r="I2201" t="s">
        <v>11586</v>
      </c>
      <c r="J2201" t="s">
        <v>11400</v>
      </c>
      <c r="K2201" t="s">
        <v>1464</v>
      </c>
      <c r="L2201" t="s">
        <v>11587</v>
      </c>
      <c r="N2201" t="s">
        <v>11588</v>
      </c>
      <c r="O2201" t="s">
        <v>26</v>
      </c>
      <c r="P2201">
        <v>12.95</v>
      </c>
      <c r="R2201">
        <v>12.95</v>
      </c>
      <c r="S2201">
        <v>19.43</v>
      </c>
      <c r="T2201" t="s">
        <v>11589</v>
      </c>
    </row>
    <row r="2202" spans="1:20">
      <c r="A2202">
        <v>3028813</v>
      </c>
      <c r="B2202" t="s">
        <v>11590</v>
      </c>
      <c r="C2202" t="str">
        <f>"9781770901131"</f>
        <v>9781770901131</v>
      </c>
      <c r="D2202" t="str">
        <f>"9781770901124"</f>
        <v>9781770901124</v>
      </c>
      <c r="E2202" t="s">
        <v>7707</v>
      </c>
      <c r="F2202" t="s">
        <v>11591</v>
      </c>
      <c r="G2202" s="1">
        <v>41000</v>
      </c>
      <c r="J2202" t="s">
        <v>10151</v>
      </c>
      <c r="K2202" t="s">
        <v>1464</v>
      </c>
      <c r="L2202" t="s">
        <v>11592</v>
      </c>
      <c r="N2202" t="s">
        <v>11593</v>
      </c>
      <c r="O2202" t="s">
        <v>26</v>
      </c>
      <c r="P2202">
        <v>9.9499999999999993</v>
      </c>
      <c r="R2202">
        <v>9.9499999999999993</v>
      </c>
      <c r="S2202">
        <v>14.93</v>
      </c>
      <c r="T2202" t="s">
        <v>11594</v>
      </c>
    </row>
    <row r="2203" spans="1:20">
      <c r="A2203">
        <v>3028834</v>
      </c>
      <c r="B2203" t="s">
        <v>11595</v>
      </c>
      <c r="C2203" t="str">
        <f>"9781770410305"</f>
        <v>9781770410305</v>
      </c>
      <c r="D2203" t="str">
        <f>"9781770902237"</f>
        <v>9781770902237</v>
      </c>
      <c r="E2203" t="s">
        <v>7707</v>
      </c>
      <c r="F2203" t="s">
        <v>7707</v>
      </c>
      <c r="G2203" s="1">
        <v>41030</v>
      </c>
      <c r="J2203" t="s">
        <v>11596</v>
      </c>
      <c r="K2203" t="s">
        <v>1150</v>
      </c>
      <c r="L2203" t="s">
        <v>11597</v>
      </c>
      <c r="M2203">
        <v>796.81209200000001</v>
      </c>
      <c r="N2203" t="s">
        <v>11598</v>
      </c>
      <c r="O2203" t="s">
        <v>26</v>
      </c>
      <c r="P2203">
        <v>14.95</v>
      </c>
      <c r="R2203">
        <v>14.95</v>
      </c>
      <c r="S2203">
        <v>22.43</v>
      </c>
      <c r="T2203" t="s">
        <v>11599</v>
      </c>
    </row>
    <row r="2204" spans="1:20">
      <c r="A2204">
        <v>3028853</v>
      </c>
      <c r="B2204" t="s">
        <v>11600</v>
      </c>
      <c r="C2204" t="str">
        <f>"9781550224078"</f>
        <v>9781550224078</v>
      </c>
      <c r="D2204" t="str">
        <f>"9781554904075"</f>
        <v>9781554904075</v>
      </c>
      <c r="E2204" t="s">
        <v>7707</v>
      </c>
      <c r="F2204" t="s">
        <v>7707</v>
      </c>
      <c r="G2204" s="1">
        <v>37226</v>
      </c>
      <c r="J2204" t="s">
        <v>11601</v>
      </c>
      <c r="K2204" t="s">
        <v>1471</v>
      </c>
      <c r="L2204" t="s">
        <v>11602</v>
      </c>
      <c r="M2204" t="s">
        <v>11603</v>
      </c>
      <c r="N2204" t="s">
        <v>11604</v>
      </c>
      <c r="O2204" t="s">
        <v>26</v>
      </c>
      <c r="P2204">
        <v>10.95</v>
      </c>
      <c r="R2204">
        <v>10.95</v>
      </c>
      <c r="S2204">
        <v>16.43</v>
      </c>
      <c r="T2204" t="s">
        <v>11605</v>
      </c>
    </row>
    <row r="2205" spans="1:20">
      <c r="A2205">
        <v>3028864</v>
      </c>
      <c r="B2205" t="s">
        <v>11606</v>
      </c>
      <c r="C2205" t="str">
        <f>"9781770410343"</f>
        <v>9781770410343</v>
      </c>
      <c r="D2205" t="str">
        <f>"9781554908981"</f>
        <v>9781554908981</v>
      </c>
      <c r="E2205" t="s">
        <v>7707</v>
      </c>
      <c r="F2205" t="s">
        <v>7707</v>
      </c>
      <c r="G2205" s="1">
        <v>40057</v>
      </c>
      <c r="I2205" t="s">
        <v>11607</v>
      </c>
      <c r="J2205" t="s">
        <v>1565</v>
      </c>
      <c r="K2205" t="s">
        <v>1464</v>
      </c>
      <c r="L2205" t="s">
        <v>11608</v>
      </c>
      <c r="N2205" t="s">
        <v>11609</v>
      </c>
      <c r="O2205" t="s">
        <v>26</v>
      </c>
      <c r="P2205">
        <v>10.99</v>
      </c>
      <c r="R2205">
        <v>10.99</v>
      </c>
      <c r="S2205">
        <v>16.489999999999998</v>
      </c>
      <c r="T2205" t="s">
        <v>11610</v>
      </c>
    </row>
    <row r="2206" spans="1:20">
      <c r="A2206">
        <v>3028868</v>
      </c>
      <c r="B2206" t="s">
        <v>11611</v>
      </c>
      <c r="C2206" t="str">
        <f>"9781770410527"</f>
        <v>9781770410527</v>
      </c>
      <c r="D2206" t="str">
        <f>"9781770900479"</f>
        <v>9781770900479</v>
      </c>
      <c r="E2206" t="s">
        <v>7707</v>
      </c>
      <c r="F2206" t="s">
        <v>7707</v>
      </c>
      <c r="G2206" s="1">
        <v>40817</v>
      </c>
      <c r="J2206" t="s">
        <v>11612</v>
      </c>
      <c r="K2206" t="s">
        <v>1471</v>
      </c>
      <c r="L2206" t="s">
        <v>11613</v>
      </c>
      <c r="N2206" t="s">
        <v>11614</v>
      </c>
      <c r="O2206" t="s">
        <v>26</v>
      </c>
      <c r="P2206">
        <v>13.95</v>
      </c>
      <c r="R2206">
        <v>13.95</v>
      </c>
      <c r="S2206">
        <v>20.93</v>
      </c>
      <c r="T2206" t="s">
        <v>11615</v>
      </c>
    </row>
    <row r="2207" spans="1:20">
      <c r="A2207">
        <v>3028885</v>
      </c>
      <c r="B2207" t="s">
        <v>11616</v>
      </c>
      <c r="C2207" t="str">
        <f>"9781550228816"</f>
        <v>9781550228816</v>
      </c>
      <c r="D2207" t="str">
        <f>"9781554908813"</f>
        <v>9781554908813</v>
      </c>
      <c r="E2207" t="s">
        <v>7707</v>
      </c>
      <c r="F2207" t="s">
        <v>7707</v>
      </c>
      <c r="G2207" s="1">
        <v>39873</v>
      </c>
      <c r="J2207" t="s">
        <v>11518</v>
      </c>
      <c r="K2207" t="s">
        <v>1464</v>
      </c>
      <c r="L2207" t="s">
        <v>11617</v>
      </c>
      <c r="M2207" t="s">
        <v>1460</v>
      </c>
      <c r="N2207" t="s">
        <v>11618</v>
      </c>
      <c r="O2207" t="s">
        <v>26</v>
      </c>
      <c r="P2207">
        <v>13.95</v>
      </c>
      <c r="R2207">
        <v>13.95</v>
      </c>
      <c r="S2207">
        <v>20.93</v>
      </c>
      <c r="T2207" t="s">
        <v>11619</v>
      </c>
    </row>
    <row r="2208" spans="1:20">
      <c r="A2208">
        <v>3028912</v>
      </c>
      <c r="B2208" t="s">
        <v>11620</v>
      </c>
      <c r="C2208" t="str">
        <f>"9781770411210"</f>
        <v>9781770411210</v>
      </c>
      <c r="D2208" t="str">
        <f>"9781770903364"</f>
        <v>9781770903364</v>
      </c>
      <c r="E2208" t="s">
        <v>7707</v>
      </c>
      <c r="F2208" t="s">
        <v>7707</v>
      </c>
      <c r="G2208" s="1">
        <v>41153</v>
      </c>
      <c r="J2208" t="s">
        <v>11621</v>
      </c>
      <c r="K2208" t="s">
        <v>1464</v>
      </c>
      <c r="L2208" t="s">
        <v>11622</v>
      </c>
      <c r="M2208">
        <v>813.6</v>
      </c>
      <c r="N2208" t="s">
        <v>11623</v>
      </c>
      <c r="O2208" t="s">
        <v>26</v>
      </c>
      <c r="P2208">
        <v>15.99</v>
      </c>
      <c r="R2208">
        <v>15.99</v>
      </c>
      <c r="S2208">
        <v>23.99</v>
      </c>
      <c r="T2208" t="s">
        <v>11624</v>
      </c>
    </row>
    <row r="2209" spans="1:20">
      <c r="A2209">
        <v>3028921</v>
      </c>
      <c r="B2209" t="s">
        <v>11625</v>
      </c>
      <c r="C2209" t="str">
        <f>"9781550225426"</f>
        <v>9781550225426</v>
      </c>
      <c r="D2209" t="str">
        <f>"9781554905423"</f>
        <v>9781554905423</v>
      </c>
      <c r="E2209" t="s">
        <v>7707</v>
      </c>
      <c r="F2209" t="s">
        <v>7707</v>
      </c>
      <c r="G2209" s="1">
        <v>37530</v>
      </c>
      <c r="J2209" t="s">
        <v>9819</v>
      </c>
      <c r="K2209" t="s">
        <v>1464</v>
      </c>
      <c r="L2209" t="s">
        <v>11626</v>
      </c>
      <c r="M2209" t="s">
        <v>1460</v>
      </c>
      <c r="N2209" t="s">
        <v>11627</v>
      </c>
      <c r="O2209" t="s">
        <v>26</v>
      </c>
      <c r="P2209">
        <v>11.95</v>
      </c>
      <c r="R2209">
        <v>11.95</v>
      </c>
      <c r="S2209">
        <v>17.93</v>
      </c>
      <c r="T2209" t="s">
        <v>11628</v>
      </c>
    </row>
    <row r="2210" spans="1:20">
      <c r="A2210">
        <v>3028922</v>
      </c>
      <c r="B2210" t="s">
        <v>11629</v>
      </c>
      <c r="C2210" t="str">
        <f>"9781550226768"</f>
        <v>9781550226768</v>
      </c>
      <c r="D2210" t="str">
        <f>"9781554906765"</f>
        <v>9781554906765</v>
      </c>
      <c r="E2210" t="s">
        <v>7707</v>
      </c>
      <c r="F2210" t="s">
        <v>7707</v>
      </c>
      <c r="G2210" s="1">
        <v>38359</v>
      </c>
      <c r="J2210" t="s">
        <v>11630</v>
      </c>
      <c r="K2210" t="s">
        <v>1471</v>
      </c>
      <c r="L2210" t="s">
        <v>11631</v>
      </c>
      <c r="N2210" t="s">
        <v>11632</v>
      </c>
      <c r="O2210" t="s">
        <v>26</v>
      </c>
      <c r="P2210">
        <v>11.95</v>
      </c>
      <c r="R2210">
        <v>11.95</v>
      </c>
      <c r="S2210">
        <v>17.93</v>
      </c>
      <c r="T2210" t="s">
        <v>11633</v>
      </c>
    </row>
    <row r="2211" spans="1:20">
      <c r="A2211">
        <v>3028923</v>
      </c>
      <c r="B2211" t="s">
        <v>11634</v>
      </c>
      <c r="C2211" t="str">
        <f>"9781550228328"</f>
        <v>9781550228328</v>
      </c>
      <c r="D2211" t="str">
        <f>"9781554908325"</f>
        <v>9781554908325</v>
      </c>
      <c r="E2211" t="s">
        <v>7707</v>
      </c>
      <c r="F2211" t="s">
        <v>7707</v>
      </c>
      <c r="G2211" s="1">
        <v>39479</v>
      </c>
      <c r="J2211" t="s">
        <v>7707</v>
      </c>
      <c r="K2211" t="s">
        <v>1464</v>
      </c>
      <c r="L2211" t="s">
        <v>11635</v>
      </c>
      <c r="M2211" t="s">
        <v>11636</v>
      </c>
      <c r="N2211" t="s">
        <v>11637</v>
      </c>
      <c r="O2211" t="s">
        <v>26</v>
      </c>
      <c r="P2211">
        <v>13.95</v>
      </c>
      <c r="R2211">
        <v>13.95</v>
      </c>
      <c r="S2211">
        <v>20.93</v>
      </c>
      <c r="T2211" t="s">
        <v>11638</v>
      </c>
    </row>
    <row r="2212" spans="1:20">
      <c r="A2212">
        <v>3028925</v>
      </c>
      <c r="B2212" t="s">
        <v>11639</v>
      </c>
      <c r="C2212" t="str">
        <f>"9781550227086"</f>
        <v>9781550227086</v>
      </c>
      <c r="D2212" t="str">
        <f>"9781554907083"</f>
        <v>9781554907083</v>
      </c>
      <c r="E2212" t="s">
        <v>7707</v>
      </c>
      <c r="F2212" t="s">
        <v>7707</v>
      </c>
      <c r="G2212" s="1">
        <v>38777</v>
      </c>
      <c r="J2212" t="s">
        <v>11640</v>
      </c>
      <c r="K2212" t="s">
        <v>1150</v>
      </c>
      <c r="L2212" t="s">
        <v>11641</v>
      </c>
      <c r="N2212" t="s">
        <v>11642</v>
      </c>
      <c r="O2212" t="s">
        <v>26</v>
      </c>
      <c r="P2212">
        <v>11.95</v>
      </c>
      <c r="R2212">
        <v>11.95</v>
      </c>
      <c r="S2212">
        <v>17.93</v>
      </c>
      <c r="T2212" t="s">
        <v>11643</v>
      </c>
    </row>
    <row r="2213" spans="1:20">
      <c r="A2213">
        <v>3028926</v>
      </c>
      <c r="B2213" t="s">
        <v>11644</v>
      </c>
      <c r="C2213" t="str">
        <f>"9781550228038"</f>
        <v>9781550228038</v>
      </c>
      <c r="D2213" t="str">
        <f>"9781554908035"</f>
        <v>9781554908035</v>
      </c>
      <c r="E2213" t="s">
        <v>7707</v>
      </c>
      <c r="F2213" t="s">
        <v>7707</v>
      </c>
      <c r="G2213" s="1">
        <v>39386</v>
      </c>
      <c r="J2213" t="s">
        <v>11645</v>
      </c>
      <c r="K2213" t="s">
        <v>1471</v>
      </c>
      <c r="L2213" t="s">
        <v>11646</v>
      </c>
      <c r="M2213" t="s">
        <v>11647</v>
      </c>
      <c r="N2213" t="s">
        <v>11648</v>
      </c>
      <c r="O2213" t="s">
        <v>26</v>
      </c>
      <c r="P2213">
        <v>10.95</v>
      </c>
      <c r="R2213">
        <v>10.95</v>
      </c>
      <c r="S2213">
        <v>16.43</v>
      </c>
      <c r="T2213" t="s">
        <v>11649</v>
      </c>
    </row>
    <row r="2214" spans="1:20">
      <c r="A2214">
        <v>3028928</v>
      </c>
      <c r="B2214" t="s">
        <v>11650</v>
      </c>
      <c r="C2214" t="str">
        <f>"9781550229608"</f>
        <v>9781550229608</v>
      </c>
      <c r="D2214" t="str">
        <f>"9781770900592"</f>
        <v>9781770900592</v>
      </c>
      <c r="E2214" t="s">
        <v>7707</v>
      </c>
      <c r="F2214" t="s">
        <v>7707</v>
      </c>
      <c r="G2214" s="1">
        <v>40940</v>
      </c>
      <c r="J2214" t="s">
        <v>11651</v>
      </c>
      <c r="K2214" t="s">
        <v>1471</v>
      </c>
      <c r="L2214" t="s">
        <v>11652</v>
      </c>
      <c r="N2214" t="s">
        <v>11653</v>
      </c>
      <c r="O2214" t="s">
        <v>26</v>
      </c>
      <c r="P2214">
        <v>22.95</v>
      </c>
      <c r="R2214">
        <v>22.95</v>
      </c>
      <c r="S2214">
        <v>34.43</v>
      </c>
      <c r="T2214" t="s">
        <v>11654</v>
      </c>
    </row>
    <row r="2215" spans="1:20">
      <c r="A2215">
        <v>3028932</v>
      </c>
      <c r="B2215" t="s">
        <v>11655</v>
      </c>
      <c r="C2215" t="str">
        <f>"9781550229998"</f>
        <v>9781550229998</v>
      </c>
      <c r="D2215" t="str">
        <f>"9781770902503"</f>
        <v>9781770902503</v>
      </c>
      <c r="E2215" t="s">
        <v>7707</v>
      </c>
      <c r="F2215" t="s">
        <v>7707</v>
      </c>
      <c r="G2215" s="1">
        <v>41183</v>
      </c>
      <c r="I2215" t="s">
        <v>11656</v>
      </c>
      <c r="J2215" t="s">
        <v>11385</v>
      </c>
      <c r="K2215" t="s">
        <v>1464</v>
      </c>
      <c r="L2215" t="s">
        <v>11657</v>
      </c>
      <c r="N2215" t="s">
        <v>11658</v>
      </c>
      <c r="O2215" t="s">
        <v>26</v>
      </c>
      <c r="P2215">
        <v>10.95</v>
      </c>
      <c r="R2215">
        <v>10.95</v>
      </c>
      <c r="S2215">
        <v>16.43</v>
      </c>
      <c r="T2215" t="s">
        <v>11659</v>
      </c>
    </row>
    <row r="2216" spans="1:20">
      <c r="A2216">
        <v>3028936</v>
      </c>
      <c r="B2216" t="s">
        <v>11660</v>
      </c>
      <c r="C2216" t="str">
        <f>"9781770410060"</f>
        <v>9781770410060</v>
      </c>
      <c r="D2216" t="str">
        <f>"9781770902565"</f>
        <v>9781770902565</v>
      </c>
      <c r="E2216" t="s">
        <v>7707</v>
      </c>
      <c r="F2216" t="s">
        <v>7707</v>
      </c>
      <c r="G2216" s="1">
        <v>41183</v>
      </c>
      <c r="I2216" t="s">
        <v>11661</v>
      </c>
      <c r="J2216" t="s">
        <v>11662</v>
      </c>
      <c r="K2216" t="s">
        <v>1464</v>
      </c>
      <c r="L2216" t="s">
        <v>11663</v>
      </c>
      <c r="N2216" t="s">
        <v>5451</v>
      </c>
      <c r="O2216" t="s">
        <v>26</v>
      </c>
      <c r="P2216">
        <v>10.95</v>
      </c>
      <c r="R2216">
        <v>10.95</v>
      </c>
      <c r="S2216">
        <v>16.43</v>
      </c>
      <c r="T2216" t="s">
        <v>11664</v>
      </c>
    </row>
    <row r="2217" spans="1:20">
      <c r="A2217">
        <v>3028949</v>
      </c>
      <c r="B2217" t="s">
        <v>11665</v>
      </c>
      <c r="C2217" t="str">
        <f>"9781550225679"</f>
        <v>9781550225679</v>
      </c>
      <c r="D2217" t="str">
        <f>"9781554905676"</f>
        <v>9781554905676</v>
      </c>
      <c r="E2217" t="s">
        <v>7707</v>
      </c>
      <c r="F2217" t="s">
        <v>7707</v>
      </c>
      <c r="G2217" s="1">
        <v>37917</v>
      </c>
      <c r="J2217" t="s">
        <v>11666</v>
      </c>
      <c r="K2217" t="s">
        <v>1150</v>
      </c>
      <c r="L2217" t="s">
        <v>11667</v>
      </c>
      <c r="M2217" t="s">
        <v>11668</v>
      </c>
      <c r="N2217" t="s">
        <v>11669</v>
      </c>
      <c r="O2217" t="s">
        <v>26</v>
      </c>
      <c r="P2217">
        <v>10.95</v>
      </c>
      <c r="R2217">
        <v>10.95</v>
      </c>
      <c r="S2217">
        <v>16.43</v>
      </c>
      <c r="T2217" t="s">
        <v>11670</v>
      </c>
    </row>
    <row r="2218" spans="1:20">
      <c r="A2218">
        <v>3028957</v>
      </c>
      <c r="B2218" t="s">
        <v>11671</v>
      </c>
      <c r="C2218" t="str">
        <f>"9781770410015"</f>
        <v>9781770410015</v>
      </c>
      <c r="D2218" t="str">
        <f>"9781770902534"</f>
        <v>9781770902534</v>
      </c>
      <c r="E2218" t="s">
        <v>7707</v>
      </c>
      <c r="F2218" t="s">
        <v>7707</v>
      </c>
      <c r="G2218" s="1">
        <v>41153</v>
      </c>
      <c r="J2218" t="s">
        <v>11672</v>
      </c>
      <c r="K2218" t="s">
        <v>1471</v>
      </c>
      <c r="L2218" t="s">
        <v>11673</v>
      </c>
      <c r="M2218">
        <v>782.42164909200005</v>
      </c>
      <c r="N2218" t="s">
        <v>11674</v>
      </c>
      <c r="O2218" t="s">
        <v>26</v>
      </c>
      <c r="P2218">
        <v>12.95</v>
      </c>
      <c r="R2218">
        <v>12.95</v>
      </c>
      <c r="S2218">
        <v>19.43</v>
      </c>
      <c r="T2218" t="s">
        <v>11675</v>
      </c>
    </row>
    <row r="2219" spans="1:20">
      <c r="A2219">
        <v>3028981</v>
      </c>
      <c r="B2219" t="s">
        <v>11676</v>
      </c>
      <c r="C2219" t="str">
        <f>"9781770411067"</f>
        <v>9781770411067</v>
      </c>
      <c r="D2219" t="str">
        <f>"9781770903104"</f>
        <v>9781770903104</v>
      </c>
      <c r="E2219" t="s">
        <v>7707</v>
      </c>
      <c r="F2219" t="s">
        <v>7707</v>
      </c>
      <c r="G2219" s="1">
        <v>41183</v>
      </c>
      <c r="J2219" t="s">
        <v>11677</v>
      </c>
      <c r="K2219" t="s">
        <v>1464</v>
      </c>
      <c r="L2219" t="s">
        <v>11678</v>
      </c>
      <c r="N2219" t="s">
        <v>11679</v>
      </c>
      <c r="O2219" t="s">
        <v>26</v>
      </c>
      <c r="P2219">
        <v>13.95</v>
      </c>
      <c r="R2219">
        <v>13.95</v>
      </c>
      <c r="S2219">
        <v>20.93</v>
      </c>
      <c r="T2219" t="s">
        <v>11680</v>
      </c>
    </row>
    <row r="2220" spans="1:20">
      <c r="A2220">
        <v>3028992</v>
      </c>
      <c r="B2220" t="s">
        <v>11681</v>
      </c>
      <c r="C2220" t="str">
        <f>"9781770410947"</f>
        <v>9781770410947</v>
      </c>
      <c r="D2220" t="str">
        <f>"9781770902954"</f>
        <v>9781770902954</v>
      </c>
      <c r="E2220" t="s">
        <v>7707</v>
      </c>
      <c r="F2220" t="s">
        <v>7707</v>
      </c>
      <c r="G2220" s="1">
        <v>41306</v>
      </c>
      <c r="J2220" t="s">
        <v>11682</v>
      </c>
      <c r="K2220" t="s">
        <v>1150</v>
      </c>
      <c r="L2220" t="s">
        <v>11683</v>
      </c>
      <c r="M2220" t="s">
        <v>11684</v>
      </c>
      <c r="N2220" t="s">
        <v>11685</v>
      </c>
      <c r="O2220" t="s">
        <v>26</v>
      </c>
      <c r="P2220">
        <v>14.95</v>
      </c>
      <c r="R2220">
        <v>14.95</v>
      </c>
      <c r="S2220">
        <v>22.43</v>
      </c>
      <c r="T2220" t="s">
        <v>11686</v>
      </c>
    </row>
    <row r="2221" spans="1:20">
      <c r="A2221">
        <v>3029012</v>
      </c>
      <c r="B2221" t="s">
        <v>11687</v>
      </c>
      <c r="C2221" t="str">
        <f>"9781550228250"</f>
        <v>9781550228250</v>
      </c>
      <c r="D2221" t="str">
        <f>"9781554908257"</f>
        <v>9781554908257</v>
      </c>
      <c r="E2221" t="s">
        <v>7707</v>
      </c>
      <c r="F2221" t="s">
        <v>7707</v>
      </c>
      <c r="G2221" s="1">
        <v>39753</v>
      </c>
      <c r="J2221" t="s">
        <v>11688</v>
      </c>
      <c r="K2221" t="s">
        <v>9858</v>
      </c>
      <c r="L2221" t="s">
        <v>11689</v>
      </c>
      <c r="M2221">
        <v>306.10973000000001</v>
      </c>
      <c r="N2221" t="s">
        <v>11690</v>
      </c>
      <c r="O2221" t="s">
        <v>26</v>
      </c>
      <c r="P2221">
        <v>17.989999999999998</v>
      </c>
      <c r="R2221">
        <v>17.989999999999998</v>
      </c>
      <c r="S2221">
        <v>26.99</v>
      </c>
      <c r="T2221" t="s">
        <v>11691</v>
      </c>
    </row>
    <row r="2222" spans="1:20">
      <c r="A2222">
        <v>3029034</v>
      </c>
      <c r="B2222" t="s">
        <v>11692</v>
      </c>
      <c r="C2222" t="str">
        <f>"9780889225978"</f>
        <v>9780889225978</v>
      </c>
      <c r="D2222" t="str">
        <f>"9780889228023"</f>
        <v>9780889228023</v>
      </c>
      <c r="E2222" t="s">
        <v>9493</v>
      </c>
      <c r="F2222" t="s">
        <v>9493</v>
      </c>
      <c r="G2222" s="1">
        <v>41338</v>
      </c>
      <c r="H2222">
        <v>2</v>
      </c>
      <c r="J2222" t="s">
        <v>8901</v>
      </c>
      <c r="K2222" t="s">
        <v>1464</v>
      </c>
      <c r="L2222" t="s">
        <v>11693</v>
      </c>
      <c r="M2222" t="s">
        <v>1460</v>
      </c>
      <c r="N2222" t="s">
        <v>11593</v>
      </c>
      <c r="O2222" t="s">
        <v>26</v>
      </c>
      <c r="P2222">
        <v>19.95</v>
      </c>
      <c r="R2222">
        <v>19.95</v>
      </c>
      <c r="S2222">
        <v>29.93</v>
      </c>
      <c r="T2222" t="s">
        <v>11694</v>
      </c>
    </row>
    <row r="2223" spans="1:20">
      <c r="A2223">
        <v>3029035</v>
      </c>
      <c r="B2223" t="s">
        <v>11695</v>
      </c>
      <c r="C2223" t="str">
        <f>"9780889224292"</f>
        <v>9780889224292</v>
      </c>
      <c r="D2223" t="str">
        <f>"9780889228061"</f>
        <v>9780889228061</v>
      </c>
      <c r="E2223" t="s">
        <v>9493</v>
      </c>
      <c r="F2223" t="s">
        <v>9493</v>
      </c>
      <c r="G2223" s="1">
        <v>41353</v>
      </c>
      <c r="J2223" t="s">
        <v>11696</v>
      </c>
      <c r="K2223" t="s">
        <v>1464</v>
      </c>
      <c r="L2223" t="s">
        <v>11697</v>
      </c>
      <c r="M2223" t="s">
        <v>8096</v>
      </c>
      <c r="N2223" t="s">
        <v>11698</v>
      </c>
      <c r="O2223" t="s">
        <v>26</v>
      </c>
      <c r="P2223">
        <v>13.95</v>
      </c>
      <c r="R2223">
        <v>13.95</v>
      </c>
      <c r="S2223">
        <v>20.93</v>
      </c>
      <c r="T2223" t="s">
        <v>11699</v>
      </c>
    </row>
    <row r="2224" spans="1:20">
      <c r="A2224">
        <v>3029041</v>
      </c>
      <c r="B2224" t="s">
        <v>11700</v>
      </c>
      <c r="C2224" t="str">
        <f>"9780889225206"</f>
        <v>9780889225206</v>
      </c>
      <c r="D2224" t="str">
        <f>"9780889228054"</f>
        <v>9780889228054</v>
      </c>
      <c r="E2224" t="s">
        <v>9493</v>
      </c>
      <c r="F2224" t="s">
        <v>9493</v>
      </c>
      <c r="G2224" s="1">
        <v>41353</v>
      </c>
      <c r="J2224" t="s">
        <v>11701</v>
      </c>
      <c r="K2224" t="s">
        <v>1464</v>
      </c>
      <c r="L2224" t="s">
        <v>11702</v>
      </c>
      <c r="M2224" t="s">
        <v>7820</v>
      </c>
      <c r="N2224" t="s">
        <v>11703</v>
      </c>
      <c r="O2224" t="s">
        <v>26</v>
      </c>
      <c r="P2224">
        <v>17.95</v>
      </c>
      <c r="R2224">
        <v>17.95</v>
      </c>
      <c r="S2224">
        <v>26.93</v>
      </c>
      <c r="T2224" t="s">
        <v>11704</v>
      </c>
    </row>
    <row r="2225" spans="1:20">
      <c r="A2225">
        <v>3029044</v>
      </c>
      <c r="B2225" t="s">
        <v>11705</v>
      </c>
      <c r="C2225" t="str">
        <f>"9780889226159"</f>
        <v>9780889226159</v>
      </c>
      <c r="D2225" t="str">
        <f>"9780889228047"</f>
        <v>9780889228047</v>
      </c>
      <c r="E2225" t="s">
        <v>9493</v>
      </c>
      <c r="F2225" t="s">
        <v>9493</v>
      </c>
      <c r="G2225" s="1">
        <v>41348</v>
      </c>
      <c r="J2225" t="s">
        <v>11706</v>
      </c>
      <c r="K2225" t="s">
        <v>1464</v>
      </c>
      <c r="L2225" t="s">
        <v>11707</v>
      </c>
      <c r="M2225" t="s">
        <v>1460</v>
      </c>
      <c r="N2225" t="s">
        <v>5002</v>
      </c>
      <c r="O2225" t="s">
        <v>26</v>
      </c>
      <c r="P2225">
        <v>19.95</v>
      </c>
      <c r="R2225">
        <v>19.95</v>
      </c>
      <c r="S2225">
        <v>29.93</v>
      </c>
      <c r="T2225" t="s">
        <v>11708</v>
      </c>
    </row>
    <row r="2226" spans="1:20">
      <c r="A2226">
        <v>3029072</v>
      </c>
      <c r="B2226" t="s">
        <v>11709</v>
      </c>
      <c r="C2226" t="str">
        <f>"9781770410374"</f>
        <v>9781770410374</v>
      </c>
      <c r="D2226" t="str">
        <f>"9781770902688"</f>
        <v>9781770902688</v>
      </c>
      <c r="E2226" t="s">
        <v>7707</v>
      </c>
      <c r="F2226" t="s">
        <v>7707</v>
      </c>
      <c r="G2226" s="1">
        <v>41183</v>
      </c>
      <c r="J2226" t="s">
        <v>11710</v>
      </c>
      <c r="K2226" t="s">
        <v>1150</v>
      </c>
      <c r="L2226" t="s">
        <v>11711</v>
      </c>
      <c r="M2226" t="s">
        <v>11712</v>
      </c>
      <c r="N2226" t="s">
        <v>11713</v>
      </c>
      <c r="O2226" t="s">
        <v>26</v>
      </c>
      <c r="P2226">
        <v>14.95</v>
      </c>
      <c r="R2226">
        <v>14.95</v>
      </c>
      <c r="S2226">
        <v>22.43</v>
      </c>
      <c r="T2226" t="s">
        <v>11714</v>
      </c>
    </row>
    <row r="2227" spans="1:20">
      <c r="A2227">
        <v>3029075</v>
      </c>
      <c r="B2227" t="s">
        <v>11715</v>
      </c>
      <c r="C2227" t="str">
        <f>""</f>
        <v/>
      </c>
      <c r="D2227" t="str">
        <f>"9781770903548"</f>
        <v>9781770903548</v>
      </c>
      <c r="E2227" t="s">
        <v>7707</v>
      </c>
      <c r="F2227" t="s">
        <v>7707</v>
      </c>
      <c r="G2227" s="1">
        <v>41365</v>
      </c>
      <c r="J2227" t="s">
        <v>11716</v>
      </c>
      <c r="K2227" t="s">
        <v>1471</v>
      </c>
      <c r="L2227" t="s">
        <v>11717</v>
      </c>
      <c r="M2227" t="s">
        <v>11332</v>
      </c>
      <c r="N2227" t="s">
        <v>11718</v>
      </c>
      <c r="O2227" t="s">
        <v>26</v>
      </c>
      <c r="P2227">
        <v>13.99</v>
      </c>
      <c r="R2227">
        <v>13.99</v>
      </c>
      <c r="S2227">
        <v>20.99</v>
      </c>
      <c r="T2227" t="s">
        <v>11719</v>
      </c>
    </row>
    <row r="2228" spans="1:20">
      <c r="A2228">
        <v>3029076</v>
      </c>
      <c r="B2228" t="s">
        <v>11720</v>
      </c>
      <c r="C2228" t="str">
        <f>"9781550226003"</f>
        <v>9781550226003</v>
      </c>
      <c r="D2228" t="str">
        <f>"9781554906000"</f>
        <v>9781554906000</v>
      </c>
      <c r="E2228" t="s">
        <v>7707</v>
      </c>
      <c r="F2228" t="s">
        <v>7707</v>
      </c>
      <c r="G2228" s="1">
        <v>38146</v>
      </c>
      <c r="J2228" t="s">
        <v>11288</v>
      </c>
      <c r="K2228" t="s">
        <v>1471</v>
      </c>
      <c r="L2228" t="s">
        <v>11721</v>
      </c>
      <c r="M2228">
        <v>781.66</v>
      </c>
      <c r="N2228" t="s">
        <v>11722</v>
      </c>
      <c r="O2228" t="s">
        <v>26</v>
      </c>
      <c r="P2228">
        <v>13.95</v>
      </c>
      <c r="R2228">
        <v>13.95</v>
      </c>
      <c r="S2228">
        <v>20.93</v>
      </c>
      <c r="T2228" t="s">
        <v>11723</v>
      </c>
    </row>
    <row r="2229" spans="1:20">
      <c r="A2229">
        <v>3029088</v>
      </c>
      <c r="B2229" t="s">
        <v>11724</v>
      </c>
      <c r="C2229" t="str">
        <f>""</f>
        <v/>
      </c>
      <c r="D2229" t="str">
        <f>"9781770903753"</f>
        <v>9781770903753</v>
      </c>
      <c r="E2229" t="s">
        <v>7707</v>
      </c>
      <c r="F2229" t="s">
        <v>7707</v>
      </c>
      <c r="G2229" s="1">
        <v>41426</v>
      </c>
      <c r="J2229" t="s">
        <v>11725</v>
      </c>
      <c r="K2229" t="s">
        <v>814</v>
      </c>
      <c r="L2229" t="s">
        <v>11726</v>
      </c>
      <c r="M2229" t="s">
        <v>11727</v>
      </c>
      <c r="N2229" t="s">
        <v>11728</v>
      </c>
      <c r="O2229" t="s">
        <v>26</v>
      </c>
      <c r="P2229">
        <v>6.99</v>
      </c>
      <c r="R2229">
        <v>6.99</v>
      </c>
      <c r="S2229">
        <v>10.49</v>
      </c>
      <c r="T2229" t="s">
        <v>11729</v>
      </c>
    </row>
    <row r="2230" spans="1:20">
      <c r="A2230">
        <v>3029089</v>
      </c>
      <c r="B2230" t="s">
        <v>11730</v>
      </c>
      <c r="C2230" t="str">
        <f>""</f>
        <v/>
      </c>
      <c r="D2230" t="str">
        <f>"9781770903661"</f>
        <v>9781770903661</v>
      </c>
      <c r="E2230" t="s">
        <v>7707</v>
      </c>
      <c r="F2230" t="s">
        <v>7707</v>
      </c>
      <c r="G2230" s="1">
        <v>41395</v>
      </c>
      <c r="J2230" t="s">
        <v>11731</v>
      </c>
      <c r="K2230" t="s">
        <v>1464</v>
      </c>
      <c r="L2230" t="s">
        <v>11732</v>
      </c>
      <c r="M2230" t="s">
        <v>1509</v>
      </c>
      <c r="N2230" t="s">
        <v>11733</v>
      </c>
      <c r="O2230" t="s">
        <v>26</v>
      </c>
      <c r="P2230">
        <v>10.99</v>
      </c>
      <c r="R2230">
        <v>10.99</v>
      </c>
      <c r="S2230">
        <v>16.489999999999998</v>
      </c>
      <c r="T2230" t="s">
        <v>11734</v>
      </c>
    </row>
    <row r="2231" spans="1:20">
      <c r="A2231">
        <v>3029100</v>
      </c>
      <c r="B2231" t="s">
        <v>11735</v>
      </c>
      <c r="C2231" t="str">
        <f>"9781770411517"</f>
        <v>9781770411517</v>
      </c>
      <c r="D2231" t="str">
        <f>"9781770904057"</f>
        <v>9781770904057</v>
      </c>
      <c r="E2231" t="s">
        <v>7707</v>
      </c>
      <c r="F2231" t="s">
        <v>7707</v>
      </c>
      <c r="G2231" s="1">
        <v>41426</v>
      </c>
      <c r="H2231">
        <v>2</v>
      </c>
      <c r="J2231" t="s">
        <v>11184</v>
      </c>
      <c r="K2231" t="s">
        <v>1471</v>
      </c>
      <c r="L2231" t="s">
        <v>11736</v>
      </c>
      <c r="M2231">
        <v>782.42164209199996</v>
      </c>
      <c r="N2231" t="s">
        <v>11737</v>
      </c>
      <c r="O2231" t="s">
        <v>26</v>
      </c>
      <c r="P2231">
        <v>10.99</v>
      </c>
      <c r="R2231">
        <v>10.99</v>
      </c>
      <c r="S2231">
        <v>16.489999999999998</v>
      </c>
      <c r="T2231" t="s">
        <v>11738</v>
      </c>
    </row>
    <row r="2232" spans="1:20">
      <c r="A2232">
        <v>3029180</v>
      </c>
      <c r="B2232" t="s">
        <v>11739</v>
      </c>
      <c r="C2232" t="str">
        <f>"9781770411586"</f>
        <v>9781770411586</v>
      </c>
      <c r="D2232" t="str">
        <f>"9781770904828"</f>
        <v>9781770904828</v>
      </c>
      <c r="E2232" t="s">
        <v>7707</v>
      </c>
      <c r="F2232" t="s">
        <v>7707</v>
      </c>
      <c r="G2232" s="1">
        <v>41518</v>
      </c>
      <c r="J2232" t="s">
        <v>11740</v>
      </c>
      <c r="K2232" t="s">
        <v>1150</v>
      </c>
      <c r="L2232" t="s">
        <v>11741</v>
      </c>
      <c r="M2232">
        <v>796.96209199999998</v>
      </c>
      <c r="N2232" t="s">
        <v>11742</v>
      </c>
      <c r="O2232" t="s">
        <v>26</v>
      </c>
      <c r="P2232">
        <v>10.99</v>
      </c>
      <c r="R2232">
        <v>10.99</v>
      </c>
      <c r="S2232">
        <v>16.489999999999998</v>
      </c>
      <c r="T2232" t="s">
        <v>11743</v>
      </c>
    </row>
    <row r="2233" spans="1:20">
      <c r="A2233">
        <v>3029230</v>
      </c>
      <c r="B2233" t="s">
        <v>11744</v>
      </c>
      <c r="C2233" t="str">
        <f>"9781770411333"</f>
        <v>9781770411333</v>
      </c>
      <c r="D2233" t="str">
        <f>"9781770905627"</f>
        <v>9781770905627</v>
      </c>
      <c r="E2233" t="s">
        <v>7707</v>
      </c>
      <c r="F2233" t="s">
        <v>7707</v>
      </c>
      <c r="G2233" s="1">
        <v>41800</v>
      </c>
      <c r="J2233" t="s">
        <v>11745</v>
      </c>
      <c r="K2233" t="s">
        <v>3308</v>
      </c>
      <c r="L2233" t="s">
        <v>11746</v>
      </c>
      <c r="M2233" t="s">
        <v>11747</v>
      </c>
      <c r="N2233" t="s">
        <v>11748</v>
      </c>
      <c r="O2233" t="s">
        <v>26</v>
      </c>
      <c r="P2233">
        <v>24.99</v>
      </c>
      <c r="R2233">
        <v>24.99</v>
      </c>
      <c r="S2233">
        <v>37.49</v>
      </c>
      <c r="T2233" t="s">
        <v>11749</v>
      </c>
    </row>
    <row r="2234" spans="1:20">
      <c r="A2234">
        <v>3029232</v>
      </c>
      <c r="B2234" t="s">
        <v>11750</v>
      </c>
      <c r="C2234" t="str">
        <f>"9781770411739"</f>
        <v>9781770411739</v>
      </c>
      <c r="D2234" t="str">
        <f>"9781770905658"</f>
        <v>9781770905658</v>
      </c>
      <c r="E2234" t="s">
        <v>7707</v>
      </c>
      <c r="F2234" t="s">
        <v>7707</v>
      </c>
      <c r="G2234" s="1">
        <v>41835</v>
      </c>
      <c r="J2234" t="s">
        <v>11751</v>
      </c>
      <c r="K2234" t="s">
        <v>2260</v>
      </c>
      <c r="L2234" t="s">
        <v>11752</v>
      </c>
      <c r="M2234" t="s">
        <v>11753</v>
      </c>
      <c r="N2234" t="s">
        <v>11754</v>
      </c>
      <c r="O2234" t="s">
        <v>26</v>
      </c>
      <c r="P2234">
        <v>24.99</v>
      </c>
      <c r="R2234">
        <v>24.99</v>
      </c>
      <c r="S2234">
        <v>37.49</v>
      </c>
      <c r="T2234" t="s">
        <v>11755</v>
      </c>
    </row>
    <row r="2235" spans="1:20">
      <c r="A2235">
        <v>3029241</v>
      </c>
      <c r="B2235" t="s">
        <v>11756</v>
      </c>
      <c r="C2235" t="str">
        <f>"9781770411715"</f>
        <v>9781770411715</v>
      </c>
      <c r="D2235" t="str">
        <f>"9781770905092"</f>
        <v>9781770905092</v>
      </c>
      <c r="E2235" t="s">
        <v>7707</v>
      </c>
      <c r="F2235" t="s">
        <v>7707</v>
      </c>
      <c r="G2235" s="1">
        <v>41800</v>
      </c>
      <c r="I2235" t="s">
        <v>11586</v>
      </c>
      <c r="J2235" t="s">
        <v>11400</v>
      </c>
      <c r="K2235" t="s">
        <v>1464</v>
      </c>
      <c r="L2235" t="s">
        <v>11757</v>
      </c>
      <c r="M2235" t="s">
        <v>1509</v>
      </c>
      <c r="N2235" t="s">
        <v>11758</v>
      </c>
      <c r="O2235" t="s">
        <v>26</v>
      </c>
      <c r="P2235">
        <v>9.99</v>
      </c>
      <c r="R2235">
        <v>9.99</v>
      </c>
      <c r="S2235">
        <v>14.99</v>
      </c>
      <c r="T2235" t="s">
        <v>11759</v>
      </c>
    </row>
    <row r="2236" spans="1:20">
      <c r="A2236">
        <v>3029280</v>
      </c>
      <c r="B2236" t="s">
        <v>11760</v>
      </c>
      <c r="C2236" t="str">
        <f>"9781770411494"</f>
        <v>9781770411494</v>
      </c>
      <c r="D2236" t="str">
        <f>"9781770905856"</f>
        <v>9781770905856</v>
      </c>
      <c r="E2236" t="s">
        <v>7707</v>
      </c>
      <c r="F2236" t="s">
        <v>7707</v>
      </c>
      <c r="G2236" s="1">
        <v>41891</v>
      </c>
      <c r="I2236" t="s">
        <v>11761</v>
      </c>
      <c r="J2236" t="s">
        <v>11762</v>
      </c>
      <c r="K2236" t="s">
        <v>1150</v>
      </c>
      <c r="L2236" t="s">
        <v>11763</v>
      </c>
      <c r="M2236">
        <v>796.96209220000003</v>
      </c>
      <c r="N2236" t="s">
        <v>11764</v>
      </c>
      <c r="O2236" t="s">
        <v>26</v>
      </c>
      <c r="P2236">
        <v>13.99</v>
      </c>
      <c r="R2236">
        <v>13.99</v>
      </c>
      <c r="S2236">
        <v>20.99</v>
      </c>
      <c r="T2236" t="s">
        <v>11765</v>
      </c>
    </row>
    <row r="2237" spans="1:20">
      <c r="A2237">
        <v>3029316</v>
      </c>
      <c r="B2237" t="s">
        <v>11766</v>
      </c>
      <c r="C2237" t="str">
        <f>"9780889226456"</f>
        <v>9780889226456</v>
      </c>
      <c r="D2237" t="str">
        <f>"9780889228016"</f>
        <v>9780889228016</v>
      </c>
      <c r="E2237" t="s">
        <v>9493</v>
      </c>
      <c r="F2237" t="s">
        <v>9493</v>
      </c>
      <c r="G2237" s="1">
        <v>41333</v>
      </c>
      <c r="J2237" t="s">
        <v>11767</v>
      </c>
      <c r="K2237" t="s">
        <v>1464</v>
      </c>
      <c r="L2237" t="s">
        <v>11768</v>
      </c>
      <c r="M2237" t="s">
        <v>11769</v>
      </c>
      <c r="N2237" t="s">
        <v>11770</v>
      </c>
      <c r="O2237" t="s">
        <v>26</v>
      </c>
      <c r="P2237">
        <v>17.95</v>
      </c>
      <c r="R2237">
        <v>17.95</v>
      </c>
      <c r="S2237">
        <v>26.93</v>
      </c>
      <c r="T2237" t="s">
        <v>11771</v>
      </c>
    </row>
    <row r="2238" spans="1:20">
      <c r="A2238">
        <v>3029323</v>
      </c>
      <c r="B2238" t="s">
        <v>11772</v>
      </c>
      <c r="C2238" t="str">
        <f>"9780889226937"</f>
        <v>9780889226937</v>
      </c>
      <c r="D2238" t="str">
        <f>"9780889227187"</f>
        <v>9780889227187</v>
      </c>
      <c r="E2238" t="s">
        <v>9493</v>
      </c>
      <c r="F2238" t="s">
        <v>9493</v>
      </c>
      <c r="G2238" s="1">
        <v>41219</v>
      </c>
      <c r="H2238">
        <v>2</v>
      </c>
      <c r="J2238" t="s">
        <v>11773</v>
      </c>
      <c r="K2238" t="s">
        <v>291</v>
      </c>
      <c r="L2238" t="s">
        <v>11774</v>
      </c>
      <c r="M2238" t="s">
        <v>11775</v>
      </c>
      <c r="N2238" t="s">
        <v>11776</v>
      </c>
      <c r="O2238" t="s">
        <v>26</v>
      </c>
      <c r="P2238">
        <v>24.95</v>
      </c>
      <c r="R2238">
        <v>24.95</v>
      </c>
      <c r="S2238">
        <v>37.43</v>
      </c>
      <c r="T2238" t="s">
        <v>11777</v>
      </c>
    </row>
    <row r="2239" spans="1:20">
      <c r="A2239">
        <v>3029329</v>
      </c>
      <c r="B2239" t="s">
        <v>11778</v>
      </c>
      <c r="C2239" t="str">
        <f>"9780889226944"</f>
        <v>9780889226944</v>
      </c>
      <c r="D2239" t="str">
        <f>"9780889227194"</f>
        <v>9780889227194</v>
      </c>
      <c r="E2239" t="s">
        <v>9493</v>
      </c>
      <c r="F2239" t="s">
        <v>9493</v>
      </c>
      <c r="G2239" s="1">
        <v>41352</v>
      </c>
      <c r="J2239" t="s">
        <v>11779</v>
      </c>
      <c r="K2239" t="s">
        <v>1464</v>
      </c>
      <c r="L2239" t="s">
        <v>11780</v>
      </c>
      <c r="M2239">
        <v>808.1</v>
      </c>
      <c r="N2239" t="s">
        <v>11781</v>
      </c>
      <c r="O2239" t="s">
        <v>26</v>
      </c>
      <c r="P2239">
        <v>24.95</v>
      </c>
      <c r="R2239">
        <v>24.95</v>
      </c>
      <c r="S2239">
        <v>37.43</v>
      </c>
      <c r="T2239" t="s">
        <v>11782</v>
      </c>
    </row>
    <row r="2240" spans="1:20">
      <c r="A2240">
        <v>3029338</v>
      </c>
      <c r="B2240" t="s">
        <v>11783</v>
      </c>
      <c r="C2240" t="str">
        <f>"9780889226999"</f>
        <v>9780889226999</v>
      </c>
      <c r="D2240" t="str">
        <f>"9780889227231"</f>
        <v>9780889227231</v>
      </c>
      <c r="E2240" t="s">
        <v>9493</v>
      </c>
      <c r="F2240" t="s">
        <v>9493</v>
      </c>
      <c r="G2240" s="1">
        <v>41219</v>
      </c>
      <c r="J2240" t="s">
        <v>11784</v>
      </c>
      <c r="K2240" t="s">
        <v>1464</v>
      </c>
      <c r="L2240" t="s">
        <v>11785</v>
      </c>
      <c r="M2240" t="s">
        <v>1497</v>
      </c>
      <c r="N2240" t="s">
        <v>11786</v>
      </c>
      <c r="O2240" t="s">
        <v>26</v>
      </c>
      <c r="P2240">
        <v>19.95</v>
      </c>
      <c r="R2240">
        <v>19.95</v>
      </c>
      <c r="S2240">
        <v>29.93</v>
      </c>
      <c r="T2240" t="s">
        <v>11787</v>
      </c>
    </row>
    <row r="2241" spans="1:20">
      <c r="A2241">
        <v>3029344</v>
      </c>
      <c r="B2241" t="s">
        <v>11788</v>
      </c>
      <c r="C2241" t="str">
        <f>"9780889225350"</f>
        <v>9780889225350</v>
      </c>
      <c r="D2241" t="str">
        <f>"9780889228009"</f>
        <v>9780889228009</v>
      </c>
      <c r="E2241" t="s">
        <v>9493</v>
      </c>
      <c r="F2241" t="s">
        <v>9493</v>
      </c>
      <c r="G2241" s="1">
        <v>41333</v>
      </c>
      <c r="J2241" t="s">
        <v>11789</v>
      </c>
      <c r="K2241" t="s">
        <v>1464</v>
      </c>
      <c r="L2241" t="s">
        <v>11790</v>
      </c>
      <c r="M2241" t="s">
        <v>7820</v>
      </c>
      <c r="N2241" t="s">
        <v>11791</v>
      </c>
      <c r="O2241" t="s">
        <v>26</v>
      </c>
      <c r="P2241">
        <v>18.95</v>
      </c>
      <c r="R2241">
        <v>18.95</v>
      </c>
      <c r="S2241">
        <v>28.43</v>
      </c>
      <c r="T2241" t="s">
        <v>11792</v>
      </c>
    </row>
    <row r="2242" spans="1:20">
      <c r="A2242">
        <v>3029361</v>
      </c>
      <c r="B2242" t="s">
        <v>11793</v>
      </c>
      <c r="C2242" t="str">
        <f>"9781550224924"</f>
        <v>9781550224924</v>
      </c>
      <c r="D2242" t="str">
        <f>"9781554904921"</f>
        <v>9781554904921</v>
      </c>
      <c r="E2242" t="s">
        <v>7707</v>
      </c>
      <c r="F2242" t="s">
        <v>7707</v>
      </c>
      <c r="G2242" s="1">
        <v>37347</v>
      </c>
      <c r="J2242" t="s">
        <v>11794</v>
      </c>
      <c r="K2242" t="s">
        <v>1471</v>
      </c>
      <c r="L2242" t="s">
        <v>11795</v>
      </c>
      <c r="M2242" t="s">
        <v>11796</v>
      </c>
      <c r="N2242" t="s">
        <v>11797</v>
      </c>
      <c r="O2242" t="s">
        <v>26</v>
      </c>
      <c r="P2242">
        <v>10.95</v>
      </c>
      <c r="R2242">
        <v>10.95</v>
      </c>
      <c r="S2242">
        <v>16.43</v>
      </c>
      <c r="T2242" t="s">
        <v>11798</v>
      </c>
    </row>
    <row r="2243" spans="1:20">
      <c r="A2243">
        <v>3029366</v>
      </c>
      <c r="B2243" t="s">
        <v>11799</v>
      </c>
      <c r="C2243" t="str">
        <f>"9781551523705"</f>
        <v>9781551523705</v>
      </c>
      <c r="D2243" t="str">
        <f>"9781551523859"</f>
        <v>9781551523859</v>
      </c>
      <c r="E2243" t="s">
        <v>2416</v>
      </c>
      <c r="F2243" t="s">
        <v>2416</v>
      </c>
      <c r="G2243" s="1">
        <v>40554</v>
      </c>
      <c r="J2243" t="s">
        <v>11800</v>
      </c>
      <c r="K2243" t="s">
        <v>263</v>
      </c>
      <c r="L2243" t="s">
        <v>11801</v>
      </c>
      <c r="M2243" t="s">
        <v>11802</v>
      </c>
      <c r="N2243" t="s">
        <v>11803</v>
      </c>
      <c r="O2243" t="s">
        <v>26</v>
      </c>
      <c r="P2243">
        <v>27.95</v>
      </c>
      <c r="R2243">
        <v>27.95</v>
      </c>
      <c r="S2243">
        <v>41.93</v>
      </c>
      <c r="T2243" t="s">
        <v>11804</v>
      </c>
    </row>
    <row r="2244" spans="1:20">
      <c r="A2244">
        <v>3029370</v>
      </c>
      <c r="B2244" t="s">
        <v>11805</v>
      </c>
      <c r="C2244" t="str">
        <f>"9781551525099"</f>
        <v>9781551525099</v>
      </c>
      <c r="D2244" t="str">
        <f>"9781551525105"</f>
        <v>9781551525105</v>
      </c>
      <c r="E2244" t="s">
        <v>2416</v>
      </c>
      <c r="F2244" t="s">
        <v>2416</v>
      </c>
      <c r="G2244" s="1">
        <v>41593</v>
      </c>
      <c r="J2244" t="s">
        <v>11806</v>
      </c>
      <c r="K2244" t="s">
        <v>11807</v>
      </c>
      <c r="L2244" t="s">
        <v>11808</v>
      </c>
      <c r="M2244">
        <v>305.3109</v>
      </c>
      <c r="N2244" t="s">
        <v>11809</v>
      </c>
      <c r="O2244" t="s">
        <v>26</v>
      </c>
      <c r="P2244">
        <v>29.95</v>
      </c>
      <c r="R2244">
        <v>29.95</v>
      </c>
      <c r="S2244">
        <v>44.93</v>
      </c>
      <c r="T2244" t="s">
        <v>11810</v>
      </c>
    </row>
    <row r="2245" spans="1:20">
      <c r="A2245">
        <v>3029520</v>
      </c>
      <c r="B2245" t="s">
        <v>11811</v>
      </c>
      <c r="C2245" t="str">
        <f>"9781770410893"</f>
        <v>9781770410893</v>
      </c>
      <c r="D2245" t="str">
        <f>"9781770906471"</f>
        <v>9781770906471</v>
      </c>
      <c r="E2245" t="s">
        <v>7707</v>
      </c>
      <c r="F2245" t="s">
        <v>7707</v>
      </c>
      <c r="G2245" s="1">
        <v>42045</v>
      </c>
      <c r="H2245" t="s">
        <v>10026</v>
      </c>
      <c r="J2245" t="s">
        <v>11812</v>
      </c>
      <c r="K2245" t="s">
        <v>11813</v>
      </c>
      <c r="L2245" t="s">
        <v>11814</v>
      </c>
      <c r="M2245" t="s">
        <v>11815</v>
      </c>
      <c r="N2245" t="s">
        <v>11816</v>
      </c>
      <c r="O2245" t="s">
        <v>26</v>
      </c>
      <c r="P2245">
        <v>17.989999999999998</v>
      </c>
      <c r="R2245">
        <v>17.989999999999998</v>
      </c>
      <c r="S2245">
        <v>26.99</v>
      </c>
      <c r="T2245" t="s">
        <v>11817</v>
      </c>
    </row>
    <row r="2246" spans="1:20">
      <c r="A2246">
        <v>3029534</v>
      </c>
      <c r="B2246" t="s">
        <v>11818</v>
      </c>
      <c r="C2246" t="str">
        <f>"9781770410022"</f>
        <v>9781770410022</v>
      </c>
      <c r="D2246" t="str">
        <f>"9781770906532"</f>
        <v>9781770906532</v>
      </c>
      <c r="E2246" t="s">
        <v>7707</v>
      </c>
      <c r="F2246" t="s">
        <v>7707</v>
      </c>
      <c r="G2246" s="1">
        <v>42038</v>
      </c>
      <c r="J2246" t="s">
        <v>11819</v>
      </c>
      <c r="K2246" t="s">
        <v>1150</v>
      </c>
      <c r="L2246" t="s">
        <v>11820</v>
      </c>
      <c r="M2246">
        <v>796.35607500000003</v>
      </c>
      <c r="N2246" t="s">
        <v>11821</v>
      </c>
      <c r="O2246" t="s">
        <v>26</v>
      </c>
      <c r="P2246">
        <v>13.99</v>
      </c>
      <c r="R2246">
        <v>13.99</v>
      </c>
      <c r="S2246">
        <v>20.99</v>
      </c>
      <c r="T2246" t="s">
        <v>11822</v>
      </c>
    </row>
    <row r="2247" spans="1:20">
      <c r="A2247">
        <v>3029555</v>
      </c>
      <c r="B2247" t="s">
        <v>11823</v>
      </c>
      <c r="C2247" t="str">
        <f>"9782894509388"</f>
        <v>9782894509388</v>
      </c>
      <c r="D2247" t="str">
        <f>"9782897182137"</f>
        <v>9782897182137</v>
      </c>
      <c r="E2247" t="s">
        <v>10605</v>
      </c>
      <c r="F2247" t="s">
        <v>10606</v>
      </c>
      <c r="G2247" s="1">
        <v>41178</v>
      </c>
      <c r="I2247" t="s">
        <v>11824</v>
      </c>
      <c r="J2247" t="s">
        <v>11825</v>
      </c>
      <c r="K2247" t="s">
        <v>3253</v>
      </c>
      <c r="L2247" t="s">
        <v>11826</v>
      </c>
      <c r="M2247" t="s">
        <v>11827</v>
      </c>
      <c r="N2247" t="s">
        <v>11828</v>
      </c>
      <c r="O2247" t="s">
        <v>26</v>
      </c>
      <c r="P2247">
        <v>2.99</v>
      </c>
      <c r="R2247">
        <v>2.99</v>
      </c>
      <c r="S2247">
        <v>4.49</v>
      </c>
      <c r="T2247" t="s">
        <v>11829</v>
      </c>
    </row>
    <row r="2248" spans="1:20">
      <c r="A2248">
        <v>3039662</v>
      </c>
      <c r="B2248" t="s">
        <v>11830</v>
      </c>
      <c r="C2248" t="str">
        <f>"9780776605708"</f>
        <v>9780776605708</v>
      </c>
      <c r="D2248" t="str">
        <f>"9780776617459"</f>
        <v>9780776617459</v>
      </c>
      <c r="E2248" t="s">
        <v>3342</v>
      </c>
      <c r="F2248" t="s">
        <v>3342</v>
      </c>
      <c r="G2248" s="1">
        <v>36526</v>
      </c>
      <c r="I2248" t="s">
        <v>11831</v>
      </c>
      <c r="J2248" t="s">
        <v>11832</v>
      </c>
      <c r="K2248" t="s">
        <v>1464</v>
      </c>
      <c r="L2248" t="s">
        <v>11833</v>
      </c>
      <c r="M2248" t="s">
        <v>11834</v>
      </c>
      <c r="N2248" t="s">
        <v>11835</v>
      </c>
      <c r="O2248" t="s">
        <v>26</v>
      </c>
      <c r="P2248">
        <v>55.9</v>
      </c>
      <c r="Q2248">
        <v>34.94</v>
      </c>
      <c r="R2248">
        <v>27.95</v>
      </c>
      <c r="S2248">
        <v>41.93</v>
      </c>
      <c r="T2248" t="s">
        <v>11836</v>
      </c>
    </row>
    <row r="2249" spans="1:20">
      <c r="A2249">
        <v>3039663</v>
      </c>
      <c r="B2249" t="s">
        <v>11837</v>
      </c>
      <c r="C2249" t="str">
        <f>"9780776606125"</f>
        <v>9780776606125</v>
      </c>
      <c r="D2249" t="str">
        <f>"9780776616131"</f>
        <v>9780776616131</v>
      </c>
      <c r="E2249" t="s">
        <v>3342</v>
      </c>
      <c r="F2249" t="s">
        <v>3342</v>
      </c>
      <c r="G2249" s="1">
        <v>38687</v>
      </c>
      <c r="J2249" t="s">
        <v>11838</v>
      </c>
      <c r="K2249" t="s">
        <v>1464</v>
      </c>
      <c r="L2249" t="s">
        <v>11839</v>
      </c>
      <c r="N2249" t="s">
        <v>11840</v>
      </c>
      <c r="O2249" t="s">
        <v>26</v>
      </c>
      <c r="P2249">
        <v>130</v>
      </c>
      <c r="Q2249">
        <v>81.25</v>
      </c>
      <c r="R2249">
        <v>65</v>
      </c>
      <c r="S2249">
        <v>97.5</v>
      </c>
      <c r="T2249" t="s">
        <v>11841</v>
      </c>
    </row>
    <row r="2250" spans="1:20">
      <c r="A2250">
        <v>3039664</v>
      </c>
      <c r="B2250" t="s">
        <v>11842</v>
      </c>
      <c r="C2250" t="str">
        <f>"9780776606064"</f>
        <v>9780776606064</v>
      </c>
      <c r="D2250" t="str">
        <f>"9780776616971"</f>
        <v>9780776616971</v>
      </c>
      <c r="E2250" t="s">
        <v>3342</v>
      </c>
      <c r="F2250" t="s">
        <v>3342</v>
      </c>
      <c r="G2250" s="1">
        <v>38687</v>
      </c>
      <c r="J2250" t="s">
        <v>11843</v>
      </c>
      <c r="K2250" t="s">
        <v>1464</v>
      </c>
      <c r="L2250" t="s">
        <v>11844</v>
      </c>
      <c r="N2250" t="s">
        <v>11845</v>
      </c>
      <c r="O2250" t="s">
        <v>26</v>
      </c>
      <c r="P2250">
        <v>79.900000000000006</v>
      </c>
      <c r="Q2250">
        <v>49.94</v>
      </c>
      <c r="R2250">
        <v>39.950000000000003</v>
      </c>
      <c r="S2250">
        <v>59.93</v>
      </c>
      <c r="T2250" t="s">
        <v>11846</v>
      </c>
    </row>
    <row r="2251" spans="1:20">
      <c r="A2251">
        <v>3039665</v>
      </c>
      <c r="B2251" t="s">
        <v>11847</v>
      </c>
      <c r="C2251" t="str">
        <f>"9782760305830"</f>
        <v>9782760305830</v>
      </c>
      <c r="D2251" t="str">
        <f>"9782760315686"</f>
        <v>9782760315686</v>
      </c>
      <c r="E2251" t="s">
        <v>3342</v>
      </c>
      <c r="F2251" t="s">
        <v>3342</v>
      </c>
      <c r="G2251" s="1">
        <v>37956</v>
      </c>
      <c r="J2251" t="s">
        <v>11848</v>
      </c>
      <c r="K2251" t="s">
        <v>263</v>
      </c>
      <c r="L2251" t="s">
        <v>11849</v>
      </c>
      <c r="N2251" t="s">
        <v>11850</v>
      </c>
      <c r="O2251" t="s">
        <v>94</v>
      </c>
      <c r="P2251">
        <v>65.900000000000006</v>
      </c>
      <c r="Q2251">
        <v>41.19</v>
      </c>
      <c r="R2251">
        <v>32.950000000000003</v>
      </c>
      <c r="S2251">
        <v>49.43</v>
      </c>
      <c r="T2251" t="s">
        <v>11851</v>
      </c>
    </row>
    <row r="2252" spans="1:20">
      <c r="A2252">
        <v>3039666</v>
      </c>
      <c r="B2252" t="s">
        <v>11852</v>
      </c>
      <c r="C2252" t="str">
        <f>"9782760305878"</f>
        <v>9782760305878</v>
      </c>
      <c r="D2252" t="str">
        <f>"9782760317338"</f>
        <v>9782760317338</v>
      </c>
      <c r="E2252" t="s">
        <v>3342</v>
      </c>
      <c r="F2252" t="s">
        <v>3342</v>
      </c>
      <c r="G2252" s="1">
        <v>37956</v>
      </c>
      <c r="J2252" t="s">
        <v>11853</v>
      </c>
      <c r="K2252" t="s">
        <v>11854</v>
      </c>
      <c r="L2252" t="s">
        <v>11855</v>
      </c>
      <c r="M2252" t="s">
        <v>11856</v>
      </c>
      <c r="N2252" t="s">
        <v>11857</v>
      </c>
      <c r="O2252" t="s">
        <v>94</v>
      </c>
      <c r="P2252">
        <v>69.900000000000006</v>
      </c>
      <c r="Q2252">
        <v>43.69</v>
      </c>
      <c r="R2252">
        <v>34.950000000000003</v>
      </c>
      <c r="S2252">
        <v>52.43</v>
      </c>
      <c r="T2252" t="s">
        <v>11858</v>
      </c>
    </row>
    <row r="2253" spans="1:20">
      <c r="A2253">
        <v>3039667</v>
      </c>
      <c r="B2253" t="s">
        <v>11859</v>
      </c>
      <c r="C2253" t="str">
        <f>"9782760305984"</f>
        <v>9782760305984</v>
      </c>
      <c r="D2253" t="str">
        <f>"9782760317000"</f>
        <v>9782760317000</v>
      </c>
      <c r="E2253" t="s">
        <v>3342</v>
      </c>
      <c r="F2253" t="s">
        <v>3342</v>
      </c>
      <c r="G2253" s="1">
        <v>38322</v>
      </c>
      <c r="J2253" t="s">
        <v>11860</v>
      </c>
      <c r="K2253" t="s">
        <v>1892</v>
      </c>
      <c r="L2253" t="s">
        <v>11861</v>
      </c>
      <c r="N2253" t="s">
        <v>11862</v>
      </c>
      <c r="O2253" t="s">
        <v>94</v>
      </c>
      <c r="P2253">
        <v>98</v>
      </c>
      <c r="Q2253">
        <v>61.25</v>
      </c>
      <c r="R2253">
        <v>49</v>
      </c>
      <c r="S2253">
        <v>73.5</v>
      </c>
      <c r="T2253" t="s">
        <v>11863</v>
      </c>
    </row>
    <row r="2254" spans="1:20">
      <c r="A2254">
        <v>3039668</v>
      </c>
      <c r="B2254" t="s">
        <v>11864</v>
      </c>
      <c r="C2254" t="str">
        <f>"9780776606057"</f>
        <v>9780776606057</v>
      </c>
      <c r="D2254" t="str">
        <f>"9780776616407"</f>
        <v>9780776616407</v>
      </c>
      <c r="E2254" t="s">
        <v>3342</v>
      </c>
      <c r="F2254" t="s">
        <v>3342</v>
      </c>
      <c r="G2254" s="1">
        <v>38322</v>
      </c>
      <c r="J2254" t="s">
        <v>11865</v>
      </c>
      <c r="K2254" t="s">
        <v>257</v>
      </c>
      <c r="L2254" t="s">
        <v>4283</v>
      </c>
      <c r="N2254" t="s">
        <v>4285</v>
      </c>
      <c r="O2254" t="s">
        <v>26</v>
      </c>
      <c r="P2254">
        <v>70</v>
      </c>
      <c r="Q2254">
        <v>43.75</v>
      </c>
      <c r="R2254">
        <v>35</v>
      </c>
      <c r="S2254">
        <v>52.5</v>
      </c>
      <c r="T2254" t="s">
        <v>11866</v>
      </c>
    </row>
    <row r="2255" spans="1:20">
      <c r="A2255">
        <v>3039669</v>
      </c>
      <c r="B2255" t="s">
        <v>11867</v>
      </c>
      <c r="C2255" t="str">
        <f>"9782760305823"</f>
        <v>9782760305823</v>
      </c>
      <c r="D2255" t="str">
        <f>"9782760315822"</f>
        <v>9782760315822</v>
      </c>
      <c r="E2255" t="s">
        <v>3342</v>
      </c>
      <c r="F2255" t="s">
        <v>3342</v>
      </c>
      <c r="G2255" s="1">
        <v>37956</v>
      </c>
      <c r="J2255" t="s">
        <v>11868</v>
      </c>
      <c r="K2255" t="s">
        <v>4081</v>
      </c>
      <c r="L2255" t="s">
        <v>11869</v>
      </c>
      <c r="M2255" t="s">
        <v>11870</v>
      </c>
      <c r="N2255" t="s">
        <v>11871</v>
      </c>
      <c r="O2255" t="s">
        <v>94</v>
      </c>
      <c r="P2255">
        <v>70</v>
      </c>
      <c r="Q2255">
        <v>43.75</v>
      </c>
      <c r="R2255">
        <v>35</v>
      </c>
      <c r="S2255">
        <v>52.5</v>
      </c>
      <c r="T2255" t="s">
        <v>11872</v>
      </c>
    </row>
    <row r="2256" spans="1:20">
      <c r="A2256">
        <v>3039670</v>
      </c>
      <c r="B2256" t="s">
        <v>11873</v>
      </c>
      <c r="C2256" t="str">
        <f>"9780776606422"</f>
        <v>9780776606422</v>
      </c>
      <c r="D2256" t="str">
        <f>"9780776617206"</f>
        <v>9780776617206</v>
      </c>
      <c r="E2256" t="s">
        <v>3342</v>
      </c>
      <c r="F2256" t="s">
        <v>3342</v>
      </c>
      <c r="G2256" s="1">
        <v>39052</v>
      </c>
      <c r="J2256" t="s">
        <v>11874</v>
      </c>
      <c r="K2256" t="s">
        <v>2260</v>
      </c>
      <c r="L2256" t="s">
        <v>11875</v>
      </c>
      <c r="N2256" t="s">
        <v>11876</v>
      </c>
      <c r="O2256" t="s">
        <v>26</v>
      </c>
      <c r="P2256">
        <v>60</v>
      </c>
      <c r="Q2256">
        <v>37.5</v>
      </c>
      <c r="R2256">
        <v>30</v>
      </c>
      <c r="S2256">
        <v>45</v>
      </c>
      <c r="T2256" t="s">
        <v>11877</v>
      </c>
    </row>
    <row r="2257" spans="1:20">
      <c r="A2257">
        <v>3039671</v>
      </c>
      <c r="B2257" t="s">
        <v>11878</v>
      </c>
      <c r="C2257" t="str">
        <f>"9782760306592"</f>
        <v>9782760306592</v>
      </c>
      <c r="D2257" t="str">
        <f>"9782760317611"</f>
        <v>9782760317611</v>
      </c>
      <c r="E2257" t="s">
        <v>3342</v>
      </c>
      <c r="F2257" t="s">
        <v>3342</v>
      </c>
      <c r="G2257" s="1">
        <v>39052</v>
      </c>
      <c r="J2257" t="s">
        <v>11879</v>
      </c>
      <c r="K2257" t="s">
        <v>2260</v>
      </c>
      <c r="L2257" t="s">
        <v>11880</v>
      </c>
      <c r="N2257" t="s">
        <v>11881</v>
      </c>
      <c r="O2257" t="s">
        <v>94</v>
      </c>
      <c r="P2257">
        <v>70</v>
      </c>
      <c r="Q2257">
        <v>43.75</v>
      </c>
      <c r="R2257">
        <v>35</v>
      </c>
      <c r="S2257">
        <v>52.5</v>
      </c>
      <c r="T2257" t="s">
        <v>11882</v>
      </c>
    </row>
    <row r="2258" spans="1:20">
      <c r="A2258">
        <v>3039672</v>
      </c>
      <c r="B2258" t="s">
        <v>11883</v>
      </c>
      <c r="C2258" t="str">
        <f>"9782760306677"</f>
        <v>9782760306677</v>
      </c>
      <c r="D2258" t="str">
        <f>"9782760317512"</f>
        <v>9782760317512</v>
      </c>
      <c r="E2258" t="s">
        <v>3342</v>
      </c>
      <c r="F2258" t="s">
        <v>3342</v>
      </c>
      <c r="G2258" s="1">
        <v>36526</v>
      </c>
      <c r="I2258" t="s">
        <v>11884</v>
      </c>
      <c r="J2258" t="s">
        <v>11885</v>
      </c>
      <c r="K2258" t="s">
        <v>467</v>
      </c>
      <c r="L2258" t="s">
        <v>11886</v>
      </c>
      <c r="N2258" t="s">
        <v>11887</v>
      </c>
      <c r="O2258" t="s">
        <v>94</v>
      </c>
      <c r="P2258">
        <v>80</v>
      </c>
      <c r="Q2258">
        <v>50</v>
      </c>
      <c r="R2258">
        <v>40</v>
      </c>
      <c r="S2258">
        <v>60</v>
      </c>
      <c r="T2258" t="s">
        <v>11888</v>
      </c>
    </row>
    <row r="2259" spans="1:20">
      <c r="A2259">
        <v>3039673</v>
      </c>
      <c r="B2259" t="s">
        <v>11889</v>
      </c>
      <c r="C2259" t="str">
        <f>"9782760306608"</f>
        <v>9782760306608</v>
      </c>
      <c r="D2259" t="str">
        <f>"9782760317598"</f>
        <v>9782760317598</v>
      </c>
      <c r="E2259" t="s">
        <v>3342</v>
      </c>
      <c r="F2259" t="s">
        <v>3342</v>
      </c>
      <c r="G2259" s="1">
        <v>39052</v>
      </c>
      <c r="J2259" t="s">
        <v>11890</v>
      </c>
      <c r="K2259" t="s">
        <v>4081</v>
      </c>
      <c r="L2259" t="s">
        <v>11891</v>
      </c>
      <c r="N2259" t="s">
        <v>11892</v>
      </c>
      <c r="O2259" t="s">
        <v>94</v>
      </c>
      <c r="P2259">
        <v>70</v>
      </c>
      <c r="Q2259">
        <v>43.75</v>
      </c>
      <c r="R2259">
        <v>35</v>
      </c>
      <c r="S2259">
        <v>52.5</v>
      </c>
      <c r="T2259" t="s">
        <v>11893</v>
      </c>
    </row>
    <row r="2260" spans="1:20">
      <c r="A2260">
        <v>3039674</v>
      </c>
      <c r="B2260" t="s">
        <v>11894</v>
      </c>
      <c r="C2260" t="str">
        <f>"9782760306097"</f>
        <v>9782760306097</v>
      </c>
      <c r="D2260" t="str">
        <f>"9782760317529"</f>
        <v>9782760317529</v>
      </c>
      <c r="E2260" t="s">
        <v>3342</v>
      </c>
      <c r="F2260" t="s">
        <v>3342</v>
      </c>
      <c r="G2260" s="1">
        <v>36526</v>
      </c>
      <c r="I2260" t="s">
        <v>11895</v>
      </c>
      <c r="J2260" t="s">
        <v>11896</v>
      </c>
      <c r="K2260" t="s">
        <v>291</v>
      </c>
      <c r="L2260" t="s">
        <v>11897</v>
      </c>
      <c r="N2260" t="s">
        <v>11898</v>
      </c>
      <c r="O2260" t="s">
        <v>94</v>
      </c>
      <c r="P2260">
        <v>56</v>
      </c>
      <c r="Q2260">
        <v>35</v>
      </c>
      <c r="R2260">
        <v>28</v>
      </c>
      <c r="S2260">
        <v>42</v>
      </c>
      <c r="T2260" t="s">
        <v>11899</v>
      </c>
    </row>
    <row r="2261" spans="1:20">
      <c r="A2261">
        <v>3039675</v>
      </c>
      <c r="B2261" t="s">
        <v>11900</v>
      </c>
      <c r="C2261" t="str">
        <f>"9782760306448"</f>
        <v>9782760306448</v>
      </c>
      <c r="D2261" t="str">
        <f>"9782760317581"</f>
        <v>9782760317581</v>
      </c>
      <c r="E2261" t="s">
        <v>3342</v>
      </c>
      <c r="F2261" t="s">
        <v>3342</v>
      </c>
      <c r="G2261" s="1">
        <v>36526</v>
      </c>
      <c r="I2261" t="s">
        <v>11895</v>
      </c>
      <c r="J2261" t="s">
        <v>11901</v>
      </c>
      <c r="K2261" t="s">
        <v>263</v>
      </c>
      <c r="L2261" t="s">
        <v>11902</v>
      </c>
      <c r="N2261" t="s">
        <v>11903</v>
      </c>
      <c r="O2261" t="s">
        <v>94</v>
      </c>
      <c r="P2261">
        <v>70</v>
      </c>
      <c r="Q2261">
        <v>43.75</v>
      </c>
      <c r="R2261">
        <v>35</v>
      </c>
      <c r="S2261">
        <v>52.5</v>
      </c>
      <c r="T2261" t="s">
        <v>11904</v>
      </c>
    </row>
    <row r="2262" spans="1:20">
      <c r="A2262">
        <v>3050184</v>
      </c>
      <c r="B2262" t="s">
        <v>11905</v>
      </c>
      <c r="C2262" t="str">
        <f>"9780889203587"</f>
        <v>9780889203587</v>
      </c>
      <c r="D2262" t="str">
        <f>"9780889206076"</f>
        <v>9780889206076</v>
      </c>
      <c r="E2262" t="s">
        <v>6047</v>
      </c>
      <c r="F2262" t="s">
        <v>6047</v>
      </c>
      <c r="G2262" s="1">
        <v>36495</v>
      </c>
      <c r="J2262" t="s">
        <v>11906</v>
      </c>
      <c r="K2262" t="s">
        <v>1464</v>
      </c>
      <c r="L2262" t="s">
        <v>11907</v>
      </c>
      <c r="M2262" t="s">
        <v>11908</v>
      </c>
      <c r="N2262" t="s">
        <v>11909</v>
      </c>
      <c r="O2262" t="s">
        <v>26</v>
      </c>
      <c r="P2262">
        <v>85</v>
      </c>
      <c r="Q2262">
        <v>106.25</v>
      </c>
      <c r="R2262">
        <v>85</v>
      </c>
      <c r="S2262">
        <v>127.5</v>
      </c>
      <c r="T2262" t="s">
        <v>11910</v>
      </c>
    </row>
    <row r="2263" spans="1:20">
      <c r="A2263">
        <v>3050185</v>
      </c>
      <c r="B2263" t="s">
        <v>11911</v>
      </c>
      <c r="C2263" t="str">
        <f>"9780889204584"</f>
        <v>9780889204584</v>
      </c>
      <c r="D2263" t="str">
        <f>"9781554581085"</f>
        <v>9781554581085</v>
      </c>
      <c r="E2263" t="s">
        <v>6047</v>
      </c>
      <c r="F2263" t="s">
        <v>6047</v>
      </c>
      <c r="G2263" s="1">
        <v>38322</v>
      </c>
      <c r="I2263" t="s">
        <v>6061</v>
      </c>
      <c r="J2263" t="s">
        <v>11912</v>
      </c>
      <c r="K2263" t="s">
        <v>291</v>
      </c>
      <c r="L2263" t="s">
        <v>11913</v>
      </c>
      <c r="M2263" t="s">
        <v>11914</v>
      </c>
      <c r="N2263" t="s">
        <v>11915</v>
      </c>
      <c r="O2263" t="s">
        <v>26</v>
      </c>
      <c r="P2263">
        <v>85</v>
      </c>
      <c r="Q2263">
        <v>106.25</v>
      </c>
      <c r="R2263">
        <v>85</v>
      </c>
      <c r="S2263">
        <v>127.5</v>
      </c>
      <c r="T2263" t="s">
        <v>11916</v>
      </c>
    </row>
    <row r="2264" spans="1:20">
      <c r="A2264">
        <v>3050186</v>
      </c>
      <c r="B2264" t="s">
        <v>11917</v>
      </c>
      <c r="C2264" t="str">
        <f>"9780889204751"</f>
        <v>9780889204751</v>
      </c>
      <c r="D2264" t="str">
        <f>""</f>
        <v/>
      </c>
      <c r="E2264" t="s">
        <v>6047</v>
      </c>
      <c r="F2264" t="s">
        <v>6047</v>
      </c>
      <c r="G2264" s="1">
        <v>38687</v>
      </c>
      <c r="J2264" t="s">
        <v>11918</v>
      </c>
      <c r="K2264" t="s">
        <v>263</v>
      </c>
      <c r="L2264" t="s">
        <v>11919</v>
      </c>
      <c r="M2264" t="s">
        <v>11920</v>
      </c>
      <c r="N2264" t="s">
        <v>11921</v>
      </c>
      <c r="O2264" t="s">
        <v>26</v>
      </c>
      <c r="P2264">
        <v>34.950000000000003</v>
      </c>
      <c r="Q2264">
        <v>43.69</v>
      </c>
      <c r="R2264">
        <v>34.950000000000003</v>
      </c>
      <c r="S2264">
        <v>52.43</v>
      </c>
      <c r="T2264" t="s">
        <v>11922</v>
      </c>
    </row>
    <row r="2265" spans="1:20">
      <c r="A2265">
        <v>3050187</v>
      </c>
      <c r="B2265" t="s">
        <v>11923</v>
      </c>
      <c r="C2265" t="str">
        <f>"9780889204942"</f>
        <v>9780889204942</v>
      </c>
      <c r="D2265" t="str">
        <f>"9781554580804"</f>
        <v>9781554580804</v>
      </c>
      <c r="E2265" t="s">
        <v>6047</v>
      </c>
      <c r="F2265" t="s">
        <v>6047</v>
      </c>
      <c r="G2265" s="1">
        <v>38687</v>
      </c>
      <c r="I2265" t="s">
        <v>6273</v>
      </c>
      <c r="J2265" t="s">
        <v>11924</v>
      </c>
      <c r="K2265" t="s">
        <v>1464</v>
      </c>
      <c r="L2265" t="s">
        <v>11925</v>
      </c>
      <c r="M2265" t="s">
        <v>1545</v>
      </c>
      <c r="N2265" t="s">
        <v>11926</v>
      </c>
      <c r="O2265" t="s">
        <v>26</v>
      </c>
      <c r="P2265">
        <v>85</v>
      </c>
      <c r="Q2265">
        <v>106.25</v>
      </c>
      <c r="R2265">
        <v>85</v>
      </c>
      <c r="S2265">
        <v>127.5</v>
      </c>
      <c r="T2265" t="s">
        <v>11927</v>
      </c>
    </row>
    <row r="2266" spans="1:20">
      <c r="A2266">
        <v>3050188</v>
      </c>
      <c r="B2266" t="s">
        <v>11928</v>
      </c>
      <c r="C2266" t="str">
        <f>"9780889203761"</f>
        <v>9780889203761</v>
      </c>
      <c r="D2266" t="str">
        <f>"9780889209060"</f>
        <v>9780889209060</v>
      </c>
      <c r="E2266" t="s">
        <v>6047</v>
      </c>
      <c r="F2266" t="s">
        <v>6047</v>
      </c>
      <c r="G2266" s="1">
        <v>36861</v>
      </c>
      <c r="J2266" t="s">
        <v>11929</v>
      </c>
      <c r="K2266" t="s">
        <v>1892</v>
      </c>
      <c r="L2266" t="s">
        <v>11930</v>
      </c>
      <c r="M2266" t="s">
        <v>11931</v>
      </c>
      <c r="N2266" t="s">
        <v>11932</v>
      </c>
      <c r="O2266" t="s">
        <v>26</v>
      </c>
      <c r="P2266">
        <v>85</v>
      </c>
      <c r="Q2266">
        <v>106.25</v>
      </c>
      <c r="R2266">
        <v>85</v>
      </c>
      <c r="S2266">
        <v>127.5</v>
      </c>
      <c r="T2266" t="s">
        <v>11933</v>
      </c>
    </row>
    <row r="2267" spans="1:20">
      <c r="A2267">
        <v>3050189</v>
      </c>
      <c r="B2267" t="s">
        <v>11934</v>
      </c>
      <c r="C2267" t="str">
        <f>"9780889204102"</f>
        <v>9780889204102</v>
      </c>
      <c r="D2267" t="str">
        <f>"9780889209022"</f>
        <v>9780889209022</v>
      </c>
      <c r="E2267" t="s">
        <v>6047</v>
      </c>
      <c r="F2267" t="s">
        <v>6047</v>
      </c>
      <c r="G2267" s="1">
        <v>37226</v>
      </c>
      <c r="J2267" t="s">
        <v>11935</v>
      </c>
      <c r="K2267" t="s">
        <v>1859</v>
      </c>
      <c r="L2267" t="s">
        <v>11936</v>
      </c>
      <c r="N2267" t="s">
        <v>11937</v>
      </c>
      <c r="O2267" t="s">
        <v>26</v>
      </c>
      <c r="P2267">
        <v>85</v>
      </c>
      <c r="Q2267">
        <v>106.25</v>
      </c>
      <c r="R2267">
        <v>85</v>
      </c>
      <c r="S2267">
        <v>127.5</v>
      </c>
      <c r="T2267" t="s">
        <v>11938</v>
      </c>
    </row>
    <row r="2268" spans="1:20">
      <c r="A2268">
        <v>3050190</v>
      </c>
      <c r="B2268" t="s">
        <v>11939</v>
      </c>
      <c r="C2268" t="str">
        <f>"9780889202962"</f>
        <v>9780889202962</v>
      </c>
      <c r="D2268" t="str">
        <f>"9780889206502"</f>
        <v>9780889206502</v>
      </c>
      <c r="E2268" t="s">
        <v>6047</v>
      </c>
      <c r="F2268" t="s">
        <v>6047</v>
      </c>
      <c r="G2268" s="1">
        <v>36130</v>
      </c>
      <c r="J2268" t="s">
        <v>11940</v>
      </c>
      <c r="K2268" t="s">
        <v>1859</v>
      </c>
      <c r="L2268" t="s">
        <v>11941</v>
      </c>
      <c r="M2268" t="s">
        <v>11942</v>
      </c>
      <c r="N2268" t="s">
        <v>11943</v>
      </c>
      <c r="O2268" t="s">
        <v>26</v>
      </c>
      <c r="P2268">
        <v>85</v>
      </c>
      <c r="Q2268">
        <v>106.25</v>
      </c>
      <c r="R2268">
        <v>85</v>
      </c>
      <c r="S2268">
        <v>127.5</v>
      </c>
      <c r="T2268" t="s">
        <v>11944</v>
      </c>
    </row>
    <row r="2269" spans="1:20">
      <c r="A2269">
        <v>3050191</v>
      </c>
      <c r="B2269" t="s">
        <v>11945</v>
      </c>
      <c r="C2269" t="str">
        <f>"9780889203013"</f>
        <v>9780889203013</v>
      </c>
      <c r="D2269" t="str">
        <f>"9780889207424"</f>
        <v>9780889207424</v>
      </c>
      <c r="E2269" t="s">
        <v>6047</v>
      </c>
      <c r="F2269" t="s">
        <v>6047</v>
      </c>
      <c r="G2269" s="1">
        <v>36495</v>
      </c>
      <c r="J2269" t="s">
        <v>11946</v>
      </c>
      <c r="K2269" t="s">
        <v>1464</v>
      </c>
      <c r="L2269" t="s">
        <v>11947</v>
      </c>
      <c r="M2269" t="s">
        <v>1545</v>
      </c>
      <c r="N2269" t="s">
        <v>11948</v>
      </c>
      <c r="O2269" t="s">
        <v>26</v>
      </c>
      <c r="P2269">
        <v>85</v>
      </c>
      <c r="Q2269">
        <v>106.25</v>
      </c>
      <c r="R2269">
        <v>85</v>
      </c>
      <c r="S2269">
        <v>127.5</v>
      </c>
      <c r="T2269" t="s">
        <v>11949</v>
      </c>
    </row>
    <row r="2270" spans="1:20">
      <c r="A2270">
        <v>3050192</v>
      </c>
      <c r="B2270" t="s">
        <v>11950</v>
      </c>
      <c r="C2270" t="str">
        <f>"9780889202801"</f>
        <v>9780889202801</v>
      </c>
      <c r="D2270" t="str">
        <f>"9780889206458"</f>
        <v>9780889206458</v>
      </c>
      <c r="E2270" t="s">
        <v>6047</v>
      </c>
      <c r="F2270" t="s">
        <v>6047</v>
      </c>
      <c r="G2270" s="1">
        <v>35400</v>
      </c>
      <c r="J2270" t="s">
        <v>11951</v>
      </c>
      <c r="K2270" t="s">
        <v>1892</v>
      </c>
      <c r="L2270" t="s">
        <v>11952</v>
      </c>
      <c r="M2270" t="s">
        <v>11953</v>
      </c>
      <c r="N2270" t="s">
        <v>11954</v>
      </c>
      <c r="O2270" t="s">
        <v>26</v>
      </c>
      <c r="P2270">
        <v>85</v>
      </c>
      <c r="Q2270">
        <v>106.25</v>
      </c>
      <c r="R2270">
        <v>85</v>
      </c>
      <c r="S2270">
        <v>127.5</v>
      </c>
      <c r="T2270" t="s">
        <v>11955</v>
      </c>
    </row>
    <row r="2271" spans="1:20">
      <c r="A2271">
        <v>3050193</v>
      </c>
      <c r="B2271" t="s">
        <v>11956</v>
      </c>
      <c r="C2271" t="str">
        <f>"9780889203174"</f>
        <v>9780889203174</v>
      </c>
      <c r="D2271" t="str">
        <f>"9780889207141"</f>
        <v>9780889207141</v>
      </c>
      <c r="E2271" t="s">
        <v>6047</v>
      </c>
      <c r="F2271" t="s">
        <v>6047</v>
      </c>
      <c r="G2271" s="1">
        <v>36130</v>
      </c>
      <c r="J2271" t="s">
        <v>11957</v>
      </c>
      <c r="K2271" t="s">
        <v>1180</v>
      </c>
      <c r="L2271" t="s">
        <v>11958</v>
      </c>
      <c r="M2271" t="s">
        <v>11959</v>
      </c>
      <c r="N2271" t="s">
        <v>11960</v>
      </c>
      <c r="O2271" t="s">
        <v>26</v>
      </c>
      <c r="P2271">
        <v>85</v>
      </c>
      <c r="Q2271">
        <v>106.25</v>
      </c>
      <c r="R2271">
        <v>85</v>
      </c>
      <c r="S2271">
        <v>127.5</v>
      </c>
      <c r="T2271" t="s">
        <v>11961</v>
      </c>
    </row>
    <row r="2272" spans="1:20">
      <c r="A2272">
        <v>3050194</v>
      </c>
      <c r="B2272" t="s">
        <v>11962</v>
      </c>
      <c r="C2272" t="str">
        <f>"9780889201064"</f>
        <v>9780889201064</v>
      </c>
      <c r="D2272" t="str">
        <f>"9780889206816"</f>
        <v>9780889206816</v>
      </c>
      <c r="E2272" t="s">
        <v>6047</v>
      </c>
      <c r="F2272" t="s">
        <v>6047</v>
      </c>
      <c r="G2272" s="1">
        <v>29556</v>
      </c>
      <c r="J2272" t="s">
        <v>11963</v>
      </c>
      <c r="K2272" t="s">
        <v>4347</v>
      </c>
      <c r="L2272" t="s">
        <v>11964</v>
      </c>
      <c r="N2272" t="s">
        <v>11965</v>
      </c>
      <c r="O2272" t="s">
        <v>26</v>
      </c>
      <c r="P2272">
        <v>85</v>
      </c>
      <c r="Q2272">
        <v>106.25</v>
      </c>
      <c r="R2272">
        <v>85</v>
      </c>
      <c r="S2272">
        <v>127.5</v>
      </c>
      <c r="T2272" t="s">
        <v>11966</v>
      </c>
    </row>
    <row r="2273" spans="1:20">
      <c r="A2273">
        <v>3050195</v>
      </c>
      <c r="B2273" t="s">
        <v>11967</v>
      </c>
      <c r="C2273" t="str">
        <f>"9780889200012"</f>
        <v>9780889200012</v>
      </c>
      <c r="D2273" t="str">
        <f>"9780889208667"</f>
        <v>9780889208667</v>
      </c>
      <c r="E2273" t="s">
        <v>6047</v>
      </c>
      <c r="F2273" t="s">
        <v>6047</v>
      </c>
      <c r="G2273" s="1">
        <v>26999</v>
      </c>
      <c r="J2273" t="s">
        <v>6279</v>
      </c>
      <c r="K2273" t="s">
        <v>1464</v>
      </c>
      <c r="L2273" t="s">
        <v>11968</v>
      </c>
      <c r="N2273" t="s">
        <v>11969</v>
      </c>
      <c r="O2273" t="s">
        <v>26</v>
      </c>
      <c r="P2273">
        <v>85</v>
      </c>
      <c r="Q2273">
        <v>106.25</v>
      </c>
      <c r="R2273">
        <v>85</v>
      </c>
      <c r="S2273">
        <v>127.5</v>
      </c>
      <c r="T2273" t="s">
        <v>11970</v>
      </c>
    </row>
    <row r="2274" spans="1:20">
      <c r="A2274">
        <v>3050196</v>
      </c>
      <c r="B2274" t="s">
        <v>11971</v>
      </c>
      <c r="C2274" t="str">
        <f>"9780889205024"</f>
        <v>9780889205024</v>
      </c>
      <c r="D2274" t="str">
        <f>"9781554581245"</f>
        <v>9781554581245</v>
      </c>
      <c r="E2274" t="s">
        <v>6047</v>
      </c>
      <c r="F2274" t="s">
        <v>6047</v>
      </c>
      <c r="G2274" s="1">
        <v>38687</v>
      </c>
      <c r="J2274" t="s">
        <v>7293</v>
      </c>
      <c r="K2274" t="s">
        <v>257</v>
      </c>
      <c r="L2274" t="s">
        <v>11972</v>
      </c>
      <c r="M2274" t="s">
        <v>11973</v>
      </c>
      <c r="N2274" t="s">
        <v>11974</v>
      </c>
      <c r="O2274" t="s">
        <v>26</v>
      </c>
      <c r="P2274">
        <v>85</v>
      </c>
      <c r="Q2274">
        <v>106.25</v>
      </c>
      <c r="R2274">
        <v>85</v>
      </c>
      <c r="S2274">
        <v>127.5</v>
      </c>
      <c r="T2274" t="s">
        <v>11975</v>
      </c>
    </row>
    <row r="2275" spans="1:20">
      <c r="A2275">
        <v>3050197</v>
      </c>
      <c r="B2275" t="s">
        <v>11976</v>
      </c>
      <c r="C2275" t="str">
        <f>"9780889202450"</f>
        <v>9780889202450</v>
      </c>
      <c r="D2275" t="str">
        <f>"9780889208605"</f>
        <v>9780889208605</v>
      </c>
      <c r="E2275" t="s">
        <v>6047</v>
      </c>
      <c r="F2275" t="s">
        <v>6047</v>
      </c>
      <c r="G2275" s="1">
        <v>34669</v>
      </c>
      <c r="J2275" t="s">
        <v>11977</v>
      </c>
      <c r="K2275" t="s">
        <v>257</v>
      </c>
      <c r="L2275" t="s">
        <v>11978</v>
      </c>
      <c r="N2275" t="s">
        <v>11979</v>
      </c>
      <c r="O2275" t="s">
        <v>26</v>
      </c>
      <c r="P2275">
        <v>85</v>
      </c>
      <c r="Q2275">
        <v>106.25</v>
      </c>
      <c r="R2275">
        <v>85</v>
      </c>
      <c r="S2275">
        <v>127.5</v>
      </c>
      <c r="T2275" t="s">
        <v>11980</v>
      </c>
    </row>
    <row r="2276" spans="1:20">
      <c r="A2276">
        <v>3050198</v>
      </c>
      <c r="B2276" t="s">
        <v>11981</v>
      </c>
      <c r="C2276" t="str">
        <f>"9780889200708"</f>
        <v>9780889200708</v>
      </c>
      <c r="D2276" t="str">
        <f>"9780889205536"</f>
        <v>9780889205536</v>
      </c>
      <c r="E2276" t="s">
        <v>6047</v>
      </c>
      <c r="F2276" t="s">
        <v>6047</v>
      </c>
      <c r="G2276" s="1">
        <v>28825</v>
      </c>
      <c r="J2276" t="s">
        <v>11982</v>
      </c>
      <c r="K2276" t="s">
        <v>1892</v>
      </c>
      <c r="L2276" t="s">
        <v>11983</v>
      </c>
      <c r="N2276" t="s">
        <v>11984</v>
      </c>
      <c r="O2276" t="s">
        <v>26</v>
      </c>
      <c r="P2276">
        <v>85</v>
      </c>
      <c r="Q2276">
        <v>106.25</v>
      </c>
      <c r="R2276">
        <v>85</v>
      </c>
      <c r="S2276">
        <v>127.5</v>
      </c>
      <c r="T2276" t="s">
        <v>11985</v>
      </c>
    </row>
    <row r="2277" spans="1:20">
      <c r="A2277">
        <v>3050199</v>
      </c>
      <c r="B2277" t="s">
        <v>11986</v>
      </c>
      <c r="C2277" t="str">
        <f>"9780889205048"</f>
        <v>9780889205048</v>
      </c>
      <c r="D2277" t="str">
        <f>"9781554581436"</f>
        <v>9781554581436</v>
      </c>
      <c r="E2277" t="s">
        <v>6047</v>
      </c>
      <c r="F2277" t="s">
        <v>6047</v>
      </c>
      <c r="G2277" s="1">
        <v>38687</v>
      </c>
      <c r="H2277">
        <v>4</v>
      </c>
      <c r="J2277" t="s">
        <v>8433</v>
      </c>
      <c r="K2277" t="s">
        <v>263</v>
      </c>
      <c r="L2277" t="s">
        <v>11987</v>
      </c>
      <c r="M2277" t="s">
        <v>11920</v>
      </c>
      <c r="N2277" t="s">
        <v>11988</v>
      </c>
      <c r="O2277" t="s">
        <v>26</v>
      </c>
      <c r="P2277">
        <v>85</v>
      </c>
      <c r="Q2277">
        <v>106.25</v>
      </c>
      <c r="R2277">
        <v>85</v>
      </c>
      <c r="S2277">
        <v>127.5</v>
      </c>
      <c r="T2277" t="s">
        <v>11989</v>
      </c>
    </row>
    <row r="2278" spans="1:20">
      <c r="A2278">
        <v>3050200</v>
      </c>
      <c r="B2278" t="s">
        <v>11990</v>
      </c>
      <c r="C2278" t="str">
        <f>"9780889200593"</f>
        <v>9780889200593</v>
      </c>
      <c r="D2278" t="str">
        <f>"9780889205840"</f>
        <v>9780889205840</v>
      </c>
      <c r="E2278" t="s">
        <v>6047</v>
      </c>
      <c r="F2278" t="s">
        <v>6047</v>
      </c>
      <c r="G2278" s="1">
        <v>28460</v>
      </c>
      <c r="J2278" t="s">
        <v>11991</v>
      </c>
      <c r="K2278" t="s">
        <v>1464</v>
      </c>
      <c r="L2278" t="s">
        <v>11992</v>
      </c>
      <c r="N2278" t="s">
        <v>11993</v>
      </c>
      <c r="O2278" t="s">
        <v>26</v>
      </c>
      <c r="P2278">
        <v>85</v>
      </c>
      <c r="Q2278">
        <v>106.25</v>
      </c>
      <c r="R2278">
        <v>85</v>
      </c>
      <c r="S2278">
        <v>127.5</v>
      </c>
      <c r="T2278" t="s">
        <v>11994</v>
      </c>
    </row>
    <row r="2279" spans="1:20">
      <c r="A2279">
        <v>3050201</v>
      </c>
      <c r="B2279" t="s">
        <v>11995</v>
      </c>
      <c r="C2279" t="str">
        <f>"9780889203051"</f>
        <v>9780889203051</v>
      </c>
      <c r="D2279" t="str">
        <f>"9780889207929"</f>
        <v>9780889207929</v>
      </c>
      <c r="E2279" t="s">
        <v>6047</v>
      </c>
      <c r="F2279" t="s">
        <v>6047</v>
      </c>
      <c r="G2279" s="1">
        <v>35765</v>
      </c>
      <c r="J2279" t="s">
        <v>11996</v>
      </c>
      <c r="K2279" t="s">
        <v>1892</v>
      </c>
      <c r="L2279" t="s">
        <v>11997</v>
      </c>
      <c r="M2279" t="s">
        <v>11998</v>
      </c>
      <c r="N2279" t="s">
        <v>11999</v>
      </c>
      <c r="O2279" t="s">
        <v>26</v>
      </c>
      <c r="P2279">
        <v>85</v>
      </c>
      <c r="Q2279">
        <v>106.25</v>
      </c>
      <c r="R2279">
        <v>85</v>
      </c>
      <c r="S2279">
        <v>127.5</v>
      </c>
      <c r="T2279" t="s">
        <v>12000</v>
      </c>
    </row>
    <row r="2280" spans="1:20">
      <c r="A2280">
        <v>3050202</v>
      </c>
      <c r="B2280" t="s">
        <v>12001</v>
      </c>
      <c r="C2280" t="str">
        <f>"9780889202634"</f>
        <v>9780889202634</v>
      </c>
      <c r="D2280" t="str">
        <f>"9780889205659"</f>
        <v>9780889205659</v>
      </c>
      <c r="E2280" t="s">
        <v>6047</v>
      </c>
      <c r="F2280" t="s">
        <v>6047</v>
      </c>
      <c r="G2280" s="1">
        <v>35034</v>
      </c>
      <c r="J2280" t="s">
        <v>12002</v>
      </c>
      <c r="K2280" t="s">
        <v>1471</v>
      </c>
      <c r="L2280" t="s">
        <v>12003</v>
      </c>
      <c r="M2280">
        <v>759.11</v>
      </c>
      <c r="N2280" t="s">
        <v>12004</v>
      </c>
      <c r="O2280" t="s">
        <v>26</v>
      </c>
      <c r="P2280">
        <v>85</v>
      </c>
      <c r="Q2280">
        <v>106.25</v>
      </c>
      <c r="R2280">
        <v>85</v>
      </c>
      <c r="S2280">
        <v>127.5</v>
      </c>
      <c r="T2280" t="s">
        <v>12005</v>
      </c>
    </row>
    <row r="2281" spans="1:20">
      <c r="A2281">
        <v>3050203</v>
      </c>
      <c r="B2281" t="s">
        <v>12006</v>
      </c>
      <c r="C2281" t="str">
        <f>"9780889200692"</f>
        <v>9780889200692</v>
      </c>
      <c r="D2281" t="str">
        <f>"9780889205703"</f>
        <v>9780889205703</v>
      </c>
      <c r="E2281" t="s">
        <v>6047</v>
      </c>
      <c r="F2281" t="s">
        <v>6047</v>
      </c>
      <c r="G2281" s="1">
        <v>28825</v>
      </c>
      <c r="J2281" t="s">
        <v>12007</v>
      </c>
      <c r="K2281" t="s">
        <v>1464</v>
      </c>
      <c r="L2281" t="s">
        <v>12008</v>
      </c>
      <c r="N2281" t="s">
        <v>12009</v>
      </c>
      <c r="O2281" t="s">
        <v>26</v>
      </c>
      <c r="P2281">
        <v>85</v>
      </c>
      <c r="Q2281">
        <v>106.25</v>
      </c>
      <c r="R2281">
        <v>85</v>
      </c>
      <c r="S2281">
        <v>127.5</v>
      </c>
      <c r="T2281" t="s">
        <v>12010</v>
      </c>
    </row>
    <row r="2282" spans="1:20">
      <c r="A2282">
        <v>3050204</v>
      </c>
      <c r="B2282" t="s">
        <v>12011</v>
      </c>
      <c r="C2282" t="str">
        <f>"9780889200951"</f>
        <v>9780889200951</v>
      </c>
      <c r="D2282" t="str">
        <f>"9780889206847"</f>
        <v>9780889206847</v>
      </c>
      <c r="E2282" t="s">
        <v>6047</v>
      </c>
      <c r="F2282" t="s">
        <v>6047</v>
      </c>
      <c r="G2282" s="1">
        <v>29190</v>
      </c>
      <c r="J2282" t="s">
        <v>12012</v>
      </c>
      <c r="K2282" t="s">
        <v>291</v>
      </c>
      <c r="L2282" t="s">
        <v>12013</v>
      </c>
      <c r="M2282" t="s">
        <v>12014</v>
      </c>
      <c r="N2282" t="s">
        <v>12015</v>
      </c>
      <c r="O2282" t="s">
        <v>26</v>
      </c>
      <c r="P2282">
        <v>85</v>
      </c>
      <c r="Q2282">
        <v>106.25</v>
      </c>
      <c r="R2282">
        <v>85</v>
      </c>
      <c r="S2282">
        <v>127.5</v>
      </c>
      <c r="T2282" t="s">
        <v>12016</v>
      </c>
    </row>
    <row r="2283" spans="1:20">
      <c r="A2283">
        <v>3050205</v>
      </c>
      <c r="B2283" t="s">
        <v>12017</v>
      </c>
      <c r="C2283" t="str">
        <f>"9780889201200"</f>
        <v>9780889201200</v>
      </c>
      <c r="D2283" t="str">
        <f>"9780889205871"</f>
        <v>9780889205871</v>
      </c>
      <c r="E2283" t="s">
        <v>6047</v>
      </c>
      <c r="F2283" t="s">
        <v>6047</v>
      </c>
      <c r="G2283" s="1">
        <v>29921</v>
      </c>
      <c r="J2283" t="s">
        <v>12018</v>
      </c>
      <c r="K2283" t="s">
        <v>1464</v>
      </c>
      <c r="L2283" t="s">
        <v>12019</v>
      </c>
      <c r="N2283" t="s">
        <v>7523</v>
      </c>
      <c r="O2283" t="s">
        <v>26</v>
      </c>
      <c r="P2283">
        <v>85</v>
      </c>
      <c r="Q2283">
        <v>106.25</v>
      </c>
      <c r="R2283">
        <v>85</v>
      </c>
      <c r="S2283">
        <v>127.5</v>
      </c>
      <c r="T2283" t="s">
        <v>12020</v>
      </c>
    </row>
    <row r="2284" spans="1:20">
      <c r="A2284">
        <v>3050206</v>
      </c>
      <c r="B2284" t="s">
        <v>12021</v>
      </c>
      <c r="C2284" t="str">
        <f>"9780889200968"</f>
        <v>9780889200968</v>
      </c>
      <c r="D2284" t="str">
        <f>"9780889205680"</f>
        <v>9780889205680</v>
      </c>
      <c r="E2284" t="s">
        <v>6047</v>
      </c>
      <c r="F2284" t="s">
        <v>6047</v>
      </c>
      <c r="G2284" s="1">
        <v>29921</v>
      </c>
      <c r="J2284" t="s">
        <v>12022</v>
      </c>
      <c r="K2284" t="s">
        <v>291</v>
      </c>
      <c r="L2284" t="s">
        <v>12023</v>
      </c>
      <c r="N2284" t="s">
        <v>12024</v>
      </c>
      <c r="O2284" t="s">
        <v>26</v>
      </c>
      <c r="P2284">
        <v>85</v>
      </c>
      <c r="Q2284">
        <v>106.25</v>
      </c>
      <c r="R2284">
        <v>85</v>
      </c>
      <c r="S2284">
        <v>127.5</v>
      </c>
      <c r="T2284" t="s">
        <v>12025</v>
      </c>
    </row>
    <row r="2285" spans="1:20">
      <c r="A2285">
        <v>3050207</v>
      </c>
      <c r="B2285" t="s">
        <v>12026</v>
      </c>
      <c r="C2285" t="str">
        <f>"9780889201583"</f>
        <v>9780889201583</v>
      </c>
      <c r="D2285" t="str">
        <f>"9780889207431"</f>
        <v>9780889207431</v>
      </c>
      <c r="E2285" t="s">
        <v>6047</v>
      </c>
      <c r="F2285" t="s">
        <v>6047</v>
      </c>
      <c r="G2285" s="1">
        <v>30651</v>
      </c>
      <c r="J2285" t="s">
        <v>12027</v>
      </c>
      <c r="K2285" t="s">
        <v>1892</v>
      </c>
      <c r="L2285" t="s">
        <v>12028</v>
      </c>
      <c r="N2285" t="s">
        <v>12029</v>
      </c>
      <c r="O2285" t="s">
        <v>26</v>
      </c>
      <c r="P2285">
        <v>85</v>
      </c>
      <c r="Q2285">
        <v>106.25</v>
      </c>
      <c r="R2285">
        <v>85</v>
      </c>
      <c r="S2285">
        <v>127.5</v>
      </c>
      <c r="T2285" t="s">
        <v>12030</v>
      </c>
    </row>
    <row r="2286" spans="1:20">
      <c r="A2286">
        <v>3050208</v>
      </c>
      <c r="B2286" t="s">
        <v>12031</v>
      </c>
      <c r="C2286" t="str">
        <f>"9780889202573"</f>
        <v>9780889202573</v>
      </c>
      <c r="D2286" t="str">
        <f>"9780889208780"</f>
        <v>9780889208780</v>
      </c>
      <c r="E2286" t="s">
        <v>6047</v>
      </c>
      <c r="F2286" t="s">
        <v>6047</v>
      </c>
      <c r="G2286" s="1">
        <v>34669</v>
      </c>
      <c r="J2286" t="s">
        <v>12032</v>
      </c>
      <c r="K2286" t="s">
        <v>1892</v>
      </c>
      <c r="L2286" t="s">
        <v>12033</v>
      </c>
      <c r="N2286" t="s">
        <v>12034</v>
      </c>
      <c r="O2286" t="s">
        <v>26</v>
      </c>
      <c r="P2286">
        <v>85</v>
      </c>
      <c r="Q2286">
        <v>106.25</v>
      </c>
      <c r="R2286">
        <v>85</v>
      </c>
      <c r="S2286">
        <v>127.5</v>
      </c>
      <c r="T2286" t="s">
        <v>12035</v>
      </c>
    </row>
    <row r="2287" spans="1:20">
      <c r="A2287">
        <v>3050209</v>
      </c>
      <c r="B2287" t="s">
        <v>12036</v>
      </c>
      <c r="C2287" t="str">
        <f>"9780889200364"</f>
        <v>9780889200364</v>
      </c>
      <c r="D2287" t="str">
        <f>"9780889207967"</f>
        <v>9780889207967</v>
      </c>
      <c r="E2287" t="s">
        <v>6047</v>
      </c>
      <c r="F2287" t="s">
        <v>6047</v>
      </c>
      <c r="G2287" s="1">
        <v>28095</v>
      </c>
      <c r="J2287" t="s">
        <v>12037</v>
      </c>
      <c r="K2287" t="s">
        <v>12038</v>
      </c>
      <c r="L2287" t="s">
        <v>12039</v>
      </c>
      <c r="N2287" t="s">
        <v>12040</v>
      </c>
      <c r="O2287" t="s">
        <v>26</v>
      </c>
      <c r="P2287">
        <v>85</v>
      </c>
      <c r="Q2287">
        <v>106.25</v>
      </c>
      <c r="R2287">
        <v>85</v>
      </c>
      <c r="S2287">
        <v>127.5</v>
      </c>
      <c r="T2287" t="s">
        <v>12041</v>
      </c>
    </row>
    <row r="2288" spans="1:20">
      <c r="A2288">
        <v>3050210</v>
      </c>
      <c r="B2288" t="s">
        <v>12042</v>
      </c>
      <c r="C2288" t="str">
        <f>"9780889201859"</f>
        <v>9780889201859</v>
      </c>
      <c r="D2288" t="str">
        <f>"9780889207738"</f>
        <v>9780889207738</v>
      </c>
      <c r="E2288" t="s">
        <v>6047</v>
      </c>
      <c r="F2288" t="s">
        <v>6047</v>
      </c>
      <c r="G2288" s="1">
        <v>31382</v>
      </c>
      <c r="J2288" t="s">
        <v>12043</v>
      </c>
      <c r="K2288" t="s">
        <v>1892</v>
      </c>
      <c r="L2288" t="s">
        <v>12044</v>
      </c>
      <c r="N2288" t="s">
        <v>12045</v>
      </c>
      <c r="O2288" t="s">
        <v>26</v>
      </c>
      <c r="P2288">
        <v>85</v>
      </c>
      <c r="Q2288">
        <v>106.25</v>
      </c>
      <c r="R2288">
        <v>85</v>
      </c>
      <c r="S2288">
        <v>127.5</v>
      </c>
      <c r="T2288" t="s">
        <v>12046</v>
      </c>
    </row>
    <row r="2289" spans="1:20">
      <c r="A2289">
        <v>3050211</v>
      </c>
      <c r="B2289" t="s">
        <v>12047</v>
      </c>
      <c r="C2289" t="str">
        <f>"9780889201132"</f>
        <v>9780889201132</v>
      </c>
      <c r="D2289" t="str">
        <f>"9780889206779"</f>
        <v>9780889206779</v>
      </c>
      <c r="E2289" t="s">
        <v>6047</v>
      </c>
      <c r="F2289" t="s">
        <v>6047</v>
      </c>
      <c r="G2289" s="1">
        <v>29921</v>
      </c>
      <c r="J2289" t="s">
        <v>12048</v>
      </c>
      <c r="K2289" t="s">
        <v>1892</v>
      </c>
      <c r="L2289" t="s">
        <v>12049</v>
      </c>
      <c r="N2289" t="s">
        <v>12050</v>
      </c>
      <c r="O2289" t="s">
        <v>26</v>
      </c>
      <c r="P2289">
        <v>85</v>
      </c>
      <c r="Q2289">
        <v>106.25</v>
      </c>
      <c r="R2289">
        <v>85</v>
      </c>
      <c r="S2289">
        <v>127.5</v>
      </c>
      <c r="T2289" t="s">
        <v>12051</v>
      </c>
    </row>
    <row r="2290" spans="1:20">
      <c r="A2290">
        <v>3050212</v>
      </c>
      <c r="B2290" t="s">
        <v>12052</v>
      </c>
      <c r="C2290" t="str">
        <f>"9780889201439"</f>
        <v>9780889201439</v>
      </c>
      <c r="D2290" t="str">
        <f>"9780889207516"</f>
        <v>9780889207516</v>
      </c>
      <c r="E2290" t="s">
        <v>6047</v>
      </c>
      <c r="F2290" t="s">
        <v>6047</v>
      </c>
      <c r="G2290" s="1">
        <v>30286</v>
      </c>
      <c r="J2290" t="s">
        <v>12053</v>
      </c>
      <c r="K2290" t="s">
        <v>1892</v>
      </c>
      <c r="L2290" t="s">
        <v>12054</v>
      </c>
      <c r="N2290" t="s">
        <v>12055</v>
      </c>
      <c r="O2290" t="s">
        <v>26</v>
      </c>
      <c r="P2290">
        <v>85</v>
      </c>
      <c r="Q2290">
        <v>106.25</v>
      </c>
      <c r="R2290">
        <v>85</v>
      </c>
      <c r="S2290">
        <v>127.5</v>
      </c>
      <c r="T2290" t="s">
        <v>12056</v>
      </c>
    </row>
    <row r="2291" spans="1:20">
      <c r="A2291">
        <v>3050213</v>
      </c>
      <c r="B2291" t="s">
        <v>12057</v>
      </c>
      <c r="C2291" t="str">
        <f>"9780889201002"</f>
        <v>9780889201002</v>
      </c>
      <c r="D2291" t="str">
        <f>"9780889207936"</f>
        <v>9780889207936</v>
      </c>
      <c r="E2291" t="s">
        <v>6047</v>
      </c>
      <c r="F2291" t="s">
        <v>6047</v>
      </c>
      <c r="G2291" s="1">
        <v>29190</v>
      </c>
      <c r="J2291" t="s">
        <v>12058</v>
      </c>
      <c r="K2291" t="s">
        <v>12038</v>
      </c>
      <c r="L2291" t="s">
        <v>12059</v>
      </c>
      <c r="N2291" t="s">
        <v>12060</v>
      </c>
      <c r="O2291" t="s">
        <v>26</v>
      </c>
      <c r="P2291">
        <v>85</v>
      </c>
      <c r="Q2291">
        <v>106.25</v>
      </c>
      <c r="R2291">
        <v>85</v>
      </c>
      <c r="S2291">
        <v>127.5</v>
      </c>
      <c r="T2291" t="s">
        <v>12061</v>
      </c>
    </row>
    <row r="2292" spans="1:20">
      <c r="A2292">
        <v>3050214</v>
      </c>
      <c r="B2292" t="s">
        <v>12062</v>
      </c>
      <c r="C2292" t="str">
        <f>"9780889202665"</f>
        <v>9780889202665</v>
      </c>
      <c r="D2292" t="str">
        <f>"9780889208735"</f>
        <v>9780889208735</v>
      </c>
      <c r="E2292" t="s">
        <v>6047</v>
      </c>
      <c r="F2292" t="s">
        <v>6047</v>
      </c>
      <c r="G2292" s="1">
        <v>34669</v>
      </c>
      <c r="J2292" t="s">
        <v>12063</v>
      </c>
      <c r="K2292" t="s">
        <v>376</v>
      </c>
      <c r="L2292" t="s">
        <v>12064</v>
      </c>
      <c r="M2292" t="s">
        <v>12065</v>
      </c>
      <c r="N2292" t="s">
        <v>12066</v>
      </c>
      <c r="O2292" t="s">
        <v>26</v>
      </c>
      <c r="P2292">
        <v>85</v>
      </c>
      <c r="Q2292">
        <v>106.25</v>
      </c>
      <c r="R2292">
        <v>85</v>
      </c>
      <c r="S2292">
        <v>127.5</v>
      </c>
      <c r="T2292" t="s">
        <v>12067</v>
      </c>
    </row>
    <row r="2293" spans="1:20">
      <c r="A2293">
        <v>3050215</v>
      </c>
      <c r="B2293" t="s">
        <v>12068</v>
      </c>
      <c r="C2293" t="str">
        <f>"9780889201552"</f>
        <v>9780889201552</v>
      </c>
      <c r="D2293" t="str">
        <f>"9780889207790"</f>
        <v>9780889207790</v>
      </c>
      <c r="E2293" t="s">
        <v>6047</v>
      </c>
      <c r="F2293" t="s">
        <v>6047</v>
      </c>
      <c r="G2293" s="1">
        <v>31382</v>
      </c>
      <c r="J2293" t="s">
        <v>12069</v>
      </c>
      <c r="K2293" t="s">
        <v>1464</v>
      </c>
      <c r="L2293" t="s">
        <v>12070</v>
      </c>
      <c r="N2293" t="s">
        <v>12071</v>
      </c>
      <c r="O2293" t="s">
        <v>26</v>
      </c>
      <c r="P2293">
        <v>85</v>
      </c>
      <c r="Q2293">
        <v>106.25</v>
      </c>
      <c r="R2293">
        <v>85</v>
      </c>
      <c r="S2293">
        <v>127.5</v>
      </c>
      <c r="T2293" t="s">
        <v>12072</v>
      </c>
    </row>
    <row r="2294" spans="1:20">
      <c r="A2294">
        <v>3050216</v>
      </c>
      <c r="B2294" t="s">
        <v>12073</v>
      </c>
      <c r="C2294" t="str">
        <f>"9780889201361"</f>
        <v>9780889201361</v>
      </c>
      <c r="D2294" t="str">
        <f>"9780889208766"</f>
        <v>9780889208766</v>
      </c>
      <c r="E2294" t="s">
        <v>6047</v>
      </c>
      <c r="F2294" t="s">
        <v>6047</v>
      </c>
      <c r="G2294" s="1">
        <v>30286</v>
      </c>
      <c r="J2294" t="s">
        <v>12074</v>
      </c>
      <c r="K2294" t="s">
        <v>1892</v>
      </c>
      <c r="L2294" t="s">
        <v>12075</v>
      </c>
      <c r="N2294" t="s">
        <v>12076</v>
      </c>
      <c r="O2294" t="s">
        <v>26</v>
      </c>
      <c r="P2294">
        <v>85</v>
      </c>
      <c r="Q2294">
        <v>106.25</v>
      </c>
      <c r="R2294">
        <v>85</v>
      </c>
      <c r="S2294">
        <v>127.5</v>
      </c>
      <c r="T2294" t="s">
        <v>12077</v>
      </c>
    </row>
    <row r="2295" spans="1:20">
      <c r="A2295">
        <v>3050217</v>
      </c>
      <c r="B2295" t="s">
        <v>12078</v>
      </c>
      <c r="C2295" t="str">
        <f>"9780889201613"</f>
        <v>9780889201613</v>
      </c>
      <c r="D2295" t="str">
        <f>"9780889207080"</f>
        <v>9780889207080</v>
      </c>
      <c r="E2295" t="s">
        <v>6047</v>
      </c>
      <c r="F2295" t="s">
        <v>6047</v>
      </c>
      <c r="G2295" s="1">
        <v>30651</v>
      </c>
      <c r="J2295" t="s">
        <v>12079</v>
      </c>
      <c r="K2295" t="s">
        <v>1464</v>
      </c>
      <c r="L2295" t="s">
        <v>12080</v>
      </c>
      <c r="N2295" t="s">
        <v>12081</v>
      </c>
      <c r="O2295" t="s">
        <v>26</v>
      </c>
      <c r="P2295">
        <v>85</v>
      </c>
      <c r="Q2295">
        <v>106.25</v>
      </c>
      <c r="R2295">
        <v>85</v>
      </c>
      <c r="S2295">
        <v>127.5</v>
      </c>
      <c r="T2295" t="s">
        <v>12082</v>
      </c>
    </row>
    <row r="2296" spans="1:20">
      <c r="A2296">
        <v>3050218</v>
      </c>
      <c r="B2296" t="s">
        <v>12083</v>
      </c>
      <c r="C2296" t="str">
        <f>"9780889200241"</f>
        <v>9780889200241</v>
      </c>
      <c r="D2296" t="str">
        <f>"9780889205758"</f>
        <v>9780889205758</v>
      </c>
      <c r="E2296" t="s">
        <v>6047</v>
      </c>
      <c r="F2296" t="s">
        <v>6047</v>
      </c>
      <c r="G2296" s="1">
        <v>27364</v>
      </c>
      <c r="J2296" t="s">
        <v>12084</v>
      </c>
      <c r="K2296" t="s">
        <v>291</v>
      </c>
      <c r="L2296" t="s">
        <v>12085</v>
      </c>
      <c r="N2296" t="s">
        <v>12086</v>
      </c>
      <c r="O2296" t="s">
        <v>26</v>
      </c>
      <c r="P2296">
        <v>85</v>
      </c>
      <c r="Q2296">
        <v>106.25</v>
      </c>
      <c r="R2296">
        <v>85</v>
      </c>
      <c r="S2296">
        <v>127.5</v>
      </c>
      <c r="T2296" t="s">
        <v>12087</v>
      </c>
    </row>
    <row r="2297" spans="1:20">
      <c r="A2297">
        <v>3050219</v>
      </c>
      <c r="B2297" t="s">
        <v>12088</v>
      </c>
      <c r="C2297" t="str">
        <f>"9780889201293"</f>
        <v>9780889201293</v>
      </c>
      <c r="D2297" t="str">
        <f>"9780889206540"</f>
        <v>9780889206540</v>
      </c>
      <c r="E2297" t="s">
        <v>6047</v>
      </c>
      <c r="F2297" t="s">
        <v>6047</v>
      </c>
      <c r="G2297" s="1">
        <v>30286</v>
      </c>
      <c r="J2297" t="s">
        <v>12089</v>
      </c>
      <c r="K2297" t="s">
        <v>1859</v>
      </c>
      <c r="L2297" t="s">
        <v>12090</v>
      </c>
      <c r="N2297" t="s">
        <v>12091</v>
      </c>
      <c r="O2297" t="s">
        <v>26</v>
      </c>
      <c r="P2297">
        <v>85</v>
      </c>
      <c r="Q2297">
        <v>106.25</v>
      </c>
      <c r="R2297">
        <v>85</v>
      </c>
      <c r="S2297">
        <v>127.5</v>
      </c>
      <c r="T2297" t="s">
        <v>12092</v>
      </c>
    </row>
    <row r="2298" spans="1:20">
      <c r="A2298">
        <v>3050220</v>
      </c>
      <c r="B2298" t="s">
        <v>12093</v>
      </c>
      <c r="C2298" t="str">
        <f>"9780889200074"</f>
        <v>9780889200074</v>
      </c>
      <c r="D2298" t="str">
        <f>"9780889208988"</f>
        <v>9780889208988</v>
      </c>
      <c r="E2298" t="s">
        <v>6047</v>
      </c>
      <c r="F2298" t="s">
        <v>6047</v>
      </c>
      <c r="G2298" s="1">
        <v>26999</v>
      </c>
      <c r="J2298" t="s">
        <v>12094</v>
      </c>
      <c r="K2298" t="s">
        <v>291</v>
      </c>
      <c r="L2298" t="s">
        <v>12095</v>
      </c>
      <c r="N2298" t="s">
        <v>12096</v>
      </c>
      <c r="O2298" t="s">
        <v>26</v>
      </c>
      <c r="P2298">
        <v>85</v>
      </c>
      <c r="Q2298">
        <v>106.25</v>
      </c>
      <c r="R2298">
        <v>85</v>
      </c>
      <c r="S2298">
        <v>127.5</v>
      </c>
      <c r="T2298" t="s">
        <v>12097</v>
      </c>
    </row>
    <row r="2299" spans="1:20">
      <c r="A2299">
        <v>3050221</v>
      </c>
      <c r="B2299" t="s">
        <v>12098</v>
      </c>
      <c r="C2299" t="str">
        <f>"9780889202603"</f>
        <v>9780889202603</v>
      </c>
      <c r="D2299" t="str">
        <f>"9780889207301"</f>
        <v>9780889207301</v>
      </c>
      <c r="E2299" t="s">
        <v>6047</v>
      </c>
      <c r="F2299" t="s">
        <v>6047</v>
      </c>
      <c r="G2299" s="1">
        <v>35034</v>
      </c>
      <c r="J2299" t="s">
        <v>6856</v>
      </c>
      <c r="K2299" t="s">
        <v>263</v>
      </c>
      <c r="L2299" t="s">
        <v>12099</v>
      </c>
      <c r="N2299" t="s">
        <v>12100</v>
      </c>
      <c r="O2299" t="s">
        <v>26</v>
      </c>
      <c r="P2299">
        <v>85</v>
      </c>
      <c r="Q2299">
        <v>106.25</v>
      </c>
      <c r="R2299">
        <v>85</v>
      </c>
      <c r="S2299">
        <v>127.5</v>
      </c>
      <c r="T2299" t="s">
        <v>12101</v>
      </c>
    </row>
    <row r="2300" spans="1:20">
      <c r="A2300">
        <v>3050222</v>
      </c>
      <c r="B2300" t="s">
        <v>12102</v>
      </c>
      <c r="C2300" t="str">
        <f>"9780889202160"</f>
        <v>9780889202160</v>
      </c>
      <c r="D2300" t="str">
        <f>"9780889208414"</f>
        <v>9780889208414</v>
      </c>
      <c r="E2300" t="s">
        <v>6047</v>
      </c>
      <c r="F2300" t="s">
        <v>6047</v>
      </c>
      <c r="G2300" s="1">
        <v>33573</v>
      </c>
      <c r="J2300" t="s">
        <v>12103</v>
      </c>
      <c r="K2300" t="s">
        <v>291</v>
      </c>
      <c r="L2300" t="s">
        <v>12104</v>
      </c>
      <c r="N2300" t="s">
        <v>12105</v>
      </c>
      <c r="O2300" t="s">
        <v>26</v>
      </c>
      <c r="P2300">
        <v>85</v>
      </c>
      <c r="Q2300">
        <v>106.25</v>
      </c>
      <c r="R2300">
        <v>85</v>
      </c>
      <c r="S2300">
        <v>127.5</v>
      </c>
      <c r="T2300" t="s">
        <v>12106</v>
      </c>
    </row>
    <row r="2301" spans="1:20">
      <c r="A2301">
        <v>3050223</v>
      </c>
      <c r="B2301" t="s">
        <v>12107</v>
      </c>
      <c r="C2301" t="str">
        <f>"9780919812048"</f>
        <v>9780919812048</v>
      </c>
      <c r="D2301" t="str">
        <f>"9780889208520"</f>
        <v>9780889208520</v>
      </c>
      <c r="E2301" t="s">
        <v>6047</v>
      </c>
      <c r="F2301" t="s">
        <v>6047</v>
      </c>
      <c r="G2301" s="1">
        <v>28095</v>
      </c>
      <c r="J2301" t="s">
        <v>12108</v>
      </c>
      <c r="K2301" t="s">
        <v>1892</v>
      </c>
      <c r="L2301" t="s">
        <v>12109</v>
      </c>
      <c r="N2301" t="s">
        <v>12110</v>
      </c>
      <c r="O2301" t="s">
        <v>26</v>
      </c>
      <c r="P2301">
        <v>85</v>
      </c>
      <c r="Q2301">
        <v>106.25</v>
      </c>
      <c r="R2301">
        <v>85</v>
      </c>
      <c r="S2301">
        <v>127.5</v>
      </c>
      <c r="T2301" t="s">
        <v>12111</v>
      </c>
    </row>
    <row r="2302" spans="1:20">
      <c r="A2302">
        <v>3050224</v>
      </c>
      <c r="B2302" t="s">
        <v>12112</v>
      </c>
      <c r="C2302" t="str">
        <f>"9780889202641"</f>
        <v>9780889202641</v>
      </c>
      <c r="D2302" t="str">
        <f>"9780889207707"</f>
        <v>9780889207707</v>
      </c>
      <c r="E2302" t="s">
        <v>6047</v>
      </c>
      <c r="F2302" t="s">
        <v>6047</v>
      </c>
      <c r="G2302" s="1">
        <v>35034</v>
      </c>
      <c r="J2302" t="s">
        <v>12113</v>
      </c>
      <c r="K2302" t="s">
        <v>1892</v>
      </c>
      <c r="L2302" t="s">
        <v>12114</v>
      </c>
      <c r="M2302" t="s">
        <v>12115</v>
      </c>
      <c r="N2302" t="s">
        <v>12116</v>
      </c>
      <c r="O2302" t="s">
        <v>26</v>
      </c>
      <c r="P2302">
        <v>85</v>
      </c>
      <c r="Q2302">
        <v>106.25</v>
      </c>
      <c r="R2302">
        <v>85</v>
      </c>
      <c r="S2302">
        <v>127.5</v>
      </c>
      <c r="T2302" t="s">
        <v>12117</v>
      </c>
    </row>
    <row r="2303" spans="1:20">
      <c r="A2303">
        <v>3050225</v>
      </c>
      <c r="B2303" t="s">
        <v>12118</v>
      </c>
      <c r="C2303" t="str">
        <f>"9780889202948"</f>
        <v>9780889202948</v>
      </c>
      <c r="D2303" t="str">
        <f>"9780889207592"</f>
        <v>9780889207592</v>
      </c>
      <c r="E2303" t="s">
        <v>6047</v>
      </c>
      <c r="F2303" t="s">
        <v>6047</v>
      </c>
      <c r="G2303" s="1">
        <v>36130</v>
      </c>
      <c r="J2303" t="s">
        <v>6732</v>
      </c>
      <c r="K2303" t="s">
        <v>1892</v>
      </c>
      <c r="L2303" t="s">
        <v>12119</v>
      </c>
      <c r="N2303" t="s">
        <v>12120</v>
      </c>
      <c r="O2303" t="s">
        <v>26</v>
      </c>
      <c r="P2303">
        <v>85</v>
      </c>
      <c r="Q2303">
        <v>106.25</v>
      </c>
      <c r="R2303">
        <v>85</v>
      </c>
      <c r="S2303">
        <v>127.5</v>
      </c>
      <c r="T2303" t="s">
        <v>12121</v>
      </c>
    </row>
    <row r="2304" spans="1:20">
      <c r="A2304">
        <v>3050226</v>
      </c>
      <c r="B2304" t="s">
        <v>12122</v>
      </c>
      <c r="C2304" t="str">
        <f>"9780889201279"</f>
        <v>9780889201279</v>
      </c>
      <c r="D2304" t="str">
        <f>"9780889208995"</f>
        <v>9780889208995</v>
      </c>
      <c r="E2304" t="s">
        <v>6047</v>
      </c>
      <c r="F2304" t="s">
        <v>6047</v>
      </c>
      <c r="G2304" s="1">
        <v>30286</v>
      </c>
      <c r="J2304" t="s">
        <v>12123</v>
      </c>
      <c r="K2304" t="s">
        <v>1127</v>
      </c>
      <c r="L2304" t="s">
        <v>12124</v>
      </c>
      <c r="N2304" t="s">
        <v>12125</v>
      </c>
      <c r="O2304" t="s">
        <v>26</v>
      </c>
      <c r="P2304">
        <v>85</v>
      </c>
      <c r="Q2304">
        <v>106.25</v>
      </c>
      <c r="R2304">
        <v>85</v>
      </c>
      <c r="S2304">
        <v>127.5</v>
      </c>
      <c r="T2304" t="s">
        <v>12126</v>
      </c>
    </row>
    <row r="2305" spans="1:20">
      <c r="A2305">
        <v>3050227</v>
      </c>
      <c r="B2305" t="s">
        <v>12127</v>
      </c>
      <c r="C2305" t="str">
        <f>"9780889202771"</f>
        <v>9780889202771</v>
      </c>
      <c r="D2305" t="str">
        <f>"9780889206038"</f>
        <v>9780889206038</v>
      </c>
      <c r="E2305" t="s">
        <v>6047</v>
      </c>
      <c r="F2305" t="s">
        <v>6047</v>
      </c>
      <c r="G2305" s="1">
        <v>35034</v>
      </c>
      <c r="J2305" t="s">
        <v>12128</v>
      </c>
      <c r="K2305" t="s">
        <v>1892</v>
      </c>
      <c r="L2305" t="s">
        <v>12129</v>
      </c>
      <c r="M2305" t="s">
        <v>12130</v>
      </c>
      <c r="N2305" t="s">
        <v>12131</v>
      </c>
      <c r="O2305" t="s">
        <v>26</v>
      </c>
      <c r="P2305">
        <v>85</v>
      </c>
      <c r="Q2305">
        <v>106.25</v>
      </c>
      <c r="R2305">
        <v>85</v>
      </c>
      <c r="S2305">
        <v>127.5</v>
      </c>
      <c r="T2305" t="s">
        <v>12132</v>
      </c>
    </row>
    <row r="2306" spans="1:20">
      <c r="A2306">
        <v>3050228</v>
      </c>
      <c r="B2306" t="s">
        <v>12133</v>
      </c>
      <c r="C2306" t="str">
        <f>"9780889203303"</f>
        <v>9780889203303</v>
      </c>
      <c r="D2306" t="str">
        <f>"9780889205598"</f>
        <v>9780889205598</v>
      </c>
      <c r="E2306" t="s">
        <v>6047</v>
      </c>
      <c r="F2306" t="s">
        <v>6047</v>
      </c>
      <c r="G2306" s="1">
        <v>36130</v>
      </c>
      <c r="J2306" t="s">
        <v>7638</v>
      </c>
      <c r="K2306" t="s">
        <v>263</v>
      </c>
      <c r="L2306" t="s">
        <v>12134</v>
      </c>
      <c r="N2306" t="s">
        <v>12135</v>
      </c>
      <c r="O2306" t="s">
        <v>26</v>
      </c>
      <c r="P2306">
        <v>85</v>
      </c>
      <c r="Q2306">
        <v>106.25</v>
      </c>
      <c r="R2306">
        <v>85</v>
      </c>
      <c r="S2306">
        <v>127.5</v>
      </c>
      <c r="T2306" t="s">
        <v>12136</v>
      </c>
    </row>
    <row r="2307" spans="1:20">
      <c r="A2307">
        <v>3050229</v>
      </c>
      <c r="B2307" t="s">
        <v>12137</v>
      </c>
      <c r="C2307" t="str">
        <f>"9780889202696"</f>
        <v>9780889202696</v>
      </c>
      <c r="D2307" t="str">
        <f>"9780889205833"</f>
        <v>9780889205833</v>
      </c>
      <c r="E2307" t="s">
        <v>6047</v>
      </c>
      <c r="F2307" t="s">
        <v>6047</v>
      </c>
      <c r="G2307" s="1">
        <v>34669</v>
      </c>
      <c r="J2307" t="s">
        <v>12138</v>
      </c>
      <c r="K2307" t="s">
        <v>6813</v>
      </c>
      <c r="L2307" t="s">
        <v>12139</v>
      </c>
      <c r="M2307">
        <v>305.42</v>
      </c>
      <c r="N2307" t="s">
        <v>12140</v>
      </c>
      <c r="O2307" t="s">
        <v>26</v>
      </c>
      <c r="P2307">
        <v>85</v>
      </c>
      <c r="Q2307">
        <v>106.25</v>
      </c>
      <c r="R2307">
        <v>85</v>
      </c>
      <c r="S2307">
        <v>127.5</v>
      </c>
      <c r="T2307" t="s">
        <v>12141</v>
      </c>
    </row>
    <row r="2308" spans="1:20">
      <c r="A2308">
        <v>3050230</v>
      </c>
      <c r="B2308" t="s">
        <v>12142</v>
      </c>
      <c r="C2308" t="str">
        <f>"9781550581041"</f>
        <v>9781550581041</v>
      </c>
      <c r="D2308" t="str">
        <f>"9780889208490"</f>
        <v>9780889208490</v>
      </c>
      <c r="E2308" t="s">
        <v>6047</v>
      </c>
      <c r="F2308" t="s">
        <v>6047</v>
      </c>
      <c r="G2308" s="1">
        <v>35034</v>
      </c>
      <c r="J2308" t="s">
        <v>12143</v>
      </c>
      <c r="K2308" t="s">
        <v>263</v>
      </c>
      <c r="L2308" t="s">
        <v>12144</v>
      </c>
      <c r="N2308" t="s">
        <v>12145</v>
      </c>
      <c r="O2308" t="s">
        <v>26</v>
      </c>
      <c r="P2308">
        <v>85</v>
      </c>
      <c r="Q2308">
        <v>106.25</v>
      </c>
      <c r="R2308">
        <v>85</v>
      </c>
      <c r="S2308">
        <v>127.5</v>
      </c>
      <c r="T2308" t="s">
        <v>12146</v>
      </c>
    </row>
    <row r="2309" spans="1:20">
      <c r="A2309">
        <v>3050231</v>
      </c>
      <c r="B2309" t="s">
        <v>12147</v>
      </c>
      <c r="C2309" t="str">
        <f>"9780889200159"</f>
        <v>9780889200159</v>
      </c>
      <c r="D2309" t="str">
        <f>"9780889206854"</f>
        <v>9780889206854</v>
      </c>
      <c r="E2309" t="s">
        <v>6047</v>
      </c>
      <c r="F2309" t="s">
        <v>6047</v>
      </c>
      <c r="G2309" s="1">
        <v>27364</v>
      </c>
      <c r="J2309" t="s">
        <v>12148</v>
      </c>
      <c r="K2309" t="s">
        <v>257</v>
      </c>
      <c r="L2309" t="s">
        <v>12149</v>
      </c>
      <c r="N2309" t="s">
        <v>12150</v>
      </c>
      <c r="O2309" t="s">
        <v>26</v>
      </c>
      <c r="P2309">
        <v>85</v>
      </c>
      <c r="Q2309">
        <v>106.25</v>
      </c>
      <c r="R2309">
        <v>85</v>
      </c>
      <c r="S2309">
        <v>127.5</v>
      </c>
      <c r="T2309" t="s">
        <v>12151</v>
      </c>
    </row>
    <row r="2310" spans="1:20">
      <c r="A2310">
        <v>3050232</v>
      </c>
      <c r="B2310" t="s">
        <v>12152</v>
      </c>
      <c r="C2310" t="str">
        <f>"9780889201309"</f>
        <v>9780889201309</v>
      </c>
      <c r="D2310" t="str">
        <f>"9780889207837"</f>
        <v>9780889207837</v>
      </c>
      <c r="E2310" t="s">
        <v>6047</v>
      </c>
      <c r="F2310" t="s">
        <v>6047</v>
      </c>
      <c r="G2310" s="1">
        <v>31017</v>
      </c>
      <c r="J2310" t="s">
        <v>12153</v>
      </c>
      <c r="K2310" t="s">
        <v>291</v>
      </c>
      <c r="L2310" t="s">
        <v>12154</v>
      </c>
      <c r="N2310" t="s">
        <v>12155</v>
      </c>
      <c r="O2310" t="s">
        <v>26</v>
      </c>
      <c r="P2310">
        <v>85</v>
      </c>
      <c r="Q2310">
        <v>106.25</v>
      </c>
      <c r="R2310">
        <v>85</v>
      </c>
      <c r="S2310">
        <v>127.5</v>
      </c>
      <c r="T2310" t="s">
        <v>12156</v>
      </c>
    </row>
    <row r="2311" spans="1:20">
      <c r="A2311">
        <v>3050233</v>
      </c>
      <c r="B2311" t="s">
        <v>12157</v>
      </c>
      <c r="C2311" t="str">
        <f>"9780919812185"</f>
        <v>9780919812185</v>
      </c>
      <c r="D2311" t="str">
        <f>"9780889206717"</f>
        <v>9780889206717</v>
      </c>
      <c r="E2311" t="s">
        <v>6047</v>
      </c>
      <c r="F2311" t="s">
        <v>6047</v>
      </c>
      <c r="G2311" s="1">
        <v>30286</v>
      </c>
      <c r="J2311" t="s">
        <v>12158</v>
      </c>
      <c r="K2311" t="s">
        <v>1892</v>
      </c>
      <c r="L2311" t="s">
        <v>12159</v>
      </c>
      <c r="N2311" t="s">
        <v>12160</v>
      </c>
      <c r="O2311" t="s">
        <v>26</v>
      </c>
      <c r="P2311">
        <v>85</v>
      </c>
      <c r="Q2311">
        <v>106.25</v>
      </c>
      <c r="R2311">
        <v>85</v>
      </c>
      <c r="S2311">
        <v>127.5</v>
      </c>
      <c r="T2311" t="s">
        <v>12161</v>
      </c>
    </row>
    <row r="2312" spans="1:20">
      <c r="A2312">
        <v>3050234</v>
      </c>
      <c r="B2312" t="s">
        <v>12162</v>
      </c>
      <c r="C2312" t="str">
        <f>"9780889202474"</f>
        <v>9780889202474</v>
      </c>
      <c r="D2312" t="str">
        <f>"9780889207288"</f>
        <v>9780889207288</v>
      </c>
      <c r="E2312" t="s">
        <v>6047</v>
      </c>
      <c r="F2312" t="s">
        <v>6047</v>
      </c>
      <c r="G2312" s="1">
        <v>34669</v>
      </c>
      <c r="J2312" t="s">
        <v>12163</v>
      </c>
      <c r="K2312" t="s">
        <v>1892</v>
      </c>
      <c r="L2312" t="s">
        <v>12164</v>
      </c>
      <c r="N2312" t="s">
        <v>12165</v>
      </c>
      <c r="O2312" t="s">
        <v>26</v>
      </c>
      <c r="P2312">
        <v>85</v>
      </c>
      <c r="Q2312">
        <v>106.25</v>
      </c>
      <c r="R2312">
        <v>85</v>
      </c>
      <c r="S2312">
        <v>127.5</v>
      </c>
      <c r="T2312" t="s">
        <v>12166</v>
      </c>
    </row>
    <row r="2313" spans="1:20">
      <c r="A2313">
        <v>3050235</v>
      </c>
      <c r="B2313" t="s">
        <v>12167</v>
      </c>
      <c r="C2313" t="str">
        <f>"9780889201033"</f>
        <v>9780889201033</v>
      </c>
      <c r="D2313" t="str">
        <f>"9780889208650"</f>
        <v>9780889208650</v>
      </c>
      <c r="E2313" t="s">
        <v>6047</v>
      </c>
      <c r="F2313" t="s">
        <v>6047</v>
      </c>
      <c r="G2313" s="1">
        <v>29556</v>
      </c>
      <c r="J2313" t="s">
        <v>12168</v>
      </c>
      <c r="K2313" t="s">
        <v>1464</v>
      </c>
      <c r="L2313" t="s">
        <v>12169</v>
      </c>
      <c r="N2313" t="s">
        <v>12170</v>
      </c>
      <c r="O2313" t="s">
        <v>26</v>
      </c>
      <c r="P2313">
        <v>85</v>
      </c>
      <c r="Q2313">
        <v>106.25</v>
      </c>
      <c r="R2313">
        <v>85</v>
      </c>
      <c r="S2313">
        <v>127.5</v>
      </c>
      <c r="T2313" t="s">
        <v>12171</v>
      </c>
    </row>
    <row r="2314" spans="1:20">
      <c r="A2314">
        <v>3050236</v>
      </c>
      <c r="B2314" t="s">
        <v>12172</v>
      </c>
      <c r="C2314" t="str">
        <f>"9780889202405"</f>
        <v>9780889202405</v>
      </c>
      <c r="D2314" t="str">
        <f>"9780889207912"</f>
        <v>9780889207912</v>
      </c>
      <c r="E2314" t="s">
        <v>6047</v>
      </c>
      <c r="F2314" t="s">
        <v>6047</v>
      </c>
      <c r="G2314" s="1">
        <v>34669</v>
      </c>
      <c r="J2314" t="s">
        <v>12173</v>
      </c>
      <c r="K2314" t="s">
        <v>263</v>
      </c>
      <c r="L2314" t="s">
        <v>12174</v>
      </c>
      <c r="M2314" t="s">
        <v>12175</v>
      </c>
      <c r="N2314" t="s">
        <v>12176</v>
      </c>
      <c r="O2314" t="s">
        <v>26</v>
      </c>
      <c r="P2314">
        <v>85</v>
      </c>
      <c r="Q2314">
        <v>106.25</v>
      </c>
      <c r="R2314">
        <v>85</v>
      </c>
      <c r="S2314">
        <v>127.5</v>
      </c>
      <c r="T2314" t="s">
        <v>12177</v>
      </c>
    </row>
    <row r="2315" spans="1:20">
      <c r="A2315">
        <v>3050237</v>
      </c>
      <c r="B2315" t="s">
        <v>12178</v>
      </c>
      <c r="C2315" t="str">
        <f>"9780889201163"</f>
        <v>9780889201163</v>
      </c>
      <c r="D2315" t="str">
        <f>"9780889208636"</f>
        <v>9780889208636</v>
      </c>
      <c r="E2315" t="s">
        <v>6047</v>
      </c>
      <c r="F2315" t="s">
        <v>6047</v>
      </c>
      <c r="G2315" s="1">
        <v>29556</v>
      </c>
      <c r="J2315" t="s">
        <v>12179</v>
      </c>
      <c r="K2315" t="s">
        <v>1464</v>
      </c>
      <c r="L2315" t="s">
        <v>12180</v>
      </c>
      <c r="N2315" t="s">
        <v>12170</v>
      </c>
      <c r="O2315" t="s">
        <v>26</v>
      </c>
      <c r="P2315">
        <v>85</v>
      </c>
      <c r="Q2315">
        <v>106.25</v>
      </c>
      <c r="R2315">
        <v>85</v>
      </c>
      <c r="S2315">
        <v>127.5</v>
      </c>
      <c r="T2315" t="s">
        <v>12181</v>
      </c>
    </row>
    <row r="2316" spans="1:20">
      <c r="A2316">
        <v>3050238</v>
      </c>
      <c r="B2316" t="s">
        <v>12182</v>
      </c>
      <c r="C2316" t="str">
        <f>"9780889201156"</f>
        <v>9780889201156</v>
      </c>
      <c r="D2316" t="str">
        <f>"9780889205987"</f>
        <v>9780889205987</v>
      </c>
      <c r="E2316" t="s">
        <v>6047</v>
      </c>
      <c r="F2316" t="s">
        <v>6047</v>
      </c>
      <c r="G2316" s="1">
        <v>30286</v>
      </c>
      <c r="J2316" t="s">
        <v>4176</v>
      </c>
      <c r="K2316" t="s">
        <v>1464</v>
      </c>
      <c r="L2316" t="s">
        <v>12183</v>
      </c>
      <c r="N2316" t="s">
        <v>12184</v>
      </c>
      <c r="O2316" t="s">
        <v>26</v>
      </c>
      <c r="P2316">
        <v>85</v>
      </c>
      <c r="Q2316">
        <v>106.25</v>
      </c>
      <c r="R2316">
        <v>85</v>
      </c>
      <c r="S2316">
        <v>127.5</v>
      </c>
      <c r="T2316" t="s">
        <v>12185</v>
      </c>
    </row>
    <row r="2317" spans="1:20">
      <c r="A2317">
        <v>3050239</v>
      </c>
      <c r="B2317" t="s">
        <v>12186</v>
      </c>
      <c r="C2317" t="str">
        <f>"9780889200340"</f>
        <v>9780889200340</v>
      </c>
      <c r="D2317" t="str">
        <f>"9780889206137"</f>
        <v>9780889206137</v>
      </c>
      <c r="E2317" t="s">
        <v>6047</v>
      </c>
      <c r="F2317" t="s">
        <v>6047</v>
      </c>
      <c r="G2317" s="1">
        <v>28095</v>
      </c>
      <c r="J2317" t="s">
        <v>12187</v>
      </c>
      <c r="K2317" t="s">
        <v>1859</v>
      </c>
      <c r="L2317" t="s">
        <v>12188</v>
      </c>
      <c r="N2317" t="s">
        <v>12189</v>
      </c>
      <c r="O2317" t="s">
        <v>26</v>
      </c>
      <c r="P2317">
        <v>85</v>
      </c>
      <c r="Q2317">
        <v>106.25</v>
      </c>
      <c r="R2317">
        <v>85</v>
      </c>
      <c r="S2317">
        <v>127.5</v>
      </c>
      <c r="T2317" t="s">
        <v>12190</v>
      </c>
    </row>
    <row r="2318" spans="1:20">
      <c r="A2318">
        <v>3050240</v>
      </c>
      <c r="B2318" t="s">
        <v>12191</v>
      </c>
      <c r="C2318" t="str">
        <f>"9780889202504"</f>
        <v>9780889202504</v>
      </c>
      <c r="D2318" t="str">
        <f>"9780889206762"</f>
        <v>9780889206762</v>
      </c>
      <c r="E2318" t="s">
        <v>6047</v>
      </c>
      <c r="F2318" t="s">
        <v>6047</v>
      </c>
      <c r="G2318" s="1">
        <v>34669</v>
      </c>
      <c r="J2318" t="s">
        <v>12192</v>
      </c>
      <c r="K2318" t="s">
        <v>6444</v>
      </c>
      <c r="L2318" t="s">
        <v>12193</v>
      </c>
      <c r="M2318">
        <v>327.47041000000002</v>
      </c>
      <c r="N2318" t="s">
        <v>12194</v>
      </c>
      <c r="O2318" t="s">
        <v>26</v>
      </c>
      <c r="P2318">
        <v>85</v>
      </c>
      <c r="Q2318">
        <v>106.25</v>
      </c>
      <c r="R2318">
        <v>85</v>
      </c>
      <c r="S2318">
        <v>127.5</v>
      </c>
      <c r="T2318" t="s">
        <v>12195</v>
      </c>
    </row>
    <row r="2319" spans="1:20">
      <c r="A2319">
        <v>3050241</v>
      </c>
      <c r="B2319" t="s">
        <v>12196</v>
      </c>
      <c r="C2319" t="str">
        <f>"9780889201705"</f>
        <v>9780889201705</v>
      </c>
      <c r="D2319" t="str">
        <f>"9780889206205"</f>
        <v>9780889206205</v>
      </c>
      <c r="E2319" t="s">
        <v>6047</v>
      </c>
      <c r="F2319" t="s">
        <v>6047</v>
      </c>
      <c r="G2319" s="1">
        <v>31017</v>
      </c>
      <c r="J2319" t="s">
        <v>12197</v>
      </c>
      <c r="K2319" t="s">
        <v>1892</v>
      </c>
      <c r="L2319" t="s">
        <v>12198</v>
      </c>
      <c r="N2319" t="s">
        <v>12199</v>
      </c>
      <c r="O2319" t="s">
        <v>26</v>
      </c>
      <c r="P2319">
        <v>85</v>
      </c>
      <c r="Q2319">
        <v>106.25</v>
      </c>
      <c r="R2319">
        <v>85</v>
      </c>
      <c r="S2319">
        <v>127.5</v>
      </c>
      <c r="T2319" t="s">
        <v>12200</v>
      </c>
    </row>
    <row r="2320" spans="1:20">
      <c r="A2320">
        <v>3050242</v>
      </c>
      <c r="B2320" t="s">
        <v>12201</v>
      </c>
      <c r="C2320" t="str">
        <f>"9780889200302"</f>
        <v>9780889200302</v>
      </c>
      <c r="D2320" t="str">
        <f>"9780889206861"</f>
        <v>9780889206861</v>
      </c>
      <c r="E2320" t="s">
        <v>6047</v>
      </c>
      <c r="F2320" t="s">
        <v>6047</v>
      </c>
      <c r="G2320" s="1">
        <v>27729</v>
      </c>
      <c r="J2320" t="s">
        <v>12148</v>
      </c>
      <c r="K2320" t="s">
        <v>257</v>
      </c>
      <c r="L2320" t="s">
        <v>12202</v>
      </c>
      <c r="N2320" t="s">
        <v>12150</v>
      </c>
      <c r="O2320" t="s">
        <v>26</v>
      </c>
      <c r="P2320">
        <v>85</v>
      </c>
      <c r="Q2320">
        <v>106.25</v>
      </c>
      <c r="R2320">
        <v>85</v>
      </c>
      <c r="S2320">
        <v>127.5</v>
      </c>
      <c r="T2320" t="s">
        <v>12203</v>
      </c>
    </row>
    <row r="2321" spans="1:20">
      <c r="A2321">
        <v>3050243</v>
      </c>
      <c r="B2321" t="s">
        <v>12204</v>
      </c>
      <c r="C2321" t="str">
        <f>"9780889201682"</f>
        <v>9780889201682</v>
      </c>
      <c r="D2321" t="str">
        <f>"9780889205932"</f>
        <v>9780889205932</v>
      </c>
      <c r="E2321" t="s">
        <v>6047</v>
      </c>
      <c r="F2321" t="s">
        <v>6047</v>
      </c>
      <c r="G2321" s="1">
        <v>31017</v>
      </c>
      <c r="J2321" t="s">
        <v>12205</v>
      </c>
      <c r="K2321" t="s">
        <v>1464</v>
      </c>
      <c r="L2321" t="s">
        <v>12206</v>
      </c>
      <c r="N2321" t="s">
        <v>12207</v>
      </c>
      <c r="O2321" t="s">
        <v>26</v>
      </c>
      <c r="P2321">
        <v>85</v>
      </c>
      <c r="Q2321">
        <v>106.25</v>
      </c>
      <c r="R2321">
        <v>85</v>
      </c>
      <c r="S2321">
        <v>127.5</v>
      </c>
      <c r="T2321" t="s">
        <v>12208</v>
      </c>
    </row>
    <row r="2322" spans="1:20">
      <c r="A2322">
        <v>3050244</v>
      </c>
      <c r="B2322" t="s">
        <v>12209</v>
      </c>
      <c r="C2322" t="str">
        <f>"9780889202580"</f>
        <v>9780889202580</v>
      </c>
      <c r="D2322" t="str">
        <f>"9780889207646"</f>
        <v>9780889207646</v>
      </c>
      <c r="E2322" t="s">
        <v>6047</v>
      </c>
      <c r="F2322" t="s">
        <v>6047</v>
      </c>
      <c r="G2322" s="1">
        <v>35034</v>
      </c>
      <c r="J2322" t="s">
        <v>12210</v>
      </c>
      <c r="K2322" t="s">
        <v>263</v>
      </c>
      <c r="L2322" t="s">
        <v>12211</v>
      </c>
      <c r="N2322" t="s">
        <v>12212</v>
      </c>
      <c r="O2322" t="s">
        <v>26</v>
      </c>
      <c r="P2322">
        <v>85</v>
      </c>
      <c r="Q2322">
        <v>106.25</v>
      </c>
      <c r="R2322">
        <v>85</v>
      </c>
      <c r="S2322">
        <v>127.5</v>
      </c>
      <c r="T2322" t="s">
        <v>12213</v>
      </c>
    </row>
    <row r="2323" spans="1:20">
      <c r="A2323">
        <v>3050245</v>
      </c>
      <c r="B2323" t="s">
        <v>12214</v>
      </c>
      <c r="C2323" t="str">
        <f>"9780889201620"</f>
        <v>9780889201620</v>
      </c>
      <c r="D2323" t="str">
        <f>"9780889207028"</f>
        <v>9780889207028</v>
      </c>
      <c r="E2323" t="s">
        <v>6047</v>
      </c>
      <c r="F2323" t="s">
        <v>6047</v>
      </c>
      <c r="G2323" s="1">
        <v>31017</v>
      </c>
      <c r="J2323" t="s">
        <v>12215</v>
      </c>
      <c r="K2323" t="s">
        <v>1892</v>
      </c>
      <c r="L2323" t="s">
        <v>12216</v>
      </c>
      <c r="N2323" t="s">
        <v>12217</v>
      </c>
      <c r="O2323" t="s">
        <v>26</v>
      </c>
      <c r="P2323">
        <v>85</v>
      </c>
      <c r="Q2323">
        <v>106.25</v>
      </c>
      <c r="R2323">
        <v>85</v>
      </c>
      <c r="S2323">
        <v>127.5</v>
      </c>
      <c r="T2323" t="s">
        <v>12218</v>
      </c>
    </row>
    <row r="2324" spans="1:20">
      <c r="A2324">
        <v>3050246</v>
      </c>
      <c r="B2324" t="s">
        <v>12219</v>
      </c>
      <c r="C2324" t="str">
        <f>"9780889202498"</f>
        <v>9780889202498</v>
      </c>
      <c r="D2324" t="str">
        <f>"9780889205918"</f>
        <v>9780889205918</v>
      </c>
      <c r="E2324" t="s">
        <v>6047</v>
      </c>
      <c r="F2324" t="s">
        <v>6047</v>
      </c>
      <c r="G2324" s="1">
        <v>35034</v>
      </c>
      <c r="J2324" t="s">
        <v>12220</v>
      </c>
      <c r="K2324" t="s">
        <v>1464</v>
      </c>
      <c r="L2324" t="s">
        <v>12221</v>
      </c>
      <c r="N2324" t="s">
        <v>12222</v>
      </c>
      <c r="O2324" t="s">
        <v>26</v>
      </c>
      <c r="P2324">
        <v>85</v>
      </c>
      <c r="Q2324">
        <v>106.25</v>
      </c>
      <c r="R2324">
        <v>85</v>
      </c>
      <c r="S2324">
        <v>127.5</v>
      </c>
      <c r="T2324" t="s">
        <v>12223</v>
      </c>
    </row>
    <row r="2325" spans="1:20">
      <c r="A2325">
        <v>3050247</v>
      </c>
      <c r="B2325" t="s">
        <v>12224</v>
      </c>
      <c r="C2325" t="str">
        <f>"9780889202672"</f>
        <v>9780889202672</v>
      </c>
      <c r="D2325" t="str">
        <f>"9780889206427"</f>
        <v>9780889206427</v>
      </c>
      <c r="E2325" t="s">
        <v>6047</v>
      </c>
      <c r="F2325" t="s">
        <v>6047</v>
      </c>
      <c r="G2325" s="1">
        <v>35034</v>
      </c>
      <c r="J2325" t="s">
        <v>12225</v>
      </c>
      <c r="K2325" t="s">
        <v>1892</v>
      </c>
      <c r="L2325" t="s">
        <v>12226</v>
      </c>
      <c r="M2325" t="s">
        <v>12227</v>
      </c>
      <c r="N2325" t="s">
        <v>12228</v>
      </c>
      <c r="O2325" t="s">
        <v>26</v>
      </c>
      <c r="P2325">
        <v>85</v>
      </c>
      <c r="Q2325">
        <v>106.25</v>
      </c>
      <c r="R2325">
        <v>85</v>
      </c>
      <c r="S2325">
        <v>127.5</v>
      </c>
      <c r="T2325" t="s">
        <v>12229</v>
      </c>
    </row>
    <row r="2326" spans="1:20">
      <c r="A2326">
        <v>3050248</v>
      </c>
      <c r="B2326" t="s">
        <v>12230</v>
      </c>
      <c r="C2326" t="str">
        <f>"9780889200135"</f>
        <v>9780889200135</v>
      </c>
      <c r="D2326" t="str">
        <f>"9780889206526"</f>
        <v>9780889206526</v>
      </c>
      <c r="E2326" t="s">
        <v>6047</v>
      </c>
      <c r="F2326" t="s">
        <v>6047</v>
      </c>
      <c r="G2326" s="1">
        <v>27364</v>
      </c>
      <c r="J2326" t="s">
        <v>12231</v>
      </c>
      <c r="K2326" t="s">
        <v>1892</v>
      </c>
      <c r="L2326" t="s">
        <v>12232</v>
      </c>
      <c r="N2326" t="s">
        <v>12233</v>
      </c>
      <c r="O2326" t="s">
        <v>26</v>
      </c>
      <c r="P2326">
        <v>85</v>
      </c>
      <c r="Q2326">
        <v>106.25</v>
      </c>
      <c r="R2326">
        <v>85</v>
      </c>
      <c r="S2326">
        <v>127.5</v>
      </c>
      <c r="T2326" t="s">
        <v>12234</v>
      </c>
    </row>
    <row r="2327" spans="1:20">
      <c r="A2327">
        <v>3050249</v>
      </c>
      <c r="B2327" t="s">
        <v>12235</v>
      </c>
      <c r="C2327" t="str">
        <f>"9780889200227"</f>
        <v>9780889200227</v>
      </c>
      <c r="D2327" t="str">
        <f>"9780889206274"</f>
        <v>9780889206274</v>
      </c>
      <c r="E2327" t="s">
        <v>6047</v>
      </c>
      <c r="F2327" t="s">
        <v>6047</v>
      </c>
      <c r="G2327" s="1">
        <v>27729</v>
      </c>
      <c r="J2327" t="s">
        <v>12236</v>
      </c>
      <c r="K2327" t="s">
        <v>291</v>
      </c>
      <c r="L2327" t="s">
        <v>12237</v>
      </c>
      <c r="N2327" t="s">
        <v>12238</v>
      </c>
      <c r="O2327" t="s">
        <v>26</v>
      </c>
      <c r="P2327">
        <v>85</v>
      </c>
      <c r="Q2327">
        <v>106.25</v>
      </c>
      <c r="R2327">
        <v>85</v>
      </c>
      <c r="S2327">
        <v>127.5</v>
      </c>
      <c r="T2327" t="s">
        <v>12239</v>
      </c>
    </row>
    <row r="2328" spans="1:20">
      <c r="A2328">
        <v>3050250</v>
      </c>
      <c r="B2328" t="s">
        <v>12240</v>
      </c>
      <c r="C2328" t="str">
        <f>"9780889201040"</f>
        <v>9780889201040</v>
      </c>
      <c r="D2328" t="str">
        <f>"9780889207660"</f>
        <v>9780889207660</v>
      </c>
      <c r="E2328" t="s">
        <v>6047</v>
      </c>
      <c r="F2328" t="s">
        <v>6047</v>
      </c>
      <c r="G2328" s="1">
        <v>29921</v>
      </c>
      <c r="J2328" t="s">
        <v>12241</v>
      </c>
      <c r="L2328" t="s">
        <v>12242</v>
      </c>
      <c r="N2328" t="s">
        <v>12243</v>
      </c>
      <c r="O2328" t="s">
        <v>26</v>
      </c>
      <c r="P2328">
        <v>85</v>
      </c>
      <c r="Q2328">
        <v>106.25</v>
      </c>
      <c r="R2328">
        <v>85</v>
      </c>
      <c r="S2328">
        <v>127.5</v>
      </c>
      <c r="T2328" t="s">
        <v>12244</v>
      </c>
    </row>
    <row r="2329" spans="1:20">
      <c r="A2329">
        <v>3050251</v>
      </c>
      <c r="B2329" t="s">
        <v>12245</v>
      </c>
      <c r="C2329" t="str">
        <f>"9780889202542"</f>
        <v>9780889202542</v>
      </c>
      <c r="D2329" t="str">
        <f>"9780889207370"</f>
        <v>9780889207370</v>
      </c>
      <c r="E2329" t="s">
        <v>6047</v>
      </c>
      <c r="F2329" t="s">
        <v>6047</v>
      </c>
      <c r="G2329" s="1">
        <v>34669</v>
      </c>
      <c r="K2329" t="s">
        <v>1892</v>
      </c>
      <c r="L2329" t="s">
        <v>12246</v>
      </c>
      <c r="N2329" t="s">
        <v>12247</v>
      </c>
      <c r="O2329" t="s">
        <v>26</v>
      </c>
      <c r="P2329">
        <v>85</v>
      </c>
      <c r="Q2329">
        <v>106.25</v>
      </c>
      <c r="R2329">
        <v>85</v>
      </c>
      <c r="S2329">
        <v>127.5</v>
      </c>
      <c r="T2329" t="s">
        <v>12248</v>
      </c>
    </row>
    <row r="2330" spans="1:20">
      <c r="A2330">
        <v>3050252</v>
      </c>
      <c r="B2330" t="s">
        <v>12249</v>
      </c>
      <c r="C2330" t="str">
        <f>"9780889201873"</f>
        <v>9780889201873</v>
      </c>
      <c r="D2330" t="str">
        <f>"9780889205901"</f>
        <v>9780889205901</v>
      </c>
      <c r="E2330" t="s">
        <v>6047</v>
      </c>
      <c r="F2330" t="s">
        <v>6047</v>
      </c>
      <c r="G2330" s="1">
        <v>31382</v>
      </c>
      <c r="J2330" t="s">
        <v>12250</v>
      </c>
      <c r="K2330" t="s">
        <v>1464</v>
      </c>
      <c r="L2330" t="s">
        <v>12251</v>
      </c>
      <c r="N2330" t="s">
        <v>12252</v>
      </c>
      <c r="O2330" t="s">
        <v>26</v>
      </c>
      <c r="P2330">
        <v>85</v>
      </c>
      <c r="Q2330">
        <v>106.25</v>
      </c>
      <c r="R2330">
        <v>85</v>
      </c>
      <c r="S2330">
        <v>127.5</v>
      </c>
      <c r="T2330" t="s">
        <v>12253</v>
      </c>
    </row>
    <row r="2331" spans="1:20">
      <c r="A2331">
        <v>3050253</v>
      </c>
      <c r="B2331" t="s">
        <v>12254</v>
      </c>
      <c r="C2331" t="str">
        <f>"9780889201170"</f>
        <v>9780889201170</v>
      </c>
      <c r="D2331" t="str">
        <f>"9780889206786"</f>
        <v>9780889206786</v>
      </c>
      <c r="E2331" t="s">
        <v>6047</v>
      </c>
      <c r="F2331" t="s">
        <v>6047</v>
      </c>
      <c r="G2331" s="1">
        <v>29921</v>
      </c>
      <c r="J2331" t="s">
        <v>12048</v>
      </c>
      <c r="K2331" t="s">
        <v>1892</v>
      </c>
      <c r="L2331" t="s">
        <v>12255</v>
      </c>
      <c r="N2331" t="s">
        <v>12256</v>
      </c>
      <c r="O2331" t="s">
        <v>26</v>
      </c>
      <c r="P2331">
        <v>85</v>
      </c>
      <c r="Q2331">
        <v>106.25</v>
      </c>
      <c r="R2331">
        <v>85</v>
      </c>
      <c r="S2331">
        <v>127.5</v>
      </c>
      <c r="T2331" t="s">
        <v>12257</v>
      </c>
    </row>
    <row r="2332" spans="1:20">
      <c r="A2332">
        <v>3050254</v>
      </c>
      <c r="B2332" t="s">
        <v>12258</v>
      </c>
      <c r="C2332" t="str">
        <f>"9780919401020"</f>
        <v>9780919401020</v>
      </c>
      <c r="D2332" t="str">
        <f>"9780889206991"</f>
        <v>9780889206991</v>
      </c>
      <c r="E2332" t="s">
        <v>6047</v>
      </c>
      <c r="F2332" t="s">
        <v>6047</v>
      </c>
      <c r="G2332" s="1">
        <v>29921</v>
      </c>
      <c r="J2332" t="s">
        <v>12259</v>
      </c>
      <c r="K2332" t="s">
        <v>1859</v>
      </c>
      <c r="L2332" t="s">
        <v>12260</v>
      </c>
      <c r="M2332" t="s">
        <v>12261</v>
      </c>
      <c r="N2332" t="s">
        <v>12262</v>
      </c>
      <c r="O2332" t="s">
        <v>26</v>
      </c>
      <c r="P2332">
        <v>85</v>
      </c>
      <c r="Q2332">
        <v>106.25</v>
      </c>
      <c r="R2332">
        <v>85</v>
      </c>
      <c r="S2332">
        <v>127.5</v>
      </c>
      <c r="T2332" t="s">
        <v>12263</v>
      </c>
    </row>
    <row r="2333" spans="1:20">
      <c r="A2333">
        <v>3050255</v>
      </c>
      <c r="B2333" t="s">
        <v>12264</v>
      </c>
      <c r="C2333" t="str">
        <f>"9780889201255"</f>
        <v>9780889201255</v>
      </c>
      <c r="D2333" t="str">
        <f>"9780889207387"</f>
        <v>9780889207387</v>
      </c>
      <c r="E2333" t="s">
        <v>6047</v>
      </c>
      <c r="F2333" t="s">
        <v>6047</v>
      </c>
      <c r="G2333" s="1">
        <v>30286</v>
      </c>
      <c r="J2333" t="s">
        <v>12265</v>
      </c>
      <c r="K2333" t="s">
        <v>4347</v>
      </c>
      <c r="L2333" t="s">
        <v>12266</v>
      </c>
      <c r="N2333" t="s">
        <v>12267</v>
      </c>
      <c r="O2333" t="s">
        <v>26</v>
      </c>
      <c r="P2333">
        <v>85</v>
      </c>
      <c r="Q2333">
        <v>106.25</v>
      </c>
      <c r="R2333">
        <v>85</v>
      </c>
      <c r="S2333">
        <v>127.5</v>
      </c>
      <c r="T2333" t="s">
        <v>12268</v>
      </c>
    </row>
    <row r="2334" spans="1:20">
      <c r="A2334">
        <v>3050256</v>
      </c>
      <c r="B2334" t="s">
        <v>12269</v>
      </c>
      <c r="C2334" t="str">
        <f>"9780889201408"</f>
        <v>9780889201408</v>
      </c>
      <c r="D2334" t="str">
        <f>"9780889207462"</f>
        <v>9780889207462</v>
      </c>
      <c r="E2334" t="s">
        <v>6047</v>
      </c>
      <c r="F2334" t="s">
        <v>6047</v>
      </c>
      <c r="G2334" s="1">
        <v>31017</v>
      </c>
      <c r="J2334" t="s">
        <v>12270</v>
      </c>
      <c r="K2334" t="s">
        <v>1859</v>
      </c>
      <c r="L2334" t="s">
        <v>12271</v>
      </c>
      <c r="N2334" t="s">
        <v>12272</v>
      </c>
      <c r="O2334" t="s">
        <v>26</v>
      </c>
      <c r="P2334">
        <v>85</v>
      </c>
      <c r="Q2334">
        <v>106.25</v>
      </c>
      <c r="R2334">
        <v>85</v>
      </c>
      <c r="S2334">
        <v>127.5</v>
      </c>
      <c r="T2334" t="s">
        <v>12273</v>
      </c>
    </row>
    <row r="2335" spans="1:20">
      <c r="A2335">
        <v>3050257</v>
      </c>
      <c r="B2335" t="s">
        <v>12274</v>
      </c>
      <c r="C2335" t="str">
        <f>"9780889201590"</f>
        <v>9780889201590</v>
      </c>
      <c r="D2335" t="str">
        <f>"9780889207257"</f>
        <v>9780889207257</v>
      </c>
      <c r="E2335" t="s">
        <v>6047</v>
      </c>
      <c r="F2335" t="s">
        <v>6047</v>
      </c>
      <c r="G2335" s="1">
        <v>31017</v>
      </c>
      <c r="J2335" t="s">
        <v>12275</v>
      </c>
      <c r="K2335" t="s">
        <v>1859</v>
      </c>
      <c r="L2335" t="s">
        <v>12276</v>
      </c>
      <c r="N2335" t="s">
        <v>12277</v>
      </c>
      <c r="O2335" t="s">
        <v>26</v>
      </c>
      <c r="P2335">
        <v>85</v>
      </c>
      <c r="Q2335">
        <v>106.25</v>
      </c>
      <c r="R2335">
        <v>85</v>
      </c>
      <c r="S2335">
        <v>127.5</v>
      </c>
      <c r="T2335" t="s">
        <v>12278</v>
      </c>
    </row>
    <row r="2336" spans="1:20">
      <c r="A2336">
        <v>3050258</v>
      </c>
      <c r="B2336" t="s">
        <v>12279</v>
      </c>
      <c r="C2336" t="str">
        <f>"9780889202689"</f>
        <v>9780889202689</v>
      </c>
      <c r="D2336" t="str">
        <f>"9780889205857"</f>
        <v>9780889205857</v>
      </c>
      <c r="E2336" t="s">
        <v>6047</v>
      </c>
      <c r="F2336" t="s">
        <v>6047</v>
      </c>
      <c r="G2336" s="1">
        <v>35765</v>
      </c>
      <c r="J2336" t="s">
        <v>12280</v>
      </c>
      <c r="K2336" t="s">
        <v>7838</v>
      </c>
      <c r="L2336" t="s">
        <v>12281</v>
      </c>
      <c r="N2336" t="s">
        <v>12282</v>
      </c>
      <c r="O2336" t="s">
        <v>26</v>
      </c>
      <c r="P2336">
        <v>85</v>
      </c>
      <c r="Q2336">
        <v>106.25</v>
      </c>
      <c r="R2336">
        <v>85</v>
      </c>
      <c r="S2336">
        <v>127.5</v>
      </c>
      <c r="T2336" t="s">
        <v>12283</v>
      </c>
    </row>
    <row r="2337" spans="1:20">
      <c r="A2337">
        <v>3050259</v>
      </c>
      <c r="B2337" t="s">
        <v>12284</v>
      </c>
      <c r="C2337" t="str">
        <f>"9780486400075"</f>
        <v>9780486400075</v>
      </c>
      <c r="D2337" t="str">
        <f>"9781459305458"</f>
        <v>9781459305458</v>
      </c>
      <c r="E2337" t="s">
        <v>6047</v>
      </c>
      <c r="F2337" t="s">
        <v>6047</v>
      </c>
      <c r="G2337" s="1">
        <v>31747</v>
      </c>
      <c r="J2337" t="s">
        <v>6701</v>
      </c>
      <c r="K2337" t="s">
        <v>12285</v>
      </c>
      <c r="L2337" t="s">
        <v>12286</v>
      </c>
      <c r="N2337" t="s">
        <v>12287</v>
      </c>
      <c r="O2337" t="s">
        <v>26</v>
      </c>
      <c r="P2337">
        <v>85</v>
      </c>
      <c r="Q2337">
        <v>106.25</v>
      </c>
      <c r="R2337">
        <v>85</v>
      </c>
      <c r="S2337">
        <v>127.5</v>
      </c>
      <c r="T2337" t="s">
        <v>12288</v>
      </c>
    </row>
    <row r="2338" spans="1:20">
      <c r="A2338">
        <v>3050260</v>
      </c>
      <c r="B2338" t="s">
        <v>12289</v>
      </c>
      <c r="C2338" t="str">
        <f>"9780889201644"</f>
        <v>9780889201644</v>
      </c>
      <c r="D2338" t="str">
        <f>"9780889206830"</f>
        <v>9780889206830</v>
      </c>
      <c r="E2338" t="s">
        <v>6047</v>
      </c>
      <c r="F2338" t="s">
        <v>6047</v>
      </c>
      <c r="G2338" s="1">
        <v>30651</v>
      </c>
      <c r="J2338" t="s">
        <v>12290</v>
      </c>
      <c r="K2338" t="s">
        <v>11057</v>
      </c>
      <c r="L2338" t="s">
        <v>12291</v>
      </c>
      <c r="N2338" t="s">
        <v>12292</v>
      </c>
      <c r="O2338" t="s">
        <v>26</v>
      </c>
      <c r="P2338">
        <v>85</v>
      </c>
      <c r="Q2338">
        <v>106.25</v>
      </c>
      <c r="R2338">
        <v>85</v>
      </c>
      <c r="S2338">
        <v>127.5</v>
      </c>
      <c r="T2338" t="s">
        <v>12293</v>
      </c>
    </row>
    <row r="2339" spans="1:20">
      <c r="A2339">
        <v>3050261</v>
      </c>
      <c r="B2339" t="s">
        <v>12294</v>
      </c>
      <c r="C2339" t="str">
        <f>"9780889201842"</f>
        <v>9780889201842</v>
      </c>
      <c r="D2339" t="str">
        <f>"9780889207332"</f>
        <v>9780889207332</v>
      </c>
      <c r="E2339" t="s">
        <v>6047</v>
      </c>
      <c r="F2339" t="s">
        <v>6047</v>
      </c>
      <c r="G2339" s="1">
        <v>31382</v>
      </c>
      <c r="J2339" t="s">
        <v>12295</v>
      </c>
      <c r="K2339" t="s">
        <v>1464</v>
      </c>
      <c r="L2339" t="s">
        <v>12296</v>
      </c>
      <c r="N2339" t="s">
        <v>12297</v>
      </c>
      <c r="O2339" t="s">
        <v>26</v>
      </c>
      <c r="P2339">
        <v>85</v>
      </c>
      <c r="Q2339">
        <v>106.25</v>
      </c>
      <c r="R2339">
        <v>85</v>
      </c>
      <c r="S2339">
        <v>127.5</v>
      </c>
      <c r="T2339" t="s">
        <v>12298</v>
      </c>
    </row>
    <row r="2340" spans="1:20">
      <c r="A2340">
        <v>3050262</v>
      </c>
      <c r="B2340" t="s">
        <v>12299</v>
      </c>
      <c r="C2340" t="str">
        <f>"9780889201187"</f>
        <v>9780889201187</v>
      </c>
      <c r="D2340" t="str">
        <f>"9781554581573"</f>
        <v>9781554581573</v>
      </c>
      <c r="E2340" t="s">
        <v>6047</v>
      </c>
      <c r="F2340" t="s">
        <v>6047</v>
      </c>
      <c r="G2340" s="1">
        <v>29556</v>
      </c>
      <c r="J2340" t="s">
        <v>12300</v>
      </c>
      <c r="K2340" t="s">
        <v>525</v>
      </c>
      <c r="L2340" t="s">
        <v>12301</v>
      </c>
      <c r="M2340" t="s">
        <v>12302</v>
      </c>
      <c r="N2340" t="s">
        <v>12303</v>
      </c>
      <c r="O2340" t="s">
        <v>26</v>
      </c>
      <c r="P2340">
        <v>85</v>
      </c>
      <c r="Q2340">
        <v>106.25</v>
      </c>
      <c r="R2340">
        <v>85</v>
      </c>
      <c r="S2340">
        <v>127.5</v>
      </c>
      <c r="T2340" t="s">
        <v>12304</v>
      </c>
    </row>
    <row r="2341" spans="1:20">
      <c r="A2341">
        <v>3050263</v>
      </c>
      <c r="B2341" t="s">
        <v>12305</v>
      </c>
      <c r="C2341" t="str">
        <f>"9780889201101"</f>
        <v>9780889201101</v>
      </c>
      <c r="D2341" t="str">
        <f>"9780889207417"</f>
        <v>9780889207417</v>
      </c>
      <c r="E2341" t="s">
        <v>6047</v>
      </c>
      <c r="F2341" t="s">
        <v>6047</v>
      </c>
      <c r="G2341" s="1">
        <v>30286</v>
      </c>
      <c r="J2341" t="s">
        <v>12306</v>
      </c>
      <c r="K2341" t="s">
        <v>4081</v>
      </c>
      <c r="L2341" t="s">
        <v>12307</v>
      </c>
      <c r="N2341" t="s">
        <v>12308</v>
      </c>
      <c r="O2341" t="s">
        <v>26</v>
      </c>
      <c r="P2341">
        <v>85</v>
      </c>
      <c r="Q2341">
        <v>106.25</v>
      </c>
      <c r="R2341">
        <v>85</v>
      </c>
      <c r="S2341">
        <v>127.5</v>
      </c>
      <c r="T2341" t="s">
        <v>12309</v>
      </c>
    </row>
    <row r="2342" spans="1:20">
      <c r="A2342">
        <v>3050264</v>
      </c>
      <c r="B2342" t="s">
        <v>12310</v>
      </c>
      <c r="C2342" t="str">
        <f>"9780889201477"</f>
        <v>9780889201477</v>
      </c>
      <c r="D2342" t="str">
        <f>"9780889207103"</f>
        <v>9780889207103</v>
      </c>
      <c r="E2342" t="s">
        <v>6047</v>
      </c>
      <c r="F2342" t="s">
        <v>6047</v>
      </c>
      <c r="G2342" s="1">
        <v>30286</v>
      </c>
      <c r="K2342" t="s">
        <v>1892</v>
      </c>
      <c r="L2342" t="s">
        <v>12311</v>
      </c>
      <c r="N2342" t="s">
        <v>12312</v>
      </c>
      <c r="O2342" t="s">
        <v>26</v>
      </c>
      <c r="P2342">
        <v>85</v>
      </c>
      <c r="Q2342">
        <v>106.25</v>
      </c>
      <c r="R2342">
        <v>85</v>
      </c>
      <c r="S2342">
        <v>127.5</v>
      </c>
      <c r="T2342" t="s">
        <v>12313</v>
      </c>
    </row>
    <row r="2343" spans="1:20">
      <c r="A2343">
        <v>3050265</v>
      </c>
      <c r="B2343" t="s">
        <v>12314</v>
      </c>
      <c r="C2343" t="str">
        <f>"9780889200289"</f>
        <v>9780889200289</v>
      </c>
      <c r="D2343" t="str">
        <f>"9780889207097"</f>
        <v>9780889207097</v>
      </c>
      <c r="E2343" t="s">
        <v>6047</v>
      </c>
      <c r="F2343" t="s">
        <v>6047</v>
      </c>
      <c r="G2343" s="1">
        <v>28095</v>
      </c>
      <c r="J2343" t="s">
        <v>12315</v>
      </c>
      <c r="K2343" t="s">
        <v>291</v>
      </c>
      <c r="L2343" t="s">
        <v>12316</v>
      </c>
      <c r="N2343" t="s">
        <v>12317</v>
      </c>
      <c r="O2343" t="s">
        <v>26</v>
      </c>
      <c r="P2343">
        <v>85</v>
      </c>
      <c r="Q2343">
        <v>106.25</v>
      </c>
      <c r="R2343">
        <v>85</v>
      </c>
      <c r="S2343">
        <v>127.5</v>
      </c>
      <c r="T2343" t="s">
        <v>12318</v>
      </c>
    </row>
    <row r="2344" spans="1:20">
      <c r="A2344">
        <v>3050266</v>
      </c>
      <c r="B2344" t="s">
        <v>12319</v>
      </c>
      <c r="C2344" t="str">
        <f>"9780889201651"</f>
        <v>9780889201651</v>
      </c>
      <c r="D2344" t="str">
        <f>"9780889206724"</f>
        <v>9780889206724</v>
      </c>
      <c r="E2344" t="s">
        <v>6047</v>
      </c>
      <c r="F2344" t="s">
        <v>6047</v>
      </c>
      <c r="G2344" s="1">
        <v>30651</v>
      </c>
      <c r="J2344" t="s">
        <v>12320</v>
      </c>
      <c r="K2344" t="s">
        <v>4347</v>
      </c>
      <c r="L2344" t="s">
        <v>12321</v>
      </c>
      <c r="N2344" t="s">
        <v>12322</v>
      </c>
      <c r="O2344" t="s">
        <v>26</v>
      </c>
      <c r="P2344">
        <v>85</v>
      </c>
      <c r="Q2344">
        <v>106.25</v>
      </c>
      <c r="R2344">
        <v>85</v>
      </c>
      <c r="S2344">
        <v>127.5</v>
      </c>
      <c r="T2344" t="s">
        <v>12323</v>
      </c>
    </row>
    <row r="2345" spans="1:20">
      <c r="A2345">
        <v>3050267</v>
      </c>
      <c r="B2345" t="s">
        <v>12324</v>
      </c>
      <c r="C2345" t="str">
        <f>"9780889201088"</f>
        <v>9780889201088</v>
      </c>
      <c r="D2345" t="str">
        <f>"9780889208063"</f>
        <v>9780889208063</v>
      </c>
      <c r="E2345" t="s">
        <v>6047</v>
      </c>
      <c r="F2345" t="s">
        <v>6047</v>
      </c>
      <c r="G2345" s="1">
        <v>30286</v>
      </c>
      <c r="J2345" t="s">
        <v>12325</v>
      </c>
      <c r="K2345" t="s">
        <v>291</v>
      </c>
      <c r="L2345" t="s">
        <v>12326</v>
      </c>
      <c r="N2345" t="s">
        <v>12327</v>
      </c>
      <c r="O2345" t="s">
        <v>26</v>
      </c>
      <c r="P2345">
        <v>85</v>
      </c>
      <c r="Q2345">
        <v>106.25</v>
      </c>
      <c r="R2345">
        <v>85</v>
      </c>
      <c r="S2345">
        <v>127.5</v>
      </c>
      <c r="T2345" t="s">
        <v>12328</v>
      </c>
    </row>
    <row r="2346" spans="1:20">
      <c r="A2346">
        <v>3050268</v>
      </c>
      <c r="B2346" t="s">
        <v>12329</v>
      </c>
      <c r="C2346" t="str">
        <f>"9780889202702"</f>
        <v>9780889202702</v>
      </c>
      <c r="D2346" t="str">
        <f>"9780889206373"</f>
        <v>9780889206373</v>
      </c>
      <c r="E2346" t="s">
        <v>6047</v>
      </c>
      <c r="F2346" t="s">
        <v>6047</v>
      </c>
      <c r="G2346" s="1">
        <v>35034</v>
      </c>
      <c r="J2346" t="s">
        <v>12330</v>
      </c>
      <c r="K2346" t="s">
        <v>1892</v>
      </c>
      <c r="L2346" t="s">
        <v>12331</v>
      </c>
      <c r="M2346" t="s">
        <v>12332</v>
      </c>
      <c r="N2346" t="s">
        <v>12333</v>
      </c>
      <c r="O2346" t="s">
        <v>26</v>
      </c>
      <c r="P2346">
        <v>85</v>
      </c>
      <c r="Q2346">
        <v>106.25</v>
      </c>
      <c r="R2346">
        <v>85</v>
      </c>
      <c r="S2346">
        <v>127.5</v>
      </c>
      <c r="T2346" t="s">
        <v>12334</v>
      </c>
    </row>
    <row r="2347" spans="1:20">
      <c r="A2347">
        <v>3050269</v>
      </c>
      <c r="B2347" t="s">
        <v>12335</v>
      </c>
      <c r="C2347" t="str">
        <f>"9780889201057"</f>
        <v>9780889201057</v>
      </c>
      <c r="D2347" t="str">
        <f>"9780889208643"</f>
        <v>9780889208643</v>
      </c>
      <c r="E2347" t="s">
        <v>6047</v>
      </c>
      <c r="F2347" t="s">
        <v>6047</v>
      </c>
      <c r="G2347" s="1">
        <v>29556</v>
      </c>
      <c r="J2347" t="s">
        <v>12336</v>
      </c>
      <c r="K2347" t="s">
        <v>467</v>
      </c>
      <c r="L2347" t="s">
        <v>12337</v>
      </c>
      <c r="N2347" t="s">
        <v>12338</v>
      </c>
      <c r="O2347" t="s">
        <v>26</v>
      </c>
      <c r="P2347">
        <v>85</v>
      </c>
      <c r="Q2347">
        <v>106.25</v>
      </c>
      <c r="R2347">
        <v>85</v>
      </c>
      <c r="S2347">
        <v>127.5</v>
      </c>
      <c r="T2347" t="s">
        <v>12339</v>
      </c>
    </row>
    <row r="2348" spans="1:20">
      <c r="A2348">
        <v>3050270</v>
      </c>
      <c r="B2348" t="s">
        <v>12340</v>
      </c>
      <c r="C2348" t="str">
        <f>"9780889202412"</f>
        <v>9780889202412</v>
      </c>
      <c r="D2348" t="str">
        <f>"9780889207721"</f>
        <v>9780889207721</v>
      </c>
      <c r="E2348" t="s">
        <v>6047</v>
      </c>
      <c r="F2348" t="s">
        <v>6047</v>
      </c>
      <c r="G2348" s="1">
        <v>34669</v>
      </c>
      <c r="J2348" t="s">
        <v>12341</v>
      </c>
      <c r="K2348" t="s">
        <v>1859</v>
      </c>
      <c r="L2348" t="s">
        <v>12342</v>
      </c>
      <c r="N2348" t="s">
        <v>12343</v>
      </c>
      <c r="O2348" t="s">
        <v>26</v>
      </c>
      <c r="P2348">
        <v>85</v>
      </c>
      <c r="Q2348">
        <v>106.25</v>
      </c>
      <c r="R2348">
        <v>85</v>
      </c>
      <c r="S2348">
        <v>127.5</v>
      </c>
      <c r="T2348" t="s">
        <v>12344</v>
      </c>
    </row>
    <row r="2349" spans="1:20">
      <c r="A2349">
        <v>3050271</v>
      </c>
      <c r="B2349" t="s">
        <v>12345</v>
      </c>
      <c r="C2349" t="str">
        <f>"9780889200036"</f>
        <v>9780889200036</v>
      </c>
      <c r="D2349" t="str">
        <f>"9780889205451"</f>
        <v>9780889205451</v>
      </c>
      <c r="E2349" t="s">
        <v>6047</v>
      </c>
      <c r="F2349" t="s">
        <v>6047</v>
      </c>
      <c r="G2349" s="1">
        <v>26999</v>
      </c>
      <c r="J2349" t="s">
        <v>12346</v>
      </c>
      <c r="K2349" t="s">
        <v>291</v>
      </c>
      <c r="L2349" t="s">
        <v>12347</v>
      </c>
      <c r="N2349" t="s">
        <v>12348</v>
      </c>
      <c r="O2349" t="s">
        <v>26</v>
      </c>
      <c r="P2349">
        <v>85</v>
      </c>
      <c r="Q2349">
        <v>106.25</v>
      </c>
      <c r="R2349">
        <v>85</v>
      </c>
      <c r="S2349">
        <v>127.5</v>
      </c>
      <c r="T2349" t="s">
        <v>12349</v>
      </c>
    </row>
    <row r="2350" spans="1:20">
      <c r="A2350">
        <v>3050272</v>
      </c>
      <c r="B2350" t="s">
        <v>12350</v>
      </c>
      <c r="C2350" t="str">
        <f>"9780889201125"</f>
        <v>9780889201125</v>
      </c>
      <c r="D2350" t="str">
        <f>"9780889206953"</f>
        <v>9780889206953</v>
      </c>
      <c r="E2350" t="s">
        <v>6047</v>
      </c>
      <c r="F2350" t="s">
        <v>6047</v>
      </c>
      <c r="G2350" s="1">
        <v>29921</v>
      </c>
      <c r="J2350" t="s">
        <v>12351</v>
      </c>
      <c r="K2350" t="s">
        <v>1464</v>
      </c>
      <c r="L2350" t="s">
        <v>12352</v>
      </c>
      <c r="N2350" t="s">
        <v>12353</v>
      </c>
      <c r="O2350" t="s">
        <v>26</v>
      </c>
      <c r="P2350">
        <v>85</v>
      </c>
      <c r="Q2350">
        <v>106.25</v>
      </c>
      <c r="R2350">
        <v>85</v>
      </c>
      <c r="S2350">
        <v>127.5</v>
      </c>
      <c r="T2350" t="s">
        <v>12354</v>
      </c>
    </row>
    <row r="2351" spans="1:20">
      <c r="A2351">
        <v>3050273</v>
      </c>
      <c r="B2351" t="s">
        <v>12355</v>
      </c>
      <c r="C2351" t="str">
        <f>"9780889201538"</f>
        <v>9780889201538</v>
      </c>
      <c r="D2351" t="str">
        <f>"9780889206649"</f>
        <v>9780889206649</v>
      </c>
      <c r="E2351" t="s">
        <v>6047</v>
      </c>
      <c r="F2351" t="s">
        <v>6047</v>
      </c>
      <c r="G2351" s="1">
        <v>32112</v>
      </c>
      <c r="J2351" t="s">
        <v>12356</v>
      </c>
      <c r="K2351" t="s">
        <v>291</v>
      </c>
      <c r="L2351" t="s">
        <v>12357</v>
      </c>
      <c r="N2351" t="s">
        <v>12358</v>
      </c>
      <c r="O2351" t="s">
        <v>26</v>
      </c>
      <c r="P2351">
        <v>85</v>
      </c>
      <c r="Q2351">
        <v>106.25</v>
      </c>
      <c r="R2351">
        <v>85</v>
      </c>
      <c r="S2351">
        <v>127.5</v>
      </c>
      <c r="T2351" t="s">
        <v>12359</v>
      </c>
    </row>
    <row r="2352" spans="1:20">
      <c r="A2352">
        <v>3050274</v>
      </c>
      <c r="B2352" t="s">
        <v>12360</v>
      </c>
      <c r="C2352" t="str">
        <f>"9780889201248"</f>
        <v>9780889201248</v>
      </c>
      <c r="D2352" t="str">
        <f>"9780889207523"</f>
        <v>9780889207523</v>
      </c>
      <c r="E2352" t="s">
        <v>6047</v>
      </c>
      <c r="F2352" t="s">
        <v>6047</v>
      </c>
      <c r="G2352" s="1">
        <v>30286</v>
      </c>
      <c r="J2352" t="s">
        <v>12361</v>
      </c>
      <c r="K2352" t="s">
        <v>467</v>
      </c>
      <c r="L2352" t="s">
        <v>12362</v>
      </c>
      <c r="N2352" t="s">
        <v>12363</v>
      </c>
      <c r="O2352" t="s">
        <v>26</v>
      </c>
      <c r="P2352">
        <v>85</v>
      </c>
      <c r="Q2352">
        <v>106.25</v>
      </c>
      <c r="R2352">
        <v>85</v>
      </c>
      <c r="S2352">
        <v>127.5</v>
      </c>
      <c r="T2352" t="s">
        <v>12364</v>
      </c>
    </row>
    <row r="2353" spans="1:20">
      <c r="A2353">
        <v>3050275</v>
      </c>
      <c r="B2353" t="s">
        <v>12365</v>
      </c>
      <c r="C2353" t="str">
        <f>"9780889201095"</f>
        <v>9780889201095</v>
      </c>
      <c r="D2353" t="str">
        <f>"9780889208261"</f>
        <v>9780889208261</v>
      </c>
      <c r="E2353" t="s">
        <v>6047</v>
      </c>
      <c r="F2353" t="s">
        <v>6047</v>
      </c>
      <c r="G2353" s="1">
        <v>29556</v>
      </c>
      <c r="J2353" t="s">
        <v>12366</v>
      </c>
      <c r="K2353" t="s">
        <v>291</v>
      </c>
      <c r="L2353" t="s">
        <v>12367</v>
      </c>
      <c r="N2353" t="s">
        <v>12368</v>
      </c>
      <c r="O2353" t="s">
        <v>26</v>
      </c>
      <c r="P2353">
        <v>85</v>
      </c>
      <c r="Q2353">
        <v>106.25</v>
      </c>
      <c r="R2353">
        <v>85</v>
      </c>
      <c r="S2353">
        <v>127.5</v>
      </c>
      <c r="T2353" t="s">
        <v>12369</v>
      </c>
    </row>
    <row r="2354" spans="1:20">
      <c r="A2354">
        <v>3050276</v>
      </c>
      <c r="B2354" t="s">
        <v>12370</v>
      </c>
      <c r="C2354" t="str">
        <f>"9780889201422"</f>
        <v>9780889201422</v>
      </c>
      <c r="D2354" t="str">
        <f>"9780889206106"</f>
        <v>9780889206106</v>
      </c>
      <c r="E2354" t="s">
        <v>6047</v>
      </c>
      <c r="F2354" t="s">
        <v>6047</v>
      </c>
      <c r="G2354" s="1">
        <v>30286</v>
      </c>
      <c r="J2354" t="s">
        <v>12371</v>
      </c>
      <c r="K2354" t="s">
        <v>1892</v>
      </c>
      <c r="L2354" t="s">
        <v>12372</v>
      </c>
      <c r="N2354" t="s">
        <v>12373</v>
      </c>
      <c r="O2354" t="s">
        <v>26</v>
      </c>
      <c r="P2354">
        <v>85</v>
      </c>
      <c r="Q2354">
        <v>106.25</v>
      </c>
      <c r="R2354">
        <v>85</v>
      </c>
      <c r="S2354">
        <v>127.5</v>
      </c>
      <c r="T2354" t="s">
        <v>12374</v>
      </c>
    </row>
    <row r="2355" spans="1:20">
      <c r="A2355">
        <v>3050277</v>
      </c>
      <c r="B2355" t="s">
        <v>12375</v>
      </c>
      <c r="C2355" t="str">
        <f>"9780919812154"</f>
        <v>9780919812154</v>
      </c>
      <c r="D2355" t="str">
        <f>"9780889208384"</f>
        <v>9780889208384</v>
      </c>
      <c r="E2355" t="s">
        <v>6047</v>
      </c>
      <c r="F2355" t="s">
        <v>6047</v>
      </c>
      <c r="G2355" s="1">
        <v>29921</v>
      </c>
      <c r="J2355" t="s">
        <v>12376</v>
      </c>
      <c r="K2355" t="s">
        <v>1892</v>
      </c>
      <c r="L2355" t="s">
        <v>12377</v>
      </c>
      <c r="N2355" t="s">
        <v>12378</v>
      </c>
      <c r="O2355" t="s">
        <v>26</v>
      </c>
      <c r="P2355">
        <v>85</v>
      </c>
      <c r="Q2355">
        <v>106.25</v>
      </c>
      <c r="R2355">
        <v>85</v>
      </c>
      <c r="S2355">
        <v>127.5</v>
      </c>
      <c r="T2355" t="s">
        <v>12379</v>
      </c>
    </row>
    <row r="2356" spans="1:20">
      <c r="A2356">
        <v>3050278</v>
      </c>
      <c r="B2356" t="s">
        <v>12380</v>
      </c>
      <c r="C2356" t="str">
        <f>"9780889200913"</f>
        <v>9780889200913</v>
      </c>
      <c r="D2356" t="str">
        <f>"9780889208377"</f>
        <v>9780889208377</v>
      </c>
      <c r="E2356" t="s">
        <v>6047</v>
      </c>
      <c r="F2356" t="s">
        <v>6047</v>
      </c>
      <c r="G2356" s="1">
        <v>29190</v>
      </c>
      <c r="J2356" t="s">
        <v>12381</v>
      </c>
      <c r="K2356" t="s">
        <v>4347</v>
      </c>
      <c r="L2356" t="s">
        <v>12382</v>
      </c>
      <c r="N2356" t="s">
        <v>12383</v>
      </c>
      <c r="O2356" t="s">
        <v>26</v>
      </c>
      <c r="P2356">
        <v>85</v>
      </c>
      <c r="Q2356">
        <v>106.25</v>
      </c>
      <c r="R2356">
        <v>85</v>
      </c>
      <c r="S2356">
        <v>127.5</v>
      </c>
      <c r="T2356" t="s">
        <v>12384</v>
      </c>
    </row>
    <row r="2357" spans="1:20">
      <c r="A2357">
        <v>3050279</v>
      </c>
      <c r="B2357" t="s">
        <v>12385</v>
      </c>
      <c r="C2357" t="str">
        <f>"9780889202931"</f>
        <v>9780889202931</v>
      </c>
      <c r="D2357" t="str">
        <f>"9780889207578"</f>
        <v>9780889207578</v>
      </c>
      <c r="E2357" t="s">
        <v>6047</v>
      </c>
      <c r="F2357" t="s">
        <v>6047</v>
      </c>
      <c r="G2357" s="1">
        <v>35765</v>
      </c>
      <c r="J2357" t="s">
        <v>12386</v>
      </c>
      <c r="K2357" t="s">
        <v>1464</v>
      </c>
      <c r="L2357" t="s">
        <v>12387</v>
      </c>
      <c r="N2357" t="s">
        <v>12388</v>
      </c>
      <c r="O2357" t="s">
        <v>26</v>
      </c>
      <c r="P2357">
        <v>85</v>
      </c>
      <c r="Q2357">
        <v>106.25</v>
      </c>
      <c r="R2357">
        <v>85</v>
      </c>
      <c r="S2357">
        <v>127.5</v>
      </c>
      <c r="T2357" t="s">
        <v>12389</v>
      </c>
    </row>
    <row r="2358" spans="1:20">
      <c r="A2358">
        <v>3050280</v>
      </c>
      <c r="B2358" t="s">
        <v>12390</v>
      </c>
      <c r="C2358" t="str">
        <f>"9780889200272"</f>
        <v>9780889200272</v>
      </c>
      <c r="D2358" t="str">
        <f>"9780889205352"</f>
        <v>9780889205352</v>
      </c>
      <c r="E2358" t="s">
        <v>6047</v>
      </c>
      <c r="F2358" t="s">
        <v>6047</v>
      </c>
      <c r="G2358" s="1">
        <v>27729</v>
      </c>
      <c r="J2358" t="s">
        <v>12391</v>
      </c>
      <c r="K2358" t="s">
        <v>57</v>
      </c>
      <c r="L2358" t="s">
        <v>12392</v>
      </c>
      <c r="N2358" t="s">
        <v>12393</v>
      </c>
      <c r="O2358" t="s">
        <v>26</v>
      </c>
      <c r="P2358">
        <v>85</v>
      </c>
      <c r="Q2358">
        <v>106.25</v>
      </c>
      <c r="R2358">
        <v>85</v>
      </c>
      <c r="S2358">
        <v>127.5</v>
      </c>
      <c r="T2358" t="s">
        <v>12394</v>
      </c>
    </row>
    <row r="2359" spans="1:20">
      <c r="A2359">
        <v>3050281</v>
      </c>
      <c r="B2359" t="s">
        <v>12395</v>
      </c>
      <c r="C2359" t="str">
        <f>"9780919812062"</f>
        <v>9780919812062</v>
      </c>
      <c r="D2359" t="str">
        <f>"9780889206113"</f>
        <v>9780889206113</v>
      </c>
      <c r="E2359" t="s">
        <v>6047</v>
      </c>
      <c r="F2359" t="s">
        <v>6047</v>
      </c>
      <c r="G2359" s="1">
        <v>28460</v>
      </c>
      <c r="J2359" t="s">
        <v>12396</v>
      </c>
      <c r="K2359" t="s">
        <v>1892</v>
      </c>
      <c r="L2359" t="s">
        <v>12397</v>
      </c>
      <c r="N2359" t="s">
        <v>12398</v>
      </c>
      <c r="O2359" t="s">
        <v>26</v>
      </c>
      <c r="P2359">
        <v>85</v>
      </c>
      <c r="Q2359">
        <v>106.25</v>
      </c>
      <c r="R2359">
        <v>85</v>
      </c>
      <c r="S2359">
        <v>127.5</v>
      </c>
      <c r="T2359" t="s">
        <v>12399</v>
      </c>
    </row>
    <row r="2360" spans="1:20">
      <c r="A2360">
        <v>3050282</v>
      </c>
      <c r="B2360" t="s">
        <v>12400</v>
      </c>
      <c r="C2360" t="str">
        <f>"9780889200722"</f>
        <v>9780889200722</v>
      </c>
      <c r="D2360" t="str">
        <f>"9780889206823"</f>
        <v>9780889206823</v>
      </c>
      <c r="E2360" t="s">
        <v>6047</v>
      </c>
      <c r="F2360" t="s">
        <v>6047</v>
      </c>
      <c r="G2360" s="1">
        <v>28825</v>
      </c>
      <c r="J2360" t="s">
        <v>12290</v>
      </c>
      <c r="K2360" t="s">
        <v>3951</v>
      </c>
      <c r="L2360" t="s">
        <v>12401</v>
      </c>
      <c r="N2360" t="s">
        <v>12402</v>
      </c>
      <c r="O2360" t="s">
        <v>26</v>
      </c>
      <c r="P2360">
        <v>85</v>
      </c>
      <c r="Q2360">
        <v>106.25</v>
      </c>
      <c r="R2360">
        <v>85</v>
      </c>
      <c r="S2360">
        <v>127.5</v>
      </c>
      <c r="T2360" t="s">
        <v>12403</v>
      </c>
    </row>
    <row r="2361" spans="1:20">
      <c r="A2361">
        <v>3050283</v>
      </c>
      <c r="B2361" t="s">
        <v>12404</v>
      </c>
      <c r="C2361" t="str">
        <f>"9780889202887"</f>
        <v>9780889202887</v>
      </c>
      <c r="D2361" t="str">
        <f>"9780889208407"</f>
        <v>9780889208407</v>
      </c>
      <c r="E2361" t="s">
        <v>6047</v>
      </c>
      <c r="F2361" t="s">
        <v>6047</v>
      </c>
      <c r="G2361" s="1">
        <v>35400</v>
      </c>
      <c r="J2361" t="s">
        <v>12405</v>
      </c>
      <c r="K2361" t="s">
        <v>1892</v>
      </c>
      <c r="L2361" t="s">
        <v>12406</v>
      </c>
      <c r="N2361" t="s">
        <v>12407</v>
      </c>
      <c r="O2361" t="s">
        <v>26</v>
      </c>
      <c r="P2361">
        <v>85</v>
      </c>
      <c r="Q2361">
        <v>106.25</v>
      </c>
      <c r="R2361">
        <v>85</v>
      </c>
      <c r="S2361">
        <v>127.5</v>
      </c>
      <c r="T2361" t="s">
        <v>12408</v>
      </c>
    </row>
    <row r="2362" spans="1:20">
      <c r="A2362">
        <v>3050284</v>
      </c>
      <c r="B2362" t="s">
        <v>12409</v>
      </c>
      <c r="C2362" t="str">
        <f>"9780889200739"</f>
        <v>9780889200739</v>
      </c>
      <c r="D2362" t="str">
        <f>"9780889206120"</f>
        <v>9780889206120</v>
      </c>
      <c r="E2362" t="s">
        <v>6047</v>
      </c>
      <c r="F2362" t="s">
        <v>6047</v>
      </c>
      <c r="G2362" s="1">
        <v>28825</v>
      </c>
      <c r="J2362" t="s">
        <v>12410</v>
      </c>
      <c r="K2362" t="s">
        <v>1859</v>
      </c>
      <c r="L2362" t="s">
        <v>12411</v>
      </c>
      <c r="N2362" t="s">
        <v>12412</v>
      </c>
      <c r="O2362" t="s">
        <v>26</v>
      </c>
      <c r="P2362">
        <v>85</v>
      </c>
      <c r="Q2362">
        <v>106.25</v>
      </c>
      <c r="R2362">
        <v>85</v>
      </c>
      <c r="S2362">
        <v>127.5</v>
      </c>
      <c r="T2362" t="s">
        <v>12413</v>
      </c>
    </row>
    <row r="2363" spans="1:20">
      <c r="A2363">
        <v>3050285</v>
      </c>
      <c r="B2363" t="s">
        <v>12414</v>
      </c>
      <c r="C2363" t="str">
        <f>"9780889200173"</f>
        <v>9780889200173</v>
      </c>
      <c r="D2363" t="str">
        <f>"9780889207226"</f>
        <v>9780889207226</v>
      </c>
      <c r="E2363" t="s">
        <v>6047</v>
      </c>
      <c r="F2363" t="s">
        <v>6047</v>
      </c>
      <c r="G2363" s="1">
        <v>27364</v>
      </c>
      <c r="J2363" t="s">
        <v>12415</v>
      </c>
      <c r="K2363" t="s">
        <v>1859</v>
      </c>
      <c r="L2363" t="s">
        <v>12416</v>
      </c>
      <c r="N2363" t="s">
        <v>12417</v>
      </c>
      <c r="O2363" t="s">
        <v>26</v>
      </c>
      <c r="P2363">
        <v>85</v>
      </c>
      <c r="Q2363">
        <v>106.25</v>
      </c>
      <c r="R2363">
        <v>85</v>
      </c>
      <c r="S2363">
        <v>127.5</v>
      </c>
      <c r="T2363" t="s">
        <v>12418</v>
      </c>
    </row>
    <row r="2364" spans="1:20">
      <c r="A2364">
        <v>3050286</v>
      </c>
      <c r="B2364" t="s">
        <v>12419</v>
      </c>
      <c r="C2364" t="str">
        <f>"9780889202856"</f>
        <v>9780889202856</v>
      </c>
      <c r="D2364" t="str">
        <f>"9780889207950"</f>
        <v>9780889207950</v>
      </c>
      <c r="E2364" t="s">
        <v>6047</v>
      </c>
      <c r="F2364" t="s">
        <v>6047</v>
      </c>
      <c r="G2364" s="1">
        <v>35400</v>
      </c>
      <c r="J2364" t="s">
        <v>12420</v>
      </c>
      <c r="K2364" t="s">
        <v>1892</v>
      </c>
      <c r="L2364" t="s">
        <v>12421</v>
      </c>
      <c r="N2364" t="s">
        <v>12422</v>
      </c>
      <c r="O2364" t="s">
        <v>26</v>
      </c>
      <c r="P2364">
        <v>85</v>
      </c>
      <c r="Q2364">
        <v>106.25</v>
      </c>
      <c r="R2364">
        <v>85</v>
      </c>
      <c r="S2364">
        <v>127.5</v>
      </c>
      <c r="T2364" t="s">
        <v>12423</v>
      </c>
    </row>
    <row r="2365" spans="1:20">
      <c r="A2365">
        <v>3050287</v>
      </c>
      <c r="B2365" t="s">
        <v>12424</v>
      </c>
      <c r="C2365" t="str">
        <f>"9780889200746"</f>
        <v>9780889200746</v>
      </c>
      <c r="D2365" t="str">
        <f>"9780889207530"</f>
        <v>9780889207530</v>
      </c>
      <c r="E2365" t="s">
        <v>6047</v>
      </c>
      <c r="F2365" t="s">
        <v>6047</v>
      </c>
      <c r="G2365" s="1">
        <v>28825</v>
      </c>
      <c r="J2365" t="s">
        <v>12425</v>
      </c>
      <c r="K2365" t="s">
        <v>257</v>
      </c>
      <c r="L2365" t="s">
        <v>12426</v>
      </c>
      <c r="N2365" t="s">
        <v>12427</v>
      </c>
      <c r="O2365" t="s">
        <v>26</v>
      </c>
      <c r="P2365">
        <v>85</v>
      </c>
      <c r="Q2365">
        <v>106.25</v>
      </c>
      <c r="R2365">
        <v>85</v>
      </c>
      <c r="S2365">
        <v>127.5</v>
      </c>
      <c r="T2365" t="s">
        <v>12428</v>
      </c>
    </row>
    <row r="2366" spans="1:20">
      <c r="A2366">
        <v>3050288</v>
      </c>
      <c r="B2366" t="s">
        <v>12429</v>
      </c>
      <c r="C2366" t="str">
        <f>"9780889200944"</f>
        <v>9780889200944</v>
      </c>
      <c r="D2366" t="str">
        <f>"9780889207844"</f>
        <v>9780889207844</v>
      </c>
      <c r="E2366" t="s">
        <v>6047</v>
      </c>
      <c r="F2366" t="s">
        <v>6047</v>
      </c>
      <c r="G2366" s="1">
        <v>29556</v>
      </c>
      <c r="J2366" t="s">
        <v>12430</v>
      </c>
      <c r="K2366" t="s">
        <v>291</v>
      </c>
      <c r="L2366" t="s">
        <v>12431</v>
      </c>
      <c r="N2366" t="s">
        <v>12432</v>
      </c>
      <c r="O2366" t="s">
        <v>26</v>
      </c>
      <c r="P2366">
        <v>85</v>
      </c>
      <c r="Q2366">
        <v>106.25</v>
      </c>
      <c r="R2366">
        <v>85</v>
      </c>
      <c r="S2366">
        <v>127.5</v>
      </c>
      <c r="T2366" t="s">
        <v>12433</v>
      </c>
    </row>
    <row r="2367" spans="1:20">
      <c r="A2367">
        <v>3050289</v>
      </c>
      <c r="B2367" t="s">
        <v>12434</v>
      </c>
      <c r="C2367" t="str">
        <f>"9780889200975"</f>
        <v>9780889200975</v>
      </c>
      <c r="D2367" t="str">
        <f>"9780889206090"</f>
        <v>9780889206090</v>
      </c>
      <c r="E2367" t="s">
        <v>6047</v>
      </c>
      <c r="F2367" t="s">
        <v>6047</v>
      </c>
      <c r="G2367" s="1">
        <v>29556</v>
      </c>
      <c r="J2367" t="s">
        <v>12435</v>
      </c>
      <c r="K2367" t="s">
        <v>291</v>
      </c>
      <c r="L2367" t="s">
        <v>12436</v>
      </c>
      <c r="N2367" t="s">
        <v>12437</v>
      </c>
      <c r="O2367" t="s">
        <v>26</v>
      </c>
      <c r="P2367">
        <v>85</v>
      </c>
      <c r="Q2367">
        <v>106.25</v>
      </c>
      <c r="R2367">
        <v>85</v>
      </c>
      <c r="S2367">
        <v>127.5</v>
      </c>
      <c r="T2367" t="s">
        <v>12438</v>
      </c>
    </row>
    <row r="2368" spans="1:20">
      <c r="A2368">
        <v>3050290</v>
      </c>
      <c r="B2368" t="s">
        <v>12439</v>
      </c>
      <c r="C2368" t="str">
        <f>"9780889200425"</f>
        <v>9780889200425</v>
      </c>
      <c r="D2368" t="str">
        <f>"9780889208599"</f>
        <v>9780889208599</v>
      </c>
      <c r="E2368" t="s">
        <v>6047</v>
      </c>
      <c r="F2368" t="s">
        <v>6047</v>
      </c>
      <c r="G2368" s="1">
        <v>28095</v>
      </c>
      <c r="J2368" t="s">
        <v>12440</v>
      </c>
      <c r="K2368" t="s">
        <v>1464</v>
      </c>
      <c r="L2368" t="s">
        <v>12441</v>
      </c>
      <c r="N2368" t="s">
        <v>12442</v>
      </c>
      <c r="O2368" t="s">
        <v>26</v>
      </c>
      <c r="P2368">
        <v>85</v>
      </c>
      <c r="Q2368">
        <v>106.25</v>
      </c>
      <c r="R2368">
        <v>85</v>
      </c>
      <c r="S2368">
        <v>127.5</v>
      </c>
      <c r="T2368" t="s">
        <v>12443</v>
      </c>
    </row>
    <row r="2369" spans="1:20">
      <c r="A2369">
        <v>3050291</v>
      </c>
      <c r="B2369" t="s">
        <v>12444</v>
      </c>
      <c r="C2369" t="str">
        <f>"9780889200876"</f>
        <v>9780889200876</v>
      </c>
      <c r="D2369" t="str">
        <f>"9780889207905"</f>
        <v>9780889207905</v>
      </c>
      <c r="E2369" t="s">
        <v>6047</v>
      </c>
      <c r="F2369" t="s">
        <v>6047</v>
      </c>
      <c r="G2369" s="1">
        <v>29190</v>
      </c>
      <c r="J2369" t="s">
        <v>12445</v>
      </c>
      <c r="K2369" t="s">
        <v>257</v>
      </c>
      <c r="L2369" t="s">
        <v>12446</v>
      </c>
      <c r="N2369" t="s">
        <v>12447</v>
      </c>
      <c r="O2369" t="s">
        <v>26</v>
      </c>
      <c r="P2369">
        <v>85</v>
      </c>
      <c r="Q2369">
        <v>106.25</v>
      </c>
      <c r="R2369">
        <v>85</v>
      </c>
      <c r="S2369">
        <v>127.5</v>
      </c>
      <c r="T2369" t="s">
        <v>12448</v>
      </c>
    </row>
    <row r="2370" spans="1:20">
      <c r="A2370">
        <v>3050292</v>
      </c>
      <c r="B2370" t="s">
        <v>12449</v>
      </c>
      <c r="C2370" t="str">
        <f>"9780889200784"</f>
        <v>9780889200784</v>
      </c>
      <c r="D2370" t="str">
        <f>"9780889206809"</f>
        <v>9780889206809</v>
      </c>
      <c r="E2370" t="s">
        <v>6047</v>
      </c>
      <c r="F2370" t="s">
        <v>6047</v>
      </c>
      <c r="G2370" s="1">
        <v>29190</v>
      </c>
      <c r="J2370" t="s">
        <v>12450</v>
      </c>
      <c r="K2370" t="s">
        <v>291</v>
      </c>
      <c r="L2370" t="s">
        <v>12451</v>
      </c>
      <c r="N2370" t="s">
        <v>12452</v>
      </c>
      <c r="O2370" t="s">
        <v>26</v>
      </c>
      <c r="P2370">
        <v>85</v>
      </c>
      <c r="Q2370">
        <v>106.25</v>
      </c>
      <c r="R2370">
        <v>85</v>
      </c>
      <c r="S2370">
        <v>127.5</v>
      </c>
      <c r="T2370" t="s">
        <v>12453</v>
      </c>
    </row>
    <row r="2371" spans="1:20">
      <c r="A2371">
        <v>3050293</v>
      </c>
      <c r="B2371" t="s">
        <v>12454</v>
      </c>
      <c r="C2371" t="str">
        <f>"9780889203288"</f>
        <v>9780889203288</v>
      </c>
      <c r="D2371" t="str">
        <f>"9780889208186"</f>
        <v>9780889208186</v>
      </c>
      <c r="E2371" t="s">
        <v>6047</v>
      </c>
      <c r="F2371" t="s">
        <v>6047</v>
      </c>
      <c r="G2371" s="1">
        <v>35765</v>
      </c>
      <c r="J2371" t="s">
        <v>6492</v>
      </c>
      <c r="K2371" t="s">
        <v>1471</v>
      </c>
      <c r="L2371" t="s">
        <v>12455</v>
      </c>
      <c r="M2371" t="s">
        <v>12456</v>
      </c>
      <c r="N2371" t="s">
        <v>12457</v>
      </c>
      <c r="O2371" t="s">
        <v>26</v>
      </c>
      <c r="P2371">
        <v>85</v>
      </c>
      <c r="Q2371">
        <v>106.25</v>
      </c>
      <c r="R2371">
        <v>85</v>
      </c>
      <c r="S2371">
        <v>127.5</v>
      </c>
      <c r="T2371" t="s">
        <v>12458</v>
      </c>
    </row>
    <row r="2372" spans="1:20">
      <c r="A2372">
        <v>3050294</v>
      </c>
      <c r="B2372" t="s">
        <v>12459</v>
      </c>
      <c r="C2372" t="str">
        <f>"9780919812161"</f>
        <v>9780919812161</v>
      </c>
      <c r="D2372" t="str">
        <f>"9780889206083"</f>
        <v>9780889206083</v>
      </c>
      <c r="E2372" t="s">
        <v>6047</v>
      </c>
      <c r="F2372" t="s">
        <v>6047</v>
      </c>
      <c r="G2372" s="1">
        <v>29921</v>
      </c>
      <c r="J2372" t="s">
        <v>12460</v>
      </c>
      <c r="K2372" t="s">
        <v>1892</v>
      </c>
      <c r="L2372" t="s">
        <v>12461</v>
      </c>
      <c r="N2372" t="s">
        <v>12462</v>
      </c>
      <c r="O2372" t="s">
        <v>26</v>
      </c>
      <c r="P2372">
        <v>85</v>
      </c>
      <c r="Q2372">
        <v>106.25</v>
      </c>
      <c r="R2372">
        <v>85</v>
      </c>
      <c r="S2372">
        <v>127.5</v>
      </c>
      <c r="T2372" t="s">
        <v>12463</v>
      </c>
    </row>
    <row r="2373" spans="1:20">
      <c r="A2373">
        <v>3050295</v>
      </c>
      <c r="B2373" t="s">
        <v>12464</v>
      </c>
      <c r="C2373" t="str">
        <f>"9780889209688"</f>
        <v>9780889209688</v>
      </c>
      <c r="D2373" t="str">
        <f>"9780889208247"</f>
        <v>9780889208247</v>
      </c>
      <c r="E2373" t="s">
        <v>6047</v>
      </c>
      <c r="F2373" t="s">
        <v>6047</v>
      </c>
      <c r="G2373" s="1">
        <v>32112</v>
      </c>
      <c r="J2373" t="s">
        <v>6431</v>
      </c>
      <c r="K2373" t="s">
        <v>3951</v>
      </c>
      <c r="L2373" t="s">
        <v>12465</v>
      </c>
      <c r="N2373" t="s">
        <v>12466</v>
      </c>
      <c r="O2373" t="s">
        <v>26</v>
      </c>
      <c r="P2373">
        <v>85</v>
      </c>
      <c r="Q2373">
        <v>106.25</v>
      </c>
      <c r="R2373">
        <v>85</v>
      </c>
      <c r="S2373">
        <v>127.5</v>
      </c>
      <c r="T2373" t="s">
        <v>12467</v>
      </c>
    </row>
    <row r="2374" spans="1:20">
      <c r="A2374">
        <v>3050296</v>
      </c>
      <c r="B2374" t="s">
        <v>12468</v>
      </c>
      <c r="C2374" t="str">
        <f>"9780889200920"</f>
        <v>9780889200920</v>
      </c>
      <c r="D2374" t="str">
        <f>"9780889206977"</f>
        <v>9780889206977</v>
      </c>
      <c r="E2374" t="s">
        <v>6047</v>
      </c>
      <c r="F2374" t="s">
        <v>6047</v>
      </c>
      <c r="G2374" s="1">
        <v>29556</v>
      </c>
      <c r="J2374" t="s">
        <v>12469</v>
      </c>
      <c r="K2374" t="s">
        <v>1892</v>
      </c>
      <c r="L2374" t="s">
        <v>12470</v>
      </c>
      <c r="N2374" t="s">
        <v>12471</v>
      </c>
      <c r="O2374" t="s">
        <v>26</v>
      </c>
      <c r="P2374">
        <v>85</v>
      </c>
      <c r="Q2374">
        <v>106.25</v>
      </c>
      <c r="R2374">
        <v>85</v>
      </c>
      <c r="S2374">
        <v>127.5</v>
      </c>
      <c r="T2374" t="s">
        <v>12472</v>
      </c>
    </row>
    <row r="2375" spans="1:20">
      <c r="A2375">
        <v>3050297</v>
      </c>
      <c r="B2375" t="s">
        <v>12473</v>
      </c>
      <c r="C2375" t="str">
        <f>"9780889200937"</f>
        <v>9780889200937</v>
      </c>
      <c r="D2375" t="str">
        <f>"9780889207165"</f>
        <v>9780889207165</v>
      </c>
      <c r="E2375" t="s">
        <v>6047</v>
      </c>
      <c r="F2375" t="s">
        <v>6047</v>
      </c>
      <c r="G2375" s="1">
        <v>29190</v>
      </c>
      <c r="J2375" t="s">
        <v>12474</v>
      </c>
      <c r="K2375" t="s">
        <v>1859</v>
      </c>
      <c r="L2375" t="s">
        <v>12475</v>
      </c>
      <c r="M2375" t="s">
        <v>12261</v>
      </c>
      <c r="N2375" t="s">
        <v>12476</v>
      </c>
      <c r="O2375" t="s">
        <v>26</v>
      </c>
      <c r="P2375">
        <v>85</v>
      </c>
      <c r="Q2375">
        <v>106.25</v>
      </c>
      <c r="R2375">
        <v>85</v>
      </c>
      <c r="S2375">
        <v>127.5</v>
      </c>
      <c r="T2375" t="s">
        <v>12477</v>
      </c>
    </row>
    <row r="2376" spans="1:20">
      <c r="A2376">
        <v>3050298</v>
      </c>
      <c r="B2376" t="s">
        <v>12478</v>
      </c>
      <c r="C2376" t="str">
        <f>"9780889200760"</f>
        <v>9780889200760</v>
      </c>
      <c r="D2376" t="str">
        <f>"9780889205499"</f>
        <v>9780889205499</v>
      </c>
      <c r="E2376" t="s">
        <v>6047</v>
      </c>
      <c r="F2376" t="s">
        <v>6047</v>
      </c>
      <c r="G2376" s="1">
        <v>29190</v>
      </c>
      <c r="J2376" t="s">
        <v>12479</v>
      </c>
      <c r="K2376" t="s">
        <v>7075</v>
      </c>
      <c r="L2376" t="s">
        <v>12480</v>
      </c>
      <c r="N2376" t="s">
        <v>12481</v>
      </c>
      <c r="O2376" t="s">
        <v>26</v>
      </c>
      <c r="P2376">
        <v>85</v>
      </c>
      <c r="Q2376">
        <v>106.25</v>
      </c>
      <c r="R2376">
        <v>85</v>
      </c>
      <c r="S2376">
        <v>127.5</v>
      </c>
      <c r="T2376" t="s">
        <v>12482</v>
      </c>
    </row>
    <row r="2377" spans="1:20">
      <c r="A2377">
        <v>3050299</v>
      </c>
      <c r="B2377" t="s">
        <v>12483</v>
      </c>
      <c r="C2377" t="str">
        <f>"9780919812024"</f>
        <v>9780919812024</v>
      </c>
      <c r="D2377" t="str">
        <f>"9780889206236"</f>
        <v>9780889206236</v>
      </c>
      <c r="E2377" t="s">
        <v>6047</v>
      </c>
      <c r="F2377" t="s">
        <v>6047</v>
      </c>
      <c r="G2377" s="1">
        <v>27729</v>
      </c>
      <c r="J2377" t="s">
        <v>12484</v>
      </c>
      <c r="K2377" t="s">
        <v>1892</v>
      </c>
      <c r="L2377" t="s">
        <v>12485</v>
      </c>
      <c r="N2377" t="s">
        <v>12486</v>
      </c>
      <c r="O2377" t="s">
        <v>26</v>
      </c>
      <c r="P2377">
        <v>85</v>
      </c>
      <c r="Q2377">
        <v>106.25</v>
      </c>
      <c r="R2377">
        <v>85</v>
      </c>
      <c r="S2377">
        <v>127.5</v>
      </c>
      <c r="T2377" t="s">
        <v>12487</v>
      </c>
    </row>
    <row r="2378" spans="1:20">
      <c r="A2378">
        <v>3050300</v>
      </c>
      <c r="B2378" t="s">
        <v>12488</v>
      </c>
      <c r="C2378" t="str">
        <f>"9780889200661"</f>
        <v>9780889200661</v>
      </c>
      <c r="D2378" t="str">
        <f>"9780889208674"</f>
        <v>9780889208674</v>
      </c>
      <c r="E2378" t="s">
        <v>6047</v>
      </c>
      <c r="F2378" t="s">
        <v>6047</v>
      </c>
      <c r="G2378" s="1">
        <v>28460</v>
      </c>
      <c r="J2378" t="s">
        <v>12489</v>
      </c>
      <c r="K2378" t="s">
        <v>1464</v>
      </c>
      <c r="L2378" t="s">
        <v>12490</v>
      </c>
      <c r="N2378" t="s">
        <v>12491</v>
      </c>
      <c r="O2378" t="s">
        <v>26</v>
      </c>
      <c r="P2378">
        <v>85</v>
      </c>
      <c r="Q2378">
        <v>106.25</v>
      </c>
      <c r="R2378">
        <v>85</v>
      </c>
      <c r="S2378">
        <v>127.5</v>
      </c>
      <c r="T2378" t="s">
        <v>12492</v>
      </c>
    </row>
    <row r="2379" spans="1:20">
      <c r="A2379">
        <v>3050301</v>
      </c>
      <c r="B2379" t="s">
        <v>12493</v>
      </c>
      <c r="C2379" t="str">
        <f>"9781550580648"</f>
        <v>9781550580648</v>
      </c>
      <c r="D2379" t="str">
        <f>"9780889206144"</f>
        <v>9780889206144</v>
      </c>
      <c r="E2379" t="s">
        <v>6047</v>
      </c>
      <c r="F2379" t="s">
        <v>6047</v>
      </c>
      <c r="G2379" s="1">
        <v>34669</v>
      </c>
      <c r="J2379" t="s">
        <v>12494</v>
      </c>
      <c r="K2379" t="s">
        <v>305</v>
      </c>
      <c r="L2379" t="s">
        <v>12495</v>
      </c>
      <c r="N2379" t="s">
        <v>12496</v>
      </c>
      <c r="O2379" t="s">
        <v>26</v>
      </c>
      <c r="P2379">
        <v>85</v>
      </c>
      <c r="Q2379">
        <v>106.25</v>
      </c>
      <c r="R2379">
        <v>85</v>
      </c>
      <c r="S2379">
        <v>127.5</v>
      </c>
      <c r="T2379" t="s">
        <v>12497</v>
      </c>
    </row>
    <row r="2380" spans="1:20">
      <c r="A2380">
        <v>3050302</v>
      </c>
      <c r="B2380" t="s">
        <v>12498</v>
      </c>
      <c r="C2380" t="str">
        <f>"9780889200647"</f>
        <v>9780889200647</v>
      </c>
      <c r="D2380" t="str">
        <f>"9780889208506"</f>
        <v>9780889208506</v>
      </c>
      <c r="E2380" t="s">
        <v>6047</v>
      </c>
      <c r="F2380" t="s">
        <v>6047</v>
      </c>
      <c r="G2380" s="1">
        <v>28460</v>
      </c>
      <c r="J2380" t="s">
        <v>12499</v>
      </c>
      <c r="K2380" t="s">
        <v>1892</v>
      </c>
      <c r="L2380" t="s">
        <v>12500</v>
      </c>
      <c r="N2380" t="s">
        <v>12501</v>
      </c>
      <c r="O2380" t="s">
        <v>26</v>
      </c>
      <c r="P2380">
        <v>85</v>
      </c>
      <c r="Q2380">
        <v>106.25</v>
      </c>
      <c r="R2380">
        <v>85</v>
      </c>
      <c r="S2380">
        <v>127.5</v>
      </c>
      <c r="T2380" t="s">
        <v>12502</v>
      </c>
    </row>
    <row r="2381" spans="1:20">
      <c r="A2381">
        <v>3050303</v>
      </c>
      <c r="B2381" t="s">
        <v>12503</v>
      </c>
      <c r="C2381" t="str">
        <f>"9780889200814"</f>
        <v>9780889200814</v>
      </c>
      <c r="D2381" t="str">
        <f>"9780889206533"</f>
        <v>9780889206533</v>
      </c>
      <c r="E2381" t="s">
        <v>6047</v>
      </c>
      <c r="F2381" t="s">
        <v>6047</v>
      </c>
      <c r="G2381" s="1">
        <v>28825</v>
      </c>
      <c r="J2381" t="s">
        <v>12504</v>
      </c>
      <c r="K2381" t="s">
        <v>305</v>
      </c>
      <c r="L2381" t="s">
        <v>12505</v>
      </c>
      <c r="N2381" t="s">
        <v>12506</v>
      </c>
      <c r="O2381" t="s">
        <v>26</v>
      </c>
      <c r="P2381">
        <v>85</v>
      </c>
      <c r="Q2381">
        <v>106.25</v>
      </c>
      <c r="R2381">
        <v>85</v>
      </c>
      <c r="S2381">
        <v>127.5</v>
      </c>
      <c r="T2381" t="s">
        <v>12507</v>
      </c>
    </row>
    <row r="2382" spans="1:20">
      <c r="A2382">
        <v>3050304</v>
      </c>
      <c r="B2382" t="s">
        <v>12508</v>
      </c>
      <c r="C2382" t="str">
        <f>"9780889209725"</f>
        <v>9780889209725</v>
      </c>
      <c r="D2382" t="str">
        <f>"9780889208100"</f>
        <v>9780889208100</v>
      </c>
      <c r="E2382" t="s">
        <v>6047</v>
      </c>
      <c r="F2382" t="s">
        <v>6047</v>
      </c>
      <c r="G2382" s="1">
        <v>32112</v>
      </c>
      <c r="J2382" t="s">
        <v>6544</v>
      </c>
      <c r="K2382" t="s">
        <v>1892</v>
      </c>
      <c r="L2382" t="s">
        <v>12509</v>
      </c>
      <c r="N2382" t="s">
        <v>12510</v>
      </c>
      <c r="O2382" t="s">
        <v>26</v>
      </c>
      <c r="P2382">
        <v>85</v>
      </c>
      <c r="Q2382">
        <v>106.25</v>
      </c>
      <c r="R2382">
        <v>85</v>
      </c>
      <c r="S2382">
        <v>127.5</v>
      </c>
      <c r="T2382" t="s">
        <v>12511</v>
      </c>
    </row>
    <row r="2383" spans="1:20">
      <c r="A2383">
        <v>3050305</v>
      </c>
      <c r="B2383" t="s">
        <v>12512</v>
      </c>
      <c r="C2383" t="str">
        <f>"9780889203228"</f>
        <v>9780889203228</v>
      </c>
      <c r="D2383" t="str">
        <f>"9780889207677"</f>
        <v>9780889207677</v>
      </c>
      <c r="E2383" t="s">
        <v>6047</v>
      </c>
      <c r="F2383" t="s">
        <v>6047</v>
      </c>
      <c r="G2383" s="1">
        <v>36130</v>
      </c>
      <c r="J2383" t="s">
        <v>12513</v>
      </c>
      <c r="K2383" t="s">
        <v>467</v>
      </c>
      <c r="L2383" t="s">
        <v>12514</v>
      </c>
      <c r="N2383" t="s">
        <v>12515</v>
      </c>
      <c r="O2383" t="s">
        <v>26</v>
      </c>
      <c r="P2383">
        <v>85</v>
      </c>
      <c r="Q2383">
        <v>106.25</v>
      </c>
      <c r="R2383">
        <v>85</v>
      </c>
      <c r="S2383">
        <v>127.5</v>
      </c>
      <c r="T2383" t="s">
        <v>12516</v>
      </c>
    </row>
    <row r="2384" spans="1:20">
      <c r="A2384">
        <v>3050306</v>
      </c>
      <c r="B2384" t="s">
        <v>12517</v>
      </c>
      <c r="C2384" t="str">
        <f>"9780889203778"</f>
        <v>9780889203778</v>
      </c>
      <c r="D2384" t="str">
        <f>"9780889206472"</f>
        <v>9780889206472</v>
      </c>
      <c r="E2384" t="s">
        <v>6047</v>
      </c>
      <c r="F2384" t="s">
        <v>6047</v>
      </c>
      <c r="G2384" s="1">
        <v>36861</v>
      </c>
      <c r="J2384" t="s">
        <v>12518</v>
      </c>
      <c r="K2384" t="s">
        <v>1892</v>
      </c>
      <c r="L2384" t="s">
        <v>12519</v>
      </c>
      <c r="N2384" t="s">
        <v>12520</v>
      </c>
      <c r="O2384" t="s">
        <v>26</v>
      </c>
      <c r="P2384">
        <v>85</v>
      </c>
      <c r="Q2384">
        <v>106.25</v>
      </c>
      <c r="R2384">
        <v>85</v>
      </c>
      <c r="S2384">
        <v>127.5</v>
      </c>
      <c r="T2384" t="s">
        <v>12521</v>
      </c>
    </row>
    <row r="2385" spans="1:20">
      <c r="A2385">
        <v>3050307</v>
      </c>
      <c r="B2385" t="s">
        <v>12522</v>
      </c>
      <c r="C2385" t="str">
        <f>"9780919812055"</f>
        <v>9780919812055</v>
      </c>
      <c r="D2385" t="str">
        <f>"9780889208131"</f>
        <v>9780889208131</v>
      </c>
      <c r="E2385" t="s">
        <v>6047</v>
      </c>
      <c r="F2385" t="s">
        <v>6047</v>
      </c>
      <c r="G2385" s="1">
        <v>28095</v>
      </c>
      <c r="J2385" t="s">
        <v>12523</v>
      </c>
      <c r="K2385" t="s">
        <v>1892</v>
      </c>
      <c r="L2385" t="s">
        <v>12524</v>
      </c>
      <c r="N2385" t="s">
        <v>12525</v>
      </c>
      <c r="O2385" t="s">
        <v>26</v>
      </c>
      <c r="P2385">
        <v>85</v>
      </c>
      <c r="Q2385">
        <v>106.25</v>
      </c>
      <c r="R2385">
        <v>85</v>
      </c>
      <c r="S2385">
        <v>127.5</v>
      </c>
      <c r="T2385" t="s">
        <v>12526</v>
      </c>
    </row>
    <row r="2386" spans="1:20">
      <c r="A2386">
        <v>3050308</v>
      </c>
      <c r="B2386" t="s">
        <v>12527</v>
      </c>
      <c r="C2386" t="str">
        <f>"9780889200906"</f>
        <v>9780889200906</v>
      </c>
      <c r="D2386" t="str">
        <f>"9780889208445"</f>
        <v>9780889208445</v>
      </c>
      <c r="E2386" t="s">
        <v>6047</v>
      </c>
      <c r="F2386" t="s">
        <v>6047</v>
      </c>
      <c r="G2386" s="1">
        <v>29190</v>
      </c>
      <c r="J2386" t="s">
        <v>12528</v>
      </c>
      <c r="K2386" t="s">
        <v>1464</v>
      </c>
      <c r="L2386" t="s">
        <v>12529</v>
      </c>
      <c r="N2386" t="s">
        <v>12530</v>
      </c>
      <c r="O2386" t="s">
        <v>26</v>
      </c>
      <c r="P2386">
        <v>85</v>
      </c>
      <c r="Q2386">
        <v>106.25</v>
      </c>
      <c r="R2386">
        <v>85</v>
      </c>
      <c r="S2386">
        <v>127.5</v>
      </c>
      <c r="T2386" t="s">
        <v>12531</v>
      </c>
    </row>
    <row r="2387" spans="1:20">
      <c r="A2387">
        <v>3050309</v>
      </c>
      <c r="B2387" t="s">
        <v>12532</v>
      </c>
      <c r="C2387" t="str">
        <f>"9780899200538"</f>
        <v>9780899200538</v>
      </c>
      <c r="D2387" t="str">
        <f>"9780889208858"</f>
        <v>9780889208858</v>
      </c>
      <c r="E2387" t="s">
        <v>6047</v>
      </c>
      <c r="F2387" t="s">
        <v>6047</v>
      </c>
      <c r="G2387" s="1">
        <v>28095</v>
      </c>
      <c r="J2387" t="s">
        <v>12533</v>
      </c>
      <c r="K2387" t="s">
        <v>291</v>
      </c>
      <c r="L2387" t="s">
        <v>12534</v>
      </c>
      <c r="N2387" t="s">
        <v>12535</v>
      </c>
      <c r="O2387" t="s">
        <v>26</v>
      </c>
      <c r="P2387">
        <v>85</v>
      </c>
      <c r="Q2387">
        <v>106.25</v>
      </c>
      <c r="R2387">
        <v>85</v>
      </c>
      <c r="S2387">
        <v>127.5</v>
      </c>
      <c r="T2387" t="s">
        <v>12536</v>
      </c>
    </row>
    <row r="2388" spans="1:20">
      <c r="A2388">
        <v>3050310</v>
      </c>
      <c r="B2388" t="s">
        <v>12537</v>
      </c>
      <c r="C2388" t="str">
        <f>"9780889201484"</f>
        <v>9780889201484</v>
      </c>
      <c r="D2388" t="str">
        <f>"9780889208827"</f>
        <v>9780889208827</v>
      </c>
      <c r="E2388" t="s">
        <v>6047</v>
      </c>
      <c r="F2388" t="s">
        <v>6047</v>
      </c>
      <c r="G2388" s="1">
        <v>30651</v>
      </c>
      <c r="J2388" t="s">
        <v>12538</v>
      </c>
      <c r="K2388" t="s">
        <v>1464</v>
      </c>
      <c r="L2388" t="s">
        <v>12539</v>
      </c>
      <c r="N2388" t="s">
        <v>12540</v>
      </c>
      <c r="O2388" t="s">
        <v>26</v>
      </c>
      <c r="P2388">
        <v>85</v>
      </c>
      <c r="Q2388">
        <v>106.25</v>
      </c>
      <c r="R2388">
        <v>85</v>
      </c>
      <c r="S2388">
        <v>127.5</v>
      </c>
      <c r="T2388" t="s">
        <v>12541</v>
      </c>
    </row>
    <row r="2389" spans="1:20">
      <c r="A2389">
        <v>3050311</v>
      </c>
      <c r="B2389" t="s">
        <v>12542</v>
      </c>
      <c r="C2389" t="str">
        <f>"9780889200555"</f>
        <v>9780889200555</v>
      </c>
      <c r="D2389" t="str">
        <f>"9780889207455"</f>
        <v>9780889207455</v>
      </c>
      <c r="E2389" t="s">
        <v>6047</v>
      </c>
      <c r="F2389" t="s">
        <v>6047</v>
      </c>
      <c r="G2389" s="1">
        <v>28460</v>
      </c>
      <c r="J2389" t="s">
        <v>12543</v>
      </c>
      <c r="K2389" t="s">
        <v>1464</v>
      </c>
      <c r="L2389" t="s">
        <v>12544</v>
      </c>
      <c r="N2389" t="s">
        <v>12545</v>
      </c>
      <c r="O2389" t="s">
        <v>26</v>
      </c>
      <c r="P2389">
        <v>85</v>
      </c>
      <c r="Q2389">
        <v>106.25</v>
      </c>
      <c r="R2389">
        <v>85</v>
      </c>
      <c r="S2389">
        <v>127.5</v>
      </c>
      <c r="T2389" t="s">
        <v>12546</v>
      </c>
    </row>
    <row r="2390" spans="1:20">
      <c r="A2390">
        <v>3050312</v>
      </c>
      <c r="B2390" t="s">
        <v>12547</v>
      </c>
      <c r="C2390" t="str">
        <f>"9780919812147"</f>
        <v>9780919812147</v>
      </c>
      <c r="D2390" t="str">
        <f>"9780889205741"</f>
        <v>9780889205741</v>
      </c>
      <c r="E2390" t="s">
        <v>6047</v>
      </c>
      <c r="F2390" t="s">
        <v>6047</v>
      </c>
      <c r="G2390" s="1">
        <v>29921</v>
      </c>
      <c r="J2390" t="s">
        <v>12548</v>
      </c>
      <c r="K2390" t="s">
        <v>1892</v>
      </c>
      <c r="L2390" t="s">
        <v>12549</v>
      </c>
      <c r="N2390" t="s">
        <v>12550</v>
      </c>
      <c r="O2390" t="s">
        <v>26</v>
      </c>
      <c r="P2390">
        <v>85</v>
      </c>
      <c r="Q2390">
        <v>106.25</v>
      </c>
      <c r="R2390">
        <v>85</v>
      </c>
      <c r="S2390">
        <v>127.5</v>
      </c>
      <c r="T2390" t="s">
        <v>12551</v>
      </c>
    </row>
    <row r="2391" spans="1:20">
      <c r="A2391">
        <v>3050313</v>
      </c>
      <c r="B2391" t="s">
        <v>12552</v>
      </c>
      <c r="C2391" t="str">
        <f>"9780889200685"</f>
        <v>9780889200685</v>
      </c>
      <c r="D2391" t="str">
        <f>"9780889206588"</f>
        <v>9780889206588</v>
      </c>
      <c r="E2391" t="s">
        <v>6047</v>
      </c>
      <c r="F2391" t="s">
        <v>6047</v>
      </c>
      <c r="G2391" s="1">
        <v>28825</v>
      </c>
      <c r="J2391" t="s">
        <v>12553</v>
      </c>
      <c r="K2391" t="s">
        <v>1859</v>
      </c>
      <c r="L2391" t="s">
        <v>12554</v>
      </c>
      <c r="N2391" t="s">
        <v>12476</v>
      </c>
      <c r="O2391" t="s">
        <v>26</v>
      </c>
      <c r="P2391">
        <v>85</v>
      </c>
      <c r="Q2391">
        <v>106.25</v>
      </c>
      <c r="R2391">
        <v>85</v>
      </c>
      <c r="S2391">
        <v>127.5</v>
      </c>
      <c r="T2391" t="s">
        <v>12555</v>
      </c>
    </row>
    <row r="2392" spans="1:20">
      <c r="A2392">
        <v>3050314</v>
      </c>
      <c r="B2392" t="s">
        <v>12556</v>
      </c>
      <c r="C2392" t="str">
        <f>"9780889202900"</f>
        <v>9780889202900</v>
      </c>
      <c r="D2392" t="str">
        <f>"9780889207035"</f>
        <v>9780889207035</v>
      </c>
      <c r="E2392" t="s">
        <v>6047</v>
      </c>
      <c r="F2392" t="s">
        <v>6047</v>
      </c>
      <c r="G2392" s="1">
        <v>35765</v>
      </c>
      <c r="J2392" t="s">
        <v>6953</v>
      </c>
      <c r="K2392" t="s">
        <v>263</v>
      </c>
      <c r="L2392" t="s">
        <v>12557</v>
      </c>
      <c r="M2392" t="s">
        <v>12558</v>
      </c>
      <c r="N2392" t="s">
        <v>12559</v>
      </c>
      <c r="O2392" t="s">
        <v>26</v>
      </c>
      <c r="P2392">
        <v>85</v>
      </c>
      <c r="Q2392">
        <v>106.25</v>
      </c>
      <c r="R2392">
        <v>85</v>
      </c>
      <c r="S2392">
        <v>127.5</v>
      </c>
      <c r="T2392" t="s">
        <v>12560</v>
      </c>
    </row>
    <row r="2393" spans="1:20">
      <c r="A2393">
        <v>3050315</v>
      </c>
      <c r="B2393" t="s">
        <v>12561</v>
      </c>
      <c r="C2393" t="str">
        <f>"9780919812031"</f>
        <v>9780919812031</v>
      </c>
      <c r="D2393" t="str">
        <f>"9780889205567"</f>
        <v>9780889205567</v>
      </c>
      <c r="E2393" t="s">
        <v>6047</v>
      </c>
      <c r="F2393" t="s">
        <v>6047</v>
      </c>
      <c r="G2393" s="1">
        <v>28095</v>
      </c>
      <c r="J2393" t="s">
        <v>12562</v>
      </c>
      <c r="K2393" t="s">
        <v>1859</v>
      </c>
      <c r="L2393" t="s">
        <v>12563</v>
      </c>
      <c r="N2393" t="s">
        <v>12564</v>
      </c>
      <c r="O2393" t="s">
        <v>26</v>
      </c>
      <c r="P2393">
        <v>85</v>
      </c>
      <c r="Q2393">
        <v>106.25</v>
      </c>
      <c r="R2393">
        <v>85</v>
      </c>
      <c r="S2393">
        <v>127.5</v>
      </c>
      <c r="T2393" t="s">
        <v>12565</v>
      </c>
    </row>
    <row r="2394" spans="1:20">
      <c r="A2394">
        <v>3050316</v>
      </c>
      <c r="B2394" t="s">
        <v>12566</v>
      </c>
      <c r="C2394" t="str">
        <f>"9780919812086"</f>
        <v>9780919812086</v>
      </c>
      <c r="D2394" t="str">
        <f>"9780889207714"</f>
        <v>9780889207714</v>
      </c>
      <c r="E2394" t="s">
        <v>6047</v>
      </c>
      <c r="F2394" t="s">
        <v>6047</v>
      </c>
      <c r="G2394" s="1">
        <v>28460</v>
      </c>
      <c r="J2394" t="s">
        <v>12113</v>
      </c>
      <c r="K2394" t="s">
        <v>1859</v>
      </c>
      <c r="L2394" t="s">
        <v>12567</v>
      </c>
      <c r="N2394" t="s">
        <v>12568</v>
      </c>
      <c r="O2394" t="s">
        <v>26</v>
      </c>
      <c r="P2394">
        <v>85</v>
      </c>
      <c r="Q2394">
        <v>106.25</v>
      </c>
      <c r="R2394">
        <v>85</v>
      </c>
      <c r="S2394">
        <v>127.5</v>
      </c>
      <c r="T2394" t="s">
        <v>12569</v>
      </c>
    </row>
    <row r="2395" spans="1:20">
      <c r="A2395">
        <v>3050317</v>
      </c>
      <c r="B2395" t="s">
        <v>12570</v>
      </c>
      <c r="C2395" t="str">
        <f>"9780889202719"</f>
        <v>9780889202719</v>
      </c>
      <c r="D2395" t="str">
        <f>"9780889208698"</f>
        <v>9780889208698</v>
      </c>
      <c r="E2395" t="s">
        <v>6047</v>
      </c>
      <c r="F2395" t="s">
        <v>6047</v>
      </c>
      <c r="G2395" s="1">
        <v>35400</v>
      </c>
      <c r="J2395" t="s">
        <v>12571</v>
      </c>
      <c r="K2395" t="s">
        <v>1464</v>
      </c>
      <c r="L2395" t="s">
        <v>12572</v>
      </c>
      <c r="N2395" t="s">
        <v>12573</v>
      </c>
      <c r="O2395" t="s">
        <v>26</v>
      </c>
      <c r="P2395">
        <v>85</v>
      </c>
      <c r="Q2395">
        <v>106.25</v>
      </c>
      <c r="R2395">
        <v>85</v>
      </c>
      <c r="S2395">
        <v>127.5</v>
      </c>
      <c r="T2395" t="s">
        <v>12574</v>
      </c>
    </row>
    <row r="2396" spans="1:20">
      <c r="A2396">
        <v>3050318</v>
      </c>
      <c r="B2396" t="s">
        <v>12575</v>
      </c>
      <c r="C2396" t="str">
        <f>"9780882901695"</f>
        <v>9780882901695</v>
      </c>
      <c r="D2396" t="str">
        <f>"9780889205864"</f>
        <v>9780889205864</v>
      </c>
      <c r="E2396" t="s">
        <v>6047</v>
      </c>
      <c r="F2396" t="s">
        <v>6047</v>
      </c>
      <c r="G2396" s="1">
        <v>31747</v>
      </c>
      <c r="J2396" t="s">
        <v>12576</v>
      </c>
      <c r="K2396" t="s">
        <v>1892</v>
      </c>
      <c r="L2396" t="s">
        <v>12577</v>
      </c>
      <c r="N2396" t="s">
        <v>12578</v>
      </c>
      <c r="O2396" t="s">
        <v>26</v>
      </c>
      <c r="P2396">
        <v>85</v>
      </c>
      <c r="Q2396">
        <v>106.25</v>
      </c>
      <c r="R2396">
        <v>85</v>
      </c>
      <c r="S2396">
        <v>127.5</v>
      </c>
      <c r="T2396" t="s">
        <v>12579</v>
      </c>
    </row>
    <row r="2397" spans="1:20">
      <c r="A2397">
        <v>3050319</v>
      </c>
      <c r="B2397" t="s">
        <v>12580</v>
      </c>
      <c r="C2397" t="str">
        <f>"9780889202870"</f>
        <v>9780889202870</v>
      </c>
      <c r="D2397" t="str">
        <f>"9780889207325"</f>
        <v>9780889207325</v>
      </c>
      <c r="E2397" t="s">
        <v>6047</v>
      </c>
      <c r="F2397" t="s">
        <v>6047</v>
      </c>
      <c r="G2397" s="1">
        <v>35765</v>
      </c>
      <c r="J2397" t="s">
        <v>6856</v>
      </c>
      <c r="K2397" t="s">
        <v>263</v>
      </c>
      <c r="L2397" t="s">
        <v>12581</v>
      </c>
      <c r="N2397" t="s">
        <v>12582</v>
      </c>
      <c r="O2397" t="s">
        <v>26</v>
      </c>
      <c r="P2397">
        <v>85</v>
      </c>
      <c r="Q2397">
        <v>106.25</v>
      </c>
      <c r="R2397">
        <v>85</v>
      </c>
      <c r="S2397">
        <v>127.5</v>
      </c>
      <c r="T2397" t="s">
        <v>12583</v>
      </c>
    </row>
    <row r="2398" spans="1:20">
      <c r="A2398">
        <v>3050320</v>
      </c>
      <c r="B2398" t="s">
        <v>12584</v>
      </c>
      <c r="C2398" t="str">
        <f>"9780919812123"</f>
        <v>9780919812123</v>
      </c>
      <c r="D2398" t="str">
        <f>"9780889207486"</f>
        <v>9780889207486</v>
      </c>
      <c r="E2398" t="s">
        <v>6047</v>
      </c>
      <c r="F2398" t="s">
        <v>6047</v>
      </c>
      <c r="G2398" s="1">
        <v>29556</v>
      </c>
      <c r="J2398" t="s">
        <v>12585</v>
      </c>
      <c r="K2398" t="s">
        <v>1892</v>
      </c>
      <c r="L2398" t="s">
        <v>12586</v>
      </c>
      <c r="M2398" t="s">
        <v>12587</v>
      </c>
      <c r="N2398" t="s">
        <v>12588</v>
      </c>
      <c r="O2398" t="s">
        <v>26</v>
      </c>
      <c r="P2398">
        <v>85</v>
      </c>
      <c r="Q2398">
        <v>106.25</v>
      </c>
      <c r="R2398">
        <v>85</v>
      </c>
      <c r="S2398">
        <v>127.5</v>
      </c>
      <c r="T2398" t="s">
        <v>12589</v>
      </c>
    </row>
    <row r="2399" spans="1:20">
      <c r="A2399">
        <v>3050321</v>
      </c>
      <c r="B2399" t="s">
        <v>12590</v>
      </c>
      <c r="C2399" t="str">
        <f>"9780889202740"</f>
        <v>9780889202740</v>
      </c>
      <c r="D2399" t="str">
        <f>"9780889205574"</f>
        <v>9780889205574</v>
      </c>
      <c r="E2399" t="s">
        <v>6047</v>
      </c>
      <c r="F2399" t="s">
        <v>6047</v>
      </c>
      <c r="G2399" s="1">
        <v>35400</v>
      </c>
      <c r="J2399" t="s">
        <v>12591</v>
      </c>
      <c r="K2399" t="s">
        <v>291</v>
      </c>
      <c r="L2399" t="s">
        <v>12592</v>
      </c>
      <c r="N2399" t="s">
        <v>12593</v>
      </c>
      <c r="O2399" t="s">
        <v>26</v>
      </c>
      <c r="P2399">
        <v>85</v>
      </c>
      <c r="Q2399">
        <v>106.25</v>
      </c>
      <c r="R2399">
        <v>85</v>
      </c>
      <c r="S2399">
        <v>127.5</v>
      </c>
      <c r="T2399" t="s">
        <v>12594</v>
      </c>
    </row>
    <row r="2400" spans="1:20">
      <c r="A2400">
        <v>3050322</v>
      </c>
      <c r="B2400" t="s">
        <v>12595</v>
      </c>
      <c r="C2400" t="str">
        <f>"9780889200623"</f>
        <v>9780889200623</v>
      </c>
      <c r="D2400" t="str">
        <f>"9780889206700"</f>
        <v>9780889206700</v>
      </c>
      <c r="E2400" t="s">
        <v>6047</v>
      </c>
      <c r="F2400" t="s">
        <v>6047</v>
      </c>
      <c r="G2400" s="1">
        <v>28460</v>
      </c>
      <c r="J2400" t="s">
        <v>12596</v>
      </c>
      <c r="K2400" t="s">
        <v>1471</v>
      </c>
      <c r="L2400" t="s">
        <v>12597</v>
      </c>
      <c r="N2400" t="s">
        <v>12598</v>
      </c>
      <c r="O2400" t="s">
        <v>26</v>
      </c>
      <c r="P2400">
        <v>85</v>
      </c>
      <c r="Q2400">
        <v>106.25</v>
      </c>
      <c r="R2400">
        <v>85</v>
      </c>
      <c r="S2400">
        <v>127.5</v>
      </c>
      <c r="T2400" t="s">
        <v>12599</v>
      </c>
    </row>
    <row r="2401" spans="1:20">
      <c r="A2401">
        <v>3050323</v>
      </c>
      <c r="B2401" t="s">
        <v>12600</v>
      </c>
      <c r="C2401" t="str">
        <f>"9780889209657"</f>
        <v>9780889209657</v>
      </c>
      <c r="D2401" t="str">
        <f>"9780889207196"</f>
        <v>9780889207196</v>
      </c>
      <c r="E2401" t="s">
        <v>6047</v>
      </c>
      <c r="F2401" t="s">
        <v>6047</v>
      </c>
      <c r="G2401" s="1">
        <v>32112</v>
      </c>
      <c r="J2401" t="s">
        <v>12601</v>
      </c>
      <c r="K2401" t="s">
        <v>291</v>
      </c>
      <c r="L2401" t="s">
        <v>12602</v>
      </c>
      <c r="N2401" t="s">
        <v>12603</v>
      </c>
      <c r="O2401" t="s">
        <v>26</v>
      </c>
      <c r="P2401">
        <v>85</v>
      </c>
      <c r="Q2401">
        <v>106.25</v>
      </c>
      <c r="R2401">
        <v>85</v>
      </c>
      <c r="S2401">
        <v>127.5</v>
      </c>
      <c r="T2401" t="s">
        <v>12604</v>
      </c>
    </row>
    <row r="2402" spans="1:20">
      <c r="A2402">
        <v>3050324</v>
      </c>
      <c r="B2402" t="s">
        <v>12605</v>
      </c>
      <c r="C2402" t="str">
        <f>"9780919812017"</f>
        <v>9780919812017</v>
      </c>
      <c r="D2402" t="str">
        <f>"9780889208346"</f>
        <v>9780889208346</v>
      </c>
      <c r="E2402" t="s">
        <v>6047</v>
      </c>
      <c r="F2402" t="s">
        <v>6047</v>
      </c>
      <c r="G2402" s="1">
        <v>27729</v>
      </c>
      <c r="J2402" t="s">
        <v>12606</v>
      </c>
      <c r="K2402" t="s">
        <v>4081</v>
      </c>
      <c r="L2402" t="s">
        <v>12607</v>
      </c>
      <c r="N2402" t="s">
        <v>12608</v>
      </c>
      <c r="O2402" t="s">
        <v>26</v>
      </c>
      <c r="P2402">
        <v>85</v>
      </c>
      <c r="Q2402">
        <v>106.25</v>
      </c>
      <c r="R2402">
        <v>85</v>
      </c>
      <c r="S2402">
        <v>127.5</v>
      </c>
      <c r="T2402" t="s">
        <v>12609</v>
      </c>
    </row>
    <row r="2403" spans="1:20">
      <c r="A2403">
        <v>3050325</v>
      </c>
      <c r="B2403" t="s">
        <v>12610</v>
      </c>
      <c r="C2403" t="str">
        <f>"9780889200678"</f>
        <v>9780889200678</v>
      </c>
      <c r="D2403" t="str">
        <f>"9780889207622"</f>
        <v>9780889207622</v>
      </c>
      <c r="E2403" t="s">
        <v>6047</v>
      </c>
      <c r="F2403" t="s">
        <v>6047</v>
      </c>
      <c r="G2403" s="1">
        <v>28825</v>
      </c>
      <c r="J2403" t="s">
        <v>12611</v>
      </c>
      <c r="K2403" t="s">
        <v>467</v>
      </c>
      <c r="L2403" t="s">
        <v>12612</v>
      </c>
      <c r="N2403" t="s">
        <v>12613</v>
      </c>
      <c r="O2403" t="s">
        <v>26</v>
      </c>
      <c r="P2403">
        <v>85</v>
      </c>
      <c r="Q2403">
        <v>106.25</v>
      </c>
      <c r="R2403">
        <v>85</v>
      </c>
      <c r="S2403">
        <v>127.5</v>
      </c>
      <c r="T2403" t="s">
        <v>12614</v>
      </c>
    </row>
    <row r="2404" spans="1:20">
      <c r="A2404">
        <v>3050326</v>
      </c>
      <c r="B2404" t="s">
        <v>12615</v>
      </c>
      <c r="C2404" t="str">
        <f>"9780889203259"</f>
        <v>9780889203259</v>
      </c>
      <c r="D2404" t="str">
        <f>"9780889208551"</f>
        <v>9780889208551</v>
      </c>
      <c r="E2404" t="s">
        <v>6047</v>
      </c>
      <c r="F2404" t="s">
        <v>6047</v>
      </c>
      <c r="G2404" s="1">
        <v>36130</v>
      </c>
      <c r="J2404" t="s">
        <v>12616</v>
      </c>
      <c r="K2404" t="s">
        <v>2260</v>
      </c>
      <c r="L2404" t="s">
        <v>12617</v>
      </c>
      <c r="N2404" t="s">
        <v>12618</v>
      </c>
      <c r="O2404" t="s">
        <v>26</v>
      </c>
      <c r="P2404">
        <v>85</v>
      </c>
      <c r="Q2404">
        <v>106.25</v>
      </c>
      <c r="R2404">
        <v>85</v>
      </c>
      <c r="S2404">
        <v>127.5</v>
      </c>
      <c r="T2404" t="s">
        <v>12619</v>
      </c>
    </row>
    <row r="2405" spans="1:20">
      <c r="A2405">
        <v>3050327</v>
      </c>
      <c r="B2405" t="s">
        <v>12620</v>
      </c>
      <c r="C2405" t="str">
        <f>"9780889200654"</f>
        <v>9780889200654</v>
      </c>
      <c r="D2405" t="str">
        <f>"9780889208629"</f>
        <v>9780889208629</v>
      </c>
      <c r="E2405" t="s">
        <v>6047</v>
      </c>
      <c r="F2405" t="s">
        <v>6047</v>
      </c>
      <c r="G2405" s="1">
        <v>28460</v>
      </c>
      <c r="J2405" t="s">
        <v>12621</v>
      </c>
      <c r="K2405" t="s">
        <v>1464</v>
      </c>
      <c r="L2405" t="s">
        <v>12622</v>
      </c>
      <c r="N2405" t="s">
        <v>12623</v>
      </c>
      <c r="O2405" t="s">
        <v>26</v>
      </c>
      <c r="P2405">
        <v>85</v>
      </c>
      <c r="Q2405">
        <v>106.25</v>
      </c>
      <c r="R2405">
        <v>85</v>
      </c>
      <c r="S2405">
        <v>127.5</v>
      </c>
      <c r="T2405" t="s">
        <v>12624</v>
      </c>
    </row>
    <row r="2406" spans="1:20">
      <c r="A2406">
        <v>3050328</v>
      </c>
      <c r="B2406" t="s">
        <v>12625</v>
      </c>
      <c r="C2406" t="str">
        <f>"9780889200821"</f>
        <v>9780889200821</v>
      </c>
      <c r="D2406" t="str">
        <f>"9780889207981"</f>
        <v>9780889207981</v>
      </c>
      <c r="E2406" t="s">
        <v>6047</v>
      </c>
      <c r="F2406" t="s">
        <v>6047</v>
      </c>
      <c r="G2406" s="1">
        <v>28825</v>
      </c>
      <c r="J2406" t="s">
        <v>12626</v>
      </c>
      <c r="K2406" t="s">
        <v>791</v>
      </c>
      <c r="L2406" t="s">
        <v>12627</v>
      </c>
      <c r="N2406" t="s">
        <v>12628</v>
      </c>
      <c r="O2406" t="s">
        <v>26</v>
      </c>
      <c r="P2406">
        <v>85</v>
      </c>
      <c r="Q2406">
        <v>106.25</v>
      </c>
      <c r="R2406">
        <v>85</v>
      </c>
      <c r="S2406">
        <v>127.5</v>
      </c>
      <c r="T2406" t="s">
        <v>12629</v>
      </c>
    </row>
    <row r="2407" spans="1:20">
      <c r="A2407">
        <v>3050329</v>
      </c>
      <c r="B2407" t="s">
        <v>12630</v>
      </c>
      <c r="C2407" t="str">
        <f>"9780889200883"</f>
        <v>9780889200883</v>
      </c>
      <c r="D2407" t="str">
        <f>"9780889206984"</f>
        <v>9780889206984</v>
      </c>
      <c r="E2407" t="s">
        <v>6047</v>
      </c>
      <c r="F2407" t="s">
        <v>6047</v>
      </c>
      <c r="G2407" s="1">
        <v>29190</v>
      </c>
      <c r="J2407" t="s">
        <v>12631</v>
      </c>
      <c r="K2407" t="s">
        <v>467</v>
      </c>
      <c r="L2407" t="s">
        <v>12632</v>
      </c>
      <c r="N2407" t="s">
        <v>12633</v>
      </c>
      <c r="O2407" t="s">
        <v>26</v>
      </c>
      <c r="P2407">
        <v>85</v>
      </c>
      <c r="Q2407">
        <v>106.25</v>
      </c>
      <c r="R2407">
        <v>85</v>
      </c>
      <c r="S2407">
        <v>127.5</v>
      </c>
      <c r="T2407" t="s">
        <v>12634</v>
      </c>
    </row>
    <row r="2408" spans="1:20">
      <c r="A2408">
        <v>3050330</v>
      </c>
      <c r="B2408" t="s">
        <v>12635</v>
      </c>
      <c r="C2408" t="str">
        <f>"9780889200579"</f>
        <v>9780889200579</v>
      </c>
      <c r="D2408" t="str">
        <f>"9780889206625"</f>
        <v>9780889206625</v>
      </c>
      <c r="E2408" t="s">
        <v>6047</v>
      </c>
      <c r="F2408" t="s">
        <v>6047</v>
      </c>
      <c r="G2408" s="1">
        <v>28095</v>
      </c>
      <c r="J2408" t="s">
        <v>12636</v>
      </c>
      <c r="K2408" t="s">
        <v>263</v>
      </c>
      <c r="L2408" t="s">
        <v>12637</v>
      </c>
      <c r="N2408" t="s">
        <v>12638</v>
      </c>
      <c r="O2408" t="s">
        <v>26</v>
      </c>
      <c r="P2408">
        <v>85</v>
      </c>
      <c r="Q2408">
        <v>106.25</v>
      </c>
      <c r="R2408">
        <v>85</v>
      </c>
      <c r="S2408">
        <v>127.5</v>
      </c>
      <c r="T2408" t="s">
        <v>12639</v>
      </c>
    </row>
    <row r="2409" spans="1:20">
      <c r="A2409">
        <v>3050331</v>
      </c>
      <c r="B2409" t="s">
        <v>12640</v>
      </c>
      <c r="C2409" t="str">
        <f>"9780889202955"</f>
        <v>9780889202955</v>
      </c>
      <c r="D2409" t="str">
        <f>"9780889208940"</f>
        <v>9780889208940</v>
      </c>
      <c r="E2409" t="s">
        <v>6047</v>
      </c>
      <c r="F2409" t="s">
        <v>6047</v>
      </c>
      <c r="G2409" s="1">
        <v>35400</v>
      </c>
      <c r="J2409" t="s">
        <v>12641</v>
      </c>
      <c r="K2409" t="s">
        <v>1892</v>
      </c>
      <c r="L2409" t="s">
        <v>12642</v>
      </c>
      <c r="N2409" t="s">
        <v>12643</v>
      </c>
      <c r="O2409" t="s">
        <v>26</v>
      </c>
      <c r="P2409">
        <v>85</v>
      </c>
      <c r="Q2409">
        <v>106.25</v>
      </c>
      <c r="R2409">
        <v>85</v>
      </c>
      <c r="S2409">
        <v>127.5</v>
      </c>
      <c r="T2409" t="s">
        <v>12644</v>
      </c>
    </row>
    <row r="2410" spans="1:20">
      <c r="A2410">
        <v>3050332</v>
      </c>
      <c r="B2410" t="s">
        <v>12645</v>
      </c>
      <c r="C2410" t="str">
        <f>"9780889200616"</f>
        <v>9780889200616</v>
      </c>
      <c r="D2410" t="str">
        <f>"9780889207745"</f>
        <v>9780889207745</v>
      </c>
      <c r="E2410" t="s">
        <v>6047</v>
      </c>
      <c r="F2410" t="s">
        <v>6047</v>
      </c>
      <c r="G2410" s="1">
        <v>28825</v>
      </c>
      <c r="J2410" t="s">
        <v>12646</v>
      </c>
      <c r="K2410" t="s">
        <v>467</v>
      </c>
      <c r="L2410" t="s">
        <v>12647</v>
      </c>
      <c r="N2410" t="s">
        <v>12648</v>
      </c>
      <c r="O2410" t="s">
        <v>26</v>
      </c>
      <c r="P2410">
        <v>85</v>
      </c>
      <c r="Q2410">
        <v>106.25</v>
      </c>
      <c r="R2410">
        <v>85</v>
      </c>
      <c r="S2410">
        <v>127.5</v>
      </c>
      <c r="T2410" t="s">
        <v>12649</v>
      </c>
    </row>
    <row r="2411" spans="1:20">
      <c r="A2411">
        <v>3050333</v>
      </c>
      <c r="B2411" t="s">
        <v>12650</v>
      </c>
      <c r="C2411" t="str">
        <f>"9780889202979"</f>
        <v>9780889202979</v>
      </c>
      <c r="D2411" t="str">
        <f>"9780889206922"</f>
        <v>9780889206922</v>
      </c>
      <c r="E2411" t="s">
        <v>6047</v>
      </c>
      <c r="F2411" t="s">
        <v>6047</v>
      </c>
      <c r="G2411" s="1">
        <v>35765</v>
      </c>
      <c r="J2411" t="s">
        <v>12651</v>
      </c>
      <c r="K2411" t="s">
        <v>291</v>
      </c>
      <c r="L2411" t="s">
        <v>12652</v>
      </c>
      <c r="N2411" t="s">
        <v>12653</v>
      </c>
      <c r="O2411" t="s">
        <v>26</v>
      </c>
      <c r="P2411">
        <v>85</v>
      </c>
      <c r="Q2411">
        <v>106.25</v>
      </c>
      <c r="R2411">
        <v>85</v>
      </c>
      <c r="S2411">
        <v>127.5</v>
      </c>
      <c r="T2411" t="s">
        <v>12654</v>
      </c>
    </row>
    <row r="2412" spans="1:20">
      <c r="A2412">
        <v>3050334</v>
      </c>
      <c r="B2412" t="s">
        <v>12655</v>
      </c>
      <c r="C2412" t="str">
        <f>"9780889200401"</f>
        <v>9780889200401</v>
      </c>
      <c r="D2412" t="str">
        <f>"9780889208124"</f>
        <v>9780889208124</v>
      </c>
      <c r="E2412" t="s">
        <v>6047</v>
      </c>
      <c r="F2412" t="s">
        <v>6047</v>
      </c>
      <c r="G2412" s="1">
        <v>28460</v>
      </c>
      <c r="J2412" t="s">
        <v>12656</v>
      </c>
      <c r="K2412" t="s">
        <v>1464</v>
      </c>
      <c r="L2412" t="s">
        <v>12657</v>
      </c>
      <c r="N2412" t="s">
        <v>12658</v>
      </c>
      <c r="O2412" t="s">
        <v>26</v>
      </c>
      <c r="P2412">
        <v>85</v>
      </c>
      <c r="Q2412">
        <v>106.25</v>
      </c>
      <c r="R2412">
        <v>85</v>
      </c>
      <c r="S2412">
        <v>127.5</v>
      </c>
      <c r="T2412" t="s">
        <v>12659</v>
      </c>
    </row>
    <row r="2413" spans="1:20">
      <c r="A2413">
        <v>3050335</v>
      </c>
      <c r="B2413" t="s">
        <v>12660</v>
      </c>
      <c r="C2413" t="str">
        <f>"9780889202863"</f>
        <v>9780889202863</v>
      </c>
      <c r="D2413" t="str">
        <f>"9780889208193"</f>
        <v>9780889208193</v>
      </c>
      <c r="E2413" t="s">
        <v>6047</v>
      </c>
      <c r="F2413" t="s">
        <v>6047</v>
      </c>
      <c r="G2413" s="1">
        <v>35400</v>
      </c>
      <c r="J2413" t="s">
        <v>12661</v>
      </c>
      <c r="K2413" t="s">
        <v>1464</v>
      </c>
      <c r="L2413" t="s">
        <v>12662</v>
      </c>
      <c r="N2413" t="s">
        <v>12663</v>
      </c>
      <c r="O2413" t="s">
        <v>26</v>
      </c>
      <c r="P2413">
        <v>85</v>
      </c>
      <c r="Q2413">
        <v>106.25</v>
      </c>
      <c r="R2413">
        <v>85</v>
      </c>
      <c r="S2413">
        <v>127.5</v>
      </c>
      <c r="T2413" t="s">
        <v>12664</v>
      </c>
    </row>
    <row r="2414" spans="1:20">
      <c r="A2414">
        <v>3050336</v>
      </c>
      <c r="B2414" t="s">
        <v>12665</v>
      </c>
      <c r="C2414" t="str">
        <f>"9780919812079"</f>
        <v>9780919812079</v>
      </c>
      <c r="D2414" t="str">
        <f>"9780889208537"</f>
        <v>9780889208537</v>
      </c>
      <c r="E2414" t="s">
        <v>6047</v>
      </c>
      <c r="F2414" t="s">
        <v>6047</v>
      </c>
      <c r="G2414" s="1">
        <v>28460</v>
      </c>
      <c r="J2414" t="s">
        <v>12666</v>
      </c>
      <c r="K2414" t="s">
        <v>1859</v>
      </c>
      <c r="L2414" t="s">
        <v>12667</v>
      </c>
      <c r="N2414" t="s">
        <v>12668</v>
      </c>
      <c r="O2414" t="s">
        <v>26</v>
      </c>
      <c r="P2414">
        <v>85</v>
      </c>
      <c r="Q2414">
        <v>106.25</v>
      </c>
      <c r="R2414">
        <v>85</v>
      </c>
      <c r="S2414">
        <v>127.5</v>
      </c>
      <c r="T2414" t="s">
        <v>12669</v>
      </c>
    </row>
    <row r="2415" spans="1:20">
      <c r="A2415">
        <v>3050337</v>
      </c>
      <c r="B2415" t="s">
        <v>12670</v>
      </c>
      <c r="C2415" t="str">
        <f>"9780889203112"</f>
        <v>9780889203112</v>
      </c>
      <c r="D2415" t="str">
        <f>"9780889207974"</f>
        <v>9780889207974</v>
      </c>
      <c r="E2415" t="s">
        <v>6047</v>
      </c>
      <c r="F2415" t="s">
        <v>6047</v>
      </c>
      <c r="G2415" s="1">
        <v>35765</v>
      </c>
      <c r="J2415" t="s">
        <v>12671</v>
      </c>
      <c r="K2415" t="s">
        <v>305</v>
      </c>
      <c r="L2415" t="s">
        <v>12672</v>
      </c>
      <c r="N2415" t="s">
        <v>12673</v>
      </c>
      <c r="O2415" t="s">
        <v>26</v>
      </c>
      <c r="P2415">
        <v>85</v>
      </c>
      <c r="Q2415">
        <v>106.25</v>
      </c>
      <c r="R2415">
        <v>85</v>
      </c>
      <c r="S2415">
        <v>127.5</v>
      </c>
      <c r="T2415" t="s">
        <v>12674</v>
      </c>
    </row>
    <row r="2416" spans="1:20">
      <c r="A2416">
        <v>3050338</v>
      </c>
      <c r="B2416" t="s">
        <v>12675</v>
      </c>
      <c r="C2416" t="str">
        <f>"9780889202726"</f>
        <v>9780889202726</v>
      </c>
      <c r="D2416" t="str">
        <f>"9780889205468"</f>
        <v>9780889205468</v>
      </c>
      <c r="E2416" t="s">
        <v>6047</v>
      </c>
      <c r="F2416" t="s">
        <v>6047</v>
      </c>
      <c r="G2416" s="1">
        <v>35034</v>
      </c>
      <c r="J2416" t="s">
        <v>12676</v>
      </c>
      <c r="K2416" t="s">
        <v>1892</v>
      </c>
      <c r="L2416" t="s">
        <v>12677</v>
      </c>
      <c r="N2416" t="s">
        <v>12678</v>
      </c>
      <c r="O2416" t="s">
        <v>26</v>
      </c>
      <c r="P2416">
        <v>85</v>
      </c>
      <c r="Q2416">
        <v>106.25</v>
      </c>
      <c r="R2416">
        <v>85</v>
      </c>
      <c r="S2416">
        <v>127.5</v>
      </c>
      <c r="T2416" t="s">
        <v>12679</v>
      </c>
    </row>
    <row r="2417" spans="1:20">
      <c r="A2417">
        <v>3050339</v>
      </c>
      <c r="B2417" t="s">
        <v>12680</v>
      </c>
      <c r="C2417" t="str">
        <f>"9780889209862"</f>
        <v>9780889209862</v>
      </c>
      <c r="D2417" t="str">
        <f>"9780889205819"</f>
        <v>9780889205819</v>
      </c>
      <c r="E2417" t="s">
        <v>6047</v>
      </c>
      <c r="F2417" t="s">
        <v>6047</v>
      </c>
      <c r="G2417" s="1">
        <v>32478</v>
      </c>
      <c r="J2417" t="s">
        <v>12138</v>
      </c>
      <c r="K2417" t="s">
        <v>263</v>
      </c>
      <c r="L2417" t="s">
        <v>12681</v>
      </c>
      <c r="N2417" t="s">
        <v>12682</v>
      </c>
      <c r="O2417" t="s">
        <v>26</v>
      </c>
      <c r="P2417">
        <v>85</v>
      </c>
      <c r="Q2417">
        <v>106.25</v>
      </c>
      <c r="R2417">
        <v>85</v>
      </c>
      <c r="S2417">
        <v>127.5</v>
      </c>
      <c r="T2417" t="s">
        <v>12683</v>
      </c>
    </row>
    <row r="2418" spans="1:20">
      <c r="A2418">
        <v>3050340</v>
      </c>
      <c r="B2418" t="s">
        <v>12684</v>
      </c>
      <c r="C2418" t="str">
        <f>"9780889200869"</f>
        <v>9780889200869</v>
      </c>
      <c r="D2418" t="str">
        <f>"9780889207554"</f>
        <v>9780889207554</v>
      </c>
      <c r="E2418" t="s">
        <v>6047</v>
      </c>
      <c r="F2418" t="s">
        <v>6047</v>
      </c>
      <c r="G2418" s="1">
        <v>29190</v>
      </c>
      <c r="J2418" t="s">
        <v>12685</v>
      </c>
      <c r="K2418" t="s">
        <v>12038</v>
      </c>
      <c r="L2418" t="s">
        <v>12686</v>
      </c>
      <c r="N2418" t="s">
        <v>12687</v>
      </c>
      <c r="O2418" t="s">
        <v>26</v>
      </c>
      <c r="P2418">
        <v>85</v>
      </c>
      <c r="Q2418">
        <v>106.25</v>
      </c>
      <c r="R2418">
        <v>85</v>
      </c>
      <c r="S2418">
        <v>127.5</v>
      </c>
      <c r="T2418" t="s">
        <v>12688</v>
      </c>
    </row>
    <row r="2419" spans="1:20">
      <c r="A2419">
        <v>3050341</v>
      </c>
      <c r="B2419" t="s">
        <v>12689</v>
      </c>
      <c r="C2419" t="str">
        <f>"9780889200890"</f>
        <v>9780889200890</v>
      </c>
      <c r="D2419" t="str">
        <f>"9780889208353"</f>
        <v>9780889208353</v>
      </c>
      <c r="E2419" t="s">
        <v>6047</v>
      </c>
      <c r="F2419" t="s">
        <v>6047</v>
      </c>
      <c r="G2419" s="1">
        <v>29190</v>
      </c>
      <c r="J2419" t="s">
        <v>12690</v>
      </c>
      <c r="K2419" t="s">
        <v>467</v>
      </c>
      <c r="L2419" t="s">
        <v>12691</v>
      </c>
      <c r="N2419" t="s">
        <v>12692</v>
      </c>
      <c r="O2419" t="s">
        <v>26</v>
      </c>
      <c r="P2419">
        <v>85</v>
      </c>
      <c r="Q2419">
        <v>106.25</v>
      </c>
      <c r="R2419">
        <v>85</v>
      </c>
      <c r="S2419">
        <v>127.5</v>
      </c>
      <c r="T2419" t="s">
        <v>12693</v>
      </c>
    </row>
    <row r="2420" spans="1:20">
      <c r="A2420">
        <v>3050342</v>
      </c>
      <c r="B2420" t="s">
        <v>12694</v>
      </c>
      <c r="C2420" t="str">
        <f>"9780889200791"</f>
        <v>9780889200791</v>
      </c>
      <c r="D2420" t="str">
        <f>"9780889207240"</f>
        <v>9780889207240</v>
      </c>
      <c r="E2420" t="s">
        <v>6047</v>
      </c>
      <c r="F2420" t="s">
        <v>6047</v>
      </c>
      <c r="G2420" s="1">
        <v>29190</v>
      </c>
      <c r="J2420" t="s">
        <v>12415</v>
      </c>
      <c r="K2420" t="s">
        <v>1859</v>
      </c>
      <c r="L2420" t="s">
        <v>12695</v>
      </c>
      <c r="N2420" t="s">
        <v>12696</v>
      </c>
      <c r="O2420" t="s">
        <v>26</v>
      </c>
      <c r="P2420">
        <v>85</v>
      </c>
      <c r="Q2420">
        <v>106.25</v>
      </c>
      <c r="R2420">
        <v>85</v>
      </c>
      <c r="S2420">
        <v>127.5</v>
      </c>
      <c r="T2420" t="s">
        <v>12697</v>
      </c>
    </row>
    <row r="2421" spans="1:20">
      <c r="A2421">
        <v>3050343</v>
      </c>
      <c r="B2421" t="s">
        <v>12698</v>
      </c>
      <c r="C2421" t="str">
        <f>"9780889200388"</f>
        <v>9780889200388</v>
      </c>
      <c r="D2421" t="str">
        <f>"9780889206281"</f>
        <v>9780889206281</v>
      </c>
      <c r="E2421" t="s">
        <v>6047</v>
      </c>
      <c r="F2421" t="s">
        <v>6047</v>
      </c>
      <c r="G2421" s="1">
        <v>28095</v>
      </c>
      <c r="J2421" t="s">
        <v>12699</v>
      </c>
      <c r="K2421" t="s">
        <v>1464</v>
      </c>
      <c r="L2421" t="s">
        <v>12700</v>
      </c>
      <c r="N2421" t="s">
        <v>12701</v>
      </c>
      <c r="O2421" t="s">
        <v>26</v>
      </c>
      <c r="P2421">
        <v>85</v>
      </c>
      <c r="Q2421">
        <v>106.25</v>
      </c>
      <c r="R2421">
        <v>85</v>
      </c>
      <c r="S2421">
        <v>127.5</v>
      </c>
      <c r="T2421" t="s">
        <v>12702</v>
      </c>
    </row>
    <row r="2422" spans="1:20">
      <c r="A2422">
        <v>3050344</v>
      </c>
      <c r="B2422" t="s">
        <v>12703</v>
      </c>
      <c r="C2422" t="str">
        <f>"9780889200715"</f>
        <v>9780889200715</v>
      </c>
      <c r="D2422" t="str">
        <f>"9780889206380"</f>
        <v>9780889206380</v>
      </c>
      <c r="E2422" t="s">
        <v>6047</v>
      </c>
      <c r="F2422" t="s">
        <v>6047</v>
      </c>
      <c r="G2422" s="1">
        <v>28825</v>
      </c>
      <c r="J2422" t="s">
        <v>12704</v>
      </c>
      <c r="K2422" t="s">
        <v>467</v>
      </c>
      <c r="L2422" t="s">
        <v>12705</v>
      </c>
      <c r="N2422" t="s">
        <v>12706</v>
      </c>
      <c r="O2422" t="s">
        <v>26</v>
      </c>
      <c r="P2422">
        <v>85</v>
      </c>
      <c r="Q2422">
        <v>106.25</v>
      </c>
      <c r="R2422">
        <v>85</v>
      </c>
      <c r="S2422">
        <v>127.5</v>
      </c>
      <c r="T2422" t="s">
        <v>12707</v>
      </c>
    </row>
    <row r="2423" spans="1:20">
      <c r="A2423">
        <v>3050345</v>
      </c>
      <c r="B2423" t="s">
        <v>12708</v>
      </c>
      <c r="C2423" t="str">
        <f>"9780889200777"</f>
        <v>9780889200777</v>
      </c>
      <c r="D2423" t="str">
        <f>"9780889208254"</f>
        <v>9780889208254</v>
      </c>
      <c r="E2423" t="s">
        <v>6047</v>
      </c>
      <c r="F2423" t="s">
        <v>6047</v>
      </c>
      <c r="G2423" s="1">
        <v>28825</v>
      </c>
      <c r="J2423" t="s">
        <v>12709</v>
      </c>
      <c r="K2423" t="s">
        <v>467</v>
      </c>
      <c r="L2423" t="s">
        <v>12710</v>
      </c>
      <c r="N2423" t="s">
        <v>12711</v>
      </c>
      <c r="O2423" t="s">
        <v>26</v>
      </c>
      <c r="P2423">
        <v>85</v>
      </c>
      <c r="Q2423">
        <v>106.25</v>
      </c>
      <c r="R2423">
        <v>85</v>
      </c>
      <c r="S2423">
        <v>127.5</v>
      </c>
      <c r="T2423" t="s">
        <v>12712</v>
      </c>
    </row>
    <row r="2424" spans="1:20">
      <c r="A2424">
        <v>3050346</v>
      </c>
      <c r="B2424" t="s">
        <v>12713</v>
      </c>
      <c r="C2424" t="str">
        <f>"9780889203044"</f>
        <v>9780889203044</v>
      </c>
      <c r="D2424" t="str">
        <f>"9780889206755"</f>
        <v>9780889206755</v>
      </c>
      <c r="E2424" t="s">
        <v>6047</v>
      </c>
      <c r="F2424" t="s">
        <v>6047</v>
      </c>
      <c r="G2424" s="1">
        <v>35765</v>
      </c>
      <c r="J2424" t="s">
        <v>12714</v>
      </c>
      <c r="K2424" t="s">
        <v>305</v>
      </c>
      <c r="L2424" t="s">
        <v>12715</v>
      </c>
      <c r="N2424" t="s">
        <v>12716</v>
      </c>
      <c r="O2424" t="s">
        <v>26</v>
      </c>
      <c r="P2424">
        <v>85</v>
      </c>
      <c r="Q2424">
        <v>106.25</v>
      </c>
      <c r="R2424">
        <v>85</v>
      </c>
      <c r="S2424">
        <v>127.5</v>
      </c>
      <c r="T2424" t="s">
        <v>12717</v>
      </c>
    </row>
    <row r="2425" spans="1:20">
      <c r="A2425">
        <v>3050347</v>
      </c>
      <c r="B2425" t="s">
        <v>12718</v>
      </c>
      <c r="C2425" t="str">
        <f>"9780889209855"</f>
        <v>9780889209855</v>
      </c>
      <c r="D2425" t="str">
        <f>"9780889208087"</f>
        <v>9780889208087</v>
      </c>
      <c r="E2425" t="s">
        <v>6047</v>
      </c>
      <c r="F2425" t="s">
        <v>6047</v>
      </c>
      <c r="G2425" s="1">
        <v>32478</v>
      </c>
      <c r="J2425" t="s">
        <v>12719</v>
      </c>
      <c r="K2425" t="s">
        <v>1892</v>
      </c>
      <c r="L2425" t="s">
        <v>12720</v>
      </c>
      <c r="M2425" t="s">
        <v>12721</v>
      </c>
      <c r="N2425" t="s">
        <v>12722</v>
      </c>
      <c r="O2425" t="s">
        <v>26</v>
      </c>
      <c r="P2425">
        <v>85</v>
      </c>
      <c r="Q2425">
        <v>106.25</v>
      </c>
      <c r="R2425">
        <v>85</v>
      </c>
      <c r="S2425">
        <v>127.5</v>
      </c>
      <c r="T2425" t="s">
        <v>12723</v>
      </c>
    </row>
    <row r="2426" spans="1:20">
      <c r="A2426">
        <v>3050348</v>
      </c>
      <c r="B2426" t="s">
        <v>12724</v>
      </c>
      <c r="C2426" t="str">
        <f>"9780889200753"</f>
        <v>9780889200753</v>
      </c>
      <c r="D2426" t="str">
        <f>"9780889206397"</f>
        <v>9780889206397</v>
      </c>
      <c r="E2426" t="s">
        <v>6047</v>
      </c>
      <c r="F2426" t="s">
        <v>6047</v>
      </c>
      <c r="G2426" s="1">
        <v>29190</v>
      </c>
      <c r="J2426" t="s">
        <v>12725</v>
      </c>
      <c r="K2426" t="s">
        <v>291</v>
      </c>
      <c r="L2426" t="s">
        <v>12726</v>
      </c>
      <c r="M2426" t="s">
        <v>12727</v>
      </c>
      <c r="N2426" t="s">
        <v>12728</v>
      </c>
      <c r="O2426" t="s">
        <v>26</v>
      </c>
      <c r="P2426">
        <v>85</v>
      </c>
      <c r="Q2426">
        <v>106.25</v>
      </c>
      <c r="R2426">
        <v>85</v>
      </c>
      <c r="S2426">
        <v>127.5</v>
      </c>
      <c r="T2426" t="s">
        <v>12729</v>
      </c>
    </row>
    <row r="2427" spans="1:20">
      <c r="A2427">
        <v>3050349</v>
      </c>
      <c r="B2427" t="s">
        <v>12730</v>
      </c>
      <c r="C2427" t="str">
        <f>"9780889200043"</f>
        <v>9780889200043</v>
      </c>
      <c r="D2427" t="str">
        <f>"9780889208681"</f>
        <v>9780889208681</v>
      </c>
      <c r="E2427" t="s">
        <v>6047</v>
      </c>
      <c r="F2427" t="s">
        <v>6047</v>
      </c>
      <c r="G2427" s="1">
        <v>26999</v>
      </c>
      <c r="J2427" t="s">
        <v>12731</v>
      </c>
      <c r="K2427" t="s">
        <v>291</v>
      </c>
      <c r="L2427" t="s">
        <v>12732</v>
      </c>
      <c r="N2427" t="s">
        <v>12733</v>
      </c>
      <c r="O2427" t="s">
        <v>26</v>
      </c>
      <c r="P2427">
        <v>85</v>
      </c>
      <c r="Q2427">
        <v>106.25</v>
      </c>
      <c r="R2427">
        <v>85</v>
      </c>
      <c r="S2427">
        <v>127.5</v>
      </c>
      <c r="T2427" t="s">
        <v>12734</v>
      </c>
    </row>
    <row r="2428" spans="1:20">
      <c r="A2428">
        <v>3050350</v>
      </c>
      <c r="B2428" t="s">
        <v>12735</v>
      </c>
      <c r="C2428" t="str">
        <f>"9780889203822"</f>
        <v>9780889203822</v>
      </c>
      <c r="D2428" t="str">
        <f>"9780889209459"</f>
        <v>9780889209459</v>
      </c>
      <c r="E2428" t="s">
        <v>6047</v>
      </c>
      <c r="F2428" t="s">
        <v>6047</v>
      </c>
      <c r="G2428" s="1">
        <v>37226</v>
      </c>
      <c r="I2428" t="s">
        <v>6152</v>
      </c>
      <c r="J2428" t="s">
        <v>12736</v>
      </c>
      <c r="K2428" t="s">
        <v>263</v>
      </c>
      <c r="L2428" t="s">
        <v>12737</v>
      </c>
      <c r="M2428">
        <v>362.76</v>
      </c>
      <c r="N2428" t="s">
        <v>12738</v>
      </c>
      <c r="O2428" t="s">
        <v>26</v>
      </c>
      <c r="P2428">
        <v>85</v>
      </c>
      <c r="Q2428">
        <v>106.25</v>
      </c>
      <c r="R2428">
        <v>85</v>
      </c>
      <c r="S2428">
        <v>127.5</v>
      </c>
      <c r="T2428" t="s">
        <v>12739</v>
      </c>
    </row>
    <row r="2429" spans="1:20">
      <c r="A2429">
        <v>3050351</v>
      </c>
      <c r="B2429" t="s">
        <v>12740</v>
      </c>
      <c r="C2429" t="str">
        <f>"9780889201347"</f>
        <v>9780889201347</v>
      </c>
      <c r="D2429" t="str">
        <f>"9780889205802"</f>
        <v>9780889205802</v>
      </c>
      <c r="E2429" t="s">
        <v>6047</v>
      </c>
      <c r="F2429" t="s">
        <v>6047</v>
      </c>
      <c r="G2429" s="1">
        <v>31017</v>
      </c>
      <c r="J2429" t="s">
        <v>12741</v>
      </c>
      <c r="K2429" t="s">
        <v>291</v>
      </c>
      <c r="L2429" t="s">
        <v>12742</v>
      </c>
      <c r="N2429" t="s">
        <v>12743</v>
      </c>
      <c r="O2429" t="s">
        <v>26</v>
      </c>
      <c r="P2429">
        <v>85</v>
      </c>
      <c r="Q2429">
        <v>106.25</v>
      </c>
      <c r="R2429">
        <v>85</v>
      </c>
      <c r="S2429">
        <v>127.5</v>
      </c>
      <c r="T2429" t="s">
        <v>12744</v>
      </c>
    </row>
    <row r="2430" spans="1:20">
      <c r="A2430">
        <v>3050352</v>
      </c>
      <c r="B2430" t="s">
        <v>12745</v>
      </c>
      <c r="C2430" t="str">
        <f>"9780889203181"</f>
        <v>9780889203181</v>
      </c>
      <c r="D2430" t="str">
        <f>"9780889206939"</f>
        <v>9780889206939</v>
      </c>
      <c r="E2430" t="s">
        <v>6047</v>
      </c>
      <c r="F2430" t="s">
        <v>6047</v>
      </c>
      <c r="G2430" s="1">
        <v>36130</v>
      </c>
      <c r="J2430" t="s">
        <v>12746</v>
      </c>
      <c r="K2430" t="s">
        <v>291</v>
      </c>
      <c r="L2430" t="s">
        <v>12747</v>
      </c>
      <c r="N2430" t="s">
        <v>12748</v>
      </c>
      <c r="O2430" t="s">
        <v>26</v>
      </c>
      <c r="P2430">
        <v>85</v>
      </c>
      <c r="Q2430">
        <v>106.25</v>
      </c>
      <c r="R2430">
        <v>85</v>
      </c>
      <c r="S2430">
        <v>127.5</v>
      </c>
      <c r="T2430" t="s">
        <v>12749</v>
      </c>
    </row>
    <row r="2431" spans="1:20">
      <c r="A2431">
        <v>3050353</v>
      </c>
      <c r="B2431" t="s">
        <v>12750</v>
      </c>
      <c r="C2431" t="str">
        <f>"9780889204355"</f>
        <v>9780889204355</v>
      </c>
      <c r="D2431" t="str">
        <f>"9780889205284"</f>
        <v>9780889205284</v>
      </c>
      <c r="E2431" t="s">
        <v>6047</v>
      </c>
      <c r="F2431" t="s">
        <v>6047</v>
      </c>
      <c r="G2431" s="1">
        <v>39052</v>
      </c>
      <c r="H2431">
        <v>2</v>
      </c>
      <c r="J2431" t="s">
        <v>12751</v>
      </c>
      <c r="K2431" t="s">
        <v>1892</v>
      </c>
      <c r="L2431" t="s">
        <v>12752</v>
      </c>
      <c r="M2431">
        <v>294</v>
      </c>
      <c r="N2431" t="s">
        <v>12753</v>
      </c>
      <c r="O2431" t="s">
        <v>26</v>
      </c>
      <c r="P2431">
        <v>85</v>
      </c>
      <c r="Q2431">
        <v>106.25</v>
      </c>
      <c r="R2431">
        <v>85</v>
      </c>
      <c r="S2431">
        <v>127.5</v>
      </c>
      <c r="T2431" t="s">
        <v>12754</v>
      </c>
    </row>
    <row r="2432" spans="1:20">
      <c r="A2432">
        <v>3050354</v>
      </c>
      <c r="B2432" t="s">
        <v>12755</v>
      </c>
      <c r="C2432" t="str">
        <f>"9780889205147"</f>
        <v>9780889205147</v>
      </c>
      <c r="D2432" t="str">
        <f>"9780889205314"</f>
        <v>9780889205314</v>
      </c>
      <c r="E2432" t="s">
        <v>6047</v>
      </c>
      <c r="F2432" t="s">
        <v>6047</v>
      </c>
      <c r="G2432" s="1">
        <v>39052</v>
      </c>
      <c r="I2432" t="s">
        <v>6273</v>
      </c>
      <c r="J2432" t="s">
        <v>12756</v>
      </c>
      <c r="K2432" t="s">
        <v>1464</v>
      </c>
      <c r="L2432" t="s">
        <v>12757</v>
      </c>
      <c r="M2432" t="s">
        <v>1545</v>
      </c>
      <c r="N2432" t="s">
        <v>1546</v>
      </c>
      <c r="O2432" t="s">
        <v>26</v>
      </c>
      <c r="P2432">
        <v>85</v>
      </c>
      <c r="Q2432">
        <v>106.25</v>
      </c>
      <c r="R2432">
        <v>85</v>
      </c>
      <c r="S2432">
        <v>127.5</v>
      </c>
      <c r="T2432" t="s">
        <v>12758</v>
      </c>
    </row>
    <row r="2433" spans="1:20">
      <c r="A2433">
        <v>3050355</v>
      </c>
      <c r="B2433" t="s">
        <v>12759</v>
      </c>
      <c r="C2433" t="str">
        <f>"9780889205154"</f>
        <v>9780889205154</v>
      </c>
      <c r="D2433" t="str">
        <f>"9781554581023"</f>
        <v>9781554581023</v>
      </c>
      <c r="E2433" t="s">
        <v>6047</v>
      </c>
      <c r="F2433" t="s">
        <v>6047</v>
      </c>
      <c r="G2433" s="1">
        <v>39052</v>
      </c>
      <c r="I2433" t="s">
        <v>6273</v>
      </c>
      <c r="J2433" t="s">
        <v>12760</v>
      </c>
      <c r="K2433" t="s">
        <v>1464</v>
      </c>
      <c r="L2433" t="s">
        <v>12761</v>
      </c>
      <c r="N2433" t="s">
        <v>12762</v>
      </c>
      <c r="O2433" t="s">
        <v>26</v>
      </c>
      <c r="P2433">
        <v>85</v>
      </c>
      <c r="Q2433">
        <v>106.25</v>
      </c>
      <c r="R2433">
        <v>85</v>
      </c>
      <c r="S2433">
        <v>127.5</v>
      </c>
      <c r="T2433" t="s">
        <v>12763</v>
      </c>
    </row>
    <row r="2434" spans="1:20">
      <c r="A2434">
        <v>3050356</v>
      </c>
      <c r="B2434" t="s">
        <v>12764</v>
      </c>
      <c r="C2434" t="str">
        <f>"9780889203433"</f>
        <v>9780889203433</v>
      </c>
      <c r="D2434" t="str">
        <f>"9780889208834"</f>
        <v>9780889208834</v>
      </c>
      <c r="E2434" t="s">
        <v>6047</v>
      </c>
      <c r="F2434" t="s">
        <v>6047</v>
      </c>
      <c r="G2434" s="1">
        <v>36495</v>
      </c>
      <c r="J2434" t="s">
        <v>12765</v>
      </c>
      <c r="K2434" t="s">
        <v>291</v>
      </c>
      <c r="L2434" t="s">
        <v>12766</v>
      </c>
      <c r="N2434" t="s">
        <v>12767</v>
      </c>
      <c r="O2434" t="s">
        <v>26</v>
      </c>
      <c r="P2434">
        <v>85</v>
      </c>
      <c r="Q2434">
        <v>106.25</v>
      </c>
      <c r="R2434">
        <v>85</v>
      </c>
      <c r="S2434">
        <v>127.5</v>
      </c>
      <c r="T2434" t="s">
        <v>12768</v>
      </c>
    </row>
    <row r="2435" spans="1:20">
      <c r="A2435">
        <v>3050357</v>
      </c>
      <c r="B2435" t="s">
        <v>12769</v>
      </c>
      <c r="C2435" t="str">
        <f>"9780889203204"</f>
        <v>9780889203204</v>
      </c>
      <c r="D2435" t="str">
        <f>"9780889206229"</f>
        <v>9780889206229</v>
      </c>
      <c r="E2435" t="s">
        <v>6047</v>
      </c>
      <c r="F2435" t="s">
        <v>6047</v>
      </c>
      <c r="G2435" s="1">
        <v>36130</v>
      </c>
      <c r="J2435" t="s">
        <v>12770</v>
      </c>
      <c r="K2435" t="s">
        <v>291</v>
      </c>
      <c r="L2435" t="s">
        <v>12771</v>
      </c>
      <c r="N2435" t="s">
        <v>12772</v>
      </c>
      <c r="O2435" t="s">
        <v>26</v>
      </c>
      <c r="P2435">
        <v>85</v>
      </c>
      <c r="Q2435">
        <v>106.25</v>
      </c>
      <c r="R2435">
        <v>85</v>
      </c>
      <c r="S2435">
        <v>127.5</v>
      </c>
      <c r="T2435" t="s">
        <v>12773</v>
      </c>
    </row>
    <row r="2436" spans="1:20">
      <c r="A2436">
        <v>3050358</v>
      </c>
      <c r="B2436" t="s">
        <v>12774</v>
      </c>
      <c r="C2436" t="str">
        <f>"9781554580255"</f>
        <v>9781554580255</v>
      </c>
      <c r="D2436" t="str">
        <f>"9781554581078"</f>
        <v>9781554581078</v>
      </c>
      <c r="E2436" t="s">
        <v>6047</v>
      </c>
      <c r="F2436" t="s">
        <v>6047</v>
      </c>
      <c r="G2436" s="1">
        <v>39052</v>
      </c>
      <c r="I2436" t="s">
        <v>6273</v>
      </c>
      <c r="J2436" t="s">
        <v>12775</v>
      </c>
      <c r="K2436" t="s">
        <v>1464</v>
      </c>
      <c r="L2436" t="s">
        <v>12776</v>
      </c>
      <c r="N2436" t="s">
        <v>12777</v>
      </c>
      <c r="O2436" t="s">
        <v>26</v>
      </c>
      <c r="P2436">
        <v>85</v>
      </c>
      <c r="Q2436">
        <v>106.25</v>
      </c>
      <c r="R2436">
        <v>85</v>
      </c>
      <c r="S2436">
        <v>127.5</v>
      </c>
      <c r="T2436" t="s">
        <v>12778</v>
      </c>
    </row>
    <row r="2437" spans="1:20">
      <c r="A2437">
        <v>3050359</v>
      </c>
      <c r="B2437" t="s">
        <v>12779</v>
      </c>
      <c r="C2437" t="str">
        <f>"9781554580316"</f>
        <v>9781554580316</v>
      </c>
      <c r="D2437" t="str">
        <f>"9781554581252"</f>
        <v>9781554581252</v>
      </c>
      <c r="E2437" t="s">
        <v>6047</v>
      </c>
      <c r="F2437" t="s">
        <v>6047</v>
      </c>
      <c r="G2437" s="1">
        <v>39417</v>
      </c>
      <c r="J2437" t="s">
        <v>12780</v>
      </c>
      <c r="K2437" t="s">
        <v>305</v>
      </c>
      <c r="L2437" t="s">
        <v>12781</v>
      </c>
      <c r="N2437" t="s">
        <v>12782</v>
      </c>
      <c r="O2437" t="s">
        <v>26</v>
      </c>
      <c r="P2437">
        <v>85</v>
      </c>
      <c r="Q2437">
        <v>106.25</v>
      </c>
      <c r="R2437">
        <v>85</v>
      </c>
      <c r="S2437">
        <v>127.5</v>
      </c>
      <c r="T2437" t="s">
        <v>12783</v>
      </c>
    </row>
    <row r="2438" spans="1:20">
      <c r="A2438">
        <v>3050360</v>
      </c>
      <c r="B2438" t="s">
        <v>12784</v>
      </c>
      <c r="C2438" t="str">
        <f>"9781554580088"</f>
        <v>9781554580088</v>
      </c>
      <c r="D2438" t="str">
        <f>"9781554580705"</f>
        <v>9781554580705</v>
      </c>
      <c r="E2438" t="s">
        <v>6047</v>
      </c>
      <c r="F2438" t="s">
        <v>6047</v>
      </c>
      <c r="G2438" s="1">
        <v>39052</v>
      </c>
      <c r="I2438" t="s">
        <v>6273</v>
      </c>
      <c r="J2438" t="s">
        <v>12785</v>
      </c>
      <c r="K2438" t="s">
        <v>1464</v>
      </c>
      <c r="L2438" t="s">
        <v>12786</v>
      </c>
      <c r="N2438" t="s">
        <v>12787</v>
      </c>
      <c r="O2438" t="s">
        <v>26</v>
      </c>
      <c r="P2438">
        <v>85</v>
      </c>
      <c r="Q2438">
        <v>106.25</v>
      </c>
      <c r="R2438">
        <v>85</v>
      </c>
      <c r="S2438">
        <v>127.5</v>
      </c>
      <c r="T2438" t="s">
        <v>12788</v>
      </c>
    </row>
    <row r="2439" spans="1:20">
      <c r="A2439">
        <v>3050361</v>
      </c>
      <c r="B2439" t="s">
        <v>12789</v>
      </c>
      <c r="C2439" t="str">
        <f>"9780919812109"</f>
        <v>9780919812109</v>
      </c>
      <c r="D2439" t="str">
        <f>"9780889205444"</f>
        <v>9780889205444</v>
      </c>
      <c r="E2439" t="s">
        <v>6047</v>
      </c>
      <c r="F2439" t="s">
        <v>6047</v>
      </c>
      <c r="G2439" s="1">
        <v>28825</v>
      </c>
      <c r="J2439" t="s">
        <v>12790</v>
      </c>
      <c r="K2439" t="s">
        <v>291</v>
      </c>
      <c r="L2439" t="s">
        <v>12791</v>
      </c>
      <c r="N2439" t="s">
        <v>12792</v>
      </c>
      <c r="O2439" t="s">
        <v>26</v>
      </c>
      <c r="P2439">
        <v>85</v>
      </c>
      <c r="Q2439">
        <v>106.25</v>
      </c>
      <c r="R2439">
        <v>85</v>
      </c>
      <c r="S2439">
        <v>127.5</v>
      </c>
      <c r="T2439" t="s">
        <v>12793</v>
      </c>
    </row>
    <row r="2440" spans="1:20">
      <c r="A2440">
        <v>3050362</v>
      </c>
      <c r="B2440" t="s">
        <v>12794</v>
      </c>
      <c r="C2440" t="str">
        <f>"9780889209633"</f>
        <v>9780889209633</v>
      </c>
      <c r="D2440" t="str">
        <f>"9780889205826"</f>
        <v>9780889205826</v>
      </c>
      <c r="E2440" t="s">
        <v>6047</v>
      </c>
      <c r="F2440" t="s">
        <v>6047</v>
      </c>
      <c r="G2440" s="1">
        <v>32112</v>
      </c>
      <c r="J2440" t="s">
        <v>12795</v>
      </c>
      <c r="K2440" t="s">
        <v>263</v>
      </c>
      <c r="L2440" t="s">
        <v>12796</v>
      </c>
      <c r="N2440" t="s">
        <v>12797</v>
      </c>
      <c r="O2440" t="s">
        <v>26</v>
      </c>
      <c r="P2440">
        <v>85</v>
      </c>
      <c r="Q2440">
        <v>106.25</v>
      </c>
      <c r="R2440">
        <v>85</v>
      </c>
      <c r="S2440">
        <v>127.5</v>
      </c>
      <c r="T2440" t="s">
        <v>12798</v>
      </c>
    </row>
    <row r="2441" spans="1:20">
      <c r="A2441">
        <v>3050363</v>
      </c>
      <c r="B2441" t="s">
        <v>12799</v>
      </c>
      <c r="C2441" t="str">
        <f>"9780889201521"</f>
        <v>9780889201521</v>
      </c>
      <c r="D2441" t="str">
        <f>"9780889207776"</f>
        <v>9780889207776</v>
      </c>
      <c r="E2441" t="s">
        <v>6047</v>
      </c>
      <c r="F2441" t="s">
        <v>6047</v>
      </c>
      <c r="G2441" s="1">
        <v>31747</v>
      </c>
      <c r="J2441" t="s">
        <v>6701</v>
      </c>
      <c r="K2441" t="s">
        <v>12285</v>
      </c>
      <c r="L2441" t="s">
        <v>12800</v>
      </c>
      <c r="M2441" t="s">
        <v>12801</v>
      </c>
      <c r="N2441" t="s">
        <v>12802</v>
      </c>
      <c r="O2441" t="s">
        <v>26</v>
      </c>
      <c r="P2441">
        <v>85</v>
      </c>
      <c r="Q2441">
        <v>106.25</v>
      </c>
      <c r="R2441">
        <v>85</v>
      </c>
      <c r="S2441">
        <v>127.5</v>
      </c>
      <c r="T2441" t="s">
        <v>12803</v>
      </c>
    </row>
    <row r="2442" spans="1:20">
      <c r="A2442">
        <v>3050364</v>
      </c>
      <c r="B2442" t="s">
        <v>12804</v>
      </c>
      <c r="C2442" t="str">
        <f>"9782760615694"</f>
        <v>9782760615694</v>
      </c>
      <c r="D2442" t="str">
        <f>""</f>
        <v/>
      </c>
      <c r="E2442" t="s">
        <v>6047</v>
      </c>
      <c r="F2442" t="s">
        <v>6047</v>
      </c>
      <c r="G2442" s="1">
        <v>33939</v>
      </c>
      <c r="J2442" t="s">
        <v>12805</v>
      </c>
      <c r="K2442" t="s">
        <v>1892</v>
      </c>
      <c r="L2442" t="s">
        <v>12806</v>
      </c>
      <c r="N2442" t="s">
        <v>12807</v>
      </c>
      <c r="O2442" t="s">
        <v>94</v>
      </c>
      <c r="P2442">
        <v>70</v>
      </c>
      <c r="Q2442">
        <v>87.5</v>
      </c>
      <c r="R2442">
        <v>70</v>
      </c>
      <c r="S2442">
        <v>105</v>
      </c>
      <c r="T2442" t="s">
        <v>12808</v>
      </c>
    </row>
    <row r="2443" spans="1:20">
      <c r="A2443">
        <v>3050365</v>
      </c>
      <c r="B2443" t="s">
        <v>12809</v>
      </c>
      <c r="C2443" t="str">
        <f>"9781554580125"</f>
        <v>9781554580125</v>
      </c>
      <c r="D2443" t="str">
        <f>"9781554581368"</f>
        <v>9781554581368</v>
      </c>
      <c r="E2443" t="s">
        <v>6047</v>
      </c>
      <c r="F2443" t="s">
        <v>6047</v>
      </c>
      <c r="G2443" s="1">
        <v>39052</v>
      </c>
      <c r="I2443" t="s">
        <v>6804</v>
      </c>
      <c r="J2443" t="s">
        <v>12810</v>
      </c>
      <c r="K2443" t="s">
        <v>263</v>
      </c>
      <c r="L2443" t="s">
        <v>12811</v>
      </c>
      <c r="M2443">
        <v>305.800971</v>
      </c>
      <c r="N2443" t="s">
        <v>12812</v>
      </c>
      <c r="O2443" t="s">
        <v>26</v>
      </c>
      <c r="P2443">
        <v>85</v>
      </c>
      <c r="Q2443">
        <v>106.25</v>
      </c>
      <c r="R2443">
        <v>85</v>
      </c>
      <c r="S2443">
        <v>127.5</v>
      </c>
      <c r="T2443" t="s">
        <v>12813</v>
      </c>
    </row>
    <row r="2444" spans="1:20">
      <c r="A2444">
        <v>3050366</v>
      </c>
      <c r="B2444" t="s">
        <v>12814</v>
      </c>
      <c r="C2444" t="str">
        <f>"9781554581818"</f>
        <v>9781554581818</v>
      </c>
      <c r="D2444" t="str">
        <f>"9781554582907"</f>
        <v>9781554582907</v>
      </c>
      <c r="E2444" t="s">
        <v>6047</v>
      </c>
      <c r="F2444" t="s">
        <v>6047</v>
      </c>
      <c r="G2444" s="1">
        <v>40219</v>
      </c>
      <c r="I2444" t="s">
        <v>6683</v>
      </c>
      <c r="J2444" t="s">
        <v>12815</v>
      </c>
      <c r="K2444" t="s">
        <v>12816</v>
      </c>
      <c r="L2444" t="s">
        <v>12817</v>
      </c>
      <c r="M2444" t="s">
        <v>12818</v>
      </c>
      <c r="N2444" t="s">
        <v>12819</v>
      </c>
      <c r="O2444" t="s">
        <v>26</v>
      </c>
      <c r="P2444">
        <v>85</v>
      </c>
      <c r="Q2444">
        <v>106.25</v>
      </c>
      <c r="R2444">
        <v>85</v>
      </c>
      <c r="S2444">
        <v>127.5</v>
      </c>
      <c r="T2444" t="s">
        <v>12820</v>
      </c>
    </row>
    <row r="2445" spans="1:20">
      <c r="A2445">
        <v>3050367</v>
      </c>
      <c r="B2445" t="s">
        <v>12821</v>
      </c>
      <c r="C2445" t="str">
        <f>"9781554581887"</f>
        <v>9781554581887</v>
      </c>
      <c r="D2445" t="str">
        <f>"9781554582983"</f>
        <v>9781554582983</v>
      </c>
      <c r="E2445" t="s">
        <v>6047</v>
      </c>
      <c r="F2445" t="s">
        <v>6047</v>
      </c>
      <c r="G2445" s="1">
        <v>40204</v>
      </c>
      <c r="I2445" t="s">
        <v>6273</v>
      </c>
      <c r="J2445" t="s">
        <v>12822</v>
      </c>
      <c r="K2445" t="s">
        <v>1464</v>
      </c>
      <c r="L2445" t="s">
        <v>12823</v>
      </c>
      <c r="M2445" t="s">
        <v>1497</v>
      </c>
      <c r="N2445" t="s">
        <v>12824</v>
      </c>
      <c r="O2445" t="s">
        <v>26</v>
      </c>
      <c r="P2445">
        <v>85</v>
      </c>
      <c r="Q2445">
        <v>106.25</v>
      </c>
      <c r="R2445">
        <v>85</v>
      </c>
      <c r="S2445">
        <v>127.5</v>
      </c>
      <c r="T2445" t="s">
        <v>12825</v>
      </c>
    </row>
    <row r="2446" spans="1:20">
      <c r="A2446">
        <v>3050368</v>
      </c>
      <c r="B2446" t="s">
        <v>12826</v>
      </c>
      <c r="C2446" t="str">
        <f>"9781554581924"</f>
        <v>9781554581924</v>
      </c>
      <c r="D2446" t="str">
        <f>"9781554582754"</f>
        <v>9781554582754</v>
      </c>
      <c r="E2446" t="s">
        <v>6047</v>
      </c>
      <c r="F2446" t="s">
        <v>6047</v>
      </c>
      <c r="G2446" s="1">
        <v>40086</v>
      </c>
      <c r="I2446" t="s">
        <v>6079</v>
      </c>
      <c r="J2446" t="s">
        <v>12827</v>
      </c>
      <c r="K2446" t="s">
        <v>305</v>
      </c>
      <c r="L2446" t="s">
        <v>12828</v>
      </c>
      <c r="N2446" t="s">
        <v>12829</v>
      </c>
      <c r="O2446" t="s">
        <v>26</v>
      </c>
      <c r="P2446">
        <v>85</v>
      </c>
      <c r="Q2446">
        <v>106.25</v>
      </c>
      <c r="R2446">
        <v>85</v>
      </c>
      <c r="S2446">
        <v>127.5</v>
      </c>
      <c r="T2446" t="s">
        <v>12830</v>
      </c>
    </row>
    <row r="2447" spans="1:20">
      <c r="A2447">
        <v>3050369</v>
      </c>
      <c r="B2447" t="s">
        <v>12831</v>
      </c>
      <c r="C2447" t="str">
        <f>"9781554581788"</f>
        <v>9781554581788</v>
      </c>
      <c r="D2447" t="str">
        <f>"9781554582990"</f>
        <v>9781554582990</v>
      </c>
      <c r="E2447" t="s">
        <v>6047</v>
      </c>
      <c r="F2447" t="s">
        <v>6047</v>
      </c>
      <c r="G2447" s="1">
        <v>40134</v>
      </c>
      <c r="I2447" t="s">
        <v>6463</v>
      </c>
      <c r="J2447" t="s">
        <v>12832</v>
      </c>
      <c r="K2447" t="s">
        <v>11807</v>
      </c>
      <c r="L2447" t="s">
        <v>12833</v>
      </c>
      <c r="M2447">
        <v>791.43089999999995</v>
      </c>
      <c r="N2447" t="s">
        <v>12834</v>
      </c>
      <c r="O2447" t="s">
        <v>26</v>
      </c>
      <c r="P2447">
        <v>85</v>
      </c>
      <c r="Q2447">
        <v>106.25</v>
      </c>
      <c r="R2447">
        <v>85</v>
      </c>
      <c r="S2447">
        <v>127.5</v>
      </c>
      <c r="T2447" t="s">
        <v>12835</v>
      </c>
    </row>
    <row r="2448" spans="1:20">
      <c r="A2448">
        <v>3115924</v>
      </c>
      <c r="B2448" t="s">
        <v>12836</v>
      </c>
      <c r="C2448" t="str">
        <f>"9780838642573"</f>
        <v>9780838642573</v>
      </c>
      <c r="D2448" t="str">
        <f>"9780838642344"</f>
        <v>9780838642344</v>
      </c>
      <c r="E2448" t="s">
        <v>12837</v>
      </c>
      <c r="F2448" t="s">
        <v>12838</v>
      </c>
      <c r="G2448" s="1">
        <v>40238</v>
      </c>
      <c r="J2448" t="s">
        <v>12839</v>
      </c>
      <c r="K2448" t="s">
        <v>1892</v>
      </c>
      <c r="L2448" t="s">
        <v>12840</v>
      </c>
      <c r="M2448" t="s">
        <v>12841</v>
      </c>
      <c r="N2448" t="s">
        <v>12842</v>
      </c>
      <c r="O2448" t="s">
        <v>26</v>
      </c>
      <c r="P2448">
        <v>43.5</v>
      </c>
      <c r="Q2448">
        <v>54.38</v>
      </c>
      <c r="R2448">
        <v>43.5</v>
      </c>
      <c r="S2448">
        <v>65.25</v>
      </c>
      <c r="T2448" t="s">
        <v>12843</v>
      </c>
    </row>
    <row r="2449" spans="1:20">
      <c r="A2449">
        <v>3116040</v>
      </c>
      <c r="B2449" t="s">
        <v>12844</v>
      </c>
      <c r="C2449" t="str">
        <f>"9780838640852"</f>
        <v>9780838640852</v>
      </c>
      <c r="D2449" t="str">
        <f>"9780838643464"</f>
        <v>9780838643464</v>
      </c>
      <c r="E2449" t="s">
        <v>12837</v>
      </c>
      <c r="F2449" t="s">
        <v>12838</v>
      </c>
      <c r="G2449" s="1">
        <v>38657</v>
      </c>
      <c r="J2449" t="s">
        <v>12845</v>
      </c>
      <c r="K2449" t="s">
        <v>1892</v>
      </c>
      <c r="L2449" t="s">
        <v>12846</v>
      </c>
      <c r="M2449" t="s">
        <v>12847</v>
      </c>
      <c r="N2449" t="s">
        <v>12848</v>
      </c>
      <c r="O2449" t="s">
        <v>26</v>
      </c>
      <c r="P2449">
        <v>45</v>
      </c>
      <c r="Q2449">
        <v>56.25</v>
      </c>
      <c r="R2449">
        <v>45</v>
      </c>
      <c r="S2449">
        <v>67.5</v>
      </c>
      <c r="T2449" t="s">
        <v>12849</v>
      </c>
    </row>
    <row r="2450" spans="1:20">
      <c r="A2450">
        <v>3116336</v>
      </c>
      <c r="B2450" t="s">
        <v>12850</v>
      </c>
      <c r="C2450" t="str">
        <f>"9780838640722"</f>
        <v>9780838640722</v>
      </c>
      <c r="D2450" t="str">
        <f>"9780838644362"</f>
        <v>9780838644362</v>
      </c>
      <c r="E2450" t="s">
        <v>12837</v>
      </c>
      <c r="F2450" t="s">
        <v>12837</v>
      </c>
      <c r="G2450" s="1">
        <v>38504</v>
      </c>
      <c r="J2450" t="s">
        <v>12851</v>
      </c>
      <c r="K2450" t="s">
        <v>1464</v>
      </c>
      <c r="L2450" t="s">
        <v>12852</v>
      </c>
      <c r="M2450" t="s">
        <v>12853</v>
      </c>
      <c r="N2450" t="s">
        <v>12854</v>
      </c>
      <c r="O2450" t="s">
        <v>26</v>
      </c>
      <c r="P2450">
        <v>46.5</v>
      </c>
      <c r="Q2450">
        <v>58.13</v>
      </c>
      <c r="R2450">
        <v>46.5</v>
      </c>
      <c r="S2450">
        <v>69.75</v>
      </c>
      <c r="T2450" t="s">
        <v>12855</v>
      </c>
    </row>
    <row r="2451" spans="1:20">
      <c r="A2451">
        <v>3328706</v>
      </c>
      <c r="B2451" t="s">
        <v>12856</v>
      </c>
      <c r="C2451" t="str">
        <f>"9780718893583"</f>
        <v>9780718893583</v>
      </c>
      <c r="D2451" t="str">
        <f>"9780718842703"</f>
        <v>9780718842703</v>
      </c>
      <c r="E2451" t="s">
        <v>12857</v>
      </c>
      <c r="F2451" t="s">
        <v>12857</v>
      </c>
      <c r="G2451" s="1">
        <v>41862</v>
      </c>
      <c r="J2451" t="s">
        <v>12858</v>
      </c>
      <c r="K2451" t="s">
        <v>291</v>
      </c>
      <c r="L2451" t="s">
        <v>12859</v>
      </c>
      <c r="M2451">
        <v>940.40971000000002</v>
      </c>
      <c r="N2451" t="s">
        <v>12860</v>
      </c>
      <c r="O2451" t="s">
        <v>26</v>
      </c>
      <c r="P2451">
        <v>43</v>
      </c>
      <c r="Q2451">
        <v>53.75</v>
      </c>
      <c r="R2451">
        <v>43</v>
      </c>
      <c r="S2451">
        <v>64.5</v>
      </c>
      <c r="T2451" t="s">
        <v>12861</v>
      </c>
    </row>
    <row r="2452" spans="1:20">
      <c r="A2452">
        <v>3330503</v>
      </c>
      <c r="B2452" t="s">
        <v>12862</v>
      </c>
      <c r="C2452" t="str">
        <f>"9780773513662"</f>
        <v>9780773513662</v>
      </c>
      <c r="D2452" t="str">
        <f>"9780773565746"</f>
        <v>9780773565746</v>
      </c>
      <c r="E2452" t="s">
        <v>12863</v>
      </c>
      <c r="F2452" t="s">
        <v>12863</v>
      </c>
      <c r="G2452" s="1">
        <v>35065</v>
      </c>
      <c r="I2452" t="s">
        <v>12864</v>
      </c>
      <c r="J2452" t="s">
        <v>12865</v>
      </c>
      <c r="K2452" t="s">
        <v>291</v>
      </c>
      <c r="L2452" t="s">
        <v>12866</v>
      </c>
      <c r="M2452" t="s">
        <v>12867</v>
      </c>
      <c r="N2452" t="s">
        <v>12868</v>
      </c>
      <c r="O2452" t="s">
        <v>26</v>
      </c>
      <c r="P2452">
        <v>127.5</v>
      </c>
      <c r="Q2452">
        <v>106.25</v>
      </c>
      <c r="R2452">
        <v>85</v>
      </c>
      <c r="S2452">
        <v>127.5</v>
      </c>
      <c r="T2452" t="s">
        <v>12869</v>
      </c>
    </row>
    <row r="2453" spans="1:20">
      <c r="A2453">
        <v>3330504</v>
      </c>
      <c r="B2453" t="s">
        <v>12870</v>
      </c>
      <c r="C2453" t="str">
        <f>"9780773523371"</f>
        <v>9780773523371</v>
      </c>
      <c r="D2453" t="str">
        <f>"9780773570030"</f>
        <v>9780773570030</v>
      </c>
      <c r="E2453" t="s">
        <v>12863</v>
      </c>
      <c r="F2453" t="s">
        <v>12863</v>
      </c>
      <c r="G2453" s="1">
        <v>37565</v>
      </c>
      <c r="I2453" t="s">
        <v>12871</v>
      </c>
      <c r="J2453" t="s">
        <v>12872</v>
      </c>
      <c r="K2453" t="s">
        <v>263</v>
      </c>
      <c r="L2453" t="s">
        <v>12873</v>
      </c>
      <c r="M2453">
        <v>364.15230971950899</v>
      </c>
      <c r="N2453" t="s">
        <v>12874</v>
      </c>
      <c r="O2453" t="s">
        <v>26</v>
      </c>
      <c r="P2453">
        <v>142.5</v>
      </c>
      <c r="Q2453">
        <v>118.75</v>
      </c>
      <c r="R2453">
        <v>95</v>
      </c>
      <c r="S2453">
        <v>142.5</v>
      </c>
      <c r="T2453" t="s">
        <v>12875</v>
      </c>
    </row>
    <row r="2454" spans="1:20">
      <c r="A2454">
        <v>3330505</v>
      </c>
      <c r="B2454" t="s">
        <v>12876</v>
      </c>
      <c r="C2454" t="str">
        <f>"9780773521070"</f>
        <v>9780773521070</v>
      </c>
      <c r="D2454" t="str">
        <f>"9780773568808"</f>
        <v>9780773568808</v>
      </c>
      <c r="E2454" t="s">
        <v>12863</v>
      </c>
      <c r="F2454" t="s">
        <v>12863</v>
      </c>
      <c r="G2454" s="1">
        <v>36878</v>
      </c>
      <c r="J2454" t="s">
        <v>12877</v>
      </c>
      <c r="K2454" t="s">
        <v>1464</v>
      </c>
      <c r="L2454" t="s">
        <v>12878</v>
      </c>
      <c r="M2454" t="s">
        <v>4002</v>
      </c>
      <c r="N2454" t="s">
        <v>12879</v>
      </c>
      <c r="O2454" t="s">
        <v>26</v>
      </c>
      <c r="P2454">
        <v>142.5</v>
      </c>
      <c r="Q2454">
        <v>118.75</v>
      </c>
      <c r="R2454">
        <v>95</v>
      </c>
      <c r="S2454">
        <v>142.5</v>
      </c>
      <c r="T2454" t="s">
        <v>12880</v>
      </c>
    </row>
    <row r="2455" spans="1:20">
      <c r="A2455">
        <v>3330506</v>
      </c>
      <c r="B2455" t="s">
        <v>12881</v>
      </c>
      <c r="C2455" t="str">
        <f>"9780773522640"</f>
        <v>9780773522640</v>
      </c>
      <c r="D2455" t="str">
        <f>"9780773569669"</f>
        <v>9780773569669</v>
      </c>
      <c r="E2455" t="s">
        <v>12863</v>
      </c>
      <c r="F2455" t="s">
        <v>12863</v>
      </c>
      <c r="G2455" s="1">
        <v>37202</v>
      </c>
      <c r="J2455" t="s">
        <v>6291</v>
      </c>
      <c r="K2455" t="s">
        <v>8974</v>
      </c>
      <c r="L2455" t="s">
        <v>12882</v>
      </c>
      <c r="M2455">
        <v>801.95</v>
      </c>
      <c r="N2455" t="s">
        <v>12883</v>
      </c>
      <c r="O2455" t="s">
        <v>26</v>
      </c>
      <c r="P2455">
        <v>44.93</v>
      </c>
      <c r="Q2455">
        <v>37.44</v>
      </c>
      <c r="R2455">
        <v>29.95</v>
      </c>
      <c r="S2455">
        <v>44.93</v>
      </c>
      <c r="T2455" t="s">
        <v>12884</v>
      </c>
    </row>
    <row r="2456" spans="1:20">
      <c r="A2456">
        <v>3330507</v>
      </c>
      <c r="B2456" t="s">
        <v>12885</v>
      </c>
      <c r="C2456" t="str">
        <f>"9780773521834"</f>
        <v>9780773521834</v>
      </c>
      <c r="D2456" t="str">
        <f>"9780773569218"</f>
        <v>9780773569218</v>
      </c>
      <c r="E2456" t="s">
        <v>12863</v>
      </c>
      <c r="F2456" t="s">
        <v>12863</v>
      </c>
      <c r="G2456" s="1">
        <v>37014</v>
      </c>
      <c r="I2456" t="s">
        <v>12886</v>
      </c>
      <c r="J2456" t="s">
        <v>12887</v>
      </c>
      <c r="K2456" t="s">
        <v>11294</v>
      </c>
      <c r="L2456" t="s">
        <v>12888</v>
      </c>
      <c r="M2456">
        <v>306.68709711999998</v>
      </c>
      <c r="N2456" t="s">
        <v>12889</v>
      </c>
      <c r="O2456" t="s">
        <v>26</v>
      </c>
      <c r="P2456">
        <v>142.5</v>
      </c>
      <c r="Q2456">
        <v>118.75</v>
      </c>
      <c r="R2456">
        <v>95</v>
      </c>
      <c r="S2456">
        <v>142.5</v>
      </c>
      <c r="T2456" t="s">
        <v>12890</v>
      </c>
    </row>
    <row r="2457" spans="1:20">
      <c r="A2457">
        <v>3330508</v>
      </c>
      <c r="B2457" t="s">
        <v>12891</v>
      </c>
      <c r="C2457" t="str">
        <f>"9780773524415"</f>
        <v>9780773524415</v>
      </c>
      <c r="D2457" t="str">
        <f>"9780773570627"</f>
        <v>9780773570627</v>
      </c>
      <c r="E2457" t="s">
        <v>12863</v>
      </c>
      <c r="F2457" t="s">
        <v>12863</v>
      </c>
      <c r="G2457" s="1">
        <v>37585</v>
      </c>
      <c r="J2457" t="s">
        <v>12892</v>
      </c>
      <c r="K2457" t="s">
        <v>1471</v>
      </c>
      <c r="L2457" t="s">
        <v>12893</v>
      </c>
      <c r="M2457">
        <v>782.42164094709005</v>
      </c>
      <c r="N2457" t="s">
        <v>12894</v>
      </c>
      <c r="O2457" t="s">
        <v>26</v>
      </c>
      <c r="P2457">
        <v>142.5</v>
      </c>
      <c r="Q2457">
        <v>118.75</v>
      </c>
      <c r="R2457">
        <v>95</v>
      </c>
      <c r="S2457">
        <v>142.5</v>
      </c>
      <c r="T2457" t="s">
        <v>12895</v>
      </c>
    </row>
    <row r="2458" spans="1:20">
      <c r="A2458">
        <v>3330509</v>
      </c>
      <c r="B2458" t="s">
        <v>12896</v>
      </c>
      <c r="C2458" t="str">
        <f>"9780773523180"</f>
        <v>9780773523180</v>
      </c>
      <c r="D2458" t="str">
        <f>"9780773569911"</f>
        <v>9780773569911</v>
      </c>
      <c r="E2458" t="s">
        <v>12863</v>
      </c>
      <c r="F2458" t="s">
        <v>12863</v>
      </c>
      <c r="G2458" s="1">
        <v>37370</v>
      </c>
      <c r="J2458" t="s">
        <v>12897</v>
      </c>
      <c r="K2458" t="s">
        <v>1464</v>
      </c>
      <c r="L2458" t="s">
        <v>12898</v>
      </c>
      <c r="M2458">
        <v>841.91200000000003</v>
      </c>
      <c r="N2458" t="s">
        <v>12899</v>
      </c>
      <c r="O2458" t="s">
        <v>26</v>
      </c>
      <c r="P2458">
        <v>142.5</v>
      </c>
      <c r="Q2458">
        <v>118.75</v>
      </c>
      <c r="R2458">
        <v>95</v>
      </c>
      <c r="S2458">
        <v>142.5</v>
      </c>
      <c r="T2458" t="s">
        <v>12900</v>
      </c>
    </row>
    <row r="2459" spans="1:20">
      <c r="A2459">
        <v>3330510</v>
      </c>
      <c r="B2459" t="s">
        <v>12901</v>
      </c>
      <c r="C2459" t="str">
        <f>"9780773528307"</f>
        <v>9780773528307</v>
      </c>
      <c r="D2459" t="str">
        <f>"9780773572485"</f>
        <v>9780773572485</v>
      </c>
      <c r="E2459" t="s">
        <v>12863</v>
      </c>
      <c r="F2459" t="s">
        <v>12863</v>
      </c>
      <c r="G2459" s="1">
        <v>38296</v>
      </c>
      <c r="J2459" t="s">
        <v>12902</v>
      </c>
      <c r="K2459" t="s">
        <v>257</v>
      </c>
      <c r="L2459" t="s">
        <v>12903</v>
      </c>
      <c r="M2459">
        <v>378.71</v>
      </c>
      <c r="N2459" t="s">
        <v>12904</v>
      </c>
      <c r="O2459" t="s">
        <v>26</v>
      </c>
      <c r="P2459">
        <v>142.5</v>
      </c>
      <c r="Q2459">
        <v>118.75</v>
      </c>
      <c r="R2459">
        <v>95</v>
      </c>
      <c r="S2459">
        <v>142.5</v>
      </c>
      <c r="T2459" t="s">
        <v>12905</v>
      </c>
    </row>
    <row r="2460" spans="1:20">
      <c r="A2460">
        <v>3330511</v>
      </c>
      <c r="B2460" t="s">
        <v>12906</v>
      </c>
      <c r="C2460" t="str">
        <f>"9780773526150"</f>
        <v>9780773526150</v>
      </c>
      <c r="D2460" t="str">
        <f>"9780773571501"</f>
        <v>9780773571501</v>
      </c>
      <c r="E2460" t="s">
        <v>12907</v>
      </c>
      <c r="F2460" t="s">
        <v>12907</v>
      </c>
      <c r="G2460" s="1">
        <v>38007</v>
      </c>
      <c r="J2460" t="s">
        <v>12908</v>
      </c>
      <c r="K2460" t="s">
        <v>1464</v>
      </c>
      <c r="L2460" t="s">
        <v>12909</v>
      </c>
      <c r="M2460" t="s">
        <v>4002</v>
      </c>
      <c r="N2460" t="s">
        <v>12910</v>
      </c>
      <c r="O2460" t="s">
        <v>26</v>
      </c>
      <c r="P2460">
        <v>142.5</v>
      </c>
      <c r="Q2460">
        <v>118.75</v>
      </c>
      <c r="R2460">
        <v>95</v>
      </c>
      <c r="S2460">
        <v>142.5</v>
      </c>
      <c r="T2460" t="s">
        <v>12911</v>
      </c>
    </row>
    <row r="2461" spans="1:20">
      <c r="A2461">
        <v>3330512</v>
      </c>
      <c r="B2461" t="s">
        <v>12912</v>
      </c>
      <c r="C2461" t="str">
        <f>"9780773521247"</f>
        <v>9780773521247</v>
      </c>
      <c r="D2461" t="str">
        <f>"9780773568846"</f>
        <v>9780773568846</v>
      </c>
      <c r="E2461" t="s">
        <v>12907</v>
      </c>
      <c r="F2461" t="s">
        <v>12907</v>
      </c>
      <c r="G2461" s="1">
        <v>36964</v>
      </c>
      <c r="J2461" t="s">
        <v>12913</v>
      </c>
      <c r="K2461" t="s">
        <v>291</v>
      </c>
      <c r="L2461" t="s">
        <v>12914</v>
      </c>
      <c r="M2461" t="s">
        <v>12915</v>
      </c>
      <c r="N2461" t="s">
        <v>12916</v>
      </c>
      <c r="O2461" t="s">
        <v>26</v>
      </c>
      <c r="P2461">
        <v>142.5</v>
      </c>
      <c r="Q2461">
        <v>118.75</v>
      </c>
      <c r="R2461">
        <v>95</v>
      </c>
      <c r="S2461">
        <v>142.5</v>
      </c>
      <c r="T2461" t="s">
        <v>12917</v>
      </c>
    </row>
    <row r="2462" spans="1:20">
      <c r="A2462">
        <v>3330513</v>
      </c>
      <c r="B2462" t="s">
        <v>12918</v>
      </c>
      <c r="C2462" t="str">
        <f>"9780773523319"</f>
        <v>9780773523319</v>
      </c>
      <c r="D2462" t="str">
        <f>"9780773569973"</f>
        <v>9780773569973</v>
      </c>
      <c r="E2462" t="s">
        <v>12863</v>
      </c>
      <c r="F2462" t="s">
        <v>12863</v>
      </c>
      <c r="G2462" s="1">
        <v>37350</v>
      </c>
      <c r="J2462" t="s">
        <v>12919</v>
      </c>
      <c r="K2462" t="s">
        <v>1464</v>
      </c>
      <c r="L2462" t="s">
        <v>12920</v>
      </c>
      <c r="M2462">
        <v>821.3</v>
      </c>
      <c r="N2462" t="s">
        <v>12921</v>
      </c>
      <c r="O2462" t="s">
        <v>26</v>
      </c>
      <c r="P2462">
        <v>142.5</v>
      </c>
      <c r="Q2462">
        <v>118.75</v>
      </c>
      <c r="R2462">
        <v>95</v>
      </c>
      <c r="S2462">
        <v>142.5</v>
      </c>
      <c r="T2462" t="s">
        <v>12922</v>
      </c>
    </row>
    <row r="2463" spans="1:20">
      <c r="A2463">
        <v>3330514</v>
      </c>
      <c r="B2463" t="s">
        <v>12923</v>
      </c>
      <c r="C2463" t="str">
        <f>"9780773527539"</f>
        <v>9780773527539</v>
      </c>
      <c r="D2463" t="str">
        <f>"9780773572133"</f>
        <v>9780773572133</v>
      </c>
      <c r="E2463" t="s">
        <v>12907</v>
      </c>
      <c r="F2463" t="s">
        <v>12907</v>
      </c>
      <c r="G2463" s="1">
        <v>38274</v>
      </c>
      <c r="I2463" t="s">
        <v>12924</v>
      </c>
      <c r="J2463" t="s">
        <v>12925</v>
      </c>
      <c r="K2463" t="s">
        <v>7657</v>
      </c>
      <c r="L2463" t="s">
        <v>12926</v>
      </c>
      <c r="M2463" t="s">
        <v>12927</v>
      </c>
      <c r="N2463" t="s">
        <v>12928</v>
      </c>
      <c r="O2463" t="s">
        <v>26</v>
      </c>
      <c r="P2463">
        <v>142.5</v>
      </c>
      <c r="Q2463">
        <v>118.75</v>
      </c>
      <c r="R2463">
        <v>95</v>
      </c>
      <c r="S2463">
        <v>142.5</v>
      </c>
      <c r="T2463" t="s">
        <v>12929</v>
      </c>
    </row>
    <row r="2464" spans="1:20">
      <c r="A2464">
        <v>3330515</v>
      </c>
      <c r="B2464" t="s">
        <v>12930</v>
      </c>
      <c r="C2464" t="str">
        <f>"9780773526341"</f>
        <v>9780773526341</v>
      </c>
      <c r="D2464" t="str">
        <f>"9780773571570"</f>
        <v>9780773571570</v>
      </c>
      <c r="E2464" t="s">
        <v>12863</v>
      </c>
      <c r="F2464" t="s">
        <v>12863</v>
      </c>
      <c r="G2464" s="1">
        <v>37921</v>
      </c>
      <c r="J2464" t="s">
        <v>12931</v>
      </c>
      <c r="K2464" t="s">
        <v>467</v>
      </c>
      <c r="L2464" t="s">
        <v>12932</v>
      </c>
      <c r="M2464" t="s">
        <v>12933</v>
      </c>
      <c r="N2464" t="s">
        <v>12934</v>
      </c>
      <c r="O2464" t="s">
        <v>26</v>
      </c>
      <c r="P2464">
        <v>44.93</v>
      </c>
      <c r="Q2464">
        <v>37.44</v>
      </c>
      <c r="R2464">
        <v>29.95</v>
      </c>
      <c r="S2464">
        <v>44.93</v>
      </c>
      <c r="T2464" t="s">
        <v>12935</v>
      </c>
    </row>
    <row r="2465" spans="1:20">
      <c r="A2465">
        <v>3330516</v>
      </c>
      <c r="B2465" t="s">
        <v>12936</v>
      </c>
      <c r="C2465" t="str">
        <f>"9780773520653"</f>
        <v>9780773520653</v>
      </c>
      <c r="D2465" t="str">
        <f>"9780773568532"</f>
        <v>9780773568532</v>
      </c>
      <c r="E2465" t="s">
        <v>12863</v>
      </c>
      <c r="F2465" t="s">
        <v>12863</v>
      </c>
      <c r="G2465" s="1">
        <v>36748</v>
      </c>
      <c r="J2465" t="s">
        <v>12937</v>
      </c>
      <c r="K2465" t="s">
        <v>291</v>
      </c>
      <c r="L2465" t="s">
        <v>12938</v>
      </c>
      <c r="M2465">
        <v>971.00492399999996</v>
      </c>
      <c r="N2465" t="s">
        <v>12939</v>
      </c>
      <c r="O2465" t="s">
        <v>26</v>
      </c>
      <c r="P2465">
        <v>142.5</v>
      </c>
      <c r="Q2465">
        <v>118.75</v>
      </c>
      <c r="R2465">
        <v>95</v>
      </c>
      <c r="S2465">
        <v>142.5</v>
      </c>
      <c r="T2465" t="s">
        <v>12940</v>
      </c>
    </row>
    <row r="2466" spans="1:20">
      <c r="A2466">
        <v>3330517</v>
      </c>
      <c r="B2466" t="s">
        <v>12941</v>
      </c>
      <c r="C2466" t="str">
        <f>"9780773522305"</f>
        <v>9780773522305</v>
      </c>
      <c r="D2466" t="str">
        <f>"9780773569461"</f>
        <v>9780773569461</v>
      </c>
      <c r="E2466" t="s">
        <v>12863</v>
      </c>
      <c r="F2466" t="s">
        <v>12863</v>
      </c>
      <c r="G2466" s="1">
        <v>37186</v>
      </c>
      <c r="I2466" t="s">
        <v>12942</v>
      </c>
      <c r="J2466" t="s">
        <v>12943</v>
      </c>
      <c r="K2466" t="s">
        <v>291</v>
      </c>
      <c r="L2466" t="s">
        <v>12944</v>
      </c>
      <c r="M2466">
        <v>971.06320000000005</v>
      </c>
      <c r="N2466" t="s">
        <v>12945</v>
      </c>
      <c r="O2466" t="s">
        <v>26</v>
      </c>
      <c r="P2466">
        <v>142.5</v>
      </c>
      <c r="Q2466">
        <v>118.75</v>
      </c>
      <c r="R2466">
        <v>95</v>
      </c>
      <c r="S2466">
        <v>142.5</v>
      </c>
      <c r="T2466" t="s">
        <v>12946</v>
      </c>
    </row>
    <row r="2467" spans="1:20">
      <c r="A2467">
        <v>3330518</v>
      </c>
      <c r="B2467" t="s">
        <v>12947</v>
      </c>
      <c r="C2467" t="str">
        <f>"9780773522749"</f>
        <v>9780773522749</v>
      </c>
      <c r="D2467" t="str">
        <f>"9780773569713"</f>
        <v>9780773569713</v>
      </c>
      <c r="E2467" t="s">
        <v>12863</v>
      </c>
      <c r="F2467" t="s">
        <v>12863</v>
      </c>
      <c r="G2467" s="1">
        <v>37385</v>
      </c>
      <c r="J2467" t="s">
        <v>12948</v>
      </c>
      <c r="K2467" t="s">
        <v>257</v>
      </c>
      <c r="L2467" t="s">
        <v>12949</v>
      </c>
      <c r="M2467">
        <v>378.00820971000002</v>
      </c>
      <c r="N2467" t="s">
        <v>12950</v>
      </c>
      <c r="O2467" t="s">
        <v>26</v>
      </c>
      <c r="P2467">
        <v>142.5</v>
      </c>
      <c r="Q2467">
        <v>118.75</v>
      </c>
      <c r="R2467">
        <v>95</v>
      </c>
      <c r="S2467">
        <v>142.5</v>
      </c>
      <c r="T2467" t="s">
        <v>12951</v>
      </c>
    </row>
    <row r="2468" spans="1:20">
      <c r="A2468">
        <v>3330519</v>
      </c>
      <c r="B2468" t="s">
        <v>12952</v>
      </c>
      <c r="C2468" t="str">
        <f>"9780773522510"</f>
        <v>9780773522510</v>
      </c>
      <c r="D2468" t="str">
        <f>"9780773569560"</f>
        <v>9780773569560</v>
      </c>
      <c r="E2468" t="s">
        <v>12863</v>
      </c>
      <c r="F2468" t="s">
        <v>12863</v>
      </c>
      <c r="G2468" s="1">
        <v>37340</v>
      </c>
      <c r="J2468" t="s">
        <v>12953</v>
      </c>
      <c r="K2468" t="s">
        <v>467</v>
      </c>
      <c r="L2468" t="s">
        <v>12954</v>
      </c>
      <c r="M2468">
        <v>320.9049</v>
      </c>
      <c r="N2468" t="s">
        <v>12955</v>
      </c>
      <c r="O2468" t="s">
        <v>26</v>
      </c>
      <c r="P2468">
        <v>142.5</v>
      </c>
      <c r="Q2468">
        <v>118.75</v>
      </c>
      <c r="R2468">
        <v>95</v>
      </c>
      <c r="S2468">
        <v>142.5</v>
      </c>
      <c r="T2468" t="s">
        <v>12956</v>
      </c>
    </row>
    <row r="2469" spans="1:20">
      <c r="A2469">
        <v>3330520</v>
      </c>
      <c r="B2469" t="s">
        <v>12957</v>
      </c>
      <c r="C2469" t="str">
        <f>"9780773526532"</f>
        <v>9780773526532</v>
      </c>
      <c r="D2469" t="str">
        <f>"9780773571655"</f>
        <v>9780773571655</v>
      </c>
      <c r="E2469" t="s">
        <v>12863</v>
      </c>
      <c r="F2469" t="s">
        <v>12863</v>
      </c>
      <c r="G2469" s="1">
        <v>38056</v>
      </c>
      <c r="J2469" t="s">
        <v>12958</v>
      </c>
      <c r="K2469" t="s">
        <v>376</v>
      </c>
      <c r="L2469" t="s">
        <v>12959</v>
      </c>
      <c r="M2469">
        <v>362.282086642097</v>
      </c>
      <c r="N2469" t="s">
        <v>12960</v>
      </c>
      <c r="O2469" t="s">
        <v>26</v>
      </c>
      <c r="P2469">
        <v>29.93</v>
      </c>
      <c r="Q2469">
        <v>24.94</v>
      </c>
      <c r="R2469">
        <v>19.95</v>
      </c>
      <c r="S2469">
        <v>29.93</v>
      </c>
      <c r="T2469" t="s">
        <v>12961</v>
      </c>
    </row>
    <row r="2470" spans="1:20">
      <c r="A2470">
        <v>3330521</v>
      </c>
      <c r="B2470" t="s">
        <v>12962</v>
      </c>
      <c r="C2470" t="str">
        <f>"9780773521902"</f>
        <v>9780773521902</v>
      </c>
      <c r="D2470" t="str">
        <f>"9780773569256"</f>
        <v>9780773569256</v>
      </c>
      <c r="E2470" t="s">
        <v>12863</v>
      </c>
      <c r="F2470" t="s">
        <v>12863</v>
      </c>
      <c r="G2470" s="1">
        <v>37180</v>
      </c>
      <c r="I2470" t="s">
        <v>12963</v>
      </c>
      <c r="J2470" t="s">
        <v>12964</v>
      </c>
      <c r="K2470" t="s">
        <v>1613</v>
      </c>
      <c r="L2470" t="s">
        <v>12965</v>
      </c>
      <c r="M2470">
        <v>239.09200000000001</v>
      </c>
      <c r="N2470" t="s">
        <v>12966</v>
      </c>
      <c r="O2470" t="s">
        <v>26</v>
      </c>
      <c r="P2470">
        <v>142.5</v>
      </c>
      <c r="Q2470">
        <v>118.75</v>
      </c>
      <c r="R2470">
        <v>95</v>
      </c>
      <c r="S2470">
        <v>142.5</v>
      </c>
      <c r="T2470" t="s">
        <v>12967</v>
      </c>
    </row>
    <row r="2471" spans="1:20">
      <c r="A2471">
        <v>3330522</v>
      </c>
      <c r="B2471" t="s">
        <v>12968</v>
      </c>
      <c r="C2471" t="str">
        <f>"9780773529922"</f>
        <v>9780773529922</v>
      </c>
      <c r="D2471" t="str">
        <f>"9780773573246"</f>
        <v>9780773573246</v>
      </c>
      <c r="E2471" t="s">
        <v>12863</v>
      </c>
      <c r="F2471" t="s">
        <v>12863</v>
      </c>
      <c r="G2471" s="1">
        <v>38649</v>
      </c>
      <c r="J2471" t="s">
        <v>12969</v>
      </c>
      <c r="K2471" t="s">
        <v>1464</v>
      </c>
      <c r="L2471" t="s">
        <v>12970</v>
      </c>
      <c r="M2471">
        <v>809.30399999999997</v>
      </c>
      <c r="N2471" t="s">
        <v>12971</v>
      </c>
      <c r="O2471" t="s">
        <v>26</v>
      </c>
      <c r="P2471">
        <v>37.43</v>
      </c>
      <c r="Q2471">
        <v>31.19</v>
      </c>
      <c r="R2471">
        <v>24.95</v>
      </c>
      <c r="S2471">
        <v>37.43</v>
      </c>
      <c r="T2471" t="s">
        <v>12972</v>
      </c>
    </row>
    <row r="2472" spans="1:20">
      <c r="A2472">
        <v>3330523</v>
      </c>
      <c r="B2472" t="s">
        <v>12973</v>
      </c>
      <c r="C2472" t="str">
        <f>"9780773522701"</f>
        <v>9780773522701</v>
      </c>
      <c r="D2472" t="str">
        <f>"9780773569676"</f>
        <v>9780773569676</v>
      </c>
      <c r="E2472" t="s">
        <v>12863</v>
      </c>
      <c r="F2472" t="s">
        <v>12863</v>
      </c>
      <c r="G2472" s="1">
        <v>37421</v>
      </c>
      <c r="I2472" t="s">
        <v>12871</v>
      </c>
      <c r="J2472" t="s">
        <v>12974</v>
      </c>
      <c r="K2472" t="s">
        <v>291</v>
      </c>
      <c r="L2472" t="s">
        <v>12975</v>
      </c>
      <c r="M2472">
        <v>971.411500497323</v>
      </c>
      <c r="N2472" t="s">
        <v>12976</v>
      </c>
      <c r="O2472" t="s">
        <v>26</v>
      </c>
      <c r="P2472">
        <v>142.5</v>
      </c>
      <c r="Q2472">
        <v>118.75</v>
      </c>
      <c r="R2472">
        <v>95</v>
      </c>
      <c r="S2472">
        <v>142.5</v>
      </c>
      <c r="T2472" t="s">
        <v>12977</v>
      </c>
    </row>
    <row r="2473" spans="1:20">
      <c r="A2473">
        <v>3330524</v>
      </c>
      <c r="B2473" t="s">
        <v>12978</v>
      </c>
      <c r="C2473" t="str">
        <f>"9780773523159"</f>
        <v>9780773523159</v>
      </c>
      <c r="D2473" t="str">
        <f>"9780773569898"</f>
        <v>9780773569898</v>
      </c>
      <c r="E2473" t="s">
        <v>12863</v>
      </c>
      <c r="F2473" t="s">
        <v>12863</v>
      </c>
      <c r="G2473" s="1">
        <v>37305</v>
      </c>
      <c r="J2473" t="s">
        <v>7696</v>
      </c>
      <c r="K2473" t="s">
        <v>1464</v>
      </c>
      <c r="L2473" t="s">
        <v>12979</v>
      </c>
      <c r="M2473">
        <v>813.08109053999999</v>
      </c>
      <c r="N2473" t="s">
        <v>12980</v>
      </c>
      <c r="O2473" t="s">
        <v>26</v>
      </c>
      <c r="P2473">
        <v>142.5</v>
      </c>
      <c r="Q2473">
        <v>118.75</v>
      </c>
      <c r="R2473">
        <v>95</v>
      </c>
      <c r="S2473">
        <v>142.5</v>
      </c>
      <c r="T2473" t="s">
        <v>12981</v>
      </c>
    </row>
    <row r="2474" spans="1:20">
      <c r="A2474">
        <v>3330525</v>
      </c>
      <c r="B2474" t="s">
        <v>12982</v>
      </c>
      <c r="C2474" t="str">
        <f>"9780773527010"</f>
        <v>9780773527010</v>
      </c>
      <c r="D2474" t="str">
        <f>"9780773571877"</f>
        <v>9780773571877</v>
      </c>
      <c r="E2474" t="s">
        <v>12863</v>
      </c>
      <c r="F2474" t="s">
        <v>12863</v>
      </c>
      <c r="G2474" s="1">
        <v>38279</v>
      </c>
      <c r="J2474" t="s">
        <v>12983</v>
      </c>
      <c r="K2474" t="s">
        <v>1859</v>
      </c>
      <c r="L2474" t="s">
        <v>12984</v>
      </c>
      <c r="M2474">
        <v>170</v>
      </c>
      <c r="N2474" t="s">
        <v>12985</v>
      </c>
      <c r="O2474" t="s">
        <v>26</v>
      </c>
      <c r="P2474">
        <v>142.5</v>
      </c>
      <c r="Q2474">
        <v>118.75</v>
      </c>
      <c r="R2474">
        <v>95</v>
      </c>
      <c r="S2474">
        <v>142.5</v>
      </c>
      <c r="T2474" t="s">
        <v>12986</v>
      </c>
    </row>
    <row r="2475" spans="1:20">
      <c r="A2475">
        <v>3330526</v>
      </c>
      <c r="B2475" t="s">
        <v>12987</v>
      </c>
      <c r="C2475" t="str">
        <f>"9780773523333"</f>
        <v>9780773523333</v>
      </c>
      <c r="D2475" t="str">
        <f>"9780773569997"</f>
        <v>9780773569997</v>
      </c>
      <c r="E2475" t="s">
        <v>12863</v>
      </c>
      <c r="F2475" t="s">
        <v>12863</v>
      </c>
      <c r="G2475" s="1">
        <v>37357</v>
      </c>
      <c r="J2475" t="s">
        <v>12988</v>
      </c>
      <c r="K2475" t="s">
        <v>12989</v>
      </c>
      <c r="L2475" t="s">
        <v>12990</v>
      </c>
      <c r="M2475">
        <v>614.1</v>
      </c>
      <c r="N2475" t="s">
        <v>12991</v>
      </c>
      <c r="O2475" t="s">
        <v>26</v>
      </c>
      <c r="P2475">
        <v>59.93</v>
      </c>
      <c r="Q2475">
        <v>49.94</v>
      </c>
      <c r="R2475">
        <v>39.950000000000003</v>
      </c>
      <c r="S2475">
        <v>59.93</v>
      </c>
      <c r="T2475" t="s">
        <v>12992</v>
      </c>
    </row>
    <row r="2476" spans="1:20">
      <c r="A2476">
        <v>3330527</v>
      </c>
      <c r="B2476" t="s">
        <v>12993</v>
      </c>
      <c r="C2476" t="str">
        <f>"9780773527379"</f>
        <v>9780773527379</v>
      </c>
      <c r="D2476" t="str">
        <f>"9780773572058"</f>
        <v>9780773572058</v>
      </c>
      <c r="E2476" t="s">
        <v>12863</v>
      </c>
      <c r="F2476" t="s">
        <v>12863</v>
      </c>
      <c r="G2476" s="1">
        <v>38225</v>
      </c>
      <c r="J2476" t="s">
        <v>12994</v>
      </c>
      <c r="K2476" t="s">
        <v>11294</v>
      </c>
      <c r="L2476" t="s">
        <v>12995</v>
      </c>
      <c r="M2476">
        <v>305.69786095491003</v>
      </c>
      <c r="N2476" t="s">
        <v>12996</v>
      </c>
      <c r="O2476" t="s">
        <v>26</v>
      </c>
      <c r="P2476">
        <v>142.5</v>
      </c>
      <c r="Q2476">
        <v>118.75</v>
      </c>
      <c r="R2476">
        <v>95</v>
      </c>
      <c r="S2476">
        <v>142.5</v>
      </c>
      <c r="T2476" t="s">
        <v>12997</v>
      </c>
    </row>
    <row r="2477" spans="1:20">
      <c r="A2477">
        <v>3330528</v>
      </c>
      <c r="B2477" t="s">
        <v>12998</v>
      </c>
      <c r="C2477" t="str">
        <f>"9780773521049"</f>
        <v>9780773521049</v>
      </c>
      <c r="D2477" t="str">
        <f>"9780773568778"</f>
        <v>9780773568778</v>
      </c>
      <c r="E2477" t="s">
        <v>12863</v>
      </c>
      <c r="F2477" t="s">
        <v>12863</v>
      </c>
      <c r="G2477" s="1">
        <v>36839</v>
      </c>
      <c r="I2477" t="s">
        <v>12871</v>
      </c>
      <c r="J2477" t="s">
        <v>12999</v>
      </c>
      <c r="K2477" t="s">
        <v>778</v>
      </c>
      <c r="L2477" t="s">
        <v>13000</v>
      </c>
      <c r="M2477">
        <v>323.119730715</v>
      </c>
      <c r="N2477" t="s">
        <v>13001</v>
      </c>
      <c r="O2477" t="s">
        <v>26</v>
      </c>
      <c r="P2477">
        <v>142.5</v>
      </c>
      <c r="Q2477">
        <v>118.75</v>
      </c>
      <c r="R2477">
        <v>95</v>
      </c>
      <c r="S2477">
        <v>142.5</v>
      </c>
      <c r="T2477" t="s">
        <v>13002</v>
      </c>
    </row>
    <row r="2478" spans="1:20">
      <c r="A2478">
        <v>3330529</v>
      </c>
      <c r="B2478" t="s">
        <v>13003</v>
      </c>
      <c r="C2478" t="str">
        <f>"9780773527478"</f>
        <v>9780773527478</v>
      </c>
      <c r="D2478" t="str">
        <f>"9780773572102"</f>
        <v>9780773572102</v>
      </c>
      <c r="E2478" t="s">
        <v>12863</v>
      </c>
      <c r="F2478" t="s">
        <v>12863</v>
      </c>
      <c r="G2478" s="1">
        <v>38330</v>
      </c>
      <c r="J2478" t="s">
        <v>13004</v>
      </c>
      <c r="K2478" t="s">
        <v>2260</v>
      </c>
      <c r="L2478" t="s">
        <v>13005</v>
      </c>
      <c r="M2478">
        <v>616.029</v>
      </c>
      <c r="N2478" t="s">
        <v>13006</v>
      </c>
      <c r="O2478" t="s">
        <v>26</v>
      </c>
      <c r="P2478">
        <v>142.5</v>
      </c>
      <c r="Q2478">
        <v>118.75</v>
      </c>
      <c r="R2478">
        <v>95</v>
      </c>
      <c r="S2478">
        <v>142.5</v>
      </c>
      <c r="T2478" t="s">
        <v>13007</v>
      </c>
    </row>
    <row r="2479" spans="1:20">
      <c r="A2479">
        <v>3330531</v>
      </c>
      <c r="B2479" t="s">
        <v>13008</v>
      </c>
      <c r="C2479" t="str">
        <f>"9780773522558"</f>
        <v>9780773522558</v>
      </c>
      <c r="D2479" t="str">
        <f>"9780773569591"</f>
        <v>9780773569591</v>
      </c>
      <c r="E2479" t="s">
        <v>12863</v>
      </c>
      <c r="F2479" t="s">
        <v>12863</v>
      </c>
      <c r="G2479" s="1">
        <v>37207</v>
      </c>
      <c r="I2479" t="s">
        <v>12963</v>
      </c>
      <c r="J2479" t="s">
        <v>13009</v>
      </c>
      <c r="K2479" t="s">
        <v>1892</v>
      </c>
      <c r="L2479" t="s">
        <v>13010</v>
      </c>
      <c r="M2479">
        <v>230.20920000000001</v>
      </c>
      <c r="N2479" t="s">
        <v>13011</v>
      </c>
      <c r="O2479" t="s">
        <v>26</v>
      </c>
      <c r="P2479">
        <v>142.5</v>
      </c>
      <c r="Q2479">
        <v>118.75</v>
      </c>
      <c r="R2479">
        <v>95</v>
      </c>
      <c r="S2479">
        <v>142.5</v>
      </c>
      <c r="T2479" t="s">
        <v>13012</v>
      </c>
    </row>
    <row r="2480" spans="1:20">
      <c r="A2480">
        <v>3330532</v>
      </c>
      <c r="B2480" t="s">
        <v>13013</v>
      </c>
      <c r="C2480" t="str">
        <f>"9780773523166"</f>
        <v>9780773523166</v>
      </c>
      <c r="D2480" t="str">
        <f>"9780773569904"</f>
        <v>9780773569904</v>
      </c>
      <c r="E2480" t="s">
        <v>12907</v>
      </c>
      <c r="F2480" t="s">
        <v>12907</v>
      </c>
      <c r="G2480" s="1">
        <v>37323</v>
      </c>
      <c r="J2480" t="s">
        <v>13014</v>
      </c>
      <c r="K2480" t="s">
        <v>473</v>
      </c>
      <c r="L2480" t="s">
        <v>13015</v>
      </c>
      <c r="M2480" t="s">
        <v>13016</v>
      </c>
      <c r="N2480" t="s">
        <v>13017</v>
      </c>
      <c r="O2480" t="s">
        <v>26</v>
      </c>
      <c r="P2480">
        <v>120</v>
      </c>
      <c r="Q2480">
        <v>100</v>
      </c>
      <c r="R2480">
        <v>80</v>
      </c>
      <c r="S2480">
        <v>120</v>
      </c>
      <c r="T2480" t="s">
        <v>13018</v>
      </c>
    </row>
    <row r="2481" spans="1:20">
      <c r="A2481">
        <v>3330533</v>
      </c>
      <c r="B2481" t="s">
        <v>13019</v>
      </c>
      <c r="C2481" t="str">
        <f>"9780773522626"</f>
        <v>9780773522626</v>
      </c>
      <c r="D2481" t="str">
        <f>"9780773569645"</f>
        <v>9780773569645</v>
      </c>
      <c r="E2481" t="s">
        <v>12863</v>
      </c>
      <c r="F2481" t="s">
        <v>12863</v>
      </c>
      <c r="G2481" s="1">
        <v>37136</v>
      </c>
      <c r="J2481" t="s">
        <v>13020</v>
      </c>
      <c r="K2481" t="s">
        <v>1464</v>
      </c>
      <c r="L2481" t="s">
        <v>13021</v>
      </c>
      <c r="M2481">
        <v>823.91399999999999</v>
      </c>
      <c r="N2481" t="s">
        <v>13022</v>
      </c>
      <c r="O2481" t="s">
        <v>26</v>
      </c>
      <c r="P2481">
        <v>142.5</v>
      </c>
      <c r="Q2481">
        <v>118.75</v>
      </c>
      <c r="R2481">
        <v>95</v>
      </c>
      <c r="S2481">
        <v>142.5</v>
      </c>
      <c r="T2481" t="s">
        <v>13023</v>
      </c>
    </row>
    <row r="2482" spans="1:20">
      <c r="A2482">
        <v>3330534</v>
      </c>
      <c r="B2482" t="s">
        <v>13024</v>
      </c>
      <c r="C2482" t="str">
        <f>"9780773521315"</f>
        <v>9780773521315</v>
      </c>
      <c r="D2482" t="str">
        <f>"9780773568891"</f>
        <v>9780773568891</v>
      </c>
      <c r="E2482" t="s">
        <v>12863</v>
      </c>
      <c r="F2482" t="s">
        <v>12863</v>
      </c>
      <c r="G2482" s="1">
        <v>36979</v>
      </c>
      <c r="J2482" t="s">
        <v>13025</v>
      </c>
      <c r="K2482" t="s">
        <v>525</v>
      </c>
      <c r="L2482" t="s">
        <v>13026</v>
      </c>
      <c r="M2482">
        <v>347.71012000000002</v>
      </c>
      <c r="N2482" t="s">
        <v>13027</v>
      </c>
      <c r="O2482" t="s">
        <v>26</v>
      </c>
      <c r="P2482">
        <v>142.5</v>
      </c>
      <c r="Q2482">
        <v>118.75</v>
      </c>
      <c r="R2482">
        <v>95</v>
      </c>
      <c r="S2482">
        <v>142.5</v>
      </c>
      <c r="T2482" t="s">
        <v>13028</v>
      </c>
    </row>
    <row r="2483" spans="1:20">
      <c r="A2483">
        <v>3330535</v>
      </c>
      <c r="B2483" t="s">
        <v>13029</v>
      </c>
      <c r="C2483" t="str">
        <f>"9780773520882"</f>
        <v>9780773520882</v>
      </c>
      <c r="D2483" t="str">
        <f>"9780773568655"</f>
        <v>9780773568655</v>
      </c>
      <c r="E2483" t="s">
        <v>12863</v>
      </c>
      <c r="F2483" t="s">
        <v>12863</v>
      </c>
      <c r="G2483" s="1">
        <v>36979</v>
      </c>
      <c r="J2483" t="s">
        <v>13030</v>
      </c>
      <c r="K2483" t="s">
        <v>4347</v>
      </c>
      <c r="L2483" t="s">
        <v>13031</v>
      </c>
      <c r="M2483" t="s">
        <v>13032</v>
      </c>
      <c r="N2483" t="s">
        <v>13033</v>
      </c>
      <c r="O2483" t="s">
        <v>26</v>
      </c>
      <c r="P2483">
        <v>127.5</v>
      </c>
      <c r="Q2483">
        <v>106.25</v>
      </c>
      <c r="R2483">
        <v>85</v>
      </c>
      <c r="S2483">
        <v>127.5</v>
      </c>
      <c r="T2483" t="s">
        <v>13034</v>
      </c>
    </row>
    <row r="2484" spans="1:20">
      <c r="A2484">
        <v>3330536</v>
      </c>
      <c r="B2484" t="s">
        <v>13035</v>
      </c>
      <c r="C2484" t="str">
        <f>"9780773521254"</f>
        <v>9780773521254</v>
      </c>
      <c r="D2484" t="str">
        <f>"9780773568853"</f>
        <v>9780773568853</v>
      </c>
      <c r="E2484" t="s">
        <v>12863</v>
      </c>
      <c r="F2484" t="s">
        <v>12863</v>
      </c>
      <c r="G2484" s="1">
        <v>36934</v>
      </c>
      <c r="J2484" t="s">
        <v>13036</v>
      </c>
      <c r="K2484" t="s">
        <v>1127</v>
      </c>
      <c r="L2484" t="s">
        <v>13037</v>
      </c>
      <c r="M2484">
        <v>150.19520919999999</v>
      </c>
      <c r="N2484" t="s">
        <v>13038</v>
      </c>
      <c r="O2484" t="s">
        <v>26</v>
      </c>
      <c r="P2484">
        <v>142.5</v>
      </c>
      <c r="Q2484">
        <v>118.75</v>
      </c>
      <c r="R2484">
        <v>95</v>
      </c>
      <c r="S2484">
        <v>142.5</v>
      </c>
      <c r="T2484" t="s">
        <v>13039</v>
      </c>
    </row>
    <row r="2485" spans="1:20">
      <c r="A2485">
        <v>3330537</v>
      </c>
      <c r="B2485" t="s">
        <v>13040</v>
      </c>
      <c r="C2485" t="str">
        <f>"9780773522862"</f>
        <v>9780773522862</v>
      </c>
      <c r="D2485" t="str">
        <f>"9780773569768"</f>
        <v>9780773569768</v>
      </c>
      <c r="E2485" t="s">
        <v>12863</v>
      </c>
      <c r="F2485" t="s">
        <v>12863</v>
      </c>
      <c r="G2485" s="1">
        <v>37286</v>
      </c>
      <c r="J2485" t="s">
        <v>13041</v>
      </c>
      <c r="K2485" t="s">
        <v>305</v>
      </c>
      <c r="L2485" t="s">
        <v>13042</v>
      </c>
      <c r="M2485">
        <v>381.50970999999998</v>
      </c>
      <c r="N2485" t="s">
        <v>13043</v>
      </c>
      <c r="O2485" t="s">
        <v>26</v>
      </c>
      <c r="P2485">
        <v>142.5</v>
      </c>
      <c r="Q2485">
        <v>118.75</v>
      </c>
      <c r="R2485">
        <v>95</v>
      </c>
      <c r="S2485">
        <v>142.5</v>
      </c>
      <c r="T2485" t="s">
        <v>13044</v>
      </c>
    </row>
    <row r="2486" spans="1:20">
      <c r="A2486">
        <v>3330538</v>
      </c>
      <c r="B2486" t="s">
        <v>13045</v>
      </c>
      <c r="C2486" t="str">
        <f>"9780773523036"</f>
        <v>9780773523036</v>
      </c>
      <c r="D2486" t="str">
        <f>"9780773569850"</f>
        <v>9780773569850</v>
      </c>
      <c r="E2486" t="s">
        <v>12863</v>
      </c>
      <c r="F2486" t="s">
        <v>12863</v>
      </c>
      <c r="G2486" s="1">
        <v>37272</v>
      </c>
      <c r="I2486" t="s">
        <v>13046</v>
      </c>
      <c r="J2486" t="s">
        <v>13047</v>
      </c>
      <c r="K2486" t="s">
        <v>467</v>
      </c>
      <c r="L2486" t="s">
        <v>13048</v>
      </c>
      <c r="M2486">
        <v>320.3</v>
      </c>
      <c r="N2486" t="s">
        <v>13049</v>
      </c>
      <c r="O2486" t="s">
        <v>26</v>
      </c>
      <c r="P2486">
        <v>142.5</v>
      </c>
      <c r="Q2486">
        <v>118.75</v>
      </c>
      <c r="R2486">
        <v>95</v>
      </c>
      <c r="S2486">
        <v>142.5</v>
      </c>
      <c r="T2486" t="s">
        <v>13050</v>
      </c>
    </row>
    <row r="2487" spans="1:20">
      <c r="A2487">
        <v>3330539</v>
      </c>
      <c r="B2487" t="s">
        <v>13051</v>
      </c>
      <c r="C2487" t="str">
        <f>"9780773521148"</f>
        <v>9780773521148</v>
      </c>
      <c r="D2487" t="str">
        <f>"9780773568815"</f>
        <v>9780773568815</v>
      </c>
      <c r="E2487" t="s">
        <v>12863</v>
      </c>
      <c r="F2487" t="s">
        <v>12863</v>
      </c>
      <c r="G2487" s="1">
        <v>36769</v>
      </c>
      <c r="J2487" t="s">
        <v>13052</v>
      </c>
      <c r="K2487" t="s">
        <v>305</v>
      </c>
      <c r="L2487" t="s">
        <v>13053</v>
      </c>
      <c r="M2487" t="s">
        <v>13054</v>
      </c>
      <c r="N2487" t="s">
        <v>13055</v>
      </c>
      <c r="O2487" t="s">
        <v>26</v>
      </c>
      <c r="P2487">
        <v>142.5</v>
      </c>
      <c r="Q2487">
        <v>118.75</v>
      </c>
      <c r="R2487">
        <v>95</v>
      </c>
      <c r="S2487">
        <v>142.5</v>
      </c>
      <c r="T2487" t="s">
        <v>13056</v>
      </c>
    </row>
    <row r="2488" spans="1:20">
      <c r="A2488">
        <v>3330540</v>
      </c>
      <c r="B2488" t="s">
        <v>13057</v>
      </c>
      <c r="C2488" t="str">
        <f>"9780773526969"</f>
        <v>9780773526969</v>
      </c>
      <c r="D2488" t="str">
        <f>"9780773571846"</f>
        <v>9780773571846</v>
      </c>
      <c r="E2488" t="s">
        <v>12863</v>
      </c>
      <c r="F2488" t="s">
        <v>12863</v>
      </c>
      <c r="G2488" s="1">
        <v>38183</v>
      </c>
      <c r="J2488" t="s">
        <v>13058</v>
      </c>
      <c r="K2488" t="s">
        <v>1464</v>
      </c>
      <c r="L2488" t="s">
        <v>13059</v>
      </c>
      <c r="M2488">
        <v>851.8</v>
      </c>
      <c r="N2488" t="s">
        <v>13060</v>
      </c>
      <c r="O2488" t="s">
        <v>26</v>
      </c>
      <c r="P2488">
        <v>142.5</v>
      </c>
      <c r="Q2488">
        <v>118.75</v>
      </c>
      <c r="R2488">
        <v>95</v>
      </c>
      <c r="S2488">
        <v>142.5</v>
      </c>
      <c r="T2488" t="s">
        <v>13061</v>
      </c>
    </row>
    <row r="2489" spans="1:20">
      <c r="A2489">
        <v>3330541</v>
      </c>
      <c r="B2489" t="s">
        <v>13062</v>
      </c>
      <c r="C2489" t="str">
        <f>"9780773521971"</f>
        <v>9780773521971</v>
      </c>
      <c r="D2489" t="str">
        <f>"9780773569294"</f>
        <v>9780773569294</v>
      </c>
      <c r="E2489" t="s">
        <v>12907</v>
      </c>
      <c r="F2489" t="s">
        <v>12907</v>
      </c>
      <c r="G2489" s="1">
        <v>37155</v>
      </c>
      <c r="I2489" t="s">
        <v>12871</v>
      </c>
      <c r="J2489" t="s">
        <v>13063</v>
      </c>
      <c r="K2489" t="s">
        <v>1530</v>
      </c>
      <c r="L2489" t="s">
        <v>13064</v>
      </c>
      <c r="M2489">
        <v>971.90300000000002</v>
      </c>
      <c r="N2489" t="s">
        <v>13065</v>
      </c>
      <c r="O2489" t="s">
        <v>26</v>
      </c>
      <c r="P2489">
        <v>142.5</v>
      </c>
      <c r="Q2489">
        <v>118.75</v>
      </c>
      <c r="R2489">
        <v>95</v>
      </c>
      <c r="S2489">
        <v>142.5</v>
      </c>
      <c r="T2489" t="s">
        <v>13066</v>
      </c>
    </row>
    <row r="2490" spans="1:20">
      <c r="A2490">
        <v>3330542</v>
      </c>
      <c r="B2490" t="s">
        <v>13067</v>
      </c>
      <c r="C2490" t="str">
        <f>"9780773528130"</f>
        <v>9780773528130</v>
      </c>
      <c r="D2490" t="str">
        <f>"9780773572379"</f>
        <v>9780773572379</v>
      </c>
      <c r="E2490" t="s">
        <v>12863</v>
      </c>
      <c r="F2490" t="s">
        <v>12863</v>
      </c>
      <c r="G2490" s="1">
        <v>38279</v>
      </c>
      <c r="I2490" t="s">
        <v>13068</v>
      </c>
      <c r="J2490" t="s">
        <v>13069</v>
      </c>
      <c r="K2490" t="s">
        <v>416</v>
      </c>
      <c r="L2490" t="s">
        <v>13070</v>
      </c>
      <c r="M2490">
        <v>336.71050000000002</v>
      </c>
      <c r="N2490" t="s">
        <v>13071</v>
      </c>
      <c r="O2490" t="s">
        <v>26</v>
      </c>
      <c r="P2490">
        <v>49.43</v>
      </c>
      <c r="Q2490">
        <v>41.19</v>
      </c>
      <c r="R2490">
        <v>32.950000000000003</v>
      </c>
      <c r="S2490">
        <v>49.43</v>
      </c>
      <c r="T2490" t="s">
        <v>13072</v>
      </c>
    </row>
    <row r="2491" spans="1:20">
      <c r="A2491">
        <v>3330543</v>
      </c>
      <c r="B2491" t="s">
        <v>13073</v>
      </c>
      <c r="C2491" t="str">
        <f>"9780773521605"</f>
        <v>9780773521605</v>
      </c>
      <c r="D2491" t="str">
        <f>"9780773569034"</f>
        <v>9780773569034</v>
      </c>
      <c r="E2491" t="s">
        <v>12863</v>
      </c>
      <c r="F2491" t="s">
        <v>12863</v>
      </c>
      <c r="G2491" s="1">
        <v>37004</v>
      </c>
      <c r="I2491" t="s">
        <v>12886</v>
      </c>
      <c r="J2491" t="s">
        <v>13074</v>
      </c>
      <c r="K2491" t="s">
        <v>1892</v>
      </c>
      <c r="L2491" t="s">
        <v>13075</v>
      </c>
      <c r="M2491">
        <v>283.70999999999998</v>
      </c>
      <c r="N2491" t="s">
        <v>13076</v>
      </c>
      <c r="O2491" t="s">
        <v>26</v>
      </c>
      <c r="P2491">
        <v>142.5</v>
      </c>
      <c r="Q2491">
        <v>118.75</v>
      </c>
      <c r="R2491">
        <v>95</v>
      </c>
      <c r="S2491">
        <v>142.5</v>
      </c>
      <c r="T2491" t="s">
        <v>13077</v>
      </c>
    </row>
    <row r="2492" spans="1:20">
      <c r="A2492">
        <v>3330544</v>
      </c>
      <c r="B2492" t="s">
        <v>13078</v>
      </c>
      <c r="C2492" t="str">
        <f>"9780773522275"</f>
        <v>9780773522275</v>
      </c>
      <c r="D2492" t="str">
        <f>"9780773569447"</f>
        <v>9780773569447</v>
      </c>
      <c r="E2492" t="s">
        <v>12863</v>
      </c>
      <c r="F2492" t="s">
        <v>12863</v>
      </c>
      <c r="G2492" s="1">
        <v>37341</v>
      </c>
      <c r="I2492" t="s">
        <v>12871</v>
      </c>
      <c r="J2492" t="s">
        <v>13079</v>
      </c>
      <c r="K2492" t="s">
        <v>1464</v>
      </c>
      <c r="L2492" t="s">
        <v>13080</v>
      </c>
      <c r="M2492">
        <v>810.93271900000002</v>
      </c>
      <c r="N2492" t="s">
        <v>13081</v>
      </c>
      <c r="O2492" t="s">
        <v>26</v>
      </c>
      <c r="P2492">
        <v>142.5</v>
      </c>
      <c r="Q2492">
        <v>118.75</v>
      </c>
      <c r="R2492">
        <v>95</v>
      </c>
      <c r="S2492">
        <v>142.5</v>
      </c>
      <c r="T2492" t="s">
        <v>13082</v>
      </c>
    </row>
    <row r="2493" spans="1:20">
      <c r="A2493">
        <v>3330545</v>
      </c>
      <c r="B2493" t="s">
        <v>13083</v>
      </c>
      <c r="C2493" t="str">
        <f>"9780773520585"</f>
        <v>9780773520585</v>
      </c>
      <c r="D2493" t="str">
        <f>"9780773568495"</f>
        <v>9780773568495</v>
      </c>
      <c r="E2493" t="s">
        <v>12863</v>
      </c>
      <c r="F2493" t="s">
        <v>12863</v>
      </c>
      <c r="G2493" s="1">
        <v>36738</v>
      </c>
      <c r="J2493" t="s">
        <v>13084</v>
      </c>
      <c r="K2493" t="s">
        <v>278</v>
      </c>
      <c r="L2493" t="s">
        <v>13085</v>
      </c>
      <c r="M2493">
        <v>331.620971</v>
      </c>
      <c r="N2493" t="s">
        <v>13086</v>
      </c>
      <c r="O2493" t="s">
        <v>26</v>
      </c>
      <c r="P2493">
        <v>142.5</v>
      </c>
      <c r="Q2493">
        <v>118.75</v>
      </c>
      <c r="R2493">
        <v>95</v>
      </c>
      <c r="S2493">
        <v>142.5</v>
      </c>
      <c r="T2493" t="s">
        <v>13087</v>
      </c>
    </row>
    <row r="2494" spans="1:20">
      <c r="A2494">
        <v>3330546</v>
      </c>
      <c r="B2494" t="s">
        <v>13088</v>
      </c>
      <c r="C2494" t="str">
        <f>"9780773522503"</f>
        <v>9780773522503</v>
      </c>
      <c r="D2494" t="str">
        <f>"9780773569553"</f>
        <v>9780773569553</v>
      </c>
      <c r="E2494" t="s">
        <v>12863</v>
      </c>
      <c r="F2494" t="s">
        <v>12863</v>
      </c>
      <c r="G2494" s="1">
        <v>37205</v>
      </c>
      <c r="J2494" t="s">
        <v>13089</v>
      </c>
      <c r="K2494" t="s">
        <v>1464</v>
      </c>
      <c r="L2494" t="s">
        <v>13090</v>
      </c>
      <c r="M2494">
        <v>830.93499999999995</v>
      </c>
      <c r="N2494" t="s">
        <v>13091</v>
      </c>
      <c r="O2494" t="s">
        <v>26</v>
      </c>
      <c r="P2494">
        <v>142.5</v>
      </c>
      <c r="Q2494">
        <v>118.75</v>
      </c>
      <c r="R2494">
        <v>95</v>
      </c>
      <c r="S2494">
        <v>142.5</v>
      </c>
      <c r="T2494" t="s">
        <v>13092</v>
      </c>
    </row>
    <row r="2495" spans="1:20">
      <c r="A2495">
        <v>3330547</v>
      </c>
      <c r="B2495" t="s">
        <v>13093</v>
      </c>
      <c r="C2495" t="str">
        <f>"9780773521629"</f>
        <v>9780773521629</v>
      </c>
      <c r="D2495" t="str">
        <f>"9780773569058"</f>
        <v>9780773569058</v>
      </c>
      <c r="E2495" t="s">
        <v>12863</v>
      </c>
      <c r="F2495" t="s">
        <v>12863</v>
      </c>
      <c r="G2495" s="1">
        <v>37007</v>
      </c>
      <c r="I2495" t="s">
        <v>12942</v>
      </c>
      <c r="J2495" t="s">
        <v>13094</v>
      </c>
      <c r="K2495" t="s">
        <v>1550</v>
      </c>
      <c r="L2495" t="s">
        <v>13095</v>
      </c>
      <c r="M2495">
        <v>305.896972907286</v>
      </c>
      <c r="N2495" t="s">
        <v>13096</v>
      </c>
      <c r="O2495" t="s">
        <v>26</v>
      </c>
      <c r="P2495">
        <v>142.5</v>
      </c>
      <c r="Q2495">
        <v>118.75</v>
      </c>
      <c r="R2495">
        <v>95</v>
      </c>
      <c r="S2495">
        <v>142.5</v>
      </c>
      <c r="T2495" t="s">
        <v>13097</v>
      </c>
    </row>
    <row r="2496" spans="1:20">
      <c r="A2496">
        <v>3330548</v>
      </c>
      <c r="B2496" t="s">
        <v>13098</v>
      </c>
      <c r="C2496" t="str">
        <f>"9780773526389"</f>
        <v>9780773526389</v>
      </c>
      <c r="D2496" t="str">
        <f>"9780773571594"</f>
        <v>9780773571594</v>
      </c>
      <c r="E2496" t="s">
        <v>12863</v>
      </c>
      <c r="F2496" t="s">
        <v>12863</v>
      </c>
      <c r="G2496" s="1">
        <v>38104</v>
      </c>
      <c r="J2496" t="s">
        <v>13099</v>
      </c>
      <c r="K2496" t="s">
        <v>291</v>
      </c>
      <c r="L2496" t="s">
        <v>13100</v>
      </c>
      <c r="M2496">
        <v>971.06399999999996</v>
      </c>
      <c r="N2496" t="s">
        <v>13101</v>
      </c>
      <c r="O2496" t="s">
        <v>26</v>
      </c>
      <c r="P2496">
        <v>142.5</v>
      </c>
      <c r="Q2496">
        <v>118.75</v>
      </c>
      <c r="R2496">
        <v>95</v>
      </c>
      <c r="S2496">
        <v>142.5</v>
      </c>
      <c r="T2496" t="s">
        <v>13102</v>
      </c>
    </row>
    <row r="2497" spans="1:20">
      <c r="A2497">
        <v>3330549</v>
      </c>
      <c r="B2497" t="s">
        <v>13103</v>
      </c>
      <c r="C2497" t="str">
        <f>"9780773526655"</f>
        <v>9780773526655</v>
      </c>
      <c r="D2497" t="str">
        <f>"9780773571976"</f>
        <v>9780773571976</v>
      </c>
      <c r="E2497" t="s">
        <v>12907</v>
      </c>
      <c r="F2497" t="s">
        <v>12907</v>
      </c>
      <c r="G2497" s="1">
        <v>38065</v>
      </c>
      <c r="I2497" t="s">
        <v>12886</v>
      </c>
      <c r="J2497" t="s">
        <v>13104</v>
      </c>
      <c r="K2497" t="s">
        <v>1859</v>
      </c>
      <c r="L2497" t="s">
        <v>13105</v>
      </c>
      <c r="M2497" t="s">
        <v>13106</v>
      </c>
      <c r="N2497" t="s">
        <v>13107</v>
      </c>
      <c r="O2497" t="s">
        <v>26</v>
      </c>
      <c r="P2497">
        <v>142.5</v>
      </c>
      <c r="Q2497">
        <v>118.75</v>
      </c>
      <c r="R2497">
        <v>95</v>
      </c>
      <c r="S2497">
        <v>142.5</v>
      </c>
      <c r="T2497" t="s">
        <v>13108</v>
      </c>
    </row>
    <row r="2498" spans="1:20">
      <c r="A2498">
        <v>3330550</v>
      </c>
      <c r="B2498" t="s">
        <v>13109</v>
      </c>
      <c r="C2498" t="str">
        <f>"9780773527508"</f>
        <v>9780773527508</v>
      </c>
      <c r="D2498" t="str">
        <f>"9780773572119"</f>
        <v>9780773572119</v>
      </c>
      <c r="E2498" t="s">
        <v>12863</v>
      </c>
      <c r="F2498" t="s">
        <v>12863</v>
      </c>
      <c r="G2498" s="1">
        <v>38280</v>
      </c>
      <c r="J2498" t="s">
        <v>13110</v>
      </c>
      <c r="K2498" t="s">
        <v>263</v>
      </c>
      <c r="L2498" t="s">
        <v>13111</v>
      </c>
      <c r="M2498">
        <v>306.76620967999997</v>
      </c>
      <c r="N2498" t="s">
        <v>13112</v>
      </c>
      <c r="O2498" t="s">
        <v>26</v>
      </c>
      <c r="P2498">
        <v>142.5</v>
      </c>
      <c r="Q2498">
        <v>118.75</v>
      </c>
      <c r="R2498">
        <v>95</v>
      </c>
      <c r="S2498">
        <v>142.5</v>
      </c>
      <c r="T2498" t="s">
        <v>13113</v>
      </c>
    </row>
    <row r="2499" spans="1:20">
      <c r="A2499">
        <v>3330551</v>
      </c>
      <c r="B2499" t="s">
        <v>13114</v>
      </c>
      <c r="C2499" t="str">
        <f>"9780773523913"</f>
        <v>9780773523913</v>
      </c>
      <c r="D2499" t="str">
        <f>"9780773570320"</f>
        <v>9780773570320</v>
      </c>
      <c r="E2499" t="s">
        <v>12863</v>
      </c>
      <c r="F2499" t="s">
        <v>12863</v>
      </c>
      <c r="G2499" s="1">
        <v>37504</v>
      </c>
      <c r="J2499" t="s">
        <v>13115</v>
      </c>
      <c r="K2499" t="s">
        <v>291</v>
      </c>
      <c r="L2499" t="s">
        <v>13116</v>
      </c>
      <c r="M2499">
        <v>971.404</v>
      </c>
      <c r="N2499" t="s">
        <v>13117</v>
      </c>
      <c r="O2499" t="s">
        <v>26</v>
      </c>
      <c r="P2499">
        <v>142.5</v>
      </c>
      <c r="Q2499">
        <v>118.75</v>
      </c>
      <c r="R2499">
        <v>95</v>
      </c>
      <c r="S2499">
        <v>142.5</v>
      </c>
      <c r="T2499" t="s">
        <v>13118</v>
      </c>
    </row>
    <row r="2500" spans="1:20">
      <c r="A2500">
        <v>3330552</v>
      </c>
      <c r="B2500" t="s">
        <v>13119</v>
      </c>
      <c r="C2500" t="str">
        <f>"9780773520998"</f>
        <v>9780773520998</v>
      </c>
      <c r="D2500" t="str">
        <f>"9780773568723"</f>
        <v>9780773568723</v>
      </c>
      <c r="E2500" t="s">
        <v>12863</v>
      </c>
      <c r="F2500" t="s">
        <v>12863</v>
      </c>
      <c r="G2500" s="1">
        <v>36831</v>
      </c>
      <c r="J2500" t="s">
        <v>13120</v>
      </c>
      <c r="K2500" t="s">
        <v>257</v>
      </c>
      <c r="L2500" t="s">
        <v>13121</v>
      </c>
      <c r="M2500">
        <v>370.95699999999999</v>
      </c>
      <c r="N2500" t="s">
        <v>13122</v>
      </c>
      <c r="O2500" t="s">
        <v>26</v>
      </c>
      <c r="P2500">
        <v>142.5</v>
      </c>
      <c r="Q2500">
        <v>118.75</v>
      </c>
      <c r="R2500">
        <v>95</v>
      </c>
      <c r="S2500">
        <v>142.5</v>
      </c>
      <c r="T2500" t="s">
        <v>13123</v>
      </c>
    </row>
    <row r="2501" spans="1:20">
      <c r="A2501">
        <v>3330553</v>
      </c>
      <c r="B2501" t="s">
        <v>13124</v>
      </c>
      <c r="C2501" t="str">
        <f>"9780773520431"</f>
        <v>9780773520431</v>
      </c>
      <c r="D2501" t="str">
        <f>"9780773568372"</f>
        <v>9780773568372</v>
      </c>
      <c r="E2501" t="s">
        <v>12863</v>
      </c>
      <c r="F2501" t="s">
        <v>12863</v>
      </c>
      <c r="G2501" s="1">
        <v>36780</v>
      </c>
      <c r="J2501" t="s">
        <v>12969</v>
      </c>
      <c r="K2501" t="s">
        <v>1464</v>
      </c>
      <c r="L2501" t="s">
        <v>13125</v>
      </c>
      <c r="M2501">
        <v>818.30899999999997</v>
      </c>
      <c r="N2501" t="s">
        <v>13126</v>
      </c>
      <c r="O2501" t="s">
        <v>26</v>
      </c>
      <c r="P2501">
        <v>142.5</v>
      </c>
      <c r="Q2501">
        <v>118.75</v>
      </c>
      <c r="R2501">
        <v>95</v>
      </c>
      <c r="S2501">
        <v>142.5</v>
      </c>
      <c r="T2501" t="s">
        <v>13127</v>
      </c>
    </row>
    <row r="2502" spans="1:20">
      <c r="A2502">
        <v>3330554</v>
      </c>
      <c r="B2502" t="s">
        <v>13128</v>
      </c>
      <c r="C2502" t="str">
        <f>"9780773522473"</f>
        <v>9780773522473</v>
      </c>
      <c r="D2502" t="str">
        <f>"9780773569539"</f>
        <v>9780773569539</v>
      </c>
      <c r="E2502" t="s">
        <v>12863</v>
      </c>
      <c r="F2502" t="s">
        <v>12863</v>
      </c>
      <c r="G2502" s="1">
        <v>37361</v>
      </c>
      <c r="J2502" t="s">
        <v>13129</v>
      </c>
      <c r="K2502" t="s">
        <v>7781</v>
      </c>
      <c r="L2502" t="s">
        <v>13130</v>
      </c>
      <c r="M2502">
        <v>700.971</v>
      </c>
      <c r="N2502" t="s">
        <v>13131</v>
      </c>
      <c r="O2502" t="s">
        <v>26</v>
      </c>
      <c r="P2502">
        <v>52.43</v>
      </c>
      <c r="Q2502">
        <v>43.69</v>
      </c>
      <c r="R2502">
        <v>34.950000000000003</v>
      </c>
      <c r="S2502">
        <v>52.43</v>
      </c>
      <c r="T2502" t="s">
        <v>13132</v>
      </c>
    </row>
    <row r="2503" spans="1:20">
      <c r="A2503">
        <v>3330555</v>
      </c>
      <c r="B2503" t="s">
        <v>13133</v>
      </c>
      <c r="C2503" t="str">
        <f>"9780773522480"</f>
        <v>9780773522480</v>
      </c>
      <c r="D2503" t="str">
        <f>"9780773569546"</f>
        <v>9780773569546</v>
      </c>
      <c r="E2503" t="s">
        <v>12863</v>
      </c>
      <c r="F2503" t="s">
        <v>12863</v>
      </c>
      <c r="G2503" s="1">
        <v>37578</v>
      </c>
      <c r="J2503" t="s">
        <v>13134</v>
      </c>
      <c r="K2503" t="s">
        <v>257</v>
      </c>
      <c r="L2503" t="s">
        <v>13135</v>
      </c>
      <c r="M2503">
        <v>378</v>
      </c>
      <c r="N2503" t="s">
        <v>13136</v>
      </c>
      <c r="O2503" t="s">
        <v>26</v>
      </c>
      <c r="P2503">
        <v>142.5</v>
      </c>
      <c r="Q2503">
        <v>118.75</v>
      </c>
      <c r="R2503">
        <v>95</v>
      </c>
      <c r="S2503">
        <v>142.5</v>
      </c>
      <c r="T2503" t="s">
        <v>13137</v>
      </c>
    </row>
    <row r="2504" spans="1:20">
      <c r="A2504">
        <v>3330556</v>
      </c>
      <c r="B2504" t="s">
        <v>13138</v>
      </c>
      <c r="C2504" t="str">
        <f>"9780773520769"</f>
        <v>9780773520769</v>
      </c>
      <c r="D2504" t="str">
        <f>"9780773568600"</f>
        <v>9780773568600</v>
      </c>
      <c r="E2504" t="s">
        <v>12863</v>
      </c>
      <c r="F2504" t="s">
        <v>12863</v>
      </c>
      <c r="G2504" s="1">
        <v>36789</v>
      </c>
      <c r="J2504" t="s">
        <v>13139</v>
      </c>
      <c r="K2504" t="s">
        <v>1464</v>
      </c>
      <c r="L2504" t="s">
        <v>13140</v>
      </c>
      <c r="M2504">
        <v>813.52099710000005</v>
      </c>
      <c r="N2504" t="s">
        <v>13141</v>
      </c>
      <c r="O2504" t="s">
        <v>26</v>
      </c>
      <c r="P2504">
        <v>142.5</v>
      </c>
      <c r="Q2504">
        <v>118.75</v>
      </c>
      <c r="R2504">
        <v>95</v>
      </c>
      <c r="S2504">
        <v>142.5</v>
      </c>
      <c r="T2504" t="s">
        <v>13142</v>
      </c>
    </row>
    <row r="2505" spans="1:20">
      <c r="A2505">
        <v>3330557</v>
      </c>
      <c r="B2505" t="s">
        <v>13143</v>
      </c>
      <c r="C2505" t="str">
        <f>"9780773520967"</f>
        <v>9780773520967</v>
      </c>
      <c r="D2505" t="str">
        <f>"9780773568693"</f>
        <v>9780773568693</v>
      </c>
      <c r="E2505" t="s">
        <v>12907</v>
      </c>
      <c r="F2505" t="s">
        <v>12907</v>
      </c>
      <c r="G2505" s="1">
        <v>37019</v>
      </c>
      <c r="J2505" t="s">
        <v>13144</v>
      </c>
      <c r="K2505" t="s">
        <v>525</v>
      </c>
      <c r="L2505" t="s">
        <v>13145</v>
      </c>
      <c r="M2505" t="s">
        <v>13146</v>
      </c>
      <c r="N2505" t="s">
        <v>13147</v>
      </c>
      <c r="O2505" t="s">
        <v>26</v>
      </c>
      <c r="P2505">
        <v>142.5</v>
      </c>
      <c r="Q2505">
        <v>118.75</v>
      </c>
      <c r="R2505">
        <v>95</v>
      </c>
      <c r="S2505">
        <v>142.5</v>
      </c>
      <c r="T2505" t="s">
        <v>13148</v>
      </c>
    </row>
    <row r="2506" spans="1:20">
      <c r="A2506">
        <v>3330558</v>
      </c>
      <c r="B2506" t="s">
        <v>13149</v>
      </c>
      <c r="C2506" t="str">
        <f>"9780773522381"</f>
        <v>9780773522381</v>
      </c>
      <c r="D2506" t="str">
        <f>"9780773569515"</f>
        <v>9780773569515</v>
      </c>
      <c r="E2506" t="s">
        <v>12863</v>
      </c>
      <c r="F2506" t="s">
        <v>12863</v>
      </c>
      <c r="G2506" s="1">
        <v>37205</v>
      </c>
      <c r="J2506" t="s">
        <v>3409</v>
      </c>
      <c r="K2506" t="s">
        <v>899</v>
      </c>
      <c r="L2506" t="s">
        <v>13150</v>
      </c>
      <c r="M2506">
        <v>363.17209709999997</v>
      </c>
      <c r="N2506" t="s">
        <v>13151</v>
      </c>
      <c r="O2506" t="s">
        <v>26</v>
      </c>
      <c r="P2506">
        <v>142.5</v>
      </c>
      <c r="Q2506">
        <v>118.75</v>
      </c>
      <c r="R2506">
        <v>95</v>
      </c>
      <c r="S2506">
        <v>142.5</v>
      </c>
      <c r="T2506" t="s">
        <v>13152</v>
      </c>
    </row>
    <row r="2507" spans="1:20">
      <c r="A2507">
        <v>3330559</v>
      </c>
      <c r="B2507" t="s">
        <v>13153</v>
      </c>
      <c r="C2507" t="str">
        <f>"9780773526891"</f>
        <v>9780773526891</v>
      </c>
      <c r="D2507" t="str">
        <f>"9780773571808"</f>
        <v>9780773571808</v>
      </c>
      <c r="E2507" t="s">
        <v>12863</v>
      </c>
      <c r="F2507" t="s">
        <v>12863</v>
      </c>
      <c r="G2507" s="1">
        <v>38105</v>
      </c>
      <c r="J2507" t="s">
        <v>13154</v>
      </c>
      <c r="K2507" t="s">
        <v>1445</v>
      </c>
      <c r="L2507" t="s">
        <v>13155</v>
      </c>
      <c r="M2507">
        <v>362.19820097100001</v>
      </c>
      <c r="N2507" t="s">
        <v>13156</v>
      </c>
      <c r="O2507" t="s">
        <v>26</v>
      </c>
      <c r="P2507">
        <v>142.5</v>
      </c>
      <c r="Q2507">
        <v>118.75</v>
      </c>
      <c r="R2507">
        <v>95</v>
      </c>
      <c r="S2507">
        <v>142.5</v>
      </c>
      <c r="T2507" t="s">
        <v>13157</v>
      </c>
    </row>
    <row r="2508" spans="1:20">
      <c r="A2508">
        <v>3330560</v>
      </c>
      <c r="B2508" t="s">
        <v>13158</v>
      </c>
      <c r="C2508" t="str">
        <f>"9780773525535"</f>
        <v>9780773525535</v>
      </c>
      <c r="D2508" t="str">
        <f>"9780773571112"</f>
        <v>9780773571112</v>
      </c>
      <c r="E2508" t="s">
        <v>12863</v>
      </c>
      <c r="F2508" t="s">
        <v>12863</v>
      </c>
      <c r="G2508" s="1">
        <v>37806</v>
      </c>
      <c r="J2508" t="s">
        <v>13159</v>
      </c>
      <c r="K2508" t="s">
        <v>1550</v>
      </c>
      <c r="L2508" t="s">
        <v>13160</v>
      </c>
      <c r="M2508">
        <v>306.44609714000001</v>
      </c>
      <c r="N2508" t="s">
        <v>13161</v>
      </c>
      <c r="O2508" t="s">
        <v>26</v>
      </c>
      <c r="P2508">
        <v>142.5</v>
      </c>
      <c r="Q2508">
        <v>118.75</v>
      </c>
      <c r="R2508">
        <v>95</v>
      </c>
      <c r="S2508">
        <v>142.5</v>
      </c>
      <c r="T2508" t="s">
        <v>13162</v>
      </c>
    </row>
    <row r="2509" spans="1:20">
      <c r="A2509">
        <v>3330562</v>
      </c>
      <c r="B2509" t="s">
        <v>13163</v>
      </c>
      <c r="C2509" t="str">
        <f>"9780773522145"</f>
        <v>9780773522145</v>
      </c>
      <c r="D2509" t="str">
        <f>"9780773569379"</f>
        <v>9780773569379</v>
      </c>
      <c r="E2509" t="s">
        <v>12863</v>
      </c>
      <c r="F2509" t="s">
        <v>12863</v>
      </c>
      <c r="G2509" s="1">
        <v>37173</v>
      </c>
      <c r="J2509" t="s">
        <v>13164</v>
      </c>
      <c r="K2509" t="s">
        <v>1464</v>
      </c>
      <c r="L2509" t="s">
        <v>13165</v>
      </c>
      <c r="M2509">
        <v>813.54089999999997</v>
      </c>
      <c r="N2509" t="s">
        <v>13166</v>
      </c>
      <c r="O2509" t="s">
        <v>26</v>
      </c>
      <c r="P2509">
        <v>142.5</v>
      </c>
      <c r="Q2509">
        <v>118.75</v>
      </c>
      <c r="R2509">
        <v>95</v>
      </c>
      <c r="S2509">
        <v>142.5</v>
      </c>
      <c r="T2509" t="s">
        <v>13167</v>
      </c>
    </row>
    <row r="2510" spans="1:20">
      <c r="A2510">
        <v>3330563</v>
      </c>
      <c r="B2510" t="s">
        <v>13168</v>
      </c>
      <c r="C2510" t="str">
        <f>"9780773527140"</f>
        <v>9780773527140</v>
      </c>
      <c r="D2510" t="str">
        <f>"9780773571969"</f>
        <v>9780773571969</v>
      </c>
      <c r="E2510" t="s">
        <v>12907</v>
      </c>
      <c r="F2510" t="s">
        <v>12907</v>
      </c>
      <c r="G2510" s="1">
        <v>38224</v>
      </c>
      <c r="I2510" t="s">
        <v>12886</v>
      </c>
      <c r="J2510" t="s">
        <v>13169</v>
      </c>
      <c r="K2510" t="s">
        <v>1892</v>
      </c>
      <c r="L2510" t="s">
        <v>13170</v>
      </c>
      <c r="M2510" t="s">
        <v>13171</v>
      </c>
      <c r="N2510" t="s">
        <v>13172</v>
      </c>
      <c r="O2510" t="s">
        <v>26</v>
      </c>
      <c r="P2510">
        <v>74.930000000000007</v>
      </c>
      <c r="Q2510">
        <v>62.44</v>
      </c>
      <c r="R2510">
        <v>49.95</v>
      </c>
      <c r="S2510">
        <v>74.930000000000007</v>
      </c>
      <c r="T2510" t="s">
        <v>13173</v>
      </c>
    </row>
    <row r="2511" spans="1:20">
      <c r="A2511">
        <v>3330564</v>
      </c>
      <c r="B2511" t="s">
        <v>13174</v>
      </c>
      <c r="C2511" t="str">
        <f>"9780773527065"</f>
        <v>9780773527065</v>
      </c>
      <c r="D2511" t="str">
        <f>"9780773571907"</f>
        <v>9780773571907</v>
      </c>
      <c r="E2511" t="s">
        <v>12863</v>
      </c>
      <c r="F2511" t="s">
        <v>12863</v>
      </c>
      <c r="G2511" s="1">
        <v>38093</v>
      </c>
      <c r="J2511" t="s">
        <v>13175</v>
      </c>
      <c r="K2511" t="s">
        <v>1471</v>
      </c>
      <c r="L2511" t="s">
        <v>13176</v>
      </c>
      <c r="M2511">
        <v>791.43089999999995</v>
      </c>
      <c r="N2511" t="s">
        <v>13177</v>
      </c>
      <c r="O2511" t="s">
        <v>26</v>
      </c>
      <c r="P2511">
        <v>142.5</v>
      </c>
      <c r="Q2511">
        <v>118.75</v>
      </c>
      <c r="R2511">
        <v>95</v>
      </c>
      <c r="S2511">
        <v>142.5</v>
      </c>
      <c r="T2511" t="s">
        <v>13178</v>
      </c>
    </row>
    <row r="2512" spans="1:20">
      <c r="A2512">
        <v>3330565</v>
      </c>
      <c r="B2512" t="s">
        <v>13179</v>
      </c>
      <c r="C2512" t="str">
        <f>"9780773521063"</f>
        <v>9780773521063</v>
      </c>
      <c r="D2512" t="str">
        <f>"9780773568792"</f>
        <v>9780773568792</v>
      </c>
      <c r="E2512" t="s">
        <v>12863</v>
      </c>
      <c r="F2512" t="s">
        <v>12863</v>
      </c>
      <c r="G2512" s="1">
        <v>36979</v>
      </c>
      <c r="J2512" t="s">
        <v>12892</v>
      </c>
      <c r="K2512" t="s">
        <v>1471</v>
      </c>
      <c r="L2512" t="s">
        <v>12893</v>
      </c>
      <c r="M2512">
        <v>782.42164094709005</v>
      </c>
      <c r="N2512" t="s">
        <v>13180</v>
      </c>
      <c r="O2512" t="s">
        <v>26</v>
      </c>
      <c r="P2512">
        <v>142.5</v>
      </c>
      <c r="Q2512">
        <v>118.75</v>
      </c>
      <c r="R2512">
        <v>95</v>
      </c>
      <c r="S2512">
        <v>142.5</v>
      </c>
      <c r="T2512" t="s">
        <v>13181</v>
      </c>
    </row>
    <row r="2513" spans="1:20">
      <c r="A2513">
        <v>3330566</v>
      </c>
      <c r="B2513" t="s">
        <v>13182</v>
      </c>
      <c r="C2513" t="str">
        <f>"9780773522930"</f>
        <v>9780773522930</v>
      </c>
      <c r="D2513" t="str">
        <f>"9780773569805"</f>
        <v>9780773569805</v>
      </c>
      <c r="E2513" t="s">
        <v>12863</v>
      </c>
      <c r="F2513" t="s">
        <v>12863</v>
      </c>
      <c r="G2513" s="1">
        <v>37341</v>
      </c>
      <c r="J2513" t="s">
        <v>13183</v>
      </c>
      <c r="K2513" t="s">
        <v>10089</v>
      </c>
      <c r="L2513" t="s">
        <v>13184</v>
      </c>
      <c r="M2513">
        <v>940.31</v>
      </c>
      <c r="N2513" t="s">
        <v>13185</v>
      </c>
      <c r="O2513" t="s">
        <v>26</v>
      </c>
      <c r="P2513">
        <v>142.5</v>
      </c>
      <c r="Q2513">
        <v>118.75</v>
      </c>
      <c r="R2513">
        <v>95</v>
      </c>
      <c r="S2513">
        <v>142.5</v>
      </c>
      <c r="T2513" t="s">
        <v>13186</v>
      </c>
    </row>
    <row r="2514" spans="1:20">
      <c r="A2514">
        <v>3330567</v>
      </c>
      <c r="B2514" t="s">
        <v>13187</v>
      </c>
      <c r="C2514" t="str">
        <f>"9780773527553"</f>
        <v>9780773527553</v>
      </c>
      <c r="D2514" t="str">
        <f>"9780773572140"</f>
        <v>9780773572140</v>
      </c>
      <c r="E2514" t="s">
        <v>12863</v>
      </c>
      <c r="F2514" t="s">
        <v>12863</v>
      </c>
      <c r="G2514" s="1">
        <v>38100</v>
      </c>
      <c r="I2514" t="s">
        <v>12963</v>
      </c>
      <c r="J2514" t="s">
        <v>13188</v>
      </c>
      <c r="K2514" t="s">
        <v>7651</v>
      </c>
      <c r="L2514" t="s">
        <v>13189</v>
      </c>
      <c r="M2514">
        <v>128.4</v>
      </c>
      <c r="N2514" t="s">
        <v>13190</v>
      </c>
      <c r="O2514" t="s">
        <v>26</v>
      </c>
      <c r="P2514">
        <v>142.5</v>
      </c>
      <c r="Q2514">
        <v>118.75</v>
      </c>
      <c r="R2514">
        <v>95</v>
      </c>
      <c r="S2514">
        <v>142.5</v>
      </c>
      <c r="T2514" t="s">
        <v>13191</v>
      </c>
    </row>
    <row r="2515" spans="1:20">
      <c r="A2515">
        <v>3330568</v>
      </c>
      <c r="B2515" t="s">
        <v>13192</v>
      </c>
      <c r="C2515" t="str">
        <f>"9780773526853"</f>
        <v>9780773526853</v>
      </c>
      <c r="D2515" t="str">
        <f>"9780773571778"</f>
        <v>9780773571778</v>
      </c>
      <c r="E2515" t="s">
        <v>12863</v>
      </c>
      <c r="F2515" t="s">
        <v>12863</v>
      </c>
      <c r="G2515" s="1">
        <v>38093</v>
      </c>
      <c r="J2515" t="s">
        <v>13193</v>
      </c>
      <c r="K2515" t="s">
        <v>467</v>
      </c>
      <c r="L2515" t="s">
        <v>13048</v>
      </c>
      <c r="M2515">
        <v>321.05</v>
      </c>
      <c r="N2515" t="s">
        <v>13194</v>
      </c>
      <c r="O2515" t="s">
        <v>26</v>
      </c>
      <c r="P2515">
        <v>142.5</v>
      </c>
      <c r="Q2515">
        <v>118.75</v>
      </c>
      <c r="R2515">
        <v>95</v>
      </c>
      <c r="S2515">
        <v>142.5</v>
      </c>
      <c r="T2515" t="s">
        <v>13195</v>
      </c>
    </row>
    <row r="2516" spans="1:20">
      <c r="A2516">
        <v>3330569</v>
      </c>
      <c r="B2516" t="s">
        <v>13196</v>
      </c>
      <c r="C2516" t="str">
        <f>"9780773520738"</f>
        <v>9780773520738</v>
      </c>
      <c r="D2516" t="str">
        <f>"9780773568587"</f>
        <v>9780773568587</v>
      </c>
      <c r="E2516" t="s">
        <v>12907</v>
      </c>
      <c r="F2516" t="s">
        <v>12907</v>
      </c>
      <c r="G2516" s="1">
        <v>36776</v>
      </c>
      <c r="J2516" t="s">
        <v>13197</v>
      </c>
      <c r="K2516" t="s">
        <v>1464</v>
      </c>
      <c r="L2516" t="s">
        <v>13198</v>
      </c>
      <c r="M2516" t="s">
        <v>13199</v>
      </c>
      <c r="N2516" t="s">
        <v>13200</v>
      </c>
      <c r="O2516" t="s">
        <v>26</v>
      </c>
      <c r="P2516">
        <v>142.5</v>
      </c>
      <c r="Q2516">
        <v>118.75</v>
      </c>
      <c r="R2516">
        <v>95</v>
      </c>
      <c r="S2516">
        <v>142.5</v>
      </c>
      <c r="T2516" t="s">
        <v>13201</v>
      </c>
    </row>
    <row r="2517" spans="1:20">
      <c r="A2517">
        <v>3330570</v>
      </c>
      <c r="B2517" t="s">
        <v>13202</v>
      </c>
      <c r="C2517" t="str">
        <f>"9780773525191"</f>
        <v>9780773525191</v>
      </c>
      <c r="D2517" t="str">
        <f>"9780773570917"</f>
        <v>9780773570917</v>
      </c>
      <c r="E2517" t="s">
        <v>12863</v>
      </c>
      <c r="F2517" t="s">
        <v>12863</v>
      </c>
      <c r="G2517" s="1">
        <v>37736</v>
      </c>
      <c r="I2517" t="s">
        <v>12963</v>
      </c>
      <c r="J2517" t="s">
        <v>13203</v>
      </c>
      <c r="K2517" t="s">
        <v>7175</v>
      </c>
      <c r="L2517" t="s">
        <v>13204</v>
      </c>
      <c r="M2517">
        <v>320.09199999999998</v>
      </c>
      <c r="N2517" t="s">
        <v>13205</v>
      </c>
      <c r="O2517" t="s">
        <v>26</v>
      </c>
      <c r="P2517">
        <v>142.5</v>
      </c>
      <c r="Q2517">
        <v>118.75</v>
      </c>
      <c r="R2517">
        <v>95</v>
      </c>
      <c r="S2517">
        <v>142.5</v>
      </c>
      <c r="T2517" t="s">
        <v>13206</v>
      </c>
    </row>
    <row r="2518" spans="1:20">
      <c r="A2518">
        <v>3330571</v>
      </c>
      <c r="B2518" t="s">
        <v>13207</v>
      </c>
      <c r="C2518" t="str">
        <f>"9780773522312"</f>
        <v>9780773522312</v>
      </c>
      <c r="D2518" t="str">
        <f>"9780773569478"</f>
        <v>9780773569478</v>
      </c>
      <c r="E2518" t="s">
        <v>12863</v>
      </c>
      <c r="F2518" t="s">
        <v>12863</v>
      </c>
      <c r="G2518" s="1">
        <v>37050</v>
      </c>
      <c r="J2518" t="s">
        <v>13208</v>
      </c>
      <c r="K2518" t="s">
        <v>291</v>
      </c>
      <c r="L2518" t="s">
        <v>13209</v>
      </c>
      <c r="M2518">
        <v>940.53089924043695</v>
      </c>
      <c r="N2518" t="s">
        <v>13210</v>
      </c>
      <c r="O2518" t="s">
        <v>26</v>
      </c>
      <c r="P2518">
        <v>37.43</v>
      </c>
      <c r="Q2518">
        <v>31.19</v>
      </c>
      <c r="R2518">
        <v>24.95</v>
      </c>
      <c r="S2518">
        <v>37.43</v>
      </c>
      <c r="T2518" t="s">
        <v>13211</v>
      </c>
    </row>
    <row r="2519" spans="1:20">
      <c r="A2519">
        <v>3330572</v>
      </c>
      <c r="B2519" t="s">
        <v>13212</v>
      </c>
      <c r="C2519" t="str">
        <f>"9780773526433"</f>
        <v>9780773526433</v>
      </c>
      <c r="D2519" t="str">
        <f>"9780773571617"</f>
        <v>9780773571617</v>
      </c>
      <c r="E2519" t="s">
        <v>12863</v>
      </c>
      <c r="F2519" t="s">
        <v>12863</v>
      </c>
      <c r="G2519" s="1">
        <v>38118</v>
      </c>
      <c r="J2519" t="s">
        <v>13213</v>
      </c>
      <c r="K2519" t="s">
        <v>291</v>
      </c>
      <c r="L2519" t="s">
        <v>13214</v>
      </c>
      <c r="M2519" t="s">
        <v>13215</v>
      </c>
      <c r="N2519" t="s">
        <v>13216</v>
      </c>
      <c r="O2519" t="s">
        <v>26</v>
      </c>
      <c r="P2519">
        <v>142.5</v>
      </c>
      <c r="Q2519">
        <v>118.75</v>
      </c>
      <c r="R2519">
        <v>95</v>
      </c>
      <c r="S2519">
        <v>142.5</v>
      </c>
      <c r="T2519" t="s">
        <v>13217</v>
      </c>
    </row>
    <row r="2520" spans="1:20">
      <c r="A2520">
        <v>3330573</v>
      </c>
      <c r="B2520" t="s">
        <v>13218</v>
      </c>
      <c r="C2520" t="str">
        <f>"9780773522015"</f>
        <v>9780773522015</v>
      </c>
      <c r="D2520" t="str">
        <f>"9780773569317"</f>
        <v>9780773569317</v>
      </c>
      <c r="E2520" t="s">
        <v>12863</v>
      </c>
      <c r="F2520" t="s">
        <v>12863</v>
      </c>
      <c r="G2520" s="1">
        <v>37239</v>
      </c>
      <c r="J2520" t="s">
        <v>13219</v>
      </c>
      <c r="K2520" t="s">
        <v>4093</v>
      </c>
      <c r="L2520" t="s">
        <v>13220</v>
      </c>
      <c r="M2520">
        <v>179.9</v>
      </c>
      <c r="N2520" t="s">
        <v>13221</v>
      </c>
      <c r="O2520" t="s">
        <v>26</v>
      </c>
      <c r="P2520">
        <v>44.93</v>
      </c>
      <c r="Q2520">
        <v>37.44</v>
      </c>
      <c r="R2520">
        <v>29.95</v>
      </c>
      <c r="S2520">
        <v>44.93</v>
      </c>
      <c r="T2520" t="s">
        <v>13222</v>
      </c>
    </row>
    <row r="2521" spans="1:20">
      <c r="A2521">
        <v>3330574</v>
      </c>
      <c r="B2521" t="s">
        <v>13223</v>
      </c>
      <c r="C2521" t="str">
        <f>"9780773521698"</f>
        <v>9780773521698</v>
      </c>
      <c r="D2521" t="str">
        <f>"9780773569096"</f>
        <v>9780773569096</v>
      </c>
      <c r="E2521" t="s">
        <v>12907</v>
      </c>
      <c r="F2521" t="s">
        <v>12907</v>
      </c>
      <c r="G2521" s="1">
        <v>36966</v>
      </c>
      <c r="J2521" t="s">
        <v>13224</v>
      </c>
      <c r="K2521" t="s">
        <v>9858</v>
      </c>
      <c r="L2521" t="s">
        <v>13225</v>
      </c>
      <c r="M2521" t="s">
        <v>13226</v>
      </c>
      <c r="N2521" t="s">
        <v>13227</v>
      </c>
      <c r="O2521" t="s">
        <v>26</v>
      </c>
      <c r="P2521">
        <v>142.5</v>
      </c>
      <c r="Q2521">
        <v>118.75</v>
      </c>
      <c r="R2521">
        <v>95</v>
      </c>
      <c r="S2521">
        <v>142.5</v>
      </c>
      <c r="T2521" t="s">
        <v>13228</v>
      </c>
    </row>
    <row r="2522" spans="1:20">
      <c r="A2522">
        <v>3330575</v>
      </c>
      <c r="B2522" t="s">
        <v>13229</v>
      </c>
      <c r="C2522" t="str">
        <f>"9780773521582"</f>
        <v>9780773521582</v>
      </c>
      <c r="D2522" t="str">
        <f>"9780773569027"</f>
        <v>9780773569027</v>
      </c>
      <c r="E2522" t="s">
        <v>12863</v>
      </c>
      <c r="F2522" t="s">
        <v>12863</v>
      </c>
      <c r="G2522" s="1">
        <v>37154</v>
      </c>
      <c r="J2522" t="s">
        <v>13230</v>
      </c>
      <c r="K2522" t="s">
        <v>348</v>
      </c>
      <c r="L2522" t="s">
        <v>13231</v>
      </c>
      <c r="M2522">
        <v>333.95160917240003</v>
      </c>
      <c r="N2522" t="s">
        <v>13232</v>
      </c>
      <c r="O2522" t="s">
        <v>26</v>
      </c>
      <c r="P2522">
        <v>142.5</v>
      </c>
      <c r="Q2522">
        <v>118.75</v>
      </c>
      <c r="R2522">
        <v>95</v>
      </c>
      <c r="S2522">
        <v>142.5</v>
      </c>
      <c r="T2522" t="s">
        <v>13233</v>
      </c>
    </row>
    <row r="2523" spans="1:20">
      <c r="A2523">
        <v>3330576</v>
      </c>
      <c r="B2523" t="s">
        <v>13234</v>
      </c>
      <c r="C2523" t="str">
        <f>"9780773521575"</f>
        <v>9780773521575</v>
      </c>
      <c r="D2523" t="str">
        <f>"9780773569010"</f>
        <v>9780773569010</v>
      </c>
      <c r="E2523" t="s">
        <v>12863</v>
      </c>
      <c r="F2523" t="s">
        <v>12863</v>
      </c>
      <c r="G2523" s="1">
        <v>37004</v>
      </c>
      <c r="J2523" t="s">
        <v>13235</v>
      </c>
      <c r="K2523" t="s">
        <v>210</v>
      </c>
      <c r="L2523" t="s">
        <v>13236</v>
      </c>
      <c r="M2523">
        <v>333.78309715</v>
      </c>
      <c r="N2523" t="s">
        <v>13237</v>
      </c>
      <c r="O2523" t="s">
        <v>26</v>
      </c>
      <c r="P2523">
        <v>59.93</v>
      </c>
      <c r="Q2523">
        <v>49.94</v>
      </c>
      <c r="R2523">
        <v>39.950000000000003</v>
      </c>
      <c r="S2523">
        <v>59.93</v>
      </c>
      <c r="T2523" t="s">
        <v>13238</v>
      </c>
    </row>
    <row r="2524" spans="1:20">
      <c r="A2524">
        <v>3330577</v>
      </c>
      <c r="B2524" t="s">
        <v>13239</v>
      </c>
      <c r="C2524" t="str">
        <f>"9780773521797"</f>
        <v>9780773521797</v>
      </c>
      <c r="D2524" t="str">
        <f>"9780773569188"</f>
        <v>9780773569188</v>
      </c>
      <c r="E2524" t="s">
        <v>12863</v>
      </c>
      <c r="F2524" t="s">
        <v>12863</v>
      </c>
      <c r="G2524" s="1">
        <v>37076</v>
      </c>
      <c r="J2524" t="s">
        <v>6596</v>
      </c>
      <c r="K2524" t="s">
        <v>1464</v>
      </c>
      <c r="L2524" t="s">
        <v>13240</v>
      </c>
      <c r="M2524" t="s">
        <v>13241</v>
      </c>
      <c r="N2524" t="s">
        <v>13242</v>
      </c>
      <c r="O2524" t="s">
        <v>26</v>
      </c>
      <c r="P2524">
        <v>127.5</v>
      </c>
      <c r="Q2524">
        <v>106.25</v>
      </c>
      <c r="R2524">
        <v>85</v>
      </c>
      <c r="S2524">
        <v>127.5</v>
      </c>
      <c r="T2524" t="s">
        <v>13243</v>
      </c>
    </row>
    <row r="2525" spans="1:20">
      <c r="A2525">
        <v>3330578</v>
      </c>
      <c r="B2525" t="s">
        <v>13244</v>
      </c>
      <c r="C2525" t="str">
        <f>"9780773520851"</f>
        <v>9780773520851</v>
      </c>
      <c r="D2525" t="str">
        <f>"9780773568631"</f>
        <v>9780773568631</v>
      </c>
      <c r="E2525" t="s">
        <v>12863</v>
      </c>
      <c r="F2525" t="s">
        <v>12863</v>
      </c>
      <c r="G2525" s="1">
        <v>36738</v>
      </c>
      <c r="J2525" t="s">
        <v>12892</v>
      </c>
      <c r="K2525" t="s">
        <v>1464</v>
      </c>
      <c r="L2525" t="s">
        <v>13245</v>
      </c>
      <c r="M2525">
        <v>891.71439999999996</v>
      </c>
      <c r="N2525" t="s">
        <v>13246</v>
      </c>
      <c r="O2525" t="s">
        <v>26</v>
      </c>
      <c r="P2525">
        <v>142.5</v>
      </c>
      <c r="Q2525">
        <v>118.75</v>
      </c>
      <c r="R2525">
        <v>95</v>
      </c>
      <c r="S2525">
        <v>142.5</v>
      </c>
      <c r="T2525" t="s">
        <v>13247</v>
      </c>
    </row>
    <row r="2526" spans="1:20">
      <c r="A2526">
        <v>3330579</v>
      </c>
      <c r="B2526" t="s">
        <v>13248</v>
      </c>
      <c r="C2526" t="str">
        <f>"9780773521759"</f>
        <v>9780773521759</v>
      </c>
      <c r="D2526" t="str">
        <f>"9780773569140"</f>
        <v>9780773569140</v>
      </c>
      <c r="E2526" t="s">
        <v>12863</v>
      </c>
      <c r="F2526" t="s">
        <v>12863</v>
      </c>
      <c r="G2526" s="1">
        <v>37008</v>
      </c>
      <c r="J2526" t="s">
        <v>13249</v>
      </c>
      <c r="K2526" t="s">
        <v>305</v>
      </c>
      <c r="L2526" t="s">
        <v>13250</v>
      </c>
      <c r="M2526">
        <v>384.09710000000001</v>
      </c>
      <c r="N2526" t="s">
        <v>13251</v>
      </c>
      <c r="O2526" t="s">
        <v>26</v>
      </c>
      <c r="P2526">
        <v>142.5</v>
      </c>
      <c r="Q2526">
        <v>118.75</v>
      </c>
      <c r="R2526">
        <v>95</v>
      </c>
      <c r="S2526">
        <v>142.5</v>
      </c>
      <c r="T2526" t="s">
        <v>13252</v>
      </c>
    </row>
    <row r="2527" spans="1:20">
      <c r="A2527">
        <v>3330580</v>
      </c>
      <c r="B2527" t="s">
        <v>13253</v>
      </c>
      <c r="C2527" t="str">
        <f>"9780773521285"</f>
        <v>9780773521285</v>
      </c>
      <c r="D2527" t="str">
        <f>"9780773568877"</f>
        <v>9780773568877</v>
      </c>
      <c r="E2527" t="s">
        <v>12863</v>
      </c>
      <c r="F2527" t="s">
        <v>12863</v>
      </c>
      <c r="G2527" s="1">
        <v>36957</v>
      </c>
      <c r="J2527" t="s">
        <v>13254</v>
      </c>
      <c r="K2527" t="s">
        <v>1464</v>
      </c>
      <c r="L2527" t="s">
        <v>13255</v>
      </c>
      <c r="M2527">
        <v>843.00935800000002</v>
      </c>
      <c r="N2527" t="s">
        <v>13256</v>
      </c>
      <c r="O2527" t="s">
        <v>26</v>
      </c>
      <c r="P2527">
        <v>142.5</v>
      </c>
      <c r="Q2527">
        <v>118.75</v>
      </c>
      <c r="R2527">
        <v>95</v>
      </c>
      <c r="S2527">
        <v>142.5</v>
      </c>
      <c r="T2527" t="s">
        <v>13257</v>
      </c>
    </row>
    <row r="2528" spans="1:20">
      <c r="A2528">
        <v>3330581</v>
      </c>
      <c r="B2528" t="s">
        <v>13258</v>
      </c>
      <c r="C2528" t="str">
        <f>"9780773521704"</f>
        <v>9780773521704</v>
      </c>
      <c r="D2528" t="str">
        <f>"9780773569102"</f>
        <v>9780773569102</v>
      </c>
      <c r="E2528" t="s">
        <v>12863</v>
      </c>
      <c r="F2528" t="s">
        <v>12863</v>
      </c>
      <c r="G2528" s="1">
        <v>37154</v>
      </c>
      <c r="J2528" t="s">
        <v>13259</v>
      </c>
      <c r="K2528" t="s">
        <v>257</v>
      </c>
      <c r="L2528" t="s">
        <v>13260</v>
      </c>
      <c r="M2528">
        <v>378.00285000000002</v>
      </c>
      <c r="N2528" t="s">
        <v>13261</v>
      </c>
      <c r="O2528" t="s">
        <v>26</v>
      </c>
      <c r="P2528">
        <v>142.5</v>
      </c>
      <c r="Q2528">
        <v>118.75</v>
      </c>
      <c r="R2528">
        <v>95</v>
      </c>
      <c r="S2528">
        <v>142.5</v>
      </c>
      <c r="T2528" t="s">
        <v>13262</v>
      </c>
    </row>
    <row r="2529" spans="1:20">
      <c r="A2529">
        <v>3330582</v>
      </c>
      <c r="B2529" t="s">
        <v>13263</v>
      </c>
      <c r="C2529" t="str">
        <f>"9780773523579"</f>
        <v>9780773523579</v>
      </c>
      <c r="D2529" t="str">
        <f>"9780773570177"</f>
        <v>9780773570177</v>
      </c>
      <c r="E2529" t="s">
        <v>12907</v>
      </c>
      <c r="F2529" t="s">
        <v>12907</v>
      </c>
      <c r="G2529" s="1">
        <v>37546</v>
      </c>
      <c r="J2529" t="s">
        <v>13264</v>
      </c>
      <c r="K2529" t="s">
        <v>13265</v>
      </c>
      <c r="L2529" t="s">
        <v>13266</v>
      </c>
      <c r="M2529">
        <v>302</v>
      </c>
      <c r="N2529" t="s">
        <v>13267</v>
      </c>
      <c r="O2529" t="s">
        <v>26</v>
      </c>
      <c r="P2529">
        <v>142.5</v>
      </c>
      <c r="Q2529">
        <v>118.75</v>
      </c>
      <c r="R2529">
        <v>95</v>
      </c>
      <c r="S2529">
        <v>142.5</v>
      </c>
      <c r="T2529" t="s">
        <v>13268</v>
      </c>
    </row>
    <row r="2530" spans="1:20">
      <c r="A2530">
        <v>3330583</v>
      </c>
      <c r="B2530" t="s">
        <v>13269</v>
      </c>
      <c r="C2530" t="str">
        <f>"9780773520622"</f>
        <v>9780773520622</v>
      </c>
      <c r="D2530" t="str">
        <f>"9780773568501"</f>
        <v>9780773568501</v>
      </c>
      <c r="E2530" t="s">
        <v>12863</v>
      </c>
      <c r="F2530" t="s">
        <v>12863</v>
      </c>
      <c r="G2530" s="1">
        <v>36726</v>
      </c>
      <c r="I2530" t="s">
        <v>13270</v>
      </c>
      <c r="J2530" t="s">
        <v>13271</v>
      </c>
      <c r="K2530" t="s">
        <v>416</v>
      </c>
      <c r="L2530" t="s">
        <v>13272</v>
      </c>
      <c r="M2530">
        <v>333.30971331090302</v>
      </c>
      <c r="N2530" t="s">
        <v>13273</v>
      </c>
      <c r="O2530" t="s">
        <v>26</v>
      </c>
      <c r="P2530">
        <v>150</v>
      </c>
      <c r="Q2530">
        <v>125</v>
      </c>
      <c r="R2530">
        <v>100</v>
      </c>
      <c r="S2530">
        <v>150</v>
      </c>
      <c r="T2530" t="s">
        <v>13274</v>
      </c>
    </row>
    <row r="2531" spans="1:20">
      <c r="A2531">
        <v>3330584</v>
      </c>
      <c r="B2531" t="s">
        <v>13275</v>
      </c>
      <c r="C2531" t="str">
        <f>"9780773520714"</f>
        <v>9780773520714</v>
      </c>
      <c r="D2531" t="str">
        <f>"9780773568570"</f>
        <v>9780773568570</v>
      </c>
      <c r="E2531" t="s">
        <v>12907</v>
      </c>
      <c r="F2531" t="s">
        <v>12907</v>
      </c>
      <c r="G2531" s="1">
        <v>36784</v>
      </c>
      <c r="J2531" t="s">
        <v>13276</v>
      </c>
      <c r="K2531" t="s">
        <v>1464</v>
      </c>
      <c r="L2531" t="s">
        <v>13277</v>
      </c>
      <c r="M2531" t="s">
        <v>13278</v>
      </c>
      <c r="N2531" t="s">
        <v>13279</v>
      </c>
      <c r="O2531" t="s">
        <v>26</v>
      </c>
      <c r="P2531">
        <v>142.5</v>
      </c>
      <c r="Q2531">
        <v>118.75</v>
      </c>
      <c r="R2531">
        <v>95</v>
      </c>
      <c r="S2531">
        <v>142.5</v>
      </c>
      <c r="T2531" t="s">
        <v>13280</v>
      </c>
    </row>
    <row r="2532" spans="1:20">
      <c r="A2532">
        <v>3330585</v>
      </c>
      <c r="B2532" t="s">
        <v>13281</v>
      </c>
      <c r="C2532" t="str">
        <f>"9780773520325"</f>
        <v>9780773520325</v>
      </c>
      <c r="D2532" t="str">
        <f>"9780773568303"</f>
        <v>9780773568303</v>
      </c>
      <c r="E2532" t="s">
        <v>12907</v>
      </c>
      <c r="F2532" t="s">
        <v>12907</v>
      </c>
      <c r="G2532" s="1">
        <v>36866</v>
      </c>
      <c r="I2532" t="s">
        <v>13282</v>
      </c>
      <c r="J2532" t="s">
        <v>13283</v>
      </c>
      <c r="K2532" t="s">
        <v>6444</v>
      </c>
      <c r="L2532" t="s">
        <v>13284</v>
      </c>
      <c r="M2532">
        <v>327.71080000000001</v>
      </c>
      <c r="N2532" t="s">
        <v>13285</v>
      </c>
      <c r="O2532" t="s">
        <v>26</v>
      </c>
      <c r="P2532">
        <v>142.5</v>
      </c>
      <c r="Q2532">
        <v>118.75</v>
      </c>
      <c r="R2532">
        <v>95</v>
      </c>
      <c r="S2532">
        <v>142.5</v>
      </c>
      <c r="T2532" t="s">
        <v>13286</v>
      </c>
    </row>
    <row r="2533" spans="1:20">
      <c r="A2533">
        <v>3330586</v>
      </c>
      <c r="B2533" t="s">
        <v>13287</v>
      </c>
      <c r="C2533" t="str">
        <f>"9780773520332"</f>
        <v>9780773520332</v>
      </c>
      <c r="D2533" t="str">
        <f>"9780773568310"</f>
        <v>9780773568310</v>
      </c>
      <c r="E2533" t="s">
        <v>12863</v>
      </c>
      <c r="F2533" t="s">
        <v>12863</v>
      </c>
      <c r="G2533" s="1">
        <v>36720</v>
      </c>
      <c r="I2533" t="s">
        <v>13288</v>
      </c>
      <c r="J2533" t="s">
        <v>13289</v>
      </c>
      <c r="K2533" t="s">
        <v>13290</v>
      </c>
      <c r="L2533" t="s">
        <v>13291</v>
      </c>
      <c r="M2533">
        <v>333.91415097141601</v>
      </c>
      <c r="N2533" t="s">
        <v>13292</v>
      </c>
      <c r="O2533" t="s">
        <v>26</v>
      </c>
      <c r="P2533">
        <v>142.5</v>
      </c>
      <c r="Q2533">
        <v>118.75</v>
      </c>
      <c r="R2533">
        <v>95</v>
      </c>
      <c r="S2533">
        <v>142.5</v>
      </c>
      <c r="T2533" t="s">
        <v>13293</v>
      </c>
    </row>
    <row r="2534" spans="1:20">
      <c r="A2534">
        <v>3330587</v>
      </c>
      <c r="B2534" t="s">
        <v>13294</v>
      </c>
      <c r="C2534" t="str">
        <f>"9780773523272"</f>
        <v>9780773523272</v>
      </c>
      <c r="D2534" t="str">
        <f>"9780773569959"</f>
        <v>9780773569959</v>
      </c>
      <c r="E2534" t="s">
        <v>12863</v>
      </c>
      <c r="F2534" t="s">
        <v>12863</v>
      </c>
      <c r="G2534" s="1">
        <v>37585</v>
      </c>
      <c r="I2534" t="s">
        <v>12871</v>
      </c>
      <c r="J2534" t="s">
        <v>13295</v>
      </c>
      <c r="K2534" t="s">
        <v>6055</v>
      </c>
      <c r="L2534" t="s">
        <v>13296</v>
      </c>
      <c r="M2534">
        <v>266.0089974128</v>
      </c>
      <c r="N2534" t="s">
        <v>13297</v>
      </c>
      <c r="O2534" t="s">
        <v>26</v>
      </c>
      <c r="P2534">
        <v>142.5</v>
      </c>
      <c r="Q2534">
        <v>118.75</v>
      </c>
      <c r="R2534">
        <v>95</v>
      </c>
      <c r="S2534">
        <v>142.5</v>
      </c>
      <c r="T2534" t="s">
        <v>13298</v>
      </c>
    </row>
    <row r="2535" spans="1:20">
      <c r="A2535">
        <v>3330588</v>
      </c>
      <c r="B2535" t="s">
        <v>13299</v>
      </c>
      <c r="C2535" t="str">
        <f>"9780773526945"</f>
        <v>9780773526945</v>
      </c>
      <c r="D2535" t="str">
        <f>"9780773571822"</f>
        <v>9780773571822</v>
      </c>
      <c r="E2535" t="s">
        <v>12863</v>
      </c>
      <c r="F2535" t="s">
        <v>12863</v>
      </c>
      <c r="G2535" s="1">
        <v>38047</v>
      </c>
      <c r="J2535" t="s">
        <v>13300</v>
      </c>
      <c r="K2535" t="s">
        <v>291</v>
      </c>
      <c r="L2535" t="s">
        <v>13301</v>
      </c>
      <c r="M2535">
        <v>971.00491791000002</v>
      </c>
      <c r="N2535" t="s">
        <v>13302</v>
      </c>
      <c r="O2535" t="s">
        <v>26</v>
      </c>
      <c r="P2535">
        <v>142.5</v>
      </c>
      <c r="Q2535">
        <v>118.75</v>
      </c>
      <c r="R2535">
        <v>95</v>
      </c>
      <c r="S2535">
        <v>142.5</v>
      </c>
      <c r="T2535" t="s">
        <v>13303</v>
      </c>
    </row>
    <row r="2536" spans="1:20">
      <c r="A2536">
        <v>3330589</v>
      </c>
      <c r="B2536" t="s">
        <v>13304</v>
      </c>
      <c r="C2536" t="str">
        <f>"9780773522725"</f>
        <v>9780773522725</v>
      </c>
      <c r="D2536" t="str">
        <f>"9780773569690"</f>
        <v>9780773569690</v>
      </c>
      <c r="E2536" t="s">
        <v>12863</v>
      </c>
      <c r="F2536" t="s">
        <v>12863</v>
      </c>
      <c r="G2536" s="1">
        <v>37180</v>
      </c>
      <c r="J2536" t="s">
        <v>13305</v>
      </c>
      <c r="K2536" t="s">
        <v>263</v>
      </c>
      <c r="L2536" t="s">
        <v>13306</v>
      </c>
      <c r="M2536" t="s">
        <v>13307</v>
      </c>
      <c r="N2536" t="s">
        <v>13308</v>
      </c>
      <c r="O2536" t="s">
        <v>26</v>
      </c>
      <c r="P2536">
        <v>44.93</v>
      </c>
      <c r="Q2536">
        <v>37.44</v>
      </c>
      <c r="R2536">
        <v>29.95</v>
      </c>
      <c r="S2536">
        <v>44.93</v>
      </c>
      <c r="T2536" t="s">
        <v>13309</v>
      </c>
    </row>
    <row r="2537" spans="1:20">
      <c r="A2537">
        <v>3330590</v>
      </c>
      <c r="B2537" t="s">
        <v>13310</v>
      </c>
      <c r="C2537" t="str">
        <f>"9780773522268"</f>
        <v>9780773522268</v>
      </c>
      <c r="D2537" t="str">
        <f>"9780773569430"</f>
        <v>9780773569430</v>
      </c>
      <c r="E2537" t="s">
        <v>12863</v>
      </c>
      <c r="F2537" t="s">
        <v>12863</v>
      </c>
      <c r="G2537" s="1">
        <v>37036</v>
      </c>
      <c r="J2537" t="s">
        <v>13311</v>
      </c>
      <c r="K2537" t="s">
        <v>467</v>
      </c>
      <c r="L2537" t="s">
        <v>13312</v>
      </c>
      <c r="M2537">
        <v>328.7107345</v>
      </c>
      <c r="N2537" t="s">
        <v>13313</v>
      </c>
      <c r="O2537" t="s">
        <v>26</v>
      </c>
      <c r="P2537">
        <v>142.5</v>
      </c>
      <c r="Q2537">
        <v>118.75</v>
      </c>
      <c r="R2537">
        <v>95</v>
      </c>
      <c r="S2537">
        <v>142.5</v>
      </c>
      <c r="T2537" t="s">
        <v>13314</v>
      </c>
    </row>
    <row r="2538" spans="1:20">
      <c r="A2538">
        <v>3330591</v>
      </c>
      <c r="B2538" t="s">
        <v>13315</v>
      </c>
      <c r="C2538" t="str">
        <f>"9780773525863"</f>
        <v>9780773525863</v>
      </c>
      <c r="D2538" t="str">
        <f>"9780773571280"</f>
        <v>9780773571280</v>
      </c>
      <c r="E2538" t="s">
        <v>12863</v>
      </c>
      <c r="F2538" t="s">
        <v>12863</v>
      </c>
      <c r="G2538" s="1">
        <v>38056</v>
      </c>
      <c r="J2538" t="s">
        <v>13316</v>
      </c>
      <c r="K2538" t="s">
        <v>778</v>
      </c>
      <c r="L2538" t="s">
        <v>13317</v>
      </c>
      <c r="M2538">
        <v>323.11410710000001</v>
      </c>
      <c r="N2538" t="s">
        <v>13318</v>
      </c>
      <c r="O2538" t="s">
        <v>26</v>
      </c>
      <c r="P2538">
        <v>120</v>
      </c>
      <c r="Q2538">
        <v>100</v>
      </c>
      <c r="R2538">
        <v>80</v>
      </c>
      <c r="S2538">
        <v>120</v>
      </c>
      <c r="T2538" t="s">
        <v>13319</v>
      </c>
    </row>
    <row r="2539" spans="1:20">
      <c r="A2539">
        <v>3330592</v>
      </c>
      <c r="B2539" t="s">
        <v>13320</v>
      </c>
      <c r="C2539" t="str">
        <f>"9780773522428"</f>
        <v>9780773522428</v>
      </c>
      <c r="D2539" t="str">
        <f>"9780773569522"</f>
        <v>9780773569522</v>
      </c>
      <c r="E2539" t="s">
        <v>12863</v>
      </c>
      <c r="F2539" t="s">
        <v>12863</v>
      </c>
      <c r="G2539" s="1">
        <v>37204</v>
      </c>
      <c r="J2539" t="s">
        <v>13321</v>
      </c>
      <c r="K2539" t="s">
        <v>467</v>
      </c>
      <c r="L2539" t="s">
        <v>13048</v>
      </c>
      <c r="M2539">
        <v>320.54000000000002</v>
      </c>
      <c r="N2539" t="s">
        <v>13322</v>
      </c>
      <c r="O2539" t="s">
        <v>26</v>
      </c>
      <c r="P2539">
        <v>142.5</v>
      </c>
      <c r="Q2539">
        <v>118.75</v>
      </c>
      <c r="R2539">
        <v>95</v>
      </c>
      <c r="S2539">
        <v>142.5</v>
      </c>
      <c r="T2539" t="s">
        <v>13323</v>
      </c>
    </row>
    <row r="2540" spans="1:20">
      <c r="A2540">
        <v>3330593</v>
      </c>
      <c r="B2540" t="s">
        <v>13324</v>
      </c>
      <c r="C2540" t="str">
        <f>"9780773521773"</f>
        <v>9780773521773</v>
      </c>
      <c r="D2540" t="str">
        <f>"9780773569164"</f>
        <v>9780773569164</v>
      </c>
      <c r="E2540" t="s">
        <v>12863</v>
      </c>
      <c r="F2540" t="s">
        <v>12863</v>
      </c>
      <c r="G2540" s="1">
        <v>37091</v>
      </c>
      <c r="J2540" t="s">
        <v>13325</v>
      </c>
      <c r="K2540" t="s">
        <v>257</v>
      </c>
      <c r="L2540" t="s">
        <v>13326</v>
      </c>
      <c r="M2540">
        <v>371.07010000000002</v>
      </c>
      <c r="N2540" t="s">
        <v>13327</v>
      </c>
      <c r="O2540" t="s">
        <v>26</v>
      </c>
      <c r="P2540">
        <v>142.5</v>
      </c>
      <c r="Q2540">
        <v>118.75</v>
      </c>
      <c r="R2540">
        <v>95</v>
      </c>
      <c r="S2540">
        <v>142.5</v>
      </c>
      <c r="T2540" t="s">
        <v>13328</v>
      </c>
    </row>
    <row r="2541" spans="1:20">
      <c r="A2541">
        <v>3330594</v>
      </c>
      <c r="B2541" t="s">
        <v>13329</v>
      </c>
      <c r="C2541" t="str">
        <f>"9780773527713"</f>
        <v>9780773527713</v>
      </c>
      <c r="D2541" t="str">
        <f>"9780773572195"</f>
        <v>9780773572195</v>
      </c>
      <c r="E2541" t="s">
        <v>12907</v>
      </c>
      <c r="F2541" t="s">
        <v>12907</v>
      </c>
      <c r="G2541" s="1">
        <v>38225</v>
      </c>
      <c r="J2541" t="s">
        <v>13330</v>
      </c>
      <c r="K2541" t="s">
        <v>4347</v>
      </c>
      <c r="L2541" t="s">
        <v>13331</v>
      </c>
      <c r="M2541">
        <v>355.00866409710898</v>
      </c>
      <c r="N2541" t="s">
        <v>13332</v>
      </c>
      <c r="O2541" t="s">
        <v>26</v>
      </c>
      <c r="P2541">
        <v>142.5</v>
      </c>
      <c r="Q2541">
        <v>118.75</v>
      </c>
      <c r="R2541">
        <v>95</v>
      </c>
      <c r="S2541">
        <v>142.5</v>
      </c>
      <c r="T2541" t="s">
        <v>13333</v>
      </c>
    </row>
    <row r="2542" spans="1:20">
      <c r="A2542">
        <v>3330595</v>
      </c>
      <c r="B2542" t="s">
        <v>13334</v>
      </c>
      <c r="C2542" t="str">
        <f>"9780773521001"</f>
        <v>9780773521001</v>
      </c>
      <c r="D2542" t="str">
        <f>"9780773568730"</f>
        <v>9780773568730</v>
      </c>
      <c r="E2542" t="s">
        <v>12863</v>
      </c>
      <c r="F2542" t="s">
        <v>12863</v>
      </c>
      <c r="G2542" s="1">
        <v>36822</v>
      </c>
      <c r="J2542" t="s">
        <v>13335</v>
      </c>
      <c r="K2542" t="s">
        <v>291</v>
      </c>
      <c r="L2542" t="s">
        <v>13336</v>
      </c>
      <c r="M2542">
        <v>971.202</v>
      </c>
      <c r="N2542" t="s">
        <v>13337</v>
      </c>
      <c r="O2542" t="s">
        <v>26</v>
      </c>
      <c r="P2542">
        <v>44.93</v>
      </c>
      <c r="Q2542">
        <v>37.44</v>
      </c>
      <c r="R2542">
        <v>29.95</v>
      </c>
      <c r="S2542">
        <v>44.93</v>
      </c>
      <c r="T2542" t="s">
        <v>13338</v>
      </c>
    </row>
    <row r="2543" spans="1:20">
      <c r="A2543">
        <v>3330596</v>
      </c>
      <c r="B2543" t="s">
        <v>13339</v>
      </c>
      <c r="C2543" t="str">
        <f>"9780773521766"</f>
        <v>9780773521766</v>
      </c>
      <c r="D2543" t="str">
        <f>"9780773569157"</f>
        <v>9780773569157</v>
      </c>
      <c r="E2543" t="s">
        <v>12863</v>
      </c>
      <c r="F2543" t="s">
        <v>12863</v>
      </c>
      <c r="G2543" s="1">
        <v>37004</v>
      </c>
      <c r="I2543" t="s">
        <v>12864</v>
      </c>
      <c r="J2543" t="s">
        <v>13340</v>
      </c>
      <c r="K2543" t="s">
        <v>2260</v>
      </c>
      <c r="L2543" t="s">
        <v>13341</v>
      </c>
      <c r="M2543">
        <v>615.85150920000001</v>
      </c>
      <c r="N2543" t="s">
        <v>13342</v>
      </c>
      <c r="O2543" t="s">
        <v>26</v>
      </c>
      <c r="P2543">
        <v>97.5</v>
      </c>
      <c r="Q2543">
        <v>81.25</v>
      </c>
      <c r="R2543">
        <v>65</v>
      </c>
      <c r="S2543">
        <v>97.5</v>
      </c>
      <c r="T2543" t="s">
        <v>13343</v>
      </c>
    </row>
    <row r="2544" spans="1:20">
      <c r="A2544">
        <v>3330597</v>
      </c>
      <c r="B2544" t="s">
        <v>13344</v>
      </c>
      <c r="C2544" t="str">
        <f>"9780773527249"</f>
        <v>9780773527249</v>
      </c>
      <c r="D2544" t="str">
        <f>"9780773572010"</f>
        <v>9780773572010</v>
      </c>
      <c r="E2544" t="s">
        <v>12863</v>
      </c>
      <c r="F2544" t="s">
        <v>12863</v>
      </c>
      <c r="G2544" s="1">
        <v>38176</v>
      </c>
      <c r="J2544" t="s">
        <v>13345</v>
      </c>
      <c r="K2544" t="s">
        <v>291</v>
      </c>
      <c r="L2544" t="s">
        <v>13346</v>
      </c>
      <c r="M2544" t="s">
        <v>4424</v>
      </c>
      <c r="N2544" t="s">
        <v>13347</v>
      </c>
      <c r="O2544" t="s">
        <v>26</v>
      </c>
      <c r="P2544">
        <v>120</v>
      </c>
      <c r="Q2544">
        <v>100</v>
      </c>
      <c r="R2544">
        <v>80</v>
      </c>
      <c r="S2544">
        <v>120</v>
      </c>
      <c r="T2544" t="s">
        <v>13348</v>
      </c>
    </row>
    <row r="2545" spans="1:20">
      <c r="A2545">
        <v>3330598</v>
      </c>
      <c r="B2545" t="s">
        <v>13349</v>
      </c>
      <c r="C2545" t="str">
        <f>"9780773527706"</f>
        <v>9780773527706</v>
      </c>
      <c r="D2545" t="str">
        <f>"9780773572188"</f>
        <v>9780773572188</v>
      </c>
      <c r="E2545" t="s">
        <v>12863</v>
      </c>
      <c r="F2545" t="s">
        <v>12863</v>
      </c>
      <c r="G2545" s="1">
        <v>38260</v>
      </c>
      <c r="I2545" t="s">
        <v>12886</v>
      </c>
      <c r="J2545" t="s">
        <v>13350</v>
      </c>
      <c r="K2545" t="s">
        <v>257</v>
      </c>
      <c r="L2545" t="s">
        <v>13351</v>
      </c>
      <c r="M2545">
        <v>378.12092000000001</v>
      </c>
      <c r="N2545" t="s">
        <v>13352</v>
      </c>
      <c r="O2545" t="s">
        <v>26</v>
      </c>
      <c r="P2545">
        <v>142.5</v>
      </c>
      <c r="Q2545">
        <v>118.75</v>
      </c>
      <c r="R2545">
        <v>95</v>
      </c>
      <c r="S2545">
        <v>142.5</v>
      </c>
      <c r="T2545" t="s">
        <v>13353</v>
      </c>
    </row>
    <row r="2546" spans="1:20">
      <c r="A2546">
        <v>3330599</v>
      </c>
      <c r="B2546" t="s">
        <v>13354</v>
      </c>
      <c r="C2546" t="str">
        <f>"9780773522718"</f>
        <v>9780773522718</v>
      </c>
      <c r="D2546" t="str">
        <f>"9780773569683"</f>
        <v>9780773569683</v>
      </c>
      <c r="E2546" t="s">
        <v>12863</v>
      </c>
      <c r="F2546" t="s">
        <v>12863</v>
      </c>
      <c r="G2546" s="1">
        <v>37245</v>
      </c>
      <c r="I2546" t="s">
        <v>12886</v>
      </c>
      <c r="J2546" t="s">
        <v>13355</v>
      </c>
      <c r="K2546" t="s">
        <v>6813</v>
      </c>
      <c r="L2546" t="s">
        <v>13356</v>
      </c>
      <c r="M2546">
        <v>261.83585097100001</v>
      </c>
      <c r="N2546" t="s">
        <v>13357</v>
      </c>
      <c r="O2546" t="s">
        <v>26</v>
      </c>
      <c r="P2546">
        <v>142.5</v>
      </c>
      <c r="Q2546">
        <v>118.75</v>
      </c>
      <c r="R2546">
        <v>95</v>
      </c>
      <c r="S2546">
        <v>142.5</v>
      </c>
      <c r="T2546" t="s">
        <v>13358</v>
      </c>
    </row>
    <row r="2547" spans="1:20">
      <c r="A2547">
        <v>3330600</v>
      </c>
      <c r="B2547" t="s">
        <v>13359</v>
      </c>
      <c r="C2547" t="str">
        <f>"9780773521483"</f>
        <v>9780773521483</v>
      </c>
      <c r="D2547" t="str">
        <f>"9780773568969"</f>
        <v>9780773568969</v>
      </c>
      <c r="E2547" t="s">
        <v>12863</v>
      </c>
      <c r="F2547" t="s">
        <v>12863</v>
      </c>
      <c r="G2547" s="1">
        <v>37073</v>
      </c>
      <c r="J2547" t="s">
        <v>13360</v>
      </c>
      <c r="K2547" t="s">
        <v>1464</v>
      </c>
      <c r="L2547" t="s">
        <v>13361</v>
      </c>
      <c r="M2547">
        <v>809</v>
      </c>
      <c r="N2547" t="s">
        <v>13362</v>
      </c>
      <c r="O2547" t="s">
        <v>26</v>
      </c>
      <c r="P2547">
        <v>142.5</v>
      </c>
      <c r="Q2547">
        <v>118.75</v>
      </c>
      <c r="R2547">
        <v>95</v>
      </c>
      <c r="S2547">
        <v>142.5</v>
      </c>
      <c r="T2547" t="s">
        <v>13363</v>
      </c>
    </row>
    <row r="2548" spans="1:20">
      <c r="A2548">
        <v>3330601</v>
      </c>
      <c r="B2548" t="s">
        <v>13364</v>
      </c>
      <c r="C2548" t="str">
        <f>"9780773523265"</f>
        <v>9780773523265</v>
      </c>
      <c r="D2548" t="str">
        <f>"9780773569942"</f>
        <v>9780773569942</v>
      </c>
      <c r="E2548" t="s">
        <v>12863</v>
      </c>
      <c r="F2548" t="s">
        <v>12863</v>
      </c>
      <c r="G2548" s="1">
        <v>37397</v>
      </c>
      <c r="J2548" t="s">
        <v>13365</v>
      </c>
      <c r="K2548" t="s">
        <v>6359</v>
      </c>
      <c r="L2548" t="s">
        <v>13366</v>
      </c>
      <c r="M2548">
        <v>327.45634000000001</v>
      </c>
      <c r="N2548" t="s">
        <v>13367</v>
      </c>
      <c r="O2548" t="s">
        <v>26</v>
      </c>
      <c r="P2548">
        <v>142.5</v>
      </c>
      <c r="Q2548">
        <v>118.75</v>
      </c>
      <c r="R2548">
        <v>95</v>
      </c>
      <c r="S2548">
        <v>142.5</v>
      </c>
      <c r="T2548" t="s">
        <v>13368</v>
      </c>
    </row>
    <row r="2549" spans="1:20">
      <c r="A2549">
        <v>3330602</v>
      </c>
      <c r="B2549" t="s">
        <v>13369</v>
      </c>
      <c r="C2549" t="str">
        <f>"9780773524248"</f>
        <v>9780773524248</v>
      </c>
      <c r="D2549" t="str">
        <f>"9780773570498"</f>
        <v>9780773570498</v>
      </c>
      <c r="E2549" t="s">
        <v>12863</v>
      </c>
      <c r="F2549" t="s">
        <v>12863</v>
      </c>
      <c r="G2549" s="1">
        <v>37596</v>
      </c>
      <c r="J2549" t="s">
        <v>13370</v>
      </c>
      <c r="K2549" t="s">
        <v>525</v>
      </c>
      <c r="L2549" t="s">
        <v>13371</v>
      </c>
      <c r="M2549">
        <v>341.42</v>
      </c>
      <c r="N2549" t="s">
        <v>13372</v>
      </c>
      <c r="O2549" t="s">
        <v>26</v>
      </c>
      <c r="P2549">
        <v>142.5</v>
      </c>
      <c r="Q2549">
        <v>118.75</v>
      </c>
      <c r="R2549">
        <v>95</v>
      </c>
      <c r="S2549">
        <v>142.5</v>
      </c>
      <c r="T2549" t="s">
        <v>13373</v>
      </c>
    </row>
    <row r="2550" spans="1:20">
      <c r="A2550">
        <v>3330603</v>
      </c>
      <c r="B2550" t="s">
        <v>13374</v>
      </c>
      <c r="C2550" t="str">
        <f>"9780773520639"</f>
        <v>9780773520639</v>
      </c>
      <c r="D2550" t="str">
        <f>"9780773568518"</f>
        <v>9780773568518</v>
      </c>
      <c r="E2550" t="s">
        <v>12907</v>
      </c>
      <c r="F2550" t="s">
        <v>12907</v>
      </c>
      <c r="G2550" s="1">
        <v>37469</v>
      </c>
      <c r="I2550" t="s">
        <v>12942</v>
      </c>
      <c r="J2550" t="s">
        <v>13375</v>
      </c>
      <c r="K2550" t="s">
        <v>1471</v>
      </c>
      <c r="L2550" t="s">
        <v>13376</v>
      </c>
      <c r="M2550" t="s">
        <v>13377</v>
      </c>
      <c r="N2550" t="s">
        <v>13378</v>
      </c>
      <c r="O2550" t="s">
        <v>26</v>
      </c>
      <c r="P2550">
        <v>97.5</v>
      </c>
      <c r="Q2550">
        <v>81.25</v>
      </c>
      <c r="R2550">
        <v>65</v>
      </c>
      <c r="S2550">
        <v>97.5</v>
      </c>
      <c r="T2550" t="s">
        <v>13379</v>
      </c>
    </row>
    <row r="2551" spans="1:20">
      <c r="A2551">
        <v>3330604</v>
      </c>
      <c r="B2551" t="s">
        <v>13380</v>
      </c>
      <c r="C2551" t="str">
        <f>"9780773527089"</f>
        <v>9780773527089</v>
      </c>
      <c r="D2551" t="str">
        <f>"9780773571914"</f>
        <v>9780773571914</v>
      </c>
      <c r="E2551" t="s">
        <v>12863</v>
      </c>
      <c r="F2551" t="s">
        <v>12863</v>
      </c>
      <c r="G2551" s="1">
        <v>38132</v>
      </c>
      <c r="J2551" t="s">
        <v>13381</v>
      </c>
      <c r="K2551" t="s">
        <v>13382</v>
      </c>
      <c r="L2551" t="s">
        <v>13383</v>
      </c>
      <c r="M2551">
        <v>941.5</v>
      </c>
      <c r="N2551" t="s">
        <v>13384</v>
      </c>
      <c r="O2551" t="s">
        <v>26</v>
      </c>
      <c r="P2551">
        <v>142.5</v>
      </c>
      <c r="Q2551">
        <v>118.75</v>
      </c>
      <c r="R2551">
        <v>95</v>
      </c>
      <c r="S2551">
        <v>142.5</v>
      </c>
      <c r="T2551" t="s">
        <v>13385</v>
      </c>
    </row>
    <row r="2552" spans="1:20">
      <c r="A2552">
        <v>3330605</v>
      </c>
      <c r="B2552" t="s">
        <v>13386</v>
      </c>
      <c r="C2552" t="str">
        <f>"9780773520936"</f>
        <v>9780773520936</v>
      </c>
      <c r="D2552" t="str">
        <f>"9780773568679"</f>
        <v>9780773568679</v>
      </c>
      <c r="E2552" t="s">
        <v>12907</v>
      </c>
      <c r="F2552" t="s">
        <v>12907</v>
      </c>
      <c r="G2552" s="1">
        <v>41773</v>
      </c>
      <c r="J2552" t="s">
        <v>13387</v>
      </c>
      <c r="K2552" t="s">
        <v>416</v>
      </c>
      <c r="L2552" t="s">
        <v>13388</v>
      </c>
      <c r="M2552" t="s">
        <v>13389</v>
      </c>
      <c r="N2552" t="s">
        <v>13390</v>
      </c>
      <c r="O2552" t="s">
        <v>26</v>
      </c>
      <c r="P2552">
        <v>142.5</v>
      </c>
      <c r="Q2552">
        <v>118.75</v>
      </c>
      <c r="R2552">
        <v>95</v>
      </c>
      <c r="S2552">
        <v>142.5</v>
      </c>
      <c r="T2552" t="s">
        <v>13391</v>
      </c>
    </row>
    <row r="2553" spans="1:20">
      <c r="A2553">
        <v>3330606</v>
      </c>
      <c r="B2553" t="s">
        <v>13392</v>
      </c>
      <c r="C2553" t="str">
        <f>"9780773521827"</f>
        <v>9780773521827</v>
      </c>
      <c r="D2553" t="str">
        <f>"9780773569201"</f>
        <v>9780773569201</v>
      </c>
      <c r="E2553" t="s">
        <v>12863</v>
      </c>
      <c r="F2553" t="s">
        <v>12863</v>
      </c>
      <c r="G2553" s="1">
        <v>37208</v>
      </c>
      <c r="J2553" t="s">
        <v>13393</v>
      </c>
      <c r="K2553" t="s">
        <v>1464</v>
      </c>
      <c r="L2553" t="s">
        <v>13394</v>
      </c>
      <c r="M2553">
        <v>821.1</v>
      </c>
      <c r="N2553" t="s">
        <v>13395</v>
      </c>
      <c r="O2553" t="s">
        <v>26</v>
      </c>
      <c r="P2553">
        <v>142.5</v>
      </c>
      <c r="Q2553">
        <v>118.75</v>
      </c>
      <c r="R2553">
        <v>95</v>
      </c>
      <c r="S2553">
        <v>142.5</v>
      </c>
      <c r="T2553" t="s">
        <v>13396</v>
      </c>
    </row>
    <row r="2554" spans="1:20">
      <c r="A2554">
        <v>3330607</v>
      </c>
      <c r="B2554" t="s">
        <v>13397</v>
      </c>
      <c r="C2554" t="str">
        <f>"9780773522633"</f>
        <v>9780773522633</v>
      </c>
      <c r="D2554" t="str">
        <f>"9780773569652"</f>
        <v>9780773569652</v>
      </c>
      <c r="E2554" t="s">
        <v>12863</v>
      </c>
      <c r="F2554" t="s">
        <v>12863</v>
      </c>
      <c r="G2554" s="1">
        <v>37238</v>
      </c>
      <c r="J2554" t="s">
        <v>13398</v>
      </c>
      <c r="K2554" t="s">
        <v>291</v>
      </c>
      <c r="L2554" t="s">
        <v>13399</v>
      </c>
      <c r="M2554">
        <v>971.06320000000005</v>
      </c>
      <c r="N2554" t="s">
        <v>13400</v>
      </c>
      <c r="O2554" t="s">
        <v>26</v>
      </c>
      <c r="P2554">
        <v>142.5</v>
      </c>
      <c r="Q2554">
        <v>118.75</v>
      </c>
      <c r="R2554">
        <v>95</v>
      </c>
      <c r="S2554">
        <v>142.5</v>
      </c>
      <c r="T2554" t="s">
        <v>13401</v>
      </c>
    </row>
    <row r="2555" spans="1:20">
      <c r="A2555">
        <v>3330608</v>
      </c>
      <c r="B2555" t="s">
        <v>13402</v>
      </c>
      <c r="C2555" t="str">
        <f>"9780773522541"</f>
        <v>9780773522541</v>
      </c>
      <c r="D2555" t="str">
        <f>"9780773569584"</f>
        <v>9780773569584</v>
      </c>
      <c r="E2555" t="s">
        <v>12863</v>
      </c>
      <c r="F2555" t="s">
        <v>12863</v>
      </c>
      <c r="G2555" s="1">
        <v>37188</v>
      </c>
      <c r="I2555" t="s">
        <v>13288</v>
      </c>
      <c r="J2555" t="s">
        <v>13403</v>
      </c>
      <c r="K2555" t="s">
        <v>291</v>
      </c>
      <c r="L2555" t="s">
        <v>13404</v>
      </c>
      <c r="M2555">
        <v>971.428</v>
      </c>
      <c r="N2555" t="s">
        <v>13405</v>
      </c>
      <c r="O2555" t="s">
        <v>26</v>
      </c>
      <c r="P2555">
        <v>142.5</v>
      </c>
      <c r="Q2555">
        <v>118.75</v>
      </c>
      <c r="R2555">
        <v>95</v>
      </c>
      <c r="S2555">
        <v>142.5</v>
      </c>
      <c r="T2555" t="s">
        <v>13406</v>
      </c>
    </row>
    <row r="2556" spans="1:20">
      <c r="A2556">
        <v>3330609</v>
      </c>
      <c r="B2556" t="s">
        <v>13407</v>
      </c>
      <c r="C2556" t="str">
        <f>"9780773521025"</f>
        <v>9780773521025</v>
      </c>
      <c r="D2556" t="str">
        <f>"9780773568754"</f>
        <v>9780773568754</v>
      </c>
      <c r="E2556" t="s">
        <v>12863</v>
      </c>
      <c r="F2556" t="s">
        <v>12863</v>
      </c>
      <c r="G2556" s="1">
        <v>37203</v>
      </c>
      <c r="J2556" t="s">
        <v>13408</v>
      </c>
      <c r="K2556" t="s">
        <v>1471</v>
      </c>
      <c r="L2556" t="s">
        <v>13409</v>
      </c>
      <c r="M2556">
        <v>780.92</v>
      </c>
      <c r="N2556" t="s">
        <v>13410</v>
      </c>
      <c r="O2556" t="s">
        <v>26</v>
      </c>
      <c r="P2556">
        <v>142.5</v>
      </c>
      <c r="Q2556">
        <v>118.75</v>
      </c>
      <c r="R2556">
        <v>95</v>
      </c>
      <c r="S2556">
        <v>142.5</v>
      </c>
      <c r="T2556" t="s">
        <v>13411</v>
      </c>
    </row>
    <row r="2557" spans="1:20">
      <c r="A2557">
        <v>3330610</v>
      </c>
      <c r="B2557" t="s">
        <v>13412</v>
      </c>
      <c r="C2557" t="str">
        <f>"9780773522572"</f>
        <v>9780773522572</v>
      </c>
      <c r="D2557" t="str">
        <f>"9780773569614"</f>
        <v>9780773569614</v>
      </c>
      <c r="E2557" t="s">
        <v>12863</v>
      </c>
      <c r="F2557" t="s">
        <v>12863</v>
      </c>
      <c r="G2557" s="1">
        <v>37181</v>
      </c>
      <c r="J2557" t="s">
        <v>13413</v>
      </c>
      <c r="K2557" t="s">
        <v>263</v>
      </c>
      <c r="L2557" t="s">
        <v>13414</v>
      </c>
      <c r="M2557">
        <v>304.81</v>
      </c>
      <c r="N2557" t="s">
        <v>13415</v>
      </c>
      <c r="O2557" t="s">
        <v>26</v>
      </c>
      <c r="P2557">
        <v>142.5</v>
      </c>
      <c r="Q2557">
        <v>118.75</v>
      </c>
      <c r="R2557">
        <v>95</v>
      </c>
      <c r="S2557">
        <v>142.5</v>
      </c>
      <c r="T2557" t="s">
        <v>13416</v>
      </c>
    </row>
    <row r="2558" spans="1:20">
      <c r="A2558">
        <v>3330611</v>
      </c>
      <c r="B2558" t="s">
        <v>13417</v>
      </c>
      <c r="C2558" t="str">
        <f>"9780773527119"</f>
        <v>9780773527119</v>
      </c>
      <c r="D2558" t="str">
        <f>"9780773571945"</f>
        <v>9780773571945</v>
      </c>
      <c r="E2558" t="s">
        <v>12863</v>
      </c>
      <c r="F2558" t="s">
        <v>12863</v>
      </c>
      <c r="G2558" s="1">
        <v>38225</v>
      </c>
      <c r="I2558" t="s">
        <v>12886</v>
      </c>
      <c r="J2558" t="s">
        <v>13418</v>
      </c>
      <c r="K2558" t="s">
        <v>6813</v>
      </c>
      <c r="L2558" t="s">
        <v>13419</v>
      </c>
      <c r="M2558">
        <v>305.6771</v>
      </c>
      <c r="N2558" t="s">
        <v>13420</v>
      </c>
      <c r="O2558" t="s">
        <v>26</v>
      </c>
      <c r="P2558">
        <v>142.5</v>
      </c>
      <c r="Q2558">
        <v>118.75</v>
      </c>
      <c r="R2558">
        <v>95</v>
      </c>
      <c r="S2558">
        <v>142.5</v>
      </c>
      <c r="T2558" t="s">
        <v>13421</v>
      </c>
    </row>
    <row r="2559" spans="1:20">
      <c r="A2559">
        <v>3330612</v>
      </c>
      <c r="B2559" t="s">
        <v>13422</v>
      </c>
      <c r="C2559" t="str">
        <f>"9780773521865"</f>
        <v>9780773521865</v>
      </c>
      <c r="D2559" t="str">
        <f>"9780773569232"</f>
        <v>9780773569232</v>
      </c>
      <c r="E2559" t="s">
        <v>12863</v>
      </c>
      <c r="F2559" t="s">
        <v>12863</v>
      </c>
      <c r="G2559" s="1">
        <v>37005</v>
      </c>
      <c r="J2559" t="s">
        <v>13423</v>
      </c>
      <c r="K2559" t="s">
        <v>257</v>
      </c>
      <c r="L2559" t="s">
        <v>13424</v>
      </c>
      <c r="M2559">
        <v>378.00099999999998</v>
      </c>
      <c r="N2559" t="s">
        <v>13425</v>
      </c>
      <c r="O2559" t="s">
        <v>26</v>
      </c>
      <c r="P2559">
        <v>142.5</v>
      </c>
      <c r="Q2559">
        <v>118.75</v>
      </c>
      <c r="R2559">
        <v>95</v>
      </c>
      <c r="S2559">
        <v>142.5</v>
      </c>
      <c r="T2559" t="s">
        <v>13426</v>
      </c>
    </row>
    <row r="2560" spans="1:20">
      <c r="A2560">
        <v>3330613</v>
      </c>
      <c r="B2560" t="s">
        <v>13427</v>
      </c>
      <c r="C2560" t="str">
        <f>"9780773522107"</f>
        <v>9780773522107</v>
      </c>
      <c r="D2560" t="str">
        <f>"9780773569355"</f>
        <v>9780773569355</v>
      </c>
      <c r="E2560" t="s">
        <v>12863</v>
      </c>
      <c r="F2560" t="s">
        <v>12863</v>
      </c>
      <c r="G2560" s="1">
        <v>37154</v>
      </c>
      <c r="I2560" t="s">
        <v>12864</v>
      </c>
      <c r="J2560" t="s">
        <v>13428</v>
      </c>
      <c r="K2560" t="s">
        <v>1445</v>
      </c>
      <c r="L2560" t="s">
        <v>13429</v>
      </c>
      <c r="M2560">
        <v>362.19699400971001</v>
      </c>
      <c r="N2560" t="s">
        <v>13430</v>
      </c>
      <c r="O2560" t="s">
        <v>26</v>
      </c>
      <c r="P2560">
        <v>142.5</v>
      </c>
      <c r="Q2560">
        <v>118.75</v>
      </c>
      <c r="R2560">
        <v>95</v>
      </c>
      <c r="S2560">
        <v>142.5</v>
      </c>
      <c r="T2560" t="s">
        <v>13431</v>
      </c>
    </row>
    <row r="2561" spans="1:20">
      <c r="A2561">
        <v>3330614</v>
      </c>
      <c r="B2561" t="s">
        <v>13432</v>
      </c>
      <c r="C2561" t="str">
        <f>"9780773522916"</f>
        <v>9780773522916</v>
      </c>
      <c r="D2561" t="str">
        <f>"9780773569799"</f>
        <v>9780773569799</v>
      </c>
      <c r="E2561" t="s">
        <v>12907</v>
      </c>
      <c r="F2561" t="s">
        <v>12907</v>
      </c>
      <c r="G2561" s="1">
        <v>37398</v>
      </c>
      <c r="I2561" t="s">
        <v>12942</v>
      </c>
      <c r="J2561" t="s">
        <v>13433</v>
      </c>
      <c r="K2561" t="s">
        <v>1471</v>
      </c>
      <c r="L2561" t="s">
        <v>13434</v>
      </c>
      <c r="M2561" t="s">
        <v>13435</v>
      </c>
      <c r="N2561" t="s">
        <v>13436</v>
      </c>
      <c r="O2561" t="s">
        <v>26</v>
      </c>
      <c r="P2561">
        <v>142.5</v>
      </c>
      <c r="Q2561">
        <v>118.75</v>
      </c>
      <c r="R2561">
        <v>95</v>
      </c>
      <c r="S2561">
        <v>142.5</v>
      </c>
      <c r="T2561" t="s">
        <v>13437</v>
      </c>
    </row>
    <row r="2562" spans="1:20">
      <c r="A2562">
        <v>3330615</v>
      </c>
      <c r="B2562" t="s">
        <v>13438</v>
      </c>
      <c r="C2562" t="str">
        <f>"9780773522343"</f>
        <v>9780773522343</v>
      </c>
      <c r="D2562" t="str">
        <f>"9780773569492"</f>
        <v>9780773569492</v>
      </c>
      <c r="E2562" t="s">
        <v>12863</v>
      </c>
      <c r="F2562" t="s">
        <v>12863</v>
      </c>
      <c r="G2562" s="1">
        <v>37173</v>
      </c>
      <c r="J2562" t="s">
        <v>13439</v>
      </c>
      <c r="K2562" t="s">
        <v>11854</v>
      </c>
      <c r="L2562" t="s">
        <v>13440</v>
      </c>
      <c r="M2562">
        <v>891.70935799999995</v>
      </c>
      <c r="N2562" t="s">
        <v>13441</v>
      </c>
      <c r="O2562" t="s">
        <v>26</v>
      </c>
      <c r="P2562">
        <v>142.5</v>
      </c>
      <c r="Q2562">
        <v>118.75</v>
      </c>
      <c r="R2562">
        <v>95</v>
      </c>
      <c r="S2562">
        <v>142.5</v>
      </c>
      <c r="T2562" t="s">
        <v>13442</v>
      </c>
    </row>
    <row r="2563" spans="1:20">
      <c r="A2563">
        <v>3330616</v>
      </c>
      <c r="B2563" t="s">
        <v>13443</v>
      </c>
      <c r="C2563" t="str">
        <f>"9780773525849"</f>
        <v>9780773525849</v>
      </c>
      <c r="D2563" t="str">
        <f>"9780773571273"</f>
        <v>9780773571273</v>
      </c>
      <c r="E2563" t="s">
        <v>12863</v>
      </c>
      <c r="F2563" t="s">
        <v>12863</v>
      </c>
      <c r="G2563" s="1">
        <v>37734</v>
      </c>
      <c r="K2563" t="s">
        <v>1530</v>
      </c>
      <c r="L2563" t="s">
        <v>13444</v>
      </c>
      <c r="M2563">
        <v>973.93108911000002</v>
      </c>
      <c r="N2563" t="s">
        <v>13445</v>
      </c>
      <c r="O2563" t="s">
        <v>26</v>
      </c>
      <c r="P2563">
        <v>142.5</v>
      </c>
      <c r="Q2563">
        <v>118.75</v>
      </c>
      <c r="R2563">
        <v>95</v>
      </c>
      <c r="S2563">
        <v>142.5</v>
      </c>
      <c r="T2563" t="s">
        <v>13446</v>
      </c>
    </row>
    <row r="2564" spans="1:20">
      <c r="A2564">
        <v>3330617</v>
      </c>
      <c r="B2564" t="s">
        <v>13447</v>
      </c>
      <c r="C2564" t="str">
        <f>"9780773520677"</f>
        <v>9780773520677</v>
      </c>
      <c r="D2564" t="str">
        <f>"9780773568556"</f>
        <v>9780773568556</v>
      </c>
      <c r="E2564" t="s">
        <v>12863</v>
      </c>
      <c r="F2564" t="s">
        <v>12863</v>
      </c>
      <c r="G2564" s="1">
        <v>36770</v>
      </c>
      <c r="J2564" t="s">
        <v>13448</v>
      </c>
      <c r="K2564" t="s">
        <v>13449</v>
      </c>
      <c r="L2564" t="s">
        <v>13450</v>
      </c>
      <c r="M2564">
        <v>660.29687000000001</v>
      </c>
      <c r="N2564" t="s">
        <v>13451</v>
      </c>
      <c r="O2564" t="s">
        <v>26</v>
      </c>
      <c r="P2564">
        <v>142.5</v>
      </c>
      <c r="Q2564">
        <v>118.75</v>
      </c>
      <c r="R2564">
        <v>95</v>
      </c>
      <c r="S2564">
        <v>142.5</v>
      </c>
      <c r="T2564" t="s">
        <v>13452</v>
      </c>
    </row>
    <row r="2565" spans="1:20">
      <c r="A2565">
        <v>3330618</v>
      </c>
      <c r="B2565" t="s">
        <v>13453</v>
      </c>
      <c r="C2565" t="str">
        <f>"9780773521612"</f>
        <v>9780773521612</v>
      </c>
      <c r="D2565" t="str">
        <f>"9780773569041"</f>
        <v>9780773569041</v>
      </c>
      <c r="E2565" t="s">
        <v>12863</v>
      </c>
      <c r="F2565" t="s">
        <v>12863</v>
      </c>
      <c r="G2565" s="1">
        <v>37015</v>
      </c>
      <c r="J2565" t="s">
        <v>13454</v>
      </c>
      <c r="K2565" t="s">
        <v>3939</v>
      </c>
      <c r="L2565" t="s">
        <v>13455</v>
      </c>
      <c r="M2565">
        <v>821.00900000000001</v>
      </c>
      <c r="N2565" t="s">
        <v>13456</v>
      </c>
      <c r="O2565" t="s">
        <v>26</v>
      </c>
      <c r="P2565">
        <v>142.5</v>
      </c>
      <c r="Q2565">
        <v>118.75</v>
      </c>
      <c r="R2565">
        <v>95</v>
      </c>
      <c r="S2565">
        <v>142.5</v>
      </c>
      <c r="T2565" t="s">
        <v>13457</v>
      </c>
    </row>
    <row r="2566" spans="1:20">
      <c r="A2566">
        <v>3330619</v>
      </c>
      <c r="B2566" t="s">
        <v>13458</v>
      </c>
      <c r="C2566" t="str">
        <f>"9780773522848"</f>
        <v>9780773522848</v>
      </c>
      <c r="D2566" t="str">
        <f>"9780773569744"</f>
        <v>9780773569744</v>
      </c>
      <c r="E2566" t="s">
        <v>12863</v>
      </c>
      <c r="F2566" t="s">
        <v>12863</v>
      </c>
      <c r="G2566" s="1">
        <v>37342</v>
      </c>
      <c r="J2566" t="s">
        <v>13459</v>
      </c>
      <c r="K2566" t="s">
        <v>305</v>
      </c>
      <c r="L2566" t="s">
        <v>13460</v>
      </c>
      <c r="M2566">
        <v>383.4</v>
      </c>
      <c r="N2566" t="s">
        <v>13461</v>
      </c>
      <c r="O2566" t="s">
        <v>26</v>
      </c>
      <c r="P2566">
        <v>142.5</v>
      </c>
      <c r="Q2566">
        <v>118.75</v>
      </c>
      <c r="R2566">
        <v>95</v>
      </c>
      <c r="S2566">
        <v>142.5</v>
      </c>
      <c r="T2566" t="s">
        <v>13462</v>
      </c>
    </row>
    <row r="2567" spans="1:20">
      <c r="A2567">
        <v>3330620</v>
      </c>
      <c r="B2567" t="s">
        <v>13463</v>
      </c>
      <c r="C2567" t="str">
        <f>"9780773522091"</f>
        <v>9780773522091</v>
      </c>
      <c r="D2567" t="str">
        <f>"9780773569348"</f>
        <v>9780773569348</v>
      </c>
      <c r="E2567" t="s">
        <v>12863</v>
      </c>
      <c r="F2567" t="s">
        <v>12863</v>
      </c>
      <c r="G2567" s="1">
        <v>37036</v>
      </c>
      <c r="J2567" t="s">
        <v>13464</v>
      </c>
      <c r="K2567" t="s">
        <v>291</v>
      </c>
      <c r="L2567" t="s">
        <v>13465</v>
      </c>
      <c r="M2567" t="s">
        <v>13466</v>
      </c>
      <c r="N2567" t="s">
        <v>13467</v>
      </c>
      <c r="O2567" t="s">
        <v>26</v>
      </c>
      <c r="P2567">
        <v>127.5</v>
      </c>
      <c r="Q2567">
        <v>106.25</v>
      </c>
      <c r="R2567">
        <v>85</v>
      </c>
      <c r="S2567">
        <v>127.5</v>
      </c>
      <c r="T2567" t="s">
        <v>13468</v>
      </c>
    </row>
    <row r="2568" spans="1:20">
      <c r="A2568">
        <v>3330621</v>
      </c>
      <c r="B2568" t="s">
        <v>13469</v>
      </c>
      <c r="C2568" t="str">
        <f>"9780773524378"</f>
        <v>9780773524378</v>
      </c>
      <c r="D2568" t="str">
        <f>"9780773570597"</f>
        <v>9780773570597</v>
      </c>
      <c r="E2568" t="s">
        <v>12863</v>
      </c>
      <c r="F2568" t="s">
        <v>12863</v>
      </c>
      <c r="G2568" s="1">
        <v>37530</v>
      </c>
      <c r="J2568" t="s">
        <v>13470</v>
      </c>
      <c r="K2568" t="s">
        <v>263</v>
      </c>
      <c r="L2568" t="s">
        <v>13471</v>
      </c>
      <c r="M2568">
        <v>363.34011199999998</v>
      </c>
      <c r="N2568" t="s">
        <v>13472</v>
      </c>
      <c r="O2568" t="s">
        <v>26</v>
      </c>
      <c r="P2568">
        <v>142.5</v>
      </c>
      <c r="Q2568">
        <v>118.75</v>
      </c>
      <c r="R2568">
        <v>95</v>
      </c>
      <c r="S2568">
        <v>142.5</v>
      </c>
      <c r="T2568" t="s">
        <v>13473</v>
      </c>
    </row>
    <row r="2569" spans="1:20">
      <c r="A2569">
        <v>3330622</v>
      </c>
      <c r="B2569" t="s">
        <v>13474</v>
      </c>
      <c r="C2569" t="str">
        <f>"9780773525184"</f>
        <v>9780773525184</v>
      </c>
      <c r="D2569" t="str">
        <f>"9780773570900"</f>
        <v>9780773570900</v>
      </c>
      <c r="E2569" t="s">
        <v>12907</v>
      </c>
      <c r="F2569" t="s">
        <v>12907</v>
      </c>
      <c r="G2569" s="1">
        <v>37728</v>
      </c>
      <c r="J2569" t="s">
        <v>13475</v>
      </c>
      <c r="K2569" t="s">
        <v>525</v>
      </c>
      <c r="L2569" t="s">
        <v>13476</v>
      </c>
      <c r="M2569" t="s">
        <v>13477</v>
      </c>
      <c r="N2569" t="s">
        <v>13478</v>
      </c>
      <c r="O2569" t="s">
        <v>26</v>
      </c>
      <c r="P2569">
        <v>142.5</v>
      </c>
      <c r="Q2569">
        <v>118.75</v>
      </c>
      <c r="R2569">
        <v>95</v>
      </c>
      <c r="S2569">
        <v>142.5</v>
      </c>
      <c r="T2569" t="s">
        <v>13479</v>
      </c>
    </row>
    <row r="2570" spans="1:20">
      <c r="A2570">
        <v>3330623</v>
      </c>
      <c r="B2570" t="s">
        <v>13480</v>
      </c>
      <c r="C2570" t="str">
        <f>"9780773525337"</f>
        <v>9780773525337</v>
      </c>
      <c r="D2570" t="str">
        <f>"9780773571013"</f>
        <v>9780773571013</v>
      </c>
      <c r="E2570" t="s">
        <v>12863</v>
      </c>
      <c r="F2570" t="s">
        <v>12863</v>
      </c>
      <c r="G2570" s="1">
        <v>37753</v>
      </c>
      <c r="J2570" t="s">
        <v>13481</v>
      </c>
      <c r="K2570" t="s">
        <v>467</v>
      </c>
      <c r="L2570" t="s">
        <v>13482</v>
      </c>
      <c r="M2570">
        <v>320.971</v>
      </c>
      <c r="N2570" t="s">
        <v>13483</v>
      </c>
      <c r="O2570" t="s">
        <v>26</v>
      </c>
      <c r="P2570">
        <v>142.5</v>
      </c>
      <c r="Q2570">
        <v>118.75</v>
      </c>
      <c r="R2570">
        <v>95</v>
      </c>
      <c r="S2570">
        <v>142.5</v>
      </c>
      <c r="T2570" t="s">
        <v>13484</v>
      </c>
    </row>
    <row r="2571" spans="1:20">
      <c r="A2571">
        <v>3330624</v>
      </c>
      <c r="B2571" t="s">
        <v>13485</v>
      </c>
      <c r="C2571" t="str">
        <f>"9780773510296"</f>
        <v>9780773510296</v>
      </c>
      <c r="D2571" t="str">
        <f>"9780773564220"</f>
        <v>9780773564220</v>
      </c>
      <c r="E2571" t="s">
        <v>12863</v>
      </c>
      <c r="F2571" t="s">
        <v>12863</v>
      </c>
      <c r="G2571" s="1">
        <v>36910</v>
      </c>
      <c r="I2571" t="s">
        <v>12963</v>
      </c>
      <c r="J2571" t="s">
        <v>13486</v>
      </c>
      <c r="K2571" t="s">
        <v>1892</v>
      </c>
      <c r="L2571" t="s">
        <v>13487</v>
      </c>
      <c r="M2571" t="s">
        <v>13488</v>
      </c>
      <c r="N2571" t="s">
        <v>13489</v>
      </c>
      <c r="O2571" t="s">
        <v>26</v>
      </c>
      <c r="P2571">
        <v>127.5</v>
      </c>
      <c r="Q2571">
        <v>106.25</v>
      </c>
      <c r="R2571">
        <v>85</v>
      </c>
      <c r="S2571">
        <v>127.5</v>
      </c>
      <c r="T2571" t="s">
        <v>13490</v>
      </c>
    </row>
    <row r="2572" spans="1:20">
      <c r="A2572">
        <v>3330625</v>
      </c>
      <c r="B2572" t="s">
        <v>13491</v>
      </c>
      <c r="C2572" t="str">
        <f>"9780773525283"</f>
        <v>9780773525283</v>
      </c>
      <c r="D2572" t="str">
        <f>"9780773570979"</f>
        <v>9780773570979</v>
      </c>
      <c r="E2572" t="s">
        <v>12863</v>
      </c>
      <c r="F2572" t="s">
        <v>12863</v>
      </c>
      <c r="G2572" s="1">
        <v>37767</v>
      </c>
      <c r="J2572" t="s">
        <v>13492</v>
      </c>
      <c r="K2572" t="s">
        <v>13493</v>
      </c>
      <c r="L2572" t="s">
        <v>13494</v>
      </c>
      <c r="M2572">
        <v>801.95</v>
      </c>
      <c r="N2572" t="s">
        <v>13495</v>
      </c>
      <c r="O2572" t="s">
        <v>26</v>
      </c>
      <c r="P2572">
        <v>142.5</v>
      </c>
      <c r="Q2572">
        <v>118.75</v>
      </c>
      <c r="R2572">
        <v>95</v>
      </c>
      <c r="S2572">
        <v>142.5</v>
      </c>
      <c r="T2572" t="s">
        <v>13496</v>
      </c>
    </row>
    <row r="2573" spans="1:20">
      <c r="A2573">
        <v>3330626</v>
      </c>
      <c r="B2573" t="s">
        <v>13497</v>
      </c>
      <c r="C2573" t="str">
        <f>"9780773527096"</f>
        <v>9780773527096</v>
      </c>
      <c r="D2573" t="str">
        <f>"9780773571921"</f>
        <v>9780773571921</v>
      </c>
      <c r="E2573" t="s">
        <v>12863</v>
      </c>
      <c r="F2573" t="s">
        <v>12863</v>
      </c>
      <c r="G2573" s="1">
        <v>38293</v>
      </c>
      <c r="J2573" t="s">
        <v>13498</v>
      </c>
      <c r="K2573" t="s">
        <v>1464</v>
      </c>
      <c r="L2573" t="s">
        <v>13499</v>
      </c>
      <c r="M2573">
        <v>858.30899999999997</v>
      </c>
      <c r="N2573" t="s">
        <v>13500</v>
      </c>
      <c r="O2573" t="s">
        <v>26</v>
      </c>
      <c r="P2573">
        <v>82.5</v>
      </c>
      <c r="Q2573">
        <v>68.75</v>
      </c>
      <c r="R2573">
        <v>55</v>
      </c>
      <c r="S2573">
        <v>82.5</v>
      </c>
      <c r="T2573" t="s">
        <v>13501</v>
      </c>
    </row>
    <row r="2574" spans="1:20">
      <c r="A2574">
        <v>3330627</v>
      </c>
      <c r="B2574" t="s">
        <v>13502</v>
      </c>
      <c r="C2574" t="str">
        <f>"9780773526082"</f>
        <v>9780773526082</v>
      </c>
      <c r="D2574" t="str">
        <f>"9780773571440"</f>
        <v>9780773571440</v>
      </c>
      <c r="E2574" t="s">
        <v>12863</v>
      </c>
      <c r="F2574" t="s">
        <v>12863</v>
      </c>
      <c r="G2574" s="1">
        <v>38001</v>
      </c>
      <c r="J2574" t="s">
        <v>13355</v>
      </c>
      <c r="K2574" t="s">
        <v>1550</v>
      </c>
      <c r="L2574" t="s">
        <v>13503</v>
      </c>
      <c r="M2574">
        <v>971.06299999999999</v>
      </c>
      <c r="N2574" t="s">
        <v>13504</v>
      </c>
      <c r="O2574" t="s">
        <v>26</v>
      </c>
      <c r="P2574">
        <v>142.5</v>
      </c>
      <c r="Q2574">
        <v>118.75</v>
      </c>
      <c r="R2574">
        <v>95</v>
      </c>
      <c r="S2574">
        <v>142.5</v>
      </c>
      <c r="T2574" t="s">
        <v>13505</v>
      </c>
    </row>
    <row r="2575" spans="1:20">
      <c r="A2575">
        <v>3330628</v>
      </c>
      <c r="B2575" t="s">
        <v>13506</v>
      </c>
      <c r="C2575" t="str">
        <f>"9780773522169"</f>
        <v>9780773522169</v>
      </c>
      <c r="D2575" t="str">
        <f>"9780773569393"</f>
        <v>9780773569393</v>
      </c>
      <c r="E2575" t="s">
        <v>12863</v>
      </c>
      <c r="F2575" t="s">
        <v>12863</v>
      </c>
      <c r="G2575" s="1">
        <v>37054</v>
      </c>
      <c r="J2575" t="s">
        <v>13507</v>
      </c>
      <c r="K2575" t="s">
        <v>291</v>
      </c>
      <c r="L2575" t="s">
        <v>13508</v>
      </c>
      <c r="M2575" t="s">
        <v>13509</v>
      </c>
      <c r="N2575" t="s">
        <v>13510</v>
      </c>
      <c r="O2575" t="s">
        <v>26</v>
      </c>
      <c r="P2575">
        <v>44.93</v>
      </c>
      <c r="Q2575">
        <v>37.44</v>
      </c>
      <c r="R2575">
        <v>29.95</v>
      </c>
      <c r="S2575">
        <v>44.93</v>
      </c>
      <c r="T2575" t="s">
        <v>13511</v>
      </c>
    </row>
    <row r="2576" spans="1:20">
      <c r="A2576">
        <v>3330629</v>
      </c>
      <c r="B2576" t="s">
        <v>13512</v>
      </c>
      <c r="C2576" t="str">
        <f>"9780773523937"</f>
        <v>9780773523937</v>
      </c>
      <c r="D2576" t="str">
        <f>"9780773570337"</f>
        <v>9780773570337</v>
      </c>
      <c r="E2576" t="s">
        <v>12907</v>
      </c>
      <c r="F2576" t="s">
        <v>12907</v>
      </c>
      <c r="G2576" s="1">
        <v>37559</v>
      </c>
      <c r="J2576" t="s">
        <v>13513</v>
      </c>
      <c r="K2576" t="s">
        <v>291</v>
      </c>
      <c r="L2576" t="s">
        <v>13514</v>
      </c>
      <c r="M2576">
        <v>971.4</v>
      </c>
      <c r="N2576" t="s">
        <v>13515</v>
      </c>
      <c r="O2576" t="s">
        <v>26</v>
      </c>
      <c r="P2576">
        <v>142.5</v>
      </c>
      <c r="Q2576">
        <v>118.75</v>
      </c>
      <c r="R2576">
        <v>95</v>
      </c>
      <c r="S2576">
        <v>142.5</v>
      </c>
      <c r="T2576" t="s">
        <v>13516</v>
      </c>
    </row>
    <row r="2577" spans="1:20">
      <c r="A2577">
        <v>3330630</v>
      </c>
      <c r="B2577" t="s">
        <v>13517</v>
      </c>
      <c r="C2577" t="str">
        <f>"9780773524347"</f>
        <v>9780773524347</v>
      </c>
      <c r="D2577" t="str">
        <f>"9780773570573"</f>
        <v>9780773570573</v>
      </c>
      <c r="E2577" t="s">
        <v>12863</v>
      </c>
      <c r="F2577" t="s">
        <v>12863</v>
      </c>
      <c r="G2577" s="1">
        <v>37509</v>
      </c>
      <c r="J2577" t="s">
        <v>13518</v>
      </c>
      <c r="K2577" t="s">
        <v>525</v>
      </c>
      <c r="L2577" t="s">
        <v>13519</v>
      </c>
      <c r="M2577" t="s">
        <v>13520</v>
      </c>
      <c r="N2577" t="s">
        <v>13521</v>
      </c>
      <c r="O2577" t="s">
        <v>26</v>
      </c>
      <c r="P2577">
        <v>142.5</v>
      </c>
      <c r="Q2577">
        <v>118.75</v>
      </c>
      <c r="R2577">
        <v>95</v>
      </c>
      <c r="S2577">
        <v>142.5</v>
      </c>
      <c r="T2577" t="s">
        <v>13522</v>
      </c>
    </row>
    <row r="2578" spans="1:20">
      <c r="A2578">
        <v>3330631</v>
      </c>
      <c r="B2578" t="s">
        <v>13523</v>
      </c>
      <c r="C2578" t="str">
        <f>"9780773525023"</f>
        <v>9780773525023</v>
      </c>
      <c r="D2578" t="str">
        <f>"9780773570795"</f>
        <v>9780773570795</v>
      </c>
      <c r="E2578" t="s">
        <v>12863</v>
      </c>
      <c r="F2578" t="s">
        <v>12863</v>
      </c>
      <c r="G2578" s="1">
        <v>37767</v>
      </c>
      <c r="I2578" t="s">
        <v>12864</v>
      </c>
      <c r="J2578" t="s">
        <v>13524</v>
      </c>
      <c r="K2578" t="s">
        <v>1082</v>
      </c>
      <c r="L2578" t="s">
        <v>13525</v>
      </c>
      <c r="M2578">
        <v>362.16097109999998</v>
      </c>
      <c r="N2578" t="s">
        <v>13526</v>
      </c>
      <c r="O2578" t="s">
        <v>26</v>
      </c>
      <c r="P2578">
        <v>142.5</v>
      </c>
      <c r="Q2578">
        <v>118.75</v>
      </c>
      <c r="R2578">
        <v>95</v>
      </c>
      <c r="S2578">
        <v>142.5</v>
      </c>
      <c r="T2578" t="s">
        <v>13527</v>
      </c>
    </row>
    <row r="2579" spans="1:20">
      <c r="A2579">
        <v>3330632</v>
      </c>
      <c r="B2579" t="s">
        <v>13528</v>
      </c>
      <c r="C2579" t="str">
        <f>"9780773523289"</f>
        <v>9780773523289</v>
      </c>
      <c r="D2579" t="str">
        <f>"9780773569966"</f>
        <v>9780773569966</v>
      </c>
      <c r="E2579" t="s">
        <v>12863</v>
      </c>
      <c r="F2579" t="s">
        <v>12863</v>
      </c>
      <c r="G2579" s="1">
        <v>37327</v>
      </c>
      <c r="J2579" t="s">
        <v>13529</v>
      </c>
      <c r="K2579" t="s">
        <v>291</v>
      </c>
      <c r="L2579" t="s">
        <v>13530</v>
      </c>
      <c r="M2579" t="s">
        <v>13531</v>
      </c>
      <c r="N2579" t="s">
        <v>13532</v>
      </c>
      <c r="O2579" t="s">
        <v>26</v>
      </c>
      <c r="P2579">
        <v>142.5</v>
      </c>
      <c r="Q2579">
        <v>118.75</v>
      </c>
      <c r="R2579">
        <v>95</v>
      </c>
      <c r="S2579">
        <v>142.5</v>
      </c>
      <c r="T2579" t="s">
        <v>13533</v>
      </c>
    </row>
    <row r="2580" spans="1:20">
      <c r="A2580">
        <v>3330633</v>
      </c>
      <c r="B2580" t="s">
        <v>13534</v>
      </c>
      <c r="C2580" t="str">
        <f>"9780773528093"</f>
        <v>9780773528093</v>
      </c>
      <c r="D2580" t="str">
        <f>"9780773572355"</f>
        <v>9780773572355</v>
      </c>
      <c r="E2580" t="s">
        <v>12863</v>
      </c>
      <c r="F2580" t="s">
        <v>12863</v>
      </c>
      <c r="G2580" s="1">
        <v>38329</v>
      </c>
      <c r="J2580" t="s">
        <v>13535</v>
      </c>
      <c r="K2580" t="s">
        <v>525</v>
      </c>
      <c r="L2580" t="s">
        <v>13536</v>
      </c>
      <c r="M2580">
        <v>340.09199999999998</v>
      </c>
      <c r="N2580" t="s">
        <v>13537</v>
      </c>
      <c r="O2580" t="s">
        <v>26</v>
      </c>
      <c r="P2580">
        <v>142.5</v>
      </c>
      <c r="Q2580">
        <v>118.75</v>
      </c>
      <c r="R2580">
        <v>95</v>
      </c>
      <c r="S2580">
        <v>142.5</v>
      </c>
      <c r="T2580" t="s">
        <v>13538</v>
      </c>
    </row>
    <row r="2581" spans="1:20">
      <c r="A2581">
        <v>3330634</v>
      </c>
      <c r="B2581" t="s">
        <v>13539</v>
      </c>
      <c r="C2581" t="str">
        <f>"9780773525030"</f>
        <v>9780773525030</v>
      </c>
      <c r="D2581" t="str">
        <f>"9780773570801"</f>
        <v>9780773570801</v>
      </c>
      <c r="E2581" t="s">
        <v>12863</v>
      </c>
      <c r="F2581" t="s">
        <v>12863</v>
      </c>
      <c r="G2581" s="1">
        <v>38173</v>
      </c>
      <c r="I2581" t="s">
        <v>13540</v>
      </c>
      <c r="J2581" t="s">
        <v>13541</v>
      </c>
      <c r="K2581" t="s">
        <v>7838</v>
      </c>
      <c r="L2581" t="s">
        <v>13542</v>
      </c>
      <c r="M2581">
        <v>720.1</v>
      </c>
      <c r="N2581" t="s">
        <v>13543</v>
      </c>
      <c r="O2581" t="s">
        <v>26</v>
      </c>
      <c r="P2581">
        <v>142.5</v>
      </c>
      <c r="Q2581">
        <v>118.75</v>
      </c>
      <c r="R2581">
        <v>95</v>
      </c>
      <c r="S2581">
        <v>142.5</v>
      </c>
      <c r="T2581" t="s">
        <v>13544</v>
      </c>
    </row>
    <row r="2582" spans="1:20">
      <c r="A2582">
        <v>3330635</v>
      </c>
      <c r="B2582" t="s">
        <v>13545</v>
      </c>
      <c r="C2582" t="str">
        <f>"9780773525078"</f>
        <v>9780773525078</v>
      </c>
      <c r="D2582" t="str">
        <f>"9780773570825"</f>
        <v>9780773570825</v>
      </c>
      <c r="E2582" t="s">
        <v>12863</v>
      </c>
      <c r="F2582" t="s">
        <v>12863</v>
      </c>
      <c r="G2582" s="1">
        <v>37785</v>
      </c>
      <c r="J2582" t="s">
        <v>13546</v>
      </c>
      <c r="K2582" t="s">
        <v>467</v>
      </c>
      <c r="L2582" t="s">
        <v>13547</v>
      </c>
      <c r="M2582">
        <v>328.30399999999997</v>
      </c>
      <c r="N2582" t="s">
        <v>13548</v>
      </c>
      <c r="O2582" t="s">
        <v>26</v>
      </c>
      <c r="P2582">
        <v>142.5</v>
      </c>
      <c r="Q2582">
        <v>118.75</v>
      </c>
      <c r="R2582">
        <v>95</v>
      </c>
      <c r="S2582">
        <v>142.5</v>
      </c>
      <c r="T2582" t="s">
        <v>13549</v>
      </c>
    </row>
    <row r="2583" spans="1:20">
      <c r="A2583">
        <v>3330636</v>
      </c>
      <c r="B2583" t="s">
        <v>13550</v>
      </c>
      <c r="C2583" t="str">
        <f>"9780773527959"</f>
        <v>9780773527959</v>
      </c>
      <c r="D2583" t="str">
        <f>"9780773572256"</f>
        <v>9780773572256</v>
      </c>
      <c r="E2583" t="s">
        <v>12863</v>
      </c>
      <c r="F2583" t="s">
        <v>12863</v>
      </c>
      <c r="G2583" s="1">
        <v>38230</v>
      </c>
      <c r="J2583" t="s">
        <v>13551</v>
      </c>
      <c r="K2583" t="s">
        <v>376</v>
      </c>
      <c r="L2583" t="s">
        <v>13552</v>
      </c>
      <c r="M2583">
        <v>362.101</v>
      </c>
      <c r="N2583" t="s">
        <v>13553</v>
      </c>
      <c r="O2583" t="s">
        <v>26</v>
      </c>
      <c r="P2583">
        <v>29.93</v>
      </c>
      <c r="Q2583">
        <v>24.94</v>
      </c>
      <c r="R2583">
        <v>19.95</v>
      </c>
      <c r="S2583">
        <v>29.93</v>
      </c>
      <c r="T2583" t="s">
        <v>13554</v>
      </c>
    </row>
    <row r="2584" spans="1:20">
      <c r="A2584">
        <v>3330637</v>
      </c>
      <c r="B2584" t="s">
        <v>13555</v>
      </c>
      <c r="C2584" t="str">
        <f>"9780773523630"</f>
        <v>9780773523630</v>
      </c>
      <c r="D2584" t="str">
        <f>"9780773570207"</f>
        <v>9780773570207</v>
      </c>
      <c r="E2584" t="s">
        <v>12863</v>
      </c>
      <c r="F2584" t="s">
        <v>12863</v>
      </c>
      <c r="G2584" s="1">
        <v>37364</v>
      </c>
      <c r="I2584" t="s">
        <v>13282</v>
      </c>
      <c r="J2584" t="s">
        <v>13556</v>
      </c>
      <c r="K2584" t="s">
        <v>4347</v>
      </c>
      <c r="L2584" t="s">
        <v>13557</v>
      </c>
      <c r="M2584">
        <v>355.03300489999998</v>
      </c>
      <c r="N2584" t="s">
        <v>13558</v>
      </c>
      <c r="O2584" t="s">
        <v>26</v>
      </c>
      <c r="P2584">
        <v>142.5</v>
      </c>
      <c r="Q2584">
        <v>118.75</v>
      </c>
      <c r="R2584">
        <v>95</v>
      </c>
      <c r="S2584">
        <v>142.5</v>
      </c>
      <c r="T2584" t="s">
        <v>13559</v>
      </c>
    </row>
    <row r="2585" spans="1:20">
      <c r="A2585">
        <v>3330638</v>
      </c>
      <c r="B2585" t="s">
        <v>13560</v>
      </c>
      <c r="C2585" t="str">
        <f>"9780773521032"</f>
        <v>9780773521032</v>
      </c>
      <c r="D2585" t="str">
        <f>"9780773568761"</f>
        <v>9780773568761</v>
      </c>
      <c r="E2585" t="s">
        <v>12863</v>
      </c>
      <c r="F2585" t="s">
        <v>12863</v>
      </c>
      <c r="G2585" s="1">
        <v>36809</v>
      </c>
      <c r="J2585" t="s">
        <v>13561</v>
      </c>
      <c r="K2585" t="s">
        <v>1471</v>
      </c>
      <c r="L2585" t="s">
        <v>13562</v>
      </c>
      <c r="M2585" t="s">
        <v>13563</v>
      </c>
      <c r="N2585" t="s">
        <v>13564</v>
      </c>
      <c r="O2585" t="s">
        <v>26</v>
      </c>
      <c r="P2585">
        <v>142.5</v>
      </c>
      <c r="Q2585">
        <v>118.75</v>
      </c>
      <c r="R2585">
        <v>95</v>
      </c>
      <c r="S2585">
        <v>142.5</v>
      </c>
      <c r="T2585" t="s">
        <v>13565</v>
      </c>
    </row>
    <row r="2586" spans="1:20">
      <c r="A2586">
        <v>3330639</v>
      </c>
      <c r="B2586" t="s">
        <v>13566</v>
      </c>
      <c r="C2586" t="str">
        <f>"9780773523470"</f>
        <v>9780773523470</v>
      </c>
      <c r="D2586" t="str">
        <f>"9780773570108"</f>
        <v>9780773570108</v>
      </c>
      <c r="E2586" t="s">
        <v>12907</v>
      </c>
      <c r="F2586" t="s">
        <v>12907</v>
      </c>
      <c r="G2586" s="1">
        <v>37441</v>
      </c>
      <c r="I2586" t="s">
        <v>12886</v>
      </c>
      <c r="J2586" t="s">
        <v>13567</v>
      </c>
      <c r="K2586" t="s">
        <v>257</v>
      </c>
      <c r="L2586" t="s">
        <v>13568</v>
      </c>
      <c r="M2586" t="s">
        <v>13569</v>
      </c>
      <c r="N2586" t="s">
        <v>13570</v>
      </c>
      <c r="O2586" t="s">
        <v>26</v>
      </c>
      <c r="P2586">
        <v>142.5</v>
      </c>
      <c r="Q2586">
        <v>118.75</v>
      </c>
      <c r="R2586">
        <v>95</v>
      </c>
      <c r="S2586">
        <v>142.5</v>
      </c>
      <c r="T2586" t="s">
        <v>13571</v>
      </c>
    </row>
    <row r="2587" spans="1:20">
      <c r="A2587">
        <v>3330640</v>
      </c>
      <c r="B2587" t="s">
        <v>13572</v>
      </c>
      <c r="C2587" t="str">
        <f>"9780773525924"</f>
        <v>9780773525924</v>
      </c>
      <c r="D2587" t="str">
        <f>"9780773571334"</f>
        <v>9780773571334</v>
      </c>
      <c r="E2587" t="s">
        <v>12863</v>
      </c>
      <c r="F2587" t="s">
        <v>12863</v>
      </c>
      <c r="G2587" s="1">
        <v>37879</v>
      </c>
      <c r="I2587" t="s">
        <v>12886</v>
      </c>
      <c r="J2587" t="s">
        <v>13573</v>
      </c>
      <c r="K2587" t="s">
        <v>1892</v>
      </c>
      <c r="L2587" t="s">
        <v>13574</v>
      </c>
      <c r="M2587">
        <v>277.3082</v>
      </c>
      <c r="N2587" t="s">
        <v>13575</v>
      </c>
      <c r="O2587" t="s">
        <v>26</v>
      </c>
      <c r="P2587">
        <v>142.5</v>
      </c>
      <c r="Q2587">
        <v>118.75</v>
      </c>
      <c r="R2587">
        <v>95</v>
      </c>
      <c r="S2587">
        <v>142.5</v>
      </c>
      <c r="T2587" t="s">
        <v>13576</v>
      </c>
    </row>
    <row r="2588" spans="1:20">
      <c r="A2588">
        <v>3330641</v>
      </c>
      <c r="B2588" t="s">
        <v>13577</v>
      </c>
      <c r="C2588" t="str">
        <f>"9780773528963"</f>
        <v>9780773528963</v>
      </c>
      <c r="D2588" t="str">
        <f>"9780773572881"</f>
        <v>9780773572881</v>
      </c>
      <c r="E2588" t="s">
        <v>12863</v>
      </c>
      <c r="F2588" t="s">
        <v>12863</v>
      </c>
      <c r="G2588" s="1">
        <v>38406</v>
      </c>
      <c r="J2588" t="s">
        <v>13578</v>
      </c>
      <c r="K2588" t="s">
        <v>467</v>
      </c>
      <c r="L2588" t="s">
        <v>13579</v>
      </c>
      <c r="M2588">
        <v>321.02</v>
      </c>
      <c r="N2588" t="s">
        <v>13580</v>
      </c>
      <c r="O2588" t="s">
        <v>94</v>
      </c>
      <c r="P2588">
        <v>142.5</v>
      </c>
      <c r="Q2588">
        <v>118.75</v>
      </c>
      <c r="R2588">
        <v>95</v>
      </c>
      <c r="S2588">
        <v>142.5</v>
      </c>
      <c r="T2588" t="s">
        <v>13581</v>
      </c>
    </row>
    <row r="2589" spans="1:20">
      <c r="A2589">
        <v>3330642</v>
      </c>
      <c r="B2589" t="s">
        <v>13582</v>
      </c>
      <c r="C2589" t="str">
        <f>"9780773528062"</f>
        <v>9780773528062</v>
      </c>
      <c r="D2589" t="str">
        <f>"9780773572331"</f>
        <v>9780773572331</v>
      </c>
      <c r="E2589" t="s">
        <v>12863</v>
      </c>
      <c r="F2589" t="s">
        <v>12863</v>
      </c>
      <c r="G2589" s="1">
        <v>38273</v>
      </c>
      <c r="J2589" t="s">
        <v>13583</v>
      </c>
      <c r="K2589" t="s">
        <v>1464</v>
      </c>
      <c r="L2589" t="s">
        <v>13584</v>
      </c>
      <c r="M2589">
        <v>810.99287000000004</v>
      </c>
      <c r="N2589" t="s">
        <v>13585</v>
      </c>
      <c r="O2589" t="s">
        <v>26</v>
      </c>
      <c r="P2589">
        <v>142.5</v>
      </c>
      <c r="Q2589">
        <v>118.75</v>
      </c>
      <c r="R2589">
        <v>95</v>
      </c>
      <c r="S2589">
        <v>142.5</v>
      </c>
      <c r="T2589" t="s">
        <v>13586</v>
      </c>
    </row>
    <row r="2590" spans="1:20">
      <c r="A2590">
        <v>3330643</v>
      </c>
      <c r="B2590" t="s">
        <v>13587</v>
      </c>
      <c r="C2590" t="str">
        <f>"9780773526181"</f>
        <v>9780773526181</v>
      </c>
      <c r="D2590" t="str">
        <f>"9780773571525"</f>
        <v>9780773571525</v>
      </c>
      <c r="E2590" t="s">
        <v>12863</v>
      </c>
      <c r="F2590" t="s">
        <v>12863</v>
      </c>
      <c r="G2590" s="1">
        <v>38020</v>
      </c>
      <c r="J2590" t="s">
        <v>13588</v>
      </c>
      <c r="K2590" t="s">
        <v>1464</v>
      </c>
      <c r="L2590" t="s">
        <v>13589</v>
      </c>
      <c r="M2590">
        <v>846.50992870000005</v>
      </c>
      <c r="N2590" t="s">
        <v>13590</v>
      </c>
      <c r="O2590" t="s">
        <v>26</v>
      </c>
      <c r="P2590">
        <v>142.5</v>
      </c>
      <c r="Q2590">
        <v>118.75</v>
      </c>
      <c r="R2590">
        <v>95</v>
      </c>
      <c r="S2590">
        <v>142.5</v>
      </c>
      <c r="T2590" t="s">
        <v>13591</v>
      </c>
    </row>
    <row r="2591" spans="1:20">
      <c r="A2591">
        <v>3330644</v>
      </c>
      <c r="B2591" t="s">
        <v>13592</v>
      </c>
      <c r="C2591" t="str">
        <f>"9780773526648"</f>
        <v>9780773526648</v>
      </c>
      <c r="D2591" t="str">
        <f>"9780773571716"</f>
        <v>9780773571716</v>
      </c>
      <c r="E2591" t="s">
        <v>12863</v>
      </c>
      <c r="F2591" t="s">
        <v>12863</v>
      </c>
      <c r="G2591" s="1">
        <v>38047</v>
      </c>
      <c r="J2591" t="s">
        <v>13593</v>
      </c>
      <c r="K2591" t="s">
        <v>13594</v>
      </c>
      <c r="L2591" t="s">
        <v>13595</v>
      </c>
      <c r="M2591">
        <v>306.27097099999997</v>
      </c>
      <c r="N2591" t="s">
        <v>13596</v>
      </c>
      <c r="O2591" t="s">
        <v>26</v>
      </c>
      <c r="P2591">
        <v>142.5</v>
      </c>
      <c r="Q2591">
        <v>118.75</v>
      </c>
      <c r="R2591">
        <v>95</v>
      </c>
      <c r="S2591">
        <v>142.5</v>
      </c>
      <c r="T2591" t="s">
        <v>13597</v>
      </c>
    </row>
    <row r="2592" spans="1:20">
      <c r="A2592">
        <v>3330645</v>
      </c>
      <c r="B2592" t="s">
        <v>13598</v>
      </c>
      <c r="C2592" t="str">
        <f>"9780773527935"</f>
        <v>9780773527935</v>
      </c>
      <c r="D2592" t="str">
        <f>"9780773572249"</f>
        <v>9780773572249</v>
      </c>
      <c r="E2592" t="s">
        <v>12863</v>
      </c>
      <c r="F2592" t="s">
        <v>12863</v>
      </c>
      <c r="G2592" s="1">
        <v>38309</v>
      </c>
      <c r="J2592" t="s">
        <v>13599</v>
      </c>
      <c r="K2592" t="s">
        <v>291</v>
      </c>
      <c r="L2592" t="s">
        <v>13600</v>
      </c>
      <c r="M2592">
        <v>944.36103409199995</v>
      </c>
      <c r="N2592" t="s">
        <v>13601</v>
      </c>
      <c r="O2592" t="s">
        <v>26</v>
      </c>
      <c r="P2592">
        <v>142.5</v>
      </c>
      <c r="Q2592">
        <v>118.75</v>
      </c>
      <c r="R2592">
        <v>95</v>
      </c>
      <c r="S2592">
        <v>142.5</v>
      </c>
      <c r="T2592" t="s">
        <v>13602</v>
      </c>
    </row>
    <row r="2593" spans="1:20">
      <c r="A2593">
        <v>3330646</v>
      </c>
      <c r="B2593" t="s">
        <v>13603</v>
      </c>
      <c r="C2593" t="str">
        <f>"9780773525542"</f>
        <v>9780773525542</v>
      </c>
      <c r="D2593" t="str">
        <f>"9780773571129"</f>
        <v>9780773571129</v>
      </c>
      <c r="E2593" t="s">
        <v>12863</v>
      </c>
      <c r="F2593" t="s">
        <v>12863</v>
      </c>
      <c r="G2593" s="1">
        <v>37686</v>
      </c>
      <c r="J2593" t="s">
        <v>13604</v>
      </c>
      <c r="K2593" t="s">
        <v>416</v>
      </c>
      <c r="L2593" t="s">
        <v>13605</v>
      </c>
      <c r="M2593">
        <v>339.52097099999997</v>
      </c>
      <c r="N2593" t="s">
        <v>13606</v>
      </c>
      <c r="O2593" t="s">
        <v>26</v>
      </c>
      <c r="P2593">
        <v>142.5</v>
      </c>
      <c r="Q2593">
        <v>118.75</v>
      </c>
      <c r="R2593">
        <v>95</v>
      </c>
      <c r="S2593">
        <v>142.5</v>
      </c>
      <c r="T2593" t="s">
        <v>13607</v>
      </c>
    </row>
    <row r="2594" spans="1:20">
      <c r="A2594">
        <v>3330647</v>
      </c>
      <c r="B2594" t="s">
        <v>13608</v>
      </c>
      <c r="C2594" t="str">
        <f>"9780773525108"</f>
        <v>9780773525108</v>
      </c>
      <c r="D2594" t="str">
        <f>"9780773570849"</f>
        <v>9780773570849</v>
      </c>
      <c r="E2594" t="s">
        <v>12863</v>
      </c>
      <c r="F2594" t="s">
        <v>12863</v>
      </c>
      <c r="G2594" s="1">
        <v>37698</v>
      </c>
      <c r="J2594" t="s">
        <v>13609</v>
      </c>
      <c r="K2594" t="s">
        <v>416</v>
      </c>
      <c r="L2594" t="s">
        <v>13610</v>
      </c>
      <c r="M2594">
        <v>338.9</v>
      </c>
      <c r="N2594" t="s">
        <v>13611</v>
      </c>
      <c r="O2594" t="s">
        <v>26</v>
      </c>
      <c r="P2594">
        <v>142.5</v>
      </c>
      <c r="Q2594">
        <v>118.75</v>
      </c>
      <c r="R2594">
        <v>95</v>
      </c>
      <c r="S2594">
        <v>142.5</v>
      </c>
      <c r="T2594" t="s">
        <v>13612</v>
      </c>
    </row>
    <row r="2595" spans="1:20">
      <c r="A2595">
        <v>3330648</v>
      </c>
      <c r="B2595" t="s">
        <v>13613</v>
      </c>
      <c r="C2595" t="str">
        <f>"9780773524019"</f>
        <v>9780773524019</v>
      </c>
      <c r="D2595" t="str">
        <f>"9780773570399"</f>
        <v>9780773570399</v>
      </c>
      <c r="E2595" t="s">
        <v>12863</v>
      </c>
      <c r="F2595" t="s">
        <v>12863</v>
      </c>
      <c r="G2595" s="1">
        <v>37446</v>
      </c>
      <c r="I2595" t="s">
        <v>12886</v>
      </c>
      <c r="J2595" t="s">
        <v>13614</v>
      </c>
      <c r="K2595" t="s">
        <v>1892</v>
      </c>
      <c r="L2595" t="s">
        <v>13615</v>
      </c>
      <c r="M2595">
        <v>261.26097109045003</v>
      </c>
      <c r="N2595" t="s">
        <v>13616</v>
      </c>
      <c r="O2595" t="s">
        <v>26</v>
      </c>
      <c r="P2595">
        <v>142.5</v>
      </c>
      <c r="Q2595">
        <v>118.75</v>
      </c>
      <c r="R2595">
        <v>95</v>
      </c>
      <c r="S2595">
        <v>142.5</v>
      </c>
      <c r="T2595" t="s">
        <v>13617</v>
      </c>
    </row>
    <row r="2596" spans="1:20">
      <c r="A2596">
        <v>3330649</v>
      </c>
      <c r="B2596" t="s">
        <v>13618</v>
      </c>
      <c r="C2596" t="str">
        <f>"9780773527874"</f>
        <v>9780773527874</v>
      </c>
      <c r="D2596" t="str">
        <f>"9780773572218"</f>
        <v>9780773572218</v>
      </c>
      <c r="E2596" t="s">
        <v>12863</v>
      </c>
      <c r="F2596" t="s">
        <v>12863</v>
      </c>
      <c r="G2596" s="1">
        <v>38261</v>
      </c>
      <c r="J2596" t="s">
        <v>13619</v>
      </c>
      <c r="K2596" t="s">
        <v>291</v>
      </c>
      <c r="L2596" t="s">
        <v>13620</v>
      </c>
      <c r="M2596">
        <v>986.10635000000002</v>
      </c>
      <c r="N2596" t="s">
        <v>13621</v>
      </c>
      <c r="O2596" t="s">
        <v>26</v>
      </c>
      <c r="P2596">
        <v>59.93</v>
      </c>
      <c r="Q2596">
        <v>49.94</v>
      </c>
      <c r="R2596">
        <v>39.950000000000003</v>
      </c>
      <c r="S2596">
        <v>59.93</v>
      </c>
      <c r="T2596" t="s">
        <v>13622</v>
      </c>
    </row>
    <row r="2597" spans="1:20">
      <c r="A2597">
        <v>3330650</v>
      </c>
      <c r="B2597" t="s">
        <v>13623</v>
      </c>
      <c r="C2597" t="str">
        <f>"9780773527911"</f>
        <v>9780773527911</v>
      </c>
      <c r="D2597" t="str">
        <f>"9780773572232"</f>
        <v>9780773572232</v>
      </c>
      <c r="E2597" t="s">
        <v>12863</v>
      </c>
      <c r="F2597" t="s">
        <v>12863</v>
      </c>
      <c r="G2597" s="1">
        <v>38306</v>
      </c>
      <c r="J2597" t="s">
        <v>13624</v>
      </c>
      <c r="K2597" t="s">
        <v>4433</v>
      </c>
      <c r="L2597" t="s">
        <v>13625</v>
      </c>
      <c r="M2597">
        <v>354.74092000000002</v>
      </c>
      <c r="N2597" t="s">
        <v>13626</v>
      </c>
      <c r="O2597" t="s">
        <v>26</v>
      </c>
      <c r="P2597">
        <v>97.5</v>
      </c>
      <c r="Q2597">
        <v>81.25</v>
      </c>
      <c r="R2597">
        <v>65</v>
      </c>
      <c r="S2597">
        <v>97.5</v>
      </c>
      <c r="T2597" t="s">
        <v>13627</v>
      </c>
    </row>
    <row r="2598" spans="1:20">
      <c r="A2598">
        <v>3330651</v>
      </c>
      <c r="B2598" t="s">
        <v>13628</v>
      </c>
      <c r="C2598" t="str">
        <f>"9780773525399"</f>
        <v>9780773525399</v>
      </c>
      <c r="D2598" t="str">
        <f>"9780773571037"</f>
        <v>9780773571037</v>
      </c>
      <c r="E2598" t="s">
        <v>12907</v>
      </c>
      <c r="F2598" t="s">
        <v>12907</v>
      </c>
      <c r="G2598" s="1">
        <v>37748</v>
      </c>
      <c r="I2598" t="s">
        <v>13629</v>
      </c>
      <c r="J2598" t="s">
        <v>13630</v>
      </c>
      <c r="K2598" t="s">
        <v>263</v>
      </c>
      <c r="L2598" t="s">
        <v>13631</v>
      </c>
      <c r="M2598">
        <v>307.76</v>
      </c>
      <c r="N2598" t="s">
        <v>13632</v>
      </c>
      <c r="O2598" t="s">
        <v>26</v>
      </c>
      <c r="P2598">
        <v>74.930000000000007</v>
      </c>
      <c r="Q2598">
        <v>62.44</v>
      </c>
      <c r="R2598">
        <v>49.95</v>
      </c>
      <c r="S2598">
        <v>74.930000000000007</v>
      </c>
      <c r="T2598" t="s">
        <v>13633</v>
      </c>
    </row>
    <row r="2599" spans="1:20">
      <c r="A2599">
        <v>3330652</v>
      </c>
      <c r="B2599" t="s">
        <v>13634</v>
      </c>
      <c r="C2599" t="str">
        <f>"9780773524996"</f>
        <v>9780773524996</v>
      </c>
      <c r="D2599" t="str">
        <f>"9780773570771"</f>
        <v>9780773570771</v>
      </c>
      <c r="E2599" t="s">
        <v>12863</v>
      </c>
      <c r="F2599" t="s">
        <v>12863</v>
      </c>
      <c r="G2599" s="1">
        <v>37474</v>
      </c>
      <c r="J2599" t="s">
        <v>13635</v>
      </c>
      <c r="K2599" t="s">
        <v>467</v>
      </c>
      <c r="L2599" t="s">
        <v>13579</v>
      </c>
      <c r="M2599">
        <v>321.02020199999998</v>
      </c>
      <c r="N2599" t="s">
        <v>13636</v>
      </c>
      <c r="O2599" t="s">
        <v>94</v>
      </c>
      <c r="P2599">
        <v>142.5</v>
      </c>
      <c r="Q2599">
        <v>118.75</v>
      </c>
      <c r="R2599">
        <v>95</v>
      </c>
      <c r="S2599">
        <v>142.5</v>
      </c>
      <c r="T2599" t="s">
        <v>13637</v>
      </c>
    </row>
    <row r="2600" spans="1:20">
      <c r="A2600">
        <v>3330653</v>
      </c>
      <c r="B2600" t="s">
        <v>13638</v>
      </c>
      <c r="C2600" t="str">
        <f>"9780773525887"</f>
        <v>9780773525887</v>
      </c>
      <c r="D2600" t="str">
        <f>"9780773571303"</f>
        <v>9780773571303</v>
      </c>
      <c r="E2600" t="s">
        <v>12863</v>
      </c>
      <c r="F2600" t="s">
        <v>12863</v>
      </c>
      <c r="G2600" s="1">
        <v>37921</v>
      </c>
      <c r="J2600" t="s">
        <v>13639</v>
      </c>
      <c r="K2600" t="s">
        <v>291</v>
      </c>
      <c r="L2600" t="s">
        <v>13640</v>
      </c>
      <c r="M2600">
        <v>954.05</v>
      </c>
      <c r="N2600" t="s">
        <v>13641</v>
      </c>
      <c r="O2600" t="s">
        <v>26</v>
      </c>
      <c r="P2600">
        <v>142.5</v>
      </c>
      <c r="Q2600">
        <v>118.75</v>
      </c>
      <c r="R2600">
        <v>95</v>
      </c>
      <c r="S2600">
        <v>142.5</v>
      </c>
      <c r="T2600" t="s">
        <v>13642</v>
      </c>
    </row>
    <row r="2601" spans="1:20">
      <c r="A2601">
        <v>3330654</v>
      </c>
      <c r="B2601" t="s">
        <v>13643</v>
      </c>
      <c r="C2601" t="str">
        <f>"9780773524781"</f>
        <v>9780773524781</v>
      </c>
      <c r="D2601" t="str">
        <f>"9780773570740"</f>
        <v>9780773570740</v>
      </c>
      <c r="E2601" t="s">
        <v>12863</v>
      </c>
      <c r="F2601" t="s">
        <v>12863</v>
      </c>
      <c r="G2601" s="1">
        <v>37683</v>
      </c>
      <c r="J2601" t="s">
        <v>13644</v>
      </c>
      <c r="K2601" t="s">
        <v>1464</v>
      </c>
      <c r="L2601" t="s">
        <v>13645</v>
      </c>
      <c r="M2601">
        <v>813.50912000000005</v>
      </c>
      <c r="N2601" t="s">
        <v>13646</v>
      </c>
      <c r="O2601" t="s">
        <v>26</v>
      </c>
      <c r="P2601">
        <v>142.5</v>
      </c>
      <c r="Q2601">
        <v>118.75</v>
      </c>
      <c r="R2601">
        <v>95</v>
      </c>
      <c r="S2601">
        <v>142.5</v>
      </c>
      <c r="T2601" t="s">
        <v>13647</v>
      </c>
    </row>
    <row r="2602" spans="1:20">
      <c r="A2602">
        <v>3330655</v>
      </c>
      <c r="B2602" t="s">
        <v>13648</v>
      </c>
      <c r="C2602" t="str">
        <f>"9780773525276"</f>
        <v>9780773525276</v>
      </c>
      <c r="D2602" t="str">
        <f>"9780773570962"</f>
        <v>9780773570962</v>
      </c>
      <c r="E2602" t="s">
        <v>12863</v>
      </c>
      <c r="F2602" t="s">
        <v>12863</v>
      </c>
      <c r="G2602" s="1">
        <v>37735</v>
      </c>
      <c r="J2602" t="s">
        <v>13649</v>
      </c>
      <c r="K2602" t="s">
        <v>467</v>
      </c>
      <c r="L2602" t="s">
        <v>13650</v>
      </c>
      <c r="M2602">
        <v>323.46091712409998</v>
      </c>
      <c r="N2602" t="s">
        <v>13651</v>
      </c>
      <c r="O2602" t="s">
        <v>26</v>
      </c>
      <c r="P2602">
        <v>142.5</v>
      </c>
      <c r="Q2602">
        <v>118.75</v>
      </c>
      <c r="R2602">
        <v>95</v>
      </c>
      <c r="S2602">
        <v>142.5</v>
      </c>
      <c r="T2602" t="s">
        <v>13652</v>
      </c>
    </row>
    <row r="2603" spans="1:20">
      <c r="A2603">
        <v>3330656</v>
      </c>
      <c r="B2603" t="s">
        <v>13653</v>
      </c>
      <c r="C2603" t="str">
        <f>"9780773527263"</f>
        <v>9780773527263</v>
      </c>
      <c r="D2603" t="str">
        <f>"9780773572027"</f>
        <v>9780773572027</v>
      </c>
      <c r="E2603" t="s">
        <v>12863</v>
      </c>
      <c r="F2603" t="s">
        <v>12863</v>
      </c>
      <c r="G2603" s="1">
        <v>38230</v>
      </c>
      <c r="J2603" t="s">
        <v>13654</v>
      </c>
      <c r="K2603" t="s">
        <v>278</v>
      </c>
      <c r="L2603" t="s">
        <v>13655</v>
      </c>
      <c r="M2603">
        <v>331.12</v>
      </c>
      <c r="N2603" t="s">
        <v>13656</v>
      </c>
      <c r="O2603" t="s">
        <v>26</v>
      </c>
      <c r="P2603">
        <v>142.5</v>
      </c>
      <c r="Q2603">
        <v>118.75</v>
      </c>
      <c r="R2603">
        <v>95</v>
      </c>
      <c r="S2603">
        <v>142.5</v>
      </c>
      <c r="T2603" t="s">
        <v>13657</v>
      </c>
    </row>
    <row r="2604" spans="1:20">
      <c r="A2604">
        <v>3330657</v>
      </c>
      <c r="B2604" t="s">
        <v>13658</v>
      </c>
      <c r="C2604" t="str">
        <f>"9780773524538"</f>
        <v>9780773524538</v>
      </c>
      <c r="D2604" t="str">
        <f>"9780773570689"</f>
        <v>9780773570689</v>
      </c>
      <c r="E2604" t="s">
        <v>12863</v>
      </c>
      <c r="F2604" t="s">
        <v>12863</v>
      </c>
      <c r="G2604" s="1">
        <v>37676</v>
      </c>
      <c r="J2604" t="s">
        <v>13659</v>
      </c>
      <c r="K2604" t="s">
        <v>257</v>
      </c>
      <c r="L2604" t="s">
        <v>13660</v>
      </c>
      <c r="M2604" t="s">
        <v>13661</v>
      </c>
      <c r="N2604" t="s">
        <v>13662</v>
      </c>
      <c r="O2604" t="s">
        <v>26</v>
      </c>
      <c r="P2604">
        <v>142.5</v>
      </c>
      <c r="Q2604">
        <v>118.75</v>
      </c>
      <c r="R2604">
        <v>95</v>
      </c>
      <c r="S2604">
        <v>142.5</v>
      </c>
      <c r="T2604" t="s">
        <v>13663</v>
      </c>
    </row>
    <row r="2605" spans="1:20">
      <c r="A2605">
        <v>3330658</v>
      </c>
      <c r="B2605" t="s">
        <v>13664</v>
      </c>
      <c r="C2605" t="str">
        <f>"9780773527102"</f>
        <v>9780773527102</v>
      </c>
      <c r="D2605" t="str">
        <f>"9780773571938"</f>
        <v>9780773571938</v>
      </c>
      <c r="E2605" t="s">
        <v>12863</v>
      </c>
      <c r="F2605" t="s">
        <v>12863</v>
      </c>
      <c r="G2605" s="1">
        <v>38078</v>
      </c>
      <c r="J2605" t="s">
        <v>13665</v>
      </c>
      <c r="K2605" t="s">
        <v>13666</v>
      </c>
      <c r="L2605" t="s">
        <v>13667</v>
      </c>
      <c r="M2605">
        <v>551.46133999999995</v>
      </c>
      <c r="N2605" t="s">
        <v>13668</v>
      </c>
      <c r="O2605" t="s">
        <v>26</v>
      </c>
      <c r="P2605">
        <v>142.5</v>
      </c>
      <c r="Q2605">
        <v>118.75</v>
      </c>
      <c r="R2605">
        <v>95</v>
      </c>
      <c r="S2605">
        <v>142.5</v>
      </c>
      <c r="T2605" t="s">
        <v>13669</v>
      </c>
    </row>
    <row r="2606" spans="1:20">
      <c r="A2606">
        <v>3330659</v>
      </c>
      <c r="B2606" t="s">
        <v>13670</v>
      </c>
      <c r="C2606" t="str">
        <f>"9780773526167"</f>
        <v>9780773526167</v>
      </c>
      <c r="D2606" t="str">
        <f>"9780773571518"</f>
        <v>9780773571518</v>
      </c>
      <c r="E2606" t="s">
        <v>12863</v>
      </c>
      <c r="F2606" t="s">
        <v>12863</v>
      </c>
      <c r="G2606" s="1">
        <v>38056</v>
      </c>
      <c r="J2606" t="s">
        <v>13671</v>
      </c>
      <c r="K2606" t="s">
        <v>263</v>
      </c>
      <c r="L2606" t="s">
        <v>13672</v>
      </c>
      <c r="M2606">
        <v>305.89433057500003</v>
      </c>
      <c r="N2606" t="s">
        <v>13673</v>
      </c>
      <c r="O2606" t="s">
        <v>26</v>
      </c>
      <c r="P2606">
        <v>142.5</v>
      </c>
      <c r="Q2606">
        <v>118.75</v>
      </c>
      <c r="R2606">
        <v>95</v>
      </c>
      <c r="S2606">
        <v>142.5</v>
      </c>
      <c r="T2606" t="s">
        <v>13674</v>
      </c>
    </row>
    <row r="2607" spans="1:20">
      <c r="A2607">
        <v>3330660</v>
      </c>
      <c r="B2607" t="s">
        <v>13675</v>
      </c>
      <c r="C2607" t="str">
        <f>"9780773525436"</f>
        <v>9780773525436</v>
      </c>
      <c r="D2607" t="str">
        <f>"9780773571068"</f>
        <v>9780773571068</v>
      </c>
      <c r="E2607" t="s">
        <v>12863</v>
      </c>
      <c r="F2607" t="s">
        <v>12863</v>
      </c>
      <c r="G2607" s="1">
        <v>37767</v>
      </c>
      <c r="J2607" t="s">
        <v>13676</v>
      </c>
      <c r="K2607" t="s">
        <v>13677</v>
      </c>
      <c r="L2607" t="s">
        <v>13678</v>
      </c>
      <c r="M2607">
        <v>794.8</v>
      </c>
      <c r="N2607" t="s">
        <v>13679</v>
      </c>
      <c r="O2607" t="s">
        <v>26</v>
      </c>
      <c r="P2607">
        <v>142.5</v>
      </c>
      <c r="Q2607">
        <v>118.75</v>
      </c>
      <c r="R2607">
        <v>95</v>
      </c>
      <c r="S2607">
        <v>142.5</v>
      </c>
      <c r="T2607" t="s">
        <v>13680</v>
      </c>
    </row>
    <row r="2608" spans="1:20">
      <c r="A2608">
        <v>3330661</v>
      </c>
      <c r="B2608" t="s">
        <v>13681</v>
      </c>
      <c r="C2608" t="str">
        <f>"9780773526105"</f>
        <v>9780773526105</v>
      </c>
      <c r="D2608" t="str">
        <f>"9780773571464"</f>
        <v>9780773571464</v>
      </c>
      <c r="E2608" t="s">
        <v>12863</v>
      </c>
      <c r="F2608" t="s">
        <v>12863</v>
      </c>
      <c r="G2608" s="1">
        <v>37910</v>
      </c>
      <c r="J2608" t="s">
        <v>13682</v>
      </c>
      <c r="K2608" t="s">
        <v>1471</v>
      </c>
      <c r="L2608" t="s">
        <v>13683</v>
      </c>
      <c r="M2608">
        <v>791.43600000000004</v>
      </c>
      <c r="N2608" t="s">
        <v>13684</v>
      </c>
      <c r="O2608" t="s">
        <v>26</v>
      </c>
      <c r="P2608">
        <v>142.5</v>
      </c>
      <c r="Q2608">
        <v>118.75</v>
      </c>
      <c r="R2608">
        <v>95</v>
      </c>
      <c r="S2608">
        <v>142.5</v>
      </c>
      <c r="T2608" t="s">
        <v>13685</v>
      </c>
    </row>
    <row r="2609" spans="1:20">
      <c r="A2609">
        <v>3330662</v>
      </c>
      <c r="B2609" t="s">
        <v>13686</v>
      </c>
      <c r="C2609" t="str">
        <f>"9780773527058"</f>
        <v>9780773527058</v>
      </c>
      <c r="D2609" t="str">
        <f>"9780773571891"</f>
        <v>9780773571891</v>
      </c>
      <c r="E2609" t="s">
        <v>12863</v>
      </c>
      <c r="F2609" t="s">
        <v>12863</v>
      </c>
      <c r="G2609" s="1">
        <v>38105</v>
      </c>
      <c r="I2609" t="s">
        <v>12871</v>
      </c>
      <c r="J2609" t="s">
        <v>13687</v>
      </c>
      <c r="K2609" t="s">
        <v>263</v>
      </c>
      <c r="L2609" t="s">
        <v>12873</v>
      </c>
      <c r="M2609">
        <v>364.1523097191</v>
      </c>
      <c r="N2609" t="s">
        <v>13688</v>
      </c>
      <c r="O2609" t="s">
        <v>26</v>
      </c>
      <c r="P2609">
        <v>142.5</v>
      </c>
      <c r="Q2609">
        <v>118.75</v>
      </c>
      <c r="R2609">
        <v>95</v>
      </c>
      <c r="S2609">
        <v>142.5</v>
      </c>
      <c r="T2609" t="s">
        <v>13689</v>
      </c>
    </row>
    <row r="2610" spans="1:20">
      <c r="A2610">
        <v>3330663</v>
      </c>
      <c r="B2610" t="s">
        <v>13690</v>
      </c>
      <c r="C2610" t="str">
        <f>"9780773525894"</f>
        <v>9780773525894</v>
      </c>
      <c r="D2610" t="str">
        <f>"9780773571310"</f>
        <v>9780773571310</v>
      </c>
      <c r="E2610" t="s">
        <v>12907</v>
      </c>
      <c r="F2610" t="s">
        <v>12907</v>
      </c>
      <c r="G2610" s="1">
        <v>37908</v>
      </c>
      <c r="J2610" t="s">
        <v>12892</v>
      </c>
      <c r="K2610" t="s">
        <v>1471</v>
      </c>
      <c r="L2610" t="s">
        <v>13691</v>
      </c>
      <c r="M2610" t="s">
        <v>13692</v>
      </c>
      <c r="N2610" t="s">
        <v>13693</v>
      </c>
      <c r="O2610" t="s">
        <v>26</v>
      </c>
      <c r="P2610">
        <v>142.5</v>
      </c>
      <c r="Q2610">
        <v>118.75</v>
      </c>
      <c r="R2610">
        <v>95</v>
      </c>
      <c r="S2610">
        <v>142.5</v>
      </c>
      <c r="T2610" t="s">
        <v>13694</v>
      </c>
    </row>
    <row r="2611" spans="1:20">
      <c r="A2611">
        <v>3330664</v>
      </c>
      <c r="B2611" t="s">
        <v>13695</v>
      </c>
      <c r="C2611" t="str">
        <f>"9780773526051"</f>
        <v>9780773526051</v>
      </c>
      <c r="D2611" t="str">
        <f>"9780773571419"</f>
        <v>9780773571419</v>
      </c>
      <c r="E2611" t="s">
        <v>12863</v>
      </c>
      <c r="F2611" t="s">
        <v>12863</v>
      </c>
      <c r="G2611" s="1">
        <v>37944</v>
      </c>
      <c r="J2611" t="s">
        <v>13696</v>
      </c>
      <c r="K2611" t="s">
        <v>1464</v>
      </c>
      <c r="L2611" t="s">
        <v>13697</v>
      </c>
      <c r="M2611">
        <v>849.91200000000003</v>
      </c>
      <c r="N2611" t="s">
        <v>13698</v>
      </c>
      <c r="O2611" t="s">
        <v>26</v>
      </c>
      <c r="P2611">
        <v>142.5</v>
      </c>
      <c r="Q2611">
        <v>118.75</v>
      </c>
      <c r="R2611">
        <v>95</v>
      </c>
      <c r="S2611">
        <v>142.5</v>
      </c>
      <c r="T2611" t="s">
        <v>13699</v>
      </c>
    </row>
    <row r="2612" spans="1:20">
      <c r="A2612">
        <v>3330665</v>
      </c>
      <c r="B2612" t="s">
        <v>13700</v>
      </c>
      <c r="C2612" t="str">
        <f>"9780773525443"</f>
        <v>9780773525443</v>
      </c>
      <c r="D2612" t="str">
        <f>"9780773571075"</f>
        <v>9780773571075</v>
      </c>
      <c r="E2612" t="s">
        <v>12863</v>
      </c>
      <c r="F2612" t="s">
        <v>12863</v>
      </c>
      <c r="G2612" s="1">
        <v>37762</v>
      </c>
      <c r="J2612" t="s">
        <v>13701</v>
      </c>
      <c r="K2612" t="s">
        <v>1464</v>
      </c>
      <c r="L2612" t="s">
        <v>13702</v>
      </c>
      <c r="M2612">
        <v>823.91200000000003</v>
      </c>
      <c r="N2612" t="s">
        <v>13703</v>
      </c>
      <c r="O2612" t="s">
        <v>26</v>
      </c>
      <c r="P2612">
        <v>142.5</v>
      </c>
      <c r="Q2612">
        <v>118.75</v>
      </c>
      <c r="R2612">
        <v>95</v>
      </c>
      <c r="S2612">
        <v>142.5</v>
      </c>
      <c r="T2612" t="s">
        <v>13704</v>
      </c>
    </row>
    <row r="2613" spans="1:20">
      <c r="A2613">
        <v>3330666</v>
      </c>
      <c r="B2613" t="s">
        <v>13705</v>
      </c>
      <c r="C2613" t="str">
        <f>"9780773524286"</f>
        <v>9780773524286</v>
      </c>
      <c r="D2613" t="str">
        <f>"9780773570528"</f>
        <v>9780773570528</v>
      </c>
      <c r="E2613" t="s">
        <v>12863</v>
      </c>
      <c r="F2613" t="s">
        <v>12863</v>
      </c>
      <c r="G2613" s="1">
        <v>37600</v>
      </c>
      <c r="J2613" t="s">
        <v>13706</v>
      </c>
      <c r="K2613" t="s">
        <v>291</v>
      </c>
      <c r="L2613" t="s">
        <v>13707</v>
      </c>
      <c r="M2613">
        <v>940.41271091999999</v>
      </c>
      <c r="N2613" t="s">
        <v>13708</v>
      </c>
      <c r="O2613" t="s">
        <v>26</v>
      </c>
      <c r="P2613">
        <v>74.930000000000007</v>
      </c>
      <c r="Q2613">
        <v>62.44</v>
      </c>
      <c r="R2613">
        <v>49.95</v>
      </c>
      <c r="S2613">
        <v>74.930000000000007</v>
      </c>
      <c r="T2613" t="s">
        <v>13709</v>
      </c>
    </row>
    <row r="2614" spans="1:20">
      <c r="A2614">
        <v>3330667</v>
      </c>
      <c r="B2614" t="s">
        <v>13710</v>
      </c>
      <c r="C2614" t="str">
        <f>"9780773524316"</f>
        <v>9780773524316</v>
      </c>
      <c r="D2614" t="str">
        <f>"9780773570559"</f>
        <v>9780773570559</v>
      </c>
      <c r="E2614" t="s">
        <v>12863</v>
      </c>
      <c r="F2614" t="s">
        <v>12863</v>
      </c>
      <c r="G2614" s="1">
        <v>37546</v>
      </c>
      <c r="J2614" t="s">
        <v>13711</v>
      </c>
      <c r="K2614" t="s">
        <v>6444</v>
      </c>
      <c r="L2614" t="s">
        <v>13712</v>
      </c>
      <c r="M2614">
        <v>327.71073000000001</v>
      </c>
      <c r="N2614" t="s">
        <v>13713</v>
      </c>
      <c r="O2614" t="s">
        <v>26</v>
      </c>
      <c r="P2614">
        <v>142.5</v>
      </c>
      <c r="Q2614">
        <v>118.75</v>
      </c>
      <c r="R2614">
        <v>95</v>
      </c>
      <c r="S2614">
        <v>142.5</v>
      </c>
      <c r="T2614" t="s">
        <v>13714</v>
      </c>
    </row>
    <row r="2615" spans="1:20">
      <c r="A2615">
        <v>3330668</v>
      </c>
      <c r="B2615" t="s">
        <v>13715</v>
      </c>
      <c r="C2615" t="str">
        <f>"9780773524002"</f>
        <v>9780773524002</v>
      </c>
      <c r="D2615" t="str">
        <f>"9780773570382"</f>
        <v>9780773570382</v>
      </c>
      <c r="E2615" t="s">
        <v>12863</v>
      </c>
      <c r="F2615" t="s">
        <v>12863</v>
      </c>
      <c r="G2615" s="1">
        <v>37329</v>
      </c>
      <c r="J2615" t="s">
        <v>13716</v>
      </c>
      <c r="K2615" t="s">
        <v>263</v>
      </c>
      <c r="L2615" t="s">
        <v>13717</v>
      </c>
      <c r="M2615">
        <v>362.73409709999999</v>
      </c>
      <c r="N2615" t="s">
        <v>13718</v>
      </c>
      <c r="O2615" t="s">
        <v>26</v>
      </c>
      <c r="P2615">
        <v>67.430000000000007</v>
      </c>
      <c r="Q2615">
        <v>56.19</v>
      </c>
      <c r="R2615">
        <v>44.95</v>
      </c>
      <c r="S2615">
        <v>67.430000000000007</v>
      </c>
      <c r="T2615" t="s">
        <v>13719</v>
      </c>
    </row>
    <row r="2616" spans="1:20">
      <c r="A2616">
        <v>3330669</v>
      </c>
      <c r="B2616" t="s">
        <v>13720</v>
      </c>
      <c r="C2616" t="str">
        <f>"9780773523968"</f>
        <v>9780773523968</v>
      </c>
      <c r="D2616" t="str">
        <f>"9780773570344"</f>
        <v>9780773570344</v>
      </c>
      <c r="E2616" t="s">
        <v>12863</v>
      </c>
      <c r="F2616" t="s">
        <v>12863</v>
      </c>
      <c r="G2616" s="1">
        <v>37497</v>
      </c>
      <c r="J2616" t="s">
        <v>13721</v>
      </c>
      <c r="K2616" t="s">
        <v>1464</v>
      </c>
      <c r="L2616" t="s">
        <v>13722</v>
      </c>
      <c r="M2616" t="s">
        <v>13723</v>
      </c>
      <c r="N2616" t="s">
        <v>13724</v>
      </c>
      <c r="O2616" t="s">
        <v>26</v>
      </c>
      <c r="P2616">
        <v>142.5</v>
      </c>
      <c r="Q2616">
        <v>118.75</v>
      </c>
      <c r="R2616">
        <v>95</v>
      </c>
      <c r="S2616">
        <v>142.5</v>
      </c>
      <c r="T2616" t="s">
        <v>13725</v>
      </c>
    </row>
    <row r="2617" spans="1:20">
      <c r="A2617">
        <v>3330670</v>
      </c>
      <c r="B2617" t="s">
        <v>13726</v>
      </c>
      <c r="C2617" t="str">
        <f>"9780773523982"</f>
        <v>9780773523982</v>
      </c>
      <c r="D2617" t="str">
        <f>"9780773570368"</f>
        <v>9780773570368</v>
      </c>
      <c r="E2617" t="s">
        <v>12863</v>
      </c>
      <c r="F2617" t="s">
        <v>12863</v>
      </c>
      <c r="G2617" s="1">
        <v>37511</v>
      </c>
      <c r="J2617" t="s">
        <v>13727</v>
      </c>
      <c r="K2617" t="s">
        <v>467</v>
      </c>
      <c r="L2617" t="s">
        <v>13728</v>
      </c>
      <c r="M2617">
        <v>327.71</v>
      </c>
      <c r="N2617" t="s">
        <v>13729</v>
      </c>
      <c r="O2617" t="s">
        <v>26</v>
      </c>
      <c r="P2617">
        <v>142.5</v>
      </c>
      <c r="Q2617">
        <v>118.75</v>
      </c>
      <c r="R2617">
        <v>95</v>
      </c>
      <c r="S2617">
        <v>142.5</v>
      </c>
      <c r="T2617" t="s">
        <v>13730</v>
      </c>
    </row>
    <row r="2618" spans="1:20">
      <c r="A2618">
        <v>3330671</v>
      </c>
      <c r="B2618" t="s">
        <v>13731</v>
      </c>
      <c r="C2618" t="str">
        <f>"9780773527218"</f>
        <v>9780773527218</v>
      </c>
      <c r="D2618" t="str">
        <f>"9780773571983"</f>
        <v>9780773571983</v>
      </c>
      <c r="E2618" t="s">
        <v>12863</v>
      </c>
      <c r="F2618" t="s">
        <v>12863</v>
      </c>
      <c r="G2618" s="1">
        <v>38201</v>
      </c>
      <c r="I2618" t="s">
        <v>12871</v>
      </c>
      <c r="J2618" t="s">
        <v>13732</v>
      </c>
      <c r="K2618" t="s">
        <v>2260</v>
      </c>
      <c r="L2618" t="s">
        <v>13733</v>
      </c>
      <c r="M2618">
        <v>616.89165608997303</v>
      </c>
      <c r="N2618" t="s">
        <v>13734</v>
      </c>
      <c r="O2618" t="s">
        <v>26</v>
      </c>
      <c r="P2618">
        <v>142.5</v>
      </c>
      <c r="Q2618">
        <v>118.75</v>
      </c>
      <c r="R2618">
        <v>95</v>
      </c>
      <c r="S2618">
        <v>142.5</v>
      </c>
      <c r="T2618" t="s">
        <v>13735</v>
      </c>
    </row>
    <row r="2619" spans="1:20">
      <c r="A2619">
        <v>3330672</v>
      </c>
      <c r="B2619" t="s">
        <v>13736</v>
      </c>
      <c r="C2619" t="str">
        <f>"9780773528819"</f>
        <v>9780773528819</v>
      </c>
      <c r="D2619" t="str">
        <f>"9780773572829"</f>
        <v>9780773572829</v>
      </c>
      <c r="E2619" t="s">
        <v>12863</v>
      </c>
      <c r="F2619" t="s">
        <v>12863</v>
      </c>
      <c r="G2619" s="1">
        <v>38384</v>
      </c>
      <c r="J2619" t="s">
        <v>13578</v>
      </c>
      <c r="K2619" t="s">
        <v>467</v>
      </c>
      <c r="L2619" t="s">
        <v>13579</v>
      </c>
      <c r="M2619">
        <v>321.02</v>
      </c>
      <c r="N2619" t="s">
        <v>13737</v>
      </c>
      <c r="O2619" t="s">
        <v>26</v>
      </c>
      <c r="P2619">
        <v>142.5</v>
      </c>
      <c r="Q2619">
        <v>118.75</v>
      </c>
      <c r="R2619">
        <v>95</v>
      </c>
      <c r="S2619">
        <v>142.5</v>
      </c>
      <c r="T2619" t="s">
        <v>13738</v>
      </c>
    </row>
    <row r="2620" spans="1:20">
      <c r="A2620">
        <v>3330673</v>
      </c>
      <c r="B2620" t="s">
        <v>13739</v>
      </c>
      <c r="C2620" t="str">
        <f>"9780773526884"</f>
        <v>9780773526884</v>
      </c>
      <c r="D2620" t="str">
        <f>"9780773571792"</f>
        <v>9780773571792</v>
      </c>
      <c r="E2620" t="s">
        <v>12863</v>
      </c>
      <c r="F2620" t="s">
        <v>12863</v>
      </c>
      <c r="G2620" s="1">
        <v>38047</v>
      </c>
      <c r="J2620" t="s">
        <v>13740</v>
      </c>
      <c r="K2620" t="s">
        <v>291</v>
      </c>
      <c r="L2620" t="s">
        <v>13741</v>
      </c>
      <c r="M2620">
        <v>940.54886729999998</v>
      </c>
      <c r="N2620" t="s">
        <v>13742</v>
      </c>
      <c r="O2620" t="s">
        <v>26</v>
      </c>
      <c r="P2620">
        <v>142.5</v>
      </c>
      <c r="Q2620">
        <v>118.75</v>
      </c>
      <c r="R2620">
        <v>95</v>
      </c>
      <c r="S2620">
        <v>142.5</v>
      </c>
      <c r="T2620" t="s">
        <v>13743</v>
      </c>
    </row>
    <row r="2621" spans="1:20">
      <c r="A2621">
        <v>3330674</v>
      </c>
      <c r="B2621" t="s">
        <v>13744</v>
      </c>
      <c r="C2621" t="str">
        <f>"9780773524866"</f>
        <v>9780773524866</v>
      </c>
      <c r="D2621" t="str">
        <f>"9780773570757"</f>
        <v>9780773570757</v>
      </c>
      <c r="E2621" t="s">
        <v>12863</v>
      </c>
      <c r="F2621" t="s">
        <v>12863</v>
      </c>
      <c r="G2621" s="1">
        <v>37530</v>
      </c>
      <c r="J2621" t="s">
        <v>13745</v>
      </c>
      <c r="K2621" t="s">
        <v>257</v>
      </c>
      <c r="L2621" t="s">
        <v>13746</v>
      </c>
      <c r="M2621" t="s">
        <v>13747</v>
      </c>
      <c r="N2621" t="s">
        <v>13748</v>
      </c>
      <c r="O2621" t="s">
        <v>26</v>
      </c>
      <c r="P2621">
        <v>112.5</v>
      </c>
      <c r="Q2621">
        <v>93.75</v>
      </c>
      <c r="R2621">
        <v>75</v>
      </c>
      <c r="S2621">
        <v>112.5</v>
      </c>
      <c r="T2621" t="s">
        <v>13749</v>
      </c>
    </row>
    <row r="2622" spans="1:20">
      <c r="A2622">
        <v>3330675</v>
      </c>
      <c r="B2622" t="s">
        <v>13750</v>
      </c>
      <c r="C2622" t="str">
        <f>"9780773526129"</f>
        <v>9780773526129</v>
      </c>
      <c r="D2622" t="str">
        <f>"9780773571488"</f>
        <v>9780773571488</v>
      </c>
      <c r="E2622" t="s">
        <v>12863</v>
      </c>
      <c r="F2622" t="s">
        <v>12863</v>
      </c>
      <c r="G2622" s="1">
        <v>37935</v>
      </c>
      <c r="J2622" t="s">
        <v>13751</v>
      </c>
      <c r="K2622" t="s">
        <v>1892</v>
      </c>
      <c r="L2622" t="s">
        <v>13752</v>
      </c>
      <c r="M2622">
        <v>230.20920000000001</v>
      </c>
      <c r="N2622" t="s">
        <v>13753</v>
      </c>
      <c r="O2622" t="s">
        <v>26</v>
      </c>
      <c r="P2622">
        <v>142.5</v>
      </c>
      <c r="Q2622">
        <v>118.75</v>
      </c>
      <c r="R2622">
        <v>95</v>
      </c>
      <c r="S2622">
        <v>142.5</v>
      </c>
      <c r="T2622" t="s">
        <v>13754</v>
      </c>
    </row>
    <row r="2623" spans="1:20">
      <c r="A2623">
        <v>3330676</v>
      </c>
      <c r="B2623" t="s">
        <v>13755</v>
      </c>
      <c r="C2623" t="str">
        <f>"9780773524293"</f>
        <v>9780773524293</v>
      </c>
      <c r="D2623" t="str">
        <f>"9780773570535"</f>
        <v>9780773570535</v>
      </c>
      <c r="E2623" t="s">
        <v>12863</v>
      </c>
      <c r="F2623" t="s">
        <v>12863</v>
      </c>
      <c r="G2623" s="1">
        <v>37292</v>
      </c>
      <c r="J2623" t="s">
        <v>13756</v>
      </c>
      <c r="K2623" t="s">
        <v>467</v>
      </c>
      <c r="L2623" t="s">
        <v>13757</v>
      </c>
      <c r="M2623" t="s">
        <v>9530</v>
      </c>
      <c r="N2623" t="s">
        <v>13758</v>
      </c>
      <c r="O2623" t="s">
        <v>94</v>
      </c>
      <c r="P2623">
        <v>142.5</v>
      </c>
      <c r="Q2623">
        <v>118.75</v>
      </c>
      <c r="R2623">
        <v>95</v>
      </c>
      <c r="S2623">
        <v>142.5</v>
      </c>
      <c r="T2623" t="s">
        <v>13759</v>
      </c>
    </row>
    <row r="2624" spans="1:20">
      <c r="A2624">
        <v>3330677</v>
      </c>
      <c r="B2624" t="s">
        <v>13760</v>
      </c>
      <c r="C2624" t="str">
        <f>"9780773525122"</f>
        <v>9780773525122</v>
      </c>
      <c r="D2624" t="str">
        <f>"9780773570856"</f>
        <v>9780773570856</v>
      </c>
      <c r="E2624" t="s">
        <v>12863</v>
      </c>
      <c r="F2624" t="s">
        <v>12863</v>
      </c>
      <c r="G2624" s="1">
        <v>38028</v>
      </c>
      <c r="I2624" t="s">
        <v>12864</v>
      </c>
      <c r="J2624" t="s">
        <v>13761</v>
      </c>
      <c r="K2624" t="s">
        <v>376</v>
      </c>
      <c r="L2624" t="s">
        <v>13762</v>
      </c>
      <c r="M2624">
        <v>362.11097152349998</v>
      </c>
      <c r="N2624" t="s">
        <v>13763</v>
      </c>
      <c r="O2624" t="s">
        <v>26</v>
      </c>
      <c r="P2624">
        <v>142.5</v>
      </c>
      <c r="Q2624">
        <v>118.75</v>
      </c>
      <c r="R2624">
        <v>95</v>
      </c>
      <c r="S2624">
        <v>142.5</v>
      </c>
      <c r="T2624" t="s">
        <v>13764</v>
      </c>
    </row>
    <row r="2625" spans="1:20">
      <c r="A2625">
        <v>3330678</v>
      </c>
      <c r="B2625" t="s">
        <v>13765</v>
      </c>
      <c r="C2625" t="str">
        <f>"9780773523647"</f>
        <v>9780773523647</v>
      </c>
      <c r="D2625" t="str">
        <f>"9780773570214"</f>
        <v>9780773570214</v>
      </c>
      <c r="E2625" t="s">
        <v>12863</v>
      </c>
      <c r="F2625" t="s">
        <v>12863</v>
      </c>
      <c r="G2625" s="1">
        <v>37341</v>
      </c>
      <c r="J2625" t="s">
        <v>13766</v>
      </c>
      <c r="K2625" t="s">
        <v>376</v>
      </c>
      <c r="L2625" t="s">
        <v>13767</v>
      </c>
      <c r="M2625">
        <v>362.10971000000001</v>
      </c>
      <c r="N2625" t="s">
        <v>13768</v>
      </c>
      <c r="O2625" t="s">
        <v>26</v>
      </c>
      <c r="P2625">
        <v>142.5</v>
      </c>
      <c r="Q2625">
        <v>118.75</v>
      </c>
      <c r="R2625">
        <v>95</v>
      </c>
      <c r="S2625">
        <v>142.5</v>
      </c>
      <c r="T2625" t="s">
        <v>13769</v>
      </c>
    </row>
    <row r="2626" spans="1:20">
      <c r="A2626">
        <v>3330679</v>
      </c>
      <c r="B2626" t="s">
        <v>13770</v>
      </c>
      <c r="C2626" t="str">
        <f>"9780773525788"</f>
        <v>9780773525788</v>
      </c>
      <c r="D2626" t="str">
        <f>"9780773571235"</f>
        <v>9780773571235</v>
      </c>
      <c r="E2626" t="s">
        <v>12863</v>
      </c>
      <c r="F2626" t="s">
        <v>12863</v>
      </c>
      <c r="G2626" s="1">
        <v>37869</v>
      </c>
      <c r="J2626" t="s">
        <v>13771</v>
      </c>
      <c r="K2626" t="s">
        <v>1859</v>
      </c>
      <c r="L2626" t="s">
        <v>13772</v>
      </c>
      <c r="M2626">
        <v>191</v>
      </c>
      <c r="N2626" t="s">
        <v>13773</v>
      </c>
      <c r="O2626" t="s">
        <v>26</v>
      </c>
      <c r="P2626">
        <v>142.5</v>
      </c>
      <c r="Q2626">
        <v>118.75</v>
      </c>
      <c r="R2626">
        <v>95</v>
      </c>
      <c r="S2626">
        <v>142.5</v>
      </c>
      <c r="T2626" t="s">
        <v>13774</v>
      </c>
    </row>
    <row r="2627" spans="1:20">
      <c r="A2627">
        <v>3330680</v>
      </c>
      <c r="B2627" t="s">
        <v>13775</v>
      </c>
      <c r="C2627" t="str">
        <f>"9780773524422"</f>
        <v>9780773524422</v>
      </c>
      <c r="D2627" t="str">
        <f>"9780773570634"</f>
        <v>9780773570634</v>
      </c>
      <c r="E2627" t="s">
        <v>12863</v>
      </c>
      <c r="F2627" t="s">
        <v>12863</v>
      </c>
      <c r="G2627" s="1">
        <v>37670</v>
      </c>
      <c r="J2627" t="s">
        <v>13776</v>
      </c>
      <c r="K2627" t="s">
        <v>257</v>
      </c>
      <c r="L2627" t="s">
        <v>13777</v>
      </c>
      <c r="M2627">
        <v>378.19830971354099</v>
      </c>
      <c r="N2627" t="s">
        <v>13778</v>
      </c>
      <c r="O2627" t="s">
        <v>26</v>
      </c>
      <c r="P2627">
        <v>142.5</v>
      </c>
      <c r="Q2627">
        <v>118.75</v>
      </c>
      <c r="R2627">
        <v>95</v>
      </c>
      <c r="S2627">
        <v>142.5</v>
      </c>
      <c r="T2627" t="s">
        <v>13779</v>
      </c>
    </row>
    <row r="2628" spans="1:20">
      <c r="A2628">
        <v>3330681</v>
      </c>
      <c r="B2628" t="s">
        <v>13780</v>
      </c>
      <c r="C2628" t="str">
        <f>"9780773523388"</f>
        <v>9780773523388</v>
      </c>
      <c r="D2628" t="str">
        <f>"9780773570047"</f>
        <v>9780773570047</v>
      </c>
      <c r="E2628" t="s">
        <v>12863</v>
      </c>
      <c r="F2628" t="s">
        <v>12863</v>
      </c>
      <c r="G2628" s="1">
        <v>37355</v>
      </c>
      <c r="I2628" t="s">
        <v>12942</v>
      </c>
      <c r="J2628" t="s">
        <v>13781</v>
      </c>
      <c r="K2628" t="s">
        <v>964</v>
      </c>
      <c r="L2628" t="s">
        <v>13782</v>
      </c>
      <c r="M2628">
        <v>331.62720712999999</v>
      </c>
      <c r="N2628" t="s">
        <v>13783</v>
      </c>
      <c r="O2628" t="s">
        <v>26</v>
      </c>
      <c r="P2628">
        <v>142.5</v>
      </c>
      <c r="Q2628">
        <v>118.75</v>
      </c>
      <c r="R2628">
        <v>95</v>
      </c>
      <c r="S2628">
        <v>142.5</v>
      </c>
      <c r="T2628" t="s">
        <v>13784</v>
      </c>
    </row>
    <row r="2629" spans="1:20">
      <c r="A2629">
        <v>3330682</v>
      </c>
      <c r="B2629" t="s">
        <v>13785</v>
      </c>
      <c r="C2629" t="str">
        <f>"9780773525320"</f>
        <v>9780773525320</v>
      </c>
      <c r="D2629" t="str">
        <f>"9780773571006"</f>
        <v>9780773571006</v>
      </c>
      <c r="E2629" t="s">
        <v>12863</v>
      </c>
      <c r="F2629" t="s">
        <v>12863</v>
      </c>
      <c r="G2629" s="1">
        <v>37767</v>
      </c>
      <c r="J2629" t="s">
        <v>13786</v>
      </c>
      <c r="K2629" t="s">
        <v>1214</v>
      </c>
      <c r="L2629" t="s">
        <v>13787</v>
      </c>
      <c r="M2629">
        <v>342.71084999999999</v>
      </c>
      <c r="N2629" t="s">
        <v>13788</v>
      </c>
      <c r="O2629" t="s">
        <v>26</v>
      </c>
      <c r="P2629">
        <v>142.5</v>
      </c>
      <c r="Q2629">
        <v>118.75</v>
      </c>
      <c r="R2629">
        <v>95</v>
      </c>
      <c r="S2629">
        <v>142.5</v>
      </c>
      <c r="T2629" t="s">
        <v>13789</v>
      </c>
    </row>
    <row r="2630" spans="1:20">
      <c r="A2630">
        <v>3330683</v>
      </c>
      <c r="B2630" t="s">
        <v>13790</v>
      </c>
      <c r="C2630" t="str">
        <f>"9780773524446"</f>
        <v>9780773524446</v>
      </c>
      <c r="D2630" t="str">
        <f>"9780773570641"</f>
        <v>9780773570641</v>
      </c>
      <c r="E2630" t="s">
        <v>12863</v>
      </c>
      <c r="F2630" t="s">
        <v>12863</v>
      </c>
      <c r="G2630" s="1">
        <v>37581</v>
      </c>
      <c r="J2630" t="s">
        <v>13791</v>
      </c>
      <c r="K2630" t="s">
        <v>467</v>
      </c>
      <c r="L2630" t="s">
        <v>13792</v>
      </c>
      <c r="M2630">
        <v>325.32094409032999</v>
      </c>
      <c r="N2630" t="s">
        <v>13793</v>
      </c>
      <c r="O2630" t="s">
        <v>26</v>
      </c>
      <c r="P2630">
        <v>142.5</v>
      </c>
      <c r="Q2630">
        <v>118.75</v>
      </c>
      <c r="R2630">
        <v>95</v>
      </c>
      <c r="S2630">
        <v>142.5</v>
      </c>
      <c r="T2630" t="s">
        <v>13794</v>
      </c>
    </row>
    <row r="2631" spans="1:20">
      <c r="A2631">
        <v>3330684</v>
      </c>
      <c r="B2631" t="s">
        <v>13795</v>
      </c>
      <c r="C2631" t="str">
        <f>"9780773525610"</f>
        <v>9780773525610</v>
      </c>
      <c r="D2631" t="str">
        <f>"9780773571181"</f>
        <v>9780773571181</v>
      </c>
      <c r="E2631" t="s">
        <v>12863</v>
      </c>
      <c r="F2631" t="s">
        <v>12863</v>
      </c>
      <c r="G2631" s="1">
        <v>37935</v>
      </c>
      <c r="J2631" t="s">
        <v>13796</v>
      </c>
      <c r="K2631" t="s">
        <v>2260</v>
      </c>
      <c r="L2631" t="s">
        <v>13797</v>
      </c>
      <c r="M2631">
        <v>610.69600000000003</v>
      </c>
      <c r="N2631" t="s">
        <v>13798</v>
      </c>
      <c r="O2631" t="s">
        <v>26</v>
      </c>
      <c r="P2631">
        <v>142.5</v>
      </c>
      <c r="Q2631">
        <v>118.75</v>
      </c>
      <c r="R2631">
        <v>95</v>
      </c>
      <c r="S2631">
        <v>142.5</v>
      </c>
      <c r="T2631" t="s">
        <v>13799</v>
      </c>
    </row>
    <row r="2632" spans="1:20">
      <c r="A2632">
        <v>3330685</v>
      </c>
      <c r="B2632" t="s">
        <v>13800</v>
      </c>
      <c r="C2632" t="str">
        <f>"9780773525153"</f>
        <v>9780773525153</v>
      </c>
      <c r="D2632" t="str">
        <f>"9780773570870"</f>
        <v>9780773570870</v>
      </c>
      <c r="E2632" t="s">
        <v>12863</v>
      </c>
      <c r="F2632" t="s">
        <v>12863</v>
      </c>
      <c r="G2632" s="1">
        <v>37728</v>
      </c>
      <c r="J2632" t="s">
        <v>13801</v>
      </c>
      <c r="K2632" t="s">
        <v>305</v>
      </c>
      <c r="L2632" t="s">
        <v>13802</v>
      </c>
      <c r="M2632">
        <v>387.52409165649999</v>
      </c>
      <c r="N2632" t="s">
        <v>13803</v>
      </c>
      <c r="O2632" t="s">
        <v>26</v>
      </c>
      <c r="P2632">
        <v>142.5</v>
      </c>
      <c r="Q2632">
        <v>118.75</v>
      </c>
      <c r="R2632">
        <v>95</v>
      </c>
      <c r="S2632">
        <v>142.5</v>
      </c>
      <c r="T2632" t="s">
        <v>13804</v>
      </c>
    </row>
    <row r="2633" spans="1:20">
      <c r="A2633">
        <v>3330686</v>
      </c>
      <c r="B2633" t="s">
        <v>13805</v>
      </c>
      <c r="C2633" t="str">
        <f>"9780773524552"</f>
        <v>9780773524552</v>
      </c>
      <c r="D2633" t="str">
        <f>"9780773570696"</f>
        <v>9780773570696</v>
      </c>
      <c r="E2633" t="s">
        <v>12863</v>
      </c>
      <c r="F2633" t="s">
        <v>12863</v>
      </c>
      <c r="G2633" s="1">
        <v>37671</v>
      </c>
      <c r="J2633" t="s">
        <v>13806</v>
      </c>
      <c r="K2633" t="s">
        <v>291</v>
      </c>
      <c r="L2633" t="s">
        <v>13807</v>
      </c>
      <c r="M2633">
        <v>988.15</v>
      </c>
      <c r="N2633" t="s">
        <v>13808</v>
      </c>
      <c r="O2633" t="s">
        <v>26</v>
      </c>
      <c r="P2633">
        <v>142.5</v>
      </c>
      <c r="Q2633">
        <v>118.75</v>
      </c>
      <c r="R2633">
        <v>95</v>
      </c>
      <c r="S2633">
        <v>142.5</v>
      </c>
      <c r="T2633" t="s">
        <v>13809</v>
      </c>
    </row>
    <row r="2634" spans="1:20">
      <c r="A2634">
        <v>3330687</v>
      </c>
      <c r="B2634" t="s">
        <v>13810</v>
      </c>
      <c r="C2634" t="str">
        <f>"9780773528369"</f>
        <v>9780773528369</v>
      </c>
      <c r="D2634" t="str">
        <f>"9780773572492"</f>
        <v>9780773572492</v>
      </c>
      <c r="E2634" t="s">
        <v>12863</v>
      </c>
      <c r="F2634" t="s">
        <v>12863</v>
      </c>
      <c r="G2634" s="1">
        <v>38369</v>
      </c>
      <c r="I2634" t="s">
        <v>13811</v>
      </c>
      <c r="J2634" t="s">
        <v>13812</v>
      </c>
      <c r="K2634" t="s">
        <v>7063</v>
      </c>
      <c r="L2634" t="s">
        <v>13100</v>
      </c>
      <c r="M2634">
        <v>327.71</v>
      </c>
      <c r="N2634" t="s">
        <v>13813</v>
      </c>
      <c r="O2634" t="s">
        <v>26</v>
      </c>
      <c r="P2634">
        <v>142.5</v>
      </c>
      <c r="Q2634">
        <v>118.75</v>
      </c>
      <c r="R2634">
        <v>95</v>
      </c>
      <c r="S2634">
        <v>142.5</v>
      </c>
      <c r="T2634" t="s">
        <v>13814</v>
      </c>
    </row>
    <row r="2635" spans="1:20">
      <c r="A2635">
        <v>3330688</v>
      </c>
      <c r="B2635" t="s">
        <v>13815</v>
      </c>
      <c r="C2635" t="str">
        <f>"9780773528055"</f>
        <v>9780773528055</v>
      </c>
      <c r="D2635" t="str">
        <f>"9780773572324"</f>
        <v>9780773572324</v>
      </c>
      <c r="E2635" t="s">
        <v>12863</v>
      </c>
      <c r="F2635" t="s">
        <v>12863</v>
      </c>
      <c r="G2635" s="1">
        <v>38300</v>
      </c>
      <c r="I2635" t="s">
        <v>12886</v>
      </c>
      <c r="J2635" t="s">
        <v>13816</v>
      </c>
      <c r="K2635" t="s">
        <v>257</v>
      </c>
      <c r="L2635" t="s">
        <v>13817</v>
      </c>
      <c r="M2635">
        <v>378.71</v>
      </c>
      <c r="N2635" t="s">
        <v>13818</v>
      </c>
      <c r="O2635" t="s">
        <v>26</v>
      </c>
      <c r="P2635">
        <v>142.5</v>
      </c>
      <c r="Q2635">
        <v>118.75</v>
      </c>
      <c r="R2635">
        <v>95</v>
      </c>
      <c r="S2635">
        <v>142.5</v>
      </c>
      <c r="T2635" t="s">
        <v>13819</v>
      </c>
    </row>
    <row r="2636" spans="1:20">
      <c r="A2636">
        <v>3330689</v>
      </c>
      <c r="B2636" t="s">
        <v>13820</v>
      </c>
      <c r="C2636" t="str">
        <f>"9780773525160"</f>
        <v>9780773525160</v>
      </c>
      <c r="D2636" t="str">
        <f>"9780773570887"</f>
        <v>9780773570887</v>
      </c>
      <c r="E2636" t="s">
        <v>12863</v>
      </c>
      <c r="F2636" t="s">
        <v>12863</v>
      </c>
      <c r="G2636" s="1">
        <v>37704</v>
      </c>
      <c r="J2636" t="s">
        <v>13821</v>
      </c>
      <c r="K2636" t="s">
        <v>1464</v>
      </c>
      <c r="L2636" t="s">
        <v>13822</v>
      </c>
      <c r="M2636">
        <v>813.54093550000005</v>
      </c>
      <c r="N2636" t="s">
        <v>13823</v>
      </c>
      <c r="O2636" t="s">
        <v>26</v>
      </c>
      <c r="P2636">
        <v>142.5</v>
      </c>
      <c r="Q2636">
        <v>118.75</v>
      </c>
      <c r="R2636">
        <v>95</v>
      </c>
      <c r="S2636">
        <v>142.5</v>
      </c>
      <c r="T2636" t="s">
        <v>13824</v>
      </c>
    </row>
    <row r="2637" spans="1:20">
      <c r="A2637">
        <v>3330690</v>
      </c>
      <c r="B2637" t="s">
        <v>13825</v>
      </c>
      <c r="C2637" t="str">
        <f>"9780773523517"</f>
        <v>9780773523517</v>
      </c>
      <c r="D2637" t="str">
        <f>"9780773570139"</f>
        <v>9780773570139</v>
      </c>
      <c r="E2637" t="s">
        <v>12863</v>
      </c>
      <c r="F2637" t="s">
        <v>12863</v>
      </c>
      <c r="G2637" s="1">
        <v>37414</v>
      </c>
      <c r="J2637" t="s">
        <v>13826</v>
      </c>
      <c r="K2637" t="s">
        <v>1464</v>
      </c>
      <c r="L2637" t="s">
        <v>13827</v>
      </c>
      <c r="M2637">
        <v>823.0093243</v>
      </c>
      <c r="N2637" t="s">
        <v>13828</v>
      </c>
      <c r="O2637" t="s">
        <v>26</v>
      </c>
      <c r="P2637">
        <v>142.5</v>
      </c>
      <c r="Q2637">
        <v>118.75</v>
      </c>
      <c r="R2637">
        <v>95</v>
      </c>
      <c r="S2637">
        <v>142.5</v>
      </c>
      <c r="T2637" t="s">
        <v>13829</v>
      </c>
    </row>
    <row r="2638" spans="1:20">
      <c r="A2638">
        <v>3330691</v>
      </c>
      <c r="B2638" t="s">
        <v>13830</v>
      </c>
      <c r="C2638" t="str">
        <f>"9780773526990"</f>
        <v>9780773526990</v>
      </c>
      <c r="D2638" t="str">
        <f>"9780773571860"</f>
        <v>9780773571860</v>
      </c>
      <c r="E2638" t="s">
        <v>12863</v>
      </c>
      <c r="F2638" t="s">
        <v>12863</v>
      </c>
      <c r="G2638" s="1">
        <v>38331</v>
      </c>
      <c r="J2638" t="s">
        <v>13831</v>
      </c>
      <c r="K2638" t="s">
        <v>291</v>
      </c>
      <c r="L2638" t="s">
        <v>13832</v>
      </c>
      <c r="M2638">
        <v>971.60041139999998</v>
      </c>
      <c r="N2638" t="s">
        <v>13833</v>
      </c>
      <c r="O2638" t="s">
        <v>26</v>
      </c>
      <c r="P2638">
        <v>74.930000000000007</v>
      </c>
      <c r="Q2638">
        <v>62.44</v>
      </c>
      <c r="R2638">
        <v>49.95</v>
      </c>
      <c r="S2638">
        <v>74.930000000000007</v>
      </c>
      <c r="T2638" t="s">
        <v>13834</v>
      </c>
    </row>
    <row r="2639" spans="1:20">
      <c r="A2639">
        <v>3330692</v>
      </c>
      <c r="B2639" t="s">
        <v>13835</v>
      </c>
      <c r="C2639" t="str">
        <f>"9780773526372"</f>
        <v>9780773526372</v>
      </c>
      <c r="D2639" t="str">
        <f>"9780773571587"</f>
        <v>9780773571587</v>
      </c>
      <c r="E2639" t="s">
        <v>12863</v>
      </c>
      <c r="F2639" t="s">
        <v>12863</v>
      </c>
      <c r="G2639" s="1">
        <v>37944</v>
      </c>
      <c r="J2639" t="s">
        <v>13836</v>
      </c>
      <c r="K2639" t="s">
        <v>416</v>
      </c>
      <c r="L2639" t="s">
        <v>13837</v>
      </c>
      <c r="M2639">
        <v>337</v>
      </c>
      <c r="N2639" t="s">
        <v>13838</v>
      </c>
      <c r="O2639" t="s">
        <v>26</v>
      </c>
      <c r="P2639">
        <v>142.5</v>
      </c>
      <c r="Q2639">
        <v>118.75</v>
      </c>
      <c r="R2639">
        <v>95</v>
      </c>
      <c r="S2639">
        <v>142.5</v>
      </c>
      <c r="T2639" t="s">
        <v>13839</v>
      </c>
    </row>
    <row r="2640" spans="1:20">
      <c r="A2640">
        <v>3330693</v>
      </c>
      <c r="B2640" t="s">
        <v>13840</v>
      </c>
      <c r="C2640" t="str">
        <f>"9780773524040"</f>
        <v>9780773524040</v>
      </c>
      <c r="D2640" t="str">
        <f>"9780773570412"</f>
        <v>9780773570412</v>
      </c>
      <c r="E2640" t="s">
        <v>12863</v>
      </c>
      <c r="F2640" t="s">
        <v>12863</v>
      </c>
      <c r="G2640" s="1">
        <v>37559</v>
      </c>
      <c r="I2640" t="s">
        <v>12871</v>
      </c>
      <c r="J2640" t="s">
        <v>6386</v>
      </c>
      <c r="K2640" t="s">
        <v>291</v>
      </c>
      <c r="L2640" t="s">
        <v>13841</v>
      </c>
      <c r="M2640" t="s">
        <v>13842</v>
      </c>
      <c r="N2640" t="s">
        <v>13843</v>
      </c>
      <c r="O2640" t="s">
        <v>26</v>
      </c>
      <c r="P2640">
        <v>142.5</v>
      </c>
      <c r="Q2640">
        <v>118.75</v>
      </c>
      <c r="R2640">
        <v>95</v>
      </c>
      <c r="S2640">
        <v>142.5</v>
      </c>
      <c r="T2640" t="s">
        <v>13844</v>
      </c>
    </row>
    <row r="2641" spans="1:20">
      <c r="A2641">
        <v>3330694</v>
      </c>
      <c r="B2641" t="s">
        <v>13845</v>
      </c>
      <c r="C2641" t="str">
        <f>"9780773523616"</f>
        <v>9780773523616</v>
      </c>
      <c r="D2641" t="str">
        <f>"9780773570191"</f>
        <v>9780773570191</v>
      </c>
      <c r="E2641" t="s">
        <v>12863</v>
      </c>
      <c r="F2641" t="s">
        <v>12863</v>
      </c>
      <c r="G2641" s="1">
        <v>37474</v>
      </c>
      <c r="I2641" t="s">
        <v>13270</v>
      </c>
      <c r="J2641" t="s">
        <v>7186</v>
      </c>
      <c r="K2641" t="s">
        <v>291</v>
      </c>
      <c r="L2641" t="s">
        <v>12975</v>
      </c>
      <c r="M2641">
        <v>970.00497299999995</v>
      </c>
      <c r="N2641" t="s">
        <v>13846</v>
      </c>
      <c r="O2641" t="s">
        <v>26</v>
      </c>
      <c r="P2641">
        <v>142.5</v>
      </c>
      <c r="Q2641">
        <v>118.75</v>
      </c>
      <c r="R2641">
        <v>95</v>
      </c>
      <c r="S2641">
        <v>142.5</v>
      </c>
      <c r="T2641" t="s">
        <v>13847</v>
      </c>
    </row>
    <row r="2642" spans="1:20">
      <c r="A2642">
        <v>3330695</v>
      </c>
      <c r="B2642" t="s">
        <v>13848</v>
      </c>
      <c r="C2642" t="str">
        <f>"9780773524484"</f>
        <v>9780773524484</v>
      </c>
      <c r="D2642" t="str">
        <f>"9780773570672"</f>
        <v>9780773570672</v>
      </c>
      <c r="E2642" t="s">
        <v>12907</v>
      </c>
      <c r="F2642" t="s">
        <v>13849</v>
      </c>
      <c r="G2642" s="1">
        <v>37671</v>
      </c>
      <c r="J2642" t="s">
        <v>13850</v>
      </c>
      <c r="K2642" t="s">
        <v>612</v>
      </c>
      <c r="L2642" t="s">
        <v>13851</v>
      </c>
      <c r="M2642" t="s">
        <v>13852</v>
      </c>
      <c r="N2642" t="s">
        <v>13853</v>
      </c>
      <c r="O2642" t="s">
        <v>26</v>
      </c>
      <c r="P2642">
        <v>142.5</v>
      </c>
      <c r="Q2642">
        <v>118.75</v>
      </c>
      <c r="R2642">
        <v>95</v>
      </c>
      <c r="S2642">
        <v>142.5</v>
      </c>
      <c r="T2642" t="s">
        <v>13854</v>
      </c>
    </row>
    <row r="2643" spans="1:20">
      <c r="A2643">
        <v>3330696</v>
      </c>
      <c r="B2643" t="s">
        <v>13855</v>
      </c>
      <c r="C2643" t="str">
        <f>"9780773526662"</f>
        <v>9780773526662</v>
      </c>
      <c r="D2643" t="str">
        <f>"9780773571730"</f>
        <v>9780773571730</v>
      </c>
      <c r="E2643" t="s">
        <v>12907</v>
      </c>
      <c r="F2643" t="s">
        <v>12907</v>
      </c>
      <c r="G2643" s="1">
        <v>38047</v>
      </c>
      <c r="J2643" t="s">
        <v>13856</v>
      </c>
      <c r="K2643" t="s">
        <v>291</v>
      </c>
      <c r="L2643" t="s">
        <v>13857</v>
      </c>
      <c r="M2643" t="s">
        <v>13858</v>
      </c>
      <c r="N2643" t="s">
        <v>13859</v>
      </c>
      <c r="O2643" t="s">
        <v>26</v>
      </c>
      <c r="P2643">
        <v>142.5</v>
      </c>
      <c r="Q2643">
        <v>118.75</v>
      </c>
      <c r="R2643">
        <v>95</v>
      </c>
      <c r="S2643">
        <v>142.5</v>
      </c>
      <c r="T2643" t="s">
        <v>13860</v>
      </c>
    </row>
    <row r="2644" spans="1:20">
      <c r="A2644">
        <v>3330697</v>
      </c>
      <c r="B2644" t="s">
        <v>13861</v>
      </c>
      <c r="C2644" t="str">
        <f>"9780773523555"</f>
        <v>9780773523555</v>
      </c>
      <c r="D2644" t="str">
        <f>"9780773570160"</f>
        <v>9780773570160</v>
      </c>
      <c r="E2644" t="s">
        <v>12907</v>
      </c>
      <c r="F2644" t="s">
        <v>12907</v>
      </c>
      <c r="G2644" s="1">
        <v>37546</v>
      </c>
      <c r="J2644" t="s">
        <v>13264</v>
      </c>
      <c r="K2644" t="s">
        <v>336</v>
      </c>
      <c r="L2644" t="s">
        <v>13266</v>
      </c>
      <c r="M2644">
        <v>302</v>
      </c>
      <c r="N2644" t="s">
        <v>13267</v>
      </c>
      <c r="O2644" t="s">
        <v>26</v>
      </c>
      <c r="P2644">
        <v>142.5</v>
      </c>
      <c r="Q2644">
        <v>118.75</v>
      </c>
      <c r="R2644">
        <v>95</v>
      </c>
      <c r="S2644">
        <v>142.5</v>
      </c>
      <c r="T2644" t="s">
        <v>13862</v>
      </c>
    </row>
    <row r="2645" spans="1:20">
      <c r="A2645">
        <v>3330698</v>
      </c>
      <c r="B2645" t="s">
        <v>13863</v>
      </c>
      <c r="C2645" t="str">
        <f>"9780773521841"</f>
        <v>9780773521841</v>
      </c>
      <c r="D2645" t="str">
        <f>"9780773569225"</f>
        <v>9780773569225</v>
      </c>
      <c r="E2645" t="s">
        <v>12907</v>
      </c>
      <c r="F2645" t="s">
        <v>12907</v>
      </c>
      <c r="G2645" s="1">
        <v>36861</v>
      </c>
      <c r="J2645" t="s">
        <v>13864</v>
      </c>
      <c r="K2645" t="s">
        <v>263</v>
      </c>
      <c r="L2645" t="s">
        <v>13865</v>
      </c>
      <c r="M2645" t="s">
        <v>13866</v>
      </c>
      <c r="N2645" t="s">
        <v>13867</v>
      </c>
      <c r="O2645" t="s">
        <v>26</v>
      </c>
      <c r="P2645">
        <v>120</v>
      </c>
      <c r="Q2645">
        <v>100</v>
      </c>
      <c r="R2645">
        <v>80</v>
      </c>
      <c r="S2645">
        <v>120</v>
      </c>
      <c r="T2645" t="s">
        <v>13868</v>
      </c>
    </row>
    <row r="2646" spans="1:20">
      <c r="A2646">
        <v>3330699</v>
      </c>
      <c r="B2646" t="s">
        <v>13869</v>
      </c>
      <c r="C2646" t="str">
        <f>"9780773520974"</f>
        <v>9780773520974</v>
      </c>
      <c r="D2646" t="str">
        <f>"9780773568709"</f>
        <v>9780773568709</v>
      </c>
      <c r="E2646" t="s">
        <v>12863</v>
      </c>
      <c r="F2646" t="s">
        <v>12863</v>
      </c>
      <c r="G2646" s="1">
        <v>36902</v>
      </c>
      <c r="J2646" t="s">
        <v>13870</v>
      </c>
      <c r="K2646" t="s">
        <v>467</v>
      </c>
      <c r="L2646" t="s">
        <v>13871</v>
      </c>
      <c r="M2646">
        <v>323.44801000000001</v>
      </c>
      <c r="N2646" t="s">
        <v>13872</v>
      </c>
      <c r="O2646" t="s">
        <v>26</v>
      </c>
      <c r="P2646">
        <v>142.5</v>
      </c>
      <c r="Q2646">
        <v>118.75</v>
      </c>
      <c r="R2646">
        <v>95</v>
      </c>
      <c r="S2646">
        <v>142.5</v>
      </c>
      <c r="T2646" t="s">
        <v>13873</v>
      </c>
    </row>
    <row r="2647" spans="1:20">
      <c r="A2647">
        <v>3330700</v>
      </c>
      <c r="B2647" t="s">
        <v>13874</v>
      </c>
      <c r="C2647" t="str">
        <f>"9780773525344"</f>
        <v>9780773525344</v>
      </c>
      <c r="D2647" t="str">
        <f>"9780773571020"</f>
        <v>9780773571020</v>
      </c>
      <c r="E2647" t="s">
        <v>12907</v>
      </c>
      <c r="F2647" t="s">
        <v>12907</v>
      </c>
      <c r="G2647" s="1">
        <v>37735</v>
      </c>
      <c r="I2647" t="s">
        <v>12886</v>
      </c>
      <c r="J2647" t="s">
        <v>13875</v>
      </c>
      <c r="K2647" t="s">
        <v>6813</v>
      </c>
      <c r="L2647" t="s">
        <v>13876</v>
      </c>
      <c r="M2647" t="s">
        <v>13877</v>
      </c>
      <c r="N2647" t="s">
        <v>13878</v>
      </c>
      <c r="O2647" t="s">
        <v>26</v>
      </c>
      <c r="P2647">
        <v>142.5</v>
      </c>
      <c r="Q2647">
        <v>118.75</v>
      </c>
      <c r="R2647">
        <v>95</v>
      </c>
      <c r="S2647">
        <v>142.5</v>
      </c>
      <c r="T2647" t="s">
        <v>13879</v>
      </c>
    </row>
    <row r="2648" spans="1:20">
      <c r="A2648">
        <v>3330701</v>
      </c>
      <c r="B2648" t="s">
        <v>13880</v>
      </c>
      <c r="C2648" t="str">
        <f>"9780773526006"</f>
        <v>9780773526006</v>
      </c>
      <c r="D2648" t="str">
        <f>"9780773571389"</f>
        <v>9780773571389</v>
      </c>
      <c r="E2648" t="s">
        <v>12863</v>
      </c>
      <c r="F2648" t="s">
        <v>12863</v>
      </c>
      <c r="G2648" s="1">
        <v>37916</v>
      </c>
      <c r="I2648" t="s">
        <v>13270</v>
      </c>
      <c r="J2648" t="s">
        <v>13881</v>
      </c>
      <c r="K2648" t="s">
        <v>263</v>
      </c>
      <c r="L2648" t="s">
        <v>13882</v>
      </c>
      <c r="M2648" t="s">
        <v>4054</v>
      </c>
      <c r="N2648" t="s">
        <v>13883</v>
      </c>
      <c r="O2648" t="s">
        <v>26</v>
      </c>
      <c r="P2648">
        <v>142.5</v>
      </c>
      <c r="Q2648">
        <v>118.75</v>
      </c>
      <c r="R2648">
        <v>95</v>
      </c>
      <c r="S2648">
        <v>142.5</v>
      </c>
      <c r="T2648" t="s">
        <v>13884</v>
      </c>
    </row>
    <row r="2649" spans="1:20">
      <c r="A2649">
        <v>3330702</v>
      </c>
      <c r="B2649" t="s">
        <v>13885</v>
      </c>
      <c r="C2649" t="str">
        <f>"9780773521476"</f>
        <v>9780773521476</v>
      </c>
      <c r="D2649" t="str">
        <f>"9780773568952"</f>
        <v>9780773568952</v>
      </c>
      <c r="E2649" t="s">
        <v>12863</v>
      </c>
      <c r="F2649" t="s">
        <v>12863</v>
      </c>
      <c r="G2649" s="1">
        <v>37005</v>
      </c>
      <c r="J2649" t="s">
        <v>13886</v>
      </c>
      <c r="K2649" t="s">
        <v>50</v>
      </c>
      <c r="L2649" t="s">
        <v>13887</v>
      </c>
      <c r="M2649">
        <v>607.10440000000006</v>
      </c>
      <c r="N2649" t="s">
        <v>13888</v>
      </c>
      <c r="O2649" t="s">
        <v>26</v>
      </c>
      <c r="P2649">
        <v>142.5</v>
      </c>
      <c r="Q2649">
        <v>118.75</v>
      </c>
      <c r="R2649">
        <v>95</v>
      </c>
      <c r="S2649">
        <v>142.5</v>
      </c>
      <c r="T2649" t="s">
        <v>13889</v>
      </c>
    </row>
    <row r="2650" spans="1:20">
      <c r="A2650">
        <v>3330703</v>
      </c>
      <c r="B2650" t="s">
        <v>13890</v>
      </c>
      <c r="C2650" t="str">
        <f>"9780773525474"</f>
        <v>9780773525474</v>
      </c>
      <c r="D2650" t="str">
        <f>"9780773571099"</f>
        <v>9780773571099</v>
      </c>
      <c r="E2650" t="s">
        <v>12863</v>
      </c>
      <c r="F2650" t="s">
        <v>12863</v>
      </c>
      <c r="G2650" s="1">
        <v>37785</v>
      </c>
      <c r="J2650" t="s">
        <v>13891</v>
      </c>
      <c r="K2650" t="s">
        <v>467</v>
      </c>
      <c r="L2650" t="s">
        <v>13892</v>
      </c>
      <c r="M2650">
        <v>320.971</v>
      </c>
      <c r="N2650" t="s">
        <v>13893</v>
      </c>
      <c r="O2650" t="s">
        <v>26</v>
      </c>
      <c r="P2650">
        <v>142.5</v>
      </c>
      <c r="Q2650">
        <v>118.75</v>
      </c>
      <c r="R2650">
        <v>95</v>
      </c>
      <c r="S2650">
        <v>142.5</v>
      </c>
      <c r="T2650" t="s">
        <v>13894</v>
      </c>
    </row>
    <row r="2651" spans="1:20">
      <c r="A2651">
        <v>3330704</v>
      </c>
      <c r="B2651" t="s">
        <v>13895</v>
      </c>
      <c r="C2651" t="str">
        <f>"9780773525870"</f>
        <v>9780773525870</v>
      </c>
      <c r="D2651" t="str">
        <f>"9780773571297"</f>
        <v>9780773571297</v>
      </c>
      <c r="E2651" t="s">
        <v>12863</v>
      </c>
      <c r="F2651" t="s">
        <v>12863</v>
      </c>
      <c r="G2651" s="1">
        <v>37886</v>
      </c>
      <c r="J2651" t="s">
        <v>13896</v>
      </c>
      <c r="K2651" t="s">
        <v>1464</v>
      </c>
      <c r="L2651" t="s">
        <v>13140</v>
      </c>
      <c r="M2651">
        <v>813.54099206930005</v>
      </c>
      <c r="N2651" t="s">
        <v>13897</v>
      </c>
      <c r="O2651" t="s">
        <v>26</v>
      </c>
      <c r="P2651">
        <v>142.5</v>
      </c>
      <c r="Q2651">
        <v>118.75</v>
      </c>
      <c r="R2651">
        <v>95</v>
      </c>
      <c r="S2651">
        <v>142.5</v>
      </c>
      <c r="T2651" t="s">
        <v>13898</v>
      </c>
    </row>
    <row r="2652" spans="1:20">
      <c r="A2652">
        <v>3330705</v>
      </c>
      <c r="B2652" t="s">
        <v>13899</v>
      </c>
      <c r="C2652" t="str">
        <f>"9780773526440"</f>
        <v>9780773526440</v>
      </c>
      <c r="D2652" t="str">
        <f>"9780773571624"</f>
        <v>9780773571624</v>
      </c>
      <c r="E2652" t="s">
        <v>12863</v>
      </c>
      <c r="F2652" t="s">
        <v>12863</v>
      </c>
      <c r="G2652" s="1">
        <v>38260</v>
      </c>
      <c r="J2652" t="s">
        <v>13900</v>
      </c>
      <c r="K2652" t="s">
        <v>1464</v>
      </c>
      <c r="L2652" t="s">
        <v>13901</v>
      </c>
      <c r="M2652">
        <v>828.91408999999999</v>
      </c>
      <c r="N2652" t="s">
        <v>13902</v>
      </c>
      <c r="O2652" t="s">
        <v>26</v>
      </c>
      <c r="P2652">
        <v>82.5</v>
      </c>
      <c r="Q2652">
        <v>68.75</v>
      </c>
      <c r="R2652">
        <v>55</v>
      </c>
      <c r="S2652">
        <v>82.5</v>
      </c>
      <c r="T2652" t="s">
        <v>13903</v>
      </c>
    </row>
    <row r="2653" spans="1:20">
      <c r="A2653">
        <v>3330706</v>
      </c>
      <c r="B2653" t="s">
        <v>13904</v>
      </c>
      <c r="C2653" t="str">
        <f>"9780773525467"</f>
        <v>9780773525467</v>
      </c>
      <c r="D2653" t="str">
        <f>"9780773571082"</f>
        <v>9780773571082</v>
      </c>
      <c r="E2653" t="s">
        <v>12863</v>
      </c>
      <c r="F2653" t="s">
        <v>12863</v>
      </c>
      <c r="G2653" s="1">
        <v>37749</v>
      </c>
      <c r="J2653" t="s">
        <v>13905</v>
      </c>
      <c r="K2653" t="s">
        <v>291</v>
      </c>
      <c r="L2653" t="s">
        <v>13906</v>
      </c>
      <c r="M2653">
        <v>940.40971000000002</v>
      </c>
      <c r="N2653" t="s">
        <v>13907</v>
      </c>
      <c r="O2653" t="s">
        <v>26</v>
      </c>
      <c r="P2653">
        <v>142.5</v>
      </c>
      <c r="Q2653">
        <v>118.75</v>
      </c>
      <c r="R2653">
        <v>95</v>
      </c>
      <c r="S2653">
        <v>142.5</v>
      </c>
      <c r="T2653" t="s">
        <v>13908</v>
      </c>
    </row>
    <row r="2654" spans="1:20">
      <c r="A2654">
        <v>3330707</v>
      </c>
      <c r="B2654" t="s">
        <v>13909</v>
      </c>
      <c r="C2654" t="str">
        <f>"9780773526099"</f>
        <v>9780773526099</v>
      </c>
      <c r="D2654" t="str">
        <f>"9780773571457"</f>
        <v>9780773571457</v>
      </c>
      <c r="E2654" t="s">
        <v>12907</v>
      </c>
      <c r="F2654" t="s">
        <v>12907</v>
      </c>
      <c r="G2654" s="1">
        <v>37921</v>
      </c>
      <c r="I2654" t="s">
        <v>12864</v>
      </c>
      <c r="J2654" t="s">
        <v>13910</v>
      </c>
      <c r="K2654" t="s">
        <v>13911</v>
      </c>
      <c r="L2654" t="s">
        <v>13912</v>
      </c>
      <c r="M2654" t="s">
        <v>13913</v>
      </c>
      <c r="N2654" t="s">
        <v>13914</v>
      </c>
      <c r="O2654" t="s">
        <v>26</v>
      </c>
      <c r="P2654">
        <v>142.5</v>
      </c>
      <c r="Q2654">
        <v>118.75</v>
      </c>
      <c r="R2654">
        <v>95</v>
      </c>
      <c r="S2654">
        <v>142.5</v>
      </c>
      <c r="T2654" t="s">
        <v>13915</v>
      </c>
    </row>
    <row r="2655" spans="1:20">
      <c r="A2655">
        <v>3330708</v>
      </c>
      <c r="B2655" t="s">
        <v>13916</v>
      </c>
      <c r="C2655" t="str">
        <f>"9780773523593"</f>
        <v>9780773523593</v>
      </c>
      <c r="D2655" t="str">
        <f>"9780773570184"</f>
        <v>9780773570184</v>
      </c>
      <c r="E2655" t="s">
        <v>12907</v>
      </c>
      <c r="F2655" t="s">
        <v>12907</v>
      </c>
      <c r="G2655" s="1">
        <v>37546</v>
      </c>
      <c r="J2655" t="s">
        <v>13264</v>
      </c>
      <c r="K2655" t="s">
        <v>13917</v>
      </c>
      <c r="L2655" t="s">
        <v>13918</v>
      </c>
      <c r="M2655">
        <v>302</v>
      </c>
      <c r="N2655" t="s">
        <v>13267</v>
      </c>
      <c r="O2655" t="s">
        <v>26</v>
      </c>
      <c r="P2655">
        <v>142.5</v>
      </c>
      <c r="Q2655">
        <v>118.75</v>
      </c>
      <c r="R2655">
        <v>95</v>
      </c>
      <c r="S2655">
        <v>142.5</v>
      </c>
      <c r="T2655" t="s">
        <v>13919</v>
      </c>
    </row>
    <row r="2656" spans="1:20">
      <c r="A2656">
        <v>3330709</v>
      </c>
      <c r="B2656" t="s">
        <v>13920</v>
      </c>
      <c r="C2656" t="str">
        <f>"9780773526983"</f>
        <v>9780773526983</v>
      </c>
      <c r="D2656" t="str">
        <f>"9780773571853"</f>
        <v>9780773571853</v>
      </c>
      <c r="E2656" t="s">
        <v>12863</v>
      </c>
      <c r="F2656" t="s">
        <v>12863</v>
      </c>
      <c r="G2656" s="1">
        <v>38058</v>
      </c>
      <c r="J2656" t="s">
        <v>13921</v>
      </c>
      <c r="K2656" t="s">
        <v>263</v>
      </c>
      <c r="L2656" t="s">
        <v>13922</v>
      </c>
      <c r="M2656">
        <v>306.85097100000002</v>
      </c>
      <c r="N2656" t="s">
        <v>13923</v>
      </c>
      <c r="O2656" t="s">
        <v>26</v>
      </c>
      <c r="P2656">
        <v>142.5</v>
      </c>
      <c r="Q2656">
        <v>118.75</v>
      </c>
      <c r="R2656">
        <v>95</v>
      </c>
      <c r="S2656">
        <v>142.5</v>
      </c>
      <c r="T2656" t="s">
        <v>13924</v>
      </c>
    </row>
    <row r="2657" spans="1:20">
      <c r="A2657">
        <v>3330710</v>
      </c>
      <c r="B2657" t="s">
        <v>13925</v>
      </c>
      <c r="C2657" t="str">
        <f>"9780773525818"</f>
        <v>9780773525818</v>
      </c>
      <c r="D2657" t="str">
        <f>"9780773571259"</f>
        <v>9780773571259</v>
      </c>
      <c r="E2657" t="s">
        <v>12863</v>
      </c>
      <c r="F2657" t="s">
        <v>12863</v>
      </c>
      <c r="G2657" s="1">
        <v>38065</v>
      </c>
      <c r="J2657" t="s">
        <v>13926</v>
      </c>
      <c r="K2657" t="s">
        <v>1471</v>
      </c>
      <c r="L2657" t="s">
        <v>13927</v>
      </c>
      <c r="M2657">
        <v>786.20920000000001</v>
      </c>
      <c r="N2657" t="s">
        <v>13928</v>
      </c>
      <c r="O2657" t="s">
        <v>26</v>
      </c>
      <c r="P2657">
        <v>82.5</v>
      </c>
      <c r="Q2657">
        <v>68.75</v>
      </c>
      <c r="R2657">
        <v>55</v>
      </c>
      <c r="S2657">
        <v>82.5</v>
      </c>
      <c r="T2657" t="s">
        <v>13929</v>
      </c>
    </row>
    <row r="2658" spans="1:20">
      <c r="A2658">
        <v>3330711</v>
      </c>
      <c r="B2658" t="s">
        <v>13930</v>
      </c>
      <c r="C2658" t="str">
        <f>"9780773527225"</f>
        <v>9780773527225</v>
      </c>
      <c r="D2658" t="str">
        <f>"9780773571990"</f>
        <v>9780773571990</v>
      </c>
      <c r="E2658" t="s">
        <v>12863</v>
      </c>
      <c r="F2658" t="s">
        <v>12863</v>
      </c>
      <c r="G2658" s="1">
        <v>38079</v>
      </c>
      <c r="J2658" t="s">
        <v>13931</v>
      </c>
      <c r="K2658" t="s">
        <v>6806</v>
      </c>
      <c r="L2658" t="s">
        <v>13932</v>
      </c>
      <c r="M2658">
        <v>394.09457099999997</v>
      </c>
      <c r="N2658" t="s">
        <v>13933</v>
      </c>
      <c r="O2658" t="s">
        <v>26</v>
      </c>
      <c r="P2658">
        <v>142.5</v>
      </c>
      <c r="Q2658">
        <v>118.75</v>
      </c>
      <c r="R2658">
        <v>95</v>
      </c>
      <c r="S2658">
        <v>142.5</v>
      </c>
      <c r="T2658" t="s">
        <v>13934</v>
      </c>
    </row>
    <row r="2659" spans="1:20">
      <c r="A2659">
        <v>3330712</v>
      </c>
      <c r="B2659" t="s">
        <v>13935</v>
      </c>
      <c r="C2659" t="str">
        <f>"9780773524361"</f>
        <v>9780773524361</v>
      </c>
      <c r="D2659" t="str">
        <f>"9780773570580"</f>
        <v>9780773570580</v>
      </c>
      <c r="E2659" t="s">
        <v>12863</v>
      </c>
      <c r="F2659" t="s">
        <v>12863</v>
      </c>
      <c r="G2659" s="1">
        <v>37573</v>
      </c>
      <c r="I2659" t="s">
        <v>12864</v>
      </c>
      <c r="J2659" t="s">
        <v>13936</v>
      </c>
      <c r="K2659" t="s">
        <v>376</v>
      </c>
      <c r="L2659" t="s">
        <v>13937</v>
      </c>
      <c r="M2659">
        <v>362.11097109040003</v>
      </c>
      <c r="N2659" t="s">
        <v>13938</v>
      </c>
      <c r="O2659" t="s">
        <v>26</v>
      </c>
      <c r="P2659">
        <v>142.5</v>
      </c>
      <c r="Q2659">
        <v>118.75</v>
      </c>
      <c r="R2659">
        <v>95</v>
      </c>
      <c r="S2659">
        <v>142.5</v>
      </c>
      <c r="T2659" t="s">
        <v>13939</v>
      </c>
    </row>
    <row r="2660" spans="1:20">
      <c r="A2660">
        <v>3330713</v>
      </c>
      <c r="B2660" t="s">
        <v>13940</v>
      </c>
      <c r="C2660" t="str">
        <f>"9780773523722"</f>
        <v>9780773523722</v>
      </c>
      <c r="D2660" t="str">
        <f>"9780773570252"</f>
        <v>9780773570252</v>
      </c>
      <c r="E2660" t="s">
        <v>12863</v>
      </c>
      <c r="F2660" t="s">
        <v>12863</v>
      </c>
      <c r="G2660" s="1">
        <v>37482</v>
      </c>
      <c r="J2660" t="s">
        <v>13941</v>
      </c>
      <c r="K2660" t="s">
        <v>291</v>
      </c>
      <c r="L2660" t="s">
        <v>13942</v>
      </c>
      <c r="M2660">
        <v>951.90424097100004</v>
      </c>
      <c r="N2660" t="s">
        <v>13943</v>
      </c>
      <c r="O2660" t="s">
        <v>26</v>
      </c>
      <c r="P2660">
        <v>44.93</v>
      </c>
      <c r="Q2660">
        <v>37.44</v>
      </c>
      <c r="R2660">
        <v>29.95</v>
      </c>
      <c r="S2660">
        <v>44.93</v>
      </c>
      <c r="T2660" t="s">
        <v>13944</v>
      </c>
    </row>
    <row r="2661" spans="1:20">
      <c r="A2661">
        <v>3330714</v>
      </c>
      <c r="B2661" t="s">
        <v>13945</v>
      </c>
      <c r="C2661" t="str">
        <f>"9780773525412"</f>
        <v>9780773525412</v>
      </c>
      <c r="D2661" t="str">
        <f>"9780773571044"</f>
        <v>9780773571044</v>
      </c>
      <c r="E2661" t="s">
        <v>12863</v>
      </c>
      <c r="F2661" t="s">
        <v>12863</v>
      </c>
      <c r="G2661" s="1">
        <v>37762</v>
      </c>
      <c r="I2661" t="s">
        <v>12886</v>
      </c>
      <c r="J2661" t="s">
        <v>7559</v>
      </c>
      <c r="K2661" t="s">
        <v>1892</v>
      </c>
      <c r="L2661" t="s">
        <v>13946</v>
      </c>
      <c r="M2661">
        <v>283.71409033999998</v>
      </c>
      <c r="N2661" t="s">
        <v>13947</v>
      </c>
      <c r="O2661" t="s">
        <v>26</v>
      </c>
      <c r="P2661">
        <v>142.5</v>
      </c>
      <c r="Q2661">
        <v>118.75</v>
      </c>
      <c r="R2661">
        <v>95</v>
      </c>
      <c r="S2661">
        <v>142.5</v>
      </c>
      <c r="T2661" t="s">
        <v>13948</v>
      </c>
    </row>
    <row r="2662" spans="1:20">
      <c r="A2662">
        <v>3330715</v>
      </c>
      <c r="B2662" t="s">
        <v>13949</v>
      </c>
      <c r="C2662" t="str">
        <f>"9780773523449"</f>
        <v>9780773523449</v>
      </c>
      <c r="D2662" t="str">
        <f>"9780773570085"</f>
        <v>9780773570085</v>
      </c>
      <c r="E2662" t="s">
        <v>12863</v>
      </c>
      <c r="F2662" t="s">
        <v>12863</v>
      </c>
      <c r="G2662" s="1">
        <v>37326</v>
      </c>
      <c r="J2662" t="s">
        <v>13950</v>
      </c>
      <c r="K2662" t="s">
        <v>1464</v>
      </c>
      <c r="L2662" t="s">
        <v>13951</v>
      </c>
      <c r="M2662">
        <v>813.54</v>
      </c>
      <c r="N2662" t="s">
        <v>13952</v>
      </c>
      <c r="O2662" t="s">
        <v>26</v>
      </c>
      <c r="P2662">
        <v>142.5</v>
      </c>
      <c r="Q2662">
        <v>118.75</v>
      </c>
      <c r="R2662">
        <v>95</v>
      </c>
      <c r="S2662">
        <v>142.5</v>
      </c>
      <c r="T2662" t="s">
        <v>13953</v>
      </c>
    </row>
    <row r="2663" spans="1:20">
      <c r="A2663">
        <v>3330716</v>
      </c>
      <c r="B2663" t="s">
        <v>13954</v>
      </c>
      <c r="C2663" t="str">
        <f>"9780773520523"</f>
        <v>9780773520523</v>
      </c>
      <c r="D2663" t="str">
        <f>"9780773568440"</f>
        <v>9780773568440</v>
      </c>
      <c r="E2663" t="s">
        <v>12863</v>
      </c>
      <c r="F2663" t="s">
        <v>12863</v>
      </c>
      <c r="G2663" s="1">
        <v>37082</v>
      </c>
      <c r="J2663" t="s">
        <v>13955</v>
      </c>
      <c r="K2663" t="s">
        <v>305</v>
      </c>
      <c r="L2663" t="s">
        <v>13956</v>
      </c>
      <c r="M2663">
        <v>384.09710000000001</v>
      </c>
      <c r="N2663" t="s">
        <v>13957</v>
      </c>
      <c r="O2663" t="s">
        <v>26</v>
      </c>
      <c r="P2663">
        <v>142.5</v>
      </c>
      <c r="Q2663">
        <v>118.75</v>
      </c>
      <c r="R2663">
        <v>95</v>
      </c>
      <c r="S2663">
        <v>142.5</v>
      </c>
      <c r="T2663" t="s">
        <v>13958</v>
      </c>
    </row>
    <row r="2664" spans="1:20">
      <c r="A2664">
        <v>3330717</v>
      </c>
      <c r="B2664" t="s">
        <v>13959</v>
      </c>
      <c r="C2664" t="str">
        <f>"9780773525009"</f>
        <v>9780773525009</v>
      </c>
      <c r="D2664" t="str">
        <f>"9780773570788"</f>
        <v>9780773570788</v>
      </c>
      <c r="E2664" t="s">
        <v>12863</v>
      </c>
      <c r="F2664" t="s">
        <v>12863</v>
      </c>
      <c r="G2664" s="1">
        <v>37727</v>
      </c>
      <c r="I2664" t="s">
        <v>12864</v>
      </c>
      <c r="J2664" t="s">
        <v>13960</v>
      </c>
      <c r="K2664" t="s">
        <v>376</v>
      </c>
      <c r="L2664" t="s">
        <v>13961</v>
      </c>
      <c r="M2664">
        <v>362.10820971090402</v>
      </c>
      <c r="N2664" t="s">
        <v>13962</v>
      </c>
      <c r="O2664" t="s">
        <v>26</v>
      </c>
      <c r="P2664">
        <v>142.5</v>
      </c>
      <c r="Q2664">
        <v>118.75</v>
      </c>
      <c r="R2664">
        <v>95</v>
      </c>
      <c r="S2664">
        <v>142.5</v>
      </c>
      <c r="T2664" t="s">
        <v>13963</v>
      </c>
    </row>
    <row r="2665" spans="1:20">
      <c r="A2665">
        <v>3330718</v>
      </c>
      <c r="B2665" t="s">
        <v>13964</v>
      </c>
      <c r="C2665" t="str">
        <f>"9780773526075"</f>
        <v>9780773526075</v>
      </c>
      <c r="D2665" t="str">
        <f>"9780773571433"</f>
        <v>9780773571433</v>
      </c>
      <c r="E2665" t="s">
        <v>12907</v>
      </c>
      <c r="F2665" t="s">
        <v>12907</v>
      </c>
      <c r="G2665" s="1">
        <v>38050</v>
      </c>
      <c r="J2665" t="s">
        <v>13965</v>
      </c>
      <c r="K2665" t="s">
        <v>305</v>
      </c>
      <c r="L2665" t="s">
        <v>13966</v>
      </c>
      <c r="M2665">
        <v>388.4</v>
      </c>
      <c r="N2665" t="s">
        <v>13967</v>
      </c>
      <c r="O2665" t="s">
        <v>26</v>
      </c>
      <c r="P2665">
        <v>142.5</v>
      </c>
      <c r="Q2665">
        <v>118.75</v>
      </c>
      <c r="R2665">
        <v>95</v>
      </c>
      <c r="S2665">
        <v>142.5</v>
      </c>
      <c r="T2665" t="s">
        <v>13968</v>
      </c>
    </row>
    <row r="2666" spans="1:20">
      <c r="A2666">
        <v>3330719</v>
      </c>
      <c r="B2666" t="s">
        <v>13969</v>
      </c>
      <c r="C2666" t="str">
        <f>"9780773526587"</f>
        <v>9780773526587</v>
      </c>
      <c r="D2666" t="str">
        <f>"9780773571686"</f>
        <v>9780773571686</v>
      </c>
      <c r="E2666" t="s">
        <v>12863</v>
      </c>
      <c r="F2666" t="s">
        <v>12863</v>
      </c>
      <c r="G2666" s="1">
        <v>37910</v>
      </c>
      <c r="J2666" t="s">
        <v>13970</v>
      </c>
      <c r="K2666" t="s">
        <v>467</v>
      </c>
      <c r="L2666" t="s">
        <v>13971</v>
      </c>
      <c r="M2666">
        <v>320.971</v>
      </c>
      <c r="N2666" t="s">
        <v>13972</v>
      </c>
      <c r="O2666" t="s">
        <v>26</v>
      </c>
      <c r="P2666">
        <v>142.5</v>
      </c>
      <c r="Q2666">
        <v>118.75</v>
      </c>
      <c r="R2666">
        <v>95</v>
      </c>
      <c r="S2666">
        <v>142.5</v>
      </c>
      <c r="T2666" t="s">
        <v>13973</v>
      </c>
    </row>
    <row r="2667" spans="1:20">
      <c r="A2667">
        <v>3330720</v>
      </c>
      <c r="B2667" t="s">
        <v>13974</v>
      </c>
      <c r="C2667" t="str">
        <f>"9780773523999"</f>
        <v>9780773523999</v>
      </c>
      <c r="D2667" t="str">
        <f>"9780773570375"</f>
        <v>9780773570375</v>
      </c>
      <c r="E2667" t="s">
        <v>12863</v>
      </c>
      <c r="F2667" t="s">
        <v>12863</v>
      </c>
      <c r="G2667" s="1">
        <v>37370</v>
      </c>
      <c r="J2667" t="s">
        <v>13975</v>
      </c>
      <c r="K2667" t="s">
        <v>525</v>
      </c>
      <c r="L2667" t="s">
        <v>13976</v>
      </c>
      <c r="M2667">
        <v>342.71084999999999</v>
      </c>
      <c r="N2667" t="s">
        <v>13977</v>
      </c>
      <c r="O2667" t="s">
        <v>26</v>
      </c>
      <c r="P2667">
        <v>142.5</v>
      </c>
      <c r="Q2667">
        <v>118.75</v>
      </c>
      <c r="R2667">
        <v>95</v>
      </c>
      <c r="S2667">
        <v>142.5</v>
      </c>
      <c r="T2667" t="s">
        <v>13978</v>
      </c>
    </row>
    <row r="2668" spans="1:20">
      <c r="A2668">
        <v>3330721</v>
      </c>
      <c r="B2668" t="s">
        <v>13979</v>
      </c>
      <c r="C2668" t="str">
        <f>"9780773523395"</f>
        <v>9780773523395</v>
      </c>
      <c r="D2668" t="str">
        <f>"9780773570054"</f>
        <v>9780773570054</v>
      </c>
      <c r="E2668" t="s">
        <v>12863</v>
      </c>
      <c r="F2668" t="s">
        <v>12863</v>
      </c>
      <c r="G2668" s="1">
        <v>37368</v>
      </c>
      <c r="J2668" t="s">
        <v>13980</v>
      </c>
      <c r="K2668" t="s">
        <v>13981</v>
      </c>
      <c r="L2668" t="s">
        <v>13982</v>
      </c>
      <c r="M2668">
        <v>70.195097099999998</v>
      </c>
      <c r="N2668" t="s">
        <v>13983</v>
      </c>
      <c r="O2668" t="s">
        <v>26</v>
      </c>
      <c r="P2668">
        <v>142.5</v>
      </c>
      <c r="Q2668">
        <v>118.75</v>
      </c>
      <c r="R2668">
        <v>95</v>
      </c>
      <c r="S2668">
        <v>142.5</v>
      </c>
      <c r="T2668" t="s">
        <v>13984</v>
      </c>
    </row>
    <row r="2669" spans="1:20">
      <c r="A2669">
        <v>3330722</v>
      </c>
      <c r="B2669" t="s">
        <v>13985</v>
      </c>
      <c r="C2669" t="str">
        <f>"9780773527980"</f>
        <v>9780773527980</v>
      </c>
      <c r="D2669" t="str">
        <f>"9780773572287"</f>
        <v>9780773572287</v>
      </c>
      <c r="E2669" t="s">
        <v>12863</v>
      </c>
      <c r="F2669" t="s">
        <v>12863</v>
      </c>
      <c r="G2669" s="1">
        <v>38292</v>
      </c>
      <c r="I2669" t="s">
        <v>12871</v>
      </c>
      <c r="J2669" t="s">
        <v>13986</v>
      </c>
      <c r="K2669" t="s">
        <v>3230</v>
      </c>
      <c r="L2669" t="s">
        <v>13987</v>
      </c>
      <c r="M2669">
        <v>910.92</v>
      </c>
      <c r="N2669" t="s">
        <v>13988</v>
      </c>
      <c r="O2669" t="s">
        <v>26</v>
      </c>
      <c r="P2669">
        <v>97.5</v>
      </c>
      <c r="Q2669">
        <v>81.25</v>
      </c>
      <c r="R2669">
        <v>65</v>
      </c>
      <c r="S2669">
        <v>97.5</v>
      </c>
      <c r="T2669" t="s">
        <v>13989</v>
      </c>
    </row>
    <row r="2670" spans="1:20">
      <c r="A2670">
        <v>3330723</v>
      </c>
      <c r="B2670" t="s">
        <v>13990</v>
      </c>
      <c r="C2670" t="str">
        <f>"9780773525559"</f>
        <v>9780773525559</v>
      </c>
      <c r="D2670" t="str">
        <f>"9780773571136"</f>
        <v>9780773571136</v>
      </c>
      <c r="E2670" t="s">
        <v>12863</v>
      </c>
      <c r="F2670" t="s">
        <v>12863</v>
      </c>
      <c r="G2670" s="1">
        <v>37869</v>
      </c>
      <c r="J2670" t="s">
        <v>13991</v>
      </c>
      <c r="K2670" t="s">
        <v>278</v>
      </c>
      <c r="L2670" t="s">
        <v>13992</v>
      </c>
      <c r="M2670">
        <v>338.88</v>
      </c>
      <c r="N2670" t="s">
        <v>13993</v>
      </c>
      <c r="O2670" t="s">
        <v>26</v>
      </c>
      <c r="P2670">
        <v>142.5</v>
      </c>
      <c r="Q2670">
        <v>118.75</v>
      </c>
      <c r="R2670">
        <v>95</v>
      </c>
      <c r="S2670">
        <v>142.5</v>
      </c>
      <c r="T2670" t="s">
        <v>13994</v>
      </c>
    </row>
    <row r="2671" spans="1:20">
      <c r="A2671">
        <v>3330724</v>
      </c>
      <c r="B2671" t="s">
        <v>13995</v>
      </c>
      <c r="C2671" t="str">
        <f>"9780773526068"</f>
        <v>9780773526068</v>
      </c>
      <c r="D2671" t="str">
        <f>"9780773571426"</f>
        <v>9780773571426</v>
      </c>
      <c r="E2671" t="s">
        <v>12863</v>
      </c>
      <c r="F2671" t="s">
        <v>12863</v>
      </c>
      <c r="G2671" s="1">
        <v>37939</v>
      </c>
      <c r="J2671" t="s">
        <v>13996</v>
      </c>
      <c r="K2671" t="s">
        <v>291</v>
      </c>
      <c r="L2671" t="s">
        <v>13997</v>
      </c>
      <c r="M2671">
        <v>943.80540922</v>
      </c>
      <c r="N2671" t="s">
        <v>13998</v>
      </c>
      <c r="O2671" t="s">
        <v>26</v>
      </c>
      <c r="P2671">
        <v>44.93</v>
      </c>
      <c r="Q2671">
        <v>37.44</v>
      </c>
      <c r="R2671">
        <v>29.95</v>
      </c>
      <c r="S2671">
        <v>44.93</v>
      </c>
      <c r="T2671" t="s">
        <v>13999</v>
      </c>
    </row>
    <row r="2672" spans="1:20">
      <c r="A2672">
        <v>3330725</v>
      </c>
      <c r="B2672" t="s">
        <v>14000</v>
      </c>
      <c r="C2672" t="str">
        <f>"9780773525252"</f>
        <v>9780773525252</v>
      </c>
      <c r="D2672" t="str">
        <f>"9780773570948"</f>
        <v>9780773570948</v>
      </c>
      <c r="E2672" t="s">
        <v>12863</v>
      </c>
      <c r="F2672" t="s">
        <v>12863</v>
      </c>
      <c r="G2672" s="1">
        <v>37839</v>
      </c>
      <c r="I2672" t="s">
        <v>12864</v>
      </c>
      <c r="J2672" t="s">
        <v>14001</v>
      </c>
      <c r="K2672" t="s">
        <v>2260</v>
      </c>
      <c r="L2672" t="s">
        <v>14002</v>
      </c>
      <c r="M2672">
        <v>616.99400720713504</v>
      </c>
      <c r="N2672" t="s">
        <v>14003</v>
      </c>
      <c r="O2672" t="s">
        <v>26</v>
      </c>
      <c r="P2672">
        <v>142.5</v>
      </c>
      <c r="Q2672">
        <v>118.75</v>
      </c>
      <c r="R2672">
        <v>95</v>
      </c>
      <c r="S2672">
        <v>142.5</v>
      </c>
      <c r="T2672" t="s">
        <v>14004</v>
      </c>
    </row>
    <row r="2673" spans="1:20">
      <c r="A2673">
        <v>3330726</v>
      </c>
      <c r="B2673" t="s">
        <v>14005</v>
      </c>
      <c r="C2673" t="str">
        <f>"9780773524026"</f>
        <v>9780773524026</v>
      </c>
      <c r="D2673" t="str">
        <f>"9780773570405"</f>
        <v>9780773570405</v>
      </c>
      <c r="E2673" t="s">
        <v>12863</v>
      </c>
      <c r="F2673" t="s">
        <v>12863</v>
      </c>
      <c r="G2673" s="1">
        <v>37546</v>
      </c>
      <c r="I2673" t="s">
        <v>12942</v>
      </c>
      <c r="J2673" t="s">
        <v>14006</v>
      </c>
      <c r="K2673" t="s">
        <v>6038</v>
      </c>
      <c r="L2673" t="s">
        <v>14007</v>
      </c>
      <c r="M2673" t="s">
        <v>14008</v>
      </c>
      <c r="N2673" t="s">
        <v>14009</v>
      </c>
      <c r="O2673" t="s">
        <v>26</v>
      </c>
      <c r="P2673">
        <v>142.5</v>
      </c>
      <c r="Q2673">
        <v>118.75</v>
      </c>
      <c r="R2673">
        <v>95</v>
      </c>
      <c r="S2673">
        <v>142.5</v>
      </c>
      <c r="T2673" t="s">
        <v>14010</v>
      </c>
    </row>
    <row r="2674" spans="1:20">
      <c r="A2674">
        <v>3330727</v>
      </c>
      <c r="B2674" t="s">
        <v>14011</v>
      </c>
      <c r="C2674" t="str">
        <f>"9780773523425"</f>
        <v>9780773523425</v>
      </c>
      <c r="D2674" t="str">
        <f>"9780773570078"</f>
        <v>9780773570078</v>
      </c>
      <c r="E2674" t="s">
        <v>12907</v>
      </c>
      <c r="F2674" t="s">
        <v>12907</v>
      </c>
      <c r="G2674" s="1">
        <v>37226</v>
      </c>
      <c r="J2674" t="s">
        <v>14012</v>
      </c>
      <c r="K2674" t="s">
        <v>1464</v>
      </c>
      <c r="L2674" t="s">
        <v>14013</v>
      </c>
      <c r="M2674">
        <v>821.7</v>
      </c>
      <c r="N2674" t="s">
        <v>14014</v>
      </c>
      <c r="O2674" t="s">
        <v>26</v>
      </c>
      <c r="P2674">
        <v>127.5</v>
      </c>
      <c r="Q2674">
        <v>106.25</v>
      </c>
      <c r="R2674">
        <v>85</v>
      </c>
      <c r="S2674">
        <v>127.5</v>
      </c>
      <c r="T2674" t="s">
        <v>14015</v>
      </c>
    </row>
    <row r="2675" spans="1:20">
      <c r="A2675">
        <v>3330728</v>
      </c>
      <c r="B2675" t="s">
        <v>14016</v>
      </c>
      <c r="C2675" t="str">
        <f>"9780773525801"</f>
        <v>9780773525801</v>
      </c>
      <c r="D2675" t="str">
        <f>"9780773571242"</f>
        <v>9780773571242</v>
      </c>
      <c r="E2675" t="s">
        <v>12863</v>
      </c>
      <c r="F2675" t="s">
        <v>12863</v>
      </c>
      <c r="G2675" s="1">
        <v>37853</v>
      </c>
      <c r="I2675" t="s">
        <v>12963</v>
      </c>
      <c r="J2675" t="s">
        <v>14017</v>
      </c>
      <c r="K2675" t="s">
        <v>263</v>
      </c>
      <c r="L2675" t="s">
        <v>14018</v>
      </c>
      <c r="M2675">
        <v>305.80094409034001</v>
      </c>
      <c r="N2675" t="s">
        <v>14019</v>
      </c>
      <c r="O2675" t="s">
        <v>26</v>
      </c>
      <c r="P2675">
        <v>142.5</v>
      </c>
      <c r="Q2675">
        <v>118.75</v>
      </c>
      <c r="R2675">
        <v>95</v>
      </c>
      <c r="S2675">
        <v>142.5</v>
      </c>
      <c r="T2675" t="s">
        <v>14020</v>
      </c>
    </row>
    <row r="2676" spans="1:20">
      <c r="A2676">
        <v>3330729</v>
      </c>
      <c r="B2676" t="s">
        <v>14021</v>
      </c>
      <c r="C2676" t="str">
        <f>"9780773526112"</f>
        <v>9780773526112</v>
      </c>
      <c r="D2676" t="str">
        <f>"9780773571471"</f>
        <v>9780773571471</v>
      </c>
      <c r="E2676" t="s">
        <v>12907</v>
      </c>
      <c r="F2676" t="s">
        <v>12907</v>
      </c>
      <c r="G2676" s="1">
        <v>38056</v>
      </c>
      <c r="J2676" t="s">
        <v>14022</v>
      </c>
      <c r="K2676" t="s">
        <v>1464</v>
      </c>
      <c r="L2676" t="s">
        <v>14023</v>
      </c>
      <c r="M2676" t="s">
        <v>14024</v>
      </c>
      <c r="N2676" t="s">
        <v>14025</v>
      </c>
      <c r="O2676" t="s">
        <v>26</v>
      </c>
      <c r="P2676">
        <v>142.5</v>
      </c>
      <c r="Q2676">
        <v>118.75</v>
      </c>
      <c r="R2676">
        <v>95</v>
      </c>
      <c r="S2676">
        <v>142.5</v>
      </c>
      <c r="T2676" t="s">
        <v>14026</v>
      </c>
    </row>
    <row r="2677" spans="1:20">
      <c r="A2677">
        <v>3330730</v>
      </c>
      <c r="B2677" t="s">
        <v>14027</v>
      </c>
      <c r="C2677" t="str">
        <f>"9780773524576"</f>
        <v>9780773524576</v>
      </c>
      <c r="D2677" t="str">
        <f>"9780773570719"</f>
        <v>9780773570719</v>
      </c>
      <c r="E2677" t="s">
        <v>12863</v>
      </c>
      <c r="F2677" t="s">
        <v>12863</v>
      </c>
      <c r="G2677" s="1">
        <v>37767</v>
      </c>
      <c r="J2677" t="s">
        <v>14028</v>
      </c>
      <c r="K2677" t="s">
        <v>291</v>
      </c>
      <c r="L2677" t="s">
        <v>14029</v>
      </c>
      <c r="M2677">
        <v>944.06100000000004</v>
      </c>
      <c r="N2677" t="s">
        <v>14030</v>
      </c>
      <c r="O2677" t="s">
        <v>26</v>
      </c>
      <c r="P2677">
        <v>142.5</v>
      </c>
      <c r="Q2677">
        <v>118.75</v>
      </c>
      <c r="R2677">
        <v>95</v>
      </c>
      <c r="S2677">
        <v>142.5</v>
      </c>
      <c r="T2677" t="s">
        <v>14031</v>
      </c>
    </row>
    <row r="2678" spans="1:20">
      <c r="A2678">
        <v>3330731</v>
      </c>
      <c r="B2678" t="s">
        <v>14032</v>
      </c>
      <c r="C2678" t="str">
        <f>"9780773528024"</f>
        <v>9780773528024</v>
      </c>
      <c r="D2678" t="str">
        <f>"9780773572300"</f>
        <v>9780773572300</v>
      </c>
      <c r="E2678" t="s">
        <v>12907</v>
      </c>
      <c r="F2678" t="s">
        <v>12907</v>
      </c>
      <c r="G2678" s="1">
        <v>38295</v>
      </c>
      <c r="J2678" t="s">
        <v>14033</v>
      </c>
      <c r="K2678" t="s">
        <v>1464</v>
      </c>
      <c r="L2678" t="s">
        <v>14034</v>
      </c>
      <c r="M2678" t="s">
        <v>14035</v>
      </c>
      <c r="N2678" t="s">
        <v>14036</v>
      </c>
      <c r="O2678" t="s">
        <v>26</v>
      </c>
      <c r="P2678">
        <v>142.5</v>
      </c>
      <c r="Q2678">
        <v>118.75</v>
      </c>
      <c r="R2678">
        <v>95</v>
      </c>
      <c r="S2678">
        <v>142.5</v>
      </c>
      <c r="T2678" t="s">
        <v>14037</v>
      </c>
    </row>
    <row r="2679" spans="1:20">
      <c r="A2679">
        <v>3330732</v>
      </c>
      <c r="B2679" t="s">
        <v>14038</v>
      </c>
      <c r="C2679" t="str">
        <f>"9780773523692"</f>
        <v>9780773523692</v>
      </c>
      <c r="D2679" t="str">
        <f>"9780773570238"</f>
        <v>9780773570238</v>
      </c>
      <c r="E2679" t="s">
        <v>12863</v>
      </c>
      <c r="F2679" t="s">
        <v>12863</v>
      </c>
      <c r="G2679" s="1">
        <v>37547</v>
      </c>
      <c r="I2679" t="s">
        <v>12942</v>
      </c>
      <c r="J2679" t="s">
        <v>14039</v>
      </c>
      <c r="K2679" t="s">
        <v>291</v>
      </c>
      <c r="L2679" t="s">
        <v>14040</v>
      </c>
      <c r="M2679">
        <v>971.10045100000002</v>
      </c>
      <c r="N2679" t="s">
        <v>14041</v>
      </c>
      <c r="O2679" t="s">
        <v>26</v>
      </c>
      <c r="P2679">
        <v>142.5</v>
      </c>
      <c r="Q2679">
        <v>118.75</v>
      </c>
      <c r="R2679">
        <v>95</v>
      </c>
      <c r="S2679">
        <v>142.5</v>
      </c>
      <c r="T2679" t="s">
        <v>14042</v>
      </c>
    </row>
    <row r="2680" spans="1:20">
      <c r="A2680">
        <v>3330733</v>
      </c>
      <c r="B2680" t="s">
        <v>14043</v>
      </c>
      <c r="C2680" t="str">
        <f>"9780773523715"</f>
        <v>9780773523715</v>
      </c>
      <c r="D2680" t="str">
        <f>"9780773570245"</f>
        <v>9780773570245</v>
      </c>
      <c r="E2680" t="s">
        <v>12863</v>
      </c>
      <c r="F2680" t="s">
        <v>12863</v>
      </c>
      <c r="G2680" s="1">
        <v>37509</v>
      </c>
      <c r="J2680" t="s">
        <v>12892</v>
      </c>
      <c r="K2680" t="s">
        <v>1471</v>
      </c>
      <c r="L2680" t="s">
        <v>12893</v>
      </c>
      <c r="M2680">
        <v>782.42164094709005</v>
      </c>
      <c r="N2680" t="s">
        <v>14044</v>
      </c>
      <c r="O2680" t="s">
        <v>26</v>
      </c>
      <c r="P2680">
        <v>142.5</v>
      </c>
      <c r="Q2680">
        <v>118.75</v>
      </c>
      <c r="R2680">
        <v>95</v>
      </c>
      <c r="S2680">
        <v>142.5</v>
      </c>
      <c r="T2680" t="s">
        <v>14045</v>
      </c>
    </row>
    <row r="2681" spans="1:20">
      <c r="A2681">
        <v>3330734</v>
      </c>
      <c r="B2681" t="s">
        <v>14046</v>
      </c>
      <c r="C2681" t="str">
        <f>"9780773527133"</f>
        <v>9780773527133</v>
      </c>
      <c r="D2681" t="str">
        <f>"9780773571952"</f>
        <v>9780773571952</v>
      </c>
      <c r="E2681" t="s">
        <v>12863</v>
      </c>
      <c r="F2681" t="s">
        <v>12863</v>
      </c>
      <c r="G2681" s="1">
        <v>38307</v>
      </c>
      <c r="J2681" t="s">
        <v>14047</v>
      </c>
      <c r="K2681" t="s">
        <v>6444</v>
      </c>
      <c r="L2681" t="s">
        <v>14048</v>
      </c>
      <c r="M2681">
        <v>327.71009199999997</v>
      </c>
      <c r="N2681" t="s">
        <v>14049</v>
      </c>
      <c r="O2681" t="s">
        <v>26</v>
      </c>
      <c r="P2681">
        <v>97.5</v>
      </c>
      <c r="Q2681">
        <v>81.25</v>
      </c>
      <c r="R2681">
        <v>65</v>
      </c>
      <c r="S2681">
        <v>97.5</v>
      </c>
      <c r="T2681" t="s">
        <v>14050</v>
      </c>
    </row>
    <row r="2682" spans="1:20">
      <c r="A2682">
        <v>3330735</v>
      </c>
      <c r="B2682" t="s">
        <v>14051</v>
      </c>
      <c r="C2682" t="str">
        <f>"9780773527232"</f>
        <v>9780773527232</v>
      </c>
      <c r="D2682" t="str">
        <f>"9780773572003"</f>
        <v>9780773572003</v>
      </c>
      <c r="E2682" t="s">
        <v>12863</v>
      </c>
      <c r="F2682" t="s">
        <v>12863</v>
      </c>
      <c r="G2682" s="1">
        <v>38216</v>
      </c>
      <c r="I2682" t="s">
        <v>12942</v>
      </c>
      <c r="J2682" t="s">
        <v>14052</v>
      </c>
      <c r="K2682" t="s">
        <v>291</v>
      </c>
      <c r="L2682" t="s">
        <v>14053</v>
      </c>
      <c r="M2682">
        <v>971.70049161999998</v>
      </c>
      <c r="N2682" t="s">
        <v>14054</v>
      </c>
      <c r="O2682" t="s">
        <v>26</v>
      </c>
      <c r="P2682">
        <v>142.5</v>
      </c>
      <c r="Q2682">
        <v>118.75</v>
      </c>
      <c r="R2682">
        <v>95</v>
      </c>
      <c r="S2682">
        <v>142.5</v>
      </c>
      <c r="T2682" t="s">
        <v>14055</v>
      </c>
    </row>
    <row r="2683" spans="1:20">
      <c r="A2683">
        <v>3330736</v>
      </c>
      <c r="B2683" t="s">
        <v>14056</v>
      </c>
      <c r="C2683" t="str">
        <f>"9780773523463"</f>
        <v>9780773523463</v>
      </c>
      <c r="D2683" t="str">
        <f>"9780773570092"</f>
        <v>9780773570092</v>
      </c>
      <c r="E2683" t="s">
        <v>12863</v>
      </c>
      <c r="F2683" t="s">
        <v>12863</v>
      </c>
      <c r="G2683" s="1">
        <v>37391</v>
      </c>
      <c r="J2683" t="s">
        <v>14057</v>
      </c>
      <c r="K2683" t="s">
        <v>291</v>
      </c>
      <c r="L2683" t="s">
        <v>14058</v>
      </c>
      <c r="M2683">
        <v>949.74199999999996</v>
      </c>
      <c r="N2683" t="s">
        <v>14059</v>
      </c>
      <c r="O2683" t="s">
        <v>26</v>
      </c>
      <c r="P2683">
        <v>142.5</v>
      </c>
      <c r="Q2683">
        <v>118.75</v>
      </c>
      <c r="R2683">
        <v>95</v>
      </c>
      <c r="S2683">
        <v>142.5</v>
      </c>
      <c r="T2683" t="s">
        <v>14060</v>
      </c>
    </row>
    <row r="2684" spans="1:20">
      <c r="A2684">
        <v>3330737</v>
      </c>
      <c r="B2684" t="s">
        <v>14061</v>
      </c>
      <c r="C2684" t="str">
        <f>"9780773503885"</f>
        <v>9780773503885</v>
      </c>
      <c r="D2684" t="str">
        <f>"9780773560833"</f>
        <v>9780773560833</v>
      </c>
      <c r="E2684" t="s">
        <v>12863</v>
      </c>
      <c r="F2684" t="s">
        <v>12863</v>
      </c>
      <c r="G2684" s="1">
        <v>30590</v>
      </c>
      <c r="J2684" t="s">
        <v>14062</v>
      </c>
      <c r="K2684" t="s">
        <v>291</v>
      </c>
      <c r="L2684" t="s">
        <v>14063</v>
      </c>
      <c r="M2684">
        <v>971.60209239999995</v>
      </c>
      <c r="N2684" t="s">
        <v>14064</v>
      </c>
      <c r="O2684" t="s">
        <v>26</v>
      </c>
      <c r="P2684">
        <v>142.5</v>
      </c>
      <c r="Q2684">
        <v>118.75</v>
      </c>
      <c r="R2684">
        <v>95</v>
      </c>
      <c r="S2684">
        <v>142.5</v>
      </c>
      <c r="T2684" t="s">
        <v>14065</v>
      </c>
    </row>
    <row r="2685" spans="1:20">
      <c r="A2685">
        <v>3330738</v>
      </c>
      <c r="B2685" t="s">
        <v>14066</v>
      </c>
      <c r="C2685" t="str">
        <f>"9780773509542"</f>
        <v>9780773509542</v>
      </c>
      <c r="D2685" t="str">
        <f>"9780773563674"</f>
        <v>9780773563674</v>
      </c>
      <c r="E2685" t="s">
        <v>12863</v>
      </c>
      <c r="F2685" t="s">
        <v>12863</v>
      </c>
      <c r="G2685" s="1">
        <v>34018</v>
      </c>
      <c r="I2685" t="s">
        <v>12886</v>
      </c>
      <c r="J2685" t="s">
        <v>14067</v>
      </c>
      <c r="K2685" t="s">
        <v>11294</v>
      </c>
      <c r="L2685" t="s">
        <v>14068</v>
      </c>
      <c r="M2685">
        <v>305.62070999999997</v>
      </c>
      <c r="N2685" t="s">
        <v>14069</v>
      </c>
      <c r="O2685" t="s">
        <v>26</v>
      </c>
      <c r="P2685">
        <v>127.5</v>
      </c>
      <c r="Q2685">
        <v>106.25</v>
      </c>
      <c r="R2685">
        <v>85</v>
      </c>
      <c r="S2685">
        <v>127.5</v>
      </c>
      <c r="T2685" t="s">
        <v>14070</v>
      </c>
    </row>
    <row r="2686" spans="1:20">
      <c r="A2686">
        <v>3330739</v>
      </c>
      <c r="B2686" t="s">
        <v>14071</v>
      </c>
      <c r="C2686" t="str">
        <f>"9780773506190"</f>
        <v>9780773506190</v>
      </c>
      <c r="D2686" t="str">
        <f>"9780773561458"</f>
        <v>9780773561458</v>
      </c>
      <c r="E2686" t="s">
        <v>12863</v>
      </c>
      <c r="F2686" t="s">
        <v>12863</v>
      </c>
      <c r="G2686" s="1">
        <v>32203</v>
      </c>
      <c r="J2686" t="s">
        <v>14072</v>
      </c>
      <c r="K2686" t="s">
        <v>291</v>
      </c>
      <c r="L2686" t="s">
        <v>14073</v>
      </c>
      <c r="M2686">
        <v>971.92</v>
      </c>
      <c r="N2686" t="s">
        <v>14074</v>
      </c>
      <c r="O2686" t="s">
        <v>26</v>
      </c>
      <c r="P2686">
        <v>67.5</v>
      </c>
      <c r="Q2686">
        <v>56.25</v>
      </c>
      <c r="R2686">
        <v>45</v>
      </c>
      <c r="S2686">
        <v>67.5</v>
      </c>
      <c r="T2686" t="s">
        <v>14075</v>
      </c>
    </row>
    <row r="2687" spans="1:20">
      <c r="A2687">
        <v>3330740</v>
      </c>
      <c r="B2687" t="s">
        <v>14076</v>
      </c>
      <c r="C2687" t="str">
        <f>"9780773510067"</f>
        <v>9780773510067</v>
      </c>
      <c r="D2687" t="str">
        <f>"9780773564015"</f>
        <v>9780773564015</v>
      </c>
      <c r="E2687" t="s">
        <v>12863</v>
      </c>
      <c r="F2687" t="s">
        <v>12863</v>
      </c>
      <c r="G2687" s="1">
        <v>30498</v>
      </c>
      <c r="I2687" t="s">
        <v>12963</v>
      </c>
      <c r="J2687" t="s">
        <v>14077</v>
      </c>
      <c r="K2687" t="s">
        <v>467</v>
      </c>
      <c r="L2687" t="s">
        <v>14078</v>
      </c>
      <c r="M2687">
        <v>320.94099999999997</v>
      </c>
      <c r="N2687" t="s">
        <v>14079</v>
      </c>
      <c r="O2687" t="s">
        <v>26</v>
      </c>
      <c r="P2687">
        <v>142.5</v>
      </c>
      <c r="Q2687">
        <v>118.75</v>
      </c>
      <c r="R2687">
        <v>95</v>
      </c>
      <c r="S2687">
        <v>142.5</v>
      </c>
      <c r="T2687" t="s">
        <v>14080</v>
      </c>
    </row>
    <row r="2688" spans="1:20">
      <c r="A2688">
        <v>3330741</v>
      </c>
      <c r="B2688" t="s">
        <v>14081</v>
      </c>
      <c r="C2688" t="str">
        <f>"9780773514409"</f>
        <v>9780773514409</v>
      </c>
      <c r="D2688" t="str">
        <f>"9780773566231"</f>
        <v>9780773566231</v>
      </c>
      <c r="E2688" t="s">
        <v>12863</v>
      </c>
      <c r="F2688" t="s">
        <v>12863</v>
      </c>
      <c r="G2688" s="1">
        <v>35403</v>
      </c>
      <c r="I2688" t="s">
        <v>14082</v>
      </c>
      <c r="J2688" t="s">
        <v>14083</v>
      </c>
      <c r="K2688" t="s">
        <v>291</v>
      </c>
      <c r="L2688" t="s">
        <v>12975</v>
      </c>
      <c r="M2688">
        <v>971.27099999999996</v>
      </c>
      <c r="N2688" t="s">
        <v>14084</v>
      </c>
      <c r="O2688" t="s">
        <v>26</v>
      </c>
      <c r="P2688">
        <v>142.5</v>
      </c>
      <c r="Q2688">
        <v>118.75</v>
      </c>
      <c r="R2688">
        <v>95</v>
      </c>
      <c r="S2688">
        <v>142.5</v>
      </c>
      <c r="T2688" t="s">
        <v>14085</v>
      </c>
    </row>
    <row r="2689" spans="1:20">
      <c r="A2689">
        <v>3330742</v>
      </c>
      <c r="B2689" t="s">
        <v>14086</v>
      </c>
      <c r="C2689" t="str">
        <f>"9780773514287"</f>
        <v>9780773514287</v>
      </c>
      <c r="D2689" t="str">
        <f>"9780773566149"</f>
        <v>9780773566149</v>
      </c>
      <c r="E2689" t="s">
        <v>12863</v>
      </c>
      <c r="F2689" t="s">
        <v>12863</v>
      </c>
      <c r="G2689" s="1">
        <v>35304</v>
      </c>
      <c r="J2689" t="s">
        <v>14087</v>
      </c>
      <c r="K2689" t="s">
        <v>1464</v>
      </c>
      <c r="L2689" t="s">
        <v>14088</v>
      </c>
      <c r="M2689">
        <v>821.4</v>
      </c>
      <c r="N2689" t="s">
        <v>14089</v>
      </c>
      <c r="O2689" t="s">
        <v>26</v>
      </c>
      <c r="P2689">
        <v>142.5</v>
      </c>
      <c r="Q2689">
        <v>118.75</v>
      </c>
      <c r="R2689">
        <v>95</v>
      </c>
      <c r="S2689">
        <v>142.5</v>
      </c>
      <c r="T2689" t="s">
        <v>14090</v>
      </c>
    </row>
    <row r="2690" spans="1:20">
      <c r="A2690">
        <v>3330743</v>
      </c>
      <c r="B2690" t="s">
        <v>14091</v>
      </c>
      <c r="C2690" t="str">
        <f>"9780773516168"</f>
        <v>9780773516168</v>
      </c>
      <c r="D2690" t="str">
        <f>"9780773566637"</f>
        <v>9780773566637</v>
      </c>
      <c r="E2690" t="s">
        <v>12907</v>
      </c>
      <c r="F2690" t="s">
        <v>12907</v>
      </c>
      <c r="G2690" s="1">
        <v>35612</v>
      </c>
      <c r="I2690" t="s">
        <v>12864</v>
      </c>
      <c r="J2690" t="s">
        <v>14092</v>
      </c>
      <c r="K2690" t="s">
        <v>263</v>
      </c>
      <c r="L2690" t="s">
        <v>14093</v>
      </c>
      <c r="M2690" t="s">
        <v>14094</v>
      </c>
      <c r="N2690" t="s">
        <v>14095</v>
      </c>
      <c r="O2690" t="s">
        <v>26</v>
      </c>
      <c r="P2690">
        <v>142.5</v>
      </c>
      <c r="Q2690">
        <v>118.75</v>
      </c>
      <c r="R2690">
        <v>95</v>
      </c>
      <c r="S2690">
        <v>142.5</v>
      </c>
      <c r="T2690" t="s">
        <v>14096</v>
      </c>
    </row>
    <row r="2691" spans="1:20">
      <c r="A2691">
        <v>3330744</v>
      </c>
      <c r="B2691" t="s">
        <v>14097</v>
      </c>
      <c r="C2691" t="str">
        <f>"9780773512320"</f>
        <v>9780773512320</v>
      </c>
      <c r="D2691" t="str">
        <f>"9780773565012"</f>
        <v>9780773565012</v>
      </c>
      <c r="E2691" t="s">
        <v>12863</v>
      </c>
      <c r="F2691" t="s">
        <v>12863</v>
      </c>
      <c r="G2691" s="1">
        <v>34717</v>
      </c>
      <c r="J2691" t="s">
        <v>14098</v>
      </c>
      <c r="K2691" t="s">
        <v>1859</v>
      </c>
      <c r="L2691" t="s">
        <v>14099</v>
      </c>
      <c r="M2691">
        <v>191</v>
      </c>
      <c r="N2691" t="s">
        <v>14100</v>
      </c>
      <c r="O2691" t="s">
        <v>26</v>
      </c>
      <c r="P2691">
        <v>127.5</v>
      </c>
      <c r="Q2691">
        <v>106.25</v>
      </c>
      <c r="R2691">
        <v>85</v>
      </c>
      <c r="S2691">
        <v>127.5</v>
      </c>
      <c r="T2691" t="s">
        <v>14101</v>
      </c>
    </row>
    <row r="2692" spans="1:20">
      <c r="A2692">
        <v>3330745</v>
      </c>
      <c r="B2692" t="s">
        <v>14102</v>
      </c>
      <c r="C2692" t="str">
        <f>"9780773520073"</f>
        <v>9780773520073</v>
      </c>
      <c r="D2692" t="str">
        <f>"9780773568181"</f>
        <v>9780773568181</v>
      </c>
      <c r="E2692" t="s">
        <v>12863</v>
      </c>
      <c r="F2692" t="s">
        <v>12863</v>
      </c>
      <c r="G2692" s="1">
        <v>36405</v>
      </c>
      <c r="J2692" t="s">
        <v>14103</v>
      </c>
      <c r="K2692" t="s">
        <v>305</v>
      </c>
      <c r="L2692" t="s">
        <v>14104</v>
      </c>
      <c r="M2692">
        <v>650.07117137199998</v>
      </c>
      <c r="N2692" t="s">
        <v>14105</v>
      </c>
      <c r="O2692" t="s">
        <v>26</v>
      </c>
      <c r="P2692">
        <v>142.5</v>
      </c>
      <c r="Q2692">
        <v>118.75</v>
      </c>
      <c r="R2692">
        <v>95</v>
      </c>
      <c r="S2692">
        <v>142.5</v>
      </c>
      <c r="T2692" t="s">
        <v>14106</v>
      </c>
    </row>
    <row r="2693" spans="1:20">
      <c r="A2693">
        <v>3330746</v>
      </c>
      <c r="B2693" t="s">
        <v>14107</v>
      </c>
      <c r="C2693" t="str">
        <f>"9780773514423"</f>
        <v>9780773514423</v>
      </c>
      <c r="D2693" t="str">
        <f>"9780773566248"</f>
        <v>9780773566248</v>
      </c>
      <c r="E2693" t="s">
        <v>12863</v>
      </c>
      <c r="F2693" t="s">
        <v>12863</v>
      </c>
      <c r="G2693" s="1">
        <v>35355</v>
      </c>
      <c r="J2693" t="s">
        <v>14017</v>
      </c>
      <c r="K2693" t="s">
        <v>291</v>
      </c>
      <c r="L2693" t="s">
        <v>14108</v>
      </c>
      <c r="M2693">
        <v>944.04</v>
      </c>
      <c r="N2693" t="s">
        <v>14109</v>
      </c>
      <c r="O2693" t="s">
        <v>26</v>
      </c>
      <c r="P2693">
        <v>142.5</v>
      </c>
      <c r="Q2693">
        <v>118.75</v>
      </c>
      <c r="R2693">
        <v>95</v>
      </c>
      <c r="S2693">
        <v>142.5</v>
      </c>
      <c r="T2693" t="s">
        <v>14110</v>
      </c>
    </row>
    <row r="2694" spans="1:20">
      <c r="A2694">
        <v>3330747</v>
      </c>
      <c r="B2694" t="s">
        <v>14111</v>
      </c>
      <c r="C2694" t="str">
        <f>"9780773503601"</f>
        <v>9780773503601</v>
      </c>
      <c r="D2694" t="str">
        <f>"9780773560765"</f>
        <v>9780773560765</v>
      </c>
      <c r="E2694" t="s">
        <v>12863</v>
      </c>
      <c r="F2694" t="s">
        <v>12863</v>
      </c>
      <c r="G2694" s="1">
        <v>29312</v>
      </c>
      <c r="I2694" t="s">
        <v>14112</v>
      </c>
      <c r="J2694" t="s">
        <v>14113</v>
      </c>
      <c r="K2694" t="s">
        <v>467</v>
      </c>
      <c r="L2694" t="s">
        <v>14114</v>
      </c>
      <c r="M2694">
        <v>354.71</v>
      </c>
      <c r="N2694" t="s">
        <v>14115</v>
      </c>
      <c r="O2694" t="s">
        <v>26</v>
      </c>
      <c r="P2694">
        <v>142.5</v>
      </c>
      <c r="Q2694">
        <v>118.75</v>
      </c>
      <c r="R2694">
        <v>95</v>
      </c>
      <c r="S2694">
        <v>142.5</v>
      </c>
      <c r="T2694" t="s">
        <v>14116</v>
      </c>
    </row>
    <row r="2695" spans="1:20">
      <c r="A2695">
        <v>3330748</v>
      </c>
      <c r="B2695" t="s">
        <v>14117</v>
      </c>
      <c r="C2695" t="str">
        <f>"9780773518285"</f>
        <v>9780773518285</v>
      </c>
      <c r="D2695" t="str">
        <f>"9780773567665"</f>
        <v>9780773567665</v>
      </c>
      <c r="E2695" t="s">
        <v>12863</v>
      </c>
      <c r="F2695" t="s">
        <v>12863</v>
      </c>
      <c r="G2695" s="1">
        <v>36266</v>
      </c>
      <c r="J2695" t="s">
        <v>14118</v>
      </c>
      <c r="K2695" t="s">
        <v>263</v>
      </c>
      <c r="L2695" t="s">
        <v>14119</v>
      </c>
      <c r="M2695">
        <v>305.43630944709997</v>
      </c>
      <c r="N2695" t="s">
        <v>14120</v>
      </c>
      <c r="O2695" t="s">
        <v>26</v>
      </c>
      <c r="P2695">
        <v>142.5</v>
      </c>
      <c r="Q2695">
        <v>118.75</v>
      </c>
      <c r="R2695">
        <v>95</v>
      </c>
      <c r="S2695">
        <v>142.5</v>
      </c>
      <c r="T2695" t="s">
        <v>14121</v>
      </c>
    </row>
    <row r="2696" spans="1:20">
      <c r="A2696">
        <v>3330749</v>
      </c>
      <c r="B2696" t="s">
        <v>14122</v>
      </c>
      <c r="C2696" t="str">
        <f>"9780773511934"</f>
        <v>9780773511934</v>
      </c>
      <c r="D2696" t="str">
        <f>"9780773564763"</f>
        <v>9780773564763</v>
      </c>
      <c r="E2696" t="s">
        <v>12863</v>
      </c>
      <c r="F2696" t="s">
        <v>12863</v>
      </c>
      <c r="G2696" s="1">
        <v>34683</v>
      </c>
      <c r="I2696" t="s">
        <v>13540</v>
      </c>
      <c r="J2696" t="s">
        <v>14123</v>
      </c>
      <c r="K2696" t="s">
        <v>7838</v>
      </c>
      <c r="L2696" t="s">
        <v>14124</v>
      </c>
      <c r="M2696">
        <v>720.1</v>
      </c>
      <c r="N2696" t="s">
        <v>14125</v>
      </c>
      <c r="O2696" t="s">
        <v>26</v>
      </c>
      <c r="P2696">
        <v>142.5</v>
      </c>
      <c r="Q2696">
        <v>118.75</v>
      </c>
      <c r="R2696">
        <v>95</v>
      </c>
      <c r="S2696">
        <v>142.5</v>
      </c>
      <c r="T2696" t="s">
        <v>14126</v>
      </c>
    </row>
    <row r="2697" spans="1:20">
      <c r="A2697">
        <v>3330750</v>
      </c>
      <c r="B2697" t="s">
        <v>14127</v>
      </c>
      <c r="C2697" t="str">
        <f>"9780773511224"</f>
        <v>9780773511224</v>
      </c>
      <c r="D2697" t="str">
        <f>"9780773564305"</f>
        <v>9780773564305</v>
      </c>
      <c r="E2697" t="s">
        <v>12863</v>
      </c>
      <c r="F2697" t="s">
        <v>12863</v>
      </c>
      <c r="G2697" s="1">
        <v>34275</v>
      </c>
      <c r="J2697" t="s">
        <v>14128</v>
      </c>
      <c r="K2697" t="s">
        <v>291</v>
      </c>
      <c r="L2697" t="s">
        <v>14129</v>
      </c>
      <c r="M2697">
        <v>971.06409199999996</v>
      </c>
      <c r="N2697" t="s">
        <v>14130</v>
      </c>
      <c r="O2697" t="s">
        <v>26</v>
      </c>
      <c r="P2697">
        <v>120</v>
      </c>
      <c r="Q2697">
        <v>100</v>
      </c>
      <c r="R2697">
        <v>80</v>
      </c>
      <c r="S2697">
        <v>120</v>
      </c>
      <c r="T2697" t="s">
        <v>14131</v>
      </c>
    </row>
    <row r="2698" spans="1:20">
      <c r="A2698">
        <v>3330751</v>
      </c>
      <c r="B2698" t="s">
        <v>14132</v>
      </c>
      <c r="C2698" t="str">
        <f>"9780773513952"</f>
        <v>9780773513952</v>
      </c>
      <c r="D2698" t="str">
        <f>"9780773565937"</f>
        <v>9780773565937</v>
      </c>
      <c r="E2698" t="s">
        <v>12863</v>
      </c>
      <c r="F2698" t="s">
        <v>12863</v>
      </c>
      <c r="G2698" s="1">
        <v>35241</v>
      </c>
      <c r="J2698" t="s">
        <v>14133</v>
      </c>
      <c r="K2698" t="s">
        <v>416</v>
      </c>
      <c r="L2698" t="s">
        <v>14134</v>
      </c>
      <c r="M2698">
        <v>330.09199999999998</v>
      </c>
      <c r="N2698" t="s">
        <v>14135</v>
      </c>
      <c r="O2698" t="s">
        <v>26</v>
      </c>
      <c r="P2698">
        <v>142.5</v>
      </c>
      <c r="Q2698">
        <v>118.75</v>
      </c>
      <c r="R2698">
        <v>95</v>
      </c>
      <c r="S2698">
        <v>142.5</v>
      </c>
      <c r="T2698" t="s">
        <v>14136</v>
      </c>
    </row>
    <row r="2699" spans="1:20">
      <c r="A2699">
        <v>3330752</v>
      </c>
      <c r="B2699" t="s">
        <v>14137</v>
      </c>
      <c r="C2699" t="str">
        <f>"9780773509962"</f>
        <v>9780773509962</v>
      </c>
      <c r="D2699" t="str">
        <f>"9780773563933"</f>
        <v>9780773563933</v>
      </c>
      <c r="E2699" t="s">
        <v>12907</v>
      </c>
      <c r="F2699" t="s">
        <v>12907</v>
      </c>
      <c r="G2699" s="1">
        <v>34214</v>
      </c>
      <c r="J2699" t="s">
        <v>14138</v>
      </c>
      <c r="K2699" t="s">
        <v>291</v>
      </c>
      <c r="L2699" t="s">
        <v>14139</v>
      </c>
      <c r="M2699">
        <v>971.95004971000003</v>
      </c>
      <c r="N2699" t="s">
        <v>14140</v>
      </c>
      <c r="O2699" t="s">
        <v>26</v>
      </c>
      <c r="P2699">
        <v>52.43</v>
      </c>
      <c r="Q2699">
        <v>43.69</v>
      </c>
      <c r="R2699">
        <v>34.950000000000003</v>
      </c>
      <c r="S2699">
        <v>52.43</v>
      </c>
      <c r="T2699" t="s">
        <v>14141</v>
      </c>
    </row>
    <row r="2700" spans="1:20">
      <c r="A2700">
        <v>3330753</v>
      </c>
      <c r="B2700" t="s">
        <v>14142</v>
      </c>
      <c r="C2700" t="str">
        <f>"9780773511194"</f>
        <v>9780773511194</v>
      </c>
      <c r="D2700" t="str">
        <f>"9780773564299"</f>
        <v>9780773564299</v>
      </c>
      <c r="E2700" t="s">
        <v>12863</v>
      </c>
      <c r="F2700" t="s">
        <v>12863</v>
      </c>
      <c r="G2700" s="1">
        <v>34304</v>
      </c>
      <c r="J2700" t="s">
        <v>14143</v>
      </c>
      <c r="K2700" t="s">
        <v>1550</v>
      </c>
      <c r="L2700" t="s">
        <v>14144</v>
      </c>
      <c r="M2700">
        <v>306.09710000000001</v>
      </c>
      <c r="N2700" t="s">
        <v>14145</v>
      </c>
      <c r="O2700" t="s">
        <v>26</v>
      </c>
      <c r="P2700">
        <v>142.5</v>
      </c>
      <c r="Q2700">
        <v>118.75</v>
      </c>
      <c r="R2700">
        <v>95</v>
      </c>
      <c r="S2700">
        <v>142.5</v>
      </c>
      <c r="T2700" t="s">
        <v>14146</v>
      </c>
    </row>
    <row r="2701" spans="1:20">
      <c r="A2701">
        <v>3330754</v>
      </c>
      <c r="B2701" t="s">
        <v>14147</v>
      </c>
      <c r="C2701" t="str">
        <f>"9780773507005"</f>
        <v>9780773507005</v>
      </c>
      <c r="D2701" t="str">
        <f>"9780773562028"</f>
        <v>9780773562028</v>
      </c>
      <c r="E2701" t="s">
        <v>12863</v>
      </c>
      <c r="F2701" t="s">
        <v>12863</v>
      </c>
      <c r="G2701" s="1">
        <v>32933</v>
      </c>
      <c r="I2701" t="s">
        <v>12871</v>
      </c>
      <c r="J2701" t="s">
        <v>14148</v>
      </c>
      <c r="K2701" t="s">
        <v>14149</v>
      </c>
      <c r="L2701" t="s">
        <v>14150</v>
      </c>
      <c r="M2701">
        <v>333.91641609163202</v>
      </c>
      <c r="N2701" t="s">
        <v>14151</v>
      </c>
      <c r="O2701" t="s">
        <v>26</v>
      </c>
      <c r="P2701">
        <v>142.5</v>
      </c>
      <c r="Q2701">
        <v>118.75</v>
      </c>
      <c r="R2701">
        <v>95</v>
      </c>
      <c r="S2701">
        <v>142.5</v>
      </c>
      <c r="T2701" t="s">
        <v>14152</v>
      </c>
    </row>
    <row r="2702" spans="1:20">
      <c r="A2702">
        <v>3330755</v>
      </c>
      <c r="B2702" t="s">
        <v>14153</v>
      </c>
      <c r="C2702" t="str">
        <f>"9780773504233"</f>
        <v>9780773504233</v>
      </c>
      <c r="D2702" t="str">
        <f>"9780773560956"</f>
        <v>9780773560956</v>
      </c>
      <c r="E2702" t="s">
        <v>12907</v>
      </c>
      <c r="F2702" t="s">
        <v>12907</v>
      </c>
      <c r="G2702" s="1">
        <v>31199</v>
      </c>
      <c r="J2702" t="s">
        <v>14154</v>
      </c>
      <c r="K2702" t="s">
        <v>291</v>
      </c>
      <c r="L2702" t="s">
        <v>14155</v>
      </c>
      <c r="M2702" t="s">
        <v>6372</v>
      </c>
      <c r="N2702" t="s">
        <v>14156</v>
      </c>
      <c r="O2702" t="s">
        <v>26</v>
      </c>
      <c r="P2702">
        <v>142.5</v>
      </c>
      <c r="Q2702">
        <v>118.75</v>
      </c>
      <c r="R2702">
        <v>95</v>
      </c>
      <c r="S2702">
        <v>142.5</v>
      </c>
      <c r="T2702" t="s">
        <v>14157</v>
      </c>
    </row>
    <row r="2703" spans="1:20">
      <c r="A2703">
        <v>3330756</v>
      </c>
      <c r="B2703" t="s">
        <v>14158</v>
      </c>
      <c r="C2703" t="str">
        <f>"9780773510029"</f>
        <v>9780773510029</v>
      </c>
      <c r="D2703" t="str">
        <f>"9780773563971"</f>
        <v>9780773563971</v>
      </c>
      <c r="E2703" t="s">
        <v>12863</v>
      </c>
      <c r="F2703" t="s">
        <v>12863</v>
      </c>
      <c r="G2703" s="1">
        <v>37874</v>
      </c>
      <c r="I2703" t="s">
        <v>12963</v>
      </c>
      <c r="J2703" t="s">
        <v>14159</v>
      </c>
      <c r="K2703" t="s">
        <v>3219</v>
      </c>
      <c r="L2703" t="s">
        <v>14160</v>
      </c>
      <c r="M2703">
        <v>901</v>
      </c>
      <c r="N2703" t="s">
        <v>14161</v>
      </c>
      <c r="O2703" t="s">
        <v>26</v>
      </c>
      <c r="P2703">
        <v>142.5</v>
      </c>
      <c r="Q2703">
        <v>118.75</v>
      </c>
      <c r="R2703">
        <v>95</v>
      </c>
      <c r="S2703">
        <v>142.5</v>
      </c>
      <c r="T2703" t="s">
        <v>14162</v>
      </c>
    </row>
    <row r="2704" spans="1:20">
      <c r="A2704">
        <v>3330757</v>
      </c>
      <c r="B2704" t="s">
        <v>14163</v>
      </c>
      <c r="C2704" t="str">
        <f>"9780773507357"</f>
        <v>9780773507357</v>
      </c>
      <c r="D2704" t="str">
        <f>"9780773562325"</f>
        <v>9780773562325</v>
      </c>
      <c r="E2704" t="s">
        <v>12863</v>
      </c>
      <c r="F2704" t="s">
        <v>12863</v>
      </c>
      <c r="G2704" s="1">
        <v>32905</v>
      </c>
      <c r="J2704" t="s">
        <v>14164</v>
      </c>
      <c r="K2704" t="s">
        <v>1471</v>
      </c>
      <c r="L2704" t="s">
        <v>14165</v>
      </c>
      <c r="M2704">
        <v>792.70970999999997</v>
      </c>
      <c r="N2704" t="s">
        <v>14166</v>
      </c>
      <c r="O2704" t="s">
        <v>26</v>
      </c>
      <c r="P2704">
        <v>142.5</v>
      </c>
      <c r="Q2704">
        <v>118.75</v>
      </c>
      <c r="R2704">
        <v>95</v>
      </c>
      <c r="S2704">
        <v>142.5</v>
      </c>
      <c r="T2704" t="s">
        <v>14167</v>
      </c>
    </row>
    <row r="2705" spans="1:20">
      <c r="A2705">
        <v>3330758</v>
      </c>
      <c r="B2705" t="s">
        <v>14168</v>
      </c>
      <c r="C2705" t="str">
        <f>"9780773510197"</f>
        <v>9780773510197</v>
      </c>
      <c r="D2705" t="str">
        <f>"9780773564138"</f>
        <v>9780773564138</v>
      </c>
      <c r="E2705" t="s">
        <v>12863</v>
      </c>
      <c r="F2705" t="s">
        <v>12863</v>
      </c>
      <c r="G2705" s="1">
        <v>34885</v>
      </c>
      <c r="I2705" t="s">
        <v>12963</v>
      </c>
      <c r="J2705" t="s">
        <v>14169</v>
      </c>
      <c r="K2705" t="s">
        <v>1859</v>
      </c>
      <c r="L2705" t="s">
        <v>14170</v>
      </c>
      <c r="M2705">
        <v>198.9</v>
      </c>
      <c r="N2705" t="s">
        <v>4343</v>
      </c>
      <c r="O2705" t="s">
        <v>26</v>
      </c>
      <c r="P2705">
        <v>142.5</v>
      </c>
      <c r="Q2705">
        <v>118.75</v>
      </c>
      <c r="R2705">
        <v>95</v>
      </c>
      <c r="S2705">
        <v>142.5</v>
      </c>
      <c r="T2705" t="s">
        <v>14171</v>
      </c>
    </row>
    <row r="2706" spans="1:20">
      <c r="A2706">
        <v>3330759</v>
      </c>
      <c r="B2706" t="s">
        <v>14172</v>
      </c>
      <c r="C2706" t="str">
        <f>"9780773505667"</f>
        <v>9780773505667</v>
      </c>
      <c r="D2706" t="str">
        <f>"9780773561168"</f>
        <v>9780773561168</v>
      </c>
      <c r="E2706" t="s">
        <v>12863</v>
      </c>
      <c r="F2706" t="s">
        <v>12863</v>
      </c>
      <c r="G2706" s="1">
        <v>31929</v>
      </c>
      <c r="J2706" t="s">
        <v>14173</v>
      </c>
      <c r="K2706" t="s">
        <v>291</v>
      </c>
      <c r="L2706" t="s">
        <v>14174</v>
      </c>
      <c r="M2706" t="s">
        <v>14175</v>
      </c>
      <c r="N2706" t="s">
        <v>14176</v>
      </c>
      <c r="O2706" t="s">
        <v>26</v>
      </c>
      <c r="P2706">
        <v>127.5</v>
      </c>
      <c r="Q2706">
        <v>106.25</v>
      </c>
      <c r="R2706">
        <v>85</v>
      </c>
      <c r="S2706">
        <v>127.5</v>
      </c>
      <c r="T2706" t="s">
        <v>14177</v>
      </c>
    </row>
    <row r="2707" spans="1:20">
      <c r="A2707">
        <v>3330760</v>
      </c>
      <c r="B2707" t="s">
        <v>14178</v>
      </c>
      <c r="C2707" t="str">
        <f>"9780773506589"</f>
        <v>9780773506589</v>
      </c>
      <c r="D2707" t="str">
        <f>"9780773561724"</f>
        <v>9780773561724</v>
      </c>
      <c r="E2707" t="s">
        <v>12863</v>
      </c>
      <c r="F2707" t="s">
        <v>12863</v>
      </c>
      <c r="G2707" s="1">
        <v>33980</v>
      </c>
      <c r="I2707" t="s">
        <v>13288</v>
      </c>
      <c r="J2707" t="s">
        <v>14179</v>
      </c>
      <c r="K2707" t="s">
        <v>1530</v>
      </c>
      <c r="L2707" t="s">
        <v>14180</v>
      </c>
      <c r="M2707">
        <v>971.42801399999996</v>
      </c>
      <c r="N2707" t="s">
        <v>14181</v>
      </c>
      <c r="O2707" t="s">
        <v>26</v>
      </c>
      <c r="P2707">
        <v>142.5</v>
      </c>
      <c r="Q2707">
        <v>118.75</v>
      </c>
      <c r="R2707">
        <v>95</v>
      </c>
      <c r="S2707">
        <v>142.5</v>
      </c>
      <c r="T2707" t="s">
        <v>14182</v>
      </c>
    </row>
    <row r="2708" spans="1:20">
      <c r="A2708">
        <v>3330761</v>
      </c>
      <c r="B2708" t="s">
        <v>14183</v>
      </c>
      <c r="C2708" t="str">
        <f>"9780773509627"</f>
        <v>9780773509627</v>
      </c>
      <c r="D2708" t="str">
        <f>"9780773563728"</f>
        <v>9780773563728</v>
      </c>
      <c r="E2708" t="s">
        <v>12907</v>
      </c>
      <c r="F2708" t="s">
        <v>12907</v>
      </c>
      <c r="G2708" s="1">
        <v>34004</v>
      </c>
      <c r="J2708" t="s">
        <v>14184</v>
      </c>
      <c r="K2708" t="s">
        <v>291</v>
      </c>
      <c r="L2708" t="s">
        <v>14185</v>
      </c>
      <c r="M2708">
        <v>971.30100000000004</v>
      </c>
      <c r="N2708" t="s">
        <v>14186</v>
      </c>
      <c r="O2708" t="s">
        <v>26</v>
      </c>
      <c r="P2708">
        <v>142.5</v>
      </c>
      <c r="Q2708">
        <v>118.75</v>
      </c>
      <c r="R2708">
        <v>95</v>
      </c>
      <c r="S2708">
        <v>142.5</v>
      </c>
      <c r="T2708" t="s">
        <v>14187</v>
      </c>
    </row>
    <row r="2709" spans="1:20">
      <c r="A2709">
        <v>3330762</v>
      </c>
      <c r="B2709" t="s">
        <v>14188</v>
      </c>
      <c r="C2709" t="str">
        <f>"9780773509733"</f>
        <v>9780773509733</v>
      </c>
      <c r="D2709" t="str">
        <f>"9780773563742"</f>
        <v>9780773563742</v>
      </c>
      <c r="E2709" t="s">
        <v>12863</v>
      </c>
      <c r="F2709" t="s">
        <v>12863</v>
      </c>
      <c r="G2709" s="1">
        <v>34037</v>
      </c>
      <c r="J2709" t="s">
        <v>6690</v>
      </c>
      <c r="K2709" t="s">
        <v>291</v>
      </c>
      <c r="L2709" t="s">
        <v>14189</v>
      </c>
      <c r="M2709">
        <v>944.99</v>
      </c>
      <c r="N2709" t="s">
        <v>14190</v>
      </c>
      <c r="O2709" t="s">
        <v>26</v>
      </c>
      <c r="P2709">
        <v>142.5</v>
      </c>
      <c r="Q2709">
        <v>118.75</v>
      </c>
      <c r="R2709">
        <v>95</v>
      </c>
      <c r="S2709">
        <v>142.5</v>
      </c>
      <c r="T2709" t="s">
        <v>14191</v>
      </c>
    </row>
    <row r="2710" spans="1:20">
      <c r="A2710">
        <v>3330763</v>
      </c>
      <c r="B2710" t="s">
        <v>14192</v>
      </c>
      <c r="C2710" t="str">
        <f>"9780773516717"</f>
        <v>9780773516717</v>
      </c>
      <c r="D2710" t="str">
        <f>"9780773566903"</f>
        <v>9780773566903</v>
      </c>
      <c r="E2710" t="s">
        <v>12863</v>
      </c>
      <c r="F2710" t="s">
        <v>12863</v>
      </c>
      <c r="G2710" s="1">
        <v>35703</v>
      </c>
      <c r="J2710" t="s">
        <v>14193</v>
      </c>
      <c r="K2710" t="s">
        <v>14194</v>
      </c>
      <c r="L2710" t="s">
        <v>14195</v>
      </c>
      <c r="M2710">
        <v>306.25089971207098</v>
      </c>
      <c r="N2710" t="s">
        <v>14196</v>
      </c>
      <c r="O2710" t="s">
        <v>26</v>
      </c>
      <c r="P2710">
        <v>142.5</v>
      </c>
      <c r="Q2710">
        <v>118.75</v>
      </c>
      <c r="R2710">
        <v>95</v>
      </c>
      <c r="S2710">
        <v>142.5</v>
      </c>
      <c r="T2710" t="s">
        <v>14197</v>
      </c>
    </row>
    <row r="2711" spans="1:20">
      <c r="A2711">
        <v>3330764</v>
      </c>
      <c r="B2711" t="s">
        <v>14198</v>
      </c>
      <c r="C2711" t="str">
        <f>"9780773507722"</f>
        <v>9780773507722</v>
      </c>
      <c r="D2711" t="str">
        <f>"9780773562578"</f>
        <v>9780773562578</v>
      </c>
      <c r="E2711" t="s">
        <v>12863</v>
      </c>
      <c r="F2711" t="s">
        <v>12863</v>
      </c>
      <c r="G2711" s="1">
        <v>32874</v>
      </c>
      <c r="J2711" t="s">
        <v>14199</v>
      </c>
      <c r="K2711" t="s">
        <v>291</v>
      </c>
      <c r="L2711" t="s">
        <v>14200</v>
      </c>
      <c r="M2711">
        <v>971.404</v>
      </c>
      <c r="N2711" t="s">
        <v>14201</v>
      </c>
      <c r="O2711" t="s">
        <v>26</v>
      </c>
      <c r="P2711">
        <v>142.5</v>
      </c>
      <c r="Q2711">
        <v>118.75</v>
      </c>
      <c r="R2711">
        <v>95</v>
      </c>
      <c r="S2711">
        <v>142.5</v>
      </c>
      <c r="T2711" t="s">
        <v>14202</v>
      </c>
    </row>
    <row r="2712" spans="1:20">
      <c r="A2712">
        <v>3330765</v>
      </c>
      <c r="B2712" t="s">
        <v>14203</v>
      </c>
      <c r="C2712" t="str">
        <f>"9780773506602"</f>
        <v>9780773506602</v>
      </c>
      <c r="D2712" t="str">
        <f>"9780773561748"</f>
        <v>9780773561748</v>
      </c>
      <c r="E2712" t="s">
        <v>12863</v>
      </c>
      <c r="F2712" t="s">
        <v>12863</v>
      </c>
      <c r="G2712" s="1">
        <v>32417</v>
      </c>
      <c r="J2712" t="s">
        <v>14204</v>
      </c>
      <c r="K2712" t="s">
        <v>291</v>
      </c>
      <c r="L2712" t="s">
        <v>14205</v>
      </c>
      <c r="M2712">
        <v>971.30200000000002</v>
      </c>
      <c r="N2712" t="s">
        <v>14206</v>
      </c>
      <c r="O2712" t="s">
        <v>26</v>
      </c>
      <c r="P2712">
        <v>142.5</v>
      </c>
      <c r="Q2712">
        <v>118.75</v>
      </c>
      <c r="R2712">
        <v>95</v>
      </c>
      <c r="S2712">
        <v>142.5</v>
      </c>
      <c r="T2712" t="s">
        <v>14207</v>
      </c>
    </row>
    <row r="2713" spans="1:20">
      <c r="A2713">
        <v>3330766</v>
      </c>
      <c r="B2713" t="s">
        <v>14208</v>
      </c>
      <c r="C2713" t="str">
        <f>"9780773518469"</f>
        <v>9780773518469</v>
      </c>
      <c r="D2713" t="str">
        <f>"9780773567818"</f>
        <v>9780773567818</v>
      </c>
      <c r="E2713" t="s">
        <v>12863</v>
      </c>
      <c r="F2713" t="s">
        <v>12863</v>
      </c>
      <c r="G2713" s="1">
        <v>36373</v>
      </c>
      <c r="I2713" t="s">
        <v>12886</v>
      </c>
      <c r="J2713" t="s">
        <v>14209</v>
      </c>
      <c r="K2713" t="s">
        <v>1892</v>
      </c>
      <c r="L2713" t="s">
        <v>14210</v>
      </c>
      <c r="M2713">
        <v>282.09199999999998</v>
      </c>
      <c r="N2713" t="s">
        <v>14211</v>
      </c>
      <c r="O2713" t="s">
        <v>26</v>
      </c>
      <c r="P2713">
        <v>142.5</v>
      </c>
      <c r="Q2713">
        <v>118.75</v>
      </c>
      <c r="R2713">
        <v>95</v>
      </c>
      <c r="S2713">
        <v>142.5</v>
      </c>
      <c r="T2713" t="s">
        <v>14212</v>
      </c>
    </row>
    <row r="2714" spans="1:20">
      <c r="A2714">
        <v>3330767</v>
      </c>
      <c r="B2714" t="s">
        <v>14213</v>
      </c>
      <c r="C2714" t="str">
        <f>"9780773506930"</f>
        <v>9780773506930</v>
      </c>
      <c r="D2714" t="str">
        <f>"9780773561953"</f>
        <v>9780773561953</v>
      </c>
      <c r="E2714" t="s">
        <v>12863</v>
      </c>
      <c r="F2714" t="s">
        <v>12863</v>
      </c>
      <c r="G2714" s="1">
        <v>32599</v>
      </c>
      <c r="J2714" t="s">
        <v>14214</v>
      </c>
      <c r="K2714" t="s">
        <v>1892</v>
      </c>
      <c r="L2714" t="s">
        <v>14215</v>
      </c>
      <c r="M2714">
        <v>265.89999999999998</v>
      </c>
      <c r="N2714" t="s">
        <v>14216</v>
      </c>
      <c r="O2714" t="s">
        <v>26</v>
      </c>
      <c r="P2714">
        <v>142.5</v>
      </c>
      <c r="Q2714">
        <v>118.75</v>
      </c>
      <c r="R2714">
        <v>95</v>
      </c>
      <c r="S2714">
        <v>142.5</v>
      </c>
      <c r="T2714" t="s">
        <v>14217</v>
      </c>
    </row>
    <row r="2715" spans="1:20">
      <c r="A2715">
        <v>3330768</v>
      </c>
      <c r="B2715" t="s">
        <v>14218</v>
      </c>
      <c r="C2715" t="str">
        <f>"9780773520226"</f>
        <v>9780773520226</v>
      </c>
      <c r="D2715" t="str">
        <f>"9780773568259"</f>
        <v>9780773568259</v>
      </c>
      <c r="E2715" t="s">
        <v>12863</v>
      </c>
      <c r="F2715" t="s">
        <v>12863</v>
      </c>
      <c r="G2715" s="1">
        <v>36892</v>
      </c>
      <c r="I2715" t="s">
        <v>13046</v>
      </c>
      <c r="J2715" t="s">
        <v>14219</v>
      </c>
      <c r="K2715" t="s">
        <v>1530</v>
      </c>
      <c r="L2715" t="s">
        <v>14220</v>
      </c>
      <c r="M2715">
        <v>949.90300000000002</v>
      </c>
      <c r="N2715" t="s">
        <v>14221</v>
      </c>
      <c r="O2715" t="s">
        <v>26</v>
      </c>
      <c r="P2715">
        <v>165</v>
      </c>
      <c r="Q2715">
        <v>137.5</v>
      </c>
      <c r="R2715">
        <v>110</v>
      </c>
      <c r="S2715">
        <v>165</v>
      </c>
      <c r="T2715" t="s">
        <v>14222</v>
      </c>
    </row>
    <row r="2716" spans="1:20">
      <c r="A2716">
        <v>3330769</v>
      </c>
      <c r="B2716" t="s">
        <v>14223</v>
      </c>
      <c r="C2716" t="str">
        <f>"9780773516106"</f>
        <v>9780773516106</v>
      </c>
      <c r="D2716" t="str">
        <f>"9780773566590"</f>
        <v>9780773566590</v>
      </c>
      <c r="E2716" t="s">
        <v>12863</v>
      </c>
      <c r="F2716" t="s">
        <v>12863</v>
      </c>
      <c r="G2716" s="1">
        <v>35633</v>
      </c>
      <c r="I2716" t="s">
        <v>13046</v>
      </c>
      <c r="J2716" t="s">
        <v>14224</v>
      </c>
      <c r="K2716" t="s">
        <v>1550</v>
      </c>
      <c r="L2716" t="s">
        <v>14225</v>
      </c>
      <c r="M2716">
        <v>947.08500000000004</v>
      </c>
      <c r="N2716" t="s">
        <v>14226</v>
      </c>
      <c r="O2716" t="s">
        <v>26</v>
      </c>
      <c r="P2716">
        <v>165</v>
      </c>
      <c r="Q2716">
        <v>137.5</v>
      </c>
      <c r="R2716">
        <v>110</v>
      </c>
      <c r="S2716">
        <v>165</v>
      </c>
      <c r="T2716" t="s">
        <v>14227</v>
      </c>
    </row>
    <row r="2717" spans="1:20">
      <c r="A2717">
        <v>3330770</v>
      </c>
      <c r="B2717" t="s">
        <v>14228</v>
      </c>
      <c r="C2717" t="str">
        <f>"9780773507319"</f>
        <v>9780773507319</v>
      </c>
      <c r="D2717" t="str">
        <f>"9780773562288"</f>
        <v>9780773562288</v>
      </c>
      <c r="E2717" t="s">
        <v>12863</v>
      </c>
      <c r="F2717" t="s">
        <v>12863</v>
      </c>
      <c r="G2717" s="1">
        <v>33025</v>
      </c>
      <c r="J2717" t="s">
        <v>14229</v>
      </c>
      <c r="K2717" t="s">
        <v>467</v>
      </c>
      <c r="L2717" t="s">
        <v>14230</v>
      </c>
      <c r="M2717">
        <v>320.10000000000002</v>
      </c>
      <c r="N2717" t="s">
        <v>14231</v>
      </c>
      <c r="O2717" t="s">
        <v>26</v>
      </c>
      <c r="P2717">
        <v>142.5</v>
      </c>
      <c r="Q2717">
        <v>118.75</v>
      </c>
      <c r="R2717">
        <v>95</v>
      </c>
      <c r="S2717">
        <v>142.5</v>
      </c>
      <c r="T2717" t="s">
        <v>14232</v>
      </c>
    </row>
    <row r="2718" spans="1:20">
      <c r="A2718">
        <v>3330771</v>
      </c>
      <c r="B2718" t="s">
        <v>14233</v>
      </c>
      <c r="C2718" t="str">
        <f>"9780773508156"</f>
        <v>9780773508156</v>
      </c>
      <c r="D2718" t="str">
        <f>"9780773562752"</f>
        <v>9780773562752</v>
      </c>
      <c r="E2718" t="s">
        <v>12863</v>
      </c>
      <c r="F2718" t="s">
        <v>12863</v>
      </c>
      <c r="G2718" s="1">
        <v>33208</v>
      </c>
      <c r="J2718" t="s">
        <v>14234</v>
      </c>
      <c r="K2718" t="s">
        <v>1464</v>
      </c>
      <c r="L2718" t="s">
        <v>14235</v>
      </c>
      <c r="M2718">
        <v>811.52</v>
      </c>
      <c r="N2718" t="s">
        <v>14236</v>
      </c>
      <c r="O2718" t="s">
        <v>26</v>
      </c>
      <c r="P2718">
        <v>142.5</v>
      </c>
      <c r="Q2718">
        <v>118.75</v>
      </c>
      <c r="R2718">
        <v>95</v>
      </c>
      <c r="S2718">
        <v>142.5</v>
      </c>
      <c r="T2718" t="s">
        <v>14237</v>
      </c>
    </row>
    <row r="2719" spans="1:20">
      <c r="A2719">
        <v>3330772</v>
      </c>
      <c r="B2719" t="s">
        <v>14238</v>
      </c>
      <c r="C2719" t="str">
        <f>"9780773510036"</f>
        <v>9780773510036</v>
      </c>
      <c r="D2719" t="str">
        <f>"9780773563988"</f>
        <v>9780773563988</v>
      </c>
      <c r="E2719" t="s">
        <v>12863</v>
      </c>
      <c r="F2719" t="s">
        <v>12863</v>
      </c>
      <c r="G2719" s="1">
        <v>30195</v>
      </c>
      <c r="I2719" t="s">
        <v>12963</v>
      </c>
      <c r="J2719" t="s">
        <v>14239</v>
      </c>
      <c r="K2719" t="s">
        <v>1859</v>
      </c>
      <c r="L2719" t="s">
        <v>14240</v>
      </c>
      <c r="M2719">
        <v>192</v>
      </c>
      <c r="N2719" t="s">
        <v>14241</v>
      </c>
      <c r="O2719" t="s">
        <v>26</v>
      </c>
      <c r="P2719">
        <v>142.5</v>
      </c>
      <c r="Q2719">
        <v>118.75</v>
      </c>
      <c r="R2719">
        <v>95</v>
      </c>
      <c r="S2719">
        <v>142.5</v>
      </c>
      <c r="T2719" t="s">
        <v>14242</v>
      </c>
    </row>
    <row r="2720" spans="1:20">
      <c r="A2720">
        <v>3330773</v>
      </c>
      <c r="B2720" t="s">
        <v>14243</v>
      </c>
      <c r="C2720" t="str">
        <f>"9780773513792"</f>
        <v>9780773513792</v>
      </c>
      <c r="D2720" t="str">
        <f>"9780773565845"</f>
        <v>9780773565845</v>
      </c>
      <c r="E2720" t="s">
        <v>12863</v>
      </c>
      <c r="F2720" t="s">
        <v>12863</v>
      </c>
      <c r="G2720" s="1">
        <v>35185</v>
      </c>
      <c r="I2720" t="s">
        <v>12886</v>
      </c>
      <c r="J2720" t="s">
        <v>13418</v>
      </c>
      <c r="K2720" t="s">
        <v>6813</v>
      </c>
      <c r="L2720" t="s">
        <v>14244</v>
      </c>
      <c r="M2720">
        <v>306.68040972</v>
      </c>
      <c r="N2720" t="s">
        <v>14245</v>
      </c>
      <c r="O2720" t="s">
        <v>26</v>
      </c>
      <c r="P2720">
        <v>142.5</v>
      </c>
      <c r="Q2720">
        <v>118.75</v>
      </c>
      <c r="R2720">
        <v>95</v>
      </c>
      <c r="S2720">
        <v>142.5</v>
      </c>
      <c r="T2720" t="s">
        <v>14246</v>
      </c>
    </row>
    <row r="2721" spans="1:20">
      <c r="A2721">
        <v>3330774</v>
      </c>
      <c r="B2721" t="s">
        <v>14247</v>
      </c>
      <c r="C2721" t="str">
        <f>"9780773511248"</f>
        <v>9780773511248</v>
      </c>
      <c r="D2721" t="str">
        <f>"9780773564329"</f>
        <v>9780773564329</v>
      </c>
      <c r="E2721" t="s">
        <v>12863</v>
      </c>
      <c r="F2721" t="s">
        <v>12863</v>
      </c>
      <c r="G2721" s="1">
        <v>34267</v>
      </c>
      <c r="J2721" t="s">
        <v>6953</v>
      </c>
      <c r="K2721" t="s">
        <v>263</v>
      </c>
      <c r="L2721" t="s">
        <v>14248</v>
      </c>
      <c r="M2721">
        <v>301</v>
      </c>
      <c r="N2721" t="s">
        <v>14249</v>
      </c>
      <c r="O2721" t="s">
        <v>26</v>
      </c>
      <c r="P2721">
        <v>142.5</v>
      </c>
      <c r="Q2721">
        <v>118.75</v>
      </c>
      <c r="R2721">
        <v>95</v>
      </c>
      <c r="S2721">
        <v>142.5</v>
      </c>
      <c r="T2721" t="s">
        <v>14250</v>
      </c>
    </row>
    <row r="2722" spans="1:20">
      <c r="A2722">
        <v>3330775</v>
      </c>
      <c r="B2722" t="s">
        <v>14251</v>
      </c>
      <c r="C2722" t="str">
        <f>"9780773505650"</f>
        <v>9780773505650</v>
      </c>
      <c r="D2722" t="str">
        <f>"9780773561151"</f>
        <v>9780773561151</v>
      </c>
      <c r="E2722" t="s">
        <v>12863</v>
      </c>
      <c r="F2722" t="s">
        <v>12863</v>
      </c>
      <c r="G2722" s="1">
        <v>31778</v>
      </c>
      <c r="J2722" t="s">
        <v>14252</v>
      </c>
      <c r="K2722" t="s">
        <v>257</v>
      </c>
      <c r="L2722" t="s">
        <v>14253</v>
      </c>
      <c r="M2722">
        <v>376.65094699999997</v>
      </c>
      <c r="N2722" t="s">
        <v>14254</v>
      </c>
      <c r="O2722" t="s">
        <v>26</v>
      </c>
      <c r="P2722">
        <v>142.5</v>
      </c>
      <c r="Q2722">
        <v>118.75</v>
      </c>
      <c r="R2722">
        <v>95</v>
      </c>
      <c r="S2722">
        <v>142.5</v>
      </c>
      <c r="T2722" t="s">
        <v>14255</v>
      </c>
    </row>
    <row r="2723" spans="1:20">
      <c r="A2723">
        <v>3330776</v>
      </c>
      <c r="B2723" t="s">
        <v>14256</v>
      </c>
      <c r="C2723" t="str">
        <f>"9780773510142"</f>
        <v>9780773510142</v>
      </c>
      <c r="D2723" t="str">
        <f>"9780773564084"</f>
        <v>9780773564084</v>
      </c>
      <c r="E2723" t="s">
        <v>12863</v>
      </c>
      <c r="F2723" t="s">
        <v>12863</v>
      </c>
      <c r="G2723" s="1">
        <v>32540</v>
      </c>
      <c r="I2723" t="s">
        <v>12963</v>
      </c>
      <c r="J2723" t="s">
        <v>14257</v>
      </c>
      <c r="K2723" t="s">
        <v>1859</v>
      </c>
      <c r="L2723" t="s">
        <v>14258</v>
      </c>
      <c r="M2723">
        <v>194</v>
      </c>
      <c r="N2723" t="s">
        <v>14259</v>
      </c>
      <c r="O2723" t="s">
        <v>26</v>
      </c>
      <c r="P2723">
        <v>142.5</v>
      </c>
      <c r="Q2723">
        <v>118.75</v>
      </c>
      <c r="R2723">
        <v>95</v>
      </c>
      <c r="S2723">
        <v>142.5</v>
      </c>
      <c r="T2723" t="s">
        <v>14260</v>
      </c>
    </row>
    <row r="2724" spans="1:20">
      <c r="A2724">
        <v>3330777</v>
      </c>
      <c r="B2724" t="s">
        <v>14261</v>
      </c>
      <c r="C2724" t="str">
        <f>"9780773511149"</f>
        <v>9780773511149</v>
      </c>
      <c r="D2724" t="str">
        <f>"9780773564275"</f>
        <v>9780773564275</v>
      </c>
      <c r="E2724" t="s">
        <v>12863</v>
      </c>
      <c r="F2724" t="s">
        <v>12863</v>
      </c>
      <c r="G2724" s="1">
        <v>34235</v>
      </c>
      <c r="J2724" t="s">
        <v>14262</v>
      </c>
      <c r="K2724" t="s">
        <v>525</v>
      </c>
      <c r="L2724" t="s">
        <v>14263</v>
      </c>
      <c r="M2724">
        <v>340</v>
      </c>
      <c r="N2724" t="s">
        <v>14264</v>
      </c>
      <c r="O2724" t="s">
        <v>26</v>
      </c>
      <c r="P2724">
        <v>142.5</v>
      </c>
      <c r="Q2724">
        <v>118.75</v>
      </c>
      <c r="R2724">
        <v>95</v>
      </c>
      <c r="S2724">
        <v>142.5</v>
      </c>
      <c r="T2724" t="s">
        <v>14265</v>
      </c>
    </row>
    <row r="2725" spans="1:20">
      <c r="A2725">
        <v>3330778</v>
      </c>
      <c r="B2725" t="s">
        <v>14266</v>
      </c>
      <c r="C2725" t="str">
        <f>"9780773518025"</f>
        <v>9780773518025</v>
      </c>
      <c r="D2725" t="str">
        <f>"9780773567542"</f>
        <v>9780773567542</v>
      </c>
      <c r="E2725" t="s">
        <v>12863</v>
      </c>
      <c r="F2725" t="s">
        <v>12863</v>
      </c>
      <c r="G2725" s="1">
        <v>36260</v>
      </c>
      <c r="I2725" t="s">
        <v>12886</v>
      </c>
      <c r="J2725" t="s">
        <v>14267</v>
      </c>
      <c r="K2725" t="s">
        <v>1892</v>
      </c>
      <c r="L2725" t="s">
        <v>14268</v>
      </c>
      <c r="M2725">
        <v>296.12306000000001</v>
      </c>
      <c r="N2725" t="s">
        <v>14269</v>
      </c>
      <c r="O2725" t="s">
        <v>26</v>
      </c>
      <c r="P2725">
        <v>142.5</v>
      </c>
      <c r="Q2725">
        <v>118.75</v>
      </c>
      <c r="R2725">
        <v>95</v>
      </c>
      <c r="S2725">
        <v>142.5</v>
      </c>
      <c r="T2725" t="s">
        <v>14270</v>
      </c>
    </row>
    <row r="2726" spans="1:20">
      <c r="A2726">
        <v>3330779</v>
      </c>
      <c r="B2726" t="s">
        <v>14271</v>
      </c>
      <c r="C2726" t="str">
        <f>"9780773513686"</f>
        <v>9780773513686</v>
      </c>
      <c r="D2726" t="str">
        <f>"9780773565760"</f>
        <v>9780773565760</v>
      </c>
      <c r="E2726" t="s">
        <v>12863</v>
      </c>
      <c r="F2726" t="s">
        <v>12863</v>
      </c>
      <c r="G2726" s="1">
        <v>35034</v>
      </c>
      <c r="J2726" t="s">
        <v>14272</v>
      </c>
      <c r="K2726" t="s">
        <v>30</v>
      </c>
      <c r="L2726" t="s">
        <v>14273</v>
      </c>
      <c r="M2726">
        <v>550.91999999999996</v>
      </c>
      <c r="N2726" t="s">
        <v>14274</v>
      </c>
      <c r="O2726" t="s">
        <v>26</v>
      </c>
      <c r="P2726">
        <v>127.5</v>
      </c>
      <c r="Q2726">
        <v>106.25</v>
      </c>
      <c r="R2726">
        <v>85</v>
      </c>
      <c r="S2726">
        <v>127.5</v>
      </c>
      <c r="T2726" t="s">
        <v>14275</v>
      </c>
    </row>
    <row r="2727" spans="1:20">
      <c r="A2727">
        <v>3330780</v>
      </c>
      <c r="B2727" t="s">
        <v>14276</v>
      </c>
      <c r="C2727" t="str">
        <f>"9780773510180"</f>
        <v>9780773510180</v>
      </c>
      <c r="D2727" t="str">
        <f>"9780773564121"</f>
        <v>9780773564121</v>
      </c>
      <c r="E2727" t="s">
        <v>12863</v>
      </c>
      <c r="F2727" t="s">
        <v>12863</v>
      </c>
      <c r="G2727" s="1">
        <v>34747</v>
      </c>
      <c r="I2727" t="s">
        <v>12963</v>
      </c>
      <c r="J2727" t="s">
        <v>14277</v>
      </c>
      <c r="K2727" t="s">
        <v>1859</v>
      </c>
      <c r="L2727" t="s">
        <v>14278</v>
      </c>
      <c r="M2727">
        <v>100</v>
      </c>
      <c r="N2727" t="s">
        <v>14279</v>
      </c>
      <c r="O2727" t="s">
        <v>26</v>
      </c>
      <c r="P2727">
        <v>150</v>
      </c>
      <c r="Q2727">
        <v>125</v>
      </c>
      <c r="R2727">
        <v>100</v>
      </c>
      <c r="S2727">
        <v>150</v>
      </c>
      <c r="T2727" t="s">
        <v>14280</v>
      </c>
    </row>
    <row r="2728" spans="1:20">
      <c r="A2728">
        <v>3330781</v>
      </c>
      <c r="B2728" t="s">
        <v>14281</v>
      </c>
      <c r="C2728" t="str">
        <f>"9780773517684"</f>
        <v>9780773517684</v>
      </c>
      <c r="D2728" t="str">
        <f>"9780773567368"</f>
        <v>9780773567368</v>
      </c>
      <c r="E2728" t="s">
        <v>12863</v>
      </c>
      <c r="F2728" t="s">
        <v>12863</v>
      </c>
      <c r="G2728" s="1">
        <v>36349</v>
      </c>
      <c r="J2728" t="s">
        <v>14282</v>
      </c>
      <c r="K2728" t="s">
        <v>291</v>
      </c>
      <c r="L2728" t="s">
        <v>14283</v>
      </c>
      <c r="M2728">
        <v>971.06430920000003</v>
      </c>
      <c r="N2728" t="s">
        <v>14284</v>
      </c>
      <c r="O2728" t="s">
        <v>26</v>
      </c>
      <c r="P2728">
        <v>142.5</v>
      </c>
      <c r="Q2728">
        <v>118.75</v>
      </c>
      <c r="R2728">
        <v>95</v>
      </c>
      <c r="S2728">
        <v>142.5</v>
      </c>
      <c r="T2728" t="s">
        <v>14285</v>
      </c>
    </row>
    <row r="2729" spans="1:20">
      <c r="A2729">
        <v>3330782</v>
      </c>
      <c r="B2729" t="s">
        <v>14286</v>
      </c>
      <c r="C2729" t="str">
        <f>"9780773511965"</f>
        <v>9780773511965</v>
      </c>
      <c r="D2729" t="str">
        <f>"9780773564787"</f>
        <v>9780773564787</v>
      </c>
      <c r="E2729" t="s">
        <v>12863</v>
      </c>
      <c r="F2729" t="s">
        <v>12863</v>
      </c>
      <c r="G2729" s="1">
        <v>34584</v>
      </c>
      <c r="I2729" t="s">
        <v>12864</v>
      </c>
      <c r="J2729" t="s">
        <v>14287</v>
      </c>
      <c r="K2729" t="s">
        <v>2260</v>
      </c>
      <c r="L2729" t="s">
        <v>14288</v>
      </c>
      <c r="M2729">
        <v>615.8809718</v>
      </c>
      <c r="N2729" t="s">
        <v>14289</v>
      </c>
      <c r="O2729" t="s">
        <v>26</v>
      </c>
      <c r="P2729">
        <v>142.5</v>
      </c>
      <c r="Q2729">
        <v>118.75</v>
      </c>
      <c r="R2729">
        <v>95</v>
      </c>
      <c r="S2729">
        <v>142.5</v>
      </c>
      <c r="T2729" t="s">
        <v>14290</v>
      </c>
    </row>
    <row r="2730" spans="1:20">
      <c r="A2730">
        <v>3330783</v>
      </c>
      <c r="B2730" t="s">
        <v>14291</v>
      </c>
      <c r="C2730" t="str">
        <f>"9780773512887"</f>
        <v>9780773512887</v>
      </c>
      <c r="D2730" t="str">
        <f>"9780773565319"</f>
        <v>9780773565319</v>
      </c>
      <c r="E2730" t="s">
        <v>12863</v>
      </c>
      <c r="F2730" t="s">
        <v>12863</v>
      </c>
      <c r="G2730" s="1">
        <v>34820</v>
      </c>
      <c r="J2730" t="s">
        <v>14292</v>
      </c>
      <c r="K2730" t="s">
        <v>1859</v>
      </c>
      <c r="L2730" t="s">
        <v>14293</v>
      </c>
      <c r="M2730">
        <v>121.68</v>
      </c>
      <c r="N2730" t="s">
        <v>14294</v>
      </c>
      <c r="O2730" t="s">
        <v>26</v>
      </c>
      <c r="P2730">
        <v>142.5</v>
      </c>
      <c r="Q2730">
        <v>118.75</v>
      </c>
      <c r="R2730">
        <v>95</v>
      </c>
      <c r="S2730">
        <v>142.5</v>
      </c>
      <c r="T2730" t="s">
        <v>14295</v>
      </c>
    </row>
    <row r="2731" spans="1:20">
      <c r="A2731">
        <v>3330784</v>
      </c>
      <c r="B2731" t="s">
        <v>14296</v>
      </c>
      <c r="C2731" t="str">
        <f>"9780773511842"</f>
        <v>9780773511842</v>
      </c>
      <c r="D2731" t="str">
        <f>"9780773564718"</f>
        <v>9780773564718</v>
      </c>
      <c r="E2731" t="s">
        <v>12907</v>
      </c>
      <c r="F2731" t="s">
        <v>14297</v>
      </c>
      <c r="G2731" s="1">
        <v>34509</v>
      </c>
      <c r="J2731" t="s">
        <v>14298</v>
      </c>
      <c r="K2731" t="s">
        <v>263</v>
      </c>
      <c r="L2731" t="s">
        <v>14299</v>
      </c>
      <c r="M2731">
        <v>305.42</v>
      </c>
      <c r="N2731" t="s">
        <v>14300</v>
      </c>
      <c r="O2731" t="s">
        <v>26</v>
      </c>
      <c r="P2731">
        <v>127.5</v>
      </c>
      <c r="Q2731">
        <v>106.25</v>
      </c>
      <c r="R2731">
        <v>85</v>
      </c>
      <c r="S2731">
        <v>127.5</v>
      </c>
      <c r="T2731" t="s">
        <v>14301</v>
      </c>
    </row>
    <row r="2732" spans="1:20">
      <c r="A2732">
        <v>3330785</v>
      </c>
      <c r="B2732" t="s">
        <v>14302</v>
      </c>
      <c r="C2732" t="str">
        <f>"9780773516762"</f>
        <v>9780773516762</v>
      </c>
      <c r="D2732" t="str">
        <f>"9780773566941"</f>
        <v>9780773566941</v>
      </c>
      <c r="E2732" t="s">
        <v>12863</v>
      </c>
      <c r="F2732" t="s">
        <v>12863</v>
      </c>
      <c r="G2732" s="1">
        <v>35718</v>
      </c>
      <c r="J2732" t="s">
        <v>7091</v>
      </c>
      <c r="K2732" t="s">
        <v>263</v>
      </c>
      <c r="L2732" t="s">
        <v>14303</v>
      </c>
      <c r="M2732">
        <v>306.01</v>
      </c>
      <c r="N2732" t="s">
        <v>14304</v>
      </c>
      <c r="O2732" t="s">
        <v>26</v>
      </c>
      <c r="P2732">
        <v>142.5</v>
      </c>
      <c r="Q2732">
        <v>118.75</v>
      </c>
      <c r="R2732">
        <v>95</v>
      </c>
      <c r="S2732">
        <v>142.5</v>
      </c>
      <c r="T2732" t="s">
        <v>14305</v>
      </c>
    </row>
    <row r="2733" spans="1:20">
      <c r="A2733">
        <v>3330786</v>
      </c>
      <c r="B2733" t="s">
        <v>14306</v>
      </c>
      <c r="C2733" t="str">
        <f>"9780773507654"</f>
        <v>9780773507654</v>
      </c>
      <c r="D2733" t="str">
        <f>"9780773562523"</f>
        <v>9780773562523</v>
      </c>
      <c r="E2733" t="s">
        <v>12863</v>
      </c>
      <c r="F2733" t="s">
        <v>12863</v>
      </c>
      <c r="G2733" s="1">
        <v>33086</v>
      </c>
      <c r="J2733" t="s">
        <v>14307</v>
      </c>
      <c r="K2733" t="s">
        <v>1464</v>
      </c>
      <c r="L2733" t="s">
        <v>14308</v>
      </c>
      <c r="M2733" t="s">
        <v>1460</v>
      </c>
      <c r="N2733" t="s">
        <v>14309</v>
      </c>
      <c r="O2733" t="s">
        <v>26</v>
      </c>
      <c r="P2733">
        <v>120</v>
      </c>
      <c r="Q2733">
        <v>100</v>
      </c>
      <c r="R2733">
        <v>80</v>
      </c>
      <c r="S2733">
        <v>120</v>
      </c>
      <c r="T2733" t="s">
        <v>14310</v>
      </c>
    </row>
    <row r="2734" spans="1:20">
      <c r="A2734">
        <v>3330787</v>
      </c>
      <c r="B2734" t="s">
        <v>14311</v>
      </c>
      <c r="C2734" t="str">
        <f>"9780773511750"</f>
        <v>9780773511750</v>
      </c>
      <c r="D2734" t="str">
        <f>"9780773564657"</f>
        <v>9780773564657</v>
      </c>
      <c r="E2734" t="s">
        <v>12863</v>
      </c>
      <c r="F2734" t="s">
        <v>12863</v>
      </c>
      <c r="G2734" s="1">
        <v>34473</v>
      </c>
      <c r="J2734" t="s">
        <v>14312</v>
      </c>
      <c r="K2734" t="s">
        <v>291</v>
      </c>
      <c r="L2734" t="s">
        <v>14313</v>
      </c>
      <c r="M2734">
        <v>971.35410209199995</v>
      </c>
      <c r="N2734" t="s">
        <v>14314</v>
      </c>
      <c r="O2734" t="s">
        <v>26</v>
      </c>
      <c r="P2734">
        <v>142.5</v>
      </c>
      <c r="Q2734">
        <v>118.75</v>
      </c>
      <c r="R2734">
        <v>95</v>
      </c>
      <c r="S2734">
        <v>142.5</v>
      </c>
      <c r="T2734" t="s">
        <v>14315</v>
      </c>
    </row>
    <row r="2735" spans="1:20">
      <c r="A2735">
        <v>3330788</v>
      </c>
      <c r="B2735" t="s">
        <v>14316</v>
      </c>
      <c r="C2735" t="str">
        <f>"9780773523746"</f>
        <v>9780773523746</v>
      </c>
      <c r="D2735" t="str">
        <f>"9780773570276"</f>
        <v>9780773570276</v>
      </c>
      <c r="E2735" t="s">
        <v>12863</v>
      </c>
      <c r="F2735" t="s">
        <v>12863</v>
      </c>
      <c r="G2735" s="1">
        <v>37404</v>
      </c>
      <c r="J2735" t="s">
        <v>14317</v>
      </c>
      <c r="K2735" t="s">
        <v>76</v>
      </c>
      <c r="L2735" t="s">
        <v>14318</v>
      </c>
      <c r="M2735">
        <v>636.20892404999995</v>
      </c>
      <c r="N2735" t="s">
        <v>14319</v>
      </c>
      <c r="O2735" t="s">
        <v>26</v>
      </c>
      <c r="P2735">
        <v>142.5</v>
      </c>
      <c r="Q2735">
        <v>118.75</v>
      </c>
      <c r="R2735">
        <v>95</v>
      </c>
      <c r="S2735">
        <v>142.5</v>
      </c>
      <c r="T2735" t="s">
        <v>14320</v>
      </c>
    </row>
    <row r="2736" spans="1:20">
      <c r="A2736">
        <v>3330789</v>
      </c>
      <c r="B2736" t="s">
        <v>14321</v>
      </c>
      <c r="C2736" t="str">
        <f>"9780773510272"</f>
        <v>9780773510272</v>
      </c>
      <c r="D2736" t="str">
        <f>"9780773564206"</f>
        <v>9780773564206</v>
      </c>
      <c r="E2736" t="s">
        <v>12863</v>
      </c>
      <c r="F2736" t="s">
        <v>12863</v>
      </c>
      <c r="G2736" s="1">
        <v>36705</v>
      </c>
      <c r="I2736" t="s">
        <v>12963</v>
      </c>
      <c r="J2736" t="s">
        <v>14322</v>
      </c>
      <c r="K2736" t="s">
        <v>2963</v>
      </c>
      <c r="L2736" t="s">
        <v>14323</v>
      </c>
      <c r="M2736">
        <v>907.202</v>
      </c>
      <c r="N2736" t="s">
        <v>14324</v>
      </c>
      <c r="O2736" t="s">
        <v>26</v>
      </c>
      <c r="P2736">
        <v>142.5</v>
      </c>
      <c r="Q2736">
        <v>118.75</v>
      </c>
      <c r="R2736">
        <v>95</v>
      </c>
      <c r="S2736">
        <v>142.5</v>
      </c>
      <c r="T2736" t="s">
        <v>14325</v>
      </c>
    </row>
    <row r="2737" spans="1:20">
      <c r="A2737">
        <v>3330790</v>
      </c>
      <c r="B2737" t="s">
        <v>14326</v>
      </c>
      <c r="C2737" t="str">
        <f>"9780773517851"</f>
        <v>9780773517851</v>
      </c>
      <c r="D2737" t="str">
        <f>"9780773567436"</f>
        <v>9780773567436</v>
      </c>
      <c r="E2737" t="s">
        <v>12863</v>
      </c>
      <c r="F2737" t="s">
        <v>12863</v>
      </c>
      <c r="G2737" s="1">
        <v>36249</v>
      </c>
      <c r="J2737" t="s">
        <v>14327</v>
      </c>
      <c r="K2737" t="s">
        <v>416</v>
      </c>
      <c r="L2737" t="s">
        <v>14328</v>
      </c>
      <c r="M2737">
        <v>331.34699999999998</v>
      </c>
      <c r="N2737" t="s">
        <v>14329</v>
      </c>
      <c r="O2737" t="s">
        <v>26</v>
      </c>
      <c r="P2737">
        <v>142.5</v>
      </c>
      <c r="Q2737">
        <v>118.75</v>
      </c>
      <c r="R2737">
        <v>95</v>
      </c>
      <c r="S2737">
        <v>142.5</v>
      </c>
      <c r="T2737" t="s">
        <v>14330</v>
      </c>
    </row>
    <row r="2738" spans="1:20">
      <c r="A2738">
        <v>3330791</v>
      </c>
      <c r="B2738" t="s">
        <v>14331</v>
      </c>
      <c r="C2738" t="str">
        <f>"9780773512191"</f>
        <v>9780773512191</v>
      </c>
      <c r="D2738" t="str">
        <f>"9780773564886"</f>
        <v>9780773564886</v>
      </c>
      <c r="E2738" t="s">
        <v>12863</v>
      </c>
      <c r="F2738" t="s">
        <v>12863</v>
      </c>
      <c r="G2738" s="1">
        <v>34645</v>
      </c>
      <c r="J2738" t="s">
        <v>14332</v>
      </c>
      <c r="K2738" t="s">
        <v>291</v>
      </c>
      <c r="L2738" t="s">
        <v>14333</v>
      </c>
      <c r="M2738">
        <v>968.94039999999995</v>
      </c>
      <c r="N2738" t="s">
        <v>14334</v>
      </c>
      <c r="O2738" t="s">
        <v>26</v>
      </c>
      <c r="P2738">
        <v>142.5</v>
      </c>
      <c r="Q2738">
        <v>118.75</v>
      </c>
      <c r="R2738">
        <v>95</v>
      </c>
      <c r="S2738">
        <v>142.5</v>
      </c>
      <c r="T2738" t="s">
        <v>14335</v>
      </c>
    </row>
    <row r="2739" spans="1:20">
      <c r="A2739">
        <v>3330792</v>
      </c>
      <c r="B2739" t="s">
        <v>14336</v>
      </c>
      <c r="C2739" t="str">
        <f>"9780773518223"</f>
        <v>9780773518223</v>
      </c>
      <c r="D2739" t="str">
        <f>"9780773567641"</f>
        <v>9780773567641</v>
      </c>
      <c r="E2739" t="s">
        <v>12863</v>
      </c>
      <c r="F2739" t="s">
        <v>12863</v>
      </c>
      <c r="G2739" s="1">
        <v>36280</v>
      </c>
      <c r="J2739" t="s">
        <v>14337</v>
      </c>
      <c r="K2739" t="s">
        <v>7063</v>
      </c>
      <c r="L2739" t="s">
        <v>14338</v>
      </c>
      <c r="M2739">
        <v>328.71091999999999</v>
      </c>
      <c r="N2739" t="s">
        <v>14339</v>
      </c>
      <c r="O2739" t="s">
        <v>26</v>
      </c>
      <c r="P2739">
        <v>142.5</v>
      </c>
      <c r="Q2739">
        <v>118.75</v>
      </c>
      <c r="R2739">
        <v>95</v>
      </c>
      <c r="S2739">
        <v>142.5</v>
      </c>
      <c r="T2739" t="s">
        <v>14340</v>
      </c>
    </row>
    <row r="2740" spans="1:20">
      <c r="A2740">
        <v>3330793</v>
      </c>
      <c r="B2740" t="s">
        <v>14341</v>
      </c>
      <c r="C2740" t="str">
        <f>"9780773518421"</f>
        <v>9780773518421</v>
      </c>
      <c r="D2740" t="str">
        <f>"9780773567788"</f>
        <v>9780773567788</v>
      </c>
      <c r="E2740" t="s">
        <v>12863</v>
      </c>
      <c r="F2740" t="s">
        <v>12863</v>
      </c>
      <c r="G2740" s="1">
        <v>36249</v>
      </c>
      <c r="I2740" t="s">
        <v>13046</v>
      </c>
      <c r="J2740" t="s">
        <v>14342</v>
      </c>
      <c r="K2740" t="s">
        <v>263</v>
      </c>
      <c r="L2740" t="s">
        <v>14343</v>
      </c>
      <c r="M2740">
        <v>306.09449999999998</v>
      </c>
      <c r="N2740" t="s">
        <v>14344</v>
      </c>
      <c r="O2740" t="s">
        <v>26</v>
      </c>
      <c r="P2740">
        <v>165</v>
      </c>
      <c r="Q2740">
        <v>137.5</v>
      </c>
      <c r="R2740">
        <v>110</v>
      </c>
      <c r="S2740">
        <v>165</v>
      </c>
      <c r="T2740" t="s">
        <v>14345</v>
      </c>
    </row>
    <row r="2741" spans="1:20">
      <c r="A2741">
        <v>3330794</v>
      </c>
      <c r="B2741" t="s">
        <v>14346</v>
      </c>
      <c r="C2741" t="str">
        <f>"9780773510166"</f>
        <v>9780773510166</v>
      </c>
      <c r="D2741" t="str">
        <f>"9780773564107"</f>
        <v>9780773564107</v>
      </c>
      <c r="E2741" t="s">
        <v>12863</v>
      </c>
      <c r="F2741" t="s">
        <v>12863</v>
      </c>
      <c r="G2741" s="1">
        <v>33707</v>
      </c>
      <c r="I2741" t="s">
        <v>12963</v>
      </c>
      <c r="J2741" t="s">
        <v>14347</v>
      </c>
      <c r="K2741" t="s">
        <v>1859</v>
      </c>
      <c r="L2741" t="s">
        <v>14348</v>
      </c>
      <c r="M2741">
        <v>186.4</v>
      </c>
      <c r="N2741" t="s">
        <v>14349</v>
      </c>
      <c r="O2741" t="s">
        <v>26</v>
      </c>
      <c r="P2741">
        <v>142.5</v>
      </c>
      <c r="Q2741">
        <v>118.75</v>
      </c>
      <c r="R2741">
        <v>95</v>
      </c>
      <c r="S2741">
        <v>142.5</v>
      </c>
      <c r="T2741" t="s">
        <v>14350</v>
      </c>
    </row>
    <row r="2742" spans="1:20">
      <c r="A2742">
        <v>3330795</v>
      </c>
      <c r="B2742" t="s">
        <v>14351</v>
      </c>
      <c r="C2742" t="str">
        <f>"9780773511804"</f>
        <v>9780773511804</v>
      </c>
      <c r="D2742" t="str">
        <f>"9780773564695"</f>
        <v>9780773564695</v>
      </c>
      <c r="E2742" t="s">
        <v>12863</v>
      </c>
      <c r="F2742" t="s">
        <v>12863</v>
      </c>
      <c r="G2742" s="1">
        <v>34493</v>
      </c>
      <c r="J2742" t="s">
        <v>14352</v>
      </c>
      <c r="K2742" t="s">
        <v>416</v>
      </c>
      <c r="L2742" t="s">
        <v>14353</v>
      </c>
      <c r="M2742">
        <v>338.91710172000001</v>
      </c>
      <c r="N2742" t="s">
        <v>14354</v>
      </c>
      <c r="O2742" t="s">
        <v>26</v>
      </c>
      <c r="P2742">
        <v>127.5</v>
      </c>
      <c r="Q2742">
        <v>106.25</v>
      </c>
      <c r="R2742">
        <v>85</v>
      </c>
      <c r="S2742">
        <v>127.5</v>
      </c>
      <c r="T2742" t="s">
        <v>14355</v>
      </c>
    </row>
    <row r="2743" spans="1:20">
      <c r="A2743">
        <v>3330796</v>
      </c>
      <c r="B2743" t="s">
        <v>14356</v>
      </c>
      <c r="C2743" t="str">
        <f>"9780773509146"</f>
        <v>9780773509146</v>
      </c>
      <c r="D2743" t="str">
        <f>"9780773563452"</f>
        <v>9780773563452</v>
      </c>
      <c r="E2743" t="s">
        <v>12863</v>
      </c>
      <c r="F2743" t="s">
        <v>12863</v>
      </c>
      <c r="G2743" s="1">
        <v>33786</v>
      </c>
      <c r="J2743" t="s">
        <v>14357</v>
      </c>
      <c r="K2743" t="s">
        <v>1464</v>
      </c>
      <c r="L2743" t="s">
        <v>14358</v>
      </c>
      <c r="M2743" t="s">
        <v>14359</v>
      </c>
      <c r="N2743" t="s">
        <v>14360</v>
      </c>
      <c r="O2743" t="s">
        <v>26</v>
      </c>
      <c r="P2743">
        <v>127.5</v>
      </c>
      <c r="Q2743">
        <v>106.25</v>
      </c>
      <c r="R2743">
        <v>85</v>
      </c>
      <c r="S2743">
        <v>127.5</v>
      </c>
      <c r="T2743" t="s">
        <v>14361</v>
      </c>
    </row>
    <row r="2744" spans="1:20">
      <c r="A2744">
        <v>3330797</v>
      </c>
      <c r="B2744" t="s">
        <v>14362</v>
      </c>
      <c r="C2744" t="str">
        <f>"9780773518124"</f>
        <v>9780773518124</v>
      </c>
      <c r="D2744" t="str">
        <f>"9780773567603"</f>
        <v>9780773567603</v>
      </c>
      <c r="E2744" t="s">
        <v>12907</v>
      </c>
      <c r="F2744" t="s">
        <v>12907</v>
      </c>
      <c r="G2744" s="1">
        <v>35809</v>
      </c>
      <c r="I2744" t="s">
        <v>12886</v>
      </c>
      <c r="J2744" t="s">
        <v>14363</v>
      </c>
      <c r="K2744" t="s">
        <v>1892</v>
      </c>
      <c r="L2744" t="s">
        <v>14364</v>
      </c>
      <c r="M2744" t="s">
        <v>14365</v>
      </c>
      <c r="N2744" t="s">
        <v>14366</v>
      </c>
      <c r="O2744" t="s">
        <v>26</v>
      </c>
      <c r="P2744">
        <v>142.5</v>
      </c>
      <c r="Q2744">
        <v>118.75</v>
      </c>
      <c r="R2744">
        <v>95</v>
      </c>
      <c r="S2744">
        <v>142.5</v>
      </c>
      <c r="T2744" t="s">
        <v>14367</v>
      </c>
    </row>
    <row r="2745" spans="1:20">
      <c r="A2745">
        <v>3330798</v>
      </c>
      <c r="B2745" t="s">
        <v>14368</v>
      </c>
      <c r="C2745" t="str">
        <f>"9780773517455"</f>
        <v>9780773517455</v>
      </c>
      <c r="D2745" t="str">
        <f>"9780773567306"</f>
        <v>9780773567306</v>
      </c>
      <c r="E2745" t="s">
        <v>12863</v>
      </c>
      <c r="F2745" t="s">
        <v>12863</v>
      </c>
      <c r="G2745" s="1">
        <v>36039</v>
      </c>
      <c r="J2745" t="s">
        <v>14369</v>
      </c>
      <c r="K2745" t="s">
        <v>257</v>
      </c>
      <c r="L2745" t="s">
        <v>14370</v>
      </c>
      <c r="M2745">
        <v>370.971</v>
      </c>
      <c r="N2745" t="s">
        <v>14371</v>
      </c>
      <c r="O2745" t="s">
        <v>26</v>
      </c>
      <c r="P2745">
        <v>142.5</v>
      </c>
      <c r="Q2745">
        <v>118.75</v>
      </c>
      <c r="R2745">
        <v>95</v>
      </c>
      <c r="S2745">
        <v>142.5</v>
      </c>
      <c r="T2745" t="s">
        <v>14372</v>
      </c>
    </row>
    <row r="2746" spans="1:20">
      <c r="A2746">
        <v>3330799</v>
      </c>
      <c r="B2746" t="s">
        <v>14373</v>
      </c>
      <c r="C2746" t="str">
        <f>"9780773517837"</f>
        <v>9780773517837</v>
      </c>
      <c r="D2746" t="str">
        <f>"9780773567429"</f>
        <v>9780773567429</v>
      </c>
      <c r="E2746" t="s">
        <v>12907</v>
      </c>
      <c r="F2746" t="s">
        <v>12907</v>
      </c>
      <c r="G2746" s="1">
        <v>36216</v>
      </c>
      <c r="I2746" t="s">
        <v>14374</v>
      </c>
      <c r="J2746" t="s">
        <v>14375</v>
      </c>
      <c r="K2746" t="s">
        <v>76</v>
      </c>
      <c r="L2746" t="s">
        <v>14376</v>
      </c>
      <c r="M2746" t="s">
        <v>14377</v>
      </c>
      <c r="N2746" t="s">
        <v>14378</v>
      </c>
      <c r="O2746" t="s">
        <v>94</v>
      </c>
      <c r="P2746">
        <v>142.5</v>
      </c>
      <c r="Q2746">
        <v>118.75</v>
      </c>
      <c r="R2746">
        <v>95</v>
      </c>
      <c r="S2746">
        <v>142.5</v>
      </c>
      <c r="T2746" t="s">
        <v>14379</v>
      </c>
    </row>
    <row r="2747" spans="1:20">
      <c r="A2747">
        <v>3330800</v>
      </c>
      <c r="B2747" t="s">
        <v>14380</v>
      </c>
      <c r="C2747" t="str">
        <f>"9780773508125"</f>
        <v>9780773508125</v>
      </c>
      <c r="D2747" t="str">
        <f>"9780773562721"</f>
        <v>9780773562721</v>
      </c>
      <c r="E2747" t="s">
        <v>12863</v>
      </c>
      <c r="F2747" t="s">
        <v>12863</v>
      </c>
      <c r="G2747" s="1">
        <v>33270</v>
      </c>
      <c r="J2747" t="s">
        <v>14381</v>
      </c>
      <c r="K2747" t="s">
        <v>416</v>
      </c>
      <c r="L2747" t="s">
        <v>14382</v>
      </c>
      <c r="M2747">
        <v>338.971</v>
      </c>
      <c r="N2747" t="s">
        <v>14383</v>
      </c>
      <c r="O2747" t="s">
        <v>26</v>
      </c>
      <c r="P2747">
        <v>142.5</v>
      </c>
      <c r="Q2747">
        <v>118.75</v>
      </c>
      <c r="R2747">
        <v>95</v>
      </c>
      <c r="S2747">
        <v>142.5</v>
      </c>
      <c r="T2747" t="s">
        <v>14384</v>
      </c>
    </row>
    <row r="2748" spans="1:20">
      <c r="A2748">
        <v>3330801</v>
      </c>
      <c r="B2748" t="s">
        <v>14385</v>
      </c>
      <c r="C2748" t="str">
        <f>"9780773509795"</f>
        <v>9780773509795</v>
      </c>
      <c r="D2748" t="str">
        <f>"9780773563797"</f>
        <v>9780773563797</v>
      </c>
      <c r="E2748" t="s">
        <v>12863</v>
      </c>
      <c r="F2748" t="s">
        <v>12863</v>
      </c>
      <c r="G2748" s="1">
        <v>34193</v>
      </c>
      <c r="J2748" t="s">
        <v>14386</v>
      </c>
      <c r="K2748" t="s">
        <v>416</v>
      </c>
      <c r="L2748" t="s">
        <v>14387</v>
      </c>
      <c r="M2748">
        <v>330.01</v>
      </c>
      <c r="N2748" t="s">
        <v>14388</v>
      </c>
      <c r="O2748" t="s">
        <v>26</v>
      </c>
      <c r="P2748">
        <v>150</v>
      </c>
      <c r="Q2748">
        <v>125</v>
      </c>
      <c r="R2748">
        <v>100</v>
      </c>
      <c r="S2748">
        <v>150</v>
      </c>
      <c r="T2748" t="s">
        <v>14389</v>
      </c>
    </row>
    <row r="2749" spans="1:20">
      <c r="A2749">
        <v>3330802</v>
      </c>
      <c r="B2749" t="s">
        <v>14390</v>
      </c>
      <c r="C2749" t="str">
        <f>"9780773506893"</f>
        <v>9780773506893</v>
      </c>
      <c r="D2749" t="str">
        <f>"9780773561939"</f>
        <v>9780773561939</v>
      </c>
      <c r="E2749" t="s">
        <v>12863</v>
      </c>
      <c r="F2749" t="s">
        <v>12863</v>
      </c>
      <c r="G2749" s="1">
        <v>32448</v>
      </c>
      <c r="J2749" t="s">
        <v>14391</v>
      </c>
      <c r="K2749" t="s">
        <v>14392</v>
      </c>
      <c r="L2749" t="s">
        <v>14393</v>
      </c>
      <c r="M2749">
        <v>509.24</v>
      </c>
      <c r="N2749" t="s">
        <v>14394</v>
      </c>
      <c r="O2749" t="s">
        <v>26</v>
      </c>
      <c r="P2749">
        <v>142.5</v>
      </c>
      <c r="Q2749">
        <v>118.75</v>
      </c>
      <c r="R2749">
        <v>95</v>
      </c>
      <c r="S2749">
        <v>142.5</v>
      </c>
      <c r="T2749" t="s">
        <v>14395</v>
      </c>
    </row>
    <row r="2750" spans="1:20">
      <c r="A2750">
        <v>3330803</v>
      </c>
      <c r="B2750" t="s">
        <v>14396</v>
      </c>
      <c r="C2750" t="str">
        <f>"9780773510227"</f>
        <v>9780773510227</v>
      </c>
      <c r="D2750" t="str">
        <f>"9780773564169"</f>
        <v>9780773564169</v>
      </c>
      <c r="E2750" t="s">
        <v>12863</v>
      </c>
      <c r="F2750" t="s">
        <v>12863</v>
      </c>
      <c r="G2750" s="1">
        <v>35494</v>
      </c>
      <c r="I2750" t="s">
        <v>12963</v>
      </c>
      <c r="J2750" t="s">
        <v>14397</v>
      </c>
      <c r="K2750" t="s">
        <v>14398</v>
      </c>
      <c r="L2750" t="s">
        <v>14399</v>
      </c>
      <c r="M2750">
        <v>320.5</v>
      </c>
      <c r="N2750" t="s">
        <v>14400</v>
      </c>
      <c r="O2750" t="s">
        <v>26</v>
      </c>
      <c r="P2750">
        <v>142.5</v>
      </c>
      <c r="Q2750">
        <v>118.75</v>
      </c>
      <c r="R2750">
        <v>95</v>
      </c>
      <c r="S2750">
        <v>142.5</v>
      </c>
      <c r="T2750" t="s">
        <v>14401</v>
      </c>
    </row>
    <row r="2751" spans="1:20">
      <c r="A2751">
        <v>3330804</v>
      </c>
      <c r="B2751" t="s">
        <v>14402</v>
      </c>
      <c r="C2751" t="str">
        <f>"9780773515147"</f>
        <v>9780773515147</v>
      </c>
      <c r="D2751" t="str">
        <f>"9780773566354"</f>
        <v>9780773566354</v>
      </c>
      <c r="E2751" t="s">
        <v>12863</v>
      </c>
      <c r="F2751" t="s">
        <v>12863</v>
      </c>
      <c r="G2751" s="1">
        <v>35321</v>
      </c>
      <c r="J2751" t="s">
        <v>14403</v>
      </c>
      <c r="K2751" t="s">
        <v>257</v>
      </c>
      <c r="L2751" t="s">
        <v>14404</v>
      </c>
      <c r="M2751">
        <v>370.19342</v>
      </c>
      <c r="N2751" t="s">
        <v>14405</v>
      </c>
      <c r="O2751" t="s">
        <v>26</v>
      </c>
      <c r="P2751">
        <v>142.5</v>
      </c>
      <c r="Q2751">
        <v>118.75</v>
      </c>
      <c r="R2751">
        <v>95</v>
      </c>
      <c r="S2751">
        <v>142.5</v>
      </c>
      <c r="T2751" t="s">
        <v>14406</v>
      </c>
    </row>
    <row r="2752" spans="1:20">
      <c r="A2752">
        <v>3330805</v>
      </c>
      <c r="B2752" t="s">
        <v>14407</v>
      </c>
      <c r="C2752" t="str">
        <f>"9780773516144"</f>
        <v>9780773516144</v>
      </c>
      <c r="D2752" t="str">
        <f>"9780773566620"</f>
        <v>9780773566620</v>
      </c>
      <c r="E2752" t="s">
        <v>12863</v>
      </c>
      <c r="F2752" t="s">
        <v>12863</v>
      </c>
      <c r="G2752" s="1">
        <v>35695</v>
      </c>
      <c r="J2752" t="s">
        <v>14408</v>
      </c>
      <c r="K2752" t="s">
        <v>263</v>
      </c>
      <c r="L2752" t="s">
        <v>14409</v>
      </c>
      <c r="M2752">
        <v>398.0820971</v>
      </c>
      <c r="N2752" t="s">
        <v>14410</v>
      </c>
      <c r="O2752" t="s">
        <v>26</v>
      </c>
      <c r="P2752">
        <v>142.5</v>
      </c>
      <c r="Q2752">
        <v>118.75</v>
      </c>
      <c r="R2752">
        <v>95</v>
      </c>
      <c r="S2752">
        <v>142.5</v>
      </c>
      <c r="T2752" t="s">
        <v>14411</v>
      </c>
    </row>
    <row r="2753" spans="1:20">
      <c r="A2753">
        <v>3330806</v>
      </c>
      <c r="B2753" t="s">
        <v>14412</v>
      </c>
      <c r="C2753" t="str">
        <f>"9780773518957"</f>
        <v>9780773518957</v>
      </c>
      <c r="D2753" t="str">
        <f>"9780773568051"</f>
        <v>9780773568051</v>
      </c>
      <c r="E2753" t="s">
        <v>12907</v>
      </c>
      <c r="F2753" t="s">
        <v>12907</v>
      </c>
      <c r="G2753" s="1">
        <v>36580</v>
      </c>
      <c r="J2753" t="s">
        <v>14413</v>
      </c>
      <c r="K2753" t="s">
        <v>14414</v>
      </c>
      <c r="L2753" t="s">
        <v>14415</v>
      </c>
      <c r="M2753" t="s">
        <v>14416</v>
      </c>
      <c r="N2753" t="s">
        <v>14417</v>
      </c>
      <c r="O2753" t="s">
        <v>26</v>
      </c>
      <c r="P2753">
        <v>142.5</v>
      </c>
      <c r="Q2753">
        <v>118.75</v>
      </c>
      <c r="R2753">
        <v>95</v>
      </c>
      <c r="S2753">
        <v>142.5</v>
      </c>
      <c r="T2753" t="s">
        <v>14418</v>
      </c>
    </row>
    <row r="2754" spans="1:20">
      <c r="A2754">
        <v>3330807</v>
      </c>
      <c r="B2754" t="s">
        <v>14419</v>
      </c>
      <c r="C2754" t="str">
        <f>"9780773507630"</f>
        <v>9780773507630</v>
      </c>
      <c r="D2754" t="str">
        <f>"9780773562509"</f>
        <v>9780773562509</v>
      </c>
      <c r="E2754" t="s">
        <v>12863</v>
      </c>
      <c r="F2754" t="s">
        <v>12863</v>
      </c>
      <c r="G2754" s="1">
        <v>33086</v>
      </c>
      <c r="J2754" t="s">
        <v>14420</v>
      </c>
      <c r="K2754" t="s">
        <v>291</v>
      </c>
      <c r="L2754" t="s">
        <v>14421</v>
      </c>
      <c r="M2754">
        <v>971</v>
      </c>
      <c r="N2754" t="s">
        <v>14422</v>
      </c>
      <c r="O2754" t="s">
        <v>26</v>
      </c>
      <c r="P2754">
        <v>142.5</v>
      </c>
      <c r="Q2754">
        <v>118.75</v>
      </c>
      <c r="R2754">
        <v>95</v>
      </c>
      <c r="S2754">
        <v>142.5</v>
      </c>
      <c r="T2754" t="s">
        <v>14423</v>
      </c>
    </row>
    <row r="2755" spans="1:20">
      <c r="A2755">
        <v>3330808</v>
      </c>
      <c r="B2755" t="s">
        <v>14424</v>
      </c>
      <c r="C2755" t="str">
        <f>"9780773506503"</f>
        <v>9780773506503</v>
      </c>
      <c r="D2755" t="str">
        <f>"9780773561656"</f>
        <v>9780773561656</v>
      </c>
      <c r="E2755" t="s">
        <v>12863</v>
      </c>
      <c r="F2755" t="s">
        <v>12863</v>
      </c>
      <c r="G2755" s="1">
        <v>32295</v>
      </c>
      <c r="J2755" t="s">
        <v>14425</v>
      </c>
      <c r="K2755" t="s">
        <v>1530</v>
      </c>
      <c r="L2755" t="s">
        <v>14426</v>
      </c>
      <c r="M2755">
        <v>398.20890000000003</v>
      </c>
      <c r="N2755" t="s">
        <v>14427</v>
      </c>
      <c r="O2755" t="s">
        <v>26</v>
      </c>
      <c r="P2755">
        <v>44.93</v>
      </c>
      <c r="Q2755">
        <v>37.44</v>
      </c>
      <c r="R2755">
        <v>29.95</v>
      </c>
      <c r="S2755">
        <v>44.93</v>
      </c>
      <c r="T2755" t="s">
        <v>14428</v>
      </c>
    </row>
    <row r="2756" spans="1:20">
      <c r="A2756">
        <v>3330809</v>
      </c>
      <c r="B2756" t="s">
        <v>14429</v>
      </c>
      <c r="C2756" t="str">
        <f>"9780773516113"</f>
        <v>9780773516113</v>
      </c>
      <c r="D2756" t="str">
        <f>"9780773566606"</f>
        <v>9780773566606</v>
      </c>
      <c r="E2756" t="s">
        <v>12863</v>
      </c>
      <c r="F2756" t="s">
        <v>12863</v>
      </c>
      <c r="G2756" s="1">
        <v>35732</v>
      </c>
      <c r="J2756" t="s">
        <v>14430</v>
      </c>
      <c r="K2756" t="s">
        <v>1464</v>
      </c>
      <c r="L2756" t="s">
        <v>14431</v>
      </c>
      <c r="M2756">
        <v>808.2</v>
      </c>
      <c r="N2756" t="s">
        <v>14432</v>
      </c>
      <c r="O2756" t="s">
        <v>26</v>
      </c>
      <c r="P2756">
        <v>142.5</v>
      </c>
      <c r="Q2756">
        <v>118.75</v>
      </c>
      <c r="R2756">
        <v>95</v>
      </c>
      <c r="S2756">
        <v>142.5</v>
      </c>
      <c r="T2756" t="s">
        <v>14433</v>
      </c>
    </row>
    <row r="2757" spans="1:20">
      <c r="A2757">
        <v>3330810</v>
      </c>
      <c r="B2757" t="s">
        <v>14434</v>
      </c>
      <c r="C2757" t="str">
        <f>"9780773505520"</f>
        <v>9780773505520</v>
      </c>
      <c r="D2757" t="str">
        <f>"9780773561076"</f>
        <v>9780773561076</v>
      </c>
      <c r="E2757" t="s">
        <v>12863</v>
      </c>
      <c r="F2757" t="s">
        <v>12863</v>
      </c>
      <c r="G2757" s="1">
        <v>31503</v>
      </c>
      <c r="J2757" t="s">
        <v>14435</v>
      </c>
      <c r="K2757" t="s">
        <v>1464</v>
      </c>
      <c r="L2757" t="s">
        <v>14436</v>
      </c>
      <c r="M2757" t="s">
        <v>14437</v>
      </c>
      <c r="N2757" t="s">
        <v>14438</v>
      </c>
      <c r="O2757" t="s">
        <v>26</v>
      </c>
      <c r="P2757">
        <v>127.5</v>
      </c>
      <c r="Q2757">
        <v>106.25</v>
      </c>
      <c r="R2757">
        <v>85</v>
      </c>
      <c r="S2757">
        <v>127.5</v>
      </c>
      <c r="T2757" t="s">
        <v>14439</v>
      </c>
    </row>
    <row r="2758" spans="1:20">
      <c r="A2758">
        <v>3330811</v>
      </c>
      <c r="B2758" t="s">
        <v>14440</v>
      </c>
      <c r="C2758" t="str">
        <f>"9780773512344"</f>
        <v>9780773512344</v>
      </c>
      <c r="D2758" t="str">
        <f>"9780773565036"</f>
        <v>9780773565036</v>
      </c>
      <c r="E2758" t="s">
        <v>12863</v>
      </c>
      <c r="F2758" t="s">
        <v>12863</v>
      </c>
      <c r="G2758" s="1">
        <v>34654</v>
      </c>
      <c r="J2758" t="s">
        <v>14441</v>
      </c>
      <c r="K2758" t="s">
        <v>3230</v>
      </c>
      <c r="L2758" t="s">
        <v>14442</v>
      </c>
      <c r="M2758">
        <v>919.8904</v>
      </c>
      <c r="N2758" t="s">
        <v>14443</v>
      </c>
      <c r="O2758" t="s">
        <v>26</v>
      </c>
      <c r="P2758">
        <v>97.5</v>
      </c>
      <c r="Q2758">
        <v>81.25</v>
      </c>
      <c r="R2758">
        <v>65</v>
      </c>
      <c r="S2758">
        <v>97.5</v>
      </c>
      <c r="T2758" t="s">
        <v>14444</v>
      </c>
    </row>
    <row r="2759" spans="1:20">
      <c r="A2759">
        <v>3330812</v>
      </c>
      <c r="B2759" t="s">
        <v>14445</v>
      </c>
      <c r="C2759" t="str">
        <f>"9780773507739"</f>
        <v>9780773507739</v>
      </c>
      <c r="D2759" t="str">
        <f>"9780773562585"</f>
        <v>9780773562585</v>
      </c>
      <c r="E2759" t="s">
        <v>12863</v>
      </c>
      <c r="F2759" t="s">
        <v>12863</v>
      </c>
      <c r="G2759" s="1">
        <v>33086</v>
      </c>
      <c r="J2759" t="s">
        <v>14446</v>
      </c>
      <c r="K2759" t="s">
        <v>14447</v>
      </c>
      <c r="L2759" t="s">
        <v>14448</v>
      </c>
      <c r="M2759" t="s">
        <v>14449</v>
      </c>
      <c r="N2759" t="s">
        <v>14450</v>
      </c>
      <c r="O2759" t="s">
        <v>26</v>
      </c>
      <c r="P2759">
        <v>142.5</v>
      </c>
      <c r="Q2759">
        <v>118.75</v>
      </c>
      <c r="R2759">
        <v>95</v>
      </c>
      <c r="S2759">
        <v>142.5</v>
      </c>
      <c r="T2759" t="s">
        <v>14451</v>
      </c>
    </row>
    <row r="2760" spans="1:20">
      <c r="A2760">
        <v>3330813</v>
      </c>
      <c r="B2760" t="s">
        <v>14452</v>
      </c>
      <c r="C2760" t="str">
        <f>"9780773511118"</f>
        <v>9780773511118</v>
      </c>
      <c r="D2760" t="str">
        <f>"9780773564244"</f>
        <v>9780773564244</v>
      </c>
      <c r="E2760" t="s">
        <v>12863</v>
      </c>
      <c r="F2760" t="s">
        <v>12863</v>
      </c>
      <c r="G2760" s="1">
        <v>34246</v>
      </c>
      <c r="J2760" t="s">
        <v>12887</v>
      </c>
      <c r="K2760" t="s">
        <v>263</v>
      </c>
      <c r="L2760" t="s">
        <v>14453</v>
      </c>
      <c r="M2760">
        <v>304.60971309033999</v>
      </c>
      <c r="N2760" t="s">
        <v>14454</v>
      </c>
      <c r="O2760" t="s">
        <v>26</v>
      </c>
      <c r="P2760">
        <v>142.5</v>
      </c>
      <c r="Q2760">
        <v>118.75</v>
      </c>
      <c r="R2760">
        <v>95</v>
      </c>
      <c r="S2760">
        <v>142.5</v>
      </c>
      <c r="T2760" t="s">
        <v>14455</v>
      </c>
    </row>
    <row r="2761" spans="1:20">
      <c r="A2761">
        <v>3330814</v>
      </c>
      <c r="B2761" t="s">
        <v>14456</v>
      </c>
      <c r="C2761" t="str">
        <f>"9780773520233"</f>
        <v>9780773520233</v>
      </c>
      <c r="D2761" t="str">
        <f>"9780773568266"</f>
        <v>9780773568266</v>
      </c>
      <c r="E2761" t="s">
        <v>12907</v>
      </c>
      <c r="F2761" t="s">
        <v>12907</v>
      </c>
      <c r="G2761" s="1">
        <v>36783</v>
      </c>
      <c r="I2761" t="s">
        <v>12871</v>
      </c>
      <c r="J2761" t="s">
        <v>14457</v>
      </c>
      <c r="K2761" t="s">
        <v>14458</v>
      </c>
      <c r="L2761" t="s">
        <v>14459</v>
      </c>
      <c r="M2761" t="s">
        <v>14460</v>
      </c>
      <c r="N2761" t="s">
        <v>14461</v>
      </c>
      <c r="O2761" t="s">
        <v>26</v>
      </c>
      <c r="P2761">
        <v>142.5</v>
      </c>
      <c r="Q2761">
        <v>118.75</v>
      </c>
      <c r="R2761">
        <v>95</v>
      </c>
      <c r="S2761">
        <v>142.5</v>
      </c>
      <c r="T2761" t="s">
        <v>14462</v>
      </c>
    </row>
    <row r="2762" spans="1:20">
      <c r="A2762">
        <v>3330815</v>
      </c>
      <c r="B2762" t="s">
        <v>14463</v>
      </c>
      <c r="C2762" t="str">
        <f>"9780773512009"</f>
        <v>9780773512009</v>
      </c>
      <c r="D2762" t="str">
        <f>"9780773564817"</f>
        <v>9780773564817</v>
      </c>
      <c r="E2762" t="s">
        <v>12863</v>
      </c>
      <c r="F2762" t="s">
        <v>12863</v>
      </c>
      <c r="G2762" s="1">
        <v>34522</v>
      </c>
      <c r="J2762" t="s">
        <v>14464</v>
      </c>
      <c r="K2762" t="s">
        <v>1464</v>
      </c>
      <c r="L2762" t="s">
        <v>14465</v>
      </c>
      <c r="M2762">
        <v>811.30932710000002</v>
      </c>
      <c r="N2762" t="s">
        <v>14466</v>
      </c>
      <c r="O2762" t="s">
        <v>26</v>
      </c>
      <c r="P2762">
        <v>142.5</v>
      </c>
      <c r="Q2762">
        <v>118.75</v>
      </c>
      <c r="R2762">
        <v>95</v>
      </c>
      <c r="S2762">
        <v>142.5</v>
      </c>
      <c r="T2762" t="s">
        <v>14467</v>
      </c>
    </row>
    <row r="2763" spans="1:20">
      <c r="A2763">
        <v>3330816</v>
      </c>
      <c r="B2763" t="s">
        <v>14468</v>
      </c>
      <c r="C2763" t="str">
        <f>"9780773509412"</f>
        <v>9780773509412</v>
      </c>
      <c r="D2763" t="str">
        <f>"9780773563629"</f>
        <v>9780773563629</v>
      </c>
      <c r="E2763" t="s">
        <v>12863</v>
      </c>
      <c r="F2763" t="s">
        <v>12863</v>
      </c>
      <c r="G2763" s="1">
        <v>33980</v>
      </c>
      <c r="J2763" t="s">
        <v>14469</v>
      </c>
      <c r="K2763" t="s">
        <v>13493</v>
      </c>
      <c r="L2763" t="s">
        <v>14470</v>
      </c>
      <c r="M2763">
        <v>792.95094300000005</v>
      </c>
      <c r="N2763" t="s">
        <v>14471</v>
      </c>
      <c r="O2763" t="s">
        <v>26</v>
      </c>
      <c r="P2763">
        <v>142.5</v>
      </c>
      <c r="Q2763">
        <v>118.75</v>
      </c>
      <c r="R2763">
        <v>95</v>
      </c>
      <c r="S2763">
        <v>142.5</v>
      </c>
      <c r="T2763" t="s">
        <v>14472</v>
      </c>
    </row>
    <row r="2764" spans="1:20">
      <c r="A2764">
        <v>3330817</v>
      </c>
      <c r="B2764" t="s">
        <v>14473</v>
      </c>
      <c r="C2764" t="str">
        <f>"9780773510111"</f>
        <v>9780773510111</v>
      </c>
      <c r="D2764" t="str">
        <f>"9780773564053"</f>
        <v>9780773564053</v>
      </c>
      <c r="E2764" t="s">
        <v>12863</v>
      </c>
      <c r="F2764" t="s">
        <v>12863</v>
      </c>
      <c r="G2764" s="1">
        <v>31503</v>
      </c>
      <c r="I2764" t="s">
        <v>12963</v>
      </c>
      <c r="J2764" t="s">
        <v>14474</v>
      </c>
      <c r="K2764" t="s">
        <v>1859</v>
      </c>
      <c r="L2764" t="s">
        <v>14475</v>
      </c>
      <c r="M2764">
        <v>193</v>
      </c>
      <c r="N2764" t="s">
        <v>14476</v>
      </c>
      <c r="O2764" t="s">
        <v>26</v>
      </c>
      <c r="P2764">
        <v>120</v>
      </c>
      <c r="Q2764">
        <v>100</v>
      </c>
      <c r="R2764">
        <v>80</v>
      </c>
      <c r="S2764">
        <v>120</v>
      </c>
      <c r="T2764" t="s">
        <v>14477</v>
      </c>
    </row>
    <row r="2765" spans="1:20">
      <c r="A2765">
        <v>3330818</v>
      </c>
      <c r="B2765" t="s">
        <v>14478</v>
      </c>
      <c r="C2765" t="str">
        <f>"9780773510289"</f>
        <v>9780773510289</v>
      </c>
      <c r="D2765" t="str">
        <f>"9780773564213"</f>
        <v>9780773564213</v>
      </c>
      <c r="E2765" t="s">
        <v>12863</v>
      </c>
      <c r="F2765" t="s">
        <v>12863</v>
      </c>
      <c r="G2765" s="1">
        <v>36915</v>
      </c>
      <c r="I2765" t="s">
        <v>12963</v>
      </c>
      <c r="J2765" t="s">
        <v>14479</v>
      </c>
      <c r="K2765" t="s">
        <v>1464</v>
      </c>
      <c r="L2765" t="s">
        <v>14480</v>
      </c>
      <c r="M2765">
        <v>863.60938399999998</v>
      </c>
      <c r="N2765" t="s">
        <v>14481</v>
      </c>
      <c r="O2765" t="s">
        <v>26</v>
      </c>
      <c r="P2765">
        <v>142.5</v>
      </c>
      <c r="Q2765">
        <v>118.75</v>
      </c>
      <c r="R2765">
        <v>95</v>
      </c>
      <c r="S2765">
        <v>142.5</v>
      </c>
      <c r="T2765" t="s">
        <v>14482</v>
      </c>
    </row>
    <row r="2766" spans="1:20">
      <c r="A2766">
        <v>3330819</v>
      </c>
      <c r="B2766" t="s">
        <v>14483</v>
      </c>
      <c r="C2766" t="str">
        <f>"9780773504226"</f>
        <v>9780773504226</v>
      </c>
      <c r="D2766" t="str">
        <f>"9780773560949"</f>
        <v>9780773560949</v>
      </c>
      <c r="E2766" t="s">
        <v>12907</v>
      </c>
      <c r="F2766" t="s">
        <v>12907</v>
      </c>
      <c r="G2766" s="1">
        <v>41773</v>
      </c>
      <c r="J2766" t="s">
        <v>14484</v>
      </c>
      <c r="K2766" t="s">
        <v>257</v>
      </c>
      <c r="L2766" t="s">
        <v>14485</v>
      </c>
      <c r="M2766">
        <v>378.71428100000003</v>
      </c>
      <c r="N2766" t="s">
        <v>14486</v>
      </c>
      <c r="O2766" t="s">
        <v>26</v>
      </c>
      <c r="P2766">
        <v>142.5</v>
      </c>
      <c r="Q2766">
        <v>118.75</v>
      </c>
      <c r="R2766">
        <v>95</v>
      </c>
      <c r="S2766">
        <v>142.5</v>
      </c>
      <c r="T2766" t="s">
        <v>14487</v>
      </c>
    </row>
    <row r="2767" spans="1:20">
      <c r="A2767">
        <v>3330820</v>
      </c>
      <c r="B2767" t="s">
        <v>14488</v>
      </c>
      <c r="C2767" t="str">
        <f>"9780773507241"</f>
        <v>9780773507241</v>
      </c>
      <c r="D2767" t="str">
        <f>"9780773562219"</f>
        <v>9780773562219</v>
      </c>
      <c r="E2767" t="s">
        <v>12863</v>
      </c>
      <c r="F2767" t="s">
        <v>12863</v>
      </c>
      <c r="G2767" s="1">
        <v>32905</v>
      </c>
      <c r="J2767" t="s">
        <v>3409</v>
      </c>
      <c r="K2767" t="s">
        <v>263</v>
      </c>
      <c r="L2767" t="s">
        <v>14489</v>
      </c>
      <c r="M2767">
        <v>303.483</v>
      </c>
      <c r="N2767" t="s">
        <v>14490</v>
      </c>
      <c r="O2767" t="s">
        <v>26</v>
      </c>
      <c r="P2767">
        <v>127.5</v>
      </c>
      <c r="Q2767">
        <v>106.25</v>
      </c>
      <c r="R2767">
        <v>85</v>
      </c>
      <c r="S2767">
        <v>127.5</v>
      </c>
      <c r="T2767" t="s">
        <v>14491</v>
      </c>
    </row>
    <row r="2768" spans="1:20">
      <c r="A2768">
        <v>3330821</v>
      </c>
      <c r="B2768" t="s">
        <v>14492</v>
      </c>
      <c r="C2768" t="str">
        <f>"9780773518346"</f>
        <v>9780773518346</v>
      </c>
      <c r="D2768" t="str">
        <f>"9780773567726"</f>
        <v>9780773567726</v>
      </c>
      <c r="E2768" t="s">
        <v>12863</v>
      </c>
      <c r="F2768" t="s">
        <v>12863</v>
      </c>
      <c r="G2768" s="1">
        <v>36423</v>
      </c>
      <c r="I2768" t="s">
        <v>13288</v>
      </c>
      <c r="J2768" t="s">
        <v>14493</v>
      </c>
      <c r="K2768" t="s">
        <v>257</v>
      </c>
      <c r="L2768" t="s">
        <v>14494</v>
      </c>
      <c r="M2768">
        <v>378.19810971428001</v>
      </c>
      <c r="N2768" t="s">
        <v>14495</v>
      </c>
      <c r="O2768" t="s">
        <v>94</v>
      </c>
      <c r="P2768">
        <v>142.5</v>
      </c>
      <c r="Q2768">
        <v>118.75</v>
      </c>
      <c r="R2768">
        <v>95</v>
      </c>
      <c r="S2768">
        <v>142.5</v>
      </c>
      <c r="T2768" t="s">
        <v>14496</v>
      </c>
    </row>
    <row r="2769" spans="1:20">
      <c r="A2769">
        <v>3330822</v>
      </c>
      <c r="B2769" t="s">
        <v>14497</v>
      </c>
      <c r="C2769" t="str">
        <f>"9780773515406"</f>
        <v>9780773515406</v>
      </c>
      <c r="D2769" t="str">
        <f>"9780773566446"</f>
        <v>9780773566446</v>
      </c>
      <c r="E2769" t="s">
        <v>12863</v>
      </c>
      <c r="F2769" t="s">
        <v>12863</v>
      </c>
      <c r="G2769" s="1">
        <v>35472</v>
      </c>
      <c r="I2769" t="s">
        <v>12864</v>
      </c>
      <c r="J2769" t="s">
        <v>14498</v>
      </c>
      <c r="K2769" t="s">
        <v>1082</v>
      </c>
      <c r="L2769" t="s">
        <v>14499</v>
      </c>
      <c r="M2769" t="s">
        <v>14500</v>
      </c>
      <c r="N2769" t="s">
        <v>14501</v>
      </c>
      <c r="O2769" t="s">
        <v>26</v>
      </c>
      <c r="P2769">
        <v>142.5</v>
      </c>
      <c r="Q2769">
        <v>118.75</v>
      </c>
      <c r="R2769">
        <v>95</v>
      </c>
      <c r="S2769">
        <v>142.5</v>
      </c>
      <c r="T2769" t="s">
        <v>14502</v>
      </c>
    </row>
    <row r="2770" spans="1:20">
      <c r="A2770">
        <v>3330823</v>
      </c>
      <c r="B2770" t="s">
        <v>14503</v>
      </c>
      <c r="C2770" t="str">
        <f>"9780773515079"</f>
        <v>9780773515079</v>
      </c>
      <c r="D2770" t="str">
        <f>"9780773566316"</f>
        <v>9780773566316</v>
      </c>
      <c r="E2770" t="s">
        <v>12863</v>
      </c>
      <c r="F2770" t="s">
        <v>12863</v>
      </c>
      <c r="G2770" s="1">
        <v>35389</v>
      </c>
      <c r="J2770" t="s">
        <v>14504</v>
      </c>
      <c r="K2770" t="s">
        <v>7063</v>
      </c>
      <c r="L2770" t="s">
        <v>14505</v>
      </c>
      <c r="M2770">
        <v>327.71042999999997</v>
      </c>
      <c r="N2770" t="s">
        <v>14506</v>
      </c>
      <c r="O2770" t="s">
        <v>26</v>
      </c>
      <c r="P2770">
        <v>142.5</v>
      </c>
      <c r="Q2770">
        <v>118.75</v>
      </c>
      <c r="R2770">
        <v>95</v>
      </c>
      <c r="S2770">
        <v>142.5</v>
      </c>
      <c r="T2770" t="s">
        <v>14507</v>
      </c>
    </row>
    <row r="2771" spans="1:20">
      <c r="A2771">
        <v>3330824</v>
      </c>
      <c r="B2771" t="s">
        <v>14508</v>
      </c>
      <c r="C2771" t="str">
        <f>"9780773512863"</f>
        <v>9780773512863</v>
      </c>
      <c r="D2771" t="str">
        <f>"9780773565296"</f>
        <v>9780773565296</v>
      </c>
      <c r="E2771" t="s">
        <v>12863</v>
      </c>
      <c r="F2771" t="s">
        <v>12863</v>
      </c>
      <c r="G2771" s="1">
        <v>34824</v>
      </c>
      <c r="I2771" t="s">
        <v>12886</v>
      </c>
      <c r="J2771" t="s">
        <v>14509</v>
      </c>
      <c r="K2771" t="s">
        <v>1892</v>
      </c>
      <c r="L2771" t="s">
        <v>14510</v>
      </c>
      <c r="M2771">
        <v>280.40971109039998</v>
      </c>
      <c r="N2771" t="s">
        <v>14511</v>
      </c>
      <c r="O2771" t="s">
        <v>26</v>
      </c>
      <c r="P2771">
        <v>142.5</v>
      </c>
      <c r="Q2771">
        <v>118.75</v>
      </c>
      <c r="R2771">
        <v>95</v>
      </c>
      <c r="S2771">
        <v>142.5</v>
      </c>
      <c r="T2771" t="s">
        <v>14512</v>
      </c>
    </row>
    <row r="2772" spans="1:20">
      <c r="A2772">
        <v>3330825</v>
      </c>
      <c r="B2772" t="s">
        <v>14513</v>
      </c>
      <c r="C2772" t="str">
        <f>"9780773511910"</f>
        <v>9780773511910</v>
      </c>
      <c r="D2772" t="str">
        <f>"9780773564749"</f>
        <v>9780773564749</v>
      </c>
      <c r="E2772" t="s">
        <v>12863</v>
      </c>
      <c r="F2772" t="s">
        <v>12863</v>
      </c>
      <c r="G2772" s="1">
        <v>34544</v>
      </c>
      <c r="J2772" t="s">
        <v>14514</v>
      </c>
      <c r="K2772" t="s">
        <v>1464</v>
      </c>
      <c r="L2772" t="s">
        <v>14515</v>
      </c>
      <c r="M2772" t="s">
        <v>1567</v>
      </c>
      <c r="N2772" t="s">
        <v>14516</v>
      </c>
      <c r="O2772" t="s">
        <v>26</v>
      </c>
      <c r="P2772">
        <v>127.5</v>
      </c>
      <c r="Q2772">
        <v>106.25</v>
      </c>
      <c r="R2772">
        <v>85</v>
      </c>
      <c r="S2772">
        <v>127.5</v>
      </c>
      <c r="T2772" t="s">
        <v>14517</v>
      </c>
    </row>
    <row r="2773" spans="1:20">
      <c r="A2773">
        <v>3330826</v>
      </c>
      <c r="B2773" t="s">
        <v>14518</v>
      </c>
      <c r="C2773" t="str">
        <f>"9780773509450"</f>
        <v>9780773509450</v>
      </c>
      <c r="D2773" t="str">
        <f>"9780773563650"</f>
        <v>9780773563650</v>
      </c>
      <c r="E2773" t="s">
        <v>12863</v>
      </c>
      <c r="F2773" t="s">
        <v>12863</v>
      </c>
      <c r="G2773" s="1">
        <v>34106</v>
      </c>
      <c r="J2773" t="s">
        <v>14519</v>
      </c>
      <c r="K2773" t="s">
        <v>1464</v>
      </c>
      <c r="L2773" t="s">
        <v>14520</v>
      </c>
      <c r="M2773">
        <v>813.40992870000002</v>
      </c>
      <c r="N2773" t="s">
        <v>14521</v>
      </c>
      <c r="O2773" t="s">
        <v>26</v>
      </c>
      <c r="P2773">
        <v>142.5</v>
      </c>
      <c r="Q2773">
        <v>118.75</v>
      </c>
      <c r="R2773">
        <v>95</v>
      </c>
      <c r="S2773">
        <v>142.5</v>
      </c>
      <c r="T2773" t="s">
        <v>14522</v>
      </c>
    </row>
    <row r="2774" spans="1:20">
      <c r="A2774">
        <v>3330827</v>
      </c>
      <c r="B2774" t="s">
        <v>14523</v>
      </c>
      <c r="C2774" t="str">
        <f>"9780773518247"</f>
        <v>9780773518247</v>
      </c>
      <c r="D2774" t="str">
        <f>"9780773567658"</f>
        <v>9780773567658</v>
      </c>
      <c r="E2774" t="s">
        <v>12863</v>
      </c>
      <c r="F2774" t="s">
        <v>12863</v>
      </c>
      <c r="G2774" s="1">
        <v>36229</v>
      </c>
      <c r="I2774" t="s">
        <v>12864</v>
      </c>
      <c r="J2774" t="s">
        <v>14524</v>
      </c>
      <c r="K2774" t="s">
        <v>550</v>
      </c>
      <c r="L2774" t="s">
        <v>14525</v>
      </c>
      <c r="M2774">
        <v>368.36300649999998</v>
      </c>
      <c r="N2774" t="s">
        <v>14526</v>
      </c>
      <c r="O2774" t="s">
        <v>26</v>
      </c>
      <c r="P2774">
        <v>142.5</v>
      </c>
      <c r="Q2774">
        <v>118.75</v>
      </c>
      <c r="R2774">
        <v>95</v>
      </c>
      <c r="S2774">
        <v>142.5</v>
      </c>
      <c r="T2774" t="s">
        <v>14527</v>
      </c>
    </row>
    <row r="2775" spans="1:20">
      <c r="A2775">
        <v>3330828</v>
      </c>
      <c r="B2775" t="s">
        <v>14528</v>
      </c>
      <c r="C2775" t="str">
        <f>"9780773509924"</f>
        <v>9780773509924</v>
      </c>
      <c r="D2775" t="str">
        <f>"9780773563896"</f>
        <v>9780773563896</v>
      </c>
      <c r="E2775" t="s">
        <v>12863</v>
      </c>
      <c r="F2775" t="s">
        <v>12863</v>
      </c>
      <c r="G2775" s="1">
        <v>34239</v>
      </c>
      <c r="I2775" t="s">
        <v>12942</v>
      </c>
      <c r="J2775" t="s">
        <v>14529</v>
      </c>
      <c r="K2775" t="s">
        <v>291</v>
      </c>
      <c r="L2775" t="s">
        <v>14530</v>
      </c>
      <c r="M2775">
        <v>971.90049699999997</v>
      </c>
      <c r="N2775" t="s">
        <v>14531</v>
      </c>
      <c r="O2775" t="s">
        <v>26</v>
      </c>
      <c r="P2775">
        <v>142.5</v>
      </c>
      <c r="Q2775">
        <v>118.75</v>
      </c>
      <c r="R2775">
        <v>95</v>
      </c>
      <c r="S2775">
        <v>142.5</v>
      </c>
      <c r="T2775" t="s">
        <v>14532</v>
      </c>
    </row>
    <row r="2776" spans="1:20">
      <c r="A2776">
        <v>3330829</v>
      </c>
      <c r="B2776" t="s">
        <v>14533</v>
      </c>
      <c r="C2776" t="str">
        <f>"9780773515352"</f>
        <v>9780773515352</v>
      </c>
      <c r="D2776" t="str">
        <f>"9780773566422"</f>
        <v>9780773566422</v>
      </c>
      <c r="E2776" t="s">
        <v>12863</v>
      </c>
      <c r="F2776" t="s">
        <v>12863</v>
      </c>
      <c r="G2776" s="1">
        <v>35490</v>
      </c>
      <c r="J2776" t="s">
        <v>14534</v>
      </c>
      <c r="K2776" t="s">
        <v>3421</v>
      </c>
      <c r="L2776" t="s">
        <v>14535</v>
      </c>
      <c r="M2776">
        <v>306.43</v>
      </c>
      <c r="N2776" t="s">
        <v>14536</v>
      </c>
      <c r="O2776" t="s">
        <v>26</v>
      </c>
      <c r="P2776">
        <v>142.5</v>
      </c>
      <c r="Q2776">
        <v>118.75</v>
      </c>
      <c r="R2776">
        <v>95</v>
      </c>
      <c r="S2776">
        <v>142.5</v>
      </c>
      <c r="T2776" t="s">
        <v>14537</v>
      </c>
    </row>
    <row r="2777" spans="1:20">
      <c r="A2777">
        <v>3330830</v>
      </c>
      <c r="B2777" t="s">
        <v>14538</v>
      </c>
      <c r="C2777" t="str">
        <f>"9780773512351"</f>
        <v>9780773512351</v>
      </c>
      <c r="D2777" t="str">
        <f>"9780773565043"</f>
        <v>9780773565043</v>
      </c>
      <c r="E2777" t="s">
        <v>12863</v>
      </c>
      <c r="F2777" t="s">
        <v>12863</v>
      </c>
      <c r="G2777" s="1">
        <v>34655</v>
      </c>
      <c r="I2777" t="s">
        <v>13288</v>
      </c>
      <c r="J2777" t="s">
        <v>14539</v>
      </c>
      <c r="K2777" t="s">
        <v>525</v>
      </c>
      <c r="L2777" t="s">
        <v>14540</v>
      </c>
      <c r="M2777">
        <v>346.71400899999998</v>
      </c>
      <c r="N2777" t="s">
        <v>14541</v>
      </c>
      <c r="O2777" t="s">
        <v>26</v>
      </c>
      <c r="P2777">
        <v>142.5</v>
      </c>
      <c r="Q2777">
        <v>118.75</v>
      </c>
      <c r="R2777">
        <v>95</v>
      </c>
      <c r="S2777">
        <v>142.5</v>
      </c>
      <c r="T2777" t="s">
        <v>14542</v>
      </c>
    </row>
    <row r="2778" spans="1:20">
      <c r="A2778">
        <v>3330831</v>
      </c>
      <c r="B2778" t="s">
        <v>14543</v>
      </c>
      <c r="C2778" t="str">
        <f>"9780773512153"</f>
        <v>9780773512153</v>
      </c>
      <c r="D2778" t="str">
        <f>"9780773564848"</f>
        <v>9780773564848</v>
      </c>
      <c r="E2778" t="s">
        <v>12863</v>
      </c>
      <c r="F2778" t="s">
        <v>12863</v>
      </c>
      <c r="G2778" s="1">
        <v>34590</v>
      </c>
      <c r="J2778" t="s">
        <v>14544</v>
      </c>
      <c r="K2778" t="s">
        <v>1464</v>
      </c>
      <c r="L2778" t="s">
        <v>14545</v>
      </c>
      <c r="M2778">
        <v>821.91408999999999</v>
      </c>
      <c r="N2778" t="s">
        <v>14546</v>
      </c>
      <c r="O2778" t="s">
        <v>26</v>
      </c>
      <c r="P2778">
        <v>127.5</v>
      </c>
      <c r="Q2778">
        <v>106.25</v>
      </c>
      <c r="R2778">
        <v>85</v>
      </c>
      <c r="S2778">
        <v>127.5</v>
      </c>
      <c r="T2778" t="s">
        <v>14547</v>
      </c>
    </row>
    <row r="2779" spans="1:20">
      <c r="A2779">
        <v>3330832</v>
      </c>
      <c r="B2779" t="s">
        <v>14548</v>
      </c>
      <c r="C2779" t="str">
        <f>"9780773505773"</f>
        <v>9780773505773</v>
      </c>
      <c r="D2779" t="str">
        <f>"9780773561229"</f>
        <v>9780773561229</v>
      </c>
      <c r="E2779" t="s">
        <v>12863</v>
      </c>
      <c r="F2779" t="s">
        <v>12863</v>
      </c>
      <c r="G2779" s="1">
        <v>31291</v>
      </c>
      <c r="J2779" t="s">
        <v>14549</v>
      </c>
      <c r="K2779" t="s">
        <v>1464</v>
      </c>
      <c r="L2779" t="s">
        <v>14550</v>
      </c>
      <c r="M2779" t="s">
        <v>14551</v>
      </c>
      <c r="N2779" t="s">
        <v>14552</v>
      </c>
      <c r="O2779" t="s">
        <v>26</v>
      </c>
      <c r="P2779">
        <v>127.5</v>
      </c>
      <c r="Q2779">
        <v>106.25</v>
      </c>
      <c r="R2779">
        <v>85</v>
      </c>
      <c r="S2779">
        <v>127.5</v>
      </c>
      <c r="T2779" t="s">
        <v>14553</v>
      </c>
    </row>
    <row r="2780" spans="1:20">
      <c r="A2780">
        <v>3330833</v>
      </c>
      <c r="B2780" t="s">
        <v>14554</v>
      </c>
      <c r="C2780" t="str">
        <f>"9780773509771"</f>
        <v>9780773509771</v>
      </c>
      <c r="D2780" t="str">
        <f>"9780773563780"</f>
        <v>9780773563780</v>
      </c>
      <c r="E2780" t="s">
        <v>12863</v>
      </c>
      <c r="F2780" t="s">
        <v>12863</v>
      </c>
      <c r="G2780" s="1">
        <v>34040</v>
      </c>
      <c r="J2780" t="s">
        <v>13781</v>
      </c>
      <c r="K2780" t="s">
        <v>473</v>
      </c>
      <c r="L2780" t="s">
        <v>14555</v>
      </c>
      <c r="M2780">
        <v>362.846872840728</v>
      </c>
      <c r="N2780" t="s">
        <v>14556</v>
      </c>
      <c r="O2780" t="s">
        <v>26</v>
      </c>
      <c r="P2780">
        <v>142.5</v>
      </c>
      <c r="Q2780">
        <v>118.75</v>
      </c>
      <c r="R2780">
        <v>95</v>
      </c>
      <c r="S2780">
        <v>142.5</v>
      </c>
      <c r="T2780" t="s">
        <v>14557</v>
      </c>
    </row>
    <row r="2781" spans="1:20">
      <c r="A2781">
        <v>3330834</v>
      </c>
      <c r="B2781" t="s">
        <v>14558</v>
      </c>
      <c r="C2781" t="str">
        <f>"9780773512276"</f>
        <v>9780773512276</v>
      </c>
      <c r="D2781" t="str">
        <f>"9780773564961"</f>
        <v>9780773564961</v>
      </c>
      <c r="E2781" t="s">
        <v>12863</v>
      </c>
      <c r="F2781" t="s">
        <v>12863</v>
      </c>
      <c r="G2781" s="1">
        <v>34838</v>
      </c>
      <c r="J2781" t="s">
        <v>14559</v>
      </c>
      <c r="K2781" t="s">
        <v>7838</v>
      </c>
      <c r="L2781" t="s">
        <v>14560</v>
      </c>
      <c r="M2781">
        <v>725.11097138399998</v>
      </c>
      <c r="N2781" t="s">
        <v>14561</v>
      </c>
      <c r="O2781" t="s">
        <v>26</v>
      </c>
      <c r="P2781">
        <v>142.5</v>
      </c>
      <c r="Q2781">
        <v>118.75</v>
      </c>
      <c r="R2781">
        <v>95</v>
      </c>
      <c r="S2781">
        <v>142.5</v>
      </c>
      <c r="T2781" t="s">
        <v>14562</v>
      </c>
    </row>
    <row r="2782" spans="1:20">
      <c r="A2782">
        <v>3330835</v>
      </c>
      <c r="B2782" t="s">
        <v>14563</v>
      </c>
      <c r="C2782" t="str">
        <f>"9780773512375"</f>
        <v>9780773512375</v>
      </c>
      <c r="D2782" t="str">
        <f>"9780773565067"</f>
        <v>9780773565067</v>
      </c>
      <c r="E2782" t="s">
        <v>12863</v>
      </c>
      <c r="F2782" t="s">
        <v>12863</v>
      </c>
      <c r="G2782" s="1">
        <v>34939</v>
      </c>
      <c r="J2782" t="s">
        <v>14564</v>
      </c>
      <c r="K2782" t="s">
        <v>1464</v>
      </c>
      <c r="L2782" t="s">
        <v>14565</v>
      </c>
      <c r="M2782">
        <v>821.03089999999997</v>
      </c>
      <c r="N2782" t="s">
        <v>14566</v>
      </c>
      <c r="O2782" t="s">
        <v>26</v>
      </c>
      <c r="P2782">
        <v>142.5</v>
      </c>
      <c r="Q2782">
        <v>118.75</v>
      </c>
      <c r="R2782">
        <v>95</v>
      </c>
      <c r="S2782">
        <v>142.5</v>
      </c>
      <c r="T2782" t="s">
        <v>14567</v>
      </c>
    </row>
    <row r="2783" spans="1:20">
      <c r="A2783">
        <v>3330836</v>
      </c>
      <c r="B2783" t="s">
        <v>14568</v>
      </c>
      <c r="C2783" t="str">
        <f>"9780773506435"</f>
        <v>9780773506435</v>
      </c>
      <c r="D2783" t="str">
        <f>"9780773561588"</f>
        <v>9780773561588</v>
      </c>
      <c r="E2783" t="s">
        <v>12863</v>
      </c>
      <c r="F2783" t="s">
        <v>12863</v>
      </c>
      <c r="G2783" s="1">
        <v>32325</v>
      </c>
      <c r="J2783" t="s">
        <v>14569</v>
      </c>
      <c r="K2783" t="s">
        <v>291</v>
      </c>
      <c r="L2783" t="s">
        <v>14570</v>
      </c>
      <c r="M2783">
        <v>944.36100491000002</v>
      </c>
      <c r="N2783" t="s">
        <v>14571</v>
      </c>
      <c r="O2783" t="s">
        <v>26</v>
      </c>
      <c r="P2783">
        <v>127.5</v>
      </c>
      <c r="Q2783">
        <v>106.25</v>
      </c>
      <c r="R2783">
        <v>85</v>
      </c>
      <c r="S2783">
        <v>127.5</v>
      </c>
      <c r="T2783" t="s">
        <v>14572</v>
      </c>
    </row>
    <row r="2784" spans="1:20">
      <c r="A2784">
        <v>3330837</v>
      </c>
      <c r="B2784" t="s">
        <v>14573</v>
      </c>
      <c r="C2784" t="str">
        <f>"9780773505872"</f>
        <v>9780773505872</v>
      </c>
      <c r="D2784" t="str">
        <f>"9780773561298"</f>
        <v>9780773561298</v>
      </c>
      <c r="E2784" t="s">
        <v>12907</v>
      </c>
      <c r="F2784" t="s">
        <v>12907</v>
      </c>
      <c r="G2784" s="1">
        <v>41773</v>
      </c>
      <c r="J2784" t="s">
        <v>14574</v>
      </c>
      <c r="K2784" t="s">
        <v>291</v>
      </c>
      <c r="L2784" t="s">
        <v>14575</v>
      </c>
      <c r="M2784">
        <v>970.0180924</v>
      </c>
      <c r="N2784" t="s">
        <v>14576</v>
      </c>
      <c r="O2784" t="s">
        <v>26</v>
      </c>
      <c r="P2784">
        <v>142.5</v>
      </c>
      <c r="Q2784">
        <v>118.75</v>
      </c>
      <c r="R2784">
        <v>95</v>
      </c>
      <c r="S2784">
        <v>142.5</v>
      </c>
      <c r="T2784" t="s">
        <v>14577</v>
      </c>
    </row>
    <row r="2785" spans="1:20">
      <c r="A2785">
        <v>3330838</v>
      </c>
      <c r="B2785" t="s">
        <v>14578</v>
      </c>
      <c r="C2785" t="str">
        <f>"9780773509429"</f>
        <v>9780773509429</v>
      </c>
      <c r="D2785" t="str">
        <f>"9780773563636"</f>
        <v>9780773563636</v>
      </c>
      <c r="E2785" t="s">
        <v>12863</v>
      </c>
      <c r="F2785" t="s">
        <v>12863</v>
      </c>
      <c r="G2785" s="1">
        <v>34052</v>
      </c>
      <c r="J2785" t="s">
        <v>14579</v>
      </c>
      <c r="K2785" t="s">
        <v>416</v>
      </c>
      <c r="L2785" t="s">
        <v>14580</v>
      </c>
      <c r="M2785">
        <v>339.71</v>
      </c>
      <c r="N2785" t="s">
        <v>14581</v>
      </c>
      <c r="O2785" t="s">
        <v>26</v>
      </c>
      <c r="P2785">
        <v>210</v>
      </c>
      <c r="Q2785">
        <v>175</v>
      </c>
      <c r="R2785">
        <v>140</v>
      </c>
      <c r="S2785">
        <v>210</v>
      </c>
      <c r="T2785" t="s">
        <v>14582</v>
      </c>
    </row>
    <row r="2786" spans="1:20">
      <c r="A2786">
        <v>3330839</v>
      </c>
      <c r="B2786" t="s">
        <v>14583</v>
      </c>
      <c r="C2786" t="str">
        <f>"9780773514430"</f>
        <v>9780773514430</v>
      </c>
      <c r="D2786" t="str">
        <f>"9780773566255"</f>
        <v>9780773566255</v>
      </c>
      <c r="E2786" t="s">
        <v>12863</v>
      </c>
      <c r="F2786" t="s">
        <v>12863</v>
      </c>
      <c r="G2786" s="1">
        <v>35300</v>
      </c>
      <c r="I2786" t="s">
        <v>12886</v>
      </c>
      <c r="J2786" t="s">
        <v>14584</v>
      </c>
      <c r="K2786" t="s">
        <v>257</v>
      </c>
      <c r="L2786" t="s">
        <v>14585</v>
      </c>
      <c r="M2786">
        <v>376.97130882699997</v>
      </c>
      <c r="N2786" t="s">
        <v>14586</v>
      </c>
      <c r="O2786" t="s">
        <v>26</v>
      </c>
      <c r="P2786">
        <v>142.5</v>
      </c>
      <c r="Q2786">
        <v>118.75</v>
      </c>
      <c r="R2786">
        <v>95</v>
      </c>
      <c r="S2786">
        <v>142.5</v>
      </c>
      <c r="T2786" t="s">
        <v>14587</v>
      </c>
    </row>
    <row r="2787" spans="1:20">
      <c r="A2787">
        <v>3330840</v>
      </c>
      <c r="B2787" t="s">
        <v>14588</v>
      </c>
      <c r="C2787" t="str">
        <f>"9780773512313"</f>
        <v>9780773512313</v>
      </c>
      <c r="D2787" t="str">
        <f>"9780773565005"</f>
        <v>9780773565005</v>
      </c>
      <c r="E2787" t="s">
        <v>12863</v>
      </c>
      <c r="F2787" t="s">
        <v>12863</v>
      </c>
      <c r="G2787" s="1">
        <v>34820</v>
      </c>
      <c r="J2787" t="s">
        <v>14589</v>
      </c>
      <c r="K2787" t="s">
        <v>1471</v>
      </c>
      <c r="L2787" t="s">
        <v>14590</v>
      </c>
      <c r="M2787">
        <v>733.30938000000003</v>
      </c>
      <c r="N2787" t="s">
        <v>14591</v>
      </c>
      <c r="O2787" t="s">
        <v>26</v>
      </c>
      <c r="P2787">
        <v>142.5</v>
      </c>
      <c r="Q2787">
        <v>118.75</v>
      </c>
      <c r="R2787">
        <v>95</v>
      </c>
      <c r="S2787">
        <v>142.5</v>
      </c>
      <c r="T2787" t="s">
        <v>14592</v>
      </c>
    </row>
    <row r="2788" spans="1:20">
      <c r="A2788">
        <v>3330841</v>
      </c>
      <c r="B2788" t="s">
        <v>14593</v>
      </c>
      <c r="C2788" t="str">
        <f>"9780773509047"</f>
        <v>9780773509047</v>
      </c>
      <c r="D2788" t="str">
        <f>"9780773563360"</f>
        <v>9780773563360</v>
      </c>
      <c r="E2788" t="s">
        <v>12863</v>
      </c>
      <c r="F2788" t="s">
        <v>12863</v>
      </c>
      <c r="G2788" s="1">
        <v>33891</v>
      </c>
      <c r="J2788" t="s">
        <v>14594</v>
      </c>
      <c r="K2788" t="s">
        <v>416</v>
      </c>
      <c r="L2788" t="s">
        <v>14595</v>
      </c>
      <c r="M2788">
        <v>338.91009200000002</v>
      </c>
      <c r="N2788" t="s">
        <v>14596</v>
      </c>
      <c r="O2788" t="s">
        <v>26</v>
      </c>
      <c r="P2788">
        <v>142.5</v>
      </c>
      <c r="Q2788">
        <v>118.75</v>
      </c>
      <c r="R2788">
        <v>95</v>
      </c>
      <c r="S2788">
        <v>142.5</v>
      </c>
      <c r="T2788" t="s">
        <v>14597</v>
      </c>
    </row>
    <row r="2789" spans="1:20">
      <c r="A2789">
        <v>3330842</v>
      </c>
      <c r="B2789" t="s">
        <v>14598</v>
      </c>
      <c r="C2789" t="str">
        <f>"9780773525054"</f>
        <v>9780773525054</v>
      </c>
      <c r="D2789" t="str">
        <f>"9780773570818"</f>
        <v>9780773570818</v>
      </c>
      <c r="E2789" t="s">
        <v>12863</v>
      </c>
      <c r="F2789" t="s">
        <v>12863</v>
      </c>
      <c r="G2789" s="1">
        <v>37818</v>
      </c>
      <c r="I2789" t="s">
        <v>12864</v>
      </c>
      <c r="J2789" t="s">
        <v>14599</v>
      </c>
      <c r="K2789" t="s">
        <v>14600</v>
      </c>
      <c r="L2789" t="s">
        <v>14601</v>
      </c>
      <c r="M2789">
        <v>971.82</v>
      </c>
      <c r="N2789" t="s">
        <v>14602</v>
      </c>
      <c r="O2789" t="s">
        <v>26</v>
      </c>
      <c r="P2789">
        <v>44.93</v>
      </c>
      <c r="Q2789">
        <v>37.44</v>
      </c>
      <c r="R2789">
        <v>29.95</v>
      </c>
      <c r="S2789">
        <v>44.93</v>
      </c>
      <c r="T2789" t="s">
        <v>14603</v>
      </c>
    </row>
    <row r="2790" spans="1:20">
      <c r="A2790">
        <v>3330843</v>
      </c>
      <c r="B2790" t="s">
        <v>14604</v>
      </c>
      <c r="C2790" t="str">
        <f>"9780773507708"</f>
        <v>9780773507708</v>
      </c>
      <c r="D2790" t="str">
        <f>"9780773562561"</f>
        <v>9780773562561</v>
      </c>
      <c r="E2790" t="s">
        <v>12863</v>
      </c>
      <c r="F2790" t="s">
        <v>12863</v>
      </c>
      <c r="G2790" s="1">
        <v>33025</v>
      </c>
      <c r="J2790" t="s">
        <v>14605</v>
      </c>
      <c r="K2790" t="s">
        <v>1464</v>
      </c>
      <c r="L2790" t="s">
        <v>14606</v>
      </c>
      <c r="M2790">
        <v>843.50971400000003</v>
      </c>
      <c r="N2790" t="s">
        <v>14607</v>
      </c>
      <c r="O2790" t="s">
        <v>26</v>
      </c>
      <c r="P2790">
        <v>142.5</v>
      </c>
      <c r="Q2790">
        <v>118.75</v>
      </c>
      <c r="R2790">
        <v>95</v>
      </c>
      <c r="S2790">
        <v>142.5</v>
      </c>
      <c r="T2790" t="s">
        <v>14608</v>
      </c>
    </row>
    <row r="2791" spans="1:20">
      <c r="A2791">
        <v>3330844</v>
      </c>
      <c r="B2791" t="s">
        <v>14609</v>
      </c>
      <c r="C2791" t="str">
        <f>"9780773514270"</f>
        <v>9780773514270</v>
      </c>
      <c r="D2791" t="str">
        <f>"9780773566132"</f>
        <v>9780773566132</v>
      </c>
      <c r="E2791" t="s">
        <v>12863</v>
      </c>
      <c r="F2791" t="s">
        <v>12863</v>
      </c>
      <c r="G2791" s="1">
        <v>35326</v>
      </c>
      <c r="J2791" t="s">
        <v>14610</v>
      </c>
      <c r="K2791" t="s">
        <v>1464</v>
      </c>
      <c r="L2791" t="s">
        <v>14611</v>
      </c>
      <c r="M2791">
        <v>820.91</v>
      </c>
      <c r="N2791" t="s">
        <v>14612</v>
      </c>
      <c r="O2791" t="s">
        <v>26</v>
      </c>
      <c r="P2791">
        <v>142.5</v>
      </c>
      <c r="Q2791">
        <v>118.75</v>
      </c>
      <c r="R2791">
        <v>95</v>
      </c>
      <c r="S2791">
        <v>142.5</v>
      </c>
      <c r="T2791" t="s">
        <v>14613</v>
      </c>
    </row>
    <row r="2792" spans="1:20">
      <c r="A2792">
        <v>3330845</v>
      </c>
      <c r="B2792" t="s">
        <v>14614</v>
      </c>
      <c r="C2792" t="str">
        <f>"9780773510265"</f>
        <v>9780773510265</v>
      </c>
      <c r="D2792" t="str">
        <f>"9780773564190"</f>
        <v>9780773564190</v>
      </c>
      <c r="E2792" t="s">
        <v>12863</v>
      </c>
      <c r="F2792" t="s">
        <v>12863</v>
      </c>
      <c r="G2792" s="1">
        <v>36458</v>
      </c>
      <c r="I2792" t="s">
        <v>12963</v>
      </c>
      <c r="J2792" t="s">
        <v>14615</v>
      </c>
      <c r="K2792" t="s">
        <v>1859</v>
      </c>
      <c r="L2792" t="s">
        <v>14616</v>
      </c>
      <c r="M2792">
        <v>193</v>
      </c>
      <c r="N2792" t="s">
        <v>14617</v>
      </c>
      <c r="O2792" t="s">
        <v>26</v>
      </c>
      <c r="P2792">
        <v>142.5</v>
      </c>
      <c r="Q2792">
        <v>118.75</v>
      </c>
      <c r="R2792">
        <v>95</v>
      </c>
      <c r="S2792">
        <v>142.5</v>
      </c>
      <c r="T2792" t="s">
        <v>14618</v>
      </c>
    </row>
    <row r="2793" spans="1:20">
      <c r="A2793">
        <v>3330846</v>
      </c>
      <c r="B2793" t="s">
        <v>14619</v>
      </c>
      <c r="C2793" t="str">
        <f>"9780773513754"</f>
        <v>9780773513754</v>
      </c>
      <c r="D2793" t="str">
        <f>"9780773565814"</f>
        <v>9780773565814</v>
      </c>
      <c r="E2793" t="s">
        <v>12863</v>
      </c>
      <c r="F2793" t="s">
        <v>12863</v>
      </c>
      <c r="G2793" s="1">
        <v>35445</v>
      </c>
      <c r="J2793" t="s">
        <v>14620</v>
      </c>
      <c r="K2793" t="s">
        <v>10956</v>
      </c>
      <c r="L2793" t="s">
        <v>14621</v>
      </c>
      <c r="M2793">
        <v>71.108999999999995</v>
      </c>
      <c r="N2793" t="s">
        <v>14622</v>
      </c>
      <c r="O2793" t="s">
        <v>26</v>
      </c>
      <c r="P2793">
        <v>142.5</v>
      </c>
      <c r="Q2793">
        <v>118.75</v>
      </c>
      <c r="R2793">
        <v>95</v>
      </c>
      <c r="S2793">
        <v>142.5</v>
      </c>
      <c r="T2793" t="s">
        <v>14623</v>
      </c>
    </row>
    <row r="2794" spans="1:20">
      <c r="A2794">
        <v>3330847</v>
      </c>
      <c r="B2794" t="s">
        <v>14624</v>
      </c>
      <c r="C2794" t="str">
        <f>"9780773512924"</f>
        <v>9780773512924</v>
      </c>
      <c r="D2794" t="str">
        <f>"9780773565326"</f>
        <v>9780773565326</v>
      </c>
      <c r="E2794" t="s">
        <v>12863</v>
      </c>
      <c r="F2794" t="s">
        <v>12863</v>
      </c>
      <c r="G2794" s="1">
        <v>34863</v>
      </c>
      <c r="J2794" t="s">
        <v>14625</v>
      </c>
      <c r="K2794" t="s">
        <v>1063</v>
      </c>
      <c r="L2794" t="s">
        <v>14626</v>
      </c>
      <c r="M2794">
        <v>333.7</v>
      </c>
      <c r="N2794" t="s">
        <v>14627</v>
      </c>
      <c r="O2794" t="s">
        <v>26</v>
      </c>
      <c r="P2794">
        <v>142.5</v>
      </c>
      <c r="Q2794">
        <v>118.75</v>
      </c>
      <c r="R2794">
        <v>95</v>
      </c>
      <c r="S2794">
        <v>142.5</v>
      </c>
      <c r="T2794" t="s">
        <v>14628</v>
      </c>
    </row>
    <row r="2795" spans="1:20">
      <c r="A2795">
        <v>3330848</v>
      </c>
      <c r="B2795" t="s">
        <v>14629</v>
      </c>
      <c r="C2795" t="str">
        <f>"9780773518841"</f>
        <v>9780773518841</v>
      </c>
      <c r="D2795" t="str">
        <f>"9780773567993"</f>
        <v>9780773567993</v>
      </c>
      <c r="E2795" t="s">
        <v>12863</v>
      </c>
      <c r="F2795" t="s">
        <v>12863</v>
      </c>
      <c r="G2795" s="1">
        <v>36560</v>
      </c>
      <c r="I2795" t="s">
        <v>12871</v>
      </c>
      <c r="J2795" t="s">
        <v>14630</v>
      </c>
      <c r="K2795" t="s">
        <v>6444</v>
      </c>
      <c r="L2795" t="s">
        <v>14631</v>
      </c>
      <c r="M2795">
        <v>323.11970710000003</v>
      </c>
      <c r="N2795" t="s">
        <v>14632</v>
      </c>
      <c r="O2795" t="s">
        <v>26</v>
      </c>
      <c r="P2795">
        <v>142.5</v>
      </c>
      <c r="Q2795">
        <v>118.75</v>
      </c>
      <c r="R2795">
        <v>95</v>
      </c>
      <c r="S2795">
        <v>142.5</v>
      </c>
      <c r="T2795" t="s">
        <v>14633</v>
      </c>
    </row>
    <row r="2796" spans="1:20">
      <c r="A2796">
        <v>3330849</v>
      </c>
      <c r="B2796" t="s">
        <v>14634</v>
      </c>
      <c r="C2796" t="str">
        <f>"9780773514348"</f>
        <v>9780773514348</v>
      </c>
      <c r="D2796" t="str">
        <f>"9780773566187"</f>
        <v>9780773566187</v>
      </c>
      <c r="E2796" t="s">
        <v>12863</v>
      </c>
      <c r="F2796" t="s">
        <v>12863</v>
      </c>
      <c r="G2796" s="1">
        <v>35287</v>
      </c>
      <c r="J2796" t="s">
        <v>14635</v>
      </c>
      <c r="K2796" t="s">
        <v>291</v>
      </c>
      <c r="L2796" t="s">
        <v>14636</v>
      </c>
      <c r="M2796">
        <v>974.70309199999997</v>
      </c>
      <c r="N2796" t="s">
        <v>14637</v>
      </c>
      <c r="O2796" t="s">
        <v>26</v>
      </c>
      <c r="P2796">
        <v>142.5</v>
      </c>
      <c r="Q2796">
        <v>118.75</v>
      </c>
      <c r="R2796">
        <v>95</v>
      </c>
      <c r="S2796">
        <v>142.5</v>
      </c>
      <c r="T2796" t="s">
        <v>14638</v>
      </c>
    </row>
    <row r="2797" spans="1:20">
      <c r="A2797">
        <v>3330850</v>
      </c>
      <c r="B2797" t="s">
        <v>14639</v>
      </c>
      <c r="C2797" t="str">
        <f>"9780773509023"</f>
        <v>9780773509023</v>
      </c>
      <c r="D2797" t="str">
        <f>"9780773563353"</f>
        <v>9780773563353</v>
      </c>
      <c r="E2797" t="s">
        <v>12863</v>
      </c>
      <c r="F2797" t="s">
        <v>12863</v>
      </c>
      <c r="G2797" s="1">
        <v>34033</v>
      </c>
      <c r="J2797" t="s">
        <v>14640</v>
      </c>
      <c r="K2797" t="s">
        <v>291</v>
      </c>
      <c r="L2797" t="s">
        <v>14641</v>
      </c>
      <c r="M2797">
        <v>944.04408350999995</v>
      </c>
      <c r="N2797" t="s">
        <v>14642</v>
      </c>
      <c r="O2797" t="s">
        <v>26</v>
      </c>
      <c r="P2797">
        <v>142.5</v>
      </c>
      <c r="Q2797">
        <v>118.75</v>
      </c>
      <c r="R2797">
        <v>95</v>
      </c>
      <c r="S2797">
        <v>142.5</v>
      </c>
      <c r="T2797" t="s">
        <v>14643</v>
      </c>
    </row>
    <row r="2798" spans="1:20">
      <c r="A2798">
        <v>3330851</v>
      </c>
      <c r="B2798" t="s">
        <v>14644</v>
      </c>
      <c r="C2798" t="str">
        <f>"9780773518414"</f>
        <v>9780773518414</v>
      </c>
      <c r="D2798" t="str">
        <f>"9780773567771"</f>
        <v>9780773567771</v>
      </c>
      <c r="E2798" t="s">
        <v>12863</v>
      </c>
      <c r="F2798" t="s">
        <v>12863</v>
      </c>
      <c r="G2798" s="1">
        <v>36373</v>
      </c>
      <c r="J2798" t="s">
        <v>14645</v>
      </c>
      <c r="K2798" t="s">
        <v>7075</v>
      </c>
      <c r="L2798" t="s">
        <v>14646</v>
      </c>
      <c r="M2798">
        <v>16.001309200000001</v>
      </c>
      <c r="N2798" t="s">
        <v>14647</v>
      </c>
      <c r="O2798" t="s">
        <v>26</v>
      </c>
      <c r="P2798">
        <v>142.5</v>
      </c>
      <c r="Q2798">
        <v>118.75</v>
      </c>
      <c r="R2798">
        <v>95</v>
      </c>
      <c r="S2798">
        <v>142.5</v>
      </c>
      <c r="T2798" t="s">
        <v>14648</v>
      </c>
    </row>
    <row r="2799" spans="1:20">
      <c r="A2799">
        <v>3330852</v>
      </c>
      <c r="B2799" t="s">
        <v>14649</v>
      </c>
      <c r="C2799" t="str">
        <f>"9780773522008"</f>
        <v>9780773522008</v>
      </c>
      <c r="D2799" t="str">
        <f>"9780773569300"</f>
        <v>9780773569300</v>
      </c>
      <c r="E2799" t="s">
        <v>12863</v>
      </c>
      <c r="F2799" t="s">
        <v>12863</v>
      </c>
      <c r="G2799" s="1">
        <v>36924</v>
      </c>
      <c r="J2799" t="s">
        <v>14650</v>
      </c>
      <c r="K2799" t="s">
        <v>1214</v>
      </c>
      <c r="L2799" t="s">
        <v>14651</v>
      </c>
      <c r="M2799" t="s">
        <v>14652</v>
      </c>
      <c r="N2799" t="s">
        <v>14653</v>
      </c>
      <c r="O2799" t="s">
        <v>26</v>
      </c>
      <c r="P2799">
        <v>142.5</v>
      </c>
      <c r="Q2799">
        <v>118.75</v>
      </c>
      <c r="R2799">
        <v>95</v>
      </c>
      <c r="S2799">
        <v>142.5</v>
      </c>
      <c r="T2799" t="s">
        <v>14654</v>
      </c>
    </row>
    <row r="2800" spans="1:20">
      <c r="A2800">
        <v>3330853</v>
      </c>
      <c r="B2800" t="s">
        <v>14655</v>
      </c>
      <c r="C2800" t="str">
        <f>"9780773515321"</f>
        <v>9780773515321</v>
      </c>
      <c r="D2800" t="str">
        <f>"9780773566415"</f>
        <v>9780773566415</v>
      </c>
      <c r="E2800" t="s">
        <v>12863</v>
      </c>
      <c r="F2800" t="s">
        <v>12863</v>
      </c>
      <c r="G2800" s="1">
        <v>35509</v>
      </c>
      <c r="J2800" t="s">
        <v>14656</v>
      </c>
      <c r="K2800" t="s">
        <v>467</v>
      </c>
      <c r="L2800" t="s">
        <v>14657</v>
      </c>
      <c r="M2800">
        <v>327.10904900000003</v>
      </c>
      <c r="N2800" t="s">
        <v>14658</v>
      </c>
      <c r="O2800" t="s">
        <v>26</v>
      </c>
      <c r="P2800">
        <v>142.5</v>
      </c>
      <c r="Q2800">
        <v>118.75</v>
      </c>
      <c r="R2800">
        <v>95</v>
      </c>
      <c r="S2800">
        <v>142.5</v>
      </c>
      <c r="T2800" t="s">
        <v>14659</v>
      </c>
    </row>
    <row r="2801" spans="1:20">
      <c r="A2801">
        <v>3330854</v>
      </c>
      <c r="B2801" t="s">
        <v>14660</v>
      </c>
      <c r="C2801" t="str">
        <f>"9780773510043"</f>
        <v>9780773510043</v>
      </c>
      <c r="D2801" t="str">
        <f>"9780773563995"</f>
        <v>9780773563995</v>
      </c>
      <c r="E2801" t="s">
        <v>12863</v>
      </c>
      <c r="F2801" t="s">
        <v>12863</v>
      </c>
      <c r="G2801" s="1">
        <v>30195</v>
      </c>
      <c r="I2801" t="s">
        <v>12963</v>
      </c>
      <c r="J2801" t="s">
        <v>14661</v>
      </c>
      <c r="K2801" t="s">
        <v>1859</v>
      </c>
      <c r="L2801" t="s">
        <v>14662</v>
      </c>
      <c r="M2801">
        <v>193</v>
      </c>
      <c r="N2801" t="s">
        <v>14663</v>
      </c>
      <c r="O2801" t="s">
        <v>26</v>
      </c>
      <c r="P2801">
        <v>142.5</v>
      </c>
      <c r="Q2801">
        <v>118.75</v>
      </c>
      <c r="R2801">
        <v>95</v>
      </c>
      <c r="S2801">
        <v>142.5</v>
      </c>
      <c r="T2801" t="s">
        <v>14664</v>
      </c>
    </row>
    <row r="2802" spans="1:20">
      <c r="A2802">
        <v>3330855</v>
      </c>
      <c r="B2802" t="s">
        <v>14665</v>
      </c>
      <c r="C2802" t="str">
        <f>"9780773514355"</f>
        <v>9780773514355</v>
      </c>
      <c r="D2802" t="str">
        <f>"9780773566194"</f>
        <v>9780773566194</v>
      </c>
      <c r="E2802" t="s">
        <v>12863</v>
      </c>
      <c r="F2802" t="s">
        <v>12863</v>
      </c>
      <c r="G2802" s="1">
        <v>35445</v>
      </c>
      <c r="J2802" t="s">
        <v>14666</v>
      </c>
      <c r="K2802" t="s">
        <v>7063</v>
      </c>
      <c r="L2802" t="s">
        <v>14667</v>
      </c>
      <c r="M2802">
        <v>327.7105694</v>
      </c>
      <c r="N2802" t="s">
        <v>14668</v>
      </c>
      <c r="O2802" t="s">
        <v>26</v>
      </c>
      <c r="P2802">
        <v>142.5</v>
      </c>
      <c r="Q2802">
        <v>118.75</v>
      </c>
      <c r="R2802">
        <v>95</v>
      </c>
      <c r="S2802">
        <v>142.5</v>
      </c>
      <c r="T2802" t="s">
        <v>14669</v>
      </c>
    </row>
    <row r="2803" spans="1:20">
      <c r="A2803">
        <v>3330856</v>
      </c>
      <c r="B2803" t="s">
        <v>14670</v>
      </c>
      <c r="C2803" t="str">
        <f>"9780773510005"</f>
        <v>9780773510005</v>
      </c>
      <c r="D2803" t="str">
        <f>"9780773563964"</f>
        <v>9780773563964</v>
      </c>
      <c r="E2803" t="s">
        <v>12863</v>
      </c>
      <c r="F2803" t="s">
        <v>12863</v>
      </c>
      <c r="G2803" s="1">
        <v>30103</v>
      </c>
      <c r="I2803" t="s">
        <v>12963</v>
      </c>
      <c r="J2803" t="s">
        <v>14671</v>
      </c>
      <c r="K2803" t="s">
        <v>1859</v>
      </c>
      <c r="L2803" t="s">
        <v>14258</v>
      </c>
      <c r="M2803">
        <v>194</v>
      </c>
      <c r="N2803" t="s">
        <v>14672</v>
      </c>
      <c r="O2803" t="s">
        <v>26</v>
      </c>
      <c r="P2803">
        <v>142.5</v>
      </c>
      <c r="Q2803">
        <v>118.75</v>
      </c>
      <c r="R2803">
        <v>95</v>
      </c>
      <c r="S2803">
        <v>142.5</v>
      </c>
      <c r="T2803" t="s">
        <v>14673</v>
      </c>
    </row>
    <row r="2804" spans="1:20">
      <c r="A2804">
        <v>3330857</v>
      </c>
      <c r="B2804" t="s">
        <v>14674</v>
      </c>
      <c r="C2804" t="str">
        <f>"9780773508224"</f>
        <v>9780773508224</v>
      </c>
      <c r="D2804" t="str">
        <f>"9780773562806"</f>
        <v>9780773562806</v>
      </c>
      <c r="E2804" t="s">
        <v>12863</v>
      </c>
      <c r="F2804" t="s">
        <v>12863</v>
      </c>
      <c r="G2804" s="1">
        <v>33298</v>
      </c>
      <c r="J2804" t="s">
        <v>13801</v>
      </c>
      <c r="K2804" t="s">
        <v>814</v>
      </c>
      <c r="L2804" t="s">
        <v>14675</v>
      </c>
      <c r="M2804">
        <v>306.34909676249998</v>
      </c>
      <c r="N2804" t="s">
        <v>14676</v>
      </c>
      <c r="O2804" t="s">
        <v>26</v>
      </c>
      <c r="P2804">
        <v>142.5</v>
      </c>
      <c r="Q2804">
        <v>118.75</v>
      </c>
      <c r="R2804">
        <v>95</v>
      </c>
      <c r="S2804">
        <v>142.5</v>
      </c>
      <c r="T2804" t="s">
        <v>14677</v>
      </c>
    </row>
    <row r="2805" spans="1:20">
      <c r="A2805">
        <v>3330858</v>
      </c>
      <c r="B2805" t="s">
        <v>14678</v>
      </c>
      <c r="C2805" t="str">
        <f>"9780773511385"</f>
        <v>9780773511385</v>
      </c>
      <c r="D2805" t="str">
        <f>"9780773564435"</f>
        <v>9780773564435</v>
      </c>
      <c r="E2805" t="s">
        <v>12863</v>
      </c>
      <c r="F2805" t="s">
        <v>12863</v>
      </c>
      <c r="G2805" s="1">
        <v>34394</v>
      </c>
      <c r="J2805" t="s">
        <v>14679</v>
      </c>
      <c r="K2805" t="s">
        <v>416</v>
      </c>
      <c r="L2805" t="s">
        <v>14680</v>
      </c>
      <c r="M2805">
        <v>332.10971000000001</v>
      </c>
      <c r="N2805" t="s">
        <v>14681</v>
      </c>
      <c r="O2805" t="s">
        <v>26</v>
      </c>
      <c r="P2805">
        <v>142.5</v>
      </c>
      <c r="Q2805">
        <v>118.75</v>
      </c>
      <c r="R2805">
        <v>95</v>
      </c>
      <c r="S2805">
        <v>142.5</v>
      </c>
      <c r="T2805" t="s">
        <v>14682</v>
      </c>
    </row>
    <row r="2806" spans="1:20">
      <c r="A2806">
        <v>3330859</v>
      </c>
      <c r="B2806" t="s">
        <v>14683</v>
      </c>
      <c r="C2806" t="str">
        <f>"9780773517233"</f>
        <v>9780773517233</v>
      </c>
      <c r="D2806" t="str">
        <f>"9780773567160"</f>
        <v>9780773567160</v>
      </c>
      <c r="E2806" t="s">
        <v>12863</v>
      </c>
      <c r="F2806" t="s">
        <v>12863</v>
      </c>
      <c r="G2806" s="1">
        <v>35948</v>
      </c>
      <c r="J2806" t="s">
        <v>14684</v>
      </c>
      <c r="K2806" t="s">
        <v>4347</v>
      </c>
      <c r="L2806" t="s">
        <v>14685</v>
      </c>
      <c r="M2806">
        <v>355.02089999999998</v>
      </c>
      <c r="N2806" t="s">
        <v>14686</v>
      </c>
      <c r="O2806" t="s">
        <v>26</v>
      </c>
      <c r="P2806">
        <v>142.5</v>
      </c>
      <c r="Q2806">
        <v>118.75</v>
      </c>
      <c r="R2806">
        <v>95</v>
      </c>
      <c r="S2806">
        <v>142.5</v>
      </c>
      <c r="T2806" t="s">
        <v>14687</v>
      </c>
    </row>
    <row r="2807" spans="1:20">
      <c r="A2807">
        <v>3330860</v>
      </c>
      <c r="B2807" t="s">
        <v>14688</v>
      </c>
      <c r="C2807" t="str">
        <f>"9780773510098"</f>
        <v>9780773510098</v>
      </c>
      <c r="D2807" t="str">
        <f>"9780773564046"</f>
        <v>9780773564046</v>
      </c>
      <c r="E2807" t="s">
        <v>12863</v>
      </c>
      <c r="F2807" t="s">
        <v>12863</v>
      </c>
      <c r="G2807" s="1">
        <v>38061</v>
      </c>
      <c r="I2807" t="s">
        <v>12963</v>
      </c>
      <c r="J2807" t="s">
        <v>14689</v>
      </c>
      <c r="K2807" t="s">
        <v>1859</v>
      </c>
      <c r="L2807" t="s">
        <v>14690</v>
      </c>
      <c r="M2807">
        <v>193</v>
      </c>
      <c r="N2807" t="s">
        <v>14691</v>
      </c>
      <c r="O2807" t="s">
        <v>26</v>
      </c>
      <c r="P2807">
        <v>127.5</v>
      </c>
      <c r="Q2807">
        <v>106.25</v>
      </c>
      <c r="R2807">
        <v>85</v>
      </c>
      <c r="S2807">
        <v>127.5</v>
      </c>
      <c r="T2807" t="s">
        <v>14692</v>
      </c>
    </row>
    <row r="2808" spans="1:20">
      <c r="A2808">
        <v>3330861</v>
      </c>
      <c r="B2808" t="s">
        <v>14693</v>
      </c>
      <c r="C2808" t="str">
        <f>"9780773511170"</f>
        <v>9780773511170</v>
      </c>
      <c r="D2808" t="str">
        <f>"9780773564282"</f>
        <v>9780773564282</v>
      </c>
      <c r="E2808" t="s">
        <v>12863</v>
      </c>
      <c r="F2808" t="s">
        <v>12863</v>
      </c>
      <c r="G2808" s="1">
        <v>34394</v>
      </c>
      <c r="I2808" t="s">
        <v>12942</v>
      </c>
      <c r="J2808" t="s">
        <v>14694</v>
      </c>
      <c r="K2808" t="s">
        <v>10089</v>
      </c>
      <c r="L2808" t="s">
        <v>14695</v>
      </c>
      <c r="M2808">
        <v>971.35900000000004</v>
      </c>
      <c r="N2808" t="s">
        <v>14696</v>
      </c>
      <c r="O2808" t="s">
        <v>26</v>
      </c>
      <c r="P2808">
        <v>142.5</v>
      </c>
      <c r="Q2808">
        <v>118.75</v>
      </c>
      <c r="R2808">
        <v>95</v>
      </c>
      <c r="S2808">
        <v>142.5</v>
      </c>
      <c r="T2808" t="s">
        <v>14697</v>
      </c>
    </row>
    <row r="2809" spans="1:20">
      <c r="A2809">
        <v>3330862</v>
      </c>
      <c r="B2809" t="s">
        <v>14698</v>
      </c>
      <c r="C2809" t="str">
        <f>"9780773511927"</f>
        <v>9780773511927</v>
      </c>
      <c r="D2809" t="str">
        <f>"9780773564756"</f>
        <v>9780773564756</v>
      </c>
      <c r="E2809" t="s">
        <v>12863</v>
      </c>
      <c r="F2809" t="s">
        <v>12863</v>
      </c>
      <c r="G2809" s="1">
        <v>34470</v>
      </c>
      <c r="J2809" t="s">
        <v>14699</v>
      </c>
      <c r="K2809" t="s">
        <v>467</v>
      </c>
      <c r="L2809" t="s">
        <v>14700</v>
      </c>
      <c r="M2809">
        <v>320.97109048999999</v>
      </c>
      <c r="N2809" t="s">
        <v>14701</v>
      </c>
      <c r="O2809" t="s">
        <v>26</v>
      </c>
      <c r="P2809">
        <v>127.5</v>
      </c>
      <c r="Q2809">
        <v>106.25</v>
      </c>
      <c r="R2809">
        <v>85</v>
      </c>
      <c r="S2809">
        <v>127.5</v>
      </c>
      <c r="T2809" t="s">
        <v>14702</v>
      </c>
    </row>
    <row r="2810" spans="1:20">
      <c r="A2810">
        <v>3330863</v>
      </c>
      <c r="B2810" t="s">
        <v>14703</v>
      </c>
      <c r="C2810" t="str">
        <f>"9780773509757"</f>
        <v>9780773509757</v>
      </c>
      <c r="D2810" t="str">
        <f>"9780773563766"</f>
        <v>9780773563766</v>
      </c>
      <c r="E2810" t="s">
        <v>12907</v>
      </c>
      <c r="F2810" t="s">
        <v>12907</v>
      </c>
      <c r="G2810" s="1">
        <v>34059</v>
      </c>
      <c r="J2810" t="s">
        <v>14704</v>
      </c>
      <c r="K2810" t="s">
        <v>3848</v>
      </c>
      <c r="L2810" t="s">
        <v>14705</v>
      </c>
      <c r="M2810">
        <v>810.94927199999995</v>
      </c>
      <c r="N2810" t="s">
        <v>14706</v>
      </c>
      <c r="O2810" t="s">
        <v>26</v>
      </c>
      <c r="P2810">
        <v>142.5</v>
      </c>
      <c r="Q2810">
        <v>118.75</v>
      </c>
      <c r="R2810">
        <v>95</v>
      </c>
      <c r="S2810">
        <v>142.5</v>
      </c>
      <c r="T2810" t="s">
        <v>14707</v>
      </c>
    </row>
    <row r="2811" spans="1:20">
      <c r="A2811">
        <v>3330864</v>
      </c>
      <c r="B2811" t="s">
        <v>14708</v>
      </c>
      <c r="C2811" t="str">
        <f>"9780773511576"</f>
        <v>9780773511576</v>
      </c>
      <c r="D2811" t="str">
        <f>"9780773564503"</f>
        <v>9780773564503</v>
      </c>
      <c r="E2811" t="s">
        <v>12863</v>
      </c>
      <c r="F2811" t="s">
        <v>12863</v>
      </c>
      <c r="G2811" s="1">
        <v>34424</v>
      </c>
      <c r="J2811" t="s">
        <v>14709</v>
      </c>
      <c r="K2811" t="s">
        <v>291</v>
      </c>
      <c r="L2811" t="s">
        <v>14710</v>
      </c>
      <c r="M2811">
        <v>941.50599999999997</v>
      </c>
      <c r="N2811" t="s">
        <v>14711</v>
      </c>
      <c r="O2811" t="s">
        <v>26</v>
      </c>
      <c r="P2811">
        <v>142.5</v>
      </c>
      <c r="Q2811">
        <v>118.75</v>
      </c>
      <c r="R2811">
        <v>95</v>
      </c>
      <c r="S2811">
        <v>142.5</v>
      </c>
      <c r="T2811" t="s">
        <v>14712</v>
      </c>
    </row>
    <row r="2812" spans="1:20">
      <c r="A2812">
        <v>3330865</v>
      </c>
      <c r="B2812" t="s">
        <v>14713</v>
      </c>
      <c r="C2812" t="str">
        <f>"9780773506954"</f>
        <v>9780773506954</v>
      </c>
      <c r="D2812" t="str">
        <f>"9780773561977"</f>
        <v>9780773561977</v>
      </c>
      <c r="E2812" t="s">
        <v>12863</v>
      </c>
      <c r="F2812" t="s">
        <v>12863</v>
      </c>
      <c r="G2812" s="1">
        <v>32721</v>
      </c>
      <c r="I2812" t="s">
        <v>12886</v>
      </c>
      <c r="J2812" t="s">
        <v>14714</v>
      </c>
      <c r="K2812" t="s">
        <v>1892</v>
      </c>
      <c r="L2812" t="s">
        <v>14715</v>
      </c>
      <c r="M2812">
        <v>287.63209239999998</v>
      </c>
      <c r="N2812" t="s">
        <v>14716</v>
      </c>
      <c r="O2812" t="s">
        <v>26</v>
      </c>
      <c r="P2812">
        <v>142.5</v>
      </c>
      <c r="Q2812">
        <v>118.75</v>
      </c>
      <c r="R2812">
        <v>95</v>
      </c>
      <c r="S2812">
        <v>142.5</v>
      </c>
      <c r="T2812" t="s">
        <v>14717</v>
      </c>
    </row>
    <row r="2813" spans="1:20">
      <c r="A2813">
        <v>3330866</v>
      </c>
      <c r="B2813" t="s">
        <v>14718</v>
      </c>
      <c r="C2813" t="str">
        <f>"9780773518339"</f>
        <v>9780773518339</v>
      </c>
      <c r="D2813" t="str">
        <f>"9780773567719"</f>
        <v>9780773567719</v>
      </c>
      <c r="E2813" t="s">
        <v>12863</v>
      </c>
      <c r="F2813" t="s">
        <v>12863</v>
      </c>
      <c r="G2813" s="1">
        <v>36420</v>
      </c>
      <c r="I2813" t="s">
        <v>12864</v>
      </c>
      <c r="J2813" t="s">
        <v>14719</v>
      </c>
      <c r="K2813" t="s">
        <v>14720</v>
      </c>
      <c r="L2813" t="s">
        <v>14721</v>
      </c>
      <c r="M2813">
        <v>614.54209714000001</v>
      </c>
      <c r="N2813" t="s">
        <v>14722</v>
      </c>
      <c r="O2813" t="s">
        <v>26</v>
      </c>
      <c r="P2813">
        <v>142.5</v>
      </c>
      <c r="Q2813">
        <v>118.75</v>
      </c>
      <c r="R2813">
        <v>95</v>
      </c>
      <c r="S2813">
        <v>142.5</v>
      </c>
      <c r="T2813" t="s">
        <v>14723</v>
      </c>
    </row>
    <row r="2814" spans="1:20">
      <c r="A2814">
        <v>3330867</v>
      </c>
      <c r="B2814" t="s">
        <v>14724</v>
      </c>
      <c r="C2814" t="str">
        <f>"9780773514393"</f>
        <v>9780773514393</v>
      </c>
      <c r="D2814" t="str">
        <f>"9780773566224"</f>
        <v>9780773566224</v>
      </c>
      <c r="E2814" t="s">
        <v>12863</v>
      </c>
      <c r="F2814" t="s">
        <v>12863</v>
      </c>
      <c r="G2814" s="1">
        <v>35331</v>
      </c>
      <c r="J2814" t="s">
        <v>14725</v>
      </c>
      <c r="K2814" t="s">
        <v>473</v>
      </c>
      <c r="L2814" t="s">
        <v>14726</v>
      </c>
      <c r="M2814">
        <v>320.53209199999998</v>
      </c>
      <c r="N2814" t="s">
        <v>14727</v>
      </c>
      <c r="O2814" t="s">
        <v>26</v>
      </c>
      <c r="P2814">
        <v>142.5</v>
      </c>
      <c r="Q2814">
        <v>118.75</v>
      </c>
      <c r="R2814">
        <v>95</v>
      </c>
      <c r="S2814">
        <v>142.5</v>
      </c>
      <c r="T2814" t="s">
        <v>14728</v>
      </c>
    </row>
    <row r="2815" spans="1:20">
      <c r="A2815">
        <v>3330868</v>
      </c>
      <c r="B2815" t="s">
        <v>14729</v>
      </c>
      <c r="C2815" t="str">
        <f>"9780773508576"</f>
        <v>9780773508576</v>
      </c>
      <c r="D2815" t="str">
        <f>"9780773563063"</f>
        <v>9780773563063</v>
      </c>
      <c r="E2815" t="s">
        <v>12863</v>
      </c>
      <c r="F2815" t="s">
        <v>12863</v>
      </c>
      <c r="G2815" s="1">
        <v>33420</v>
      </c>
      <c r="J2815" t="s">
        <v>14730</v>
      </c>
      <c r="K2815" t="s">
        <v>263</v>
      </c>
      <c r="L2815" t="s">
        <v>14731</v>
      </c>
      <c r="M2815">
        <v>305.42092000000002</v>
      </c>
      <c r="N2815" t="s">
        <v>14732</v>
      </c>
      <c r="O2815" t="s">
        <v>26</v>
      </c>
      <c r="P2815">
        <v>142.5</v>
      </c>
      <c r="Q2815">
        <v>118.75</v>
      </c>
      <c r="R2815">
        <v>95</v>
      </c>
      <c r="S2815">
        <v>142.5</v>
      </c>
      <c r="T2815" t="s">
        <v>14733</v>
      </c>
    </row>
    <row r="2816" spans="1:20">
      <c r="A2816">
        <v>3330869</v>
      </c>
      <c r="B2816" t="s">
        <v>14734</v>
      </c>
      <c r="C2816" t="str">
        <f>"9780773509603"</f>
        <v>9780773509603</v>
      </c>
      <c r="D2816" t="str">
        <f>"9780773563704"</f>
        <v>9780773563704</v>
      </c>
      <c r="E2816" t="s">
        <v>12863</v>
      </c>
      <c r="F2816" t="s">
        <v>12863</v>
      </c>
      <c r="G2816" s="1">
        <v>34191</v>
      </c>
      <c r="J2816" t="s">
        <v>14735</v>
      </c>
      <c r="K2816" t="s">
        <v>2260</v>
      </c>
      <c r="L2816" t="s">
        <v>14736</v>
      </c>
      <c r="M2816" t="s">
        <v>14737</v>
      </c>
      <c r="N2816" t="s">
        <v>14738</v>
      </c>
      <c r="O2816" t="s">
        <v>26</v>
      </c>
      <c r="P2816">
        <v>150</v>
      </c>
      <c r="Q2816">
        <v>125</v>
      </c>
      <c r="R2816">
        <v>100</v>
      </c>
      <c r="S2816">
        <v>150</v>
      </c>
      <c r="T2816" t="s">
        <v>14739</v>
      </c>
    </row>
    <row r="2817" spans="1:20">
      <c r="A2817">
        <v>3330870</v>
      </c>
      <c r="B2817" t="s">
        <v>14740</v>
      </c>
      <c r="C2817" t="str">
        <f>"9780773516618"</f>
        <v>9780773516618</v>
      </c>
      <c r="D2817" t="str">
        <f>"9780773566811"</f>
        <v>9780773566811</v>
      </c>
      <c r="E2817" t="s">
        <v>12863</v>
      </c>
      <c r="F2817" t="s">
        <v>12863</v>
      </c>
      <c r="G2817" s="1">
        <v>35760</v>
      </c>
      <c r="I2817" t="s">
        <v>12886</v>
      </c>
      <c r="J2817" t="s">
        <v>14741</v>
      </c>
      <c r="K2817" t="s">
        <v>1464</v>
      </c>
      <c r="L2817" t="s">
        <v>14742</v>
      </c>
      <c r="M2817">
        <v>809.93384000000003</v>
      </c>
      <c r="N2817" t="s">
        <v>14743</v>
      </c>
      <c r="O2817" t="s">
        <v>26</v>
      </c>
      <c r="P2817">
        <v>142.5</v>
      </c>
      <c r="Q2817">
        <v>118.75</v>
      </c>
      <c r="R2817">
        <v>95</v>
      </c>
      <c r="S2817">
        <v>142.5</v>
      </c>
      <c r="T2817" t="s">
        <v>14744</v>
      </c>
    </row>
    <row r="2818" spans="1:20">
      <c r="A2818">
        <v>3330871</v>
      </c>
      <c r="B2818" t="s">
        <v>14745</v>
      </c>
      <c r="C2818" t="str">
        <f>"9780773515420"</f>
        <v>9780773515420</v>
      </c>
      <c r="D2818" t="str">
        <f>"9780773566453"</f>
        <v>9780773566453</v>
      </c>
      <c r="E2818" t="s">
        <v>12863</v>
      </c>
      <c r="F2818" t="s">
        <v>12863</v>
      </c>
      <c r="G2818" s="1">
        <v>35531</v>
      </c>
      <c r="J2818" t="s">
        <v>14746</v>
      </c>
      <c r="K2818" t="s">
        <v>1859</v>
      </c>
      <c r="L2818" t="s">
        <v>14747</v>
      </c>
      <c r="M2818">
        <v>160</v>
      </c>
      <c r="N2818" t="s">
        <v>14748</v>
      </c>
      <c r="O2818" t="s">
        <v>26</v>
      </c>
      <c r="P2818">
        <v>142.5</v>
      </c>
      <c r="Q2818">
        <v>118.75</v>
      </c>
      <c r="R2818">
        <v>95</v>
      </c>
      <c r="S2818">
        <v>142.5</v>
      </c>
      <c r="T2818" t="s">
        <v>14749</v>
      </c>
    </row>
    <row r="2819" spans="1:20">
      <c r="A2819">
        <v>3330872</v>
      </c>
      <c r="B2819" t="s">
        <v>14750</v>
      </c>
      <c r="C2819" t="str">
        <f>"9780773505575"</f>
        <v>9780773505575</v>
      </c>
      <c r="D2819" t="str">
        <f>"9780773561113"</f>
        <v>9780773561113</v>
      </c>
      <c r="E2819" t="s">
        <v>12863</v>
      </c>
      <c r="F2819" t="s">
        <v>12863</v>
      </c>
      <c r="G2819" s="1">
        <v>31656</v>
      </c>
      <c r="J2819" t="s">
        <v>14751</v>
      </c>
      <c r="K2819" t="s">
        <v>550</v>
      </c>
      <c r="L2819" t="s">
        <v>14752</v>
      </c>
      <c r="M2819">
        <v>368.42009710000002</v>
      </c>
      <c r="N2819" t="s">
        <v>14753</v>
      </c>
      <c r="O2819" t="s">
        <v>26</v>
      </c>
      <c r="P2819">
        <v>142.5</v>
      </c>
      <c r="Q2819">
        <v>118.75</v>
      </c>
      <c r="R2819">
        <v>95</v>
      </c>
      <c r="S2819">
        <v>142.5</v>
      </c>
      <c r="T2819" t="s">
        <v>14754</v>
      </c>
    </row>
    <row r="2820" spans="1:20">
      <c r="A2820">
        <v>3330873</v>
      </c>
      <c r="B2820" t="s">
        <v>14755</v>
      </c>
      <c r="C2820" t="str">
        <f>"9780773507845"</f>
        <v>9780773507845</v>
      </c>
      <c r="D2820" t="str">
        <f>"9780773562639"</f>
        <v>9780773562639</v>
      </c>
      <c r="E2820" t="s">
        <v>12863</v>
      </c>
      <c r="F2820" t="s">
        <v>12863</v>
      </c>
      <c r="G2820" s="1">
        <v>33147</v>
      </c>
      <c r="J2820" t="s">
        <v>14756</v>
      </c>
      <c r="K2820" t="s">
        <v>14757</v>
      </c>
      <c r="L2820" t="s">
        <v>14758</v>
      </c>
      <c r="M2820">
        <v>327.10000000000002</v>
      </c>
      <c r="N2820" t="s">
        <v>14759</v>
      </c>
      <c r="O2820" t="s">
        <v>26</v>
      </c>
      <c r="P2820">
        <v>142.5</v>
      </c>
      <c r="Q2820">
        <v>118.75</v>
      </c>
      <c r="R2820">
        <v>95</v>
      </c>
      <c r="S2820">
        <v>142.5</v>
      </c>
      <c r="T2820" t="s">
        <v>14760</v>
      </c>
    </row>
    <row r="2821" spans="1:20">
      <c r="A2821">
        <v>3330874</v>
      </c>
      <c r="B2821" t="s">
        <v>14761</v>
      </c>
      <c r="C2821" t="str">
        <f>"9780773509399"</f>
        <v>9780773509399</v>
      </c>
      <c r="D2821" t="str">
        <f>"9780773563612"</f>
        <v>9780773563612</v>
      </c>
      <c r="E2821" t="s">
        <v>12863</v>
      </c>
      <c r="F2821" t="s">
        <v>12863</v>
      </c>
      <c r="G2821" s="1">
        <v>33917</v>
      </c>
      <c r="J2821" t="s">
        <v>14762</v>
      </c>
      <c r="K2821" t="s">
        <v>1464</v>
      </c>
      <c r="L2821" t="s">
        <v>14763</v>
      </c>
      <c r="M2821">
        <v>813.54093499999999</v>
      </c>
      <c r="N2821" t="s">
        <v>14764</v>
      </c>
      <c r="O2821" t="s">
        <v>26</v>
      </c>
      <c r="P2821">
        <v>142.5</v>
      </c>
      <c r="Q2821">
        <v>118.75</v>
      </c>
      <c r="R2821">
        <v>95</v>
      </c>
      <c r="S2821">
        <v>142.5</v>
      </c>
      <c r="T2821" t="s">
        <v>14765</v>
      </c>
    </row>
    <row r="2822" spans="1:20">
      <c r="A2822">
        <v>3330875</v>
      </c>
      <c r="B2822" t="s">
        <v>14766</v>
      </c>
      <c r="C2822" t="str">
        <f>"9780773505711"</f>
        <v>9780773505711</v>
      </c>
      <c r="D2822" t="str">
        <f>"9780773561205"</f>
        <v>9780773561205</v>
      </c>
      <c r="E2822" t="s">
        <v>12863</v>
      </c>
      <c r="F2822" t="s">
        <v>12863</v>
      </c>
      <c r="G2822" s="1">
        <v>31990</v>
      </c>
      <c r="J2822" t="s">
        <v>14767</v>
      </c>
      <c r="K2822" t="s">
        <v>1464</v>
      </c>
      <c r="L2822" t="s">
        <v>14768</v>
      </c>
      <c r="M2822" t="s">
        <v>14769</v>
      </c>
      <c r="N2822" t="s">
        <v>14770</v>
      </c>
      <c r="O2822" t="s">
        <v>26</v>
      </c>
      <c r="P2822">
        <v>127.5</v>
      </c>
      <c r="Q2822">
        <v>106.25</v>
      </c>
      <c r="R2822">
        <v>85</v>
      </c>
      <c r="S2822">
        <v>127.5</v>
      </c>
      <c r="T2822" t="s">
        <v>14771</v>
      </c>
    </row>
    <row r="2823" spans="1:20">
      <c r="A2823">
        <v>3330876</v>
      </c>
      <c r="B2823" t="s">
        <v>14772</v>
      </c>
      <c r="C2823" t="str">
        <f>"9780773515024"</f>
        <v>9780773515024</v>
      </c>
      <c r="D2823" t="str">
        <f>"9780773566286"</f>
        <v>9780773566286</v>
      </c>
      <c r="E2823" t="s">
        <v>12863</v>
      </c>
      <c r="F2823" t="s">
        <v>12863</v>
      </c>
      <c r="G2823" s="1">
        <v>35395</v>
      </c>
      <c r="J2823" t="s">
        <v>14773</v>
      </c>
      <c r="K2823" t="s">
        <v>278</v>
      </c>
      <c r="L2823" t="s">
        <v>14382</v>
      </c>
      <c r="M2823">
        <v>330.9710647</v>
      </c>
      <c r="N2823" t="s">
        <v>14774</v>
      </c>
      <c r="O2823" t="s">
        <v>26</v>
      </c>
      <c r="P2823">
        <v>142.5</v>
      </c>
      <c r="Q2823">
        <v>118.75</v>
      </c>
      <c r="R2823">
        <v>95</v>
      </c>
      <c r="S2823">
        <v>142.5</v>
      </c>
      <c r="T2823" t="s">
        <v>14775</v>
      </c>
    </row>
    <row r="2824" spans="1:20">
      <c r="A2824">
        <v>3330877</v>
      </c>
      <c r="B2824" t="s">
        <v>14776</v>
      </c>
      <c r="C2824" t="str">
        <f>"9780773509597"</f>
        <v>9780773509597</v>
      </c>
      <c r="D2824" t="str">
        <f>"9780773563698"</f>
        <v>9780773563698</v>
      </c>
      <c r="E2824" t="s">
        <v>12863</v>
      </c>
      <c r="F2824" t="s">
        <v>12863</v>
      </c>
      <c r="G2824" s="1">
        <v>34117</v>
      </c>
      <c r="J2824" t="s">
        <v>14777</v>
      </c>
      <c r="K2824" t="s">
        <v>1892</v>
      </c>
      <c r="L2824" t="s">
        <v>14778</v>
      </c>
      <c r="M2824">
        <v>289.64150000000001</v>
      </c>
      <c r="N2824" t="s">
        <v>14779</v>
      </c>
      <c r="O2824" t="s">
        <v>26</v>
      </c>
      <c r="P2824">
        <v>142.5</v>
      </c>
      <c r="Q2824">
        <v>118.75</v>
      </c>
      <c r="R2824">
        <v>95</v>
      </c>
      <c r="S2824">
        <v>142.5</v>
      </c>
      <c r="T2824" t="s">
        <v>14780</v>
      </c>
    </row>
    <row r="2825" spans="1:20">
      <c r="A2825">
        <v>3330878</v>
      </c>
      <c r="B2825" t="s">
        <v>14781</v>
      </c>
      <c r="C2825" t="str">
        <f>"9780773517868"</f>
        <v>9780773517868</v>
      </c>
      <c r="D2825" t="str">
        <f>"9780773567443"</f>
        <v>9780773567443</v>
      </c>
      <c r="E2825" t="s">
        <v>12907</v>
      </c>
      <c r="F2825" t="s">
        <v>12907</v>
      </c>
      <c r="G2825" s="1">
        <v>35822</v>
      </c>
      <c r="J2825" t="s">
        <v>14782</v>
      </c>
      <c r="K2825" t="s">
        <v>1464</v>
      </c>
      <c r="L2825" t="s">
        <v>14783</v>
      </c>
      <c r="M2825">
        <v>813.3</v>
      </c>
      <c r="N2825" t="s">
        <v>14784</v>
      </c>
      <c r="O2825" t="s">
        <v>26</v>
      </c>
      <c r="P2825">
        <v>142.5</v>
      </c>
      <c r="Q2825">
        <v>118.75</v>
      </c>
      <c r="R2825">
        <v>95</v>
      </c>
      <c r="S2825">
        <v>142.5</v>
      </c>
      <c r="T2825" t="s">
        <v>14785</v>
      </c>
    </row>
    <row r="2826" spans="1:20">
      <c r="A2826">
        <v>3330879</v>
      </c>
      <c r="B2826" t="s">
        <v>14786</v>
      </c>
      <c r="C2826" t="str">
        <f>"9780773518407"</f>
        <v>9780773518407</v>
      </c>
      <c r="D2826" t="str">
        <f>"9780773567764"</f>
        <v>9780773567764</v>
      </c>
      <c r="E2826" t="s">
        <v>12863</v>
      </c>
      <c r="F2826" t="s">
        <v>12863</v>
      </c>
      <c r="G2826" s="1">
        <v>36305</v>
      </c>
      <c r="J2826" t="s">
        <v>14787</v>
      </c>
      <c r="K2826" t="s">
        <v>291</v>
      </c>
      <c r="L2826" t="s">
        <v>14788</v>
      </c>
      <c r="M2826">
        <v>971.06430920000003</v>
      </c>
      <c r="N2826" t="s">
        <v>14789</v>
      </c>
      <c r="O2826" t="s">
        <v>26</v>
      </c>
      <c r="P2826">
        <v>142.5</v>
      </c>
      <c r="Q2826">
        <v>118.75</v>
      </c>
      <c r="R2826">
        <v>95</v>
      </c>
      <c r="S2826">
        <v>142.5</v>
      </c>
      <c r="T2826" t="s">
        <v>14790</v>
      </c>
    </row>
    <row r="2827" spans="1:20">
      <c r="A2827">
        <v>3330880</v>
      </c>
      <c r="B2827" t="s">
        <v>14791</v>
      </c>
      <c r="C2827" t="str">
        <f>"9780773518193"</f>
        <v>9780773518193</v>
      </c>
      <c r="D2827" t="str">
        <f>"9780773567634"</f>
        <v>9780773567634</v>
      </c>
      <c r="E2827" t="s">
        <v>12863</v>
      </c>
      <c r="F2827" t="s">
        <v>12863</v>
      </c>
      <c r="G2827" s="1">
        <v>36119</v>
      </c>
      <c r="J2827" t="s">
        <v>14792</v>
      </c>
      <c r="K2827" t="s">
        <v>291</v>
      </c>
      <c r="L2827" t="s">
        <v>14793</v>
      </c>
      <c r="M2827">
        <v>973.72</v>
      </c>
      <c r="N2827" t="s">
        <v>14794</v>
      </c>
      <c r="O2827" t="s">
        <v>26</v>
      </c>
      <c r="P2827">
        <v>142.5</v>
      </c>
      <c r="Q2827">
        <v>118.75</v>
      </c>
      <c r="R2827">
        <v>95</v>
      </c>
      <c r="S2827">
        <v>142.5</v>
      </c>
      <c r="T2827" t="s">
        <v>14795</v>
      </c>
    </row>
    <row r="2828" spans="1:20">
      <c r="A2828">
        <v>3330881</v>
      </c>
      <c r="B2828" t="s">
        <v>14796</v>
      </c>
      <c r="C2828" t="str">
        <f>"9780773509580"</f>
        <v>9780773509580</v>
      </c>
      <c r="D2828" t="str">
        <f>"9780773563681"</f>
        <v>9780773563681</v>
      </c>
      <c r="E2828" t="s">
        <v>12863</v>
      </c>
      <c r="F2828" t="s">
        <v>12863</v>
      </c>
      <c r="G2828" s="1">
        <v>34108</v>
      </c>
      <c r="J2828" t="s">
        <v>14797</v>
      </c>
      <c r="K2828" t="s">
        <v>473</v>
      </c>
      <c r="L2828" t="s">
        <v>14798</v>
      </c>
      <c r="M2828" t="s">
        <v>14799</v>
      </c>
      <c r="N2828" t="s">
        <v>14800</v>
      </c>
      <c r="O2828" t="s">
        <v>26</v>
      </c>
      <c r="P2828">
        <v>127.5</v>
      </c>
      <c r="Q2828">
        <v>106.25</v>
      </c>
      <c r="R2828">
        <v>85</v>
      </c>
      <c r="S2828">
        <v>127.5</v>
      </c>
      <c r="T2828" t="s">
        <v>14801</v>
      </c>
    </row>
    <row r="2829" spans="1:20">
      <c r="A2829">
        <v>3330882</v>
      </c>
      <c r="B2829" t="s">
        <v>14802</v>
      </c>
      <c r="C2829" t="str">
        <f>"9780773510074"</f>
        <v>9780773510074</v>
      </c>
      <c r="D2829" t="str">
        <f>"9780773564022"</f>
        <v>9780773564022</v>
      </c>
      <c r="E2829" t="s">
        <v>12863</v>
      </c>
      <c r="F2829" t="s">
        <v>12863</v>
      </c>
      <c r="G2829" s="1">
        <v>30956</v>
      </c>
      <c r="I2829" t="s">
        <v>12963</v>
      </c>
      <c r="J2829" t="s">
        <v>14803</v>
      </c>
      <c r="K2829" t="s">
        <v>1859</v>
      </c>
      <c r="L2829" t="s">
        <v>14804</v>
      </c>
      <c r="M2829">
        <v>192</v>
      </c>
      <c r="N2829" t="s">
        <v>14805</v>
      </c>
      <c r="O2829" t="s">
        <v>26</v>
      </c>
      <c r="P2829">
        <v>142.5</v>
      </c>
      <c r="Q2829">
        <v>118.75</v>
      </c>
      <c r="R2829">
        <v>95</v>
      </c>
      <c r="S2829">
        <v>142.5</v>
      </c>
      <c r="T2829" t="s">
        <v>14806</v>
      </c>
    </row>
    <row r="2830" spans="1:20">
      <c r="A2830">
        <v>3330883</v>
      </c>
      <c r="B2830" t="s">
        <v>14807</v>
      </c>
      <c r="C2830" t="str">
        <f>"9780773516632"</f>
        <v>9780773516632</v>
      </c>
      <c r="D2830" t="str">
        <f>"9780773566835"</f>
        <v>9780773566835</v>
      </c>
      <c r="E2830" t="s">
        <v>12863</v>
      </c>
      <c r="F2830" t="s">
        <v>12863</v>
      </c>
      <c r="G2830" s="1">
        <v>35692</v>
      </c>
      <c r="J2830" t="s">
        <v>14808</v>
      </c>
      <c r="K2830" t="s">
        <v>291</v>
      </c>
      <c r="L2830" t="s">
        <v>14809</v>
      </c>
      <c r="M2830">
        <v>940.530820941</v>
      </c>
      <c r="N2830" t="s">
        <v>14810</v>
      </c>
      <c r="O2830" t="s">
        <v>26</v>
      </c>
      <c r="P2830">
        <v>41.93</v>
      </c>
      <c r="Q2830">
        <v>34.94</v>
      </c>
      <c r="R2830">
        <v>27.95</v>
      </c>
      <c r="S2830">
        <v>41.93</v>
      </c>
      <c r="T2830" t="s">
        <v>14811</v>
      </c>
    </row>
    <row r="2831" spans="1:20">
      <c r="A2831">
        <v>3330884</v>
      </c>
      <c r="B2831" t="s">
        <v>14812</v>
      </c>
      <c r="C2831" t="str">
        <f>"9780773514478"</f>
        <v>9780773514478</v>
      </c>
      <c r="D2831" t="str">
        <f>"9780773566262"</f>
        <v>9780773566262</v>
      </c>
      <c r="E2831" t="s">
        <v>12863</v>
      </c>
      <c r="F2831" t="s">
        <v>12863</v>
      </c>
      <c r="G2831" s="1">
        <v>35480</v>
      </c>
      <c r="J2831" t="s">
        <v>14813</v>
      </c>
      <c r="K2831" t="s">
        <v>6444</v>
      </c>
      <c r="L2831" t="s">
        <v>13100</v>
      </c>
      <c r="M2831">
        <v>320.60971000000001</v>
      </c>
      <c r="N2831" t="s">
        <v>14814</v>
      </c>
      <c r="O2831" t="s">
        <v>26</v>
      </c>
      <c r="P2831">
        <v>142.5</v>
      </c>
      <c r="Q2831">
        <v>118.75</v>
      </c>
      <c r="R2831">
        <v>95</v>
      </c>
      <c r="S2831">
        <v>142.5</v>
      </c>
      <c r="T2831" t="s">
        <v>14815</v>
      </c>
    </row>
    <row r="2832" spans="1:20">
      <c r="A2832">
        <v>3330885</v>
      </c>
      <c r="B2832" t="s">
        <v>14816</v>
      </c>
      <c r="C2832" t="str">
        <f>"9780773509139"</f>
        <v>9780773509139</v>
      </c>
      <c r="D2832" t="str">
        <f>"9780773563445"</f>
        <v>9780773563445</v>
      </c>
      <c r="E2832" t="s">
        <v>12863</v>
      </c>
      <c r="F2832" t="s">
        <v>12863</v>
      </c>
      <c r="G2832" s="1">
        <v>34001</v>
      </c>
      <c r="J2832" t="s">
        <v>12450</v>
      </c>
      <c r="K2832" t="s">
        <v>291</v>
      </c>
      <c r="L2832" t="s">
        <v>14817</v>
      </c>
      <c r="M2832">
        <v>968.04840000000002</v>
      </c>
      <c r="N2832" t="s">
        <v>14818</v>
      </c>
      <c r="O2832" t="s">
        <v>26</v>
      </c>
      <c r="P2832">
        <v>142.5</v>
      </c>
      <c r="Q2832">
        <v>118.75</v>
      </c>
      <c r="R2832">
        <v>95</v>
      </c>
      <c r="S2832">
        <v>142.5</v>
      </c>
      <c r="T2832" t="s">
        <v>14819</v>
      </c>
    </row>
    <row r="2833" spans="1:20">
      <c r="A2833">
        <v>3330886</v>
      </c>
      <c r="B2833" t="s">
        <v>14820</v>
      </c>
      <c r="C2833" t="str">
        <f>"9780773507029"</f>
        <v>9780773507029</v>
      </c>
      <c r="D2833" t="str">
        <f>"9780773562042"</f>
        <v>9780773562042</v>
      </c>
      <c r="E2833" t="s">
        <v>12863</v>
      </c>
      <c r="F2833" t="s">
        <v>12863</v>
      </c>
      <c r="G2833" s="1">
        <v>32752</v>
      </c>
      <c r="I2833" t="s">
        <v>12871</v>
      </c>
      <c r="J2833" t="s">
        <v>14821</v>
      </c>
      <c r="K2833" t="s">
        <v>14822</v>
      </c>
      <c r="L2833" t="s">
        <v>14823</v>
      </c>
      <c r="M2833" t="s">
        <v>14824</v>
      </c>
      <c r="N2833" t="s">
        <v>14825</v>
      </c>
      <c r="O2833" t="s">
        <v>26</v>
      </c>
      <c r="P2833">
        <v>142.5</v>
      </c>
      <c r="Q2833">
        <v>118.75</v>
      </c>
      <c r="R2833">
        <v>95</v>
      </c>
      <c r="S2833">
        <v>142.5</v>
      </c>
      <c r="T2833" t="s">
        <v>14826</v>
      </c>
    </row>
    <row r="2834" spans="1:20">
      <c r="A2834">
        <v>3330887</v>
      </c>
      <c r="B2834" t="s">
        <v>14827</v>
      </c>
      <c r="C2834" t="str">
        <f>"9780773516700"</f>
        <v>9780773516700</v>
      </c>
      <c r="D2834" t="str">
        <f>"9780773566897"</f>
        <v>9780773566897</v>
      </c>
      <c r="E2834" t="s">
        <v>12863</v>
      </c>
      <c r="F2834" t="s">
        <v>12863</v>
      </c>
      <c r="G2834" s="1">
        <v>35902</v>
      </c>
      <c r="J2834" t="s">
        <v>14828</v>
      </c>
      <c r="K2834" t="s">
        <v>1464</v>
      </c>
      <c r="L2834" t="s">
        <v>14829</v>
      </c>
      <c r="M2834">
        <v>823.91200000000003</v>
      </c>
      <c r="N2834" t="s">
        <v>14830</v>
      </c>
      <c r="O2834" t="s">
        <v>26</v>
      </c>
      <c r="P2834">
        <v>142.5</v>
      </c>
      <c r="Q2834">
        <v>118.75</v>
      </c>
      <c r="R2834">
        <v>95</v>
      </c>
      <c r="S2834">
        <v>142.5</v>
      </c>
      <c r="T2834" t="s">
        <v>14831</v>
      </c>
    </row>
    <row r="2835" spans="1:20">
      <c r="A2835">
        <v>3330888</v>
      </c>
      <c r="B2835" t="s">
        <v>14832</v>
      </c>
      <c r="C2835" t="str">
        <f>"9780773506404"</f>
        <v>9780773506404</v>
      </c>
      <c r="D2835" t="str">
        <f>"9780773561564"</f>
        <v>9780773561564</v>
      </c>
      <c r="E2835" t="s">
        <v>12863</v>
      </c>
      <c r="F2835" t="s">
        <v>12863</v>
      </c>
      <c r="G2835" s="1">
        <v>32325</v>
      </c>
      <c r="J2835" t="s">
        <v>14833</v>
      </c>
      <c r="K2835" t="s">
        <v>1464</v>
      </c>
      <c r="L2835" t="s">
        <v>14834</v>
      </c>
      <c r="M2835">
        <v>809.93352042000004</v>
      </c>
      <c r="N2835" t="s">
        <v>14835</v>
      </c>
      <c r="O2835" t="s">
        <v>26</v>
      </c>
      <c r="P2835">
        <v>142.5</v>
      </c>
      <c r="Q2835">
        <v>118.75</v>
      </c>
      <c r="R2835">
        <v>95</v>
      </c>
      <c r="S2835">
        <v>142.5</v>
      </c>
      <c r="T2835" t="s">
        <v>14836</v>
      </c>
    </row>
    <row r="2836" spans="1:20">
      <c r="A2836">
        <v>3330889</v>
      </c>
      <c r="B2836" t="s">
        <v>14837</v>
      </c>
      <c r="C2836" t="str">
        <f>"9780773511736"</f>
        <v>9780773511736</v>
      </c>
      <c r="D2836" t="str">
        <f>"9780773564633"</f>
        <v>9780773564633</v>
      </c>
      <c r="E2836" t="s">
        <v>12863</v>
      </c>
      <c r="F2836" t="s">
        <v>12863</v>
      </c>
      <c r="G2836" s="1">
        <v>34443</v>
      </c>
      <c r="I2836" t="s">
        <v>12942</v>
      </c>
      <c r="J2836" t="s">
        <v>14838</v>
      </c>
      <c r="K2836" t="s">
        <v>291</v>
      </c>
      <c r="L2836" t="s">
        <v>14839</v>
      </c>
      <c r="M2836">
        <v>971</v>
      </c>
      <c r="N2836" t="s">
        <v>14840</v>
      </c>
      <c r="O2836" t="s">
        <v>26</v>
      </c>
      <c r="P2836">
        <v>142.5</v>
      </c>
      <c r="Q2836">
        <v>118.75</v>
      </c>
      <c r="R2836">
        <v>95</v>
      </c>
      <c r="S2836">
        <v>142.5</v>
      </c>
      <c r="T2836" t="s">
        <v>14841</v>
      </c>
    </row>
    <row r="2837" spans="1:20">
      <c r="A2837">
        <v>3330890</v>
      </c>
      <c r="B2837" t="s">
        <v>14842</v>
      </c>
      <c r="C2837" t="str">
        <f>"9780773516922"</f>
        <v>9780773516922</v>
      </c>
      <c r="D2837" t="str">
        <f>"9780773567023"</f>
        <v>9780773567023</v>
      </c>
      <c r="E2837" t="s">
        <v>12907</v>
      </c>
      <c r="F2837" t="s">
        <v>12907</v>
      </c>
      <c r="G2837" s="1">
        <v>35958</v>
      </c>
      <c r="I2837" t="s">
        <v>14374</v>
      </c>
      <c r="J2837" t="s">
        <v>14843</v>
      </c>
      <c r="K2837" t="s">
        <v>291</v>
      </c>
      <c r="L2837" t="s">
        <v>14844</v>
      </c>
      <c r="M2837">
        <v>971.01800000000003</v>
      </c>
      <c r="N2837" t="s">
        <v>14845</v>
      </c>
      <c r="O2837" t="s">
        <v>94</v>
      </c>
      <c r="P2837">
        <v>142.5</v>
      </c>
      <c r="Q2837">
        <v>118.75</v>
      </c>
      <c r="R2837">
        <v>95</v>
      </c>
      <c r="S2837">
        <v>142.5</v>
      </c>
      <c r="T2837" t="s">
        <v>14846</v>
      </c>
    </row>
    <row r="2838" spans="1:20">
      <c r="A2838">
        <v>3330891</v>
      </c>
      <c r="B2838" t="s">
        <v>14847</v>
      </c>
      <c r="C2838" t="str">
        <f>"9780773518315"</f>
        <v>9780773518315</v>
      </c>
      <c r="D2838" t="str">
        <f>"9780773567696"</f>
        <v>9780773567696</v>
      </c>
      <c r="E2838" t="s">
        <v>12863</v>
      </c>
      <c r="F2838" t="s">
        <v>12863</v>
      </c>
      <c r="G2838" s="1">
        <v>36229</v>
      </c>
      <c r="J2838" t="s">
        <v>14469</v>
      </c>
      <c r="K2838" t="s">
        <v>1464</v>
      </c>
      <c r="L2838" t="s">
        <v>14848</v>
      </c>
      <c r="M2838">
        <v>832.6</v>
      </c>
      <c r="N2838" t="s">
        <v>14849</v>
      </c>
      <c r="O2838" t="s">
        <v>26</v>
      </c>
      <c r="P2838">
        <v>142.5</v>
      </c>
      <c r="Q2838">
        <v>118.75</v>
      </c>
      <c r="R2838">
        <v>95</v>
      </c>
      <c r="S2838">
        <v>142.5</v>
      </c>
      <c r="T2838" t="s">
        <v>14850</v>
      </c>
    </row>
    <row r="2839" spans="1:20">
      <c r="A2839">
        <v>3330892</v>
      </c>
      <c r="B2839" t="s">
        <v>14851</v>
      </c>
      <c r="C2839" t="str">
        <f>"9780773507678"</f>
        <v>9780773507678</v>
      </c>
      <c r="D2839" t="str">
        <f>"9780773562547"</f>
        <v>9780773562547</v>
      </c>
      <c r="E2839" t="s">
        <v>12863</v>
      </c>
      <c r="F2839" t="s">
        <v>12863</v>
      </c>
      <c r="G2839" s="1">
        <v>33147</v>
      </c>
      <c r="I2839" t="s">
        <v>12871</v>
      </c>
      <c r="J2839" t="s">
        <v>14852</v>
      </c>
      <c r="K2839" t="s">
        <v>525</v>
      </c>
      <c r="L2839" t="s">
        <v>14853</v>
      </c>
      <c r="M2839">
        <v>342.71087199999999</v>
      </c>
      <c r="N2839" t="s">
        <v>14854</v>
      </c>
      <c r="O2839" t="s">
        <v>26</v>
      </c>
      <c r="P2839">
        <v>142.5</v>
      </c>
      <c r="Q2839">
        <v>118.75</v>
      </c>
      <c r="R2839">
        <v>95</v>
      </c>
      <c r="S2839">
        <v>142.5</v>
      </c>
      <c r="T2839" t="s">
        <v>14855</v>
      </c>
    </row>
    <row r="2840" spans="1:20">
      <c r="A2840">
        <v>3330893</v>
      </c>
      <c r="B2840" t="s">
        <v>14856</v>
      </c>
      <c r="C2840" t="str">
        <f>"9780773506411"</f>
        <v>9780773506411</v>
      </c>
      <c r="D2840" t="str">
        <f>"9780773561571"</f>
        <v>9780773561571</v>
      </c>
      <c r="E2840" t="s">
        <v>12863</v>
      </c>
      <c r="F2840" t="s">
        <v>12863</v>
      </c>
      <c r="G2840" s="1">
        <v>32325</v>
      </c>
      <c r="J2840" t="s">
        <v>14857</v>
      </c>
      <c r="K2840" t="s">
        <v>291</v>
      </c>
      <c r="L2840" t="s">
        <v>14205</v>
      </c>
      <c r="M2840">
        <v>971.30209219999995</v>
      </c>
      <c r="N2840" t="s">
        <v>14858</v>
      </c>
      <c r="O2840" t="s">
        <v>26</v>
      </c>
      <c r="P2840">
        <v>142.5</v>
      </c>
      <c r="Q2840">
        <v>118.75</v>
      </c>
      <c r="R2840">
        <v>95</v>
      </c>
      <c r="S2840">
        <v>142.5</v>
      </c>
      <c r="T2840" t="s">
        <v>14859</v>
      </c>
    </row>
    <row r="2841" spans="1:20">
      <c r="A2841">
        <v>3330894</v>
      </c>
      <c r="B2841" t="s">
        <v>14860</v>
      </c>
      <c r="C2841" t="str">
        <f>"9780886293574"</f>
        <v>9780886293574</v>
      </c>
      <c r="D2841" t="str">
        <f>"9780773574182"</f>
        <v>9780773574182</v>
      </c>
      <c r="E2841" t="s">
        <v>12863</v>
      </c>
      <c r="F2841" t="s">
        <v>12863</v>
      </c>
      <c r="G2841" s="1">
        <v>36866</v>
      </c>
      <c r="J2841" t="s">
        <v>14861</v>
      </c>
      <c r="K2841" t="s">
        <v>6444</v>
      </c>
      <c r="L2841" t="s">
        <v>14862</v>
      </c>
      <c r="M2841">
        <v>943.70409199999995</v>
      </c>
      <c r="N2841" t="s">
        <v>14863</v>
      </c>
      <c r="O2841" t="s">
        <v>26</v>
      </c>
      <c r="P2841">
        <v>142.5</v>
      </c>
      <c r="Q2841">
        <v>118.75</v>
      </c>
      <c r="R2841">
        <v>95</v>
      </c>
      <c r="S2841">
        <v>142.5</v>
      </c>
      <c r="T2841" t="s">
        <v>14864</v>
      </c>
    </row>
    <row r="2842" spans="1:20">
      <c r="A2842">
        <v>3330895</v>
      </c>
      <c r="B2842" t="s">
        <v>14865</v>
      </c>
      <c r="C2842" t="str">
        <f>"9780773508835"</f>
        <v>9780773508835</v>
      </c>
      <c r="D2842" t="str">
        <f>"9780773563209"</f>
        <v>9780773563209</v>
      </c>
      <c r="E2842" t="s">
        <v>12863</v>
      </c>
      <c r="F2842" t="s">
        <v>12863</v>
      </c>
      <c r="G2842" s="1">
        <v>33679</v>
      </c>
      <c r="J2842" t="s">
        <v>14866</v>
      </c>
      <c r="K2842" t="s">
        <v>291</v>
      </c>
      <c r="L2842" t="s">
        <v>14867</v>
      </c>
      <c r="M2842">
        <v>971.601</v>
      </c>
      <c r="N2842" t="s">
        <v>14868</v>
      </c>
      <c r="O2842" t="s">
        <v>26</v>
      </c>
      <c r="P2842">
        <v>112.5</v>
      </c>
      <c r="Q2842">
        <v>93.75</v>
      </c>
      <c r="R2842">
        <v>75</v>
      </c>
      <c r="S2842">
        <v>112.5</v>
      </c>
      <c r="T2842" t="s">
        <v>14869</v>
      </c>
    </row>
    <row r="2843" spans="1:20">
      <c r="A2843">
        <v>3330896</v>
      </c>
      <c r="B2843" t="s">
        <v>14870</v>
      </c>
      <c r="C2843" t="str">
        <f>"9780773506473"</f>
        <v>9780773506473</v>
      </c>
      <c r="D2843" t="str">
        <f>"9780773561625"</f>
        <v>9780773561625</v>
      </c>
      <c r="E2843" t="s">
        <v>12863</v>
      </c>
      <c r="F2843" t="s">
        <v>12863</v>
      </c>
      <c r="G2843" s="1">
        <v>32387</v>
      </c>
      <c r="J2843" t="s">
        <v>14871</v>
      </c>
      <c r="K2843" t="s">
        <v>257</v>
      </c>
      <c r="L2843" t="s">
        <v>14872</v>
      </c>
      <c r="M2843" t="s">
        <v>14873</v>
      </c>
      <c r="N2843" t="s">
        <v>14874</v>
      </c>
      <c r="O2843" t="s">
        <v>26</v>
      </c>
      <c r="P2843">
        <v>127.5</v>
      </c>
      <c r="Q2843">
        <v>106.25</v>
      </c>
      <c r="R2843">
        <v>85</v>
      </c>
      <c r="S2843">
        <v>127.5</v>
      </c>
      <c r="T2843" t="s">
        <v>14875</v>
      </c>
    </row>
    <row r="2844" spans="1:20">
      <c r="A2844">
        <v>3330897</v>
      </c>
      <c r="B2844" t="s">
        <v>14876</v>
      </c>
      <c r="C2844" t="str">
        <f>"9780773511286"</f>
        <v>9780773511286</v>
      </c>
      <c r="D2844" t="str">
        <f>"9780773564350"</f>
        <v>9780773564350</v>
      </c>
      <c r="E2844" t="s">
        <v>12863</v>
      </c>
      <c r="F2844" t="s">
        <v>12863</v>
      </c>
      <c r="G2844" s="1">
        <v>34267</v>
      </c>
      <c r="I2844" t="s">
        <v>14877</v>
      </c>
      <c r="J2844" t="s">
        <v>14878</v>
      </c>
      <c r="K2844" t="s">
        <v>14879</v>
      </c>
      <c r="L2844" t="s">
        <v>14880</v>
      </c>
      <c r="M2844">
        <v>158.69999999999999</v>
      </c>
      <c r="N2844" t="s">
        <v>14881</v>
      </c>
      <c r="O2844" t="s">
        <v>26</v>
      </c>
      <c r="P2844">
        <v>142.5</v>
      </c>
      <c r="Q2844">
        <v>118.75</v>
      </c>
      <c r="R2844">
        <v>95</v>
      </c>
      <c r="S2844">
        <v>142.5</v>
      </c>
      <c r="T2844" t="s">
        <v>14882</v>
      </c>
    </row>
    <row r="2845" spans="1:20">
      <c r="A2845">
        <v>3330898</v>
      </c>
      <c r="B2845" t="s">
        <v>14883</v>
      </c>
      <c r="C2845" t="str">
        <f>"9780773507111"</f>
        <v>9780773507111</v>
      </c>
      <c r="D2845" t="str">
        <f>"9780773562103"</f>
        <v>9780773562103</v>
      </c>
      <c r="E2845" t="s">
        <v>12863</v>
      </c>
      <c r="F2845" t="s">
        <v>12863</v>
      </c>
      <c r="G2845" s="1">
        <v>32752</v>
      </c>
      <c r="J2845" t="s">
        <v>14884</v>
      </c>
      <c r="K2845" t="s">
        <v>1464</v>
      </c>
      <c r="L2845" t="s">
        <v>14885</v>
      </c>
      <c r="M2845" t="s">
        <v>14886</v>
      </c>
      <c r="N2845" t="s">
        <v>14887</v>
      </c>
      <c r="O2845" t="s">
        <v>26</v>
      </c>
      <c r="P2845">
        <v>120</v>
      </c>
      <c r="Q2845">
        <v>100</v>
      </c>
      <c r="R2845">
        <v>80</v>
      </c>
      <c r="S2845">
        <v>120</v>
      </c>
      <c r="T2845" t="s">
        <v>14888</v>
      </c>
    </row>
    <row r="2846" spans="1:20">
      <c r="A2846">
        <v>3330899</v>
      </c>
      <c r="B2846" t="s">
        <v>14889</v>
      </c>
      <c r="C2846" t="str">
        <f>"9780773512252"</f>
        <v>9780773512252</v>
      </c>
      <c r="D2846" t="str">
        <f>"9780773564947"</f>
        <v>9780773564947</v>
      </c>
      <c r="E2846" t="s">
        <v>12863</v>
      </c>
      <c r="F2846" t="s">
        <v>12863</v>
      </c>
      <c r="G2846" s="1">
        <v>34683</v>
      </c>
      <c r="J2846" t="s">
        <v>14890</v>
      </c>
      <c r="K2846" t="s">
        <v>416</v>
      </c>
      <c r="L2846" t="s">
        <v>14880</v>
      </c>
      <c r="M2846">
        <v>331.4</v>
      </c>
      <c r="N2846" t="s">
        <v>14891</v>
      </c>
      <c r="O2846" t="s">
        <v>26</v>
      </c>
      <c r="P2846">
        <v>142.5</v>
      </c>
      <c r="Q2846">
        <v>118.75</v>
      </c>
      <c r="R2846">
        <v>95</v>
      </c>
      <c r="S2846">
        <v>142.5</v>
      </c>
      <c r="T2846" t="s">
        <v>14892</v>
      </c>
    </row>
    <row r="2847" spans="1:20">
      <c r="A2847">
        <v>3330900</v>
      </c>
      <c r="B2847" t="s">
        <v>14893</v>
      </c>
      <c r="C2847" t="str">
        <f>"9780773523227"</f>
        <v>9780773523227</v>
      </c>
      <c r="D2847" t="str">
        <f>"9780773569935"</f>
        <v>9780773569935</v>
      </c>
      <c r="E2847" t="s">
        <v>12907</v>
      </c>
      <c r="F2847" t="s">
        <v>12907</v>
      </c>
      <c r="G2847" s="1">
        <v>37295</v>
      </c>
      <c r="H2847">
        <v>3</v>
      </c>
      <c r="J2847" t="s">
        <v>14894</v>
      </c>
      <c r="K2847" t="s">
        <v>1550</v>
      </c>
      <c r="L2847" t="s">
        <v>14895</v>
      </c>
      <c r="M2847">
        <v>305.8950711</v>
      </c>
      <c r="N2847" t="s">
        <v>14896</v>
      </c>
      <c r="O2847" t="s">
        <v>26</v>
      </c>
      <c r="P2847">
        <v>44.93</v>
      </c>
      <c r="Q2847">
        <v>37.44</v>
      </c>
      <c r="R2847">
        <v>29.95</v>
      </c>
      <c r="S2847">
        <v>44.93</v>
      </c>
      <c r="T2847" t="s">
        <v>14897</v>
      </c>
    </row>
    <row r="2848" spans="1:20">
      <c r="A2848">
        <v>3330901</v>
      </c>
      <c r="B2848" t="s">
        <v>14898</v>
      </c>
      <c r="C2848" t="str">
        <f>"9780773520493"</f>
        <v>9780773520493</v>
      </c>
      <c r="D2848" t="str">
        <f>"9780773571648"</f>
        <v>9780773571648</v>
      </c>
      <c r="E2848" t="s">
        <v>12863</v>
      </c>
      <c r="F2848" t="s">
        <v>12863</v>
      </c>
      <c r="G2848" s="1">
        <v>36664</v>
      </c>
      <c r="J2848" t="s">
        <v>14539</v>
      </c>
      <c r="K2848" t="s">
        <v>291</v>
      </c>
      <c r="L2848" t="s">
        <v>14899</v>
      </c>
      <c r="M2848">
        <v>971.00747142800003</v>
      </c>
      <c r="N2848" t="s">
        <v>14900</v>
      </c>
      <c r="O2848" t="s">
        <v>26</v>
      </c>
      <c r="P2848">
        <v>142.5</v>
      </c>
      <c r="Q2848">
        <v>118.75</v>
      </c>
      <c r="R2848">
        <v>95</v>
      </c>
      <c r="S2848">
        <v>142.5</v>
      </c>
      <c r="T2848" t="s">
        <v>14901</v>
      </c>
    </row>
    <row r="2849" spans="1:20">
      <c r="A2849">
        <v>3330902</v>
      </c>
      <c r="B2849" t="s">
        <v>14902</v>
      </c>
      <c r="C2849" t="str">
        <f>"9780773508170"</f>
        <v>9780773508170</v>
      </c>
      <c r="D2849" t="str">
        <f>"9780773562776"</f>
        <v>9780773562776</v>
      </c>
      <c r="E2849" t="s">
        <v>12863</v>
      </c>
      <c r="F2849" t="s">
        <v>12863</v>
      </c>
      <c r="G2849" s="1">
        <v>33329</v>
      </c>
      <c r="J2849" t="s">
        <v>14903</v>
      </c>
      <c r="K2849" t="s">
        <v>416</v>
      </c>
      <c r="L2849" t="s">
        <v>14382</v>
      </c>
      <c r="M2849">
        <v>338.971</v>
      </c>
      <c r="N2849" t="s">
        <v>14904</v>
      </c>
      <c r="O2849" t="s">
        <v>26</v>
      </c>
      <c r="P2849">
        <v>142.5</v>
      </c>
      <c r="Q2849">
        <v>118.75</v>
      </c>
      <c r="R2849">
        <v>95</v>
      </c>
      <c r="S2849">
        <v>142.5</v>
      </c>
      <c r="T2849" t="s">
        <v>14905</v>
      </c>
    </row>
    <row r="2850" spans="1:20">
      <c r="A2850">
        <v>3330903</v>
      </c>
      <c r="B2850" t="s">
        <v>14906</v>
      </c>
      <c r="C2850" t="str">
        <f>"9780773520479"</f>
        <v>9780773520479</v>
      </c>
      <c r="D2850" t="str">
        <f>"9780773568402"</f>
        <v>9780773568402</v>
      </c>
      <c r="E2850" t="s">
        <v>12863</v>
      </c>
      <c r="F2850" t="s">
        <v>12863</v>
      </c>
      <c r="G2850" s="1">
        <v>36647</v>
      </c>
      <c r="I2850" t="s">
        <v>12871</v>
      </c>
      <c r="J2850" t="s">
        <v>14907</v>
      </c>
      <c r="K2850" t="s">
        <v>7621</v>
      </c>
      <c r="L2850" t="s">
        <v>14908</v>
      </c>
      <c r="M2850">
        <v>266.27140000000003</v>
      </c>
      <c r="N2850" t="s">
        <v>14909</v>
      </c>
      <c r="O2850" t="s">
        <v>26</v>
      </c>
      <c r="P2850">
        <v>142.5</v>
      </c>
      <c r="Q2850">
        <v>118.75</v>
      </c>
      <c r="R2850">
        <v>95</v>
      </c>
      <c r="S2850">
        <v>142.5</v>
      </c>
      <c r="T2850" t="s">
        <v>14910</v>
      </c>
    </row>
    <row r="2851" spans="1:20">
      <c r="A2851">
        <v>3330904</v>
      </c>
      <c r="B2851" t="s">
        <v>14911</v>
      </c>
      <c r="C2851" t="str">
        <f>"9780886293659"</f>
        <v>9780886293659</v>
      </c>
      <c r="D2851" t="str">
        <f>"9780773574212"</f>
        <v>9780773574212</v>
      </c>
      <c r="E2851" t="s">
        <v>12907</v>
      </c>
      <c r="F2851" t="s">
        <v>12907</v>
      </c>
      <c r="G2851" s="1">
        <v>36495</v>
      </c>
      <c r="J2851" t="s">
        <v>14912</v>
      </c>
      <c r="K2851" t="s">
        <v>1530</v>
      </c>
      <c r="L2851" t="s">
        <v>14913</v>
      </c>
      <c r="M2851" t="s">
        <v>7499</v>
      </c>
      <c r="N2851" t="s">
        <v>14914</v>
      </c>
      <c r="O2851" t="s">
        <v>26</v>
      </c>
      <c r="P2851">
        <v>44.93</v>
      </c>
      <c r="Q2851">
        <v>37.44</v>
      </c>
      <c r="R2851">
        <v>29.95</v>
      </c>
      <c r="S2851">
        <v>44.93</v>
      </c>
      <c r="T2851" t="s">
        <v>14915</v>
      </c>
    </row>
    <row r="2852" spans="1:20">
      <c r="A2852">
        <v>3330905</v>
      </c>
      <c r="B2852" t="s">
        <v>14916</v>
      </c>
      <c r="C2852" t="str">
        <f>"9780773508200"</f>
        <v>9780773508200</v>
      </c>
      <c r="D2852" t="str">
        <f>"9780773562790"</f>
        <v>9780773562790</v>
      </c>
      <c r="E2852" t="s">
        <v>12863</v>
      </c>
      <c r="F2852" t="s">
        <v>12863</v>
      </c>
      <c r="G2852" s="1">
        <v>33055</v>
      </c>
      <c r="J2852" t="s">
        <v>14917</v>
      </c>
      <c r="K2852" t="s">
        <v>263</v>
      </c>
      <c r="L2852" t="s">
        <v>14918</v>
      </c>
      <c r="M2852">
        <v>307.11609709999999</v>
      </c>
      <c r="N2852" t="s">
        <v>14919</v>
      </c>
      <c r="O2852" t="s">
        <v>26</v>
      </c>
      <c r="P2852">
        <v>142.5</v>
      </c>
      <c r="Q2852">
        <v>118.75</v>
      </c>
      <c r="R2852">
        <v>95</v>
      </c>
      <c r="S2852">
        <v>142.5</v>
      </c>
      <c r="T2852" t="s">
        <v>14920</v>
      </c>
    </row>
    <row r="2853" spans="1:20">
      <c r="A2853">
        <v>3330906</v>
      </c>
      <c r="B2853" t="s">
        <v>14921</v>
      </c>
      <c r="C2853" t="str">
        <f>"9780773521919"</f>
        <v>9780773521919</v>
      </c>
      <c r="D2853" t="str">
        <f>"9780773569263"</f>
        <v>9780773569263</v>
      </c>
      <c r="E2853" t="s">
        <v>12863</v>
      </c>
      <c r="F2853" t="s">
        <v>12863</v>
      </c>
      <c r="G2853" s="1">
        <v>37004</v>
      </c>
      <c r="J2853" t="s">
        <v>14922</v>
      </c>
      <c r="K2853" t="s">
        <v>291</v>
      </c>
      <c r="L2853" t="s">
        <v>14923</v>
      </c>
      <c r="M2853">
        <v>971.05092000000002</v>
      </c>
      <c r="N2853" t="s">
        <v>14924</v>
      </c>
      <c r="O2853" t="s">
        <v>26</v>
      </c>
      <c r="P2853">
        <v>142.5</v>
      </c>
      <c r="Q2853">
        <v>118.75</v>
      </c>
      <c r="R2853">
        <v>95</v>
      </c>
      <c r="S2853">
        <v>142.5</v>
      </c>
      <c r="T2853" t="s">
        <v>14925</v>
      </c>
    </row>
    <row r="2854" spans="1:20">
      <c r="A2854">
        <v>3330907</v>
      </c>
      <c r="B2854" t="s">
        <v>14926</v>
      </c>
      <c r="C2854" t="str">
        <f>"9780773505414"</f>
        <v>9780773505414</v>
      </c>
      <c r="D2854" t="str">
        <f>"9780773561069"</f>
        <v>9780773561069</v>
      </c>
      <c r="E2854" t="s">
        <v>12863</v>
      </c>
      <c r="F2854" t="s">
        <v>12863</v>
      </c>
      <c r="G2854" s="1">
        <v>32082</v>
      </c>
      <c r="J2854" t="s">
        <v>14927</v>
      </c>
      <c r="K2854" t="s">
        <v>1471</v>
      </c>
      <c r="L2854" t="s">
        <v>14928</v>
      </c>
      <c r="M2854">
        <v>780.42094199999997</v>
      </c>
      <c r="N2854" t="s">
        <v>14929</v>
      </c>
      <c r="O2854" t="s">
        <v>26</v>
      </c>
      <c r="P2854">
        <v>127.5</v>
      </c>
      <c r="Q2854">
        <v>106.25</v>
      </c>
      <c r="R2854">
        <v>85</v>
      </c>
      <c r="S2854">
        <v>127.5</v>
      </c>
      <c r="T2854" t="s">
        <v>14930</v>
      </c>
    </row>
    <row r="2855" spans="1:20">
      <c r="A2855">
        <v>3330908</v>
      </c>
      <c r="B2855" t="s">
        <v>14931</v>
      </c>
      <c r="C2855" t="str">
        <f>"9780773506961"</f>
        <v>9780773506961</v>
      </c>
      <c r="D2855" t="str">
        <f>"9780773561984"</f>
        <v>9780773561984</v>
      </c>
      <c r="E2855" t="s">
        <v>12863</v>
      </c>
      <c r="F2855" t="s">
        <v>12863</v>
      </c>
      <c r="G2855" s="1">
        <v>32660</v>
      </c>
      <c r="J2855" t="s">
        <v>14932</v>
      </c>
      <c r="K2855" t="s">
        <v>278</v>
      </c>
      <c r="L2855" t="s">
        <v>14933</v>
      </c>
      <c r="M2855">
        <v>331.89097099999998</v>
      </c>
      <c r="N2855" t="s">
        <v>14934</v>
      </c>
      <c r="O2855" t="s">
        <v>26</v>
      </c>
      <c r="P2855">
        <v>142.5</v>
      </c>
      <c r="Q2855">
        <v>118.75</v>
      </c>
      <c r="R2855">
        <v>95</v>
      </c>
      <c r="S2855">
        <v>142.5</v>
      </c>
      <c r="T2855" t="s">
        <v>14935</v>
      </c>
    </row>
    <row r="2856" spans="1:20">
      <c r="A2856">
        <v>3330909</v>
      </c>
      <c r="B2856" t="s">
        <v>14936</v>
      </c>
      <c r="C2856" t="str">
        <f>"9780773526273"</f>
        <v>9780773526273</v>
      </c>
      <c r="D2856" t="str">
        <f>"9780773571556"</f>
        <v>9780773571556</v>
      </c>
      <c r="E2856" t="s">
        <v>12863</v>
      </c>
      <c r="F2856" t="s">
        <v>12863</v>
      </c>
      <c r="G2856" s="1">
        <v>38079</v>
      </c>
      <c r="J2856" t="s">
        <v>14937</v>
      </c>
      <c r="K2856" t="s">
        <v>291</v>
      </c>
      <c r="L2856" t="s">
        <v>12938</v>
      </c>
      <c r="M2856">
        <v>971.42800492400897</v>
      </c>
      <c r="N2856" t="s">
        <v>14938</v>
      </c>
      <c r="O2856" t="s">
        <v>26</v>
      </c>
      <c r="P2856">
        <v>90</v>
      </c>
      <c r="Q2856">
        <v>75</v>
      </c>
      <c r="R2856">
        <v>60</v>
      </c>
      <c r="S2856">
        <v>90</v>
      </c>
      <c r="T2856" t="s">
        <v>14939</v>
      </c>
    </row>
    <row r="2857" spans="1:20">
      <c r="A2857">
        <v>3330910</v>
      </c>
      <c r="B2857" t="s">
        <v>14940</v>
      </c>
      <c r="C2857" t="str">
        <f>"9780773510081"</f>
        <v>9780773510081</v>
      </c>
      <c r="D2857" t="str">
        <f>"9780773564039"</f>
        <v>9780773564039</v>
      </c>
      <c r="E2857" t="s">
        <v>12863</v>
      </c>
      <c r="F2857" t="s">
        <v>12863</v>
      </c>
      <c r="G2857" s="1">
        <v>37874</v>
      </c>
      <c r="I2857" t="s">
        <v>12963</v>
      </c>
      <c r="J2857" t="s">
        <v>14941</v>
      </c>
      <c r="K2857" t="s">
        <v>1464</v>
      </c>
      <c r="L2857" t="s">
        <v>14942</v>
      </c>
      <c r="M2857">
        <v>821.7</v>
      </c>
      <c r="N2857" t="s">
        <v>14943</v>
      </c>
      <c r="O2857" t="s">
        <v>26</v>
      </c>
      <c r="P2857">
        <v>142.5</v>
      </c>
      <c r="Q2857">
        <v>118.75</v>
      </c>
      <c r="R2857">
        <v>95</v>
      </c>
      <c r="S2857">
        <v>142.5</v>
      </c>
      <c r="T2857" t="s">
        <v>14944</v>
      </c>
    </row>
    <row r="2858" spans="1:20">
      <c r="A2858">
        <v>3330911</v>
      </c>
      <c r="B2858" t="s">
        <v>14945</v>
      </c>
      <c r="C2858" t="str">
        <f>"9780773513235"</f>
        <v>9780773513235</v>
      </c>
      <c r="D2858" t="str">
        <f>"9780773565517"</f>
        <v>9780773565517</v>
      </c>
      <c r="E2858" t="s">
        <v>12863</v>
      </c>
      <c r="F2858" t="s">
        <v>12863</v>
      </c>
      <c r="G2858" s="1">
        <v>35033</v>
      </c>
      <c r="J2858" t="s">
        <v>14946</v>
      </c>
      <c r="K2858" t="s">
        <v>291</v>
      </c>
      <c r="L2858" t="s">
        <v>14947</v>
      </c>
      <c r="M2858">
        <v>971.024</v>
      </c>
      <c r="N2858" t="s">
        <v>14948</v>
      </c>
      <c r="O2858" t="s">
        <v>26</v>
      </c>
      <c r="P2858">
        <v>142.5</v>
      </c>
      <c r="Q2858">
        <v>118.75</v>
      </c>
      <c r="R2858">
        <v>95</v>
      </c>
      <c r="S2858">
        <v>142.5</v>
      </c>
      <c r="T2858" t="s">
        <v>14949</v>
      </c>
    </row>
    <row r="2859" spans="1:20">
      <c r="A2859">
        <v>3330912</v>
      </c>
      <c r="B2859" t="s">
        <v>14950</v>
      </c>
      <c r="C2859" t="str">
        <f>"9780773506046"</f>
        <v>9780773506046</v>
      </c>
      <c r="D2859" t="str">
        <f>"9780773561380"</f>
        <v>9780773561380</v>
      </c>
      <c r="E2859" t="s">
        <v>12863</v>
      </c>
      <c r="F2859" t="s">
        <v>12863</v>
      </c>
      <c r="G2859" s="1">
        <v>32082</v>
      </c>
      <c r="J2859" t="s">
        <v>14951</v>
      </c>
      <c r="K2859" t="s">
        <v>7838</v>
      </c>
      <c r="L2859" t="s">
        <v>14952</v>
      </c>
      <c r="M2859">
        <v>720</v>
      </c>
      <c r="N2859" t="s">
        <v>14953</v>
      </c>
      <c r="O2859" t="s">
        <v>26</v>
      </c>
      <c r="P2859">
        <v>127.5</v>
      </c>
      <c r="Q2859">
        <v>106.25</v>
      </c>
      <c r="R2859">
        <v>85</v>
      </c>
      <c r="S2859">
        <v>127.5</v>
      </c>
      <c r="T2859" t="s">
        <v>14954</v>
      </c>
    </row>
    <row r="2860" spans="1:20">
      <c r="A2860">
        <v>3330914</v>
      </c>
      <c r="B2860" t="s">
        <v>14955</v>
      </c>
      <c r="C2860" t="str">
        <f>"9780773526914"</f>
        <v>9780773526914</v>
      </c>
      <c r="D2860" t="str">
        <f>"9780773571815"</f>
        <v>9780773571815</v>
      </c>
      <c r="E2860" t="s">
        <v>12863</v>
      </c>
      <c r="F2860" t="s">
        <v>12863</v>
      </c>
      <c r="G2860" s="1">
        <v>38103</v>
      </c>
      <c r="J2860" t="s">
        <v>14956</v>
      </c>
      <c r="K2860" t="s">
        <v>14957</v>
      </c>
      <c r="L2860" t="s">
        <v>14958</v>
      </c>
      <c r="M2860">
        <v>621.48072071381</v>
      </c>
      <c r="N2860" t="s">
        <v>14959</v>
      </c>
      <c r="O2860" t="s">
        <v>26</v>
      </c>
      <c r="P2860">
        <v>67.430000000000007</v>
      </c>
      <c r="Q2860">
        <v>56.19</v>
      </c>
      <c r="R2860">
        <v>44.95</v>
      </c>
      <c r="S2860">
        <v>67.430000000000007</v>
      </c>
      <c r="T2860" t="s">
        <v>14960</v>
      </c>
    </row>
    <row r="2861" spans="1:20">
      <c r="A2861">
        <v>3330915</v>
      </c>
      <c r="B2861" t="s">
        <v>14961</v>
      </c>
      <c r="C2861" t="str">
        <f>"9780773508897"</f>
        <v>9780773508897</v>
      </c>
      <c r="D2861" t="str">
        <f>"9780773563254"</f>
        <v>9780773563254</v>
      </c>
      <c r="E2861" t="s">
        <v>12907</v>
      </c>
      <c r="F2861" t="s">
        <v>12907</v>
      </c>
      <c r="G2861" s="1">
        <v>33687</v>
      </c>
      <c r="J2861" t="s">
        <v>14962</v>
      </c>
      <c r="K2861" t="s">
        <v>291</v>
      </c>
      <c r="L2861" t="s">
        <v>14963</v>
      </c>
      <c r="M2861" t="s">
        <v>14964</v>
      </c>
      <c r="N2861" t="s">
        <v>14965</v>
      </c>
      <c r="O2861" t="s">
        <v>26</v>
      </c>
      <c r="P2861">
        <v>142.5</v>
      </c>
      <c r="Q2861">
        <v>118.75</v>
      </c>
      <c r="R2861">
        <v>95</v>
      </c>
      <c r="S2861">
        <v>142.5</v>
      </c>
      <c r="T2861" t="s">
        <v>14966</v>
      </c>
    </row>
    <row r="2862" spans="1:20">
      <c r="A2862">
        <v>3330916</v>
      </c>
      <c r="B2862" t="s">
        <v>14967</v>
      </c>
      <c r="C2862" t="str">
        <f>"9780773506169"</f>
        <v>9780773506169</v>
      </c>
      <c r="D2862" t="str">
        <f>"9780773561434"</f>
        <v>9780773561434</v>
      </c>
      <c r="E2862" t="s">
        <v>12863</v>
      </c>
      <c r="F2862" t="s">
        <v>12863</v>
      </c>
      <c r="G2862" s="1">
        <v>32021</v>
      </c>
      <c r="J2862" t="s">
        <v>14968</v>
      </c>
      <c r="K2862" t="s">
        <v>2432</v>
      </c>
      <c r="L2862" t="s">
        <v>14969</v>
      </c>
      <c r="M2862" t="s">
        <v>11137</v>
      </c>
      <c r="N2862" t="s">
        <v>14970</v>
      </c>
      <c r="O2862" t="s">
        <v>26</v>
      </c>
      <c r="P2862">
        <v>127.5</v>
      </c>
      <c r="Q2862">
        <v>106.25</v>
      </c>
      <c r="R2862">
        <v>85</v>
      </c>
      <c r="S2862">
        <v>127.5</v>
      </c>
      <c r="T2862" t="s">
        <v>14971</v>
      </c>
    </row>
    <row r="2863" spans="1:20">
      <c r="A2863">
        <v>3330917</v>
      </c>
      <c r="B2863" t="s">
        <v>14972</v>
      </c>
      <c r="C2863" t="str">
        <f>"9780773507104"</f>
        <v>9780773507104</v>
      </c>
      <c r="D2863" t="str">
        <f>"9780773562097"</f>
        <v>9780773562097</v>
      </c>
      <c r="E2863" t="s">
        <v>12863</v>
      </c>
      <c r="F2863" t="s">
        <v>12863</v>
      </c>
      <c r="G2863" s="1">
        <v>32752</v>
      </c>
      <c r="J2863" t="s">
        <v>14973</v>
      </c>
      <c r="K2863" t="s">
        <v>1464</v>
      </c>
      <c r="L2863" t="s">
        <v>14974</v>
      </c>
      <c r="M2863" t="s">
        <v>14975</v>
      </c>
      <c r="N2863" t="s">
        <v>14976</v>
      </c>
      <c r="O2863" t="s">
        <v>26</v>
      </c>
      <c r="P2863">
        <v>120</v>
      </c>
      <c r="Q2863">
        <v>100</v>
      </c>
      <c r="R2863">
        <v>80</v>
      </c>
      <c r="S2863">
        <v>120</v>
      </c>
      <c r="T2863" t="s">
        <v>14977</v>
      </c>
    </row>
    <row r="2864" spans="1:20">
      <c r="A2864">
        <v>3330918</v>
      </c>
      <c r="B2864" t="s">
        <v>14978</v>
      </c>
      <c r="C2864" t="str">
        <f>"9780773510159"</f>
        <v>9780773510159</v>
      </c>
      <c r="D2864" t="str">
        <f>"9780773564091"</f>
        <v>9780773564091</v>
      </c>
      <c r="E2864" t="s">
        <v>12863</v>
      </c>
      <c r="F2864" t="s">
        <v>12863</v>
      </c>
      <c r="G2864" s="1">
        <v>33208</v>
      </c>
      <c r="I2864" t="s">
        <v>12963</v>
      </c>
      <c r="J2864" t="s">
        <v>14979</v>
      </c>
      <c r="K2864" t="s">
        <v>1892</v>
      </c>
      <c r="L2864" t="s">
        <v>14980</v>
      </c>
      <c r="M2864">
        <v>200.1</v>
      </c>
      <c r="N2864" t="s">
        <v>14981</v>
      </c>
      <c r="O2864" t="s">
        <v>26</v>
      </c>
      <c r="P2864">
        <v>142.5</v>
      </c>
      <c r="Q2864">
        <v>118.75</v>
      </c>
      <c r="R2864">
        <v>95</v>
      </c>
      <c r="S2864">
        <v>142.5</v>
      </c>
      <c r="T2864" t="s">
        <v>14982</v>
      </c>
    </row>
    <row r="2865" spans="1:20">
      <c r="A2865">
        <v>3330919</v>
      </c>
      <c r="B2865" t="s">
        <v>14983</v>
      </c>
      <c r="C2865" t="str">
        <f>"9780773521292"</f>
        <v>9780773521292</v>
      </c>
      <c r="D2865" t="str">
        <f>"9780773568884"</f>
        <v>9780773568884</v>
      </c>
      <c r="E2865" t="s">
        <v>12863</v>
      </c>
      <c r="F2865" t="s">
        <v>12863</v>
      </c>
      <c r="G2865" s="1">
        <v>36797</v>
      </c>
      <c r="J2865" t="s">
        <v>14984</v>
      </c>
      <c r="K2865" t="s">
        <v>467</v>
      </c>
      <c r="L2865" t="s">
        <v>14985</v>
      </c>
      <c r="M2865">
        <v>351</v>
      </c>
      <c r="N2865" t="s">
        <v>14986</v>
      </c>
      <c r="O2865" t="s">
        <v>26</v>
      </c>
      <c r="P2865">
        <v>142.5</v>
      </c>
      <c r="Q2865">
        <v>118.75</v>
      </c>
      <c r="R2865">
        <v>95</v>
      </c>
      <c r="S2865">
        <v>142.5</v>
      </c>
      <c r="T2865" t="s">
        <v>14987</v>
      </c>
    </row>
    <row r="2866" spans="1:20">
      <c r="A2866">
        <v>3330920</v>
      </c>
      <c r="B2866" t="s">
        <v>14988</v>
      </c>
      <c r="C2866" t="str">
        <f>"9780773511651"</f>
        <v>9780773511651</v>
      </c>
      <c r="D2866" t="str">
        <f>"9780773564572"</f>
        <v>9780773564572</v>
      </c>
      <c r="E2866" t="s">
        <v>12863</v>
      </c>
      <c r="F2866" t="s">
        <v>12863</v>
      </c>
      <c r="G2866" s="1">
        <v>34443</v>
      </c>
      <c r="J2866" t="s">
        <v>14989</v>
      </c>
      <c r="K2866" t="s">
        <v>291</v>
      </c>
      <c r="L2866" t="s">
        <v>14990</v>
      </c>
      <c r="M2866">
        <v>947.04499999999996</v>
      </c>
      <c r="N2866" t="s">
        <v>14991</v>
      </c>
      <c r="O2866" t="s">
        <v>26</v>
      </c>
      <c r="P2866">
        <v>127.5</v>
      </c>
      <c r="Q2866">
        <v>106.25</v>
      </c>
      <c r="R2866">
        <v>85</v>
      </c>
      <c r="S2866">
        <v>127.5</v>
      </c>
      <c r="T2866" t="s">
        <v>14992</v>
      </c>
    </row>
    <row r="2867" spans="1:20">
      <c r="A2867">
        <v>3330921</v>
      </c>
      <c r="B2867" t="s">
        <v>14993</v>
      </c>
      <c r="C2867" t="str">
        <f>"9780773517912"</f>
        <v>9780773517912</v>
      </c>
      <c r="D2867" t="str">
        <f>"9780773567474"</f>
        <v>9780773567474</v>
      </c>
      <c r="E2867" t="s">
        <v>12863</v>
      </c>
      <c r="F2867" t="s">
        <v>12863</v>
      </c>
      <c r="G2867" s="1">
        <v>36174</v>
      </c>
      <c r="J2867" t="s">
        <v>14994</v>
      </c>
      <c r="K2867" t="s">
        <v>1464</v>
      </c>
      <c r="L2867" t="s">
        <v>14995</v>
      </c>
      <c r="M2867">
        <v>823.91200000000003</v>
      </c>
      <c r="N2867" t="s">
        <v>14996</v>
      </c>
      <c r="O2867" t="s">
        <v>26</v>
      </c>
      <c r="P2867">
        <v>142.5</v>
      </c>
      <c r="Q2867">
        <v>118.75</v>
      </c>
      <c r="R2867">
        <v>95</v>
      </c>
      <c r="S2867">
        <v>142.5</v>
      </c>
      <c r="T2867" t="s">
        <v>14997</v>
      </c>
    </row>
    <row r="2868" spans="1:20">
      <c r="A2868">
        <v>3330922</v>
      </c>
      <c r="B2868" t="s">
        <v>14998</v>
      </c>
      <c r="C2868" t="str">
        <f>"9780773508071"</f>
        <v>9780773508071</v>
      </c>
      <c r="D2868" t="str">
        <f>"9780773562714"</f>
        <v>9780773562714</v>
      </c>
      <c r="E2868" t="s">
        <v>12863</v>
      </c>
      <c r="F2868" t="s">
        <v>12863</v>
      </c>
      <c r="G2868" s="1">
        <v>33539</v>
      </c>
      <c r="I2868" t="s">
        <v>13288</v>
      </c>
      <c r="J2868" t="s">
        <v>14999</v>
      </c>
      <c r="K2868" t="s">
        <v>291</v>
      </c>
      <c r="L2868" t="s">
        <v>15000</v>
      </c>
      <c r="M2868">
        <v>971.46900000000005</v>
      </c>
      <c r="N2868" t="s">
        <v>15001</v>
      </c>
      <c r="O2868" t="s">
        <v>26</v>
      </c>
      <c r="P2868">
        <v>142.5</v>
      </c>
      <c r="Q2868">
        <v>118.75</v>
      </c>
      <c r="R2868">
        <v>95</v>
      </c>
      <c r="S2868">
        <v>142.5</v>
      </c>
      <c r="T2868" t="s">
        <v>15002</v>
      </c>
    </row>
    <row r="2869" spans="1:20">
      <c r="A2869">
        <v>3330923</v>
      </c>
      <c r="B2869" t="s">
        <v>15003</v>
      </c>
      <c r="C2869" t="str">
        <f>"9780773506343"</f>
        <v>9780773506343</v>
      </c>
      <c r="D2869" t="str">
        <f>"9780773561526"</f>
        <v>9780773561526</v>
      </c>
      <c r="E2869" t="s">
        <v>12863</v>
      </c>
      <c r="F2869" t="s">
        <v>12863</v>
      </c>
      <c r="G2869" s="1">
        <v>32874</v>
      </c>
      <c r="J2869" t="s">
        <v>15004</v>
      </c>
      <c r="K2869" t="s">
        <v>257</v>
      </c>
      <c r="L2869" t="s">
        <v>15005</v>
      </c>
      <c r="M2869" t="s">
        <v>15006</v>
      </c>
      <c r="N2869" t="s">
        <v>15007</v>
      </c>
      <c r="O2869" t="s">
        <v>26</v>
      </c>
      <c r="P2869">
        <v>127.5</v>
      </c>
      <c r="Q2869">
        <v>106.25</v>
      </c>
      <c r="R2869">
        <v>85</v>
      </c>
      <c r="S2869">
        <v>127.5</v>
      </c>
      <c r="T2869" t="s">
        <v>15008</v>
      </c>
    </row>
    <row r="2870" spans="1:20">
      <c r="A2870">
        <v>3330924</v>
      </c>
      <c r="B2870" t="s">
        <v>15009</v>
      </c>
      <c r="C2870" t="str">
        <f>"9780773511057"</f>
        <v>9780773511057</v>
      </c>
      <c r="D2870" t="str">
        <f>"9780773564237"</f>
        <v>9780773564237</v>
      </c>
      <c r="E2870" t="s">
        <v>12863</v>
      </c>
      <c r="F2870" t="s">
        <v>12863</v>
      </c>
      <c r="G2870" s="1">
        <v>34117</v>
      </c>
      <c r="J2870" t="s">
        <v>15010</v>
      </c>
      <c r="K2870" t="s">
        <v>7063</v>
      </c>
      <c r="L2870" t="s">
        <v>14114</v>
      </c>
      <c r="M2870">
        <v>971.06399999999996</v>
      </c>
      <c r="N2870" t="s">
        <v>15011</v>
      </c>
      <c r="O2870" t="s">
        <v>26</v>
      </c>
      <c r="P2870">
        <v>142.5</v>
      </c>
      <c r="Q2870">
        <v>118.75</v>
      </c>
      <c r="R2870">
        <v>95</v>
      </c>
      <c r="S2870">
        <v>142.5</v>
      </c>
      <c r="T2870" t="s">
        <v>15012</v>
      </c>
    </row>
    <row r="2871" spans="1:20">
      <c r="A2871">
        <v>3330925</v>
      </c>
      <c r="B2871" t="s">
        <v>15013</v>
      </c>
      <c r="C2871" t="str">
        <f>"9780773507159"</f>
        <v>9780773507159</v>
      </c>
      <c r="D2871" t="str">
        <f>"9780773562141"</f>
        <v>9780773562141</v>
      </c>
      <c r="E2871" t="s">
        <v>12863</v>
      </c>
      <c r="F2871" t="s">
        <v>12863</v>
      </c>
      <c r="G2871" s="1">
        <v>32874</v>
      </c>
      <c r="J2871" t="s">
        <v>15014</v>
      </c>
      <c r="K2871" t="s">
        <v>1464</v>
      </c>
      <c r="L2871" t="s">
        <v>15015</v>
      </c>
      <c r="M2871">
        <v>821.8</v>
      </c>
      <c r="N2871" t="s">
        <v>15016</v>
      </c>
      <c r="O2871" t="s">
        <v>26</v>
      </c>
      <c r="P2871">
        <v>142.5</v>
      </c>
      <c r="Q2871">
        <v>118.75</v>
      </c>
      <c r="R2871">
        <v>95</v>
      </c>
      <c r="S2871">
        <v>142.5</v>
      </c>
      <c r="T2871" t="s">
        <v>15017</v>
      </c>
    </row>
    <row r="2872" spans="1:20">
      <c r="A2872">
        <v>3330926</v>
      </c>
      <c r="B2872" t="s">
        <v>15018</v>
      </c>
      <c r="C2872" t="str">
        <f>"9780773521506"</f>
        <v>9780773521506</v>
      </c>
      <c r="D2872" t="str">
        <f>"9780773568976"</f>
        <v>9780773568976</v>
      </c>
      <c r="E2872" t="s">
        <v>12863</v>
      </c>
      <c r="F2872" t="s">
        <v>12863</v>
      </c>
      <c r="G2872" s="1">
        <v>36965</v>
      </c>
      <c r="J2872" t="s">
        <v>15019</v>
      </c>
      <c r="K2872" t="s">
        <v>291</v>
      </c>
      <c r="L2872" t="s">
        <v>15020</v>
      </c>
      <c r="M2872">
        <v>973.38209199999994</v>
      </c>
      <c r="N2872" t="s">
        <v>15021</v>
      </c>
      <c r="O2872" t="s">
        <v>26</v>
      </c>
      <c r="P2872">
        <v>74.930000000000007</v>
      </c>
      <c r="Q2872">
        <v>62.44</v>
      </c>
      <c r="R2872">
        <v>49.95</v>
      </c>
      <c r="S2872">
        <v>74.930000000000007</v>
      </c>
      <c r="T2872" t="s">
        <v>15022</v>
      </c>
    </row>
    <row r="2873" spans="1:20">
      <c r="A2873">
        <v>3330927</v>
      </c>
      <c r="B2873" t="s">
        <v>15023</v>
      </c>
      <c r="C2873" t="str">
        <f>"9780773506497"</f>
        <v>9780773506497</v>
      </c>
      <c r="D2873" t="str">
        <f>"9780773561649"</f>
        <v>9780773561649</v>
      </c>
      <c r="E2873" t="s">
        <v>12863</v>
      </c>
      <c r="F2873" t="s">
        <v>12863</v>
      </c>
      <c r="G2873" s="1">
        <v>32264</v>
      </c>
      <c r="J2873" t="s">
        <v>15024</v>
      </c>
      <c r="K2873" t="s">
        <v>291</v>
      </c>
      <c r="L2873" t="s">
        <v>15025</v>
      </c>
      <c r="M2873">
        <v>971.06409240000005</v>
      </c>
      <c r="N2873" t="s">
        <v>15026</v>
      </c>
      <c r="O2873" t="s">
        <v>26</v>
      </c>
      <c r="P2873">
        <v>142.5</v>
      </c>
      <c r="Q2873">
        <v>118.75</v>
      </c>
      <c r="R2873">
        <v>95</v>
      </c>
      <c r="S2873">
        <v>142.5</v>
      </c>
      <c r="T2873" t="s">
        <v>15027</v>
      </c>
    </row>
    <row r="2874" spans="1:20">
      <c r="A2874">
        <v>3330928</v>
      </c>
      <c r="B2874" t="s">
        <v>15028</v>
      </c>
      <c r="C2874" t="str">
        <f>"9780773510135"</f>
        <v>9780773510135</v>
      </c>
      <c r="D2874" t="str">
        <f>"9780773564077"</f>
        <v>9780773564077</v>
      </c>
      <c r="E2874" t="s">
        <v>12863</v>
      </c>
      <c r="F2874" t="s">
        <v>12863</v>
      </c>
      <c r="G2874" s="1">
        <v>32203</v>
      </c>
      <c r="I2874" t="s">
        <v>12963</v>
      </c>
      <c r="J2874" t="s">
        <v>15029</v>
      </c>
      <c r="K2874" t="s">
        <v>467</v>
      </c>
      <c r="L2874" t="s">
        <v>15030</v>
      </c>
      <c r="M2874" t="s">
        <v>15031</v>
      </c>
      <c r="N2874" t="s">
        <v>15032</v>
      </c>
      <c r="O2874" t="s">
        <v>26</v>
      </c>
      <c r="P2874">
        <v>120</v>
      </c>
      <c r="Q2874">
        <v>100</v>
      </c>
      <c r="R2874">
        <v>80</v>
      </c>
      <c r="S2874">
        <v>120</v>
      </c>
      <c r="T2874" t="s">
        <v>15033</v>
      </c>
    </row>
    <row r="2875" spans="1:20">
      <c r="A2875">
        <v>3330929</v>
      </c>
      <c r="B2875" t="s">
        <v>15034</v>
      </c>
      <c r="C2875" t="str">
        <f>"9780773513372"</f>
        <v>9780773513372</v>
      </c>
      <c r="D2875" t="str">
        <f>"9780773565586"</f>
        <v>9780773565586</v>
      </c>
      <c r="E2875" t="s">
        <v>12907</v>
      </c>
      <c r="F2875" t="s">
        <v>12907</v>
      </c>
      <c r="G2875" s="1">
        <v>34939</v>
      </c>
      <c r="J2875" t="s">
        <v>15035</v>
      </c>
      <c r="K2875" t="s">
        <v>1464</v>
      </c>
      <c r="L2875" t="s">
        <v>15036</v>
      </c>
      <c r="M2875" t="s">
        <v>1460</v>
      </c>
      <c r="N2875" t="s">
        <v>15037</v>
      </c>
      <c r="O2875" t="s">
        <v>26</v>
      </c>
      <c r="P2875">
        <v>142.5</v>
      </c>
      <c r="Q2875">
        <v>118.75</v>
      </c>
      <c r="R2875">
        <v>95</v>
      </c>
      <c r="S2875">
        <v>142.5</v>
      </c>
      <c r="T2875" t="s">
        <v>15038</v>
      </c>
    </row>
    <row r="2876" spans="1:20">
      <c r="A2876">
        <v>3330930</v>
      </c>
      <c r="B2876" t="s">
        <v>15039</v>
      </c>
      <c r="C2876" t="str">
        <f>"9780773511767"</f>
        <v>9780773511767</v>
      </c>
      <c r="D2876" t="str">
        <f>"9780773564664"</f>
        <v>9780773564664</v>
      </c>
      <c r="E2876" t="s">
        <v>12863</v>
      </c>
      <c r="F2876" t="s">
        <v>12863</v>
      </c>
      <c r="G2876" s="1">
        <v>34547</v>
      </c>
      <c r="J2876" t="s">
        <v>15040</v>
      </c>
      <c r="K2876" t="s">
        <v>257</v>
      </c>
      <c r="L2876" t="s">
        <v>15041</v>
      </c>
      <c r="M2876">
        <v>378.71465999999998</v>
      </c>
      <c r="N2876" t="s">
        <v>15042</v>
      </c>
      <c r="O2876" t="s">
        <v>26</v>
      </c>
      <c r="P2876">
        <v>142.5</v>
      </c>
      <c r="Q2876">
        <v>118.75</v>
      </c>
      <c r="R2876">
        <v>95</v>
      </c>
      <c r="S2876">
        <v>142.5</v>
      </c>
      <c r="T2876" t="s">
        <v>15043</v>
      </c>
    </row>
    <row r="2877" spans="1:20">
      <c r="A2877">
        <v>3330931</v>
      </c>
      <c r="B2877" t="s">
        <v>15044</v>
      </c>
      <c r="C2877" t="str">
        <f>"9780773512870"</f>
        <v>9780773512870</v>
      </c>
      <c r="D2877" t="str">
        <f>"9780773565302"</f>
        <v>9780773565302</v>
      </c>
      <c r="E2877" t="s">
        <v>12863</v>
      </c>
      <c r="F2877" t="s">
        <v>12863</v>
      </c>
      <c r="G2877" s="1">
        <v>35186</v>
      </c>
      <c r="J2877" t="s">
        <v>15045</v>
      </c>
      <c r="K2877" t="s">
        <v>1464</v>
      </c>
      <c r="L2877" t="s">
        <v>15046</v>
      </c>
      <c r="M2877">
        <v>813.3</v>
      </c>
      <c r="N2877" t="s">
        <v>15047</v>
      </c>
      <c r="O2877" t="s">
        <v>26</v>
      </c>
      <c r="P2877">
        <v>142.5</v>
      </c>
      <c r="Q2877">
        <v>118.75</v>
      </c>
      <c r="R2877">
        <v>95</v>
      </c>
      <c r="S2877">
        <v>142.5</v>
      </c>
      <c r="T2877" t="s">
        <v>15048</v>
      </c>
    </row>
    <row r="2878" spans="1:20">
      <c r="A2878">
        <v>3330932</v>
      </c>
      <c r="B2878" t="s">
        <v>15049</v>
      </c>
      <c r="C2878" t="str">
        <f>"9780773511422"</f>
        <v>9780773511422</v>
      </c>
      <c r="D2878" t="str">
        <f>"9780773564466"</f>
        <v>9780773564466</v>
      </c>
      <c r="E2878" t="s">
        <v>12863</v>
      </c>
      <c r="F2878" t="s">
        <v>12863</v>
      </c>
      <c r="G2878" s="1">
        <v>37173</v>
      </c>
      <c r="J2878" t="s">
        <v>15050</v>
      </c>
      <c r="K2878" t="s">
        <v>291</v>
      </c>
      <c r="L2878" t="s">
        <v>15051</v>
      </c>
      <c r="M2878">
        <v>940.54724170919997</v>
      </c>
      <c r="N2878" t="s">
        <v>15052</v>
      </c>
      <c r="O2878" t="s">
        <v>26</v>
      </c>
      <c r="P2878">
        <v>67.430000000000007</v>
      </c>
      <c r="Q2878">
        <v>56.19</v>
      </c>
      <c r="R2878">
        <v>44.95</v>
      </c>
      <c r="S2878">
        <v>67.430000000000007</v>
      </c>
      <c r="T2878" t="s">
        <v>15053</v>
      </c>
    </row>
    <row r="2879" spans="1:20">
      <c r="A2879">
        <v>3330933</v>
      </c>
      <c r="B2879" t="s">
        <v>15054</v>
      </c>
      <c r="C2879" t="str">
        <f>"9780773524606"</f>
        <v>9780773524606</v>
      </c>
      <c r="D2879" t="str">
        <f>"9780773570726"</f>
        <v>9780773570726</v>
      </c>
      <c r="E2879" t="s">
        <v>12863</v>
      </c>
      <c r="F2879" t="s">
        <v>12863</v>
      </c>
      <c r="G2879" s="1">
        <v>37664</v>
      </c>
      <c r="J2879" t="s">
        <v>15055</v>
      </c>
      <c r="K2879" t="s">
        <v>263</v>
      </c>
      <c r="L2879" t="s">
        <v>15056</v>
      </c>
      <c r="M2879">
        <v>305.40607130000001</v>
      </c>
      <c r="N2879" t="s">
        <v>15057</v>
      </c>
      <c r="O2879" t="s">
        <v>26</v>
      </c>
      <c r="P2879">
        <v>142.5</v>
      </c>
      <c r="Q2879">
        <v>118.75</v>
      </c>
      <c r="R2879">
        <v>95</v>
      </c>
      <c r="S2879">
        <v>142.5</v>
      </c>
      <c r="T2879" t="s">
        <v>15058</v>
      </c>
    </row>
    <row r="2880" spans="1:20">
      <c r="A2880">
        <v>3330934</v>
      </c>
      <c r="B2880" t="s">
        <v>15059</v>
      </c>
      <c r="C2880" t="str">
        <f>"9780773522756"</f>
        <v>9780773522756</v>
      </c>
      <c r="D2880" t="str">
        <f>"9780773569720"</f>
        <v>9780773569720</v>
      </c>
      <c r="E2880" t="s">
        <v>12863</v>
      </c>
      <c r="F2880" t="s">
        <v>12863</v>
      </c>
      <c r="G2880" s="1">
        <v>37330</v>
      </c>
      <c r="I2880" t="s">
        <v>13282</v>
      </c>
      <c r="J2880" t="s">
        <v>15060</v>
      </c>
      <c r="K2880" t="s">
        <v>6444</v>
      </c>
      <c r="L2880" t="s">
        <v>15061</v>
      </c>
      <c r="M2880">
        <v>327.71047090460002</v>
      </c>
      <c r="N2880" t="s">
        <v>15062</v>
      </c>
      <c r="O2880" t="s">
        <v>26</v>
      </c>
      <c r="P2880">
        <v>142.5</v>
      </c>
      <c r="Q2880">
        <v>118.75</v>
      </c>
      <c r="R2880">
        <v>95</v>
      </c>
      <c r="S2880">
        <v>142.5</v>
      </c>
      <c r="T2880" t="s">
        <v>15063</v>
      </c>
    </row>
    <row r="2881" spans="1:20">
      <c r="A2881">
        <v>3330935</v>
      </c>
      <c r="B2881" t="s">
        <v>15064</v>
      </c>
      <c r="C2881" t="str">
        <f>"9780773526464"</f>
        <v>9780773526464</v>
      </c>
      <c r="D2881" t="str">
        <f>"9780773571631"</f>
        <v>9780773571631</v>
      </c>
      <c r="E2881" t="s">
        <v>12907</v>
      </c>
      <c r="F2881" t="s">
        <v>12907</v>
      </c>
      <c r="G2881" s="1">
        <v>37768</v>
      </c>
      <c r="J2881" t="s">
        <v>15065</v>
      </c>
      <c r="K2881" t="s">
        <v>467</v>
      </c>
      <c r="L2881" t="s">
        <v>15066</v>
      </c>
      <c r="M2881" t="s">
        <v>15067</v>
      </c>
      <c r="N2881" t="s">
        <v>15068</v>
      </c>
      <c r="O2881" t="s">
        <v>94</v>
      </c>
      <c r="P2881">
        <v>142.5</v>
      </c>
      <c r="Q2881">
        <v>118.75</v>
      </c>
      <c r="R2881">
        <v>95</v>
      </c>
      <c r="S2881">
        <v>142.5</v>
      </c>
      <c r="T2881" t="s">
        <v>15069</v>
      </c>
    </row>
    <row r="2882" spans="1:20">
      <c r="A2882">
        <v>3330936</v>
      </c>
      <c r="B2882" t="s">
        <v>15070</v>
      </c>
      <c r="C2882" t="str">
        <f>"9780773507081"</f>
        <v>9780773507081</v>
      </c>
      <c r="D2882" t="str">
        <f>"9780773562080"</f>
        <v>9780773562080</v>
      </c>
      <c r="E2882" t="s">
        <v>12863</v>
      </c>
      <c r="F2882" t="s">
        <v>12863</v>
      </c>
      <c r="G2882" s="1">
        <v>32964</v>
      </c>
      <c r="J2882" t="s">
        <v>15071</v>
      </c>
      <c r="K2882" t="s">
        <v>291</v>
      </c>
      <c r="L2882" t="s">
        <v>15072</v>
      </c>
      <c r="M2882">
        <v>941.07092</v>
      </c>
      <c r="N2882" t="s">
        <v>15073</v>
      </c>
      <c r="O2882" t="s">
        <v>26</v>
      </c>
      <c r="P2882">
        <v>142.5</v>
      </c>
      <c r="Q2882">
        <v>118.75</v>
      </c>
      <c r="R2882">
        <v>95</v>
      </c>
      <c r="S2882">
        <v>142.5</v>
      </c>
      <c r="T2882" t="s">
        <v>15074</v>
      </c>
    </row>
    <row r="2883" spans="1:20">
      <c r="A2883">
        <v>3330937</v>
      </c>
      <c r="B2883" t="s">
        <v>15075</v>
      </c>
      <c r="C2883" t="str">
        <f>"9780886293567"</f>
        <v>9780886293567</v>
      </c>
      <c r="D2883" t="str">
        <f>"9780773574175"</f>
        <v>9780773574175</v>
      </c>
      <c r="E2883" t="s">
        <v>12863</v>
      </c>
      <c r="F2883" t="s">
        <v>12863</v>
      </c>
      <c r="G2883" s="1">
        <v>36514</v>
      </c>
      <c r="I2883" t="s">
        <v>15076</v>
      </c>
      <c r="J2883" t="s">
        <v>15077</v>
      </c>
      <c r="K2883" t="s">
        <v>1471</v>
      </c>
      <c r="L2883" t="s">
        <v>15078</v>
      </c>
      <c r="M2883">
        <v>745.50607100000002</v>
      </c>
      <c r="N2883" t="s">
        <v>15079</v>
      </c>
      <c r="O2883" t="s">
        <v>26</v>
      </c>
      <c r="P2883">
        <v>142.5</v>
      </c>
      <c r="Q2883">
        <v>118.75</v>
      </c>
      <c r="R2883">
        <v>95</v>
      </c>
      <c r="S2883">
        <v>142.5</v>
      </c>
      <c r="T2883" t="s">
        <v>15080</v>
      </c>
    </row>
    <row r="2884" spans="1:20">
      <c r="A2884">
        <v>3330938</v>
      </c>
      <c r="B2884" t="s">
        <v>15081</v>
      </c>
      <c r="C2884" t="str">
        <f>"9780773505544"</f>
        <v>9780773505544</v>
      </c>
      <c r="D2884" t="str">
        <f>"9780773561090"</f>
        <v>9780773561090</v>
      </c>
      <c r="E2884" t="s">
        <v>12863</v>
      </c>
      <c r="F2884" t="s">
        <v>12863</v>
      </c>
      <c r="G2884" s="1">
        <v>31625</v>
      </c>
      <c r="J2884" t="s">
        <v>14539</v>
      </c>
      <c r="K2884" t="s">
        <v>15082</v>
      </c>
      <c r="L2884" t="s">
        <v>15083</v>
      </c>
      <c r="M2884">
        <v>338.76125575009701</v>
      </c>
      <c r="N2884" t="s">
        <v>15084</v>
      </c>
      <c r="O2884" t="s">
        <v>26</v>
      </c>
      <c r="P2884">
        <v>142.5</v>
      </c>
      <c r="Q2884">
        <v>118.75</v>
      </c>
      <c r="R2884">
        <v>95</v>
      </c>
      <c r="S2884">
        <v>142.5</v>
      </c>
      <c r="T2884" t="s">
        <v>15085</v>
      </c>
    </row>
    <row r="2885" spans="1:20">
      <c r="A2885">
        <v>3330939</v>
      </c>
      <c r="B2885" t="s">
        <v>15086</v>
      </c>
      <c r="C2885" t="str">
        <f>"9780773506701"</f>
        <v>9780773506701</v>
      </c>
      <c r="D2885" t="str">
        <f>"9780773561823"</f>
        <v>9780773561823</v>
      </c>
      <c r="E2885" t="s">
        <v>12863</v>
      </c>
      <c r="F2885" t="s">
        <v>12863</v>
      </c>
      <c r="G2885" s="1">
        <v>32599</v>
      </c>
      <c r="J2885" t="s">
        <v>15087</v>
      </c>
      <c r="K2885" t="s">
        <v>278</v>
      </c>
      <c r="L2885" t="s">
        <v>15088</v>
      </c>
      <c r="M2885">
        <v>331.76138750971501</v>
      </c>
      <c r="N2885" t="s">
        <v>15089</v>
      </c>
      <c r="O2885" t="s">
        <v>26</v>
      </c>
      <c r="P2885">
        <v>142.5</v>
      </c>
      <c r="Q2885">
        <v>118.75</v>
      </c>
      <c r="R2885">
        <v>95</v>
      </c>
      <c r="S2885">
        <v>142.5</v>
      </c>
      <c r="T2885" t="s">
        <v>15090</v>
      </c>
    </row>
    <row r="2886" spans="1:20">
      <c r="A2886">
        <v>3330940</v>
      </c>
      <c r="B2886" t="s">
        <v>15091</v>
      </c>
      <c r="C2886" t="str">
        <f>"9780886293451"</f>
        <v>9780886293451</v>
      </c>
      <c r="D2886" t="str">
        <f>"9780773574137"</f>
        <v>9780773574137</v>
      </c>
      <c r="E2886" t="s">
        <v>12863</v>
      </c>
      <c r="F2886" t="s">
        <v>12863</v>
      </c>
      <c r="G2886" s="1">
        <v>36305</v>
      </c>
      <c r="J2886" t="s">
        <v>15092</v>
      </c>
      <c r="K2886" t="s">
        <v>263</v>
      </c>
      <c r="L2886" t="s">
        <v>15093</v>
      </c>
      <c r="M2886">
        <v>362.42</v>
      </c>
      <c r="N2886" t="s">
        <v>15094</v>
      </c>
      <c r="O2886" t="s">
        <v>26</v>
      </c>
      <c r="P2886">
        <v>142.5</v>
      </c>
      <c r="Q2886">
        <v>118.75</v>
      </c>
      <c r="R2886">
        <v>95</v>
      </c>
      <c r="S2886">
        <v>142.5</v>
      </c>
      <c r="T2886" t="s">
        <v>15095</v>
      </c>
    </row>
    <row r="2887" spans="1:20">
      <c r="A2887">
        <v>3330941</v>
      </c>
      <c r="B2887" t="s">
        <v>15096</v>
      </c>
      <c r="C2887" t="str">
        <f>"9780773522596"</f>
        <v>9780773522596</v>
      </c>
      <c r="D2887" t="str">
        <f>"9780773569621"</f>
        <v>9780773569621</v>
      </c>
      <c r="E2887" t="s">
        <v>12907</v>
      </c>
      <c r="F2887" t="s">
        <v>12907</v>
      </c>
      <c r="G2887" s="1">
        <v>37173</v>
      </c>
      <c r="J2887" t="s">
        <v>15097</v>
      </c>
      <c r="K2887" t="s">
        <v>791</v>
      </c>
      <c r="L2887" t="s">
        <v>15098</v>
      </c>
      <c r="M2887">
        <v>576.82094109000002</v>
      </c>
      <c r="N2887" t="s">
        <v>15099</v>
      </c>
      <c r="O2887" t="s">
        <v>26</v>
      </c>
      <c r="P2887">
        <v>142.5</v>
      </c>
      <c r="Q2887">
        <v>118.75</v>
      </c>
      <c r="R2887">
        <v>95</v>
      </c>
      <c r="S2887">
        <v>142.5</v>
      </c>
      <c r="T2887" t="s">
        <v>15100</v>
      </c>
    </row>
    <row r="2888" spans="1:20">
      <c r="A2888">
        <v>3330942</v>
      </c>
      <c r="B2888" t="s">
        <v>15101</v>
      </c>
      <c r="C2888" t="str">
        <f>"9780773501027"</f>
        <v>9780773501027</v>
      </c>
      <c r="D2888" t="str">
        <f>"9780773560635"</f>
        <v>9780773560635</v>
      </c>
      <c r="E2888" t="s">
        <v>12863</v>
      </c>
      <c r="F2888" t="s">
        <v>12863</v>
      </c>
      <c r="G2888" s="1">
        <v>25689</v>
      </c>
      <c r="J2888" t="s">
        <v>15102</v>
      </c>
      <c r="K2888" t="s">
        <v>1464</v>
      </c>
      <c r="L2888" t="s">
        <v>15103</v>
      </c>
      <c r="M2888">
        <v>813.54</v>
      </c>
      <c r="N2888" t="s">
        <v>15104</v>
      </c>
      <c r="O2888" t="s">
        <v>26</v>
      </c>
      <c r="P2888">
        <v>142.5</v>
      </c>
      <c r="Q2888">
        <v>118.75</v>
      </c>
      <c r="R2888">
        <v>95</v>
      </c>
      <c r="S2888">
        <v>142.5</v>
      </c>
      <c r="T2888" t="s">
        <v>15105</v>
      </c>
    </row>
    <row r="2889" spans="1:20">
      <c r="A2889">
        <v>3330943</v>
      </c>
      <c r="B2889" t="s">
        <v>15106</v>
      </c>
      <c r="C2889" t="str">
        <f>"9780773511354"</f>
        <v>9780773511354</v>
      </c>
      <c r="D2889" t="str">
        <f>"9780773564404"</f>
        <v>9780773564404</v>
      </c>
      <c r="E2889" t="s">
        <v>12863</v>
      </c>
      <c r="F2889" t="s">
        <v>12863</v>
      </c>
      <c r="G2889" s="1">
        <v>34422</v>
      </c>
      <c r="J2889" t="s">
        <v>15107</v>
      </c>
      <c r="K2889" t="s">
        <v>76</v>
      </c>
      <c r="L2889" t="s">
        <v>15108</v>
      </c>
      <c r="M2889">
        <v>632.30720710000003</v>
      </c>
      <c r="N2889" t="s">
        <v>15109</v>
      </c>
      <c r="O2889" t="s">
        <v>26</v>
      </c>
      <c r="P2889">
        <v>142.5</v>
      </c>
      <c r="Q2889">
        <v>118.75</v>
      </c>
      <c r="R2889">
        <v>95</v>
      </c>
      <c r="S2889">
        <v>142.5</v>
      </c>
      <c r="T2889" t="s">
        <v>15110</v>
      </c>
    </row>
    <row r="2890" spans="1:20">
      <c r="A2890">
        <v>3330944</v>
      </c>
      <c r="B2890" t="s">
        <v>15111</v>
      </c>
      <c r="C2890" t="str">
        <f>"9780773513068"</f>
        <v>9780773513068</v>
      </c>
      <c r="D2890" t="str">
        <f>"9780773565418"</f>
        <v>9780773565418</v>
      </c>
      <c r="E2890" t="s">
        <v>12863</v>
      </c>
      <c r="F2890" t="s">
        <v>12863</v>
      </c>
      <c r="G2890" s="1">
        <v>35084</v>
      </c>
      <c r="J2890" t="s">
        <v>15112</v>
      </c>
      <c r="K2890" t="s">
        <v>1464</v>
      </c>
      <c r="L2890" t="s">
        <v>15113</v>
      </c>
      <c r="M2890">
        <v>828.91207999999995</v>
      </c>
      <c r="N2890" t="s">
        <v>15114</v>
      </c>
      <c r="O2890" t="s">
        <v>26</v>
      </c>
      <c r="P2890">
        <v>127.5</v>
      </c>
      <c r="Q2890">
        <v>106.25</v>
      </c>
      <c r="R2890">
        <v>85</v>
      </c>
      <c r="S2890">
        <v>127.5</v>
      </c>
      <c r="T2890" t="s">
        <v>15115</v>
      </c>
    </row>
    <row r="2891" spans="1:20">
      <c r="A2891">
        <v>3330945</v>
      </c>
      <c r="B2891" t="s">
        <v>15116</v>
      </c>
      <c r="C2891" t="str">
        <f>"9780773508316"</f>
        <v>9780773508316</v>
      </c>
      <c r="D2891" t="str">
        <f>"9780773562875"</f>
        <v>9780773562875</v>
      </c>
      <c r="E2891" t="s">
        <v>12863</v>
      </c>
      <c r="F2891" t="s">
        <v>12863</v>
      </c>
      <c r="G2891" s="1">
        <v>33451</v>
      </c>
      <c r="J2891" t="s">
        <v>15117</v>
      </c>
      <c r="K2891" t="s">
        <v>467</v>
      </c>
      <c r="L2891" t="s">
        <v>15118</v>
      </c>
      <c r="M2891">
        <v>324.27140930000002</v>
      </c>
      <c r="N2891" t="s">
        <v>15119</v>
      </c>
      <c r="O2891" t="s">
        <v>26</v>
      </c>
      <c r="P2891">
        <v>142.5</v>
      </c>
      <c r="Q2891">
        <v>118.75</v>
      </c>
      <c r="R2891">
        <v>95</v>
      </c>
      <c r="S2891">
        <v>142.5</v>
      </c>
      <c r="T2891" t="s">
        <v>15120</v>
      </c>
    </row>
    <row r="2892" spans="1:20">
      <c r="A2892">
        <v>3330946</v>
      </c>
      <c r="B2892" t="s">
        <v>15121</v>
      </c>
      <c r="C2892" t="str">
        <f>"9780773508453"</f>
        <v>9780773508453</v>
      </c>
      <c r="D2892" t="str">
        <f>"9780773562981"</f>
        <v>9780773562981</v>
      </c>
      <c r="E2892" t="s">
        <v>12863</v>
      </c>
      <c r="F2892" t="s">
        <v>12863</v>
      </c>
      <c r="G2892" s="1">
        <v>33471</v>
      </c>
      <c r="J2892" t="s">
        <v>14403</v>
      </c>
      <c r="K2892" t="s">
        <v>416</v>
      </c>
      <c r="L2892" t="s">
        <v>15122</v>
      </c>
      <c r="M2892">
        <v>330.12200000000001</v>
      </c>
      <c r="N2892" t="s">
        <v>15123</v>
      </c>
      <c r="O2892" t="s">
        <v>26</v>
      </c>
      <c r="P2892">
        <v>142.5</v>
      </c>
      <c r="Q2892">
        <v>118.75</v>
      </c>
      <c r="R2892">
        <v>95</v>
      </c>
      <c r="S2892">
        <v>142.5</v>
      </c>
      <c r="T2892" t="s">
        <v>15124</v>
      </c>
    </row>
    <row r="2893" spans="1:20">
      <c r="A2893">
        <v>3330947</v>
      </c>
      <c r="B2893" t="s">
        <v>15125</v>
      </c>
      <c r="C2893" t="str">
        <f>"9780773521018"</f>
        <v>9780773521018</v>
      </c>
      <c r="D2893" t="str">
        <f>"9780773568747"</f>
        <v>9780773568747</v>
      </c>
      <c r="E2893" t="s">
        <v>12907</v>
      </c>
      <c r="F2893" t="s">
        <v>12907</v>
      </c>
      <c r="G2893" s="1">
        <v>36916</v>
      </c>
      <c r="J2893" t="s">
        <v>15126</v>
      </c>
      <c r="K2893" t="s">
        <v>1942</v>
      </c>
      <c r="L2893" t="s">
        <v>15127</v>
      </c>
      <c r="M2893">
        <v>198.9</v>
      </c>
      <c r="N2893" t="s">
        <v>15128</v>
      </c>
      <c r="O2893" t="s">
        <v>26</v>
      </c>
      <c r="P2893">
        <v>142.5</v>
      </c>
      <c r="Q2893">
        <v>118.75</v>
      </c>
      <c r="R2893">
        <v>95</v>
      </c>
      <c r="S2893">
        <v>142.5</v>
      </c>
      <c r="T2893" t="s">
        <v>15129</v>
      </c>
    </row>
    <row r="2894" spans="1:20">
      <c r="A2894">
        <v>3330948</v>
      </c>
      <c r="B2894" t="s">
        <v>15130</v>
      </c>
      <c r="C2894" t="str">
        <f>"9780773522954"</f>
        <v>9780773522954</v>
      </c>
      <c r="D2894" t="str">
        <f>"9780773569812"</f>
        <v>9780773569812</v>
      </c>
      <c r="E2894" t="s">
        <v>12863</v>
      </c>
      <c r="F2894" t="s">
        <v>12863</v>
      </c>
      <c r="G2894" s="1">
        <v>37397</v>
      </c>
      <c r="J2894" t="s">
        <v>15131</v>
      </c>
      <c r="K2894" t="s">
        <v>1471</v>
      </c>
      <c r="L2894" t="s">
        <v>15132</v>
      </c>
      <c r="M2894">
        <v>709.2</v>
      </c>
      <c r="N2894" t="s">
        <v>15133</v>
      </c>
      <c r="O2894" t="s">
        <v>26</v>
      </c>
      <c r="P2894">
        <v>142.5</v>
      </c>
      <c r="Q2894">
        <v>118.75</v>
      </c>
      <c r="R2894">
        <v>95</v>
      </c>
      <c r="S2894">
        <v>142.5</v>
      </c>
      <c r="T2894" t="s">
        <v>15134</v>
      </c>
    </row>
    <row r="2895" spans="1:20">
      <c r="A2895">
        <v>3330949</v>
      </c>
      <c r="B2895" t="s">
        <v>15135</v>
      </c>
      <c r="C2895" t="str">
        <f>"9780773508859"</f>
        <v>9780773508859</v>
      </c>
      <c r="D2895" t="str">
        <f>"9780773563223"</f>
        <v>9780773563223</v>
      </c>
      <c r="E2895" t="s">
        <v>12863</v>
      </c>
      <c r="F2895" t="s">
        <v>12863</v>
      </c>
      <c r="G2895" s="1">
        <v>33708</v>
      </c>
      <c r="J2895" t="s">
        <v>15136</v>
      </c>
      <c r="K2895" t="s">
        <v>1892</v>
      </c>
      <c r="L2895" t="s">
        <v>15137</v>
      </c>
      <c r="M2895">
        <v>287.09715089999997</v>
      </c>
      <c r="N2895" t="s">
        <v>15138</v>
      </c>
      <c r="O2895" t="s">
        <v>26</v>
      </c>
      <c r="P2895">
        <v>142.5</v>
      </c>
      <c r="Q2895">
        <v>118.75</v>
      </c>
      <c r="R2895">
        <v>95</v>
      </c>
      <c r="S2895">
        <v>142.5</v>
      </c>
      <c r="T2895" t="s">
        <v>15139</v>
      </c>
    </row>
    <row r="2896" spans="1:20">
      <c r="A2896">
        <v>3330950</v>
      </c>
      <c r="B2896" t="s">
        <v>15140</v>
      </c>
      <c r="C2896" t="str">
        <f>"9780773505797"</f>
        <v>9780773505797</v>
      </c>
      <c r="D2896" t="str">
        <f>"9780773561236"</f>
        <v>9780773561236</v>
      </c>
      <c r="E2896" t="s">
        <v>12863</v>
      </c>
      <c r="F2896" t="s">
        <v>12863</v>
      </c>
      <c r="G2896" s="1">
        <v>31260</v>
      </c>
      <c r="I2896" t="s">
        <v>14112</v>
      </c>
      <c r="J2896" t="s">
        <v>15141</v>
      </c>
      <c r="K2896" t="s">
        <v>263</v>
      </c>
      <c r="L2896" t="s">
        <v>15142</v>
      </c>
      <c r="M2896">
        <v>361.610973</v>
      </c>
      <c r="N2896" t="s">
        <v>15143</v>
      </c>
      <c r="O2896" t="s">
        <v>26</v>
      </c>
      <c r="P2896">
        <v>142.5</v>
      </c>
      <c r="Q2896">
        <v>118.75</v>
      </c>
      <c r="R2896">
        <v>95</v>
      </c>
      <c r="S2896">
        <v>142.5</v>
      </c>
      <c r="T2896" t="s">
        <v>15144</v>
      </c>
    </row>
    <row r="2897" spans="1:20">
      <c r="A2897">
        <v>3330951</v>
      </c>
      <c r="B2897" t="s">
        <v>15145</v>
      </c>
      <c r="C2897" t="str">
        <f>"9780773520219"</f>
        <v>9780773520219</v>
      </c>
      <c r="D2897" t="str">
        <f>"9780773568242"</f>
        <v>9780773568242</v>
      </c>
      <c r="E2897" t="s">
        <v>12907</v>
      </c>
      <c r="F2897" t="s">
        <v>12907</v>
      </c>
      <c r="G2897" s="1">
        <v>36551</v>
      </c>
      <c r="J2897" t="s">
        <v>15146</v>
      </c>
      <c r="K2897" t="s">
        <v>1464</v>
      </c>
      <c r="L2897" t="s">
        <v>15147</v>
      </c>
      <c r="M2897" t="s">
        <v>15148</v>
      </c>
      <c r="N2897" t="s">
        <v>15149</v>
      </c>
      <c r="O2897" t="s">
        <v>26</v>
      </c>
      <c r="P2897">
        <v>142.5</v>
      </c>
      <c r="Q2897">
        <v>118.75</v>
      </c>
      <c r="R2897">
        <v>95</v>
      </c>
      <c r="S2897">
        <v>142.5</v>
      </c>
      <c r="T2897" t="s">
        <v>15150</v>
      </c>
    </row>
    <row r="2898" spans="1:20">
      <c r="A2898">
        <v>3330952</v>
      </c>
      <c r="B2898" t="s">
        <v>15151</v>
      </c>
      <c r="C2898" t="str">
        <f>"9780773524095"</f>
        <v>9780773524095</v>
      </c>
      <c r="D2898" t="str">
        <f>"9780773570436"</f>
        <v>9780773570436</v>
      </c>
      <c r="E2898" t="s">
        <v>12863</v>
      </c>
      <c r="F2898" t="s">
        <v>12863</v>
      </c>
      <c r="G2898" s="1">
        <v>37656</v>
      </c>
      <c r="J2898" t="s">
        <v>15152</v>
      </c>
      <c r="K2898" t="s">
        <v>263</v>
      </c>
      <c r="L2898" t="s">
        <v>15153</v>
      </c>
      <c r="M2898">
        <v>361.65094409041001</v>
      </c>
      <c r="N2898" t="s">
        <v>15154</v>
      </c>
      <c r="O2898" t="s">
        <v>26</v>
      </c>
      <c r="P2898">
        <v>142.5</v>
      </c>
      <c r="Q2898">
        <v>118.75</v>
      </c>
      <c r="R2898">
        <v>95</v>
      </c>
      <c r="S2898">
        <v>142.5</v>
      </c>
      <c r="T2898" t="s">
        <v>15155</v>
      </c>
    </row>
    <row r="2899" spans="1:20">
      <c r="A2899">
        <v>3330953</v>
      </c>
      <c r="B2899" t="s">
        <v>15156</v>
      </c>
      <c r="C2899" t="str">
        <f>"9780773506060"</f>
        <v>9780773506060</v>
      </c>
      <c r="D2899" t="str">
        <f>"9780773561397"</f>
        <v>9780773561397</v>
      </c>
      <c r="E2899" t="s">
        <v>12863</v>
      </c>
      <c r="F2899" t="s">
        <v>12863</v>
      </c>
      <c r="G2899" s="1">
        <v>32051</v>
      </c>
      <c r="J2899" t="s">
        <v>15157</v>
      </c>
      <c r="K2899" t="s">
        <v>1464</v>
      </c>
      <c r="L2899" t="s">
        <v>15158</v>
      </c>
      <c r="M2899">
        <v>821.7</v>
      </c>
      <c r="N2899" t="s">
        <v>15159</v>
      </c>
      <c r="O2899" t="s">
        <v>26</v>
      </c>
      <c r="P2899">
        <v>142.5</v>
      </c>
      <c r="Q2899">
        <v>118.75</v>
      </c>
      <c r="R2899">
        <v>95</v>
      </c>
      <c r="S2899">
        <v>142.5</v>
      </c>
      <c r="T2899" t="s">
        <v>15160</v>
      </c>
    </row>
    <row r="2900" spans="1:20">
      <c r="A2900">
        <v>3330954</v>
      </c>
      <c r="B2900" t="s">
        <v>15161</v>
      </c>
      <c r="C2900" t="str">
        <f>"9780773506916"</f>
        <v>9780773506916</v>
      </c>
      <c r="D2900" t="str">
        <f>"9780773561946"</f>
        <v>9780773561946</v>
      </c>
      <c r="E2900" t="s">
        <v>12863</v>
      </c>
      <c r="F2900" t="s">
        <v>12863</v>
      </c>
      <c r="G2900" s="1">
        <v>32599</v>
      </c>
      <c r="J2900" t="s">
        <v>2637</v>
      </c>
      <c r="K2900" t="s">
        <v>1464</v>
      </c>
      <c r="L2900" t="s">
        <v>15162</v>
      </c>
      <c r="M2900">
        <v>810.93520396999998</v>
      </c>
      <c r="N2900" t="s">
        <v>15163</v>
      </c>
      <c r="O2900" t="s">
        <v>26</v>
      </c>
      <c r="P2900">
        <v>127.5</v>
      </c>
      <c r="Q2900">
        <v>106.25</v>
      </c>
      <c r="R2900">
        <v>85</v>
      </c>
      <c r="S2900">
        <v>127.5</v>
      </c>
      <c r="T2900" t="s">
        <v>15164</v>
      </c>
    </row>
    <row r="2901" spans="1:20">
      <c r="A2901">
        <v>3330955</v>
      </c>
      <c r="B2901" t="s">
        <v>15165</v>
      </c>
      <c r="C2901" t="str">
        <f>"9780773508514"</f>
        <v>9780773508514</v>
      </c>
      <c r="D2901" t="str">
        <f>"9780773563018"</f>
        <v>9780773563018</v>
      </c>
      <c r="E2901" t="s">
        <v>12863</v>
      </c>
      <c r="F2901" t="s">
        <v>12863</v>
      </c>
      <c r="G2901" s="1">
        <v>33885</v>
      </c>
      <c r="J2901" t="s">
        <v>15166</v>
      </c>
      <c r="K2901" t="s">
        <v>525</v>
      </c>
      <c r="L2901" t="s">
        <v>15167</v>
      </c>
      <c r="M2901">
        <v>347.71035089999998</v>
      </c>
      <c r="N2901" t="s">
        <v>15168</v>
      </c>
      <c r="O2901" t="s">
        <v>26</v>
      </c>
      <c r="P2901">
        <v>165</v>
      </c>
      <c r="Q2901">
        <v>137.5</v>
      </c>
      <c r="R2901">
        <v>110</v>
      </c>
      <c r="S2901">
        <v>165</v>
      </c>
      <c r="T2901" t="s">
        <v>15169</v>
      </c>
    </row>
    <row r="2902" spans="1:20">
      <c r="A2902">
        <v>3330956</v>
      </c>
      <c r="B2902" t="s">
        <v>15170</v>
      </c>
      <c r="C2902" t="str">
        <f>"9780773506756"</f>
        <v>9780773506756</v>
      </c>
      <c r="D2902" t="str">
        <f>"9780773561854"</f>
        <v>9780773561854</v>
      </c>
      <c r="E2902" t="s">
        <v>12863</v>
      </c>
      <c r="F2902" t="s">
        <v>12863</v>
      </c>
      <c r="G2902" s="1">
        <v>32599</v>
      </c>
      <c r="J2902" t="s">
        <v>15171</v>
      </c>
      <c r="K2902" t="s">
        <v>1464</v>
      </c>
      <c r="L2902" t="s">
        <v>15172</v>
      </c>
      <c r="M2902">
        <v>810.98924</v>
      </c>
      <c r="N2902" t="s">
        <v>15173</v>
      </c>
      <c r="O2902" t="s">
        <v>26</v>
      </c>
      <c r="P2902">
        <v>142.5</v>
      </c>
      <c r="Q2902">
        <v>118.75</v>
      </c>
      <c r="R2902">
        <v>95</v>
      </c>
      <c r="S2902">
        <v>142.5</v>
      </c>
      <c r="T2902" t="s">
        <v>15174</v>
      </c>
    </row>
    <row r="2903" spans="1:20">
      <c r="A2903">
        <v>3330957</v>
      </c>
      <c r="B2903" t="s">
        <v>15175</v>
      </c>
      <c r="C2903" t="str">
        <f>"9780773508033"</f>
        <v>9780773508033</v>
      </c>
      <c r="D2903" t="str">
        <f>"9780773562691"</f>
        <v>9780773562691</v>
      </c>
      <c r="E2903" t="s">
        <v>12863</v>
      </c>
      <c r="F2903" t="s">
        <v>12863</v>
      </c>
      <c r="G2903" s="1">
        <v>33239</v>
      </c>
      <c r="J2903" t="s">
        <v>15176</v>
      </c>
      <c r="K2903" t="s">
        <v>257</v>
      </c>
      <c r="L2903" t="s">
        <v>15177</v>
      </c>
      <c r="M2903">
        <v>378.11099999999999</v>
      </c>
      <c r="N2903" t="s">
        <v>15178</v>
      </c>
      <c r="O2903" t="s">
        <v>26</v>
      </c>
      <c r="P2903">
        <v>142.5</v>
      </c>
      <c r="Q2903">
        <v>118.75</v>
      </c>
      <c r="R2903">
        <v>95</v>
      </c>
      <c r="S2903">
        <v>142.5</v>
      </c>
      <c r="T2903" t="s">
        <v>15179</v>
      </c>
    </row>
    <row r="2904" spans="1:20">
      <c r="A2904">
        <v>3330958</v>
      </c>
      <c r="B2904" t="s">
        <v>15180</v>
      </c>
      <c r="C2904" t="str">
        <f>"9780773511811"</f>
        <v>9780773511811</v>
      </c>
      <c r="D2904" t="str">
        <f>"9780773564701"</f>
        <v>9780773564701</v>
      </c>
      <c r="E2904" t="s">
        <v>12863</v>
      </c>
      <c r="F2904" t="s">
        <v>12863</v>
      </c>
      <c r="G2904" s="1">
        <v>34632</v>
      </c>
      <c r="I2904" t="s">
        <v>14082</v>
      </c>
      <c r="J2904" t="s">
        <v>15181</v>
      </c>
      <c r="K2904" t="s">
        <v>3230</v>
      </c>
      <c r="L2904" t="s">
        <v>15182</v>
      </c>
      <c r="M2904">
        <v>917.19041091999998</v>
      </c>
      <c r="N2904" t="s">
        <v>15183</v>
      </c>
      <c r="O2904" t="s">
        <v>26</v>
      </c>
      <c r="P2904">
        <v>142.5</v>
      </c>
      <c r="Q2904">
        <v>118.75</v>
      </c>
      <c r="R2904">
        <v>95</v>
      </c>
      <c r="S2904">
        <v>142.5</v>
      </c>
      <c r="T2904" t="s">
        <v>15184</v>
      </c>
    </row>
    <row r="2905" spans="1:20">
      <c r="A2905">
        <v>3330959</v>
      </c>
      <c r="B2905" t="s">
        <v>15185</v>
      </c>
      <c r="C2905" t="str">
        <f>"9780773511644"</f>
        <v>9780773511644</v>
      </c>
      <c r="D2905" t="str">
        <f>"9780773564565"</f>
        <v>9780773564565</v>
      </c>
      <c r="E2905" t="s">
        <v>12863</v>
      </c>
      <c r="F2905" t="s">
        <v>12863</v>
      </c>
      <c r="G2905" s="1">
        <v>34403</v>
      </c>
      <c r="J2905" t="s">
        <v>15186</v>
      </c>
      <c r="K2905" t="s">
        <v>263</v>
      </c>
      <c r="L2905" t="s">
        <v>15187</v>
      </c>
      <c r="M2905">
        <v>305.5</v>
      </c>
      <c r="N2905" t="s">
        <v>15188</v>
      </c>
      <c r="O2905" t="s">
        <v>26</v>
      </c>
      <c r="P2905">
        <v>142.5</v>
      </c>
      <c r="Q2905">
        <v>118.75</v>
      </c>
      <c r="R2905">
        <v>95</v>
      </c>
      <c r="S2905">
        <v>142.5</v>
      </c>
      <c r="T2905" t="s">
        <v>15189</v>
      </c>
    </row>
    <row r="2906" spans="1:20">
      <c r="A2906">
        <v>3330960</v>
      </c>
      <c r="B2906" t="s">
        <v>15190</v>
      </c>
      <c r="C2906" t="str">
        <f>"9780773506541"</f>
        <v>9780773506541</v>
      </c>
      <c r="D2906" t="str">
        <f>"9780773561694"</f>
        <v>9780773561694</v>
      </c>
      <c r="E2906" t="s">
        <v>12907</v>
      </c>
      <c r="F2906" t="s">
        <v>12907</v>
      </c>
      <c r="G2906" s="1">
        <v>32325</v>
      </c>
      <c r="J2906" t="s">
        <v>15191</v>
      </c>
      <c r="K2906" t="s">
        <v>291</v>
      </c>
      <c r="L2906" t="s">
        <v>15192</v>
      </c>
      <c r="M2906">
        <v>971.41700000000003</v>
      </c>
      <c r="N2906" t="s">
        <v>15193</v>
      </c>
      <c r="O2906" t="s">
        <v>26</v>
      </c>
      <c r="P2906">
        <v>135</v>
      </c>
      <c r="Q2906">
        <v>112.5</v>
      </c>
      <c r="R2906">
        <v>90</v>
      </c>
      <c r="S2906">
        <v>135</v>
      </c>
      <c r="T2906" t="s">
        <v>15194</v>
      </c>
    </row>
    <row r="2907" spans="1:20">
      <c r="A2907">
        <v>3330961</v>
      </c>
      <c r="B2907" t="s">
        <v>15195</v>
      </c>
      <c r="C2907" t="str">
        <f>"9780773506374"</f>
        <v>9780773506374</v>
      </c>
      <c r="D2907" t="str">
        <f>"9780773561540"</f>
        <v>9780773561540</v>
      </c>
      <c r="E2907" t="s">
        <v>12863</v>
      </c>
      <c r="F2907" t="s">
        <v>12863</v>
      </c>
      <c r="G2907" s="1">
        <v>32143</v>
      </c>
      <c r="J2907" t="s">
        <v>13970</v>
      </c>
      <c r="K2907" t="s">
        <v>291</v>
      </c>
      <c r="L2907" t="s">
        <v>15196</v>
      </c>
      <c r="M2907">
        <v>971.03899999999999</v>
      </c>
      <c r="N2907" t="s">
        <v>15197</v>
      </c>
      <c r="O2907" t="s">
        <v>26</v>
      </c>
      <c r="P2907">
        <v>142.5</v>
      </c>
      <c r="Q2907">
        <v>118.75</v>
      </c>
      <c r="R2907">
        <v>95</v>
      </c>
      <c r="S2907">
        <v>142.5</v>
      </c>
      <c r="T2907" t="s">
        <v>15198</v>
      </c>
    </row>
    <row r="2908" spans="1:20">
      <c r="A2908">
        <v>3330962</v>
      </c>
      <c r="B2908" t="s">
        <v>15199</v>
      </c>
      <c r="C2908" t="str">
        <f>"9780773528000"</f>
        <v>9780773528000</v>
      </c>
      <c r="D2908" t="str">
        <f>"9780773572294"</f>
        <v>9780773572294</v>
      </c>
      <c r="E2908" t="s">
        <v>12907</v>
      </c>
      <c r="F2908" t="s">
        <v>12907</v>
      </c>
      <c r="G2908" s="1">
        <v>38240</v>
      </c>
      <c r="J2908" t="s">
        <v>15200</v>
      </c>
      <c r="K2908" t="s">
        <v>2818</v>
      </c>
      <c r="L2908" t="s">
        <v>15201</v>
      </c>
      <c r="M2908">
        <v>362.19891999999999</v>
      </c>
      <c r="N2908" t="s">
        <v>15202</v>
      </c>
      <c r="O2908" t="s">
        <v>26</v>
      </c>
      <c r="P2908">
        <v>142.5</v>
      </c>
      <c r="Q2908">
        <v>118.75</v>
      </c>
      <c r="R2908">
        <v>95</v>
      </c>
      <c r="S2908">
        <v>142.5</v>
      </c>
      <c r="T2908" t="s">
        <v>15203</v>
      </c>
    </row>
    <row r="2909" spans="1:20">
      <c r="A2909">
        <v>3330963</v>
      </c>
      <c r="B2909" t="s">
        <v>15204</v>
      </c>
      <c r="C2909" t="str">
        <f>"9780773520745"</f>
        <v>9780773520745</v>
      </c>
      <c r="D2909" t="str">
        <f>"9780773568594"</f>
        <v>9780773568594</v>
      </c>
      <c r="E2909" t="s">
        <v>12863</v>
      </c>
      <c r="F2909" t="s">
        <v>12863</v>
      </c>
      <c r="G2909" s="1">
        <v>36979</v>
      </c>
      <c r="J2909" t="s">
        <v>15205</v>
      </c>
      <c r="K2909" t="s">
        <v>1464</v>
      </c>
      <c r="L2909" t="s">
        <v>10526</v>
      </c>
      <c r="M2909">
        <v>812.54099710000003</v>
      </c>
      <c r="N2909" t="s">
        <v>15206</v>
      </c>
      <c r="O2909" t="s">
        <v>26</v>
      </c>
      <c r="P2909">
        <v>142.5</v>
      </c>
      <c r="Q2909">
        <v>118.75</v>
      </c>
      <c r="R2909">
        <v>95</v>
      </c>
      <c r="S2909">
        <v>142.5</v>
      </c>
      <c r="T2909" t="s">
        <v>15207</v>
      </c>
    </row>
    <row r="2910" spans="1:20">
      <c r="A2910">
        <v>3330964</v>
      </c>
      <c r="B2910" t="s">
        <v>15208</v>
      </c>
      <c r="C2910" t="str">
        <f>"9780773523975"</f>
        <v>9780773523975</v>
      </c>
      <c r="D2910" t="str">
        <f>"9780773570351"</f>
        <v>9780773570351</v>
      </c>
      <c r="E2910" t="s">
        <v>12863</v>
      </c>
      <c r="F2910" t="s">
        <v>12863</v>
      </c>
      <c r="G2910" s="1">
        <v>37607</v>
      </c>
      <c r="J2910" t="s">
        <v>15209</v>
      </c>
      <c r="K2910" t="s">
        <v>13493</v>
      </c>
      <c r="L2910" t="s">
        <v>15210</v>
      </c>
      <c r="M2910">
        <v>813</v>
      </c>
      <c r="N2910" t="s">
        <v>15211</v>
      </c>
      <c r="O2910" t="s">
        <v>26</v>
      </c>
      <c r="P2910">
        <v>142.5</v>
      </c>
      <c r="Q2910">
        <v>118.75</v>
      </c>
      <c r="R2910">
        <v>95</v>
      </c>
      <c r="S2910">
        <v>142.5</v>
      </c>
      <c r="T2910" t="s">
        <v>15212</v>
      </c>
    </row>
    <row r="2911" spans="1:20">
      <c r="A2911">
        <v>3330965</v>
      </c>
      <c r="B2911" t="s">
        <v>15213</v>
      </c>
      <c r="C2911" t="str">
        <f>"9780773511705"</f>
        <v>9780773511705</v>
      </c>
      <c r="D2911" t="str">
        <f>"9780773564602"</f>
        <v>9780773564602</v>
      </c>
      <c r="E2911" t="s">
        <v>12863</v>
      </c>
      <c r="F2911" t="s">
        <v>12863</v>
      </c>
      <c r="G2911" s="1">
        <v>34484</v>
      </c>
      <c r="J2911" t="s">
        <v>15214</v>
      </c>
      <c r="K2911" t="s">
        <v>1082</v>
      </c>
      <c r="L2911" t="s">
        <v>15215</v>
      </c>
      <c r="M2911">
        <v>362.11097142800003</v>
      </c>
      <c r="N2911" t="s">
        <v>15216</v>
      </c>
      <c r="O2911" t="s">
        <v>26</v>
      </c>
      <c r="P2911">
        <v>142.5</v>
      </c>
      <c r="Q2911">
        <v>118.75</v>
      </c>
      <c r="R2911">
        <v>95</v>
      </c>
      <c r="S2911">
        <v>142.5</v>
      </c>
      <c r="T2911" t="s">
        <v>15217</v>
      </c>
    </row>
    <row r="2912" spans="1:20">
      <c r="A2912">
        <v>3330966</v>
      </c>
      <c r="B2912" t="s">
        <v>15218</v>
      </c>
      <c r="C2912" t="str">
        <f>"9780773504196"</f>
        <v>9780773504196</v>
      </c>
      <c r="D2912" t="str">
        <f>"9780773560918"</f>
        <v>9780773560918</v>
      </c>
      <c r="E2912" t="s">
        <v>12907</v>
      </c>
      <c r="F2912" t="s">
        <v>12907</v>
      </c>
      <c r="G2912" s="1">
        <v>32509</v>
      </c>
      <c r="J2912" t="s">
        <v>15219</v>
      </c>
      <c r="K2912" t="s">
        <v>525</v>
      </c>
      <c r="L2912" t="s">
        <v>15220</v>
      </c>
      <c r="N2912" t="s">
        <v>15221</v>
      </c>
      <c r="O2912" t="s">
        <v>26</v>
      </c>
      <c r="P2912">
        <v>127.5</v>
      </c>
      <c r="Q2912">
        <v>106.25</v>
      </c>
      <c r="R2912">
        <v>85</v>
      </c>
      <c r="S2912">
        <v>127.5</v>
      </c>
      <c r="T2912" t="s">
        <v>15222</v>
      </c>
    </row>
    <row r="2913" spans="1:20">
      <c r="A2913">
        <v>3330967</v>
      </c>
      <c r="B2913" t="s">
        <v>15223</v>
      </c>
      <c r="C2913" t="str">
        <f>"9780773506695"</f>
        <v>9780773506695</v>
      </c>
      <c r="D2913" t="str">
        <f>"9780773561816"</f>
        <v>9780773561816</v>
      </c>
      <c r="E2913" t="s">
        <v>12863</v>
      </c>
      <c r="F2913" t="s">
        <v>12863</v>
      </c>
      <c r="G2913" s="1">
        <v>32478</v>
      </c>
      <c r="I2913" t="s">
        <v>12886</v>
      </c>
      <c r="J2913" t="s">
        <v>15224</v>
      </c>
      <c r="K2913" t="s">
        <v>1892</v>
      </c>
      <c r="L2913" t="s">
        <v>15225</v>
      </c>
      <c r="M2913">
        <v>280.40971300000001</v>
      </c>
      <c r="N2913" t="s">
        <v>15226</v>
      </c>
      <c r="O2913" t="s">
        <v>26</v>
      </c>
      <c r="P2913">
        <v>142.5</v>
      </c>
      <c r="Q2913">
        <v>118.75</v>
      </c>
      <c r="R2913">
        <v>95</v>
      </c>
      <c r="S2913">
        <v>142.5</v>
      </c>
      <c r="T2913" t="s">
        <v>15227</v>
      </c>
    </row>
    <row r="2914" spans="1:20">
      <c r="A2914">
        <v>3330968</v>
      </c>
      <c r="B2914" t="s">
        <v>15228</v>
      </c>
      <c r="C2914" t="str">
        <f>"9780773511361"</f>
        <v>9780773511361</v>
      </c>
      <c r="D2914" t="str">
        <f>"9780773564411"</f>
        <v>9780773564411</v>
      </c>
      <c r="E2914" t="s">
        <v>12863</v>
      </c>
      <c r="F2914" t="s">
        <v>12863</v>
      </c>
      <c r="G2914" s="1">
        <v>34344</v>
      </c>
      <c r="J2914" t="s">
        <v>15229</v>
      </c>
      <c r="K2914" t="s">
        <v>1464</v>
      </c>
      <c r="L2914" t="s">
        <v>15230</v>
      </c>
      <c r="M2914">
        <v>891.72409000000005</v>
      </c>
      <c r="N2914" t="s">
        <v>15231</v>
      </c>
      <c r="O2914" t="s">
        <v>26</v>
      </c>
      <c r="P2914">
        <v>142.5</v>
      </c>
      <c r="Q2914">
        <v>118.75</v>
      </c>
      <c r="R2914">
        <v>95</v>
      </c>
      <c r="S2914">
        <v>142.5</v>
      </c>
      <c r="T2914" t="s">
        <v>15232</v>
      </c>
    </row>
    <row r="2915" spans="1:20">
      <c r="A2915">
        <v>3330969</v>
      </c>
      <c r="B2915" t="s">
        <v>15233</v>
      </c>
      <c r="C2915" t="str">
        <f>"9780773508309"</f>
        <v>9780773508309</v>
      </c>
      <c r="D2915" t="str">
        <f>"9780773562868"</f>
        <v>9780773562868</v>
      </c>
      <c r="E2915" t="s">
        <v>12863</v>
      </c>
      <c r="F2915" t="s">
        <v>12863</v>
      </c>
      <c r="G2915" s="1">
        <v>33456</v>
      </c>
      <c r="J2915" t="s">
        <v>15234</v>
      </c>
      <c r="K2915" t="s">
        <v>305</v>
      </c>
      <c r="L2915" t="s">
        <v>15235</v>
      </c>
      <c r="M2915">
        <v>384.60820000000001</v>
      </c>
      <c r="N2915" t="s">
        <v>15236</v>
      </c>
      <c r="O2915" t="s">
        <v>26</v>
      </c>
      <c r="P2915">
        <v>120</v>
      </c>
      <c r="Q2915">
        <v>100</v>
      </c>
      <c r="R2915">
        <v>80</v>
      </c>
      <c r="S2915">
        <v>120</v>
      </c>
      <c r="T2915" t="s">
        <v>15237</v>
      </c>
    </row>
    <row r="2916" spans="1:20">
      <c r="A2916">
        <v>3330970</v>
      </c>
      <c r="B2916" t="s">
        <v>15238</v>
      </c>
      <c r="C2916" t="str">
        <f>"9780773511729"</f>
        <v>9780773511729</v>
      </c>
      <c r="D2916" t="str">
        <f>"9780773564626"</f>
        <v>9780773564626</v>
      </c>
      <c r="E2916" t="s">
        <v>12863</v>
      </c>
      <c r="F2916" t="s">
        <v>12863</v>
      </c>
      <c r="G2916" s="1">
        <v>34584</v>
      </c>
      <c r="J2916" t="s">
        <v>15239</v>
      </c>
      <c r="K2916" t="s">
        <v>6038</v>
      </c>
      <c r="L2916" t="s">
        <v>15240</v>
      </c>
      <c r="M2916">
        <v>387.22</v>
      </c>
      <c r="N2916" t="s">
        <v>15241</v>
      </c>
      <c r="O2916" t="s">
        <v>26</v>
      </c>
      <c r="P2916">
        <v>52.43</v>
      </c>
      <c r="Q2916">
        <v>43.69</v>
      </c>
      <c r="R2916">
        <v>34.950000000000003</v>
      </c>
      <c r="S2916">
        <v>52.43</v>
      </c>
      <c r="T2916" t="s">
        <v>15242</v>
      </c>
    </row>
    <row r="2917" spans="1:20">
      <c r="A2917">
        <v>3330971</v>
      </c>
      <c r="B2917" t="s">
        <v>15243</v>
      </c>
      <c r="C2917" t="str">
        <f>"9780773506244"</f>
        <v>9780773506244</v>
      </c>
      <c r="D2917" t="str">
        <f>"9780773561489"</f>
        <v>9780773561489</v>
      </c>
      <c r="E2917" t="s">
        <v>12863</v>
      </c>
      <c r="F2917" t="s">
        <v>12863</v>
      </c>
      <c r="G2917" s="1">
        <v>32387</v>
      </c>
      <c r="J2917" t="s">
        <v>15244</v>
      </c>
      <c r="K2917" t="s">
        <v>778</v>
      </c>
      <c r="L2917" t="s">
        <v>15245</v>
      </c>
      <c r="M2917">
        <v>341.44799999999998</v>
      </c>
      <c r="N2917" t="s">
        <v>15246</v>
      </c>
      <c r="O2917" t="s">
        <v>26</v>
      </c>
      <c r="P2917">
        <v>135</v>
      </c>
      <c r="Q2917">
        <v>112.5</v>
      </c>
      <c r="R2917">
        <v>90</v>
      </c>
      <c r="S2917">
        <v>135</v>
      </c>
      <c r="T2917" t="s">
        <v>15247</v>
      </c>
    </row>
    <row r="2918" spans="1:20">
      <c r="A2918">
        <v>3330972</v>
      </c>
      <c r="B2918" t="s">
        <v>15248</v>
      </c>
      <c r="C2918" t="str">
        <f>"9780773506992"</f>
        <v>9780773506992</v>
      </c>
      <c r="D2918" t="str">
        <f>"9780773562011"</f>
        <v>9780773562011</v>
      </c>
      <c r="E2918" t="s">
        <v>12907</v>
      </c>
      <c r="F2918" t="s">
        <v>12907</v>
      </c>
      <c r="G2918" s="1">
        <v>32660</v>
      </c>
      <c r="J2918" t="s">
        <v>14999</v>
      </c>
      <c r="K2918" t="s">
        <v>291</v>
      </c>
      <c r="L2918" t="s">
        <v>15249</v>
      </c>
      <c r="M2918" t="s">
        <v>15250</v>
      </c>
      <c r="N2918" t="s">
        <v>15251</v>
      </c>
      <c r="O2918" t="s">
        <v>26</v>
      </c>
      <c r="P2918">
        <v>142.5</v>
      </c>
      <c r="Q2918">
        <v>118.75</v>
      </c>
      <c r="R2918">
        <v>95</v>
      </c>
      <c r="S2918">
        <v>142.5</v>
      </c>
      <c r="T2918" t="s">
        <v>15252</v>
      </c>
    </row>
    <row r="2919" spans="1:20">
      <c r="A2919">
        <v>3330973</v>
      </c>
      <c r="B2919" t="s">
        <v>15253</v>
      </c>
      <c r="C2919" t="str">
        <f>"9780773506572"</f>
        <v>9780773506572</v>
      </c>
      <c r="D2919" t="str">
        <f>"9780773561717"</f>
        <v>9780773561717</v>
      </c>
      <c r="E2919" t="s">
        <v>12863</v>
      </c>
      <c r="F2919" t="s">
        <v>12863</v>
      </c>
      <c r="G2919" s="1">
        <v>33025</v>
      </c>
      <c r="J2919" t="s">
        <v>15254</v>
      </c>
      <c r="K2919" t="s">
        <v>1464</v>
      </c>
      <c r="L2919" t="s">
        <v>15255</v>
      </c>
      <c r="M2919">
        <v>811.54</v>
      </c>
      <c r="N2919" t="s">
        <v>15256</v>
      </c>
      <c r="O2919" t="s">
        <v>26</v>
      </c>
      <c r="P2919">
        <v>142.5</v>
      </c>
      <c r="Q2919">
        <v>118.75</v>
      </c>
      <c r="R2919">
        <v>95</v>
      </c>
      <c r="S2919">
        <v>142.5</v>
      </c>
      <c r="T2919" t="s">
        <v>15257</v>
      </c>
    </row>
    <row r="2920" spans="1:20">
      <c r="A2920">
        <v>3330974</v>
      </c>
      <c r="B2920" t="s">
        <v>15258</v>
      </c>
      <c r="C2920" t="str">
        <f>"9780773506688"</f>
        <v>9780773506688</v>
      </c>
      <c r="D2920" t="str">
        <f>"9780773561809"</f>
        <v>9780773561809</v>
      </c>
      <c r="E2920" t="s">
        <v>12863</v>
      </c>
      <c r="F2920" t="s">
        <v>12863</v>
      </c>
      <c r="G2920" s="1">
        <v>32478</v>
      </c>
      <c r="J2920" t="s">
        <v>15259</v>
      </c>
      <c r="K2920" t="s">
        <v>291</v>
      </c>
      <c r="L2920" t="s">
        <v>15260</v>
      </c>
      <c r="M2920">
        <v>971.803</v>
      </c>
      <c r="N2920" t="s">
        <v>15261</v>
      </c>
      <c r="O2920" t="s">
        <v>26</v>
      </c>
      <c r="P2920">
        <v>142.5</v>
      </c>
      <c r="Q2920">
        <v>118.75</v>
      </c>
      <c r="R2920">
        <v>95</v>
      </c>
      <c r="S2920">
        <v>142.5</v>
      </c>
      <c r="T2920" t="s">
        <v>15262</v>
      </c>
    </row>
    <row r="2921" spans="1:20">
      <c r="A2921">
        <v>3330975</v>
      </c>
      <c r="B2921" t="s">
        <v>15263</v>
      </c>
      <c r="C2921" t="str">
        <f>"9780773508538"</f>
        <v>9780773508538</v>
      </c>
      <c r="D2921" t="str">
        <f>"9780773563032"</f>
        <v>9780773563032</v>
      </c>
      <c r="E2921" t="s">
        <v>12863</v>
      </c>
      <c r="F2921" t="s">
        <v>12863</v>
      </c>
      <c r="G2921" s="1">
        <v>33270</v>
      </c>
      <c r="J2921" t="s">
        <v>15264</v>
      </c>
      <c r="K2921" t="s">
        <v>278</v>
      </c>
      <c r="L2921" t="s">
        <v>15265</v>
      </c>
      <c r="M2921">
        <v>339</v>
      </c>
      <c r="N2921" t="s">
        <v>15266</v>
      </c>
      <c r="O2921" t="s">
        <v>26</v>
      </c>
      <c r="P2921">
        <v>127.5</v>
      </c>
      <c r="Q2921">
        <v>106.25</v>
      </c>
      <c r="R2921">
        <v>85</v>
      </c>
      <c r="S2921">
        <v>127.5</v>
      </c>
      <c r="T2921" t="s">
        <v>15267</v>
      </c>
    </row>
    <row r="2922" spans="1:20">
      <c r="A2922">
        <v>3330976</v>
      </c>
      <c r="B2922" t="s">
        <v>15268</v>
      </c>
      <c r="C2922" t="str">
        <f>"9780773521223"</f>
        <v>9780773521223</v>
      </c>
      <c r="D2922" t="str">
        <f>"9780773568839"</f>
        <v>9780773568839</v>
      </c>
      <c r="E2922" t="s">
        <v>12907</v>
      </c>
      <c r="F2922" t="s">
        <v>12907</v>
      </c>
      <c r="G2922" s="1">
        <v>36892</v>
      </c>
      <c r="I2922" t="s">
        <v>12864</v>
      </c>
      <c r="J2922" t="s">
        <v>15269</v>
      </c>
      <c r="K2922" t="s">
        <v>3308</v>
      </c>
      <c r="L2922" t="s">
        <v>15270</v>
      </c>
      <c r="M2922" t="s">
        <v>15271</v>
      </c>
      <c r="N2922" t="s">
        <v>15272</v>
      </c>
      <c r="O2922" t="s">
        <v>26</v>
      </c>
      <c r="P2922">
        <v>142.5</v>
      </c>
      <c r="Q2922">
        <v>118.75</v>
      </c>
      <c r="R2922">
        <v>95</v>
      </c>
      <c r="S2922">
        <v>142.5</v>
      </c>
      <c r="T2922" t="s">
        <v>15273</v>
      </c>
    </row>
    <row r="2923" spans="1:20">
      <c r="A2923">
        <v>3330977</v>
      </c>
      <c r="B2923" t="s">
        <v>15274</v>
      </c>
      <c r="C2923" t="str">
        <f>"9780773508828"</f>
        <v>9780773508828</v>
      </c>
      <c r="D2923" t="str">
        <f>"9780773563193"</f>
        <v>9780773563193</v>
      </c>
      <c r="E2923" t="s">
        <v>12863</v>
      </c>
      <c r="F2923" t="s">
        <v>12863</v>
      </c>
      <c r="G2923" s="1">
        <v>33660</v>
      </c>
      <c r="I2923" t="s">
        <v>12886</v>
      </c>
      <c r="J2923" t="s">
        <v>15275</v>
      </c>
      <c r="K2923" t="s">
        <v>1892</v>
      </c>
      <c r="L2923" t="s">
        <v>15276</v>
      </c>
      <c r="M2923">
        <v>287.09710000000001</v>
      </c>
      <c r="N2923" t="s">
        <v>15277</v>
      </c>
      <c r="O2923" t="s">
        <v>26</v>
      </c>
      <c r="P2923">
        <v>142.5</v>
      </c>
      <c r="Q2923">
        <v>118.75</v>
      </c>
      <c r="R2923">
        <v>95</v>
      </c>
      <c r="S2923">
        <v>142.5</v>
      </c>
      <c r="T2923" t="s">
        <v>15278</v>
      </c>
    </row>
    <row r="2924" spans="1:20">
      <c r="A2924">
        <v>3330978</v>
      </c>
      <c r="B2924" t="s">
        <v>15279</v>
      </c>
      <c r="C2924" t="str">
        <f>"9780773508736"</f>
        <v>9780773508736</v>
      </c>
      <c r="D2924" t="str">
        <f>"9780773563148"</f>
        <v>9780773563148</v>
      </c>
      <c r="E2924" t="s">
        <v>12863</v>
      </c>
      <c r="F2924" t="s">
        <v>12863</v>
      </c>
      <c r="G2924" s="1">
        <v>33574</v>
      </c>
      <c r="I2924" t="s">
        <v>12886</v>
      </c>
      <c r="J2924" t="s">
        <v>15280</v>
      </c>
      <c r="K2924" t="s">
        <v>1892</v>
      </c>
      <c r="L2924" t="s">
        <v>15281</v>
      </c>
      <c r="M2924" t="s">
        <v>15282</v>
      </c>
      <c r="N2924" t="s">
        <v>15283</v>
      </c>
      <c r="O2924" t="s">
        <v>26</v>
      </c>
      <c r="P2924">
        <v>127.5</v>
      </c>
      <c r="Q2924">
        <v>106.25</v>
      </c>
      <c r="R2924">
        <v>85</v>
      </c>
      <c r="S2924">
        <v>127.5</v>
      </c>
      <c r="T2924" t="s">
        <v>15284</v>
      </c>
    </row>
    <row r="2925" spans="1:20">
      <c r="A2925">
        <v>3330979</v>
      </c>
      <c r="B2925" t="s">
        <v>15285</v>
      </c>
      <c r="C2925" t="str">
        <f>"9780773522039"</f>
        <v>9780773522039</v>
      </c>
      <c r="D2925" t="str">
        <f>"9780773569331"</f>
        <v>9780773569331</v>
      </c>
      <c r="E2925" t="s">
        <v>12863</v>
      </c>
      <c r="F2925" t="s">
        <v>12863</v>
      </c>
      <c r="G2925" s="1">
        <v>37378</v>
      </c>
      <c r="I2925" t="s">
        <v>13046</v>
      </c>
      <c r="J2925" t="s">
        <v>15286</v>
      </c>
      <c r="K2925" t="s">
        <v>263</v>
      </c>
      <c r="L2925" t="s">
        <v>15287</v>
      </c>
      <c r="M2925">
        <v>305.5</v>
      </c>
      <c r="N2925" t="s">
        <v>15288</v>
      </c>
      <c r="O2925" t="s">
        <v>26</v>
      </c>
      <c r="P2925">
        <v>150</v>
      </c>
      <c r="Q2925">
        <v>125</v>
      </c>
      <c r="R2925">
        <v>100</v>
      </c>
      <c r="S2925">
        <v>150</v>
      </c>
      <c r="T2925" t="s">
        <v>15289</v>
      </c>
    </row>
    <row r="2926" spans="1:20">
      <c r="A2926">
        <v>3330980</v>
      </c>
      <c r="B2926" t="s">
        <v>15290</v>
      </c>
      <c r="C2926" t="str">
        <f>"9780773528161"</f>
        <v>9780773528161</v>
      </c>
      <c r="D2926" t="str">
        <f>"9780773572393"</f>
        <v>9780773572393</v>
      </c>
      <c r="E2926" t="s">
        <v>12863</v>
      </c>
      <c r="F2926" t="s">
        <v>12863</v>
      </c>
      <c r="G2926" s="1">
        <v>38273</v>
      </c>
      <c r="J2926" t="s">
        <v>15291</v>
      </c>
      <c r="K2926" t="s">
        <v>15292</v>
      </c>
      <c r="L2926" t="s">
        <v>15293</v>
      </c>
      <c r="M2926">
        <v>627.54909716340001</v>
      </c>
      <c r="N2926" t="s">
        <v>15294</v>
      </c>
      <c r="O2926" t="s">
        <v>26</v>
      </c>
      <c r="P2926">
        <v>44.93</v>
      </c>
      <c r="Q2926">
        <v>37.44</v>
      </c>
      <c r="R2926">
        <v>29.95</v>
      </c>
      <c r="S2926">
        <v>44.93</v>
      </c>
      <c r="T2926" t="s">
        <v>15295</v>
      </c>
    </row>
    <row r="2927" spans="1:20">
      <c r="A2927">
        <v>3330981</v>
      </c>
      <c r="B2927" t="s">
        <v>15296</v>
      </c>
      <c r="C2927" t="str">
        <f>"9780773516625"</f>
        <v>9780773516625</v>
      </c>
      <c r="D2927" t="str">
        <f>"9780773566828"</f>
        <v>9780773566828</v>
      </c>
      <c r="E2927" t="s">
        <v>12863</v>
      </c>
      <c r="F2927" t="s">
        <v>12863</v>
      </c>
      <c r="G2927" s="1">
        <v>35682</v>
      </c>
      <c r="J2927" t="s">
        <v>15297</v>
      </c>
      <c r="K2927" t="s">
        <v>263</v>
      </c>
      <c r="L2927" t="s">
        <v>15298</v>
      </c>
      <c r="M2927">
        <v>302.3</v>
      </c>
      <c r="N2927" t="s">
        <v>15299</v>
      </c>
      <c r="O2927" t="s">
        <v>26</v>
      </c>
      <c r="P2927">
        <v>142.5</v>
      </c>
      <c r="Q2927">
        <v>118.75</v>
      </c>
      <c r="R2927">
        <v>95</v>
      </c>
      <c r="S2927">
        <v>142.5</v>
      </c>
      <c r="T2927" t="s">
        <v>15300</v>
      </c>
    </row>
    <row r="2928" spans="1:20">
      <c r="A2928">
        <v>3330982</v>
      </c>
      <c r="B2928" t="s">
        <v>15301</v>
      </c>
      <c r="C2928" t="str">
        <f>"9780773508163"</f>
        <v>9780773508163</v>
      </c>
      <c r="D2928" t="str">
        <f>"9780773562769"</f>
        <v>9780773562769</v>
      </c>
      <c r="E2928" t="s">
        <v>12863</v>
      </c>
      <c r="F2928" t="s">
        <v>12863</v>
      </c>
      <c r="G2928" s="1">
        <v>33270</v>
      </c>
      <c r="J2928" t="s">
        <v>15302</v>
      </c>
      <c r="K2928" t="s">
        <v>291</v>
      </c>
      <c r="L2928" t="s">
        <v>15303</v>
      </c>
      <c r="M2928">
        <v>944.02800000000002</v>
      </c>
      <c r="N2928" t="s">
        <v>15304</v>
      </c>
      <c r="O2928" t="s">
        <v>26</v>
      </c>
      <c r="P2928">
        <v>142.5</v>
      </c>
      <c r="Q2928">
        <v>118.75</v>
      </c>
      <c r="R2928">
        <v>95</v>
      </c>
      <c r="S2928">
        <v>142.5</v>
      </c>
      <c r="T2928" t="s">
        <v>15305</v>
      </c>
    </row>
    <row r="2929" spans="1:20">
      <c r="A2929">
        <v>3330983</v>
      </c>
      <c r="B2929" t="s">
        <v>15306</v>
      </c>
      <c r="C2929" t="str">
        <f>"9780773512108"</f>
        <v>9780773512108</v>
      </c>
      <c r="D2929" t="str">
        <f>"9780773564831"</f>
        <v>9780773564831</v>
      </c>
      <c r="E2929" t="s">
        <v>12863</v>
      </c>
      <c r="F2929" t="s">
        <v>12863</v>
      </c>
      <c r="G2929" s="1">
        <v>34717</v>
      </c>
      <c r="J2929" t="s">
        <v>15307</v>
      </c>
      <c r="K2929" t="s">
        <v>2260</v>
      </c>
      <c r="L2929" t="s">
        <v>15308</v>
      </c>
      <c r="M2929">
        <v>616.23800000000006</v>
      </c>
      <c r="N2929" t="s">
        <v>15309</v>
      </c>
      <c r="O2929" t="s">
        <v>26</v>
      </c>
      <c r="P2929">
        <v>142.5</v>
      </c>
      <c r="Q2929">
        <v>118.75</v>
      </c>
      <c r="R2929">
        <v>95</v>
      </c>
      <c r="S2929">
        <v>142.5</v>
      </c>
      <c r="T2929" t="s">
        <v>15310</v>
      </c>
    </row>
    <row r="2930" spans="1:20">
      <c r="A2930">
        <v>3330984</v>
      </c>
      <c r="B2930" t="s">
        <v>15311</v>
      </c>
      <c r="C2930" t="str">
        <f>"9780773520578"</f>
        <v>9780773520578</v>
      </c>
      <c r="D2930" t="str">
        <f>"9780773568488"</f>
        <v>9780773568488</v>
      </c>
      <c r="E2930" t="s">
        <v>12863</v>
      </c>
      <c r="F2930" t="s">
        <v>12863</v>
      </c>
      <c r="G2930" s="1">
        <v>36672</v>
      </c>
      <c r="J2930" t="s">
        <v>15312</v>
      </c>
      <c r="K2930" t="s">
        <v>1464</v>
      </c>
      <c r="L2930" t="s">
        <v>15313</v>
      </c>
      <c r="M2930">
        <v>811.52</v>
      </c>
      <c r="N2930" t="s">
        <v>15314</v>
      </c>
      <c r="O2930" t="s">
        <v>26</v>
      </c>
      <c r="P2930">
        <v>142.5</v>
      </c>
      <c r="Q2930">
        <v>118.75</v>
      </c>
      <c r="R2930">
        <v>95</v>
      </c>
      <c r="S2930">
        <v>142.5</v>
      </c>
      <c r="T2930" t="s">
        <v>15315</v>
      </c>
    </row>
    <row r="2931" spans="1:20">
      <c r="A2931">
        <v>3330985</v>
      </c>
      <c r="B2931" t="s">
        <v>15316</v>
      </c>
      <c r="C2931" t="str">
        <f>"9780773504394"</f>
        <v>9780773504394</v>
      </c>
      <c r="D2931" t="str">
        <f>"9780773561014"</f>
        <v>9780773561014</v>
      </c>
      <c r="E2931" t="s">
        <v>12863</v>
      </c>
      <c r="F2931" t="s">
        <v>12863</v>
      </c>
      <c r="G2931" s="1">
        <v>30987</v>
      </c>
      <c r="J2931" t="s">
        <v>15317</v>
      </c>
      <c r="K2931" t="s">
        <v>1892</v>
      </c>
      <c r="L2931" t="s">
        <v>15318</v>
      </c>
      <c r="M2931">
        <v>286.09715999999997</v>
      </c>
      <c r="N2931" t="s">
        <v>15319</v>
      </c>
      <c r="O2931" t="s">
        <v>26</v>
      </c>
      <c r="P2931">
        <v>142.5</v>
      </c>
      <c r="Q2931">
        <v>118.75</v>
      </c>
      <c r="R2931">
        <v>95</v>
      </c>
      <c r="S2931">
        <v>142.5</v>
      </c>
      <c r="T2931" t="s">
        <v>15320</v>
      </c>
    </row>
    <row r="2932" spans="1:20">
      <c r="A2932">
        <v>3330986</v>
      </c>
      <c r="B2932" t="s">
        <v>15321</v>
      </c>
      <c r="C2932" t="str">
        <f>"9780773506138"</f>
        <v>9780773506138</v>
      </c>
      <c r="D2932" t="str">
        <f>"9780773561403"</f>
        <v>9780773561403</v>
      </c>
      <c r="E2932" t="s">
        <v>12863</v>
      </c>
      <c r="F2932" t="s">
        <v>12863</v>
      </c>
      <c r="G2932" s="1">
        <v>32021</v>
      </c>
      <c r="J2932" t="s">
        <v>15322</v>
      </c>
      <c r="K2932" t="s">
        <v>2963</v>
      </c>
      <c r="L2932" t="s">
        <v>13130</v>
      </c>
      <c r="M2932">
        <v>909.09632699999997</v>
      </c>
      <c r="N2932" t="s">
        <v>15323</v>
      </c>
      <c r="O2932" t="s">
        <v>26</v>
      </c>
      <c r="P2932">
        <v>142.5</v>
      </c>
      <c r="Q2932">
        <v>118.75</v>
      </c>
      <c r="R2932">
        <v>95</v>
      </c>
      <c r="S2932">
        <v>142.5</v>
      </c>
      <c r="T2932" t="s">
        <v>15324</v>
      </c>
    </row>
    <row r="2933" spans="1:20">
      <c r="A2933">
        <v>3330987</v>
      </c>
      <c r="B2933" t="s">
        <v>15325</v>
      </c>
      <c r="C2933" t="str">
        <f>"9780773506145"</f>
        <v>9780773506145</v>
      </c>
      <c r="D2933" t="str">
        <f>"9780773561410"</f>
        <v>9780773561410</v>
      </c>
      <c r="E2933" t="s">
        <v>12863</v>
      </c>
      <c r="F2933" t="s">
        <v>12863</v>
      </c>
      <c r="G2933" s="1">
        <v>32203</v>
      </c>
      <c r="J2933" t="s">
        <v>15326</v>
      </c>
      <c r="K2933" t="s">
        <v>899</v>
      </c>
      <c r="L2933" t="s">
        <v>15327</v>
      </c>
      <c r="M2933">
        <v>363.50970999999998</v>
      </c>
      <c r="N2933" t="s">
        <v>15328</v>
      </c>
      <c r="O2933" t="s">
        <v>26</v>
      </c>
      <c r="P2933">
        <v>142.5</v>
      </c>
      <c r="Q2933">
        <v>118.75</v>
      </c>
      <c r="R2933">
        <v>95</v>
      </c>
      <c r="S2933">
        <v>142.5</v>
      </c>
      <c r="T2933" t="s">
        <v>15329</v>
      </c>
    </row>
    <row r="2934" spans="1:20">
      <c r="A2934">
        <v>3330988</v>
      </c>
      <c r="B2934" t="s">
        <v>15330</v>
      </c>
      <c r="C2934" t="str">
        <f>"9780773507043"</f>
        <v>9780773507043</v>
      </c>
      <c r="D2934" t="str">
        <f>"9780773562059"</f>
        <v>9780773562059</v>
      </c>
      <c r="E2934" t="s">
        <v>12863</v>
      </c>
      <c r="F2934" t="s">
        <v>12863</v>
      </c>
      <c r="G2934" s="1">
        <v>32690</v>
      </c>
      <c r="J2934" t="s">
        <v>15331</v>
      </c>
      <c r="K2934" t="s">
        <v>14194</v>
      </c>
      <c r="L2934" t="s">
        <v>15332</v>
      </c>
      <c r="M2934">
        <v>344.44</v>
      </c>
      <c r="N2934" t="s">
        <v>15333</v>
      </c>
      <c r="O2934" t="s">
        <v>26</v>
      </c>
      <c r="P2934">
        <v>142.5</v>
      </c>
      <c r="Q2934">
        <v>118.75</v>
      </c>
      <c r="R2934">
        <v>95</v>
      </c>
      <c r="S2934">
        <v>142.5</v>
      </c>
      <c r="T2934" t="s">
        <v>15334</v>
      </c>
    </row>
    <row r="2935" spans="1:20">
      <c r="A2935">
        <v>3330989</v>
      </c>
      <c r="B2935" t="s">
        <v>15335</v>
      </c>
      <c r="C2935" t="str">
        <f>"9780773523364"</f>
        <v>9780773523364</v>
      </c>
      <c r="D2935" t="str">
        <f>"9780773570023"</f>
        <v>9780773570023</v>
      </c>
      <c r="E2935" t="s">
        <v>12863</v>
      </c>
      <c r="F2935" t="s">
        <v>12863</v>
      </c>
      <c r="G2935" s="1">
        <v>37467</v>
      </c>
      <c r="J2935" t="s">
        <v>15336</v>
      </c>
      <c r="K2935" t="s">
        <v>305</v>
      </c>
      <c r="L2935" t="s">
        <v>15337</v>
      </c>
      <c r="M2935">
        <v>381.3</v>
      </c>
      <c r="N2935" t="s">
        <v>15338</v>
      </c>
      <c r="O2935" t="s">
        <v>26</v>
      </c>
      <c r="P2935">
        <v>142.5</v>
      </c>
      <c r="Q2935">
        <v>118.75</v>
      </c>
      <c r="R2935">
        <v>95</v>
      </c>
      <c r="S2935">
        <v>142.5</v>
      </c>
      <c r="T2935" t="s">
        <v>15339</v>
      </c>
    </row>
    <row r="2936" spans="1:20">
      <c r="A2936">
        <v>3330990</v>
      </c>
      <c r="B2936" t="s">
        <v>15340</v>
      </c>
      <c r="C2936" t="str">
        <f>"9780886293598"</f>
        <v>9780886293598</v>
      </c>
      <c r="D2936" t="str">
        <f>"9780773574205"</f>
        <v>9780773574205</v>
      </c>
      <c r="E2936" t="s">
        <v>12863</v>
      </c>
      <c r="F2936" t="s">
        <v>12863</v>
      </c>
      <c r="G2936" s="1">
        <v>36479</v>
      </c>
      <c r="J2936" t="s">
        <v>15341</v>
      </c>
      <c r="K2936" t="s">
        <v>2818</v>
      </c>
      <c r="L2936" t="s">
        <v>15342</v>
      </c>
      <c r="M2936">
        <v>362.19699400000002</v>
      </c>
      <c r="N2936" t="s">
        <v>15343</v>
      </c>
      <c r="O2936" t="s">
        <v>26</v>
      </c>
      <c r="P2936">
        <v>142.5</v>
      </c>
      <c r="Q2936">
        <v>118.75</v>
      </c>
      <c r="R2936">
        <v>95</v>
      </c>
      <c r="S2936">
        <v>142.5</v>
      </c>
      <c r="T2936" t="s">
        <v>15344</v>
      </c>
    </row>
    <row r="2937" spans="1:20">
      <c r="A2937">
        <v>3330991</v>
      </c>
      <c r="B2937" t="s">
        <v>15345</v>
      </c>
      <c r="C2937" t="str">
        <f>"9780773527966"</f>
        <v>9780773527966</v>
      </c>
      <c r="D2937" t="str">
        <f>"9780773572263"</f>
        <v>9780773572263</v>
      </c>
      <c r="E2937" t="s">
        <v>12863</v>
      </c>
      <c r="F2937" t="s">
        <v>12863</v>
      </c>
      <c r="G2937" s="1">
        <v>38313</v>
      </c>
      <c r="J2937" t="s">
        <v>15346</v>
      </c>
      <c r="K2937" t="s">
        <v>6444</v>
      </c>
      <c r="L2937" t="s">
        <v>13712</v>
      </c>
      <c r="M2937">
        <v>327.71073090340002</v>
      </c>
      <c r="N2937" t="s">
        <v>15347</v>
      </c>
      <c r="O2937" t="s">
        <v>26</v>
      </c>
      <c r="P2937">
        <v>142.5</v>
      </c>
      <c r="Q2937">
        <v>118.75</v>
      </c>
      <c r="R2937">
        <v>95</v>
      </c>
      <c r="S2937">
        <v>142.5</v>
      </c>
      <c r="T2937" t="s">
        <v>15348</v>
      </c>
    </row>
    <row r="2938" spans="1:20">
      <c r="A2938">
        <v>3330992</v>
      </c>
      <c r="B2938" t="s">
        <v>15349</v>
      </c>
      <c r="C2938" t="str">
        <f>"9780773506947"</f>
        <v>9780773506947</v>
      </c>
      <c r="D2938" t="str">
        <f>"9780773561960"</f>
        <v>9780773561960</v>
      </c>
      <c r="E2938" t="s">
        <v>12863</v>
      </c>
      <c r="F2938" t="s">
        <v>12863</v>
      </c>
      <c r="G2938" s="1">
        <v>32599</v>
      </c>
      <c r="J2938" t="s">
        <v>15350</v>
      </c>
      <c r="K2938" t="s">
        <v>778</v>
      </c>
      <c r="L2938" t="s">
        <v>15351</v>
      </c>
      <c r="M2938">
        <v>341.44799999999998</v>
      </c>
      <c r="N2938" t="s">
        <v>15352</v>
      </c>
      <c r="O2938" t="s">
        <v>26</v>
      </c>
      <c r="P2938">
        <v>142.5</v>
      </c>
      <c r="Q2938">
        <v>118.75</v>
      </c>
      <c r="R2938">
        <v>95</v>
      </c>
      <c r="S2938">
        <v>142.5</v>
      </c>
      <c r="T2938" t="s">
        <v>15353</v>
      </c>
    </row>
    <row r="2939" spans="1:20">
      <c r="A2939">
        <v>3330993</v>
      </c>
      <c r="B2939" t="s">
        <v>15354</v>
      </c>
      <c r="C2939" t="str">
        <f>"9780773511231"</f>
        <v>9780773511231</v>
      </c>
      <c r="D2939" t="str">
        <f>"9780773564312"</f>
        <v>9780773564312</v>
      </c>
      <c r="E2939" t="s">
        <v>12863</v>
      </c>
      <c r="F2939" t="s">
        <v>12863</v>
      </c>
      <c r="G2939" s="1">
        <v>34232</v>
      </c>
      <c r="J2939" t="s">
        <v>15355</v>
      </c>
      <c r="K2939" t="s">
        <v>1150</v>
      </c>
      <c r="L2939" t="s">
        <v>15356</v>
      </c>
      <c r="M2939">
        <v>796.93209200000001</v>
      </c>
      <c r="N2939" t="s">
        <v>15357</v>
      </c>
      <c r="O2939" t="s">
        <v>26</v>
      </c>
      <c r="P2939">
        <v>127.5</v>
      </c>
      <c r="Q2939">
        <v>106.25</v>
      </c>
      <c r="R2939">
        <v>85</v>
      </c>
      <c r="S2939">
        <v>127.5</v>
      </c>
      <c r="T2939" t="s">
        <v>15358</v>
      </c>
    </row>
    <row r="2940" spans="1:20">
      <c r="A2940">
        <v>3330994</v>
      </c>
      <c r="B2940" t="s">
        <v>15359</v>
      </c>
      <c r="C2940" t="str">
        <f>"9780773509504"</f>
        <v>9780773509504</v>
      </c>
      <c r="D2940" t="str">
        <f>"9780773563667"</f>
        <v>9780773563667</v>
      </c>
      <c r="E2940" t="s">
        <v>12863</v>
      </c>
      <c r="F2940" t="s">
        <v>12863</v>
      </c>
      <c r="G2940" s="1">
        <v>33885</v>
      </c>
      <c r="J2940" t="s">
        <v>15360</v>
      </c>
      <c r="K2940" t="s">
        <v>291</v>
      </c>
      <c r="L2940" t="s">
        <v>15361</v>
      </c>
      <c r="M2940">
        <v>970.00497499999994</v>
      </c>
      <c r="N2940" t="s">
        <v>15362</v>
      </c>
      <c r="O2940" t="s">
        <v>26</v>
      </c>
      <c r="P2940">
        <v>142.5</v>
      </c>
      <c r="Q2940">
        <v>118.75</v>
      </c>
      <c r="R2940">
        <v>95</v>
      </c>
      <c r="S2940">
        <v>142.5</v>
      </c>
      <c r="T2940" t="s">
        <v>15363</v>
      </c>
    </row>
    <row r="2941" spans="1:20">
      <c r="A2941">
        <v>3330995</v>
      </c>
      <c r="B2941" t="s">
        <v>15364</v>
      </c>
      <c r="C2941" t="str">
        <f>"9780773511682"</f>
        <v>9780773511682</v>
      </c>
      <c r="D2941" t="str">
        <f>"9780773564596"</f>
        <v>9780773564596</v>
      </c>
      <c r="E2941" t="s">
        <v>12863</v>
      </c>
      <c r="F2941" t="s">
        <v>12863</v>
      </c>
      <c r="G2941" s="1">
        <v>34485</v>
      </c>
      <c r="J2941" t="s">
        <v>15365</v>
      </c>
      <c r="K2941" t="s">
        <v>6444</v>
      </c>
      <c r="L2941" t="s">
        <v>15366</v>
      </c>
      <c r="M2941">
        <v>971.23019999999997</v>
      </c>
      <c r="N2941" t="s">
        <v>15367</v>
      </c>
      <c r="O2941" t="s">
        <v>26</v>
      </c>
      <c r="P2941">
        <v>142.5</v>
      </c>
      <c r="Q2941">
        <v>118.75</v>
      </c>
      <c r="R2941">
        <v>95</v>
      </c>
      <c r="S2941">
        <v>142.5</v>
      </c>
      <c r="T2941" t="s">
        <v>15368</v>
      </c>
    </row>
    <row r="2942" spans="1:20">
      <c r="A2942">
        <v>3330996</v>
      </c>
      <c r="B2942" t="s">
        <v>15369</v>
      </c>
      <c r="C2942" t="str">
        <f>"9780773520240"</f>
        <v>9780773520240</v>
      </c>
      <c r="D2942" t="str">
        <f>"9780773568273"</f>
        <v>9780773568273</v>
      </c>
      <c r="E2942" t="s">
        <v>12863</v>
      </c>
      <c r="F2942" t="s">
        <v>12863</v>
      </c>
      <c r="G2942" s="1">
        <v>36672</v>
      </c>
      <c r="J2942" t="s">
        <v>15370</v>
      </c>
      <c r="K2942" t="s">
        <v>467</v>
      </c>
      <c r="L2942" t="s">
        <v>15371</v>
      </c>
      <c r="M2942">
        <v>320.94499999999999</v>
      </c>
      <c r="N2942" t="s">
        <v>15372</v>
      </c>
      <c r="O2942" t="s">
        <v>26</v>
      </c>
      <c r="P2942">
        <v>142.5</v>
      </c>
      <c r="Q2942">
        <v>118.75</v>
      </c>
      <c r="R2942">
        <v>95</v>
      </c>
      <c r="S2942">
        <v>142.5</v>
      </c>
      <c r="T2942" t="s">
        <v>15373</v>
      </c>
    </row>
    <row r="2943" spans="1:20">
      <c r="A2943">
        <v>3330997</v>
      </c>
      <c r="B2943" t="s">
        <v>15374</v>
      </c>
      <c r="C2943" t="str">
        <f>"9780886291136"</f>
        <v>9780886291136</v>
      </c>
      <c r="D2943" t="str">
        <f>"9780773573598"</f>
        <v>9780773573598</v>
      </c>
      <c r="E2943" t="s">
        <v>12863</v>
      </c>
      <c r="F2943" t="s">
        <v>12863</v>
      </c>
      <c r="G2943" s="1">
        <v>32857</v>
      </c>
      <c r="J2943" t="s">
        <v>15375</v>
      </c>
      <c r="K2943" t="s">
        <v>291</v>
      </c>
      <c r="L2943" t="s">
        <v>15376</v>
      </c>
      <c r="M2943">
        <v>956.94040919999998</v>
      </c>
      <c r="N2943" t="s">
        <v>15377</v>
      </c>
      <c r="O2943" t="s">
        <v>26</v>
      </c>
      <c r="P2943">
        <v>127.5</v>
      </c>
      <c r="Q2943">
        <v>106.25</v>
      </c>
      <c r="R2943">
        <v>85</v>
      </c>
      <c r="S2943">
        <v>127.5</v>
      </c>
      <c r="T2943" t="s">
        <v>15378</v>
      </c>
    </row>
    <row r="2944" spans="1:20">
      <c r="A2944">
        <v>3330998</v>
      </c>
      <c r="B2944" t="s">
        <v>15379</v>
      </c>
      <c r="C2944" t="str">
        <f>"9780773512160"</f>
        <v>9780773512160</v>
      </c>
      <c r="D2944" t="str">
        <f>"9780773564855"</f>
        <v>9780773564855</v>
      </c>
      <c r="E2944" t="s">
        <v>12863</v>
      </c>
      <c r="F2944" t="s">
        <v>12863</v>
      </c>
      <c r="G2944" s="1">
        <v>34631</v>
      </c>
      <c r="I2944" t="s">
        <v>12864</v>
      </c>
      <c r="J2944" t="s">
        <v>15380</v>
      </c>
      <c r="K2944" t="s">
        <v>2260</v>
      </c>
      <c r="L2944" t="s">
        <v>14721</v>
      </c>
      <c r="M2944">
        <v>616.99500899709994</v>
      </c>
      <c r="N2944" t="s">
        <v>15381</v>
      </c>
      <c r="O2944" t="s">
        <v>26</v>
      </c>
      <c r="P2944">
        <v>142.5</v>
      </c>
      <c r="Q2944">
        <v>118.75</v>
      </c>
      <c r="R2944">
        <v>95</v>
      </c>
      <c r="S2944">
        <v>142.5</v>
      </c>
      <c r="T2944" t="s">
        <v>15382</v>
      </c>
    </row>
    <row r="2945" spans="1:20">
      <c r="A2945">
        <v>3330999</v>
      </c>
      <c r="B2945" t="s">
        <v>15383</v>
      </c>
      <c r="C2945" t="str">
        <f>"9780773518551"</f>
        <v>9780773518551</v>
      </c>
      <c r="D2945" t="str">
        <f>"9780773567894"</f>
        <v>9780773567894</v>
      </c>
      <c r="E2945" t="s">
        <v>12863</v>
      </c>
      <c r="F2945" t="s">
        <v>12863</v>
      </c>
      <c r="G2945" s="1">
        <v>36458</v>
      </c>
      <c r="J2945" t="s">
        <v>15384</v>
      </c>
      <c r="K2945" t="s">
        <v>263</v>
      </c>
      <c r="L2945" t="s">
        <v>15385</v>
      </c>
      <c r="M2945">
        <v>305.42</v>
      </c>
      <c r="N2945" t="s">
        <v>15386</v>
      </c>
      <c r="O2945" t="s">
        <v>26</v>
      </c>
      <c r="P2945">
        <v>142.5</v>
      </c>
      <c r="Q2945">
        <v>118.75</v>
      </c>
      <c r="R2945">
        <v>95</v>
      </c>
      <c r="S2945">
        <v>142.5</v>
      </c>
      <c r="T2945" t="s">
        <v>15387</v>
      </c>
    </row>
    <row r="2946" spans="1:20">
      <c r="A2946">
        <v>3331000</v>
      </c>
      <c r="B2946" t="s">
        <v>15388</v>
      </c>
      <c r="C2946" t="str">
        <f>"9780773511132"</f>
        <v>9780773511132</v>
      </c>
      <c r="D2946" t="str">
        <f>"9780773564268"</f>
        <v>9780773564268</v>
      </c>
      <c r="E2946" t="s">
        <v>12863</v>
      </c>
      <c r="F2946" t="s">
        <v>12863</v>
      </c>
      <c r="G2946" s="1">
        <v>34247</v>
      </c>
      <c r="J2946" t="s">
        <v>15389</v>
      </c>
      <c r="K2946" t="s">
        <v>4433</v>
      </c>
      <c r="L2946" t="s">
        <v>15390</v>
      </c>
      <c r="M2946">
        <v>320.51299999999998</v>
      </c>
      <c r="N2946" t="s">
        <v>15391</v>
      </c>
      <c r="O2946" t="s">
        <v>26</v>
      </c>
      <c r="P2946">
        <v>142.5</v>
      </c>
      <c r="Q2946">
        <v>118.75</v>
      </c>
      <c r="R2946">
        <v>95</v>
      </c>
      <c r="S2946">
        <v>142.5</v>
      </c>
      <c r="T2946" t="s">
        <v>15392</v>
      </c>
    </row>
    <row r="2947" spans="1:20">
      <c r="A2947">
        <v>3331001</v>
      </c>
      <c r="B2947" t="s">
        <v>15393</v>
      </c>
      <c r="C2947" t="str">
        <f>"9780773512399"</f>
        <v>9780773512399</v>
      </c>
      <c r="D2947" t="str">
        <f>"9780773565081"</f>
        <v>9780773565081</v>
      </c>
      <c r="E2947" t="s">
        <v>12863</v>
      </c>
      <c r="F2947" t="s">
        <v>12863</v>
      </c>
      <c r="G2947" s="1">
        <v>34760</v>
      </c>
      <c r="J2947" t="s">
        <v>15394</v>
      </c>
      <c r="K2947" t="s">
        <v>525</v>
      </c>
      <c r="L2947" t="s">
        <v>15395</v>
      </c>
      <c r="M2947">
        <v>341.48099999999999</v>
      </c>
      <c r="N2947" t="s">
        <v>15396</v>
      </c>
      <c r="O2947" t="s">
        <v>26</v>
      </c>
      <c r="P2947">
        <v>127.5</v>
      </c>
      <c r="Q2947">
        <v>106.25</v>
      </c>
      <c r="R2947">
        <v>85</v>
      </c>
      <c r="S2947">
        <v>127.5</v>
      </c>
      <c r="T2947" t="s">
        <v>15397</v>
      </c>
    </row>
    <row r="2948" spans="1:20">
      <c r="A2948">
        <v>3331002</v>
      </c>
      <c r="B2948" t="s">
        <v>15398</v>
      </c>
      <c r="C2948" t="str">
        <f>"9780773511712"</f>
        <v>9780773511712</v>
      </c>
      <c r="D2948" t="str">
        <f>"9780773564619"</f>
        <v>9780773564619</v>
      </c>
      <c r="E2948" t="s">
        <v>12863</v>
      </c>
      <c r="F2948" t="s">
        <v>12863</v>
      </c>
      <c r="G2948" s="1">
        <v>34522</v>
      </c>
      <c r="J2948" t="s">
        <v>15399</v>
      </c>
      <c r="K2948" t="s">
        <v>4081</v>
      </c>
      <c r="L2948" t="s">
        <v>15400</v>
      </c>
      <c r="M2948">
        <v>497.3</v>
      </c>
      <c r="N2948" t="s">
        <v>15401</v>
      </c>
      <c r="O2948" t="s">
        <v>26</v>
      </c>
      <c r="P2948">
        <v>142.5</v>
      </c>
      <c r="Q2948">
        <v>118.75</v>
      </c>
      <c r="R2948">
        <v>95</v>
      </c>
      <c r="S2948">
        <v>142.5</v>
      </c>
      <c r="T2948" t="s">
        <v>15402</v>
      </c>
    </row>
    <row r="2949" spans="1:20">
      <c r="A2949">
        <v>3331003</v>
      </c>
      <c r="B2949" t="s">
        <v>15403</v>
      </c>
      <c r="C2949" t="str">
        <f>"9780773506237"</f>
        <v>9780773506237</v>
      </c>
      <c r="D2949" t="str">
        <f>"9780773561472"</f>
        <v>9780773561472</v>
      </c>
      <c r="E2949" t="s">
        <v>12863</v>
      </c>
      <c r="F2949" t="s">
        <v>12863</v>
      </c>
      <c r="G2949" s="1">
        <v>32174</v>
      </c>
      <c r="J2949" t="s">
        <v>15404</v>
      </c>
      <c r="K2949" t="s">
        <v>899</v>
      </c>
      <c r="L2949" t="s">
        <v>15405</v>
      </c>
      <c r="M2949">
        <v>368.44</v>
      </c>
      <c r="N2949" t="s">
        <v>15406</v>
      </c>
      <c r="O2949" t="s">
        <v>26</v>
      </c>
      <c r="P2949">
        <v>142.5</v>
      </c>
      <c r="Q2949">
        <v>118.75</v>
      </c>
      <c r="R2949">
        <v>95</v>
      </c>
      <c r="S2949">
        <v>142.5</v>
      </c>
      <c r="T2949" t="s">
        <v>15407</v>
      </c>
    </row>
    <row r="2950" spans="1:20">
      <c r="A2950">
        <v>3331004</v>
      </c>
      <c r="B2950" t="s">
        <v>15408</v>
      </c>
      <c r="C2950" t="str">
        <f>"9780773515505"</f>
        <v>9780773515505</v>
      </c>
      <c r="D2950" t="str">
        <f>"9780773566507"</f>
        <v>9780773566507</v>
      </c>
      <c r="E2950" t="s">
        <v>12863</v>
      </c>
      <c r="F2950" t="s">
        <v>12863</v>
      </c>
      <c r="G2950" s="1">
        <v>33667</v>
      </c>
      <c r="I2950" t="s">
        <v>15409</v>
      </c>
      <c r="J2950" t="s">
        <v>15410</v>
      </c>
      <c r="K2950" t="s">
        <v>7075</v>
      </c>
      <c r="L2950" t="s">
        <v>15411</v>
      </c>
      <c r="M2950">
        <v>11</v>
      </c>
      <c r="N2950" t="s">
        <v>15412</v>
      </c>
      <c r="O2950" t="s">
        <v>26</v>
      </c>
      <c r="P2950">
        <v>180</v>
      </c>
      <c r="Q2950">
        <v>150</v>
      </c>
      <c r="R2950">
        <v>120</v>
      </c>
      <c r="S2950">
        <v>180</v>
      </c>
      <c r="T2950" t="s">
        <v>15413</v>
      </c>
    </row>
    <row r="2951" spans="1:20">
      <c r="A2951">
        <v>3331005</v>
      </c>
      <c r="B2951" t="s">
        <v>15414</v>
      </c>
      <c r="C2951" t="str">
        <f>"9780773516311"</f>
        <v>9780773516311</v>
      </c>
      <c r="D2951" t="str">
        <f>"9780773566682"</f>
        <v>9780773566682</v>
      </c>
      <c r="E2951" t="s">
        <v>12907</v>
      </c>
      <c r="F2951" t="s">
        <v>12907</v>
      </c>
      <c r="G2951" s="1">
        <v>35474</v>
      </c>
      <c r="H2951">
        <v>2</v>
      </c>
      <c r="I2951" t="s">
        <v>13270</v>
      </c>
      <c r="J2951" t="s">
        <v>15415</v>
      </c>
      <c r="K2951" t="s">
        <v>291</v>
      </c>
      <c r="L2951" t="s">
        <v>15416</v>
      </c>
      <c r="M2951">
        <v>971.00495999999998</v>
      </c>
      <c r="N2951" t="s">
        <v>15417</v>
      </c>
      <c r="O2951" t="s">
        <v>26</v>
      </c>
      <c r="P2951">
        <v>150</v>
      </c>
      <c r="Q2951">
        <v>125</v>
      </c>
      <c r="R2951">
        <v>100</v>
      </c>
      <c r="S2951">
        <v>150</v>
      </c>
      <c r="T2951" t="s">
        <v>15418</v>
      </c>
    </row>
    <row r="2952" spans="1:20">
      <c r="A2952">
        <v>3331006</v>
      </c>
      <c r="B2952" t="s">
        <v>15419</v>
      </c>
      <c r="C2952" t="str">
        <f>"9780773511309"</f>
        <v>9780773511309</v>
      </c>
      <c r="D2952" t="str">
        <f>"9780773564367"</f>
        <v>9780773564367</v>
      </c>
      <c r="E2952" t="s">
        <v>12863</v>
      </c>
      <c r="F2952" t="s">
        <v>12863</v>
      </c>
      <c r="G2952" s="1">
        <v>34320</v>
      </c>
      <c r="I2952" t="s">
        <v>12886</v>
      </c>
      <c r="J2952" t="s">
        <v>15420</v>
      </c>
      <c r="K2952" t="s">
        <v>291</v>
      </c>
      <c r="L2952" t="s">
        <v>15421</v>
      </c>
      <c r="M2952">
        <v>971.35410049161999</v>
      </c>
      <c r="N2952" t="s">
        <v>15422</v>
      </c>
      <c r="O2952" t="s">
        <v>26</v>
      </c>
      <c r="P2952">
        <v>142.5</v>
      </c>
      <c r="Q2952">
        <v>118.75</v>
      </c>
      <c r="R2952">
        <v>95</v>
      </c>
      <c r="S2952">
        <v>142.5</v>
      </c>
      <c r="T2952" t="s">
        <v>15423</v>
      </c>
    </row>
    <row r="2953" spans="1:20">
      <c r="A2953">
        <v>3331007</v>
      </c>
      <c r="B2953" t="s">
        <v>15424</v>
      </c>
      <c r="C2953" t="str">
        <f>"9780773506633"</f>
        <v>9780773506633</v>
      </c>
      <c r="D2953" t="str">
        <f>"9780773561779"</f>
        <v>9780773561779</v>
      </c>
      <c r="E2953" t="s">
        <v>12863</v>
      </c>
      <c r="F2953" t="s">
        <v>12863</v>
      </c>
      <c r="G2953" s="1">
        <v>32387</v>
      </c>
      <c r="J2953" t="s">
        <v>15425</v>
      </c>
      <c r="K2953" t="s">
        <v>263</v>
      </c>
      <c r="L2953" t="s">
        <v>15426</v>
      </c>
      <c r="M2953">
        <v>305.55200000000002</v>
      </c>
      <c r="N2953" t="s">
        <v>15427</v>
      </c>
      <c r="O2953" t="s">
        <v>26</v>
      </c>
      <c r="P2953">
        <v>142.5</v>
      </c>
      <c r="Q2953">
        <v>118.75</v>
      </c>
      <c r="R2953">
        <v>95</v>
      </c>
      <c r="S2953">
        <v>142.5</v>
      </c>
      <c r="T2953" t="s">
        <v>15428</v>
      </c>
    </row>
    <row r="2954" spans="1:20">
      <c r="A2954">
        <v>3331008</v>
      </c>
      <c r="B2954" t="s">
        <v>15429</v>
      </c>
      <c r="C2954" t="str">
        <f>"9780773506510"</f>
        <v>9780773506510</v>
      </c>
      <c r="D2954" t="str">
        <f>"9780773561663"</f>
        <v>9780773561663</v>
      </c>
      <c r="E2954" t="s">
        <v>12863</v>
      </c>
      <c r="F2954" t="s">
        <v>12863</v>
      </c>
      <c r="G2954" s="1">
        <v>32295</v>
      </c>
      <c r="J2954" t="s">
        <v>15430</v>
      </c>
      <c r="K2954" t="s">
        <v>1892</v>
      </c>
      <c r="L2954" t="s">
        <v>15431</v>
      </c>
      <c r="M2954">
        <v>261.83479999999997</v>
      </c>
      <c r="N2954" t="s">
        <v>15432</v>
      </c>
      <c r="O2954" t="s">
        <v>26</v>
      </c>
      <c r="P2954">
        <v>142.5</v>
      </c>
      <c r="Q2954">
        <v>118.75</v>
      </c>
      <c r="R2954">
        <v>95</v>
      </c>
      <c r="S2954">
        <v>142.5</v>
      </c>
      <c r="T2954" t="s">
        <v>15433</v>
      </c>
    </row>
    <row r="2955" spans="1:20">
      <c r="A2955">
        <v>3331009</v>
      </c>
      <c r="B2955" t="s">
        <v>15434</v>
      </c>
      <c r="C2955" t="str">
        <f>"9780773511255"</f>
        <v>9780773511255</v>
      </c>
      <c r="D2955" t="str">
        <f>"9780773564336"</f>
        <v>9780773564336</v>
      </c>
      <c r="E2955" t="s">
        <v>12863</v>
      </c>
      <c r="F2955" t="s">
        <v>12863</v>
      </c>
      <c r="G2955" s="1">
        <v>34257</v>
      </c>
      <c r="J2955" t="s">
        <v>15435</v>
      </c>
      <c r="K2955" t="s">
        <v>263</v>
      </c>
      <c r="L2955" t="s">
        <v>15436</v>
      </c>
      <c r="M2955">
        <v>363.41097100000002</v>
      </c>
      <c r="N2955" t="s">
        <v>15437</v>
      </c>
      <c r="O2955" t="s">
        <v>26</v>
      </c>
      <c r="P2955">
        <v>142.5</v>
      </c>
      <c r="Q2955">
        <v>118.75</v>
      </c>
      <c r="R2955">
        <v>95</v>
      </c>
      <c r="S2955">
        <v>142.5</v>
      </c>
      <c r="T2955" t="s">
        <v>15438</v>
      </c>
    </row>
    <row r="2956" spans="1:20">
      <c r="A2956">
        <v>3331010</v>
      </c>
      <c r="B2956" t="s">
        <v>15439</v>
      </c>
      <c r="C2956" t="str">
        <f>"9780773508712"</f>
        <v>9780773508712</v>
      </c>
      <c r="D2956" t="str">
        <f>"9780773563131"</f>
        <v>9780773563131</v>
      </c>
      <c r="E2956" t="s">
        <v>12863</v>
      </c>
      <c r="F2956" t="s">
        <v>12863</v>
      </c>
      <c r="G2956" s="1">
        <v>33490</v>
      </c>
      <c r="J2956" t="s">
        <v>15440</v>
      </c>
      <c r="K2956" t="s">
        <v>4081</v>
      </c>
      <c r="L2956" t="s">
        <v>15441</v>
      </c>
      <c r="M2956">
        <v>425</v>
      </c>
      <c r="N2956" t="s">
        <v>15442</v>
      </c>
      <c r="O2956" t="s">
        <v>26</v>
      </c>
      <c r="P2956">
        <v>142.5</v>
      </c>
      <c r="Q2956">
        <v>118.75</v>
      </c>
      <c r="R2956">
        <v>95</v>
      </c>
      <c r="S2956">
        <v>142.5</v>
      </c>
      <c r="T2956" t="s">
        <v>15443</v>
      </c>
    </row>
    <row r="2957" spans="1:20">
      <c r="A2957">
        <v>3331011</v>
      </c>
      <c r="B2957" t="s">
        <v>15444</v>
      </c>
      <c r="C2957" t="str">
        <f>"9780773505742"</f>
        <v>9780773505742</v>
      </c>
      <c r="D2957" t="str">
        <f>"9780773561212"</f>
        <v>9780773561212</v>
      </c>
      <c r="E2957" t="s">
        <v>12863</v>
      </c>
      <c r="F2957" t="s">
        <v>12863</v>
      </c>
      <c r="G2957" s="1">
        <v>32203</v>
      </c>
      <c r="J2957" t="s">
        <v>15445</v>
      </c>
      <c r="K2957" t="s">
        <v>14757</v>
      </c>
      <c r="L2957" t="s">
        <v>15446</v>
      </c>
      <c r="M2957">
        <v>355.02699999999999</v>
      </c>
      <c r="N2957" t="s">
        <v>15447</v>
      </c>
      <c r="O2957" t="s">
        <v>26</v>
      </c>
      <c r="P2957">
        <v>142.5</v>
      </c>
      <c r="Q2957">
        <v>118.75</v>
      </c>
      <c r="R2957">
        <v>95</v>
      </c>
      <c r="S2957">
        <v>142.5</v>
      </c>
      <c r="T2957" t="s">
        <v>15448</v>
      </c>
    </row>
    <row r="2958" spans="1:20">
      <c r="A2958">
        <v>3331012</v>
      </c>
      <c r="B2958" t="s">
        <v>15449</v>
      </c>
      <c r="C2958" t="str">
        <f>"9780773508361"</f>
        <v>9780773508361</v>
      </c>
      <c r="D2958" t="str">
        <f>"9780773562905"</f>
        <v>9780773562905</v>
      </c>
      <c r="E2958" t="s">
        <v>12863</v>
      </c>
      <c r="F2958" t="s">
        <v>12863</v>
      </c>
      <c r="G2958" s="1">
        <v>33800</v>
      </c>
      <c r="J2958" t="s">
        <v>15450</v>
      </c>
      <c r="K2958" t="s">
        <v>1464</v>
      </c>
      <c r="L2958" t="s">
        <v>15451</v>
      </c>
      <c r="M2958">
        <v>829.1</v>
      </c>
      <c r="N2958" t="s">
        <v>15452</v>
      </c>
      <c r="O2958" t="s">
        <v>26</v>
      </c>
      <c r="P2958">
        <v>187.5</v>
      </c>
      <c r="Q2958">
        <v>156.25</v>
      </c>
      <c r="R2958">
        <v>125</v>
      </c>
      <c r="S2958">
        <v>187.5</v>
      </c>
      <c r="T2958" t="s">
        <v>15453</v>
      </c>
    </row>
    <row r="2959" spans="1:20">
      <c r="A2959">
        <v>3331013</v>
      </c>
      <c r="B2959" t="s">
        <v>15454</v>
      </c>
      <c r="C2959" t="str">
        <f>"9780773504059"</f>
        <v>9780773504059</v>
      </c>
      <c r="D2959" t="str">
        <f>"9780773560871"</f>
        <v>9780773560871</v>
      </c>
      <c r="E2959" t="s">
        <v>12863</v>
      </c>
      <c r="F2959" t="s">
        <v>12863</v>
      </c>
      <c r="G2959" s="1">
        <v>30256</v>
      </c>
      <c r="J2959" t="s">
        <v>15455</v>
      </c>
      <c r="K2959" t="s">
        <v>291</v>
      </c>
      <c r="L2959" t="s">
        <v>15456</v>
      </c>
      <c r="M2959">
        <v>971.31004113999995</v>
      </c>
      <c r="N2959" t="s">
        <v>15457</v>
      </c>
      <c r="O2959" t="s">
        <v>26</v>
      </c>
      <c r="P2959">
        <v>142.5</v>
      </c>
      <c r="Q2959">
        <v>118.75</v>
      </c>
      <c r="R2959">
        <v>95</v>
      </c>
      <c r="S2959">
        <v>142.5</v>
      </c>
      <c r="T2959" t="s">
        <v>15458</v>
      </c>
    </row>
    <row r="2960" spans="1:20">
      <c r="A2960">
        <v>3331014</v>
      </c>
      <c r="B2960" t="s">
        <v>15459</v>
      </c>
      <c r="C2960" t="str">
        <f>"9780773520943"</f>
        <v>9780773520943</v>
      </c>
      <c r="D2960" t="str">
        <f>"9780773568686"</f>
        <v>9780773568686</v>
      </c>
      <c r="E2960" t="s">
        <v>12863</v>
      </c>
      <c r="F2960" t="s">
        <v>12863</v>
      </c>
      <c r="G2960" s="1">
        <v>36805</v>
      </c>
      <c r="J2960" t="s">
        <v>15460</v>
      </c>
      <c r="K2960" t="s">
        <v>1550</v>
      </c>
      <c r="L2960" t="s">
        <v>15461</v>
      </c>
      <c r="M2960">
        <v>971.008691</v>
      </c>
      <c r="N2960" t="s">
        <v>15462</v>
      </c>
      <c r="O2960" t="s">
        <v>26</v>
      </c>
      <c r="P2960">
        <v>142.5</v>
      </c>
      <c r="Q2960">
        <v>118.75</v>
      </c>
      <c r="R2960">
        <v>95</v>
      </c>
      <c r="S2960">
        <v>142.5</v>
      </c>
      <c r="T2960" t="s">
        <v>15463</v>
      </c>
    </row>
    <row r="2961" spans="1:20">
      <c r="A2961">
        <v>3331015</v>
      </c>
      <c r="B2961" t="s">
        <v>15464</v>
      </c>
      <c r="C2961" t="str">
        <f>"9780773511774"</f>
        <v>9780773511774</v>
      </c>
      <c r="D2961" t="str">
        <f>"9780773564671"</f>
        <v>9780773564671</v>
      </c>
      <c r="E2961" t="s">
        <v>12863</v>
      </c>
      <c r="F2961" t="s">
        <v>12863</v>
      </c>
      <c r="G2961" s="1">
        <v>34494</v>
      </c>
      <c r="J2961" t="s">
        <v>15465</v>
      </c>
      <c r="K2961" t="s">
        <v>263</v>
      </c>
      <c r="L2961" t="s">
        <v>15466</v>
      </c>
      <c r="M2961">
        <v>363.17</v>
      </c>
      <c r="N2961" t="s">
        <v>15467</v>
      </c>
      <c r="O2961" t="s">
        <v>26</v>
      </c>
      <c r="P2961">
        <v>142.5</v>
      </c>
      <c r="Q2961">
        <v>118.75</v>
      </c>
      <c r="R2961">
        <v>95</v>
      </c>
      <c r="S2961">
        <v>142.5</v>
      </c>
      <c r="T2961" t="s">
        <v>15468</v>
      </c>
    </row>
    <row r="2962" spans="1:20">
      <c r="A2962">
        <v>3331016</v>
      </c>
      <c r="B2962" t="s">
        <v>15469</v>
      </c>
      <c r="C2962" t="str">
        <f>"9780773511330"</f>
        <v>9780773511330</v>
      </c>
      <c r="D2962" t="str">
        <f>"9780773564381"</f>
        <v>9780773564381</v>
      </c>
      <c r="E2962" t="s">
        <v>12863</v>
      </c>
      <c r="F2962" t="s">
        <v>12863</v>
      </c>
      <c r="G2962" s="1">
        <v>34236</v>
      </c>
      <c r="J2962" t="s">
        <v>15470</v>
      </c>
      <c r="K2962" t="s">
        <v>1892</v>
      </c>
      <c r="L2962" t="s">
        <v>15471</v>
      </c>
      <c r="M2962">
        <v>295</v>
      </c>
      <c r="N2962" t="s">
        <v>15472</v>
      </c>
      <c r="O2962" t="s">
        <v>26</v>
      </c>
      <c r="P2962">
        <v>142.5</v>
      </c>
      <c r="Q2962">
        <v>118.75</v>
      </c>
      <c r="R2962">
        <v>95</v>
      </c>
      <c r="S2962">
        <v>142.5</v>
      </c>
      <c r="T2962" t="s">
        <v>15473</v>
      </c>
    </row>
    <row r="2963" spans="1:20">
      <c r="A2963">
        <v>3331017</v>
      </c>
      <c r="B2963" t="s">
        <v>15474</v>
      </c>
      <c r="C2963" t="str">
        <f>"9780773505933"</f>
        <v>9780773505933</v>
      </c>
      <c r="D2963" t="str">
        <f>"9780773561311"</f>
        <v>9780773561311</v>
      </c>
      <c r="E2963" t="s">
        <v>12863</v>
      </c>
      <c r="F2963" t="s">
        <v>12863</v>
      </c>
      <c r="G2963" s="1">
        <v>31321</v>
      </c>
      <c r="J2963" t="s">
        <v>15475</v>
      </c>
      <c r="K2963" t="s">
        <v>291</v>
      </c>
      <c r="L2963" t="s">
        <v>15476</v>
      </c>
      <c r="M2963">
        <v>971.41700000000003</v>
      </c>
      <c r="N2963" t="s">
        <v>15477</v>
      </c>
      <c r="O2963" t="s">
        <v>26</v>
      </c>
      <c r="P2963">
        <v>142.5</v>
      </c>
      <c r="Q2963">
        <v>118.75</v>
      </c>
      <c r="R2963">
        <v>95</v>
      </c>
      <c r="S2963">
        <v>142.5</v>
      </c>
      <c r="T2963" t="s">
        <v>15478</v>
      </c>
    </row>
    <row r="2964" spans="1:20">
      <c r="A2964">
        <v>3331018</v>
      </c>
      <c r="B2964" t="s">
        <v>15479</v>
      </c>
      <c r="C2964" t="str">
        <f>"9780773505704"</f>
        <v>9780773505704</v>
      </c>
      <c r="D2964" t="str">
        <f>"9780773561199"</f>
        <v>9780773561199</v>
      </c>
      <c r="E2964" t="s">
        <v>12863</v>
      </c>
      <c r="F2964" t="s">
        <v>12863</v>
      </c>
      <c r="G2964" s="1">
        <v>31990</v>
      </c>
      <c r="J2964" t="s">
        <v>15480</v>
      </c>
      <c r="K2964" t="s">
        <v>4347</v>
      </c>
      <c r="L2964" t="s">
        <v>15481</v>
      </c>
      <c r="M2964">
        <v>359.3</v>
      </c>
      <c r="N2964" t="s">
        <v>15482</v>
      </c>
      <c r="O2964" t="s">
        <v>26</v>
      </c>
      <c r="P2964">
        <v>142.5</v>
      </c>
      <c r="Q2964">
        <v>118.75</v>
      </c>
      <c r="R2964">
        <v>95</v>
      </c>
      <c r="S2964">
        <v>142.5</v>
      </c>
      <c r="T2964" t="s">
        <v>15483</v>
      </c>
    </row>
    <row r="2965" spans="1:20">
      <c r="A2965">
        <v>3331019</v>
      </c>
      <c r="B2965" t="s">
        <v>15484</v>
      </c>
      <c r="C2965" t="str">
        <f>"9780773528468"</f>
        <v>9780773528468</v>
      </c>
      <c r="D2965" t="str">
        <f>"9780773572539"</f>
        <v>9780773572539</v>
      </c>
      <c r="E2965" t="s">
        <v>12863</v>
      </c>
      <c r="F2965" t="s">
        <v>12863</v>
      </c>
      <c r="G2965" s="1">
        <v>38265</v>
      </c>
      <c r="J2965" t="s">
        <v>15485</v>
      </c>
      <c r="K2965" t="s">
        <v>291</v>
      </c>
      <c r="L2965" t="s">
        <v>15486</v>
      </c>
      <c r="M2965">
        <v>971.06470000000002</v>
      </c>
      <c r="N2965" t="s">
        <v>15487</v>
      </c>
      <c r="O2965" t="s">
        <v>26</v>
      </c>
      <c r="P2965">
        <v>29.93</v>
      </c>
      <c r="Q2965">
        <v>24.94</v>
      </c>
      <c r="R2965">
        <v>19.95</v>
      </c>
      <c r="S2965">
        <v>29.93</v>
      </c>
      <c r="T2965" t="s">
        <v>15488</v>
      </c>
    </row>
    <row r="2966" spans="1:20">
      <c r="A2966">
        <v>3331020</v>
      </c>
      <c r="B2966" t="s">
        <v>15489</v>
      </c>
      <c r="C2966" t="str">
        <f>"9780773520318"</f>
        <v>9780773520318</v>
      </c>
      <c r="D2966" t="str">
        <f>"9780773568297"</f>
        <v>9780773568297</v>
      </c>
      <c r="E2966" t="s">
        <v>12907</v>
      </c>
      <c r="F2966" t="s">
        <v>12907</v>
      </c>
      <c r="G2966" s="1">
        <v>36587</v>
      </c>
      <c r="J2966" t="s">
        <v>15490</v>
      </c>
      <c r="K2966" t="s">
        <v>1892</v>
      </c>
      <c r="L2966" t="s">
        <v>15491</v>
      </c>
      <c r="M2966" t="s">
        <v>15492</v>
      </c>
      <c r="N2966" t="s">
        <v>15493</v>
      </c>
      <c r="O2966" t="s">
        <v>26</v>
      </c>
      <c r="P2966">
        <v>29.93</v>
      </c>
      <c r="Q2966">
        <v>24.94</v>
      </c>
      <c r="R2966">
        <v>19.95</v>
      </c>
      <c r="S2966">
        <v>29.93</v>
      </c>
      <c r="T2966" t="s">
        <v>15494</v>
      </c>
    </row>
    <row r="2967" spans="1:20">
      <c r="A2967">
        <v>3331021</v>
      </c>
      <c r="B2967" t="s">
        <v>15495</v>
      </c>
      <c r="C2967" t="str">
        <f>"9780773506534"</f>
        <v>9780773506534</v>
      </c>
      <c r="D2967" t="str">
        <f>"9780773561687"</f>
        <v>9780773561687</v>
      </c>
      <c r="E2967" t="s">
        <v>12863</v>
      </c>
      <c r="F2967" t="s">
        <v>12863</v>
      </c>
      <c r="G2967" s="1">
        <v>32448</v>
      </c>
      <c r="I2967" t="s">
        <v>12942</v>
      </c>
      <c r="J2967" t="s">
        <v>15496</v>
      </c>
      <c r="K2967" t="s">
        <v>1550</v>
      </c>
      <c r="L2967" t="s">
        <v>15497</v>
      </c>
      <c r="M2967">
        <v>305.85107135409999</v>
      </c>
      <c r="N2967" t="s">
        <v>15498</v>
      </c>
      <c r="O2967" t="s">
        <v>26</v>
      </c>
      <c r="P2967">
        <v>142.5</v>
      </c>
      <c r="Q2967">
        <v>118.75</v>
      </c>
      <c r="R2967">
        <v>95</v>
      </c>
      <c r="S2967">
        <v>142.5</v>
      </c>
      <c r="T2967" t="s">
        <v>15499</v>
      </c>
    </row>
    <row r="2968" spans="1:20">
      <c r="A2968">
        <v>3331022</v>
      </c>
      <c r="B2968" t="s">
        <v>15500</v>
      </c>
      <c r="C2968" t="str">
        <f>"9780773511415"</f>
        <v>9780773511415</v>
      </c>
      <c r="D2968" t="str">
        <f>"9780773564459"</f>
        <v>9780773564459</v>
      </c>
      <c r="E2968" t="s">
        <v>12863</v>
      </c>
      <c r="F2968" t="s">
        <v>12863</v>
      </c>
      <c r="G2968" s="1">
        <v>34411</v>
      </c>
      <c r="I2968" t="s">
        <v>14877</v>
      </c>
      <c r="J2968" t="s">
        <v>15501</v>
      </c>
      <c r="K2968" t="s">
        <v>2260</v>
      </c>
      <c r="L2968" t="s">
        <v>15502</v>
      </c>
      <c r="M2968">
        <v>618.20232999999996</v>
      </c>
      <c r="N2968" t="s">
        <v>15503</v>
      </c>
      <c r="O2968" t="s">
        <v>26</v>
      </c>
      <c r="P2968">
        <v>142.5</v>
      </c>
      <c r="Q2968">
        <v>118.75</v>
      </c>
      <c r="R2968">
        <v>95</v>
      </c>
      <c r="S2968">
        <v>142.5</v>
      </c>
      <c r="T2968" t="s">
        <v>15504</v>
      </c>
    </row>
    <row r="2969" spans="1:20">
      <c r="A2969">
        <v>3331023</v>
      </c>
      <c r="B2969" t="s">
        <v>15505</v>
      </c>
      <c r="C2969" t="str">
        <f>"9780773520981"</f>
        <v>9780773520981</v>
      </c>
      <c r="D2969" t="str">
        <f>"9780773568716"</f>
        <v>9780773568716</v>
      </c>
      <c r="E2969" t="s">
        <v>12863</v>
      </c>
      <c r="F2969" t="s">
        <v>12863</v>
      </c>
      <c r="G2969" s="1">
        <v>36979</v>
      </c>
      <c r="I2969" t="s">
        <v>14082</v>
      </c>
      <c r="J2969" t="s">
        <v>15506</v>
      </c>
      <c r="K2969" t="s">
        <v>291</v>
      </c>
      <c r="L2969" t="s">
        <v>15507</v>
      </c>
      <c r="M2969">
        <v>971.92010000000005</v>
      </c>
      <c r="N2969" t="s">
        <v>15508</v>
      </c>
      <c r="O2969" t="s">
        <v>26</v>
      </c>
      <c r="P2969">
        <v>142.5</v>
      </c>
      <c r="Q2969">
        <v>118.75</v>
      </c>
      <c r="R2969">
        <v>95</v>
      </c>
      <c r="S2969">
        <v>142.5</v>
      </c>
      <c r="T2969" t="s">
        <v>15509</v>
      </c>
    </row>
    <row r="2970" spans="1:20">
      <c r="A2970">
        <v>3331024</v>
      </c>
      <c r="B2970" t="s">
        <v>15510</v>
      </c>
      <c r="C2970" t="str">
        <f>"9780886293437"</f>
        <v>9780886293437</v>
      </c>
      <c r="D2970" t="str">
        <f>"9780773574120"</f>
        <v>9780773574120</v>
      </c>
      <c r="E2970" t="s">
        <v>12863</v>
      </c>
      <c r="F2970" t="s">
        <v>12863</v>
      </c>
      <c r="G2970" s="1">
        <v>36161</v>
      </c>
      <c r="J2970" t="s">
        <v>15511</v>
      </c>
      <c r="K2970" t="s">
        <v>1464</v>
      </c>
      <c r="L2970" t="s">
        <v>15512</v>
      </c>
      <c r="M2970">
        <v>882.01</v>
      </c>
      <c r="N2970" t="s">
        <v>15513</v>
      </c>
      <c r="O2970" t="s">
        <v>26</v>
      </c>
      <c r="P2970">
        <v>142.5</v>
      </c>
      <c r="Q2970">
        <v>118.75</v>
      </c>
      <c r="R2970">
        <v>95</v>
      </c>
      <c r="S2970">
        <v>142.5</v>
      </c>
      <c r="T2970" t="s">
        <v>15514</v>
      </c>
    </row>
    <row r="2971" spans="1:20">
      <c r="A2971">
        <v>3331025</v>
      </c>
      <c r="B2971" t="s">
        <v>15515</v>
      </c>
      <c r="C2971" t="str">
        <f>"9780773508231"</f>
        <v>9780773508231</v>
      </c>
      <c r="D2971" t="str">
        <f>"9780773562813"</f>
        <v>9780773562813</v>
      </c>
      <c r="E2971" t="s">
        <v>12863</v>
      </c>
      <c r="F2971" t="s">
        <v>12863</v>
      </c>
      <c r="G2971" s="1">
        <v>33298</v>
      </c>
      <c r="J2971" t="s">
        <v>15516</v>
      </c>
      <c r="K2971" t="s">
        <v>15517</v>
      </c>
      <c r="L2971" t="s">
        <v>15518</v>
      </c>
      <c r="M2971">
        <v>507.20710000000003</v>
      </c>
      <c r="N2971" t="s">
        <v>15519</v>
      </c>
      <c r="O2971" t="s">
        <v>26</v>
      </c>
      <c r="P2971">
        <v>142.5</v>
      </c>
      <c r="Q2971">
        <v>118.75</v>
      </c>
      <c r="R2971">
        <v>95</v>
      </c>
      <c r="S2971">
        <v>142.5</v>
      </c>
      <c r="T2971" t="s">
        <v>15520</v>
      </c>
    </row>
    <row r="2972" spans="1:20">
      <c r="A2972">
        <v>3331026</v>
      </c>
      <c r="B2972" t="s">
        <v>15521</v>
      </c>
      <c r="C2972" t="str">
        <f>"9780773508620"</f>
        <v>9780773508620</v>
      </c>
      <c r="D2972" t="str">
        <f>"9780773563087"</f>
        <v>9780773563087</v>
      </c>
      <c r="E2972" t="s">
        <v>12863</v>
      </c>
      <c r="F2972" t="s">
        <v>12863</v>
      </c>
      <c r="G2972" s="1">
        <v>33687</v>
      </c>
      <c r="J2972" t="s">
        <v>13129</v>
      </c>
      <c r="K2972" t="s">
        <v>1464</v>
      </c>
      <c r="L2972" t="s">
        <v>15522</v>
      </c>
      <c r="M2972">
        <v>823.91200000000003</v>
      </c>
      <c r="N2972" t="s">
        <v>15523</v>
      </c>
      <c r="O2972" t="s">
        <v>26</v>
      </c>
      <c r="P2972">
        <v>142.5</v>
      </c>
      <c r="Q2972">
        <v>118.75</v>
      </c>
      <c r="R2972">
        <v>95</v>
      </c>
      <c r="S2972">
        <v>142.5</v>
      </c>
      <c r="T2972" t="s">
        <v>15524</v>
      </c>
    </row>
    <row r="2973" spans="1:20">
      <c r="A2973">
        <v>3331027</v>
      </c>
      <c r="B2973" t="s">
        <v>15525</v>
      </c>
      <c r="C2973" t="str">
        <f>"9780773508279"</f>
        <v>9780773508279</v>
      </c>
      <c r="D2973" t="str">
        <f>"9780773562844"</f>
        <v>9780773562844</v>
      </c>
      <c r="E2973" t="s">
        <v>12863</v>
      </c>
      <c r="F2973" t="s">
        <v>12863</v>
      </c>
      <c r="G2973" s="1">
        <v>33329</v>
      </c>
      <c r="J2973" t="s">
        <v>15526</v>
      </c>
      <c r="K2973" t="s">
        <v>305</v>
      </c>
      <c r="L2973" t="s">
        <v>15527</v>
      </c>
      <c r="M2973">
        <v>382.10419999999999</v>
      </c>
      <c r="N2973" t="s">
        <v>15528</v>
      </c>
      <c r="O2973" t="s">
        <v>26</v>
      </c>
      <c r="P2973">
        <v>142.5</v>
      </c>
      <c r="Q2973">
        <v>118.75</v>
      </c>
      <c r="R2973">
        <v>95</v>
      </c>
      <c r="S2973">
        <v>142.5</v>
      </c>
      <c r="T2973" t="s">
        <v>15529</v>
      </c>
    </row>
    <row r="2974" spans="1:20">
      <c r="A2974">
        <v>3331028</v>
      </c>
      <c r="B2974" t="s">
        <v>15530</v>
      </c>
      <c r="C2974" t="str">
        <f>"9780773511408"</f>
        <v>9780773511408</v>
      </c>
      <c r="D2974" t="str">
        <f>"9780773564442"</f>
        <v>9780773564442</v>
      </c>
      <c r="E2974" t="s">
        <v>12863</v>
      </c>
      <c r="F2974" t="s">
        <v>12863</v>
      </c>
      <c r="G2974" s="1">
        <v>34186</v>
      </c>
      <c r="J2974" t="s">
        <v>15531</v>
      </c>
      <c r="K2974" t="s">
        <v>1464</v>
      </c>
      <c r="L2974" t="s">
        <v>15532</v>
      </c>
      <c r="M2974" t="s">
        <v>15533</v>
      </c>
      <c r="N2974" t="s">
        <v>15534</v>
      </c>
      <c r="O2974" t="s">
        <v>26</v>
      </c>
      <c r="P2974">
        <v>127.5</v>
      </c>
      <c r="Q2974">
        <v>106.25</v>
      </c>
      <c r="R2974">
        <v>85</v>
      </c>
      <c r="S2974">
        <v>127.5</v>
      </c>
      <c r="T2974" t="s">
        <v>15535</v>
      </c>
    </row>
    <row r="2975" spans="1:20">
      <c r="A2975">
        <v>3331029</v>
      </c>
      <c r="B2975" t="s">
        <v>15536</v>
      </c>
      <c r="C2975" t="str">
        <f>"9780773508880"</f>
        <v>9780773508880</v>
      </c>
      <c r="D2975" t="str">
        <f>"9780773563247"</f>
        <v>9780773563247</v>
      </c>
      <c r="E2975" t="s">
        <v>12863</v>
      </c>
      <c r="F2975" t="s">
        <v>12863</v>
      </c>
      <c r="G2975" s="1">
        <v>33569</v>
      </c>
      <c r="J2975" t="s">
        <v>15537</v>
      </c>
      <c r="K2975" t="s">
        <v>1464</v>
      </c>
      <c r="L2975" t="s">
        <v>15538</v>
      </c>
      <c r="M2975" t="s">
        <v>15539</v>
      </c>
      <c r="N2975" t="s">
        <v>15540</v>
      </c>
      <c r="O2975" t="s">
        <v>26</v>
      </c>
      <c r="P2975">
        <v>127.5</v>
      </c>
      <c r="Q2975">
        <v>106.25</v>
      </c>
      <c r="R2975">
        <v>85</v>
      </c>
      <c r="S2975">
        <v>127.5</v>
      </c>
      <c r="T2975" t="s">
        <v>15541</v>
      </c>
    </row>
    <row r="2976" spans="1:20">
      <c r="A2976">
        <v>3331030</v>
      </c>
      <c r="B2976" t="s">
        <v>15542</v>
      </c>
      <c r="C2976" t="str">
        <f>"9780773506213"</f>
        <v>9780773506213</v>
      </c>
      <c r="D2976" t="str">
        <f>"9780773561465"</f>
        <v>9780773561465</v>
      </c>
      <c r="E2976" t="s">
        <v>12863</v>
      </c>
      <c r="F2976" t="s">
        <v>12863</v>
      </c>
      <c r="G2976" s="1">
        <v>32082</v>
      </c>
      <c r="J2976" t="s">
        <v>15543</v>
      </c>
      <c r="K2976" t="s">
        <v>278</v>
      </c>
      <c r="L2976" t="s">
        <v>14382</v>
      </c>
      <c r="M2976">
        <v>338.54430970999999</v>
      </c>
      <c r="N2976" t="s">
        <v>15544</v>
      </c>
      <c r="O2976" t="s">
        <v>26</v>
      </c>
      <c r="P2976">
        <v>142.5</v>
      </c>
      <c r="Q2976">
        <v>118.75</v>
      </c>
      <c r="R2976">
        <v>95</v>
      </c>
      <c r="S2976">
        <v>142.5</v>
      </c>
      <c r="T2976" t="s">
        <v>15545</v>
      </c>
    </row>
    <row r="2977" spans="1:20">
      <c r="A2977">
        <v>3331031</v>
      </c>
      <c r="B2977" t="s">
        <v>15546</v>
      </c>
      <c r="C2977" t="str">
        <f>"9780773506527"</f>
        <v>9780773506527</v>
      </c>
      <c r="D2977" t="str">
        <f>"9780773561670"</f>
        <v>9780773561670</v>
      </c>
      <c r="E2977" t="s">
        <v>12863</v>
      </c>
      <c r="F2977" t="s">
        <v>12863</v>
      </c>
      <c r="G2977" s="1">
        <v>32448</v>
      </c>
      <c r="J2977" t="s">
        <v>4133</v>
      </c>
      <c r="K2977" t="s">
        <v>1464</v>
      </c>
      <c r="L2977" t="s">
        <v>15547</v>
      </c>
      <c r="M2977">
        <v>818.52089999999998</v>
      </c>
      <c r="N2977" t="s">
        <v>15548</v>
      </c>
      <c r="O2977" t="s">
        <v>26</v>
      </c>
      <c r="P2977">
        <v>142.5</v>
      </c>
      <c r="Q2977">
        <v>118.75</v>
      </c>
      <c r="R2977">
        <v>95</v>
      </c>
      <c r="S2977">
        <v>142.5</v>
      </c>
      <c r="T2977" t="s">
        <v>15549</v>
      </c>
    </row>
    <row r="2978" spans="1:20">
      <c r="A2978">
        <v>3331032</v>
      </c>
      <c r="B2978" t="s">
        <v>15550</v>
      </c>
      <c r="C2978" t="str">
        <f>"9780773511347"</f>
        <v>9780773511347</v>
      </c>
      <c r="D2978" t="str">
        <f>"9780773564398"</f>
        <v>9780773564398</v>
      </c>
      <c r="E2978" t="s">
        <v>12863</v>
      </c>
      <c r="F2978" t="s">
        <v>12863</v>
      </c>
      <c r="G2978" s="1">
        <v>34394</v>
      </c>
      <c r="J2978" t="s">
        <v>15551</v>
      </c>
      <c r="K2978" t="s">
        <v>291</v>
      </c>
      <c r="L2978" t="s">
        <v>15552</v>
      </c>
      <c r="M2978">
        <v>972.98410000000001</v>
      </c>
      <c r="N2978" t="s">
        <v>15553</v>
      </c>
      <c r="O2978" t="s">
        <v>26</v>
      </c>
      <c r="P2978">
        <v>127.5</v>
      </c>
      <c r="Q2978">
        <v>106.25</v>
      </c>
      <c r="R2978">
        <v>85</v>
      </c>
      <c r="S2978">
        <v>127.5</v>
      </c>
      <c r="T2978" t="s">
        <v>15554</v>
      </c>
    </row>
    <row r="2979" spans="1:20">
      <c r="A2979">
        <v>3331033</v>
      </c>
      <c r="B2979" t="s">
        <v>15555</v>
      </c>
      <c r="C2979" t="str">
        <f>"9780773508385"</f>
        <v>9780773508385</v>
      </c>
      <c r="D2979" t="str">
        <f>"9780773562929"</f>
        <v>9780773562929</v>
      </c>
      <c r="E2979" t="s">
        <v>12863</v>
      </c>
      <c r="F2979" t="s">
        <v>12863</v>
      </c>
      <c r="G2979" s="1">
        <v>33270</v>
      </c>
      <c r="J2979" t="s">
        <v>15556</v>
      </c>
      <c r="K2979" t="s">
        <v>1464</v>
      </c>
      <c r="L2979" t="s">
        <v>15557</v>
      </c>
      <c r="M2979">
        <v>823.8</v>
      </c>
      <c r="N2979" t="s">
        <v>15558</v>
      </c>
      <c r="O2979" t="s">
        <v>26</v>
      </c>
      <c r="P2979">
        <v>127.5</v>
      </c>
      <c r="Q2979">
        <v>106.25</v>
      </c>
      <c r="R2979">
        <v>85</v>
      </c>
      <c r="S2979">
        <v>127.5</v>
      </c>
      <c r="T2979" t="s">
        <v>15559</v>
      </c>
    </row>
    <row r="2980" spans="1:20">
      <c r="A2980">
        <v>3331035</v>
      </c>
      <c r="B2980" t="s">
        <v>15560</v>
      </c>
      <c r="C2980" t="str">
        <f>"9780773508323"</f>
        <v>9780773508323</v>
      </c>
      <c r="D2980" t="str">
        <f>"9780773562882"</f>
        <v>9780773562882</v>
      </c>
      <c r="E2980" t="s">
        <v>12863</v>
      </c>
      <c r="F2980" t="s">
        <v>12863</v>
      </c>
      <c r="G2980" s="1">
        <v>33298</v>
      </c>
      <c r="J2980" t="s">
        <v>15561</v>
      </c>
      <c r="K2980" t="s">
        <v>1464</v>
      </c>
      <c r="L2980" t="s">
        <v>15562</v>
      </c>
      <c r="M2980">
        <v>813.50935204200005</v>
      </c>
      <c r="N2980" t="s">
        <v>15563</v>
      </c>
      <c r="O2980" t="s">
        <v>26</v>
      </c>
      <c r="P2980">
        <v>142.5</v>
      </c>
      <c r="Q2980">
        <v>118.75</v>
      </c>
      <c r="R2980">
        <v>95</v>
      </c>
      <c r="S2980">
        <v>142.5</v>
      </c>
      <c r="T2980" t="s">
        <v>15564</v>
      </c>
    </row>
    <row r="2981" spans="1:20">
      <c r="A2981">
        <v>3331036</v>
      </c>
      <c r="B2981" t="s">
        <v>15565</v>
      </c>
      <c r="C2981" t="str">
        <f>"9780773507012"</f>
        <v>9780773507012</v>
      </c>
      <c r="D2981" t="str">
        <f>"9780773562035"</f>
        <v>9780773562035</v>
      </c>
      <c r="E2981" t="s">
        <v>12863</v>
      </c>
      <c r="F2981" t="s">
        <v>12863</v>
      </c>
      <c r="G2981" s="1">
        <v>32813</v>
      </c>
      <c r="J2981" t="s">
        <v>15435</v>
      </c>
      <c r="K2981" t="s">
        <v>6154</v>
      </c>
      <c r="L2981" t="s">
        <v>15566</v>
      </c>
      <c r="M2981">
        <v>362.21097134299998</v>
      </c>
      <c r="N2981" t="s">
        <v>15567</v>
      </c>
      <c r="O2981" t="s">
        <v>26</v>
      </c>
      <c r="P2981">
        <v>142.5</v>
      </c>
      <c r="Q2981">
        <v>118.75</v>
      </c>
      <c r="R2981">
        <v>95</v>
      </c>
      <c r="S2981">
        <v>142.5</v>
      </c>
      <c r="T2981" t="s">
        <v>15568</v>
      </c>
    </row>
    <row r="2982" spans="1:20">
      <c r="A2982">
        <v>3331037</v>
      </c>
      <c r="B2982" t="s">
        <v>15569</v>
      </c>
      <c r="C2982" t="str">
        <f>"9780773520530"</f>
        <v>9780773520530</v>
      </c>
      <c r="D2982" t="str">
        <f>"9780773568457"</f>
        <v>9780773568457</v>
      </c>
      <c r="E2982" t="s">
        <v>12863</v>
      </c>
      <c r="F2982" t="s">
        <v>12863</v>
      </c>
      <c r="G2982" s="1">
        <v>36790</v>
      </c>
      <c r="J2982" t="s">
        <v>15570</v>
      </c>
      <c r="K2982" t="s">
        <v>291</v>
      </c>
      <c r="L2982" t="s">
        <v>14205</v>
      </c>
      <c r="M2982">
        <v>971.30200000000002</v>
      </c>
      <c r="N2982" t="s">
        <v>15571</v>
      </c>
      <c r="O2982" t="s">
        <v>26</v>
      </c>
      <c r="P2982">
        <v>142.5</v>
      </c>
      <c r="Q2982">
        <v>118.75</v>
      </c>
      <c r="R2982">
        <v>95</v>
      </c>
      <c r="S2982">
        <v>142.5</v>
      </c>
      <c r="T2982" t="s">
        <v>15572</v>
      </c>
    </row>
    <row r="2983" spans="1:20">
      <c r="A2983">
        <v>3331038</v>
      </c>
      <c r="B2983" t="s">
        <v>15573</v>
      </c>
      <c r="C2983" t="str">
        <f>"9780773523104"</f>
        <v>9780773523104</v>
      </c>
      <c r="D2983" t="str">
        <f>"9780773569867"</f>
        <v>9780773569867</v>
      </c>
      <c r="E2983" t="s">
        <v>12863</v>
      </c>
      <c r="F2983" t="s">
        <v>12863</v>
      </c>
      <c r="G2983" s="1">
        <v>37216</v>
      </c>
      <c r="J2983" t="s">
        <v>15574</v>
      </c>
      <c r="K2983" t="s">
        <v>467</v>
      </c>
      <c r="L2983" t="s">
        <v>15575</v>
      </c>
      <c r="M2983">
        <v>324.27140930000002</v>
      </c>
      <c r="N2983" t="s">
        <v>15576</v>
      </c>
      <c r="O2983" t="s">
        <v>26</v>
      </c>
      <c r="P2983">
        <v>142.5</v>
      </c>
      <c r="Q2983">
        <v>118.75</v>
      </c>
      <c r="R2983">
        <v>95</v>
      </c>
      <c r="S2983">
        <v>142.5</v>
      </c>
      <c r="T2983" t="s">
        <v>15577</v>
      </c>
    </row>
    <row r="2984" spans="1:20">
      <c r="A2984">
        <v>3331039</v>
      </c>
      <c r="B2984" t="s">
        <v>15578</v>
      </c>
      <c r="C2984" t="str">
        <f>"9780773513990"</f>
        <v>9780773513990</v>
      </c>
      <c r="D2984" t="str">
        <f>"9780773565968"</f>
        <v>9780773565968</v>
      </c>
      <c r="E2984" t="s">
        <v>12863</v>
      </c>
      <c r="F2984" t="s">
        <v>12863</v>
      </c>
      <c r="G2984" s="1">
        <v>35152</v>
      </c>
      <c r="J2984" t="s">
        <v>15579</v>
      </c>
      <c r="K2984" t="s">
        <v>263</v>
      </c>
      <c r="L2984" t="s">
        <v>15580</v>
      </c>
      <c r="M2984">
        <v>364.15230971428002</v>
      </c>
      <c r="N2984" t="s">
        <v>15581</v>
      </c>
      <c r="O2984" t="s">
        <v>26</v>
      </c>
      <c r="P2984">
        <v>142.5</v>
      </c>
      <c r="Q2984">
        <v>118.75</v>
      </c>
      <c r="R2984">
        <v>95</v>
      </c>
      <c r="S2984">
        <v>142.5</v>
      </c>
      <c r="T2984" t="s">
        <v>15582</v>
      </c>
    </row>
    <row r="2985" spans="1:20">
      <c r="A2985">
        <v>3331040</v>
      </c>
      <c r="B2985" t="s">
        <v>15583</v>
      </c>
      <c r="C2985" t="str">
        <f>"9780773511460"</f>
        <v>9780773511460</v>
      </c>
      <c r="D2985" t="str">
        <f>"9780773564473"</f>
        <v>9780773564473</v>
      </c>
      <c r="E2985" t="s">
        <v>12863</v>
      </c>
      <c r="F2985" t="s">
        <v>12863</v>
      </c>
      <c r="G2985" s="1">
        <v>34386</v>
      </c>
      <c r="J2985" t="s">
        <v>15584</v>
      </c>
      <c r="K2985" t="s">
        <v>778</v>
      </c>
      <c r="L2985" t="s">
        <v>14114</v>
      </c>
      <c r="M2985">
        <v>342.71030000000002</v>
      </c>
      <c r="N2985" t="s">
        <v>15585</v>
      </c>
      <c r="O2985" t="s">
        <v>26</v>
      </c>
      <c r="P2985">
        <v>142.5</v>
      </c>
      <c r="Q2985">
        <v>118.75</v>
      </c>
      <c r="R2985">
        <v>95</v>
      </c>
      <c r="S2985">
        <v>142.5</v>
      </c>
      <c r="T2985" t="s">
        <v>15586</v>
      </c>
    </row>
    <row r="2986" spans="1:20">
      <c r="A2986">
        <v>3331041</v>
      </c>
      <c r="B2986" t="s">
        <v>15587</v>
      </c>
      <c r="C2986" t="str">
        <f>"9780773508903"</f>
        <v>9780773508903</v>
      </c>
      <c r="D2986" t="str">
        <f>"9780773563261"</f>
        <v>9780773563261</v>
      </c>
      <c r="E2986" t="s">
        <v>12907</v>
      </c>
      <c r="F2986" t="s">
        <v>12907</v>
      </c>
      <c r="G2986" s="1">
        <v>33718</v>
      </c>
      <c r="I2986" t="s">
        <v>12942</v>
      </c>
      <c r="J2986" t="s">
        <v>15588</v>
      </c>
      <c r="K2986" t="s">
        <v>550</v>
      </c>
      <c r="L2986" t="s">
        <v>15589</v>
      </c>
      <c r="M2986">
        <v>362.79899999999998</v>
      </c>
      <c r="N2986" t="s">
        <v>15590</v>
      </c>
      <c r="O2986" t="s">
        <v>26</v>
      </c>
      <c r="P2986">
        <v>142.5</v>
      </c>
      <c r="Q2986">
        <v>118.75</v>
      </c>
      <c r="R2986">
        <v>95</v>
      </c>
      <c r="S2986">
        <v>142.5</v>
      </c>
      <c r="T2986" t="s">
        <v>15591</v>
      </c>
    </row>
    <row r="2987" spans="1:20">
      <c r="A2987">
        <v>3331042</v>
      </c>
      <c r="B2987" t="s">
        <v>15592</v>
      </c>
      <c r="C2987" t="str">
        <f>"9780773507920"</f>
        <v>9780773507920</v>
      </c>
      <c r="D2987" t="str">
        <f>"9780773562653"</f>
        <v>9780773562653</v>
      </c>
      <c r="E2987" t="s">
        <v>12863</v>
      </c>
      <c r="F2987" t="s">
        <v>12863</v>
      </c>
      <c r="G2987" s="1">
        <v>33208</v>
      </c>
      <c r="J2987" t="s">
        <v>15593</v>
      </c>
      <c r="K2987" t="s">
        <v>1464</v>
      </c>
      <c r="L2987" t="s">
        <v>15594</v>
      </c>
      <c r="M2987" t="s">
        <v>15595</v>
      </c>
      <c r="N2987" t="s">
        <v>15596</v>
      </c>
      <c r="O2987" t="s">
        <v>26</v>
      </c>
      <c r="P2987">
        <v>120</v>
      </c>
      <c r="Q2987">
        <v>100</v>
      </c>
      <c r="R2987">
        <v>80</v>
      </c>
      <c r="S2987">
        <v>120</v>
      </c>
      <c r="T2987" t="s">
        <v>15597</v>
      </c>
    </row>
    <row r="2988" spans="1:20">
      <c r="A2988">
        <v>3331043</v>
      </c>
      <c r="B2988" t="s">
        <v>15598</v>
      </c>
      <c r="C2988" t="str">
        <f>"9780773520189"</f>
        <v>9780773520189</v>
      </c>
      <c r="D2988" t="str">
        <f>"9780773568228"</f>
        <v>9780773568228</v>
      </c>
      <c r="E2988" t="s">
        <v>12863</v>
      </c>
      <c r="F2988" t="s">
        <v>12863</v>
      </c>
      <c r="G2988" s="1">
        <v>36634</v>
      </c>
      <c r="J2988" t="s">
        <v>15599</v>
      </c>
      <c r="K2988" t="s">
        <v>263</v>
      </c>
      <c r="L2988" t="s">
        <v>15600</v>
      </c>
      <c r="M2988">
        <v>305.48906520971502</v>
      </c>
      <c r="N2988" t="s">
        <v>15601</v>
      </c>
      <c r="O2988" t="s">
        <v>26</v>
      </c>
      <c r="P2988">
        <v>142.5</v>
      </c>
      <c r="Q2988">
        <v>118.75</v>
      </c>
      <c r="R2988">
        <v>95</v>
      </c>
      <c r="S2988">
        <v>142.5</v>
      </c>
      <c r="T2988" t="s">
        <v>15602</v>
      </c>
    </row>
    <row r="2989" spans="1:20">
      <c r="A2989">
        <v>3331044</v>
      </c>
      <c r="B2989" t="s">
        <v>15603</v>
      </c>
      <c r="C2989" t="str">
        <f>"9780886290979"</f>
        <v>9780886290979</v>
      </c>
      <c r="D2989" t="str">
        <f>"9780773573550"</f>
        <v>9780773573550</v>
      </c>
      <c r="E2989" t="s">
        <v>12863</v>
      </c>
      <c r="F2989" t="s">
        <v>12863</v>
      </c>
      <c r="G2989" s="1">
        <v>32659</v>
      </c>
      <c r="I2989" t="s">
        <v>13270</v>
      </c>
      <c r="J2989" t="s">
        <v>15604</v>
      </c>
      <c r="K2989" t="s">
        <v>1214</v>
      </c>
      <c r="L2989" t="s">
        <v>15605</v>
      </c>
      <c r="M2989">
        <v>323</v>
      </c>
      <c r="N2989" t="s">
        <v>15606</v>
      </c>
      <c r="O2989" t="s">
        <v>26</v>
      </c>
      <c r="P2989">
        <v>112.5</v>
      </c>
      <c r="Q2989">
        <v>93.75</v>
      </c>
      <c r="R2989">
        <v>75</v>
      </c>
      <c r="S2989">
        <v>112.5</v>
      </c>
      <c r="T2989" t="s">
        <v>15607</v>
      </c>
    </row>
    <row r="2990" spans="1:20">
      <c r="A2990">
        <v>3331045</v>
      </c>
      <c r="B2990" t="s">
        <v>15608</v>
      </c>
      <c r="C2990" t="str">
        <f>"9780773511668"</f>
        <v>9780773511668</v>
      </c>
      <c r="D2990" t="str">
        <f>"9780773564589"</f>
        <v>9780773564589</v>
      </c>
      <c r="E2990" t="s">
        <v>12907</v>
      </c>
      <c r="F2990" t="s">
        <v>12907</v>
      </c>
      <c r="G2990" s="1">
        <v>34488</v>
      </c>
      <c r="J2990" t="s">
        <v>15609</v>
      </c>
      <c r="K2990" t="s">
        <v>257</v>
      </c>
      <c r="L2990" t="s">
        <v>15610</v>
      </c>
      <c r="M2990" t="s">
        <v>15611</v>
      </c>
      <c r="N2990" t="s">
        <v>15612</v>
      </c>
      <c r="O2990" t="s">
        <v>26</v>
      </c>
      <c r="P2990">
        <v>142.5</v>
      </c>
      <c r="Q2990">
        <v>118.75</v>
      </c>
      <c r="R2990">
        <v>95</v>
      </c>
      <c r="S2990">
        <v>142.5</v>
      </c>
      <c r="T2990" t="s">
        <v>15613</v>
      </c>
    </row>
    <row r="2991" spans="1:20">
      <c r="A2991">
        <v>3331046</v>
      </c>
      <c r="B2991" t="s">
        <v>15614</v>
      </c>
      <c r="C2991" t="str">
        <f>"9780773513761"</f>
        <v>9780773513761</v>
      </c>
      <c r="D2991" t="str">
        <f>"9780773565821"</f>
        <v>9780773565821</v>
      </c>
      <c r="E2991" t="s">
        <v>12863</v>
      </c>
      <c r="F2991" t="s">
        <v>12863</v>
      </c>
      <c r="G2991" s="1">
        <v>35249</v>
      </c>
      <c r="J2991" t="s">
        <v>15615</v>
      </c>
      <c r="K2991" t="s">
        <v>1291</v>
      </c>
      <c r="L2991" t="s">
        <v>15616</v>
      </c>
      <c r="M2991">
        <v>335.41199999999998</v>
      </c>
      <c r="N2991" t="s">
        <v>15617</v>
      </c>
      <c r="O2991" t="s">
        <v>26</v>
      </c>
      <c r="P2991">
        <v>142.5</v>
      </c>
      <c r="Q2991">
        <v>118.75</v>
      </c>
      <c r="R2991">
        <v>95</v>
      </c>
      <c r="S2991">
        <v>142.5</v>
      </c>
      <c r="T2991" t="s">
        <v>15618</v>
      </c>
    </row>
    <row r="2992" spans="1:20">
      <c r="A2992">
        <v>3331047</v>
      </c>
      <c r="B2992" t="s">
        <v>15619</v>
      </c>
      <c r="C2992" t="str">
        <f>"9780773516663"</f>
        <v>9780773516663</v>
      </c>
      <c r="D2992" t="str">
        <f>"9780773566859"</f>
        <v>9780773566859</v>
      </c>
      <c r="E2992" t="s">
        <v>12863</v>
      </c>
      <c r="F2992" t="s">
        <v>12863</v>
      </c>
      <c r="G2992" s="1">
        <v>35702</v>
      </c>
      <c r="J2992" t="s">
        <v>15620</v>
      </c>
      <c r="K2992" t="s">
        <v>291</v>
      </c>
      <c r="L2992" t="s">
        <v>15621</v>
      </c>
      <c r="M2992">
        <v>971.13699999999994</v>
      </c>
      <c r="N2992" t="s">
        <v>15622</v>
      </c>
      <c r="O2992" t="s">
        <v>26</v>
      </c>
      <c r="P2992">
        <v>142.5</v>
      </c>
      <c r="Q2992">
        <v>118.75</v>
      </c>
      <c r="R2992">
        <v>95</v>
      </c>
      <c r="S2992">
        <v>142.5</v>
      </c>
      <c r="T2992" t="s">
        <v>15623</v>
      </c>
    </row>
    <row r="2993" spans="1:20">
      <c r="A2993">
        <v>3331048</v>
      </c>
      <c r="B2993" t="s">
        <v>15624</v>
      </c>
      <c r="C2993" t="str">
        <f>"9780773521414"</f>
        <v>9780773521414</v>
      </c>
      <c r="D2993" t="str">
        <f>"9780773568921"</f>
        <v>9780773568921</v>
      </c>
      <c r="E2993" t="s">
        <v>12863</v>
      </c>
      <c r="F2993" t="s">
        <v>12863</v>
      </c>
      <c r="G2993" s="1">
        <v>37183</v>
      </c>
      <c r="J2993" t="s">
        <v>15625</v>
      </c>
      <c r="K2993" t="s">
        <v>1530</v>
      </c>
      <c r="L2993" t="s">
        <v>15626</v>
      </c>
      <c r="M2993" t="s">
        <v>15627</v>
      </c>
      <c r="N2993" t="s">
        <v>15628</v>
      </c>
      <c r="O2993" t="s">
        <v>26</v>
      </c>
      <c r="P2993">
        <v>150</v>
      </c>
      <c r="Q2993">
        <v>125</v>
      </c>
      <c r="R2993">
        <v>100</v>
      </c>
      <c r="S2993">
        <v>150</v>
      </c>
      <c r="T2993" t="s">
        <v>15629</v>
      </c>
    </row>
    <row r="2994" spans="1:20">
      <c r="A2994">
        <v>3331049</v>
      </c>
      <c r="B2994" t="s">
        <v>15630</v>
      </c>
      <c r="C2994" t="str">
        <f>"9780773520134"</f>
        <v>9780773520134</v>
      </c>
      <c r="D2994" t="str">
        <f>"9780773568211"</f>
        <v>9780773568211</v>
      </c>
      <c r="E2994" t="s">
        <v>12863</v>
      </c>
      <c r="F2994" t="s">
        <v>12863</v>
      </c>
      <c r="G2994" s="1">
        <v>36445</v>
      </c>
      <c r="J2994" t="s">
        <v>15631</v>
      </c>
      <c r="K2994" t="s">
        <v>1550</v>
      </c>
      <c r="L2994" t="s">
        <v>15632</v>
      </c>
      <c r="M2994">
        <v>982.06399999999996</v>
      </c>
      <c r="N2994" t="s">
        <v>15633</v>
      </c>
      <c r="O2994" t="s">
        <v>26</v>
      </c>
      <c r="P2994">
        <v>37.43</v>
      </c>
      <c r="Q2994">
        <v>31.19</v>
      </c>
      <c r="R2994">
        <v>24.95</v>
      </c>
      <c r="S2994">
        <v>37.43</v>
      </c>
      <c r="T2994" t="s">
        <v>15634</v>
      </c>
    </row>
    <row r="2995" spans="1:20">
      <c r="A2995">
        <v>3331050</v>
      </c>
      <c r="B2995" t="s">
        <v>15635</v>
      </c>
      <c r="C2995" t="str">
        <f>"9780773512931"</f>
        <v>9780773512931</v>
      </c>
      <c r="D2995" t="str">
        <f>"9780773565333"</f>
        <v>9780773565333</v>
      </c>
      <c r="E2995" t="s">
        <v>12863</v>
      </c>
      <c r="F2995" t="s">
        <v>12863</v>
      </c>
      <c r="G2995" s="1">
        <v>34877</v>
      </c>
      <c r="J2995" t="s">
        <v>15636</v>
      </c>
      <c r="K2995" t="s">
        <v>467</v>
      </c>
      <c r="L2995" t="s">
        <v>15637</v>
      </c>
      <c r="M2995">
        <v>320.971</v>
      </c>
      <c r="N2995" t="s">
        <v>15638</v>
      </c>
      <c r="O2995" t="s">
        <v>26</v>
      </c>
      <c r="P2995">
        <v>142.5</v>
      </c>
      <c r="Q2995">
        <v>118.75</v>
      </c>
      <c r="R2995">
        <v>95</v>
      </c>
      <c r="S2995">
        <v>142.5</v>
      </c>
      <c r="T2995" t="s">
        <v>15639</v>
      </c>
    </row>
    <row r="2996" spans="1:20">
      <c r="A2996">
        <v>3331051</v>
      </c>
      <c r="B2996" t="s">
        <v>15640</v>
      </c>
      <c r="C2996" t="str">
        <f>"9780773518087"</f>
        <v>9780773518087</v>
      </c>
      <c r="D2996" t="str">
        <f>"9780773567573"</f>
        <v>9780773567573</v>
      </c>
      <c r="E2996" t="s">
        <v>12863</v>
      </c>
      <c r="F2996" t="s">
        <v>12863</v>
      </c>
      <c r="G2996" s="1">
        <v>36117</v>
      </c>
      <c r="J2996" t="s">
        <v>15641</v>
      </c>
      <c r="K2996" t="s">
        <v>291</v>
      </c>
      <c r="L2996" t="s">
        <v>15642</v>
      </c>
      <c r="M2996">
        <v>971.404</v>
      </c>
      <c r="N2996" t="s">
        <v>15643</v>
      </c>
      <c r="O2996" t="s">
        <v>26</v>
      </c>
      <c r="P2996">
        <v>142.5</v>
      </c>
      <c r="Q2996">
        <v>118.75</v>
      </c>
      <c r="R2996">
        <v>95</v>
      </c>
      <c r="S2996">
        <v>142.5</v>
      </c>
      <c r="T2996" t="s">
        <v>15644</v>
      </c>
    </row>
    <row r="2997" spans="1:20">
      <c r="A2997">
        <v>3331052</v>
      </c>
      <c r="B2997" t="s">
        <v>15645</v>
      </c>
      <c r="C2997" t="str">
        <f>"9780773513518"</f>
        <v>9780773513518</v>
      </c>
      <c r="D2997" t="str">
        <f>"9780773565661"</f>
        <v>9780773565661</v>
      </c>
      <c r="E2997" t="s">
        <v>12863</v>
      </c>
      <c r="F2997" t="s">
        <v>12863</v>
      </c>
      <c r="G2997" s="1">
        <v>34820</v>
      </c>
      <c r="I2997" t="s">
        <v>12886</v>
      </c>
      <c r="J2997" t="s">
        <v>6544</v>
      </c>
      <c r="K2997" t="s">
        <v>15646</v>
      </c>
      <c r="L2997" t="s">
        <v>15647</v>
      </c>
      <c r="M2997">
        <v>230.07352713540999</v>
      </c>
      <c r="N2997" t="s">
        <v>15648</v>
      </c>
      <c r="O2997" t="s">
        <v>26</v>
      </c>
      <c r="P2997">
        <v>142.5</v>
      </c>
      <c r="Q2997">
        <v>118.75</v>
      </c>
      <c r="R2997">
        <v>95</v>
      </c>
      <c r="S2997">
        <v>142.5</v>
      </c>
      <c r="T2997" t="s">
        <v>15649</v>
      </c>
    </row>
    <row r="2998" spans="1:20">
      <c r="A2998">
        <v>3331053</v>
      </c>
      <c r="B2998" t="s">
        <v>15650</v>
      </c>
      <c r="C2998" t="str">
        <f>"9780773520035"</f>
        <v>9780773520035</v>
      </c>
      <c r="D2998" t="str">
        <f>"9780773568167"</f>
        <v>9780773568167</v>
      </c>
      <c r="E2998" t="s">
        <v>12863</v>
      </c>
      <c r="F2998" t="s">
        <v>12863</v>
      </c>
      <c r="G2998" s="1">
        <v>36784</v>
      </c>
      <c r="J2998" t="s">
        <v>15651</v>
      </c>
      <c r="K2998" t="s">
        <v>15652</v>
      </c>
      <c r="L2998" t="s">
        <v>15653</v>
      </c>
      <c r="M2998">
        <v>363.73940971000002</v>
      </c>
      <c r="N2998" t="s">
        <v>15654</v>
      </c>
      <c r="O2998" t="s">
        <v>26</v>
      </c>
      <c r="P2998">
        <v>74.930000000000007</v>
      </c>
      <c r="Q2998">
        <v>62.44</v>
      </c>
      <c r="R2998">
        <v>49.95</v>
      </c>
      <c r="S2998">
        <v>74.930000000000007</v>
      </c>
      <c r="T2998" t="s">
        <v>15655</v>
      </c>
    </row>
    <row r="2999" spans="1:20">
      <c r="A2999">
        <v>3331054</v>
      </c>
      <c r="B2999" t="s">
        <v>15656</v>
      </c>
      <c r="C2999" t="str">
        <f>"9780773513099"</f>
        <v>9780773513099</v>
      </c>
      <c r="D2999" t="str">
        <f>"9780773565449"</f>
        <v>9780773565449</v>
      </c>
      <c r="E2999" t="s">
        <v>12863</v>
      </c>
      <c r="F2999" t="s">
        <v>12863</v>
      </c>
      <c r="G2999" s="1">
        <v>34953</v>
      </c>
      <c r="J2999" t="s">
        <v>15657</v>
      </c>
      <c r="K2999" t="s">
        <v>263</v>
      </c>
      <c r="L2999" t="s">
        <v>15658</v>
      </c>
      <c r="M2999">
        <v>305.43009713090299</v>
      </c>
      <c r="N2999" t="s">
        <v>15659</v>
      </c>
      <c r="O2999" t="s">
        <v>26</v>
      </c>
      <c r="P2999">
        <v>142.5</v>
      </c>
      <c r="Q2999">
        <v>118.75</v>
      </c>
      <c r="R2999">
        <v>95</v>
      </c>
      <c r="S2999">
        <v>142.5</v>
      </c>
      <c r="T2999" t="s">
        <v>15660</v>
      </c>
    </row>
    <row r="3000" spans="1:20">
      <c r="A3000">
        <v>3331055</v>
      </c>
      <c r="B3000" t="s">
        <v>15661</v>
      </c>
      <c r="C3000" t="str">
        <f>"9780773514256"</f>
        <v>9780773514256</v>
      </c>
      <c r="D3000" t="str">
        <f>"9780773566118"</f>
        <v>9780773566118</v>
      </c>
      <c r="E3000" t="s">
        <v>12863</v>
      </c>
      <c r="F3000" t="s">
        <v>12863</v>
      </c>
      <c r="G3000" s="1">
        <v>35304</v>
      </c>
      <c r="J3000" t="s">
        <v>15662</v>
      </c>
      <c r="K3000" t="s">
        <v>1464</v>
      </c>
      <c r="L3000" t="s">
        <v>15663</v>
      </c>
      <c r="M3000">
        <v>821.3</v>
      </c>
      <c r="N3000" t="s">
        <v>15664</v>
      </c>
      <c r="O3000" t="s">
        <v>26</v>
      </c>
      <c r="P3000">
        <v>142.5</v>
      </c>
      <c r="Q3000">
        <v>118.75</v>
      </c>
      <c r="R3000">
        <v>95</v>
      </c>
      <c r="S3000">
        <v>142.5</v>
      </c>
      <c r="T3000" t="s">
        <v>15665</v>
      </c>
    </row>
    <row r="3001" spans="1:20">
      <c r="A3001">
        <v>3331056</v>
      </c>
      <c r="B3001" t="s">
        <v>15666</v>
      </c>
      <c r="C3001" t="str">
        <f>"9780773520776"</f>
        <v>9780773520776</v>
      </c>
      <c r="D3001" t="str">
        <f>"9780773568617"</f>
        <v>9780773568617</v>
      </c>
      <c r="E3001" t="s">
        <v>12863</v>
      </c>
      <c r="F3001" t="s">
        <v>12863</v>
      </c>
      <c r="G3001" s="1">
        <v>36784</v>
      </c>
      <c r="J3001" t="s">
        <v>15667</v>
      </c>
      <c r="K3001" t="s">
        <v>4347</v>
      </c>
      <c r="L3001" t="s">
        <v>13595</v>
      </c>
      <c r="M3001">
        <v>355.82511909710001</v>
      </c>
      <c r="N3001" t="s">
        <v>15668</v>
      </c>
      <c r="O3001" t="s">
        <v>26</v>
      </c>
      <c r="P3001">
        <v>142.5</v>
      </c>
      <c r="Q3001">
        <v>118.75</v>
      </c>
      <c r="R3001">
        <v>95</v>
      </c>
      <c r="S3001">
        <v>142.5</v>
      </c>
      <c r="T3001" t="s">
        <v>15669</v>
      </c>
    </row>
    <row r="3002" spans="1:20">
      <c r="A3002">
        <v>3331057</v>
      </c>
      <c r="B3002" t="s">
        <v>15670</v>
      </c>
      <c r="C3002" t="str">
        <f>"9780773513624"</f>
        <v>9780773513624</v>
      </c>
      <c r="D3002" t="str">
        <f>"9780773565708"</f>
        <v>9780773565708</v>
      </c>
      <c r="E3002" t="s">
        <v>12863</v>
      </c>
      <c r="F3002" t="s">
        <v>12863</v>
      </c>
      <c r="G3002" s="1">
        <v>35146</v>
      </c>
      <c r="J3002" t="s">
        <v>15671</v>
      </c>
      <c r="K3002" t="s">
        <v>257</v>
      </c>
      <c r="L3002" t="s">
        <v>15672</v>
      </c>
      <c r="M3002">
        <v>379.1180971</v>
      </c>
      <c r="N3002" t="s">
        <v>15673</v>
      </c>
      <c r="O3002" t="s">
        <v>26</v>
      </c>
      <c r="P3002">
        <v>142.5</v>
      </c>
      <c r="Q3002">
        <v>118.75</v>
      </c>
      <c r="R3002">
        <v>95</v>
      </c>
      <c r="S3002">
        <v>142.5</v>
      </c>
      <c r="T3002" t="s">
        <v>15674</v>
      </c>
    </row>
    <row r="3003" spans="1:20">
      <c r="A3003">
        <v>3331058</v>
      </c>
      <c r="B3003" t="s">
        <v>15675</v>
      </c>
      <c r="C3003" t="str">
        <f>"9780773516779"</f>
        <v>9780773516779</v>
      </c>
      <c r="D3003" t="str">
        <f>"9780773566958"</f>
        <v>9780773566958</v>
      </c>
      <c r="E3003" t="s">
        <v>12863</v>
      </c>
      <c r="F3003" t="s">
        <v>12863</v>
      </c>
      <c r="G3003" s="1">
        <v>35713</v>
      </c>
      <c r="J3003" t="s">
        <v>15676</v>
      </c>
      <c r="K3003" t="s">
        <v>278</v>
      </c>
      <c r="L3003" t="s">
        <v>15677</v>
      </c>
      <c r="M3003">
        <v>338.91710172400002</v>
      </c>
      <c r="N3003" t="s">
        <v>15678</v>
      </c>
      <c r="O3003" t="s">
        <v>26</v>
      </c>
      <c r="P3003">
        <v>142.5</v>
      </c>
      <c r="Q3003">
        <v>118.75</v>
      </c>
      <c r="R3003">
        <v>95</v>
      </c>
      <c r="S3003">
        <v>142.5</v>
      </c>
      <c r="T3003" t="s">
        <v>15679</v>
      </c>
    </row>
    <row r="3004" spans="1:20">
      <c r="A3004">
        <v>3331059</v>
      </c>
      <c r="B3004" t="s">
        <v>15680</v>
      </c>
      <c r="C3004" t="str">
        <f>"9780773518926"</f>
        <v>9780773518926</v>
      </c>
      <c r="D3004" t="str">
        <f>"9780773568044"</f>
        <v>9780773568044</v>
      </c>
      <c r="E3004" t="s">
        <v>12863</v>
      </c>
      <c r="F3004" t="s">
        <v>12863</v>
      </c>
      <c r="G3004" s="1">
        <v>36622</v>
      </c>
      <c r="J3004" t="s">
        <v>15681</v>
      </c>
      <c r="K3004" t="s">
        <v>899</v>
      </c>
      <c r="L3004" t="s">
        <v>13272</v>
      </c>
      <c r="M3004">
        <v>304.87130730000001</v>
      </c>
      <c r="N3004" t="s">
        <v>15682</v>
      </c>
      <c r="O3004" t="s">
        <v>26</v>
      </c>
      <c r="P3004">
        <v>142.5</v>
      </c>
      <c r="Q3004">
        <v>118.75</v>
      </c>
      <c r="R3004">
        <v>95</v>
      </c>
      <c r="S3004">
        <v>142.5</v>
      </c>
      <c r="T3004" t="s">
        <v>15683</v>
      </c>
    </row>
    <row r="3005" spans="1:20">
      <c r="A3005">
        <v>3331060</v>
      </c>
      <c r="B3005" t="s">
        <v>15684</v>
      </c>
      <c r="C3005" t="str">
        <f>"9780773522022"</f>
        <v>9780773522022</v>
      </c>
      <c r="D3005" t="str">
        <f>"9780773569324"</f>
        <v>9780773569324</v>
      </c>
      <c r="E3005" t="s">
        <v>12863</v>
      </c>
      <c r="F3005" t="s">
        <v>12863</v>
      </c>
      <c r="G3005" s="1">
        <v>38042</v>
      </c>
      <c r="I3005" t="s">
        <v>13046</v>
      </c>
      <c r="J3005" t="s">
        <v>15685</v>
      </c>
      <c r="K3005" t="s">
        <v>1530</v>
      </c>
      <c r="L3005" t="s">
        <v>15686</v>
      </c>
      <c r="M3005">
        <v>949.50750000000005</v>
      </c>
      <c r="N3005" t="s">
        <v>15687</v>
      </c>
      <c r="O3005" t="s">
        <v>26</v>
      </c>
      <c r="P3005">
        <v>165</v>
      </c>
      <c r="Q3005">
        <v>137.5</v>
      </c>
      <c r="R3005">
        <v>110</v>
      </c>
      <c r="S3005">
        <v>165</v>
      </c>
      <c r="T3005" t="s">
        <v>15688</v>
      </c>
    </row>
    <row r="3006" spans="1:20">
      <c r="A3006">
        <v>3331061</v>
      </c>
      <c r="B3006" t="s">
        <v>15689</v>
      </c>
      <c r="C3006" t="str">
        <f>"9780773514386"</f>
        <v>9780773514386</v>
      </c>
      <c r="D3006" t="str">
        <f>"9780773566217"</f>
        <v>9780773566217</v>
      </c>
      <c r="E3006" t="s">
        <v>12863</v>
      </c>
      <c r="F3006" t="s">
        <v>12863</v>
      </c>
      <c r="G3006" s="1">
        <v>35446</v>
      </c>
      <c r="J3006" t="s">
        <v>15690</v>
      </c>
      <c r="K3006" t="s">
        <v>15691</v>
      </c>
      <c r="L3006" t="s">
        <v>15692</v>
      </c>
      <c r="M3006">
        <v>1.4</v>
      </c>
      <c r="N3006" t="s">
        <v>15693</v>
      </c>
      <c r="O3006" t="s">
        <v>26</v>
      </c>
      <c r="P3006">
        <v>142.5</v>
      </c>
      <c r="Q3006">
        <v>118.75</v>
      </c>
      <c r="R3006">
        <v>95</v>
      </c>
      <c r="S3006">
        <v>142.5</v>
      </c>
      <c r="T3006" t="s">
        <v>15694</v>
      </c>
    </row>
    <row r="3007" spans="1:20">
      <c r="A3007">
        <v>3331062</v>
      </c>
      <c r="B3007" t="s">
        <v>15695</v>
      </c>
      <c r="C3007" t="str">
        <f>"9780773520899"</f>
        <v>9780773520899</v>
      </c>
      <c r="D3007" t="str">
        <f>"9780773568662"</f>
        <v>9780773568662</v>
      </c>
      <c r="E3007" t="s">
        <v>12863</v>
      </c>
      <c r="F3007" t="s">
        <v>12863</v>
      </c>
      <c r="G3007" s="1">
        <v>36784</v>
      </c>
      <c r="J3007" t="s">
        <v>15696</v>
      </c>
      <c r="K3007" t="s">
        <v>7621</v>
      </c>
      <c r="L3007" t="s">
        <v>15697</v>
      </c>
      <c r="M3007">
        <v>971</v>
      </c>
      <c r="N3007" t="s">
        <v>15698</v>
      </c>
      <c r="O3007" t="s">
        <v>26</v>
      </c>
      <c r="P3007">
        <v>112.5</v>
      </c>
      <c r="Q3007">
        <v>93.75</v>
      </c>
      <c r="R3007">
        <v>75</v>
      </c>
      <c r="S3007">
        <v>112.5</v>
      </c>
      <c r="T3007" t="s">
        <v>15699</v>
      </c>
    </row>
    <row r="3008" spans="1:20">
      <c r="A3008">
        <v>3331063</v>
      </c>
      <c r="B3008" t="s">
        <v>15700</v>
      </c>
      <c r="C3008" t="str">
        <f>"9780773513778"</f>
        <v>9780773513778</v>
      </c>
      <c r="D3008" t="str">
        <f>"9780773565838"</f>
        <v>9780773565838</v>
      </c>
      <c r="E3008" t="s">
        <v>12863</v>
      </c>
      <c r="F3008" t="s">
        <v>12863</v>
      </c>
      <c r="G3008" s="1">
        <v>35209</v>
      </c>
      <c r="I3008" t="s">
        <v>13288</v>
      </c>
      <c r="J3008" t="s">
        <v>15701</v>
      </c>
      <c r="K3008" t="s">
        <v>10089</v>
      </c>
      <c r="L3008" t="s">
        <v>15702</v>
      </c>
      <c r="M3008">
        <v>971.41600000000005</v>
      </c>
      <c r="N3008" t="s">
        <v>15703</v>
      </c>
      <c r="O3008" t="s">
        <v>94</v>
      </c>
      <c r="P3008">
        <v>150</v>
      </c>
      <c r="Q3008">
        <v>125</v>
      </c>
      <c r="R3008">
        <v>100</v>
      </c>
      <c r="S3008">
        <v>150</v>
      </c>
      <c r="T3008" t="s">
        <v>15704</v>
      </c>
    </row>
    <row r="3009" spans="1:20">
      <c r="A3009">
        <v>3331064</v>
      </c>
      <c r="B3009" t="s">
        <v>15705</v>
      </c>
      <c r="C3009" t="str">
        <f>"9780773521407"</f>
        <v>9780773521407</v>
      </c>
      <c r="D3009" t="str">
        <f>"9780773568914"</f>
        <v>9780773568914</v>
      </c>
      <c r="E3009" t="s">
        <v>12863</v>
      </c>
      <c r="F3009" t="s">
        <v>12863</v>
      </c>
      <c r="G3009" s="1">
        <v>36693</v>
      </c>
      <c r="J3009" t="s">
        <v>15706</v>
      </c>
      <c r="K3009" t="s">
        <v>467</v>
      </c>
      <c r="L3009" t="s">
        <v>15707</v>
      </c>
      <c r="M3009">
        <v>320.85909709999999</v>
      </c>
      <c r="N3009" t="s">
        <v>15708</v>
      </c>
      <c r="O3009" t="s">
        <v>26</v>
      </c>
      <c r="P3009">
        <v>142.5</v>
      </c>
      <c r="Q3009">
        <v>118.75</v>
      </c>
      <c r="R3009">
        <v>95</v>
      </c>
      <c r="S3009">
        <v>142.5</v>
      </c>
      <c r="T3009" t="s">
        <v>15709</v>
      </c>
    </row>
    <row r="3010" spans="1:20">
      <c r="A3010">
        <v>3331065</v>
      </c>
      <c r="B3010" t="s">
        <v>15710</v>
      </c>
      <c r="C3010" t="str">
        <f>"9780773512818"</f>
        <v>9780773512818</v>
      </c>
      <c r="D3010" t="str">
        <f>"9780773565258"</f>
        <v>9780773565258</v>
      </c>
      <c r="E3010" t="s">
        <v>12863</v>
      </c>
      <c r="F3010" t="s">
        <v>12863</v>
      </c>
      <c r="G3010" s="1">
        <v>34820</v>
      </c>
      <c r="J3010" t="s">
        <v>15711</v>
      </c>
      <c r="K3010" t="s">
        <v>14447</v>
      </c>
      <c r="L3010" t="s">
        <v>15712</v>
      </c>
      <c r="M3010">
        <v>70.509200000000007</v>
      </c>
      <c r="N3010" t="s">
        <v>15713</v>
      </c>
      <c r="O3010" t="s">
        <v>26</v>
      </c>
      <c r="P3010">
        <v>142.5</v>
      </c>
      <c r="Q3010">
        <v>118.75</v>
      </c>
      <c r="R3010">
        <v>95</v>
      </c>
      <c r="S3010">
        <v>142.5</v>
      </c>
      <c r="T3010" t="s">
        <v>15714</v>
      </c>
    </row>
    <row r="3011" spans="1:20">
      <c r="A3011">
        <v>3331066</v>
      </c>
      <c r="B3011" t="s">
        <v>15715</v>
      </c>
      <c r="C3011" t="str">
        <f>"9780773513006"</f>
        <v>9780773513006</v>
      </c>
      <c r="D3011" t="str">
        <f>"9780773565371"</f>
        <v>9780773565371</v>
      </c>
      <c r="E3011" t="s">
        <v>12863</v>
      </c>
      <c r="F3011" t="s">
        <v>12863</v>
      </c>
      <c r="G3011" s="1">
        <v>34764</v>
      </c>
      <c r="J3011" t="s">
        <v>15716</v>
      </c>
      <c r="K3011" t="s">
        <v>291</v>
      </c>
      <c r="L3011" t="s">
        <v>15717</v>
      </c>
      <c r="M3011">
        <v>971.0644092</v>
      </c>
      <c r="N3011" t="s">
        <v>15718</v>
      </c>
      <c r="O3011" t="s">
        <v>26</v>
      </c>
      <c r="P3011">
        <v>120</v>
      </c>
      <c r="Q3011">
        <v>100</v>
      </c>
      <c r="R3011">
        <v>80</v>
      </c>
      <c r="S3011">
        <v>120</v>
      </c>
      <c r="T3011" t="s">
        <v>15719</v>
      </c>
    </row>
    <row r="3012" spans="1:20">
      <c r="A3012">
        <v>3331067</v>
      </c>
      <c r="B3012" t="s">
        <v>15720</v>
      </c>
      <c r="C3012" t="str">
        <f>"9780773513860"</f>
        <v>9780773513860</v>
      </c>
      <c r="D3012" t="str">
        <f>"9780773565869"</f>
        <v>9780773565869</v>
      </c>
      <c r="E3012" t="s">
        <v>12907</v>
      </c>
      <c r="F3012" t="s">
        <v>12907</v>
      </c>
      <c r="G3012" s="1">
        <v>35178</v>
      </c>
      <c r="I3012" t="s">
        <v>12864</v>
      </c>
      <c r="J3012" t="s">
        <v>15721</v>
      </c>
      <c r="K3012" t="s">
        <v>7838</v>
      </c>
      <c r="L3012" t="s">
        <v>15722</v>
      </c>
      <c r="M3012">
        <v>728</v>
      </c>
      <c r="N3012" t="s">
        <v>15723</v>
      </c>
      <c r="O3012" t="s">
        <v>26</v>
      </c>
      <c r="P3012">
        <v>142.5</v>
      </c>
      <c r="Q3012">
        <v>118.75</v>
      </c>
      <c r="R3012">
        <v>95</v>
      </c>
      <c r="S3012">
        <v>142.5</v>
      </c>
      <c r="T3012" t="s">
        <v>15724</v>
      </c>
    </row>
    <row r="3013" spans="1:20">
      <c r="A3013">
        <v>3331068</v>
      </c>
      <c r="B3013" t="s">
        <v>15725</v>
      </c>
      <c r="C3013" t="str">
        <f>"9780773514119"</f>
        <v>9780773514119</v>
      </c>
      <c r="D3013" t="str">
        <f>"9780773566026"</f>
        <v>9780773566026</v>
      </c>
      <c r="E3013" t="s">
        <v>12863</v>
      </c>
      <c r="F3013" t="s">
        <v>12863</v>
      </c>
      <c r="G3013" s="1">
        <v>35217</v>
      </c>
      <c r="J3013" t="s">
        <v>15317</v>
      </c>
      <c r="K3013" t="s">
        <v>1892</v>
      </c>
      <c r="L3013" t="s">
        <v>13574</v>
      </c>
      <c r="M3013">
        <v>277.10820000000001</v>
      </c>
      <c r="N3013" t="s">
        <v>15726</v>
      </c>
      <c r="O3013" t="s">
        <v>26</v>
      </c>
      <c r="P3013">
        <v>142.5</v>
      </c>
      <c r="Q3013">
        <v>118.75</v>
      </c>
      <c r="R3013">
        <v>95</v>
      </c>
      <c r="S3013">
        <v>142.5</v>
      </c>
      <c r="T3013" t="s">
        <v>15727</v>
      </c>
    </row>
    <row r="3014" spans="1:20">
      <c r="A3014">
        <v>3331069</v>
      </c>
      <c r="B3014" t="s">
        <v>15728</v>
      </c>
      <c r="C3014" t="str">
        <f>"9780773517547"</f>
        <v>9780773517547</v>
      </c>
      <c r="D3014" t="str">
        <f>"9780773567344"</f>
        <v>9780773567344</v>
      </c>
      <c r="E3014" t="s">
        <v>12863</v>
      </c>
      <c r="F3014" t="s">
        <v>12863</v>
      </c>
      <c r="G3014" s="1">
        <v>36174</v>
      </c>
      <c r="J3014" t="s">
        <v>15729</v>
      </c>
      <c r="K3014" t="s">
        <v>1464</v>
      </c>
      <c r="L3014" t="s">
        <v>15730</v>
      </c>
      <c r="M3014">
        <v>863.3</v>
      </c>
      <c r="N3014" t="s">
        <v>15731</v>
      </c>
      <c r="O3014" t="s">
        <v>26</v>
      </c>
      <c r="P3014">
        <v>142.5</v>
      </c>
      <c r="Q3014">
        <v>118.75</v>
      </c>
      <c r="R3014">
        <v>95</v>
      </c>
      <c r="S3014">
        <v>142.5</v>
      </c>
      <c r="T3014" t="s">
        <v>15732</v>
      </c>
    </row>
    <row r="3015" spans="1:20">
      <c r="A3015">
        <v>3331070</v>
      </c>
      <c r="B3015" t="s">
        <v>15733</v>
      </c>
      <c r="C3015" t="str">
        <f>"9780773512672"</f>
        <v>9780773512672</v>
      </c>
      <c r="D3015" t="str">
        <f>"9780773565197"</f>
        <v>9780773565197</v>
      </c>
      <c r="E3015" t="s">
        <v>12863</v>
      </c>
      <c r="F3015" t="s">
        <v>12863</v>
      </c>
      <c r="G3015" s="1">
        <v>34716</v>
      </c>
      <c r="I3015" t="s">
        <v>12886</v>
      </c>
      <c r="J3015" t="s">
        <v>15734</v>
      </c>
      <c r="K3015" t="s">
        <v>1613</v>
      </c>
      <c r="L3015" t="s">
        <v>15735</v>
      </c>
      <c r="M3015">
        <v>261.80971</v>
      </c>
      <c r="N3015" t="s">
        <v>15736</v>
      </c>
      <c r="O3015" t="s">
        <v>26</v>
      </c>
      <c r="P3015">
        <v>142.5</v>
      </c>
      <c r="Q3015">
        <v>118.75</v>
      </c>
      <c r="R3015">
        <v>95</v>
      </c>
      <c r="S3015">
        <v>142.5</v>
      </c>
      <c r="T3015" t="s">
        <v>15737</v>
      </c>
    </row>
    <row r="3016" spans="1:20">
      <c r="A3016">
        <v>3331071</v>
      </c>
      <c r="B3016" t="s">
        <v>15738</v>
      </c>
      <c r="C3016" t="str">
        <f>"9780773517257"</f>
        <v>9780773517257</v>
      </c>
      <c r="D3016" t="str">
        <f>"9780773567177"</f>
        <v>9780773567177</v>
      </c>
      <c r="E3016" t="s">
        <v>12907</v>
      </c>
      <c r="F3016" t="s">
        <v>12907</v>
      </c>
      <c r="G3016" s="1">
        <v>36588</v>
      </c>
      <c r="J3016" t="s">
        <v>15739</v>
      </c>
      <c r="K3016" t="s">
        <v>11807</v>
      </c>
      <c r="L3016" t="s">
        <v>15740</v>
      </c>
      <c r="M3016" t="s">
        <v>15741</v>
      </c>
      <c r="N3016" t="s">
        <v>15742</v>
      </c>
      <c r="O3016" t="s">
        <v>26</v>
      </c>
      <c r="P3016">
        <v>142.5</v>
      </c>
      <c r="Q3016">
        <v>118.75</v>
      </c>
      <c r="R3016">
        <v>95</v>
      </c>
      <c r="S3016">
        <v>142.5</v>
      </c>
      <c r="T3016" t="s">
        <v>15743</v>
      </c>
    </row>
    <row r="3017" spans="1:20">
      <c r="A3017">
        <v>3331072</v>
      </c>
      <c r="B3017" t="s">
        <v>15744</v>
      </c>
      <c r="C3017" t="str">
        <f>"9780773513365"</f>
        <v>9780773513365</v>
      </c>
      <c r="D3017" t="str">
        <f>"9780773565579"</f>
        <v>9780773565579</v>
      </c>
      <c r="E3017" t="s">
        <v>12863</v>
      </c>
      <c r="F3017" t="s">
        <v>12863</v>
      </c>
      <c r="G3017" s="1">
        <v>35033</v>
      </c>
      <c r="I3017" t="s">
        <v>12871</v>
      </c>
      <c r="J3017" t="s">
        <v>15745</v>
      </c>
      <c r="K3017" t="s">
        <v>257</v>
      </c>
      <c r="L3017" t="s">
        <v>15746</v>
      </c>
      <c r="M3017">
        <v>371.97971000000001</v>
      </c>
      <c r="N3017" t="s">
        <v>15747</v>
      </c>
      <c r="O3017" t="s">
        <v>26</v>
      </c>
      <c r="P3017">
        <v>142.5</v>
      </c>
      <c r="Q3017">
        <v>118.75</v>
      </c>
      <c r="R3017">
        <v>95</v>
      </c>
      <c r="S3017">
        <v>142.5</v>
      </c>
      <c r="T3017" t="s">
        <v>15748</v>
      </c>
    </row>
    <row r="3018" spans="1:20">
      <c r="A3018">
        <v>3331073</v>
      </c>
      <c r="B3018" t="s">
        <v>15749</v>
      </c>
      <c r="C3018" t="str">
        <f>"9780773518797"</f>
        <v>9780773518797</v>
      </c>
      <c r="D3018" t="str">
        <f>"9780773567955"</f>
        <v>9780773567955</v>
      </c>
      <c r="E3018" t="s">
        <v>12863</v>
      </c>
      <c r="F3018" t="s">
        <v>12863</v>
      </c>
      <c r="G3018" s="1">
        <v>36466</v>
      </c>
      <c r="J3018" t="s">
        <v>15750</v>
      </c>
      <c r="K3018" t="s">
        <v>1464</v>
      </c>
      <c r="L3018" t="s">
        <v>15751</v>
      </c>
      <c r="M3018">
        <v>831.91399999999999</v>
      </c>
      <c r="N3018" t="s">
        <v>15752</v>
      </c>
      <c r="O3018" t="s">
        <v>26</v>
      </c>
      <c r="P3018">
        <v>142.5</v>
      </c>
      <c r="Q3018">
        <v>118.75</v>
      </c>
      <c r="R3018">
        <v>95</v>
      </c>
      <c r="S3018">
        <v>142.5</v>
      </c>
      <c r="T3018" t="s">
        <v>15753</v>
      </c>
    </row>
    <row r="3019" spans="1:20">
      <c r="A3019">
        <v>3331074</v>
      </c>
      <c r="B3019" t="s">
        <v>15754</v>
      </c>
      <c r="C3019" t="str">
        <f>"9780773518803"</f>
        <v>9780773518803</v>
      </c>
      <c r="D3019" t="str">
        <f>"9780773567962"</f>
        <v>9780773567962</v>
      </c>
      <c r="E3019" t="s">
        <v>12863</v>
      </c>
      <c r="F3019" t="s">
        <v>12863</v>
      </c>
      <c r="G3019" s="1">
        <v>36458</v>
      </c>
      <c r="I3019" t="s">
        <v>12886</v>
      </c>
      <c r="J3019" t="s">
        <v>15755</v>
      </c>
      <c r="K3019" t="s">
        <v>291</v>
      </c>
      <c r="L3019" t="s">
        <v>15260</v>
      </c>
      <c r="M3019">
        <v>971.80100000000004</v>
      </c>
      <c r="N3019" t="s">
        <v>15756</v>
      </c>
      <c r="O3019" t="s">
        <v>26</v>
      </c>
      <c r="P3019">
        <v>142.5</v>
      </c>
      <c r="Q3019">
        <v>118.75</v>
      </c>
      <c r="R3019">
        <v>95</v>
      </c>
      <c r="S3019">
        <v>142.5</v>
      </c>
      <c r="T3019" t="s">
        <v>15757</v>
      </c>
    </row>
    <row r="3020" spans="1:20">
      <c r="A3020">
        <v>3331075</v>
      </c>
      <c r="B3020" t="s">
        <v>15758</v>
      </c>
      <c r="C3020" t="str">
        <f>"9780773518995"</f>
        <v>9780773518995</v>
      </c>
      <c r="D3020" t="str">
        <f>"9780773568082"</f>
        <v>9780773568082</v>
      </c>
      <c r="E3020" t="s">
        <v>12863</v>
      </c>
      <c r="F3020" t="s">
        <v>12863</v>
      </c>
      <c r="G3020" s="1">
        <v>36564</v>
      </c>
      <c r="J3020" t="s">
        <v>15759</v>
      </c>
      <c r="K3020" t="s">
        <v>263</v>
      </c>
      <c r="L3020" t="s">
        <v>15760</v>
      </c>
      <c r="M3020">
        <v>305.55097130903403</v>
      </c>
      <c r="N3020" t="s">
        <v>15761</v>
      </c>
      <c r="O3020" t="s">
        <v>26</v>
      </c>
      <c r="P3020">
        <v>142.5</v>
      </c>
      <c r="Q3020">
        <v>118.75</v>
      </c>
      <c r="R3020">
        <v>95</v>
      </c>
      <c r="S3020">
        <v>142.5</v>
      </c>
      <c r="T3020" t="s">
        <v>15762</v>
      </c>
    </row>
    <row r="3021" spans="1:20">
      <c r="A3021">
        <v>3331076</v>
      </c>
      <c r="B3021" t="s">
        <v>15763</v>
      </c>
      <c r="C3021" t="str">
        <f>"9780773517974"</f>
        <v>9780773517974</v>
      </c>
      <c r="D3021" t="str">
        <f>"9780773567511"</f>
        <v>9780773567511</v>
      </c>
      <c r="E3021" t="s">
        <v>12863</v>
      </c>
      <c r="F3021" t="s">
        <v>12863</v>
      </c>
      <c r="G3021" s="1">
        <v>36081</v>
      </c>
      <c r="J3021" t="s">
        <v>15297</v>
      </c>
      <c r="K3021" t="s">
        <v>15764</v>
      </c>
      <c r="L3021" t="s">
        <v>15765</v>
      </c>
      <c r="M3021">
        <v>179</v>
      </c>
      <c r="N3021" t="s">
        <v>15766</v>
      </c>
      <c r="O3021" t="s">
        <v>26</v>
      </c>
      <c r="P3021">
        <v>142.5</v>
      </c>
      <c r="Q3021">
        <v>118.75</v>
      </c>
      <c r="R3021">
        <v>95</v>
      </c>
      <c r="S3021">
        <v>142.5</v>
      </c>
      <c r="T3021" t="s">
        <v>15767</v>
      </c>
    </row>
    <row r="3022" spans="1:20">
      <c r="A3022">
        <v>3331077</v>
      </c>
      <c r="B3022" t="s">
        <v>15768</v>
      </c>
      <c r="C3022" t="str">
        <f>"9780773520011"</f>
        <v>9780773520011</v>
      </c>
      <c r="D3022" t="str">
        <f>"9780773568143"</f>
        <v>9780773568143</v>
      </c>
      <c r="E3022" t="s">
        <v>12863</v>
      </c>
      <c r="F3022" t="s">
        <v>12863</v>
      </c>
      <c r="G3022" s="1">
        <v>36452</v>
      </c>
      <c r="I3022" t="s">
        <v>12871</v>
      </c>
      <c r="J3022" t="s">
        <v>14852</v>
      </c>
      <c r="K3022" t="s">
        <v>525</v>
      </c>
      <c r="L3022" t="s">
        <v>15769</v>
      </c>
      <c r="M3022">
        <v>342.08720920000002</v>
      </c>
      <c r="N3022" t="s">
        <v>15770</v>
      </c>
      <c r="O3022" t="s">
        <v>26</v>
      </c>
      <c r="P3022">
        <v>142.5</v>
      </c>
      <c r="Q3022">
        <v>118.75</v>
      </c>
      <c r="R3022">
        <v>95</v>
      </c>
      <c r="S3022">
        <v>142.5</v>
      </c>
      <c r="T3022" t="s">
        <v>15771</v>
      </c>
    </row>
    <row r="3023" spans="1:20">
      <c r="A3023">
        <v>3331078</v>
      </c>
      <c r="B3023" t="s">
        <v>15772</v>
      </c>
      <c r="C3023" t="str">
        <f>"9780773520028"</f>
        <v>9780773520028</v>
      </c>
      <c r="D3023" t="str">
        <f>"9780773568150"</f>
        <v>9780773568150</v>
      </c>
      <c r="E3023" t="s">
        <v>12863</v>
      </c>
      <c r="F3023" t="s">
        <v>12863</v>
      </c>
      <c r="G3023" s="1">
        <v>36448</v>
      </c>
      <c r="J3023" t="s">
        <v>15773</v>
      </c>
      <c r="K3023" t="s">
        <v>1471</v>
      </c>
      <c r="L3023" t="s">
        <v>15774</v>
      </c>
      <c r="M3023">
        <v>792.09714280903995</v>
      </c>
      <c r="N3023" t="s">
        <v>15775</v>
      </c>
      <c r="O3023" t="s">
        <v>26</v>
      </c>
      <c r="P3023">
        <v>142.5</v>
      </c>
      <c r="Q3023">
        <v>118.75</v>
      </c>
      <c r="R3023">
        <v>95</v>
      </c>
      <c r="S3023">
        <v>142.5</v>
      </c>
      <c r="T3023" t="s">
        <v>15776</v>
      </c>
    </row>
    <row r="3024" spans="1:20">
      <c r="A3024">
        <v>3331079</v>
      </c>
      <c r="B3024" t="s">
        <v>15777</v>
      </c>
      <c r="C3024" t="str">
        <f>"9780773517363"</f>
        <v>9780773517363</v>
      </c>
      <c r="D3024" t="str">
        <f>"9780773567252"</f>
        <v>9780773567252</v>
      </c>
      <c r="E3024" t="s">
        <v>12863</v>
      </c>
      <c r="F3024" t="s">
        <v>12863</v>
      </c>
      <c r="G3024" s="1">
        <v>36038</v>
      </c>
      <c r="J3024" t="s">
        <v>15778</v>
      </c>
      <c r="K3024" t="s">
        <v>3081</v>
      </c>
      <c r="L3024" t="s">
        <v>15779</v>
      </c>
      <c r="M3024">
        <v>971.46030919999998</v>
      </c>
      <c r="N3024" t="s">
        <v>15780</v>
      </c>
      <c r="O3024" t="s">
        <v>26</v>
      </c>
      <c r="P3024">
        <v>142.5</v>
      </c>
      <c r="Q3024">
        <v>118.75</v>
      </c>
      <c r="R3024">
        <v>95</v>
      </c>
      <c r="S3024">
        <v>142.5</v>
      </c>
      <c r="T3024" t="s">
        <v>15781</v>
      </c>
    </row>
    <row r="3025" spans="1:20">
      <c r="A3025">
        <v>3331080</v>
      </c>
      <c r="B3025" t="s">
        <v>15782</v>
      </c>
      <c r="C3025" t="str">
        <f>"9780773513341"</f>
        <v>9780773513341</v>
      </c>
      <c r="D3025" t="str">
        <f>"9780773565562"</f>
        <v>9780773565562</v>
      </c>
      <c r="E3025" t="s">
        <v>12863</v>
      </c>
      <c r="F3025" t="s">
        <v>12863</v>
      </c>
      <c r="G3025" s="1">
        <v>34957</v>
      </c>
      <c r="J3025" t="s">
        <v>15783</v>
      </c>
      <c r="K3025" t="s">
        <v>11256</v>
      </c>
      <c r="L3025" t="s">
        <v>15784</v>
      </c>
      <c r="M3025">
        <v>607.27099999999996</v>
      </c>
      <c r="N3025" t="s">
        <v>15785</v>
      </c>
      <c r="O3025" t="s">
        <v>26</v>
      </c>
      <c r="P3025">
        <v>142.5</v>
      </c>
      <c r="Q3025">
        <v>118.75</v>
      </c>
      <c r="R3025">
        <v>95</v>
      </c>
      <c r="S3025">
        <v>142.5</v>
      </c>
      <c r="T3025" t="s">
        <v>15786</v>
      </c>
    </row>
    <row r="3026" spans="1:20">
      <c r="A3026">
        <v>3331081</v>
      </c>
      <c r="B3026" t="s">
        <v>15787</v>
      </c>
      <c r="C3026" t="str">
        <f>"9780773517295"</f>
        <v>9780773517295</v>
      </c>
      <c r="D3026" t="str">
        <f>"9780773567191"</f>
        <v>9780773567191</v>
      </c>
      <c r="E3026" t="s">
        <v>12863</v>
      </c>
      <c r="F3026" t="s">
        <v>12863</v>
      </c>
      <c r="G3026" s="1">
        <v>36068</v>
      </c>
      <c r="J3026" t="s">
        <v>15788</v>
      </c>
      <c r="K3026" t="s">
        <v>263</v>
      </c>
      <c r="L3026" t="s">
        <v>15789</v>
      </c>
      <c r="M3026">
        <v>307.72097100000002</v>
      </c>
      <c r="N3026" t="s">
        <v>15790</v>
      </c>
      <c r="O3026" t="s">
        <v>26</v>
      </c>
      <c r="P3026">
        <v>142.5</v>
      </c>
      <c r="Q3026">
        <v>118.75</v>
      </c>
      <c r="R3026">
        <v>95</v>
      </c>
      <c r="S3026">
        <v>142.5</v>
      </c>
      <c r="T3026" t="s">
        <v>15791</v>
      </c>
    </row>
    <row r="3027" spans="1:20">
      <c r="A3027">
        <v>3331082</v>
      </c>
      <c r="B3027" t="s">
        <v>15792</v>
      </c>
      <c r="C3027" t="str">
        <f>"9780773516014"</f>
        <v>9780773516014</v>
      </c>
      <c r="D3027" t="str">
        <f>"9780773566538"</f>
        <v>9780773566538</v>
      </c>
      <c r="E3027" t="s">
        <v>12863</v>
      </c>
      <c r="F3027" t="s">
        <v>12863</v>
      </c>
      <c r="G3027" s="1">
        <v>35539</v>
      </c>
      <c r="J3027" t="s">
        <v>15793</v>
      </c>
      <c r="K3027" t="s">
        <v>15794</v>
      </c>
      <c r="L3027" t="s">
        <v>15795</v>
      </c>
      <c r="M3027" t="s">
        <v>15796</v>
      </c>
      <c r="N3027" t="s">
        <v>15797</v>
      </c>
      <c r="O3027" t="s">
        <v>26</v>
      </c>
      <c r="P3027">
        <v>135</v>
      </c>
      <c r="Q3027">
        <v>112.5</v>
      </c>
      <c r="R3027">
        <v>90</v>
      </c>
      <c r="S3027">
        <v>135</v>
      </c>
      <c r="T3027" t="s">
        <v>15798</v>
      </c>
    </row>
    <row r="3028" spans="1:20">
      <c r="A3028">
        <v>3331083</v>
      </c>
      <c r="B3028" t="s">
        <v>15799</v>
      </c>
      <c r="C3028" t="str">
        <f>"9780773513501"</f>
        <v>9780773513501</v>
      </c>
      <c r="D3028" t="str">
        <f>"9780773565654"</f>
        <v>9780773565654</v>
      </c>
      <c r="E3028" t="s">
        <v>12863</v>
      </c>
      <c r="F3028" t="s">
        <v>12863</v>
      </c>
      <c r="G3028" s="1">
        <v>34911</v>
      </c>
      <c r="J3028" t="s">
        <v>15800</v>
      </c>
      <c r="K3028" t="s">
        <v>291</v>
      </c>
      <c r="L3028" t="s">
        <v>15801</v>
      </c>
      <c r="M3028">
        <v>940.54724309200003</v>
      </c>
      <c r="N3028" t="s">
        <v>15802</v>
      </c>
      <c r="O3028" t="s">
        <v>26</v>
      </c>
      <c r="P3028">
        <v>67.430000000000007</v>
      </c>
      <c r="Q3028">
        <v>56.19</v>
      </c>
      <c r="R3028">
        <v>44.95</v>
      </c>
      <c r="S3028">
        <v>67.430000000000007</v>
      </c>
      <c r="T3028" t="s">
        <v>15803</v>
      </c>
    </row>
    <row r="3029" spans="1:20">
      <c r="A3029">
        <v>3331084</v>
      </c>
      <c r="B3029" t="s">
        <v>15804</v>
      </c>
      <c r="C3029" t="str">
        <f>"9780773513419"</f>
        <v>9780773513419</v>
      </c>
      <c r="D3029" t="str">
        <f>"9780773565609"</f>
        <v>9780773565609</v>
      </c>
      <c r="E3029" t="s">
        <v>12863</v>
      </c>
      <c r="F3029" t="s">
        <v>12863</v>
      </c>
      <c r="G3029" s="1">
        <v>34802</v>
      </c>
      <c r="J3029" t="s">
        <v>15805</v>
      </c>
      <c r="K3029" t="s">
        <v>291</v>
      </c>
      <c r="L3029" t="s">
        <v>15806</v>
      </c>
      <c r="M3029">
        <v>971.404</v>
      </c>
      <c r="N3029" t="s">
        <v>15807</v>
      </c>
      <c r="O3029" t="s">
        <v>26</v>
      </c>
      <c r="P3029">
        <v>142.5</v>
      </c>
      <c r="Q3029">
        <v>118.75</v>
      </c>
      <c r="R3029">
        <v>95</v>
      </c>
      <c r="S3029">
        <v>142.5</v>
      </c>
      <c r="T3029" t="s">
        <v>15808</v>
      </c>
    </row>
    <row r="3030" spans="1:20">
      <c r="A3030">
        <v>3331085</v>
      </c>
      <c r="B3030" t="s">
        <v>15809</v>
      </c>
      <c r="C3030" t="str">
        <f>"9780773515468"</f>
        <v>9780773515468</v>
      </c>
      <c r="D3030" t="str">
        <f>"9780773566477"</f>
        <v>9780773566477</v>
      </c>
      <c r="E3030" t="s">
        <v>12863</v>
      </c>
      <c r="F3030" t="s">
        <v>12863</v>
      </c>
      <c r="G3030" s="1">
        <v>35525</v>
      </c>
      <c r="J3030" t="s">
        <v>15810</v>
      </c>
      <c r="K3030" t="s">
        <v>1464</v>
      </c>
      <c r="L3030" t="s">
        <v>15811</v>
      </c>
      <c r="M3030">
        <v>827.50900000000001</v>
      </c>
      <c r="N3030" t="s">
        <v>15812</v>
      </c>
      <c r="O3030" t="s">
        <v>26</v>
      </c>
      <c r="P3030">
        <v>142.5</v>
      </c>
      <c r="Q3030">
        <v>118.75</v>
      </c>
      <c r="R3030">
        <v>95</v>
      </c>
      <c r="S3030">
        <v>142.5</v>
      </c>
      <c r="T3030" t="s">
        <v>15813</v>
      </c>
    </row>
    <row r="3031" spans="1:20">
      <c r="A3031">
        <v>3331086</v>
      </c>
      <c r="B3031" t="s">
        <v>15814</v>
      </c>
      <c r="C3031" t="str">
        <f>"9780773514362"</f>
        <v>9780773514362</v>
      </c>
      <c r="D3031" t="str">
        <f>"9780773566200"</f>
        <v>9780773566200</v>
      </c>
      <c r="E3031" t="s">
        <v>12907</v>
      </c>
      <c r="F3031" t="s">
        <v>12907</v>
      </c>
      <c r="G3031" s="1">
        <v>41773</v>
      </c>
      <c r="I3031" t="s">
        <v>12886</v>
      </c>
      <c r="J3031" t="s">
        <v>15815</v>
      </c>
      <c r="K3031" t="s">
        <v>1892</v>
      </c>
      <c r="L3031" t="s">
        <v>15816</v>
      </c>
      <c r="M3031">
        <v>285.2715</v>
      </c>
      <c r="N3031" t="s">
        <v>15817</v>
      </c>
      <c r="O3031" t="s">
        <v>26</v>
      </c>
      <c r="P3031">
        <v>142.5</v>
      </c>
      <c r="Q3031">
        <v>118.75</v>
      </c>
      <c r="R3031">
        <v>95</v>
      </c>
      <c r="S3031">
        <v>142.5</v>
      </c>
      <c r="T3031" t="s">
        <v>15818</v>
      </c>
    </row>
    <row r="3032" spans="1:20">
      <c r="A3032">
        <v>3331087</v>
      </c>
      <c r="B3032" t="s">
        <v>15819</v>
      </c>
      <c r="C3032" t="str">
        <f>"9780773517172"</f>
        <v>9780773517172</v>
      </c>
      <c r="D3032" t="str">
        <f>"9780773567122"</f>
        <v>9780773567122</v>
      </c>
      <c r="E3032" t="s">
        <v>12863</v>
      </c>
      <c r="F3032" t="s">
        <v>12863</v>
      </c>
      <c r="G3032" s="1">
        <v>35908</v>
      </c>
      <c r="J3032" t="s">
        <v>15820</v>
      </c>
      <c r="K3032" t="s">
        <v>6444</v>
      </c>
      <c r="L3032" t="s">
        <v>15821</v>
      </c>
      <c r="M3032">
        <v>327.47000000000003</v>
      </c>
      <c r="N3032" t="s">
        <v>15822</v>
      </c>
      <c r="O3032" t="s">
        <v>26</v>
      </c>
      <c r="P3032">
        <v>142.5</v>
      </c>
      <c r="Q3032">
        <v>118.75</v>
      </c>
      <c r="R3032">
        <v>95</v>
      </c>
      <c r="S3032">
        <v>142.5</v>
      </c>
      <c r="T3032" t="s">
        <v>15823</v>
      </c>
    </row>
    <row r="3033" spans="1:20">
      <c r="A3033">
        <v>3331088</v>
      </c>
      <c r="B3033" t="s">
        <v>15824</v>
      </c>
      <c r="C3033" t="str">
        <f>"9780773521551"</f>
        <v>9780773521551</v>
      </c>
      <c r="D3033" t="str">
        <f>"9780773569003"</f>
        <v>9780773569003</v>
      </c>
      <c r="E3033" t="s">
        <v>12863</v>
      </c>
      <c r="F3033" t="s">
        <v>12863</v>
      </c>
      <c r="G3033" s="1">
        <v>36924</v>
      </c>
      <c r="I3033" t="s">
        <v>12871</v>
      </c>
      <c r="J3033" t="s">
        <v>13671</v>
      </c>
      <c r="K3033" t="s">
        <v>263</v>
      </c>
      <c r="L3033" t="s">
        <v>13672</v>
      </c>
      <c r="M3033">
        <v>398.20899410576999</v>
      </c>
      <c r="N3033" t="s">
        <v>15825</v>
      </c>
      <c r="O3033" t="s">
        <v>26</v>
      </c>
      <c r="P3033">
        <v>142.5</v>
      </c>
      <c r="Q3033">
        <v>118.75</v>
      </c>
      <c r="R3033">
        <v>95</v>
      </c>
      <c r="S3033">
        <v>142.5</v>
      </c>
      <c r="T3033" t="s">
        <v>15826</v>
      </c>
    </row>
    <row r="3034" spans="1:20">
      <c r="A3034">
        <v>3331089</v>
      </c>
      <c r="B3034" t="s">
        <v>15827</v>
      </c>
      <c r="C3034" t="str">
        <f>"9780773513181"</f>
        <v>9780773513181</v>
      </c>
      <c r="D3034" t="str">
        <f>"9780773565487"</f>
        <v>9780773565487</v>
      </c>
      <c r="E3034" t="s">
        <v>12863</v>
      </c>
      <c r="F3034" t="s">
        <v>12863</v>
      </c>
      <c r="G3034" s="1">
        <v>34990</v>
      </c>
      <c r="J3034" t="s">
        <v>15828</v>
      </c>
      <c r="K3034" t="s">
        <v>7781</v>
      </c>
      <c r="L3034" t="s">
        <v>15829</v>
      </c>
      <c r="M3034">
        <v>971.404</v>
      </c>
      <c r="N3034" t="s">
        <v>15830</v>
      </c>
      <c r="O3034" t="s">
        <v>26</v>
      </c>
      <c r="P3034">
        <v>142.5</v>
      </c>
      <c r="Q3034">
        <v>118.75</v>
      </c>
      <c r="R3034">
        <v>95</v>
      </c>
      <c r="S3034">
        <v>142.5</v>
      </c>
      <c r="T3034" t="s">
        <v>15831</v>
      </c>
    </row>
    <row r="3035" spans="1:20">
      <c r="A3035">
        <v>3331090</v>
      </c>
      <c r="B3035" t="s">
        <v>15832</v>
      </c>
      <c r="C3035" t="str">
        <f>"9780773517042"</f>
        <v>9780773517042</v>
      </c>
      <c r="D3035" t="str">
        <f>"9780773567054"</f>
        <v>9780773567054</v>
      </c>
      <c r="E3035" t="s">
        <v>12907</v>
      </c>
      <c r="F3035" t="s">
        <v>12907</v>
      </c>
      <c r="G3035" s="1">
        <v>35990</v>
      </c>
      <c r="J3035" t="s">
        <v>15833</v>
      </c>
      <c r="K3035" t="s">
        <v>7838</v>
      </c>
      <c r="L3035" t="s">
        <v>15834</v>
      </c>
      <c r="M3035">
        <v>724</v>
      </c>
      <c r="N3035" t="s">
        <v>15835</v>
      </c>
      <c r="O3035" t="s">
        <v>26</v>
      </c>
      <c r="P3035">
        <v>150</v>
      </c>
      <c r="Q3035">
        <v>125</v>
      </c>
      <c r="R3035">
        <v>100</v>
      </c>
      <c r="S3035">
        <v>150</v>
      </c>
      <c r="T3035" t="s">
        <v>15836</v>
      </c>
    </row>
    <row r="3036" spans="1:20">
      <c r="A3036">
        <v>3331091</v>
      </c>
      <c r="B3036" t="s">
        <v>15837</v>
      </c>
      <c r="C3036" t="str">
        <f>"9780773518117"</f>
        <v>9780773518117</v>
      </c>
      <c r="D3036" t="str">
        <f>"9780773567597"</f>
        <v>9780773567597</v>
      </c>
      <c r="E3036" t="s">
        <v>12863</v>
      </c>
      <c r="F3036" t="s">
        <v>12863</v>
      </c>
      <c r="G3036" s="1">
        <v>36161</v>
      </c>
      <c r="J3036" t="s">
        <v>15838</v>
      </c>
      <c r="K3036" t="s">
        <v>291</v>
      </c>
      <c r="L3036" t="s">
        <v>15839</v>
      </c>
      <c r="M3036">
        <v>947.24084200000004</v>
      </c>
      <c r="N3036" t="s">
        <v>15840</v>
      </c>
      <c r="O3036" t="s">
        <v>26</v>
      </c>
      <c r="P3036">
        <v>142.5</v>
      </c>
      <c r="Q3036">
        <v>118.75</v>
      </c>
      <c r="R3036">
        <v>95</v>
      </c>
      <c r="S3036">
        <v>142.5</v>
      </c>
      <c r="T3036" t="s">
        <v>15841</v>
      </c>
    </row>
    <row r="3037" spans="1:20">
      <c r="A3037">
        <v>3331092</v>
      </c>
      <c r="B3037" t="s">
        <v>15842</v>
      </c>
      <c r="C3037" t="str">
        <f>"9780773516489"</f>
        <v>9780773516489</v>
      </c>
      <c r="D3037" t="str">
        <f>"9780773566743"</f>
        <v>9780773566743</v>
      </c>
      <c r="E3037" t="s">
        <v>12863</v>
      </c>
      <c r="F3037" t="s">
        <v>12863</v>
      </c>
      <c r="G3037" s="1">
        <v>35619</v>
      </c>
      <c r="J3037" t="s">
        <v>14534</v>
      </c>
      <c r="K3037" t="s">
        <v>1464</v>
      </c>
      <c r="L3037" t="s">
        <v>15843</v>
      </c>
      <c r="M3037">
        <v>801.95</v>
      </c>
      <c r="N3037" t="s">
        <v>15844</v>
      </c>
      <c r="O3037" t="s">
        <v>26</v>
      </c>
      <c r="P3037">
        <v>142.5</v>
      </c>
      <c r="Q3037">
        <v>118.75</v>
      </c>
      <c r="R3037">
        <v>95</v>
      </c>
      <c r="S3037">
        <v>142.5</v>
      </c>
      <c r="T3037" t="s">
        <v>15845</v>
      </c>
    </row>
    <row r="3038" spans="1:20">
      <c r="A3038">
        <v>3331093</v>
      </c>
      <c r="B3038" t="s">
        <v>15846</v>
      </c>
      <c r="C3038" t="str">
        <f>"9780773512603"</f>
        <v>9780773512603</v>
      </c>
      <c r="D3038" t="str">
        <f>"9780773565142"</f>
        <v>9780773565142</v>
      </c>
      <c r="E3038" t="s">
        <v>12863</v>
      </c>
      <c r="F3038" t="s">
        <v>12863</v>
      </c>
      <c r="G3038" s="1">
        <v>34717</v>
      </c>
      <c r="J3038" t="s">
        <v>15847</v>
      </c>
      <c r="K3038" t="s">
        <v>291</v>
      </c>
      <c r="L3038" t="s">
        <v>15196</v>
      </c>
      <c r="M3038">
        <v>971.04209200000003</v>
      </c>
      <c r="N3038" t="s">
        <v>15848</v>
      </c>
      <c r="O3038" t="s">
        <v>26</v>
      </c>
      <c r="P3038">
        <v>142.5</v>
      </c>
      <c r="Q3038">
        <v>118.75</v>
      </c>
      <c r="R3038">
        <v>95</v>
      </c>
      <c r="S3038">
        <v>142.5</v>
      </c>
      <c r="T3038" t="s">
        <v>15849</v>
      </c>
    </row>
    <row r="3039" spans="1:20">
      <c r="A3039">
        <v>3331094</v>
      </c>
      <c r="B3039" t="s">
        <v>15850</v>
      </c>
      <c r="C3039" t="str">
        <f>"9780773516434"</f>
        <v>9780773516434</v>
      </c>
      <c r="D3039" t="str">
        <f>"9780773566729"</f>
        <v>9780773566729</v>
      </c>
      <c r="E3039" t="s">
        <v>12863</v>
      </c>
      <c r="F3039" t="s">
        <v>12863</v>
      </c>
      <c r="G3039" s="1">
        <v>35759</v>
      </c>
      <c r="I3039" t="s">
        <v>12942</v>
      </c>
      <c r="J3039" t="s">
        <v>15851</v>
      </c>
      <c r="K3039" t="s">
        <v>1530</v>
      </c>
      <c r="L3039" t="s">
        <v>15852</v>
      </c>
      <c r="M3039">
        <v>306.80896910709998</v>
      </c>
      <c r="N3039" t="s">
        <v>15853</v>
      </c>
      <c r="O3039" t="s">
        <v>26</v>
      </c>
      <c r="P3039">
        <v>142.5</v>
      </c>
      <c r="Q3039">
        <v>118.75</v>
      </c>
      <c r="R3039">
        <v>95</v>
      </c>
      <c r="S3039">
        <v>142.5</v>
      </c>
      <c r="T3039" t="s">
        <v>15854</v>
      </c>
    </row>
    <row r="3040" spans="1:20">
      <c r="A3040">
        <v>3331095</v>
      </c>
      <c r="B3040" t="s">
        <v>15855</v>
      </c>
      <c r="C3040" t="str">
        <f>"9780773517134"</f>
        <v>9780773517134</v>
      </c>
      <c r="D3040" t="str">
        <f>"9780773567085"</f>
        <v>9780773567085</v>
      </c>
      <c r="E3040" t="s">
        <v>12863</v>
      </c>
      <c r="F3040" t="s">
        <v>12863</v>
      </c>
      <c r="G3040" s="1">
        <v>35727</v>
      </c>
      <c r="J3040" t="s">
        <v>15856</v>
      </c>
      <c r="K3040" t="s">
        <v>1892</v>
      </c>
      <c r="L3040" t="s">
        <v>15857</v>
      </c>
      <c r="M3040">
        <v>210.1</v>
      </c>
      <c r="N3040" t="s">
        <v>15858</v>
      </c>
      <c r="O3040" t="s">
        <v>26</v>
      </c>
      <c r="P3040">
        <v>29.93</v>
      </c>
      <c r="Q3040">
        <v>24.94</v>
      </c>
      <c r="R3040">
        <v>19.95</v>
      </c>
      <c r="S3040">
        <v>29.93</v>
      </c>
      <c r="T3040" t="s">
        <v>15859</v>
      </c>
    </row>
    <row r="3041" spans="1:20">
      <c r="A3041">
        <v>3331096</v>
      </c>
      <c r="B3041" t="s">
        <v>15860</v>
      </c>
      <c r="C3041" t="str">
        <f>"9780773517370"</f>
        <v>9780773517370</v>
      </c>
      <c r="D3041" t="str">
        <f>"9780773567269"</f>
        <v>9780773567269</v>
      </c>
      <c r="E3041" t="s">
        <v>12863</v>
      </c>
      <c r="F3041" t="s">
        <v>12863</v>
      </c>
      <c r="G3041" s="1">
        <v>36452</v>
      </c>
      <c r="J3041" t="s">
        <v>15861</v>
      </c>
      <c r="K3041" t="s">
        <v>899</v>
      </c>
      <c r="L3041" t="s">
        <v>15862</v>
      </c>
      <c r="M3041">
        <v>300.92</v>
      </c>
      <c r="N3041" t="s">
        <v>15863</v>
      </c>
      <c r="O3041" t="s">
        <v>26</v>
      </c>
      <c r="P3041">
        <v>142.5</v>
      </c>
      <c r="Q3041">
        <v>118.75</v>
      </c>
      <c r="R3041">
        <v>95</v>
      </c>
      <c r="S3041">
        <v>142.5</v>
      </c>
      <c r="T3041" t="s">
        <v>15864</v>
      </c>
    </row>
    <row r="3042" spans="1:20">
      <c r="A3042">
        <v>3331097</v>
      </c>
      <c r="B3042" t="s">
        <v>15865</v>
      </c>
      <c r="C3042" t="str">
        <f>"9780773513655"</f>
        <v>9780773513655</v>
      </c>
      <c r="D3042" t="str">
        <f>"9780773565739"</f>
        <v>9780773565739</v>
      </c>
      <c r="E3042" t="s">
        <v>12863</v>
      </c>
      <c r="F3042" t="s">
        <v>12863</v>
      </c>
      <c r="G3042" s="1">
        <v>35170</v>
      </c>
      <c r="J3042" t="s">
        <v>15866</v>
      </c>
      <c r="K3042" t="s">
        <v>1471</v>
      </c>
      <c r="L3042" t="s">
        <v>15867</v>
      </c>
      <c r="M3042">
        <v>791.45097099999998</v>
      </c>
      <c r="N3042" t="s">
        <v>15868</v>
      </c>
      <c r="O3042" t="s">
        <v>26</v>
      </c>
      <c r="P3042">
        <v>142.5</v>
      </c>
      <c r="Q3042">
        <v>118.75</v>
      </c>
      <c r="R3042">
        <v>95</v>
      </c>
      <c r="S3042">
        <v>142.5</v>
      </c>
      <c r="T3042" t="s">
        <v>15869</v>
      </c>
    </row>
    <row r="3043" spans="1:20">
      <c r="A3043">
        <v>3331098</v>
      </c>
      <c r="B3043" t="s">
        <v>15870</v>
      </c>
      <c r="C3043" t="str">
        <f>"9780773518582"</f>
        <v>9780773518582</v>
      </c>
      <c r="D3043" t="str">
        <f>"9780773567900"</f>
        <v>9780773567900</v>
      </c>
      <c r="E3043" t="s">
        <v>12863</v>
      </c>
      <c r="F3043" t="s">
        <v>12863</v>
      </c>
      <c r="G3043" s="1">
        <v>36249</v>
      </c>
      <c r="J3043" t="s">
        <v>15871</v>
      </c>
      <c r="K3043" t="s">
        <v>278</v>
      </c>
      <c r="L3043" t="s">
        <v>15872</v>
      </c>
      <c r="M3043">
        <v>331.89281352639</v>
      </c>
      <c r="N3043" t="s">
        <v>15873</v>
      </c>
      <c r="O3043" t="s">
        <v>26</v>
      </c>
      <c r="P3043">
        <v>142.5</v>
      </c>
      <c r="Q3043">
        <v>118.75</v>
      </c>
      <c r="R3043">
        <v>95</v>
      </c>
      <c r="S3043">
        <v>142.5</v>
      </c>
      <c r="T3043" t="s">
        <v>15874</v>
      </c>
    </row>
    <row r="3044" spans="1:20">
      <c r="A3044">
        <v>3331099</v>
      </c>
      <c r="B3044" t="s">
        <v>15875</v>
      </c>
      <c r="C3044" t="str">
        <f>"9780773517158"</f>
        <v>9780773517158</v>
      </c>
      <c r="D3044" t="str">
        <f>"9780773567108"</f>
        <v>9780773567108</v>
      </c>
      <c r="E3044" t="s">
        <v>12863</v>
      </c>
      <c r="F3044" t="s">
        <v>12863</v>
      </c>
      <c r="G3044" s="1">
        <v>35782</v>
      </c>
      <c r="J3044" t="s">
        <v>15876</v>
      </c>
      <c r="K3044" t="s">
        <v>1464</v>
      </c>
      <c r="L3044" t="s">
        <v>14465</v>
      </c>
      <c r="M3044">
        <v>811.30932710000002</v>
      </c>
      <c r="N3044" t="s">
        <v>15877</v>
      </c>
      <c r="O3044" t="s">
        <v>26</v>
      </c>
      <c r="P3044">
        <v>142.5</v>
      </c>
      <c r="Q3044">
        <v>118.75</v>
      </c>
      <c r="R3044">
        <v>95</v>
      </c>
      <c r="S3044">
        <v>142.5</v>
      </c>
      <c r="T3044" t="s">
        <v>15878</v>
      </c>
    </row>
    <row r="3045" spans="1:20">
      <c r="A3045">
        <v>3331100</v>
      </c>
      <c r="B3045" t="s">
        <v>15879</v>
      </c>
      <c r="C3045" t="str">
        <f>"9780773513150"</f>
        <v>9780773513150</v>
      </c>
      <c r="D3045" t="str">
        <f>"9780773565470"</f>
        <v>9780773565470</v>
      </c>
      <c r="E3045" t="s">
        <v>12863</v>
      </c>
      <c r="F3045" t="s">
        <v>12863</v>
      </c>
      <c r="G3045" s="1">
        <v>34722</v>
      </c>
      <c r="J3045" t="s">
        <v>15880</v>
      </c>
      <c r="K3045" t="s">
        <v>6444</v>
      </c>
      <c r="L3045" t="s">
        <v>14114</v>
      </c>
      <c r="M3045">
        <v>971.06479999999999</v>
      </c>
      <c r="N3045" t="s">
        <v>15881</v>
      </c>
      <c r="O3045" t="s">
        <v>26</v>
      </c>
      <c r="P3045">
        <v>142.5</v>
      </c>
      <c r="Q3045">
        <v>118.75</v>
      </c>
      <c r="R3045">
        <v>95</v>
      </c>
      <c r="S3045">
        <v>142.5</v>
      </c>
      <c r="T3045" t="s">
        <v>15882</v>
      </c>
    </row>
    <row r="3046" spans="1:20">
      <c r="A3046">
        <v>3331101</v>
      </c>
      <c r="B3046" t="s">
        <v>15883</v>
      </c>
      <c r="C3046" t="str">
        <f>"9780773512337"</f>
        <v>9780773512337</v>
      </c>
      <c r="D3046" t="str">
        <f>"9780773565029"</f>
        <v>9780773565029</v>
      </c>
      <c r="E3046" t="s">
        <v>12863</v>
      </c>
      <c r="F3046" t="s">
        <v>12863</v>
      </c>
      <c r="G3046" s="1">
        <v>34625</v>
      </c>
      <c r="J3046" t="s">
        <v>15884</v>
      </c>
      <c r="K3046" t="s">
        <v>3176</v>
      </c>
      <c r="L3046" t="s">
        <v>15885</v>
      </c>
      <c r="M3046">
        <v>304.2</v>
      </c>
      <c r="N3046" t="s">
        <v>15886</v>
      </c>
      <c r="O3046" t="s">
        <v>26</v>
      </c>
      <c r="P3046">
        <v>120</v>
      </c>
      <c r="Q3046">
        <v>100</v>
      </c>
      <c r="R3046">
        <v>80</v>
      </c>
      <c r="S3046">
        <v>120</v>
      </c>
      <c r="T3046" t="s">
        <v>15887</v>
      </c>
    </row>
    <row r="3047" spans="1:20">
      <c r="A3047">
        <v>3331102</v>
      </c>
      <c r="B3047" t="s">
        <v>15888</v>
      </c>
      <c r="C3047" t="str">
        <f>"9780773521056"</f>
        <v>9780773521056</v>
      </c>
      <c r="D3047" t="str">
        <f>"9780773568785"</f>
        <v>9780773568785</v>
      </c>
      <c r="E3047" t="s">
        <v>12863</v>
      </c>
      <c r="F3047" t="s">
        <v>12863</v>
      </c>
      <c r="G3047" s="1">
        <v>36851</v>
      </c>
      <c r="J3047" t="s">
        <v>14534</v>
      </c>
      <c r="K3047" t="s">
        <v>257</v>
      </c>
      <c r="L3047" t="s">
        <v>15889</v>
      </c>
      <c r="M3047">
        <v>370.1</v>
      </c>
      <c r="N3047" t="s">
        <v>15890</v>
      </c>
      <c r="O3047" t="s">
        <v>26</v>
      </c>
      <c r="P3047">
        <v>142.5</v>
      </c>
      <c r="Q3047">
        <v>118.75</v>
      </c>
      <c r="R3047">
        <v>95</v>
      </c>
      <c r="S3047">
        <v>142.5</v>
      </c>
      <c r="T3047" t="s">
        <v>15891</v>
      </c>
    </row>
    <row r="3048" spans="1:20">
      <c r="A3048">
        <v>3331103</v>
      </c>
      <c r="B3048" t="s">
        <v>15892</v>
      </c>
      <c r="C3048" t="str">
        <f>"9780773512962"</f>
        <v>9780773512962</v>
      </c>
      <c r="D3048" t="str">
        <f>"9780773565340"</f>
        <v>9780773565340</v>
      </c>
      <c r="E3048" t="s">
        <v>12863</v>
      </c>
      <c r="F3048" t="s">
        <v>12863</v>
      </c>
      <c r="G3048" s="1">
        <v>34956</v>
      </c>
      <c r="J3048" t="s">
        <v>15176</v>
      </c>
      <c r="K3048" t="s">
        <v>291</v>
      </c>
      <c r="L3048" t="s">
        <v>15893</v>
      </c>
      <c r="M3048">
        <v>971.42802091999999</v>
      </c>
      <c r="N3048" t="s">
        <v>15894</v>
      </c>
      <c r="O3048" t="s">
        <v>26</v>
      </c>
      <c r="P3048">
        <v>142.5</v>
      </c>
      <c r="Q3048">
        <v>118.75</v>
      </c>
      <c r="R3048">
        <v>95</v>
      </c>
      <c r="S3048">
        <v>142.5</v>
      </c>
      <c r="T3048" t="s">
        <v>15895</v>
      </c>
    </row>
    <row r="3049" spans="1:20">
      <c r="A3049">
        <v>3331104</v>
      </c>
      <c r="B3049" t="s">
        <v>15896</v>
      </c>
      <c r="C3049" t="str">
        <f>"9780773516649"</f>
        <v>9780773516649</v>
      </c>
      <c r="D3049" t="str">
        <f>"9780773566842"</f>
        <v>9780773566842</v>
      </c>
      <c r="E3049" t="s">
        <v>12863</v>
      </c>
      <c r="F3049" t="s">
        <v>12863</v>
      </c>
      <c r="G3049" s="1">
        <v>35718</v>
      </c>
      <c r="I3049" t="s">
        <v>12942</v>
      </c>
      <c r="J3049" t="s">
        <v>15897</v>
      </c>
      <c r="K3049" t="s">
        <v>1464</v>
      </c>
      <c r="L3049" t="s">
        <v>15898</v>
      </c>
      <c r="M3049">
        <v>813.54098924000004</v>
      </c>
      <c r="N3049" t="s">
        <v>15899</v>
      </c>
      <c r="O3049" t="s">
        <v>26</v>
      </c>
      <c r="P3049">
        <v>142.5</v>
      </c>
      <c r="Q3049">
        <v>118.75</v>
      </c>
      <c r="R3049">
        <v>95</v>
      </c>
      <c r="S3049">
        <v>142.5</v>
      </c>
      <c r="T3049" t="s">
        <v>15900</v>
      </c>
    </row>
    <row r="3050" spans="1:20">
      <c r="A3050">
        <v>3331105</v>
      </c>
      <c r="B3050" t="s">
        <v>15901</v>
      </c>
      <c r="C3050" t="str">
        <f>"9780773516052"</f>
        <v>9780773516052</v>
      </c>
      <c r="D3050" t="str">
        <f>"9780773566569"</f>
        <v>9780773566569</v>
      </c>
      <c r="E3050" t="s">
        <v>12863</v>
      </c>
      <c r="F3050" t="s">
        <v>12863</v>
      </c>
      <c r="G3050" s="1">
        <v>34587</v>
      </c>
      <c r="J3050" t="s">
        <v>15902</v>
      </c>
      <c r="K3050" t="s">
        <v>4347</v>
      </c>
      <c r="L3050" t="s">
        <v>15903</v>
      </c>
      <c r="M3050">
        <v>355.02170000000001</v>
      </c>
      <c r="N3050" t="s">
        <v>15904</v>
      </c>
      <c r="O3050" t="s">
        <v>26</v>
      </c>
      <c r="P3050">
        <v>142.5</v>
      </c>
      <c r="Q3050">
        <v>118.75</v>
      </c>
      <c r="R3050">
        <v>95</v>
      </c>
      <c r="S3050">
        <v>142.5</v>
      </c>
      <c r="T3050" t="s">
        <v>15905</v>
      </c>
    </row>
    <row r="3051" spans="1:20">
      <c r="A3051">
        <v>3331106</v>
      </c>
      <c r="B3051" t="s">
        <v>15906</v>
      </c>
      <c r="C3051" t="str">
        <f>"9780773516786"</f>
        <v>9780773516786</v>
      </c>
      <c r="D3051" t="str">
        <f>"9780773566965"</f>
        <v>9780773566965</v>
      </c>
      <c r="E3051" t="s">
        <v>12863</v>
      </c>
      <c r="F3051" t="s">
        <v>12863</v>
      </c>
      <c r="G3051" s="1">
        <v>35759</v>
      </c>
      <c r="J3051" t="s">
        <v>15907</v>
      </c>
      <c r="K3051" t="s">
        <v>6457</v>
      </c>
      <c r="L3051" t="s">
        <v>15908</v>
      </c>
      <c r="M3051">
        <v>362.8680971</v>
      </c>
      <c r="N3051" t="s">
        <v>15909</v>
      </c>
      <c r="O3051" t="s">
        <v>26</v>
      </c>
      <c r="P3051">
        <v>142.5</v>
      </c>
      <c r="Q3051">
        <v>118.75</v>
      </c>
      <c r="R3051">
        <v>95</v>
      </c>
      <c r="S3051">
        <v>142.5</v>
      </c>
      <c r="T3051" t="s">
        <v>15910</v>
      </c>
    </row>
    <row r="3052" spans="1:20">
      <c r="A3052">
        <v>3331107</v>
      </c>
      <c r="B3052" t="s">
        <v>15911</v>
      </c>
      <c r="C3052" t="str">
        <f>"9780773518896"</f>
        <v>9780773518896</v>
      </c>
      <c r="D3052" t="str">
        <f>"9780773568037"</f>
        <v>9780773568037</v>
      </c>
      <c r="E3052" t="s">
        <v>12907</v>
      </c>
      <c r="F3052" t="s">
        <v>12907</v>
      </c>
      <c r="G3052" s="1">
        <v>36438</v>
      </c>
      <c r="I3052" t="s">
        <v>14112</v>
      </c>
      <c r="J3052" t="s">
        <v>15912</v>
      </c>
      <c r="K3052" t="s">
        <v>467</v>
      </c>
      <c r="L3052" t="s">
        <v>15913</v>
      </c>
      <c r="M3052" t="s">
        <v>15914</v>
      </c>
      <c r="N3052" t="s">
        <v>15915</v>
      </c>
      <c r="O3052" t="s">
        <v>26</v>
      </c>
      <c r="P3052">
        <v>142.5</v>
      </c>
      <c r="Q3052">
        <v>118.75</v>
      </c>
      <c r="R3052">
        <v>95</v>
      </c>
      <c r="S3052">
        <v>142.5</v>
      </c>
      <c r="T3052" t="s">
        <v>15916</v>
      </c>
    </row>
    <row r="3053" spans="1:20">
      <c r="A3053">
        <v>3331108</v>
      </c>
      <c r="B3053" t="s">
        <v>15917</v>
      </c>
      <c r="C3053" t="str">
        <f>"9780773512382"</f>
        <v>9780773512382</v>
      </c>
      <c r="D3053" t="str">
        <f>"9780773565074"</f>
        <v>9780773565074</v>
      </c>
      <c r="E3053" t="s">
        <v>12863</v>
      </c>
      <c r="F3053" t="s">
        <v>12863</v>
      </c>
      <c r="G3053" s="1">
        <v>34717</v>
      </c>
      <c r="J3053" t="s">
        <v>15918</v>
      </c>
      <c r="K3053" t="s">
        <v>467</v>
      </c>
      <c r="L3053" t="s">
        <v>15919</v>
      </c>
      <c r="M3053">
        <v>325.70999999999998</v>
      </c>
      <c r="N3053" t="s">
        <v>15920</v>
      </c>
      <c r="O3053" t="s">
        <v>26</v>
      </c>
      <c r="P3053">
        <v>142.5</v>
      </c>
      <c r="Q3053">
        <v>118.75</v>
      </c>
      <c r="R3053">
        <v>95</v>
      </c>
      <c r="S3053">
        <v>142.5</v>
      </c>
      <c r="T3053" t="s">
        <v>15921</v>
      </c>
    </row>
    <row r="3054" spans="1:20">
      <c r="A3054">
        <v>3331109</v>
      </c>
      <c r="B3054" t="s">
        <v>15922</v>
      </c>
      <c r="C3054" t="str">
        <f>"9780773512801"</f>
        <v>9780773512801</v>
      </c>
      <c r="D3054" t="str">
        <f>"9780773565241"</f>
        <v>9780773565241</v>
      </c>
      <c r="E3054" t="s">
        <v>12863</v>
      </c>
      <c r="F3054" t="s">
        <v>12863</v>
      </c>
      <c r="G3054" s="1">
        <v>34687</v>
      </c>
      <c r="J3054" t="s">
        <v>15923</v>
      </c>
      <c r="K3054" t="s">
        <v>3490</v>
      </c>
      <c r="L3054" t="s">
        <v>15924</v>
      </c>
      <c r="M3054" t="s">
        <v>15925</v>
      </c>
      <c r="N3054" t="s">
        <v>15926</v>
      </c>
      <c r="O3054" t="s">
        <v>26</v>
      </c>
      <c r="P3054">
        <v>127.5</v>
      </c>
      <c r="Q3054">
        <v>106.25</v>
      </c>
      <c r="R3054">
        <v>85</v>
      </c>
      <c r="S3054">
        <v>127.5</v>
      </c>
      <c r="T3054" t="s">
        <v>15927</v>
      </c>
    </row>
    <row r="3055" spans="1:20">
      <c r="A3055">
        <v>3331110</v>
      </c>
      <c r="B3055" t="s">
        <v>15928</v>
      </c>
      <c r="C3055" t="str">
        <f>"9780773516298"</f>
        <v>9780773516298</v>
      </c>
      <c r="D3055" t="str">
        <f>"9780773566675"</f>
        <v>9780773566675</v>
      </c>
      <c r="E3055" t="s">
        <v>12863</v>
      </c>
      <c r="F3055" t="s">
        <v>12863</v>
      </c>
      <c r="G3055" s="1">
        <v>35727</v>
      </c>
      <c r="J3055" t="s">
        <v>15929</v>
      </c>
      <c r="K3055" t="s">
        <v>291</v>
      </c>
      <c r="L3055" t="s">
        <v>15930</v>
      </c>
      <c r="M3055">
        <v>971.06092000000001</v>
      </c>
      <c r="N3055" t="s">
        <v>15931</v>
      </c>
      <c r="O3055" t="s">
        <v>26</v>
      </c>
      <c r="P3055">
        <v>142.5</v>
      </c>
      <c r="Q3055">
        <v>118.75</v>
      </c>
      <c r="R3055">
        <v>95</v>
      </c>
      <c r="S3055">
        <v>142.5</v>
      </c>
      <c r="T3055" t="s">
        <v>15932</v>
      </c>
    </row>
    <row r="3056" spans="1:20">
      <c r="A3056">
        <v>3331111</v>
      </c>
      <c r="B3056" t="s">
        <v>15933</v>
      </c>
      <c r="C3056" t="str">
        <f>"9780773513136"</f>
        <v>9780773513136</v>
      </c>
      <c r="D3056" t="str">
        <f>"9780773565456"</f>
        <v>9780773565456</v>
      </c>
      <c r="E3056" t="s">
        <v>12863</v>
      </c>
      <c r="F3056" t="s">
        <v>12863</v>
      </c>
      <c r="G3056" s="1">
        <v>34969</v>
      </c>
      <c r="J3056" t="s">
        <v>15934</v>
      </c>
      <c r="K3056" t="s">
        <v>814</v>
      </c>
      <c r="L3056" t="s">
        <v>15935</v>
      </c>
      <c r="M3056">
        <v>363.11963920971601</v>
      </c>
      <c r="N3056" t="s">
        <v>15936</v>
      </c>
      <c r="O3056" t="s">
        <v>26</v>
      </c>
      <c r="P3056">
        <v>142.5</v>
      </c>
      <c r="Q3056">
        <v>118.75</v>
      </c>
      <c r="R3056">
        <v>95</v>
      </c>
      <c r="S3056">
        <v>142.5</v>
      </c>
      <c r="T3056" t="s">
        <v>15937</v>
      </c>
    </row>
    <row r="3057" spans="1:20">
      <c r="A3057">
        <v>3331112</v>
      </c>
      <c r="B3057" t="s">
        <v>15938</v>
      </c>
      <c r="C3057" t="str">
        <f>"9780773520448"</f>
        <v>9780773520448</v>
      </c>
      <c r="D3057" t="str">
        <f>"9780773568389"</f>
        <v>9780773568389</v>
      </c>
      <c r="E3057" t="s">
        <v>12863</v>
      </c>
      <c r="F3057" t="s">
        <v>12863</v>
      </c>
      <c r="G3057" s="1">
        <v>36588</v>
      </c>
      <c r="I3057" t="s">
        <v>12886</v>
      </c>
      <c r="J3057" t="s">
        <v>15939</v>
      </c>
      <c r="K3057" t="s">
        <v>1892</v>
      </c>
      <c r="L3057" t="s">
        <v>15940</v>
      </c>
      <c r="M3057">
        <v>230.414309041</v>
      </c>
      <c r="N3057" t="s">
        <v>15941</v>
      </c>
      <c r="O3057" t="s">
        <v>26</v>
      </c>
      <c r="P3057">
        <v>142.5</v>
      </c>
      <c r="Q3057">
        <v>118.75</v>
      </c>
      <c r="R3057">
        <v>95</v>
      </c>
      <c r="S3057">
        <v>142.5</v>
      </c>
      <c r="T3057" t="s">
        <v>15942</v>
      </c>
    </row>
    <row r="3058" spans="1:20">
      <c r="A3058">
        <v>3331113</v>
      </c>
      <c r="B3058" t="s">
        <v>15943</v>
      </c>
      <c r="C3058" t="str">
        <f>"9780773520349"</f>
        <v>9780773520349</v>
      </c>
      <c r="D3058" t="str">
        <f>"9780773568327"</f>
        <v>9780773568327</v>
      </c>
      <c r="E3058" t="s">
        <v>12863</v>
      </c>
      <c r="F3058" t="s">
        <v>12863</v>
      </c>
      <c r="G3058" s="1">
        <v>36768</v>
      </c>
      <c r="J3058" t="s">
        <v>15944</v>
      </c>
      <c r="K3058" t="s">
        <v>6444</v>
      </c>
      <c r="L3058" t="s">
        <v>15945</v>
      </c>
      <c r="M3058">
        <v>325.34209713000001</v>
      </c>
      <c r="N3058" t="s">
        <v>15946</v>
      </c>
      <c r="O3058" t="s">
        <v>26</v>
      </c>
      <c r="P3058">
        <v>142.5</v>
      </c>
      <c r="Q3058">
        <v>118.75</v>
      </c>
      <c r="R3058">
        <v>95</v>
      </c>
      <c r="S3058">
        <v>142.5</v>
      </c>
      <c r="T3058" t="s">
        <v>15947</v>
      </c>
    </row>
    <row r="3059" spans="1:20">
      <c r="A3059">
        <v>3331114</v>
      </c>
      <c r="B3059" t="s">
        <v>15948</v>
      </c>
      <c r="C3059" t="str">
        <f>"9780773517929"</f>
        <v>9780773517929</v>
      </c>
      <c r="D3059" t="str">
        <f>"9780773567481"</f>
        <v>9780773567481</v>
      </c>
      <c r="E3059" t="s">
        <v>12863</v>
      </c>
      <c r="F3059" t="s">
        <v>12863</v>
      </c>
      <c r="G3059" s="1">
        <v>36055</v>
      </c>
      <c r="J3059" t="s">
        <v>15949</v>
      </c>
      <c r="K3059" t="s">
        <v>291</v>
      </c>
      <c r="L3059" t="s">
        <v>15950</v>
      </c>
      <c r="M3059">
        <v>971.50199999999995</v>
      </c>
      <c r="N3059" t="s">
        <v>15951</v>
      </c>
      <c r="O3059" t="s">
        <v>26</v>
      </c>
      <c r="P3059">
        <v>142.5</v>
      </c>
      <c r="Q3059">
        <v>118.75</v>
      </c>
      <c r="R3059">
        <v>95</v>
      </c>
      <c r="S3059">
        <v>142.5</v>
      </c>
      <c r="T3059" t="s">
        <v>15952</v>
      </c>
    </row>
    <row r="3060" spans="1:20">
      <c r="A3060">
        <v>3331115</v>
      </c>
      <c r="B3060" t="s">
        <v>15953</v>
      </c>
      <c r="C3060" t="str">
        <f>"9780773516182"</f>
        <v>9780773516182</v>
      </c>
      <c r="D3060" t="str">
        <f>"9780773566644"</f>
        <v>9780773566644</v>
      </c>
      <c r="E3060" t="s">
        <v>12863</v>
      </c>
      <c r="F3060" t="s">
        <v>12863</v>
      </c>
      <c r="G3060" s="1">
        <v>35713</v>
      </c>
      <c r="H3060">
        <v>2</v>
      </c>
      <c r="J3060" t="s">
        <v>15954</v>
      </c>
      <c r="K3060" t="s">
        <v>15955</v>
      </c>
      <c r="L3060" t="s">
        <v>15956</v>
      </c>
      <c r="M3060">
        <v>363.10014000000001</v>
      </c>
      <c r="N3060" t="s">
        <v>15957</v>
      </c>
      <c r="O3060" t="s">
        <v>26</v>
      </c>
      <c r="P3060">
        <v>49.43</v>
      </c>
      <c r="Q3060">
        <v>41.19</v>
      </c>
      <c r="R3060">
        <v>32.950000000000003</v>
      </c>
      <c r="S3060">
        <v>49.43</v>
      </c>
      <c r="T3060" t="s">
        <v>15958</v>
      </c>
    </row>
    <row r="3061" spans="1:20">
      <c r="A3061">
        <v>3331116</v>
      </c>
      <c r="B3061" t="s">
        <v>15959</v>
      </c>
      <c r="C3061" t="str">
        <f>"9780773516816"</f>
        <v>9780773516816</v>
      </c>
      <c r="D3061" t="str">
        <f>"9780773566972"</f>
        <v>9780773566972</v>
      </c>
      <c r="E3061" t="s">
        <v>12863</v>
      </c>
      <c r="F3061" t="s">
        <v>12863</v>
      </c>
      <c r="G3061" s="1">
        <v>35984</v>
      </c>
      <c r="J3061" t="s">
        <v>15960</v>
      </c>
      <c r="K3061" t="s">
        <v>1464</v>
      </c>
      <c r="L3061" t="s">
        <v>15961</v>
      </c>
      <c r="M3061">
        <v>832.6</v>
      </c>
      <c r="N3061" t="s">
        <v>15962</v>
      </c>
      <c r="O3061" t="s">
        <v>26</v>
      </c>
      <c r="P3061">
        <v>142.5</v>
      </c>
      <c r="Q3061">
        <v>118.75</v>
      </c>
      <c r="R3061">
        <v>95</v>
      </c>
      <c r="S3061">
        <v>142.5</v>
      </c>
      <c r="T3061" t="s">
        <v>15963</v>
      </c>
    </row>
    <row r="3062" spans="1:20">
      <c r="A3062">
        <v>3331117</v>
      </c>
      <c r="B3062" t="s">
        <v>15964</v>
      </c>
      <c r="C3062" t="str">
        <f>"9780773520424"</f>
        <v>9780773520424</v>
      </c>
      <c r="D3062" t="str">
        <f>"9780773568365"</f>
        <v>9780773568365</v>
      </c>
      <c r="E3062" t="s">
        <v>12863</v>
      </c>
      <c r="F3062" t="s">
        <v>12863</v>
      </c>
      <c r="G3062" s="1">
        <v>36643</v>
      </c>
      <c r="J3062" t="s">
        <v>15965</v>
      </c>
      <c r="K3062" t="s">
        <v>525</v>
      </c>
      <c r="L3062" t="s">
        <v>15966</v>
      </c>
      <c r="M3062">
        <v>347.71303533999998</v>
      </c>
      <c r="N3062" t="s">
        <v>15967</v>
      </c>
      <c r="O3062" t="s">
        <v>26</v>
      </c>
      <c r="P3062">
        <v>142.5</v>
      </c>
      <c r="Q3062">
        <v>118.75</v>
      </c>
      <c r="R3062">
        <v>95</v>
      </c>
      <c r="S3062">
        <v>142.5</v>
      </c>
      <c r="T3062" t="s">
        <v>15968</v>
      </c>
    </row>
    <row r="3063" spans="1:20">
      <c r="A3063">
        <v>3331118</v>
      </c>
      <c r="B3063" t="s">
        <v>15969</v>
      </c>
      <c r="C3063" t="str">
        <f>"9780773514232"</f>
        <v>9780773514232</v>
      </c>
      <c r="D3063" t="str">
        <f>"9780773566095"</f>
        <v>9780773566095</v>
      </c>
      <c r="E3063" t="s">
        <v>12863</v>
      </c>
      <c r="F3063" t="s">
        <v>12863</v>
      </c>
      <c r="G3063" s="1">
        <v>35415</v>
      </c>
      <c r="J3063" t="s">
        <v>15970</v>
      </c>
      <c r="K3063" t="s">
        <v>263</v>
      </c>
      <c r="L3063" t="s">
        <v>15385</v>
      </c>
      <c r="M3063">
        <v>305.42097100000001</v>
      </c>
      <c r="N3063" t="s">
        <v>15971</v>
      </c>
      <c r="O3063" t="s">
        <v>26</v>
      </c>
      <c r="P3063">
        <v>142.5</v>
      </c>
      <c r="Q3063">
        <v>118.75</v>
      </c>
      <c r="R3063">
        <v>95</v>
      </c>
      <c r="S3063">
        <v>142.5</v>
      </c>
      <c r="T3063" t="s">
        <v>15972</v>
      </c>
    </row>
    <row r="3064" spans="1:20">
      <c r="A3064">
        <v>3331119</v>
      </c>
      <c r="B3064" t="s">
        <v>15973</v>
      </c>
      <c r="C3064" t="str">
        <f>"9780773516359"</f>
        <v>9780773516359</v>
      </c>
      <c r="D3064" t="str">
        <f>"9780773566705"</f>
        <v>9780773566705</v>
      </c>
      <c r="E3064" t="s">
        <v>12863</v>
      </c>
      <c r="F3064" t="s">
        <v>12863</v>
      </c>
      <c r="G3064" s="1">
        <v>34335</v>
      </c>
      <c r="J3064" t="s">
        <v>15974</v>
      </c>
      <c r="K3064" t="s">
        <v>6444</v>
      </c>
      <c r="L3064" t="s">
        <v>15975</v>
      </c>
      <c r="M3064">
        <v>323.11970710000003</v>
      </c>
      <c r="N3064" t="s">
        <v>15976</v>
      </c>
      <c r="O3064" t="s">
        <v>26</v>
      </c>
      <c r="P3064">
        <v>142.5</v>
      </c>
      <c r="Q3064">
        <v>118.75</v>
      </c>
      <c r="R3064">
        <v>95</v>
      </c>
      <c r="S3064">
        <v>142.5</v>
      </c>
      <c r="T3064" t="s">
        <v>15977</v>
      </c>
    </row>
    <row r="3065" spans="1:20">
      <c r="A3065">
        <v>3331120</v>
      </c>
      <c r="B3065" t="s">
        <v>15978</v>
      </c>
      <c r="C3065" t="str">
        <f>"9780773517110"</f>
        <v>9780773517110</v>
      </c>
      <c r="D3065" t="str">
        <f>"9780773567078"</f>
        <v>9780773567078</v>
      </c>
      <c r="E3065" t="s">
        <v>12863</v>
      </c>
      <c r="F3065" t="s">
        <v>12863</v>
      </c>
      <c r="G3065" s="1">
        <v>36249</v>
      </c>
      <c r="I3065" t="s">
        <v>13540</v>
      </c>
      <c r="J3065" t="s">
        <v>14123</v>
      </c>
      <c r="K3065" t="s">
        <v>7838</v>
      </c>
      <c r="L3065" t="s">
        <v>14124</v>
      </c>
      <c r="M3065">
        <v>720.1</v>
      </c>
      <c r="N3065" t="s">
        <v>13543</v>
      </c>
      <c r="O3065" t="s">
        <v>26</v>
      </c>
      <c r="P3065">
        <v>142.5</v>
      </c>
      <c r="Q3065">
        <v>118.75</v>
      </c>
      <c r="R3065">
        <v>95</v>
      </c>
      <c r="S3065">
        <v>142.5</v>
      </c>
      <c r="T3065" t="s">
        <v>15979</v>
      </c>
    </row>
    <row r="3066" spans="1:20">
      <c r="A3066">
        <v>3331121</v>
      </c>
      <c r="B3066" t="s">
        <v>15980</v>
      </c>
      <c r="C3066" t="str">
        <f>"9780773517301"</f>
        <v>9780773517301</v>
      </c>
      <c r="D3066" t="str">
        <f>"9780773567207"</f>
        <v>9780773567207</v>
      </c>
      <c r="E3066" t="s">
        <v>12863</v>
      </c>
      <c r="F3066" t="s">
        <v>12863</v>
      </c>
      <c r="G3066" s="1">
        <v>36025</v>
      </c>
      <c r="J3066" t="s">
        <v>15981</v>
      </c>
      <c r="K3066" t="s">
        <v>1464</v>
      </c>
      <c r="L3066" t="s">
        <v>15982</v>
      </c>
      <c r="M3066">
        <v>813.54</v>
      </c>
      <c r="N3066" t="s">
        <v>15983</v>
      </c>
      <c r="O3066" t="s">
        <v>26</v>
      </c>
      <c r="P3066">
        <v>142.5</v>
      </c>
      <c r="Q3066">
        <v>118.75</v>
      </c>
      <c r="R3066">
        <v>95</v>
      </c>
      <c r="S3066">
        <v>142.5</v>
      </c>
      <c r="T3066" t="s">
        <v>15984</v>
      </c>
    </row>
    <row r="3067" spans="1:20">
      <c r="A3067">
        <v>3331122</v>
      </c>
      <c r="B3067" t="s">
        <v>15985</v>
      </c>
      <c r="C3067" t="str">
        <f>"9780773512184"</f>
        <v>9780773512184</v>
      </c>
      <c r="D3067" t="str">
        <f>"9780773564879"</f>
        <v>9780773564879</v>
      </c>
      <c r="E3067" t="s">
        <v>12863</v>
      </c>
      <c r="F3067" t="s">
        <v>12863</v>
      </c>
      <c r="G3067" s="1">
        <v>34689</v>
      </c>
      <c r="J3067" t="s">
        <v>15986</v>
      </c>
      <c r="K3067" t="s">
        <v>1530</v>
      </c>
      <c r="L3067" t="s">
        <v>15987</v>
      </c>
      <c r="M3067">
        <v>967.61040000000003</v>
      </c>
      <c r="N3067" t="s">
        <v>15988</v>
      </c>
      <c r="O3067" t="s">
        <v>26</v>
      </c>
      <c r="P3067">
        <v>142.5</v>
      </c>
      <c r="Q3067">
        <v>118.75</v>
      </c>
      <c r="R3067">
        <v>95</v>
      </c>
      <c r="S3067">
        <v>142.5</v>
      </c>
      <c r="T3067" t="s">
        <v>15989</v>
      </c>
    </row>
    <row r="3068" spans="1:20">
      <c r="A3068">
        <v>3331123</v>
      </c>
      <c r="B3068" t="s">
        <v>15990</v>
      </c>
      <c r="C3068" t="str">
        <f>"9780773517950"</f>
        <v>9780773517950</v>
      </c>
      <c r="D3068" t="str">
        <f>"9780773567504"</f>
        <v>9780773567504</v>
      </c>
      <c r="E3068" t="s">
        <v>12907</v>
      </c>
      <c r="F3068" t="s">
        <v>12907</v>
      </c>
      <c r="G3068" s="1">
        <v>36119</v>
      </c>
      <c r="J3068" t="s">
        <v>15991</v>
      </c>
      <c r="K3068" t="s">
        <v>467</v>
      </c>
      <c r="L3068" t="s">
        <v>15992</v>
      </c>
      <c r="M3068">
        <v>352.63097099999999</v>
      </c>
      <c r="N3068" t="s">
        <v>15993</v>
      </c>
      <c r="O3068" t="s">
        <v>26</v>
      </c>
      <c r="P3068">
        <v>142.5</v>
      </c>
      <c r="Q3068">
        <v>118.75</v>
      </c>
      <c r="R3068">
        <v>95</v>
      </c>
      <c r="S3068">
        <v>142.5</v>
      </c>
      <c r="T3068" t="s">
        <v>15994</v>
      </c>
    </row>
    <row r="3069" spans="1:20">
      <c r="A3069">
        <v>3331124</v>
      </c>
      <c r="B3069" t="s">
        <v>15995</v>
      </c>
      <c r="C3069" t="str">
        <f>"9780773515215"</f>
        <v>9780773515215</v>
      </c>
      <c r="D3069" t="str">
        <f>"9780773566378"</f>
        <v>9780773566378</v>
      </c>
      <c r="E3069" t="s">
        <v>12863</v>
      </c>
      <c r="F3069" t="s">
        <v>12863</v>
      </c>
      <c r="G3069" s="1">
        <v>34912</v>
      </c>
      <c r="I3069" t="s">
        <v>12871</v>
      </c>
      <c r="J3069" t="s">
        <v>15996</v>
      </c>
      <c r="K3069" t="s">
        <v>4158</v>
      </c>
      <c r="L3069" t="s">
        <v>15997</v>
      </c>
      <c r="M3069">
        <v>971.00496999999996</v>
      </c>
      <c r="N3069" t="s">
        <v>15998</v>
      </c>
      <c r="O3069" t="s">
        <v>26</v>
      </c>
      <c r="P3069">
        <v>142.5</v>
      </c>
      <c r="Q3069">
        <v>118.75</v>
      </c>
      <c r="R3069">
        <v>95</v>
      </c>
      <c r="S3069">
        <v>142.5</v>
      </c>
      <c r="T3069" t="s">
        <v>15999</v>
      </c>
    </row>
    <row r="3070" spans="1:20">
      <c r="A3070">
        <v>3331125</v>
      </c>
      <c r="B3070" t="s">
        <v>16000</v>
      </c>
      <c r="C3070" t="str">
        <f>"9780773515482"</f>
        <v>9780773515482</v>
      </c>
      <c r="D3070" t="str">
        <f>"9780773566491"</f>
        <v>9780773566491</v>
      </c>
      <c r="E3070" t="s">
        <v>12863</v>
      </c>
      <c r="F3070" t="s">
        <v>12863</v>
      </c>
      <c r="G3070" s="1">
        <v>35850</v>
      </c>
      <c r="J3070" t="s">
        <v>4346</v>
      </c>
      <c r="K3070" t="s">
        <v>416</v>
      </c>
      <c r="L3070" t="s">
        <v>16001</v>
      </c>
      <c r="M3070">
        <v>330.97160200000002</v>
      </c>
      <c r="N3070" t="s">
        <v>16002</v>
      </c>
      <c r="O3070" t="s">
        <v>26</v>
      </c>
      <c r="P3070">
        <v>142.5</v>
      </c>
      <c r="Q3070">
        <v>118.75</v>
      </c>
      <c r="R3070">
        <v>95</v>
      </c>
      <c r="S3070">
        <v>142.5</v>
      </c>
      <c r="T3070" t="s">
        <v>16003</v>
      </c>
    </row>
    <row r="3071" spans="1:20">
      <c r="A3071">
        <v>3331126</v>
      </c>
      <c r="B3071" t="s">
        <v>16004</v>
      </c>
      <c r="C3071" t="str">
        <f>"9780773516823"</f>
        <v>9780773516823</v>
      </c>
      <c r="D3071" t="str">
        <f>"9780773566989"</f>
        <v>9780773566989</v>
      </c>
      <c r="E3071" t="s">
        <v>12863</v>
      </c>
      <c r="F3071" t="s">
        <v>12863</v>
      </c>
      <c r="G3071" s="1">
        <v>35935</v>
      </c>
      <c r="J3071" t="s">
        <v>16005</v>
      </c>
      <c r="K3071" t="s">
        <v>1464</v>
      </c>
      <c r="L3071" t="s">
        <v>16006</v>
      </c>
      <c r="M3071">
        <v>821.7</v>
      </c>
      <c r="N3071" t="s">
        <v>16007</v>
      </c>
      <c r="O3071" t="s">
        <v>26</v>
      </c>
      <c r="P3071">
        <v>142.5</v>
      </c>
      <c r="Q3071">
        <v>118.75</v>
      </c>
      <c r="R3071">
        <v>95</v>
      </c>
      <c r="S3071">
        <v>142.5</v>
      </c>
      <c r="T3071" t="s">
        <v>16008</v>
      </c>
    </row>
    <row r="3072" spans="1:20">
      <c r="A3072">
        <v>3331127</v>
      </c>
      <c r="B3072" t="s">
        <v>16009</v>
      </c>
      <c r="C3072" t="str">
        <f>"9780773514195"</f>
        <v>9780773514195</v>
      </c>
      <c r="D3072" t="str">
        <f>"9780773566071"</f>
        <v>9780773566071</v>
      </c>
      <c r="E3072" t="s">
        <v>12863</v>
      </c>
      <c r="F3072" t="s">
        <v>12863</v>
      </c>
      <c r="G3072" s="1">
        <v>35234</v>
      </c>
      <c r="J3072" t="s">
        <v>16010</v>
      </c>
      <c r="K3072" t="s">
        <v>16011</v>
      </c>
      <c r="L3072" t="s">
        <v>16012</v>
      </c>
      <c r="M3072">
        <v>365.66</v>
      </c>
      <c r="N3072" t="s">
        <v>16013</v>
      </c>
      <c r="O3072" t="s">
        <v>26</v>
      </c>
      <c r="P3072">
        <v>142.5</v>
      </c>
      <c r="Q3072">
        <v>118.75</v>
      </c>
      <c r="R3072">
        <v>95</v>
      </c>
      <c r="S3072">
        <v>142.5</v>
      </c>
      <c r="T3072" t="s">
        <v>16014</v>
      </c>
    </row>
    <row r="3073" spans="1:20">
      <c r="A3073">
        <v>3331128</v>
      </c>
      <c r="B3073" t="s">
        <v>16015</v>
      </c>
      <c r="C3073" t="str">
        <f>"9780773521889"</f>
        <v>9780773521889</v>
      </c>
      <c r="D3073" t="str">
        <f>"9780773569249"</f>
        <v>9780773569249</v>
      </c>
      <c r="E3073" t="s">
        <v>12907</v>
      </c>
      <c r="F3073" t="s">
        <v>12907</v>
      </c>
      <c r="G3073" s="1">
        <v>37056</v>
      </c>
      <c r="I3073" t="s">
        <v>12886</v>
      </c>
      <c r="J3073" t="s">
        <v>16016</v>
      </c>
      <c r="K3073" t="s">
        <v>6055</v>
      </c>
      <c r="L3073" t="s">
        <v>16017</v>
      </c>
      <c r="M3073" t="s">
        <v>16018</v>
      </c>
      <c r="N3073" t="s">
        <v>16019</v>
      </c>
      <c r="O3073" t="s">
        <v>26</v>
      </c>
      <c r="P3073">
        <v>44.93</v>
      </c>
      <c r="Q3073">
        <v>37.44</v>
      </c>
      <c r="R3073">
        <v>29.95</v>
      </c>
      <c r="S3073">
        <v>44.93</v>
      </c>
      <c r="T3073" t="s">
        <v>16020</v>
      </c>
    </row>
    <row r="3074" spans="1:20">
      <c r="A3074">
        <v>3331129</v>
      </c>
      <c r="B3074" t="s">
        <v>16021</v>
      </c>
      <c r="C3074" t="str">
        <f>"9780773517141"</f>
        <v>9780773517141</v>
      </c>
      <c r="D3074" t="str">
        <f>"9780773567092"</f>
        <v>9780773567092</v>
      </c>
      <c r="E3074" t="s">
        <v>12863</v>
      </c>
      <c r="F3074" t="s">
        <v>12863</v>
      </c>
      <c r="G3074" s="1">
        <v>35917</v>
      </c>
      <c r="J3074" t="s">
        <v>15856</v>
      </c>
      <c r="K3074" t="s">
        <v>1892</v>
      </c>
      <c r="L3074" t="s">
        <v>16022</v>
      </c>
      <c r="M3074">
        <v>232.8</v>
      </c>
      <c r="N3074" t="s">
        <v>16023</v>
      </c>
      <c r="O3074" t="s">
        <v>26</v>
      </c>
      <c r="P3074">
        <v>29.93</v>
      </c>
      <c r="Q3074">
        <v>24.94</v>
      </c>
      <c r="R3074">
        <v>19.95</v>
      </c>
      <c r="S3074">
        <v>29.93</v>
      </c>
      <c r="T3074" t="s">
        <v>16024</v>
      </c>
    </row>
    <row r="3075" spans="1:20">
      <c r="A3075">
        <v>3331130</v>
      </c>
      <c r="B3075" t="s">
        <v>16025</v>
      </c>
      <c r="C3075" t="str">
        <f>"9780773512368"</f>
        <v>9780773512368</v>
      </c>
      <c r="D3075" t="str">
        <f>"9780773565050"</f>
        <v>9780773565050</v>
      </c>
      <c r="E3075" t="s">
        <v>12863</v>
      </c>
      <c r="F3075" t="s">
        <v>12863</v>
      </c>
      <c r="G3075" s="1">
        <v>34656</v>
      </c>
      <c r="J3075" t="s">
        <v>16026</v>
      </c>
      <c r="K3075" t="s">
        <v>16027</v>
      </c>
      <c r="L3075" t="s">
        <v>16028</v>
      </c>
      <c r="M3075">
        <v>363.70970999999997</v>
      </c>
      <c r="N3075" t="s">
        <v>16029</v>
      </c>
      <c r="O3075" t="s">
        <v>26</v>
      </c>
      <c r="P3075">
        <v>142.5</v>
      </c>
      <c r="Q3075">
        <v>118.75</v>
      </c>
      <c r="R3075">
        <v>95</v>
      </c>
      <c r="S3075">
        <v>142.5</v>
      </c>
      <c r="T3075" t="s">
        <v>16030</v>
      </c>
    </row>
    <row r="3076" spans="1:20">
      <c r="A3076">
        <v>3331131</v>
      </c>
      <c r="B3076" t="s">
        <v>16031</v>
      </c>
      <c r="C3076" t="str">
        <f>"9780773521520"</f>
        <v>9780773521520</v>
      </c>
      <c r="D3076" t="str">
        <f>"9780773568990"</f>
        <v>9780773568990</v>
      </c>
      <c r="E3076" t="s">
        <v>12863</v>
      </c>
      <c r="F3076" t="s">
        <v>12863</v>
      </c>
      <c r="G3076" s="1">
        <v>36948</v>
      </c>
      <c r="J3076" t="s">
        <v>16032</v>
      </c>
      <c r="K3076" t="s">
        <v>257</v>
      </c>
      <c r="L3076" t="s">
        <v>16033</v>
      </c>
      <c r="M3076">
        <v>378.19409200000001</v>
      </c>
      <c r="N3076" t="s">
        <v>16034</v>
      </c>
      <c r="O3076" t="s">
        <v>26</v>
      </c>
      <c r="P3076">
        <v>142.5</v>
      </c>
      <c r="Q3076">
        <v>118.75</v>
      </c>
      <c r="R3076">
        <v>95</v>
      </c>
      <c r="S3076">
        <v>142.5</v>
      </c>
      <c r="T3076" t="s">
        <v>16035</v>
      </c>
    </row>
    <row r="3077" spans="1:20">
      <c r="A3077">
        <v>3331132</v>
      </c>
      <c r="B3077" t="s">
        <v>16036</v>
      </c>
      <c r="C3077" t="str">
        <f>"9780773520868"</f>
        <v>9780773520868</v>
      </c>
      <c r="D3077" t="str">
        <f>"9780773568648"</f>
        <v>9780773568648</v>
      </c>
      <c r="E3077" t="s">
        <v>12863</v>
      </c>
      <c r="F3077" t="s">
        <v>12863</v>
      </c>
      <c r="G3077" s="1">
        <v>36733</v>
      </c>
      <c r="I3077" t="s">
        <v>13282</v>
      </c>
      <c r="J3077" t="s">
        <v>16037</v>
      </c>
      <c r="K3077" t="s">
        <v>16038</v>
      </c>
      <c r="L3077" t="s">
        <v>16039</v>
      </c>
      <c r="M3077">
        <v>327.17469999999997</v>
      </c>
      <c r="N3077" t="s">
        <v>16040</v>
      </c>
      <c r="O3077" t="s">
        <v>26</v>
      </c>
      <c r="P3077">
        <v>142.5</v>
      </c>
      <c r="Q3077">
        <v>118.75</v>
      </c>
      <c r="R3077">
        <v>95</v>
      </c>
      <c r="S3077">
        <v>142.5</v>
      </c>
      <c r="T3077" t="s">
        <v>16041</v>
      </c>
    </row>
    <row r="3078" spans="1:20">
      <c r="A3078">
        <v>3331133</v>
      </c>
      <c r="B3078" t="s">
        <v>16042</v>
      </c>
      <c r="C3078" t="str">
        <f>"9780773520103"</f>
        <v>9780773520103</v>
      </c>
      <c r="D3078" t="str">
        <f>"9780773568198"</f>
        <v>9780773568198</v>
      </c>
      <c r="E3078" t="s">
        <v>12907</v>
      </c>
      <c r="F3078" t="s">
        <v>12907</v>
      </c>
      <c r="G3078" s="1">
        <v>36580</v>
      </c>
      <c r="I3078" t="s">
        <v>12942</v>
      </c>
      <c r="J3078" t="s">
        <v>16043</v>
      </c>
      <c r="K3078" t="s">
        <v>568</v>
      </c>
      <c r="L3078" t="s">
        <v>16044</v>
      </c>
      <c r="M3078" t="s">
        <v>16045</v>
      </c>
      <c r="N3078" t="s">
        <v>16046</v>
      </c>
      <c r="O3078" t="s">
        <v>26</v>
      </c>
      <c r="P3078">
        <v>142.5</v>
      </c>
      <c r="Q3078">
        <v>118.75</v>
      </c>
      <c r="R3078">
        <v>95</v>
      </c>
      <c r="S3078">
        <v>142.5</v>
      </c>
      <c r="T3078" t="s">
        <v>16047</v>
      </c>
    </row>
    <row r="3079" spans="1:20">
      <c r="A3079">
        <v>3331134</v>
      </c>
      <c r="B3079" t="s">
        <v>16048</v>
      </c>
      <c r="C3079" t="str">
        <f>"9780773516601"</f>
        <v>9780773516601</v>
      </c>
      <c r="D3079" t="str">
        <f>"9780773566804"</f>
        <v>9780773566804</v>
      </c>
      <c r="E3079" t="s">
        <v>12907</v>
      </c>
      <c r="F3079" t="s">
        <v>12907</v>
      </c>
      <c r="G3079" s="1">
        <v>35900</v>
      </c>
      <c r="I3079" t="s">
        <v>14112</v>
      </c>
      <c r="J3079" t="s">
        <v>16049</v>
      </c>
      <c r="K3079" t="s">
        <v>568</v>
      </c>
      <c r="L3079" t="s">
        <v>16050</v>
      </c>
      <c r="M3079" t="s">
        <v>16051</v>
      </c>
      <c r="N3079" t="s">
        <v>16052</v>
      </c>
      <c r="O3079" t="s">
        <v>26</v>
      </c>
      <c r="P3079">
        <v>142.5</v>
      </c>
      <c r="Q3079">
        <v>118.75</v>
      </c>
      <c r="R3079">
        <v>95</v>
      </c>
      <c r="S3079">
        <v>142.5</v>
      </c>
      <c r="T3079" t="s">
        <v>16053</v>
      </c>
    </row>
    <row r="3080" spans="1:20">
      <c r="A3080">
        <v>3331135</v>
      </c>
      <c r="B3080" t="s">
        <v>16054</v>
      </c>
      <c r="C3080" t="str">
        <f>"9780773512306"</f>
        <v>9780773512306</v>
      </c>
      <c r="D3080" t="str">
        <f>"9780773564992"</f>
        <v>9780773564992</v>
      </c>
      <c r="E3080" t="s">
        <v>12863</v>
      </c>
      <c r="F3080" t="s">
        <v>12863</v>
      </c>
      <c r="G3080" s="1">
        <v>34760</v>
      </c>
      <c r="I3080" t="s">
        <v>12886</v>
      </c>
      <c r="J3080" t="s">
        <v>16055</v>
      </c>
      <c r="K3080" t="s">
        <v>291</v>
      </c>
      <c r="L3080" t="s">
        <v>16056</v>
      </c>
      <c r="M3080">
        <v>940.47809219999999</v>
      </c>
      <c r="N3080" t="s">
        <v>16057</v>
      </c>
      <c r="O3080" t="s">
        <v>26</v>
      </c>
      <c r="P3080">
        <v>142.5</v>
      </c>
      <c r="Q3080">
        <v>118.75</v>
      </c>
      <c r="R3080">
        <v>95</v>
      </c>
      <c r="S3080">
        <v>142.5</v>
      </c>
      <c r="T3080" t="s">
        <v>16058</v>
      </c>
    </row>
    <row r="3081" spans="1:20">
      <c r="A3081">
        <v>3331136</v>
      </c>
      <c r="B3081" t="s">
        <v>16059</v>
      </c>
      <c r="C3081" t="str">
        <f>"9780773518391"</f>
        <v>9780773518391</v>
      </c>
      <c r="D3081" t="str">
        <f>"9780773567757"</f>
        <v>9780773567757</v>
      </c>
      <c r="E3081" t="s">
        <v>12863</v>
      </c>
      <c r="F3081" t="s">
        <v>12863</v>
      </c>
      <c r="G3081" s="1">
        <v>36328</v>
      </c>
      <c r="J3081" t="s">
        <v>16060</v>
      </c>
      <c r="K3081" t="s">
        <v>291</v>
      </c>
      <c r="L3081" t="s">
        <v>16061</v>
      </c>
      <c r="M3081">
        <v>971.40041120000001</v>
      </c>
      <c r="N3081" t="s">
        <v>16062</v>
      </c>
      <c r="O3081" t="s">
        <v>26</v>
      </c>
      <c r="P3081">
        <v>142.5</v>
      </c>
      <c r="Q3081">
        <v>118.75</v>
      </c>
      <c r="R3081">
        <v>95</v>
      </c>
      <c r="S3081">
        <v>142.5</v>
      </c>
      <c r="T3081" t="s">
        <v>16063</v>
      </c>
    </row>
    <row r="3082" spans="1:20">
      <c r="A3082">
        <v>3331137</v>
      </c>
      <c r="B3082" t="s">
        <v>16064</v>
      </c>
      <c r="C3082" t="str">
        <f>"9780773516137"</f>
        <v>9780773516137</v>
      </c>
      <c r="D3082" t="str">
        <f>"9780773566613"</f>
        <v>9780773566613</v>
      </c>
      <c r="E3082" t="s">
        <v>12863</v>
      </c>
      <c r="F3082" t="s">
        <v>12863</v>
      </c>
      <c r="G3082" s="1">
        <v>35516</v>
      </c>
      <c r="J3082" t="s">
        <v>16065</v>
      </c>
      <c r="K3082" t="s">
        <v>263</v>
      </c>
      <c r="L3082" t="s">
        <v>16066</v>
      </c>
      <c r="M3082">
        <v>307.72085399999997</v>
      </c>
      <c r="N3082" t="s">
        <v>16067</v>
      </c>
      <c r="O3082" t="s">
        <v>26</v>
      </c>
      <c r="P3082">
        <v>142.5</v>
      </c>
      <c r="Q3082">
        <v>118.75</v>
      </c>
      <c r="R3082">
        <v>95</v>
      </c>
      <c r="S3082">
        <v>142.5</v>
      </c>
      <c r="T3082" t="s">
        <v>16068</v>
      </c>
    </row>
    <row r="3083" spans="1:20">
      <c r="A3083">
        <v>3331138</v>
      </c>
      <c r="B3083" t="s">
        <v>16069</v>
      </c>
      <c r="C3083" t="str">
        <f>"9780773518513"</f>
        <v>9780773518513</v>
      </c>
      <c r="D3083" t="str">
        <f>"9780773567863"</f>
        <v>9780773567863</v>
      </c>
      <c r="E3083" t="s">
        <v>12863</v>
      </c>
      <c r="F3083" t="s">
        <v>12863</v>
      </c>
      <c r="G3083" s="1">
        <v>36249</v>
      </c>
      <c r="J3083" t="s">
        <v>15880</v>
      </c>
      <c r="K3083" t="s">
        <v>291</v>
      </c>
      <c r="L3083" t="s">
        <v>15806</v>
      </c>
      <c r="M3083">
        <v>971.06479999999999</v>
      </c>
      <c r="N3083" t="s">
        <v>16070</v>
      </c>
      <c r="O3083" t="s">
        <v>26</v>
      </c>
      <c r="P3083">
        <v>142.5</v>
      </c>
      <c r="Q3083">
        <v>118.75</v>
      </c>
      <c r="R3083">
        <v>95</v>
      </c>
      <c r="S3083">
        <v>142.5</v>
      </c>
      <c r="T3083" t="s">
        <v>16071</v>
      </c>
    </row>
    <row r="3084" spans="1:20">
      <c r="A3084">
        <v>3331139</v>
      </c>
      <c r="B3084" t="s">
        <v>16072</v>
      </c>
      <c r="C3084" t="str">
        <f>"9780773518476"</f>
        <v>9780773518476</v>
      </c>
      <c r="D3084" t="str">
        <f>"9780773567825"</f>
        <v>9780773567825</v>
      </c>
      <c r="E3084" t="s">
        <v>12907</v>
      </c>
      <c r="F3084" t="s">
        <v>12907</v>
      </c>
      <c r="G3084" s="1">
        <v>36404</v>
      </c>
      <c r="I3084" t="s">
        <v>14374</v>
      </c>
      <c r="J3084" t="s">
        <v>16073</v>
      </c>
      <c r="K3084" t="s">
        <v>550</v>
      </c>
      <c r="L3084" t="s">
        <v>16074</v>
      </c>
      <c r="M3084" t="s">
        <v>16075</v>
      </c>
      <c r="N3084" t="s">
        <v>16076</v>
      </c>
      <c r="O3084" t="s">
        <v>26</v>
      </c>
      <c r="P3084">
        <v>142.5</v>
      </c>
      <c r="Q3084">
        <v>118.75</v>
      </c>
      <c r="R3084">
        <v>95</v>
      </c>
      <c r="S3084">
        <v>142.5</v>
      </c>
      <c r="T3084" t="s">
        <v>16077</v>
      </c>
    </row>
    <row r="3085" spans="1:20">
      <c r="A3085">
        <v>3331140</v>
      </c>
      <c r="B3085" t="s">
        <v>16078</v>
      </c>
      <c r="C3085" t="str">
        <f>"9780773514065"</f>
        <v>9780773514065</v>
      </c>
      <c r="D3085" t="str">
        <f>"9780773566019"</f>
        <v>9780773566019</v>
      </c>
      <c r="E3085" t="s">
        <v>12863</v>
      </c>
      <c r="F3085" t="s">
        <v>12863</v>
      </c>
      <c r="G3085" s="1">
        <v>35327</v>
      </c>
      <c r="I3085" t="s">
        <v>13540</v>
      </c>
      <c r="J3085" t="s">
        <v>14123</v>
      </c>
      <c r="K3085" t="s">
        <v>7838</v>
      </c>
      <c r="L3085" t="s">
        <v>14124</v>
      </c>
      <c r="M3085">
        <v>720.1</v>
      </c>
      <c r="N3085" t="s">
        <v>16079</v>
      </c>
      <c r="O3085" t="s">
        <v>26</v>
      </c>
      <c r="P3085">
        <v>142.5</v>
      </c>
      <c r="Q3085">
        <v>118.75</v>
      </c>
      <c r="R3085">
        <v>95</v>
      </c>
      <c r="S3085">
        <v>142.5</v>
      </c>
      <c r="T3085" t="s">
        <v>16080</v>
      </c>
    </row>
    <row r="3086" spans="1:20">
      <c r="A3086">
        <v>3331141</v>
      </c>
      <c r="B3086" t="s">
        <v>16081</v>
      </c>
      <c r="C3086" t="str">
        <f>"9780773517332"</f>
        <v>9780773517332</v>
      </c>
      <c r="D3086" t="str">
        <f>"9780773567238"</f>
        <v>9780773567238</v>
      </c>
      <c r="E3086" t="s">
        <v>12863</v>
      </c>
      <c r="F3086" t="s">
        <v>12863</v>
      </c>
      <c r="G3086" s="1">
        <v>36139</v>
      </c>
      <c r="I3086" t="s">
        <v>12942</v>
      </c>
      <c r="J3086" t="s">
        <v>16082</v>
      </c>
      <c r="K3086" t="s">
        <v>1550</v>
      </c>
      <c r="L3086" t="s">
        <v>16083</v>
      </c>
      <c r="M3086">
        <v>304.87307108911199</v>
      </c>
      <c r="N3086" t="s">
        <v>16084</v>
      </c>
      <c r="O3086" t="s">
        <v>26</v>
      </c>
      <c r="P3086">
        <v>142.5</v>
      </c>
      <c r="Q3086">
        <v>118.75</v>
      </c>
      <c r="R3086">
        <v>95</v>
      </c>
      <c r="S3086">
        <v>142.5</v>
      </c>
      <c r="T3086" t="s">
        <v>16085</v>
      </c>
    </row>
    <row r="3087" spans="1:20">
      <c r="A3087">
        <v>3331142</v>
      </c>
      <c r="B3087" t="s">
        <v>16086</v>
      </c>
      <c r="C3087" t="str">
        <f>"9780773513570"</f>
        <v>9780773513570</v>
      </c>
      <c r="D3087" t="str">
        <f>"9780773565692"</f>
        <v>9780773565692</v>
      </c>
      <c r="E3087" t="s">
        <v>12863</v>
      </c>
      <c r="F3087" t="s">
        <v>12863</v>
      </c>
      <c r="G3087" s="1">
        <v>34956</v>
      </c>
      <c r="J3087" t="s">
        <v>13311</v>
      </c>
      <c r="K3087" t="s">
        <v>467</v>
      </c>
      <c r="L3087" t="s">
        <v>16087</v>
      </c>
      <c r="M3087">
        <v>324.560971</v>
      </c>
      <c r="N3087" t="s">
        <v>16088</v>
      </c>
      <c r="O3087" t="s">
        <v>26</v>
      </c>
      <c r="P3087">
        <v>142.5</v>
      </c>
      <c r="Q3087">
        <v>118.75</v>
      </c>
      <c r="R3087">
        <v>95</v>
      </c>
      <c r="S3087">
        <v>142.5</v>
      </c>
      <c r="T3087" t="s">
        <v>16089</v>
      </c>
    </row>
    <row r="3088" spans="1:20">
      <c r="A3088">
        <v>3331143</v>
      </c>
      <c r="B3088" t="s">
        <v>16090</v>
      </c>
      <c r="C3088" t="str">
        <f>"9780773515444"</f>
        <v>9780773515444</v>
      </c>
      <c r="D3088" t="str">
        <f>"9780773566460"</f>
        <v>9780773566460</v>
      </c>
      <c r="E3088" t="s">
        <v>12863</v>
      </c>
      <c r="F3088" t="s">
        <v>12863</v>
      </c>
      <c r="G3088" s="1">
        <v>35485</v>
      </c>
      <c r="I3088" t="s">
        <v>13288</v>
      </c>
      <c r="J3088" t="s">
        <v>14999</v>
      </c>
      <c r="K3088" t="s">
        <v>291</v>
      </c>
      <c r="L3088" t="s">
        <v>16091</v>
      </c>
      <c r="M3088">
        <v>971.46019999999999</v>
      </c>
      <c r="N3088" t="s">
        <v>16092</v>
      </c>
      <c r="O3088" t="s">
        <v>26</v>
      </c>
      <c r="P3088">
        <v>142.5</v>
      </c>
      <c r="Q3088">
        <v>118.75</v>
      </c>
      <c r="R3088">
        <v>95</v>
      </c>
      <c r="S3088">
        <v>142.5</v>
      </c>
      <c r="T3088" t="s">
        <v>16093</v>
      </c>
    </row>
    <row r="3089" spans="1:20">
      <c r="A3089">
        <v>3331144</v>
      </c>
      <c r="B3089" t="s">
        <v>16094</v>
      </c>
      <c r="C3089" t="str">
        <f>"9780773518810"</f>
        <v>9780773518810</v>
      </c>
      <c r="D3089" t="str">
        <f>"9780773567979"</f>
        <v>9780773567979</v>
      </c>
      <c r="E3089" t="s">
        <v>12863</v>
      </c>
      <c r="F3089" t="s">
        <v>12863</v>
      </c>
      <c r="G3089" s="1">
        <v>36452</v>
      </c>
      <c r="J3089" t="s">
        <v>16095</v>
      </c>
      <c r="K3089" t="s">
        <v>257</v>
      </c>
      <c r="L3089" t="s">
        <v>16096</v>
      </c>
      <c r="M3089">
        <v>378.47210904100001</v>
      </c>
      <c r="N3089" t="s">
        <v>16097</v>
      </c>
      <c r="O3089" t="s">
        <v>26</v>
      </c>
      <c r="P3089">
        <v>142.5</v>
      </c>
      <c r="Q3089">
        <v>118.75</v>
      </c>
      <c r="R3089">
        <v>95</v>
      </c>
      <c r="S3089">
        <v>142.5</v>
      </c>
      <c r="T3089" t="s">
        <v>16098</v>
      </c>
    </row>
    <row r="3090" spans="1:20">
      <c r="A3090">
        <v>3331145</v>
      </c>
      <c r="B3090" t="s">
        <v>16099</v>
      </c>
      <c r="C3090" t="str">
        <f>"9780773517424"</f>
        <v>9780773517424</v>
      </c>
      <c r="D3090" t="str">
        <f>"9780773567283"</f>
        <v>9780773567283</v>
      </c>
      <c r="E3090" t="s">
        <v>12863</v>
      </c>
      <c r="F3090" t="s">
        <v>12863</v>
      </c>
      <c r="G3090" s="1">
        <v>35878</v>
      </c>
      <c r="I3090" t="s">
        <v>16100</v>
      </c>
      <c r="J3090" t="s">
        <v>16101</v>
      </c>
      <c r="K3090" t="s">
        <v>467</v>
      </c>
      <c r="L3090" t="s">
        <v>16102</v>
      </c>
      <c r="M3090">
        <v>352.28</v>
      </c>
      <c r="N3090" t="s">
        <v>16103</v>
      </c>
      <c r="O3090" t="s">
        <v>26</v>
      </c>
      <c r="P3090">
        <v>142.5</v>
      </c>
      <c r="Q3090">
        <v>118.75</v>
      </c>
      <c r="R3090">
        <v>95</v>
      </c>
      <c r="S3090">
        <v>142.5</v>
      </c>
      <c r="T3090" t="s">
        <v>16104</v>
      </c>
    </row>
    <row r="3091" spans="1:20">
      <c r="A3091">
        <v>3331146</v>
      </c>
      <c r="B3091" t="s">
        <v>16105</v>
      </c>
      <c r="C3091" t="str">
        <f>"9780773515116"</f>
        <v>9780773515116</v>
      </c>
      <c r="D3091" t="str">
        <f>"9780773566347"</f>
        <v>9780773566347</v>
      </c>
      <c r="E3091" t="s">
        <v>12863</v>
      </c>
      <c r="F3091" t="s">
        <v>12863</v>
      </c>
      <c r="G3091" s="1">
        <v>35325</v>
      </c>
      <c r="I3091" t="s">
        <v>12942</v>
      </c>
      <c r="J3091" t="s">
        <v>16106</v>
      </c>
      <c r="K3091" t="s">
        <v>291</v>
      </c>
      <c r="L3091" t="s">
        <v>16107</v>
      </c>
      <c r="M3091">
        <v>943.904</v>
      </c>
      <c r="N3091" t="s">
        <v>16108</v>
      </c>
      <c r="O3091" t="s">
        <v>26</v>
      </c>
      <c r="P3091">
        <v>142.5</v>
      </c>
      <c r="Q3091">
        <v>118.75</v>
      </c>
      <c r="R3091">
        <v>95</v>
      </c>
      <c r="S3091">
        <v>142.5</v>
      </c>
      <c r="T3091" t="s">
        <v>16109</v>
      </c>
    </row>
    <row r="3092" spans="1:20">
      <c r="A3092">
        <v>3331147</v>
      </c>
      <c r="B3092" t="s">
        <v>16110</v>
      </c>
      <c r="C3092" t="str">
        <f>"9780773518032"</f>
        <v>9780773518032</v>
      </c>
      <c r="D3092" t="str">
        <f>"9780773567559"</f>
        <v>9780773567559</v>
      </c>
      <c r="E3092" t="s">
        <v>12863</v>
      </c>
      <c r="F3092" t="s">
        <v>12863</v>
      </c>
      <c r="G3092" s="1">
        <v>36139</v>
      </c>
      <c r="J3092" t="s">
        <v>16111</v>
      </c>
      <c r="K3092" t="s">
        <v>1464</v>
      </c>
      <c r="L3092" t="s">
        <v>16112</v>
      </c>
      <c r="M3092">
        <v>823.5</v>
      </c>
      <c r="N3092" t="s">
        <v>16113</v>
      </c>
      <c r="O3092" t="s">
        <v>26</v>
      </c>
      <c r="P3092">
        <v>142.5</v>
      </c>
      <c r="Q3092">
        <v>118.75</v>
      </c>
      <c r="R3092">
        <v>95</v>
      </c>
      <c r="S3092">
        <v>142.5</v>
      </c>
      <c r="T3092" t="s">
        <v>16114</v>
      </c>
    </row>
    <row r="3093" spans="1:20">
      <c r="A3093">
        <v>3331148</v>
      </c>
      <c r="B3093" t="s">
        <v>16115</v>
      </c>
      <c r="C3093" t="str">
        <f>"9780773513303"</f>
        <v>9780773513303</v>
      </c>
      <c r="D3093" t="str">
        <f>"9780773565548"</f>
        <v>9780773565548</v>
      </c>
      <c r="E3093" t="s">
        <v>12863</v>
      </c>
      <c r="F3093" t="s">
        <v>12863</v>
      </c>
      <c r="G3093" s="1">
        <v>34865</v>
      </c>
      <c r="J3093" t="s">
        <v>16116</v>
      </c>
      <c r="K3093" t="s">
        <v>291</v>
      </c>
      <c r="L3093" t="s">
        <v>16117</v>
      </c>
      <c r="M3093">
        <v>940.54494309200004</v>
      </c>
      <c r="N3093" t="s">
        <v>16118</v>
      </c>
      <c r="O3093" t="s">
        <v>26</v>
      </c>
      <c r="P3093">
        <v>142.5</v>
      </c>
      <c r="Q3093">
        <v>118.75</v>
      </c>
      <c r="R3093">
        <v>95</v>
      </c>
      <c r="S3093">
        <v>142.5</v>
      </c>
      <c r="T3093" t="s">
        <v>16119</v>
      </c>
    </row>
    <row r="3094" spans="1:20">
      <c r="A3094">
        <v>3331149</v>
      </c>
      <c r="B3094" t="s">
        <v>16120</v>
      </c>
      <c r="C3094" t="str">
        <f>"9780773517516"</f>
        <v>9780773517516</v>
      </c>
      <c r="D3094" t="str">
        <f>"9780773567320"</f>
        <v>9780773567320</v>
      </c>
      <c r="E3094" t="s">
        <v>12863</v>
      </c>
      <c r="F3094" t="s">
        <v>12863</v>
      </c>
      <c r="G3094" s="1">
        <v>36089</v>
      </c>
      <c r="J3094" t="s">
        <v>16121</v>
      </c>
      <c r="K3094" t="s">
        <v>263</v>
      </c>
      <c r="L3094" t="s">
        <v>16122</v>
      </c>
      <c r="M3094">
        <v>306.33999999999997</v>
      </c>
      <c r="N3094" t="s">
        <v>16123</v>
      </c>
      <c r="O3094" t="s">
        <v>26</v>
      </c>
      <c r="P3094">
        <v>127.5</v>
      </c>
      <c r="Q3094">
        <v>106.25</v>
      </c>
      <c r="R3094">
        <v>85</v>
      </c>
      <c r="S3094">
        <v>127.5</v>
      </c>
      <c r="T3094" t="s">
        <v>16124</v>
      </c>
    </row>
    <row r="3095" spans="1:20">
      <c r="A3095">
        <v>3331150</v>
      </c>
      <c r="B3095" t="s">
        <v>16125</v>
      </c>
      <c r="C3095" t="str">
        <f>"9780773512177"</f>
        <v>9780773512177</v>
      </c>
      <c r="D3095" t="str">
        <f>"9780773564862"</f>
        <v>9780773564862</v>
      </c>
      <c r="E3095" t="s">
        <v>12863</v>
      </c>
      <c r="F3095" t="s">
        <v>12863</v>
      </c>
      <c r="G3095" s="1">
        <v>34849</v>
      </c>
      <c r="J3095" t="s">
        <v>16126</v>
      </c>
      <c r="K3095" t="s">
        <v>7838</v>
      </c>
      <c r="L3095" t="s">
        <v>16127</v>
      </c>
      <c r="M3095" t="s">
        <v>16128</v>
      </c>
      <c r="N3095" t="s">
        <v>16129</v>
      </c>
      <c r="O3095" t="s">
        <v>26</v>
      </c>
      <c r="P3095">
        <v>120</v>
      </c>
      <c r="Q3095">
        <v>100</v>
      </c>
      <c r="R3095">
        <v>80</v>
      </c>
      <c r="S3095">
        <v>120</v>
      </c>
      <c r="T3095" t="s">
        <v>16130</v>
      </c>
    </row>
    <row r="3096" spans="1:20">
      <c r="A3096">
        <v>3331151</v>
      </c>
      <c r="B3096" t="s">
        <v>16131</v>
      </c>
      <c r="C3096" t="str">
        <f>"9780773513204"</f>
        <v>9780773513204</v>
      </c>
      <c r="D3096" t="str">
        <f>"9780773565500"</f>
        <v>9780773565500</v>
      </c>
      <c r="E3096" t="s">
        <v>12863</v>
      </c>
      <c r="F3096" t="s">
        <v>12863</v>
      </c>
      <c r="G3096" s="1">
        <v>34865</v>
      </c>
      <c r="I3096" t="s">
        <v>16100</v>
      </c>
      <c r="J3096" t="s">
        <v>16101</v>
      </c>
      <c r="K3096" t="s">
        <v>467</v>
      </c>
      <c r="L3096" t="s">
        <v>16102</v>
      </c>
      <c r="M3096">
        <v>351</v>
      </c>
      <c r="N3096" t="s">
        <v>16132</v>
      </c>
      <c r="O3096" t="s">
        <v>26</v>
      </c>
      <c r="P3096">
        <v>142.5</v>
      </c>
      <c r="Q3096">
        <v>118.75</v>
      </c>
      <c r="R3096">
        <v>95</v>
      </c>
      <c r="S3096">
        <v>142.5</v>
      </c>
      <c r="T3096" t="s">
        <v>16133</v>
      </c>
    </row>
    <row r="3097" spans="1:20">
      <c r="A3097">
        <v>3331152</v>
      </c>
      <c r="B3097" t="s">
        <v>16134</v>
      </c>
      <c r="C3097" t="str">
        <f>"9780773518537"</f>
        <v>9780773518537</v>
      </c>
      <c r="D3097" t="str">
        <f>"9780773567887"</f>
        <v>9780773567887</v>
      </c>
      <c r="E3097" t="s">
        <v>12863</v>
      </c>
      <c r="F3097" t="s">
        <v>12863</v>
      </c>
      <c r="G3097" s="1">
        <v>36483</v>
      </c>
      <c r="J3097" t="s">
        <v>16135</v>
      </c>
      <c r="K3097" t="s">
        <v>6444</v>
      </c>
      <c r="L3097" t="s">
        <v>14200</v>
      </c>
      <c r="M3097">
        <v>321.02097099999997</v>
      </c>
      <c r="N3097" t="s">
        <v>16136</v>
      </c>
      <c r="O3097" t="s">
        <v>26</v>
      </c>
      <c r="P3097">
        <v>52.43</v>
      </c>
      <c r="Q3097">
        <v>43.69</v>
      </c>
      <c r="R3097">
        <v>34.950000000000003</v>
      </c>
      <c r="S3097">
        <v>52.43</v>
      </c>
      <c r="T3097" t="s">
        <v>16137</v>
      </c>
    </row>
    <row r="3098" spans="1:20">
      <c r="A3098">
        <v>3331153</v>
      </c>
      <c r="B3098" t="s">
        <v>16138</v>
      </c>
      <c r="C3098" t="str">
        <f>"9780773517806"</f>
        <v>9780773517806</v>
      </c>
      <c r="D3098" t="str">
        <f>"9780773567405"</f>
        <v>9780773567405</v>
      </c>
      <c r="E3098" t="s">
        <v>12863</v>
      </c>
      <c r="F3098" t="s">
        <v>12863</v>
      </c>
      <c r="G3098" s="1">
        <v>36091</v>
      </c>
      <c r="J3098" t="s">
        <v>16139</v>
      </c>
      <c r="K3098" t="s">
        <v>416</v>
      </c>
      <c r="L3098" t="s">
        <v>15527</v>
      </c>
      <c r="M3098">
        <v>338.92609700000003</v>
      </c>
      <c r="N3098" t="s">
        <v>16140</v>
      </c>
      <c r="O3098" t="s">
        <v>26</v>
      </c>
      <c r="P3098">
        <v>142.5</v>
      </c>
      <c r="Q3098">
        <v>118.75</v>
      </c>
      <c r="R3098">
        <v>95</v>
      </c>
      <c r="S3098">
        <v>142.5</v>
      </c>
      <c r="T3098" t="s">
        <v>16141</v>
      </c>
    </row>
    <row r="3099" spans="1:20">
      <c r="A3099">
        <v>3331154</v>
      </c>
      <c r="B3099" t="s">
        <v>16142</v>
      </c>
      <c r="C3099" t="str">
        <f>"9780773522299"</f>
        <v>9780773522299</v>
      </c>
      <c r="D3099" t="str">
        <f>"9780773569454"</f>
        <v>9780773569454</v>
      </c>
      <c r="E3099" t="s">
        <v>12907</v>
      </c>
      <c r="F3099" t="s">
        <v>12907</v>
      </c>
      <c r="G3099" s="1">
        <v>37593</v>
      </c>
      <c r="I3099" t="s">
        <v>12886</v>
      </c>
      <c r="J3099" t="s">
        <v>16143</v>
      </c>
      <c r="K3099" t="s">
        <v>291</v>
      </c>
      <c r="L3099" t="s">
        <v>16144</v>
      </c>
      <c r="M3099" t="s">
        <v>16145</v>
      </c>
      <c r="N3099" t="s">
        <v>16146</v>
      </c>
      <c r="O3099" t="s">
        <v>26</v>
      </c>
      <c r="P3099">
        <v>142.5</v>
      </c>
      <c r="Q3099">
        <v>118.75</v>
      </c>
      <c r="R3099">
        <v>95</v>
      </c>
      <c r="S3099">
        <v>142.5</v>
      </c>
      <c r="T3099" t="s">
        <v>16147</v>
      </c>
    </row>
    <row r="3100" spans="1:20">
      <c r="A3100">
        <v>3331155</v>
      </c>
      <c r="B3100" t="s">
        <v>16148</v>
      </c>
      <c r="C3100" t="str">
        <f>"9780773518964"</f>
        <v>9780773518964</v>
      </c>
      <c r="D3100" t="str">
        <f>"9780773568068"</f>
        <v>9780773568068</v>
      </c>
      <c r="E3100" t="s">
        <v>12863</v>
      </c>
      <c r="F3100" t="s">
        <v>12863</v>
      </c>
      <c r="G3100" s="1">
        <v>36560</v>
      </c>
      <c r="I3100" t="s">
        <v>13288</v>
      </c>
      <c r="J3100" t="s">
        <v>16149</v>
      </c>
      <c r="K3100" t="s">
        <v>1530</v>
      </c>
      <c r="L3100" t="s">
        <v>16150</v>
      </c>
      <c r="M3100">
        <v>971.40099999999995</v>
      </c>
      <c r="N3100" t="s">
        <v>16151</v>
      </c>
      <c r="O3100" t="s">
        <v>26</v>
      </c>
      <c r="P3100">
        <v>142.5</v>
      </c>
      <c r="Q3100">
        <v>118.75</v>
      </c>
      <c r="R3100">
        <v>95</v>
      </c>
      <c r="S3100">
        <v>142.5</v>
      </c>
      <c r="T3100" t="s">
        <v>16152</v>
      </c>
    </row>
    <row r="3101" spans="1:20">
      <c r="A3101">
        <v>3331156</v>
      </c>
      <c r="B3101" t="s">
        <v>16153</v>
      </c>
      <c r="C3101" t="str">
        <f>"9780773520066"</f>
        <v>9780773520066</v>
      </c>
      <c r="D3101" t="str">
        <f>"9780773568174"</f>
        <v>9780773568174</v>
      </c>
      <c r="E3101" t="s">
        <v>12863</v>
      </c>
      <c r="F3101" t="s">
        <v>12863</v>
      </c>
      <c r="G3101" s="1">
        <v>36677</v>
      </c>
      <c r="J3101" t="s">
        <v>16154</v>
      </c>
      <c r="K3101" t="s">
        <v>1464</v>
      </c>
      <c r="L3101" t="s">
        <v>16155</v>
      </c>
      <c r="M3101">
        <v>813.54</v>
      </c>
      <c r="N3101" t="s">
        <v>16156</v>
      </c>
      <c r="O3101" t="s">
        <v>26</v>
      </c>
      <c r="P3101">
        <v>59.93</v>
      </c>
      <c r="Q3101">
        <v>49.94</v>
      </c>
      <c r="R3101">
        <v>39.950000000000003</v>
      </c>
      <c r="S3101">
        <v>59.93</v>
      </c>
      <c r="T3101" t="s">
        <v>16157</v>
      </c>
    </row>
    <row r="3102" spans="1:20">
      <c r="A3102">
        <v>3331157</v>
      </c>
      <c r="B3102" t="s">
        <v>16158</v>
      </c>
      <c r="C3102" t="str">
        <f>"9780773518001"</f>
        <v>9780773518001</v>
      </c>
      <c r="D3102" t="str">
        <f>"9780773567535"</f>
        <v>9780773567535</v>
      </c>
      <c r="E3102" t="s">
        <v>12863</v>
      </c>
      <c r="F3102" t="s">
        <v>12863</v>
      </c>
      <c r="G3102" s="1">
        <v>36302</v>
      </c>
      <c r="I3102" t="s">
        <v>12963</v>
      </c>
      <c r="J3102" t="s">
        <v>16159</v>
      </c>
      <c r="K3102" t="s">
        <v>1464</v>
      </c>
      <c r="L3102" t="s">
        <v>16160</v>
      </c>
      <c r="M3102">
        <v>809.93359999999996</v>
      </c>
      <c r="N3102" t="s">
        <v>16161</v>
      </c>
      <c r="O3102" t="s">
        <v>26</v>
      </c>
      <c r="P3102">
        <v>142.5</v>
      </c>
      <c r="Q3102">
        <v>118.75</v>
      </c>
      <c r="R3102">
        <v>95</v>
      </c>
      <c r="S3102">
        <v>142.5</v>
      </c>
      <c r="T3102" t="s">
        <v>16162</v>
      </c>
    </row>
    <row r="3103" spans="1:20">
      <c r="A3103">
        <v>3331158</v>
      </c>
      <c r="B3103" t="s">
        <v>16163</v>
      </c>
      <c r="C3103" t="str">
        <f>"9780773512627"</f>
        <v>9780773512627</v>
      </c>
      <c r="D3103" t="str">
        <f>"9780773565166"</f>
        <v>9780773565166</v>
      </c>
      <c r="E3103" t="s">
        <v>12863</v>
      </c>
      <c r="F3103" t="s">
        <v>12863</v>
      </c>
      <c r="G3103" s="1">
        <v>34736</v>
      </c>
      <c r="J3103" t="s">
        <v>16164</v>
      </c>
      <c r="K3103" t="s">
        <v>1387</v>
      </c>
      <c r="L3103" t="s">
        <v>15385</v>
      </c>
      <c r="M3103">
        <v>335.00819999999999</v>
      </c>
      <c r="N3103" t="s">
        <v>16165</v>
      </c>
      <c r="O3103" t="s">
        <v>26</v>
      </c>
      <c r="P3103">
        <v>142.5</v>
      </c>
      <c r="Q3103">
        <v>118.75</v>
      </c>
      <c r="R3103">
        <v>95</v>
      </c>
      <c r="S3103">
        <v>142.5</v>
      </c>
      <c r="T3103" t="s">
        <v>16166</v>
      </c>
    </row>
    <row r="3104" spans="1:20">
      <c r="A3104">
        <v>3331159</v>
      </c>
      <c r="B3104" t="s">
        <v>16167</v>
      </c>
      <c r="C3104" t="str">
        <f>"9780773513051"</f>
        <v>9780773513051</v>
      </c>
      <c r="D3104" t="str">
        <f>"9780773565401"</f>
        <v>9780773565401</v>
      </c>
      <c r="E3104" t="s">
        <v>12863</v>
      </c>
      <c r="F3104" t="s">
        <v>12863</v>
      </c>
      <c r="G3104" s="1">
        <v>34898</v>
      </c>
      <c r="I3104" t="s">
        <v>12886</v>
      </c>
      <c r="J3104" t="s">
        <v>16168</v>
      </c>
      <c r="K3104" t="s">
        <v>263</v>
      </c>
      <c r="L3104" t="s">
        <v>16169</v>
      </c>
      <c r="M3104">
        <v>305.42097130000002</v>
      </c>
      <c r="N3104" t="s">
        <v>16170</v>
      </c>
      <c r="O3104" t="s">
        <v>26</v>
      </c>
      <c r="P3104">
        <v>142.5</v>
      </c>
      <c r="Q3104">
        <v>118.75</v>
      </c>
      <c r="R3104">
        <v>95</v>
      </c>
      <c r="S3104">
        <v>142.5</v>
      </c>
      <c r="T3104" t="s">
        <v>16171</v>
      </c>
    </row>
    <row r="3105" spans="1:20">
      <c r="A3105">
        <v>3331160</v>
      </c>
      <c r="B3105" t="s">
        <v>16172</v>
      </c>
      <c r="C3105" t="str">
        <f>"9780773513396"</f>
        <v>9780773513396</v>
      </c>
      <c r="D3105" t="str">
        <f>"9780773565593"</f>
        <v>9780773565593</v>
      </c>
      <c r="E3105" t="s">
        <v>12863</v>
      </c>
      <c r="F3105" t="s">
        <v>12863</v>
      </c>
      <c r="G3105" s="1">
        <v>34943</v>
      </c>
      <c r="J3105" t="s">
        <v>16173</v>
      </c>
      <c r="K3105" t="s">
        <v>257</v>
      </c>
      <c r="L3105" t="s">
        <v>16174</v>
      </c>
      <c r="M3105">
        <v>378.71428100000003</v>
      </c>
      <c r="N3105" t="s">
        <v>16175</v>
      </c>
      <c r="O3105" t="s">
        <v>26</v>
      </c>
      <c r="P3105">
        <v>142.5</v>
      </c>
      <c r="Q3105">
        <v>118.75</v>
      </c>
      <c r="R3105">
        <v>95</v>
      </c>
      <c r="S3105">
        <v>142.5</v>
      </c>
      <c r="T3105" t="s">
        <v>16176</v>
      </c>
    </row>
    <row r="3106" spans="1:20">
      <c r="A3106">
        <v>3331161</v>
      </c>
      <c r="B3106" t="s">
        <v>16177</v>
      </c>
      <c r="C3106" t="str">
        <f>"9780773513075"</f>
        <v>9780773513075</v>
      </c>
      <c r="D3106" t="str">
        <f>"9780773565425"</f>
        <v>9780773565425</v>
      </c>
      <c r="E3106" t="s">
        <v>12863</v>
      </c>
      <c r="F3106" t="s">
        <v>12863</v>
      </c>
      <c r="G3106" s="1">
        <v>35004</v>
      </c>
      <c r="J3106" t="s">
        <v>16178</v>
      </c>
      <c r="K3106" t="s">
        <v>278</v>
      </c>
      <c r="L3106" t="s">
        <v>16179</v>
      </c>
      <c r="M3106">
        <v>331.13797099999999</v>
      </c>
      <c r="N3106" t="s">
        <v>16180</v>
      </c>
      <c r="O3106" t="s">
        <v>26</v>
      </c>
      <c r="P3106">
        <v>142.5</v>
      </c>
      <c r="Q3106">
        <v>118.75</v>
      </c>
      <c r="R3106">
        <v>95</v>
      </c>
      <c r="S3106">
        <v>142.5</v>
      </c>
      <c r="T3106" t="s">
        <v>16181</v>
      </c>
    </row>
    <row r="3107" spans="1:20">
      <c r="A3107">
        <v>3331162</v>
      </c>
      <c r="B3107" t="s">
        <v>16182</v>
      </c>
      <c r="C3107" t="str">
        <f>"9780773512696"</f>
        <v>9780773512696</v>
      </c>
      <c r="D3107" t="str">
        <f>"9780773565203"</f>
        <v>9780773565203</v>
      </c>
      <c r="E3107" t="s">
        <v>12863</v>
      </c>
      <c r="F3107" t="s">
        <v>12863</v>
      </c>
      <c r="G3107" s="1">
        <v>34709</v>
      </c>
      <c r="J3107" t="s">
        <v>16183</v>
      </c>
      <c r="K3107" t="s">
        <v>1464</v>
      </c>
      <c r="L3107" t="s">
        <v>16184</v>
      </c>
      <c r="M3107">
        <v>824.8</v>
      </c>
      <c r="N3107" t="s">
        <v>16185</v>
      </c>
      <c r="O3107" t="s">
        <v>26</v>
      </c>
      <c r="P3107">
        <v>142.5</v>
      </c>
      <c r="Q3107">
        <v>118.75</v>
      </c>
      <c r="R3107">
        <v>95</v>
      </c>
      <c r="S3107">
        <v>142.5</v>
      </c>
      <c r="T3107" t="s">
        <v>16186</v>
      </c>
    </row>
    <row r="3108" spans="1:20">
      <c r="A3108">
        <v>3331163</v>
      </c>
      <c r="B3108" t="s">
        <v>16187</v>
      </c>
      <c r="C3108" t="str">
        <f>"9780773517899"</f>
        <v>9780773517899</v>
      </c>
      <c r="D3108" t="str">
        <f>"9780773567467"</f>
        <v>9780773567467</v>
      </c>
      <c r="E3108" t="s">
        <v>12863</v>
      </c>
      <c r="F3108" t="s">
        <v>12863</v>
      </c>
      <c r="G3108" s="1">
        <v>35835</v>
      </c>
      <c r="I3108" t="s">
        <v>12886</v>
      </c>
      <c r="J3108" t="s">
        <v>16188</v>
      </c>
      <c r="K3108" t="s">
        <v>291</v>
      </c>
      <c r="L3108" t="s">
        <v>16189</v>
      </c>
      <c r="M3108">
        <v>971.35410000000002</v>
      </c>
      <c r="N3108" t="s">
        <v>16190</v>
      </c>
      <c r="O3108" t="s">
        <v>26</v>
      </c>
      <c r="P3108">
        <v>142.5</v>
      </c>
      <c r="Q3108">
        <v>118.75</v>
      </c>
      <c r="R3108">
        <v>95</v>
      </c>
      <c r="S3108">
        <v>142.5</v>
      </c>
      <c r="T3108" t="s">
        <v>16191</v>
      </c>
    </row>
    <row r="3109" spans="1:20">
      <c r="A3109">
        <v>3331164</v>
      </c>
      <c r="B3109" t="s">
        <v>16192</v>
      </c>
      <c r="C3109" t="str">
        <f>"9780773516045"</f>
        <v>9780773516045</v>
      </c>
      <c r="D3109" t="str">
        <f>"9780773566552"</f>
        <v>9780773566552</v>
      </c>
      <c r="E3109" t="s">
        <v>12863</v>
      </c>
      <c r="F3109" t="s">
        <v>12863</v>
      </c>
      <c r="G3109" s="1">
        <v>34222</v>
      </c>
      <c r="J3109" t="s">
        <v>15511</v>
      </c>
      <c r="K3109" t="s">
        <v>1464</v>
      </c>
      <c r="L3109" t="s">
        <v>16193</v>
      </c>
      <c r="M3109">
        <v>882.01</v>
      </c>
      <c r="N3109" t="s">
        <v>16194</v>
      </c>
      <c r="O3109" t="s">
        <v>26</v>
      </c>
      <c r="P3109">
        <v>142.5</v>
      </c>
      <c r="Q3109">
        <v>118.75</v>
      </c>
      <c r="R3109">
        <v>95</v>
      </c>
      <c r="S3109">
        <v>142.5</v>
      </c>
      <c r="T3109" t="s">
        <v>16195</v>
      </c>
    </row>
    <row r="3110" spans="1:20">
      <c r="A3110">
        <v>3331165</v>
      </c>
      <c r="B3110" t="s">
        <v>16196</v>
      </c>
      <c r="C3110" t="str">
        <f>"9780773518612"</f>
        <v>9780773518612</v>
      </c>
      <c r="D3110" t="str">
        <f>"9780773567931"</f>
        <v>9780773567931</v>
      </c>
      <c r="E3110" t="s">
        <v>12863</v>
      </c>
      <c r="F3110" t="s">
        <v>12863</v>
      </c>
      <c r="G3110" s="1">
        <v>36434</v>
      </c>
      <c r="J3110" t="s">
        <v>16197</v>
      </c>
      <c r="K3110" t="s">
        <v>291</v>
      </c>
      <c r="L3110" t="s">
        <v>16198</v>
      </c>
      <c r="M3110">
        <v>972.81052999999997</v>
      </c>
      <c r="N3110" t="s">
        <v>16199</v>
      </c>
      <c r="O3110" t="s">
        <v>26</v>
      </c>
      <c r="P3110">
        <v>142.5</v>
      </c>
      <c r="Q3110">
        <v>118.75</v>
      </c>
      <c r="R3110">
        <v>95</v>
      </c>
      <c r="S3110">
        <v>142.5</v>
      </c>
      <c r="T3110" t="s">
        <v>16200</v>
      </c>
    </row>
    <row r="3111" spans="1:20">
      <c r="A3111">
        <v>3331166</v>
      </c>
      <c r="B3111" t="s">
        <v>16201</v>
      </c>
      <c r="C3111" t="str">
        <f>"9780773512726"</f>
        <v>9780773512726</v>
      </c>
      <c r="D3111" t="str">
        <f>"9780773565210"</f>
        <v>9780773565210</v>
      </c>
      <c r="E3111" t="s">
        <v>12863</v>
      </c>
      <c r="F3111" t="s">
        <v>12863</v>
      </c>
      <c r="G3111" s="1">
        <v>34820</v>
      </c>
      <c r="J3111" t="s">
        <v>16202</v>
      </c>
      <c r="K3111" t="s">
        <v>416</v>
      </c>
      <c r="L3111" t="s">
        <v>16203</v>
      </c>
      <c r="M3111">
        <v>338.47623309710002</v>
      </c>
      <c r="N3111" t="s">
        <v>16204</v>
      </c>
      <c r="O3111" t="s">
        <v>26</v>
      </c>
      <c r="P3111">
        <v>142.5</v>
      </c>
      <c r="Q3111">
        <v>118.75</v>
      </c>
      <c r="R3111">
        <v>95</v>
      </c>
      <c r="S3111">
        <v>142.5</v>
      </c>
      <c r="T3111" t="s">
        <v>16205</v>
      </c>
    </row>
    <row r="3112" spans="1:20">
      <c r="A3112">
        <v>3331167</v>
      </c>
      <c r="B3112" t="s">
        <v>16206</v>
      </c>
      <c r="C3112" t="str">
        <f>"9780773516847"</f>
        <v>9780773516847</v>
      </c>
      <c r="D3112" t="str">
        <f>"9780773567009"</f>
        <v>9780773567009</v>
      </c>
      <c r="E3112" t="s">
        <v>12863</v>
      </c>
      <c r="F3112" t="s">
        <v>12863</v>
      </c>
      <c r="G3112" s="1">
        <v>35598</v>
      </c>
      <c r="J3112" t="s">
        <v>15024</v>
      </c>
      <c r="K3112" t="s">
        <v>291</v>
      </c>
      <c r="L3112" t="s">
        <v>16207</v>
      </c>
      <c r="M3112">
        <v>971.06409199999996</v>
      </c>
      <c r="N3112" t="s">
        <v>16208</v>
      </c>
      <c r="O3112" t="s">
        <v>26</v>
      </c>
      <c r="P3112">
        <v>142.5</v>
      </c>
      <c r="Q3112">
        <v>118.75</v>
      </c>
      <c r="R3112">
        <v>95</v>
      </c>
      <c r="S3112">
        <v>142.5</v>
      </c>
      <c r="T3112" t="s">
        <v>16209</v>
      </c>
    </row>
    <row r="3113" spans="1:20">
      <c r="A3113">
        <v>3331168</v>
      </c>
      <c r="B3113" t="s">
        <v>16210</v>
      </c>
      <c r="C3113" t="str">
        <f>"9780773515000"</f>
        <v>9780773515000</v>
      </c>
      <c r="D3113" t="str">
        <f>"9780773566279"</f>
        <v>9780773566279</v>
      </c>
      <c r="E3113" t="s">
        <v>12863</v>
      </c>
      <c r="F3113" t="s">
        <v>12863</v>
      </c>
      <c r="G3113" s="1">
        <v>35361</v>
      </c>
      <c r="J3113" t="s">
        <v>16211</v>
      </c>
      <c r="K3113" t="s">
        <v>1464</v>
      </c>
      <c r="L3113" t="s">
        <v>16212</v>
      </c>
      <c r="M3113">
        <v>882.01</v>
      </c>
      <c r="N3113" t="s">
        <v>16213</v>
      </c>
      <c r="O3113" t="s">
        <v>26</v>
      </c>
      <c r="P3113">
        <v>142.5</v>
      </c>
      <c r="Q3113">
        <v>118.75</v>
      </c>
      <c r="R3113">
        <v>95</v>
      </c>
      <c r="S3113">
        <v>142.5</v>
      </c>
      <c r="T3113" t="s">
        <v>16214</v>
      </c>
    </row>
    <row r="3114" spans="1:20">
      <c r="A3114">
        <v>3331169</v>
      </c>
      <c r="B3114" t="s">
        <v>16215</v>
      </c>
      <c r="C3114" t="str">
        <f>"9780773518506"</f>
        <v>9780773518506</v>
      </c>
      <c r="D3114" t="str">
        <f>"9780773567856"</f>
        <v>9780773567856</v>
      </c>
      <c r="E3114" t="s">
        <v>12863</v>
      </c>
      <c r="F3114" t="s">
        <v>12863</v>
      </c>
      <c r="G3114" s="1">
        <v>36300</v>
      </c>
      <c r="I3114" t="s">
        <v>13282</v>
      </c>
      <c r="J3114" t="s">
        <v>16216</v>
      </c>
      <c r="K3114" t="s">
        <v>16038</v>
      </c>
      <c r="L3114" t="s">
        <v>16217</v>
      </c>
      <c r="M3114">
        <v>355.03109182100002</v>
      </c>
      <c r="N3114" t="s">
        <v>16218</v>
      </c>
      <c r="O3114" t="s">
        <v>26</v>
      </c>
      <c r="P3114">
        <v>142.5</v>
      </c>
      <c r="Q3114">
        <v>118.75</v>
      </c>
      <c r="R3114">
        <v>95</v>
      </c>
      <c r="S3114">
        <v>142.5</v>
      </c>
      <c r="T3114" t="s">
        <v>16219</v>
      </c>
    </row>
    <row r="3115" spans="1:20">
      <c r="A3115">
        <v>3331170</v>
      </c>
      <c r="B3115" t="s">
        <v>16220</v>
      </c>
      <c r="C3115" t="str">
        <f>"9780773512405"</f>
        <v>9780773512405</v>
      </c>
      <c r="D3115" t="str">
        <f>"9780773565098"</f>
        <v>9780773565098</v>
      </c>
      <c r="E3115" t="s">
        <v>12863</v>
      </c>
      <c r="F3115" t="s">
        <v>12863</v>
      </c>
      <c r="G3115" s="1">
        <v>34709</v>
      </c>
      <c r="J3115" t="s">
        <v>16221</v>
      </c>
      <c r="K3115" t="s">
        <v>110</v>
      </c>
      <c r="L3115" t="s">
        <v>16222</v>
      </c>
      <c r="M3115">
        <v>581.971</v>
      </c>
      <c r="N3115" t="s">
        <v>16223</v>
      </c>
      <c r="O3115" t="s">
        <v>26</v>
      </c>
      <c r="P3115">
        <v>142.5</v>
      </c>
      <c r="Q3115">
        <v>118.75</v>
      </c>
      <c r="R3115">
        <v>95</v>
      </c>
      <c r="S3115">
        <v>142.5</v>
      </c>
      <c r="T3115" t="s">
        <v>16224</v>
      </c>
    </row>
    <row r="3116" spans="1:20">
      <c r="A3116">
        <v>3331171</v>
      </c>
      <c r="B3116" t="s">
        <v>16225</v>
      </c>
      <c r="C3116" t="str">
        <f>"9780773512658"</f>
        <v>9780773512658</v>
      </c>
      <c r="D3116" t="str">
        <f>"9780773565180"</f>
        <v>9780773565180</v>
      </c>
      <c r="E3116" t="s">
        <v>12863</v>
      </c>
      <c r="F3116" t="s">
        <v>12863</v>
      </c>
      <c r="G3116" s="1">
        <v>34759</v>
      </c>
      <c r="I3116" t="s">
        <v>12942</v>
      </c>
      <c r="J3116" t="s">
        <v>16226</v>
      </c>
      <c r="K3116" t="s">
        <v>291</v>
      </c>
      <c r="L3116" t="s">
        <v>16227</v>
      </c>
      <c r="M3116">
        <v>971.10088294599996</v>
      </c>
      <c r="N3116" t="s">
        <v>16228</v>
      </c>
      <c r="O3116" t="s">
        <v>26</v>
      </c>
      <c r="P3116">
        <v>142.5</v>
      </c>
      <c r="Q3116">
        <v>118.75</v>
      </c>
      <c r="R3116">
        <v>95</v>
      </c>
      <c r="S3116">
        <v>142.5</v>
      </c>
      <c r="T3116" t="s">
        <v>16229</v>
      </c>
    </row>
    <row r="3117" spans="1:20">
      <c r="A3117">
        <v>3331172</v>
      </c>
      <c r="B3117" t="s">
        <v>16230</v>
      </c>
      <c r="C3117" t="str">
        <f>"9780773520127"</f>
        <v>9780773520127</v>
      </c>
      <c r="D3117" t="str">
        <f>"9780773568204"</f>
        <v>9780773568204</v>
      </c>
      <c r="E3117" t="s">
        <v>12863</v>
      </c>
      <c r="F3117" t="s">
        <v>12863</v>
      </c>
      <c r="G3117" s="1">
        <v>36634</v>
      </c>
      <c r="J3117" t="s">
        <v>16231</v>
      </c>
      <c r="K3117" t="s">
        <v>16232</v>
      </c>
      <c r="L3117" t="s">
        <v>16233</v>
      </c>
      <c r="M3117">
        <v>507.20710000000003</v>
      </c>
      <c r="N3117" t="s">
        <v>16234</v>
      </c>
      <c r="O3117" t="s">
        <v>26</v>
      </c>
      <c r="P3117">
        <v>142.5</v>
      </c>
      <c r="Q3117">
        <v>118.75</v>
      </c>
      <c r="R3117">
        <v>95</v>
      </c>
      <c r="S3117">
        <v>142.5</v>
      </c>
      <c r="T3117" t="s">
        <v>16235</v>
      </c>
    </row>
    <row r="3118" spans="1:20">
      <c r="A3118">
        <v>3331173</v>
      </c>
      <c r="B3118" t="s">
        <v>16236</v>
      </c>
      <c r="C3118" t="str">
        <f>"9780773520516"</f>
        <v>9780773520516</v>
      </c>
      <c r="D3118" t="str">
        <f>"9780773568433"</f>
        <v>9780773568433</v>
      </c>
      <c r="E3118" t="s">
        <v>12863</v>
      </c>
      <c r="F3118" t="s">
        <v>12863</v>
      </c>
      <c r="G3118" s="1">
        <v>36640</v>
      </c>
      <c r="J3118" t="s">
        <v>15511</v>
      </c>
      <c r="K3118" t="s">
        <v>1464</v>
      </c>
      <c r="L3118" t="s">
        <v>16237</v>
      </c>
      <c r="M3118">
        <v>882.01</v>
      </c>
      <c r="N3118" t="s">
        <v>16238</v>
      </c>
      <c r="O3118" t="s">
        <v>26</v>
      </c>
      <c r="P3118">
        <v>142.5</v>
      </c>
      <c r="Q3118">
        <v>118.75</v>
      </c>
      <c r="R3118">
        <v>95</v>
      </c>
      <c r="S3118">
        <v>142.5</v>
      </c>
      <c r="T3118" t="s">
        <v>16239</v>
      </c>
    </row>
    <row r="3119" spans="1:20">
      <c r="A3119">
        <v>3331174</v>
      </c>
      <c r="B3119" t="s">
        <v>16240</v>
      </c>
      <c r="C3119" t="str">
        <f>"9780773514164"</f>
        <v>9780773514164</v>
      </c>
      <c r="D3119" t="str">
        <f>"9780773566057"</f>
        <v>9780773566057</v>
      </c>
      <c r="E3119" t="s">
        <v>12863</v>
      </c>
      <c r="F3119" t="s">
        <v>12863</v>
      </c>
      <c r="G3119" s="1">
        <v>35278</v>
      </c>
      <c r="J3119" t="s">
        <v>16241</v>
      </c>
      <c r="K3119" t="s">
        <v>1892</v>
      </c>
      <c r="L3119" t="s">
        <v>16242</v>
      </c>
      <c r="M3119">
        <v>234.13</v>
      </c>
      <c r="N3119" t="s">
        <v>16243</v>
      </c>
      <c r="O3119" t="s">
        <v>26</v>
      </c>
      <c r="P3119">
        <v>142.5</v>
      </c>
      <c r="Q3119">
        <v>118.75</v>
      </c>
      <c r="R3119">
        <v>95</v>
      </c>
      <c r="S3119">
        <v>142.5</v>
      </c>
      <c r="T3119" t="s">
        <v>16244</v>
      </c>
    </row>
    <row r="3120" spans="1:20">
      <c r="A3120">
        <v>3331175</v>
      </c>
      <c r="B3120" t="s">
        <v>16245</v>
      </c>
      <c r="C3120" t="str">
        <f>"9780773516526"</f>
        <v>9780773516526</v>
      </c>
      <c r="D3120" t="str">
        <f>"9780773566767"</f>
        <v>9780773566767</v>
      </c>
      <c r="E3120" t="s">
        <v>12863</v>
      </c>
      <c r="F3120" t="s">
        <v>12863</v>
      </c>
      <c r="G3120" s="1">
        <v>35578</v>
      </c>
      <c r="J3120" t="s">
        <v>10297</v>
      </c>
      <c r="K3120" t="s">
        <v>291</v>
      </c>
      <c r="L3120" t="s">
        <v>14144</v>
      </c>
      <c r="M3120">
        <v>971.06479999999999</v>
      </c>
      <c r="N3120" t="s">
        <v>16246</v>
      </c>
      <c r="O3120" t="s">
        <v>26</v>
      </c>
      <c r="P3120">
        <v>142.5</v>
      </c>
      <c r="Q3120">
        <v>118.75</v>
      </c>
      <c r="R3120">
        <v>95</v>
      </c>
      <c r="S3120">
        <v>142.5</v>
      </c>
      <c r="T3120" t="s">
        <v>16247</v>
      </c>
    </row>
    <row r="3121" spans="1:20">
      <c r="A3121">
        <v>3331176</v>
      </c>
      <c r="B3121" t="s">
        <v>16248</v>
      </c>
      <c r="C3121" t="str">
        <f>"9780773516991"</f>
        <v>9780773516991</v>
      </c>
      <c r="D3121" t="str">
        <f>"9780773567047"</f>
        <v>9780773567047</v>
      </c>
      <c r="E3121" t="s">
        <v>12863</v>
      </c>
      <c r="F3121" t="s">
        <v>12863</v>
      </c>
      <c r="G3121" s="1">
        <v>35935</v>
      </c>
      <c r="J3121" t="s">
        <v>16249</v>
      </c>
      <c r="K3121" t="s">
        <v>263</v>
      </c>
      <c r="L3121" t="s">
        <v>16250</v>
      </c>
      <c r="M3121">
        <v>361.60971000000001</v>
      </c>
      <c r="N3121" t="s">
        <v>16251</v>
      </c>
      <c r="O3121" t="s">
        <v>26</v>
      </c>
      <c r="P3121">
        <v>142.5</v>
      </c>
      <c r="Q3121">
        <v>118.75</v>
      </c>
      <c r="R3121">
        <v>95</v>
      </c>
      <c r="S3121">
        <v>142.5</v>
      </c>
      <c r="T3121" t="s">
        <v>16252</v>
      </c>
    </row>
    <row r="3122" spans="1:20">
      <c r="A3122">
        <v>3331177</v>
      </c>
      <c r="B3122" t="s">
        <v>16253</v>
      </c>
      <c r="C3122" t="str">
        <f>"9780773517936"</f>
        <v>9780773517936</v>
      </c>
      <c r="D3122" t="str">
        <f>"9780773567498"</f>
        <v>9780773567498</v>
      </c>
      <c r="E3122" t="s">
        <v>12863</v>
      </c>
      <c r="F3122" t="s">
        <v>12863</v>
      </c>
      <c r="G3122" s="1">
        <v>36136</v>
      </c>
      <c r="J3122" t="s">
        <v>16254</v>
      </c>
      <c r="K3122" t="s">
        <v>2818</v>
      </c>
      <c r="L3122" t="s">
        <v>16255</v>
      </c>
      <c r="M3122">
        <v>362.17209713</v>
      </c>
      <c r="N3122" t="s">
        <v>16256</v>
      </c>
      <c r="O3122" t="s">
        <v>26</v>
      </c>
      <c r="P3122">
        <v>142.5</v>
      </c>
      <c r="Q3122">
        <v>118.75</v>
      </c>
      <c r="R3122">
        <v>95</v>
      </c>
      <c r="S3122">
        <v>142.5</v>
      </c>
      <c r="T3122" t="s">
        <v>16257</v>
      </c>
    </row>
    <row r="3123" spans="1:20">
      <c r="A3123">
        <v>3331178</v>
      </c>
      <c r="B3123" t="s">
        <v>16258</v>
      </c>
      <c r="C3123" t="str">
        <f>"9780773512597"</f>
        <v>9780773512597</v>
      </c>
      <c r="D3123" t="str">
        <f>"9780773565135"</f>
        <v>9780773565135</v>
      </c>
      <c r="E3123" t="s">
        <v>12863</v>
      </c>
      <c r="F3123" t="s">
        <v>12863</v>
      </c>
      <c r="G3123" s="1">
        <v>34599</v>
      </c>
      <c r="J3123" t="s">
        <v>16259</v>
      </c>
      <c r="K3123" t="s">
        <v>291</v>
      </c>
      <c r="L3123" t="s">
        <v>16260</v>
      </c>
      <c r="M3123">
        <v>940.53710000000001</v>
      </c>
      <c r="N3123" t="s">
        <v>16261</v>
      </c>
      <c r="O3123" t="s">
        <v>26</v>
      </c>
      <c r="P3123">
        <v>127.5</v>
      </c>
      <c r="Q3123">
        <v>106.25</v>
      </c>
      <c r="R3123">
        <v>85</v>
      </c>
      <c r="S3123">
        <v>127.5</v>
      </c>
      <c r="T3123" t="s">
        <v>16262</v>
      </c>
    </row>
    <row r="3124" spans="1:20">
      <c r="A3124">
        <v>3331179</v>
      </c>
      <c r="B3124" t="s">
        <v>16263</v>
      </c>
      <c r="C3124" t="str">
        <f>"9780773515062"</f>
        <v>9780773515062</v>
      </c>
      <c r="D3124" t="str">
        <f>"9780773566309"</f>
        <v>9780773566309</v>
      </c>
      <c r="E3124" t="s">
        <v>12863</v>
      </c>
      <c r="F3124" t="s">
        <v>12863</v>
      </c>
      <c r="G3124" s="1">
        <v>33606</v>
      </c>
      <c r="J3124" t="s">
        <v>16264</v>
      </c>
      <c r="K3124" t="s">
        <v>4347</v>
      </c>
      <c r="L3124" t="s">
        <v>16265</v>
      </c>
      <c r="M3124">
        <v>359.00970999999998</v>
      </c>
      <c r="N3124" t="s">
        <v>16266</v>
      </c>
      <c r="O3124" t="s">
        <v>26</v>
      </c>
      <c r="P3124">
        <v>142.5</v>
      </c>
      <c r="Q3124">
        <v>118.75</v>
      </c>
      <c r="R3124">
        <v>95</v>
      </c>
      <c r="S3124">
        <v>142.5</v>
      </c>
      <c r="T3124" t="s">
        <v>16267</v>
      </c>
    </row>
    <row r="3125" spans="1:20">
      <c r="A3125">
        <v>3331180</v>
      </c>
      <c r="B3125" t="s">
        <v>16268</v>
      </c>
      <c r="C3125" t="str">
        <f>"9780773518322"</f>
        <v>9780773518322</v>
      </c>
      <c r="D3125" t="str">
        <f>"9780773567702"</f>
        <v>9780773567702</v>
      </c>
      <c r="E3125" t="s">
        <v>12863</v>
      </c>
      <c r="F3125" t="s">
        <v>12863</v>
      </c>
      <c r="G3125" s="1">
        <v>36249</v>
      </c>
      <c r="J3125" t="s">
        <v>16269</v>
      </c>
      <c r="K3125" t="s">
        <v>291</v>
      </c>
      <c r="L3125" t="s">
        <v>16270</v>
      </c>
      <c r="M3125">
        <v>973.52</v>
      </c>
      <c r="N3125" t="s">
        <v>16271</v>
      </c>
      <c r="O3125" t="s">
        <v>26</v>
      </c>
      <c r="P3125">
        <v>142.5</v>
      </c>
      <c r="Q3125">
        <v>118.75</v>
      </c>
      <c r="R3125">
        <v>95</v>
      </c>
      <c r="S3125">
        <v>142.5</v>
      </c>
      <c r="T3125" t="s">
        <v>16272</v>
      </c>
    </row>
    <row r="3126" spans="1:20">
      <c r="A3126">
        <v>3331181</v>
      </c>
      <c r="B3126" t="s">
        <v>16273</v>
      </c>
      <c r="C3126" t="str">
        <f>"9780773512832"</f>
        <v>9780773512832</v>
      </c>
      <c r="D3126" t="str">
        <f>"9780773565272"</f>
        <v>9780773565272</v>
      </c>
      <c r="E3126" t="s">
        <v>12863</v>
      </c>
      <c r="F3126" t="s">
        <v>12863</v>
      </c>
      <c r="G3126" s="1">
        <v>34872</v>
      </c>
      <c r="I3126" t="s">
        <v>14112</v>
      </c>
      <c r="J3126" t="s">
        <v>16274</v>
      </c>
      <c r="K3126" t="s">
        <v>467</v>
      </c>
      <c r="L3126" t="s">
        <v>16275</v>
      </c>
      <c r="M3126">
        <v>321.80430971200002</v>
      </c>
      <c r="N3126" t="s">
        <v>16276</v>
      </c>
      <c r="O3126" t="s">
        <v>26</v>
      </c>
      <c r="P3126">
        <v>142.5</v>
      </c>
      <c r="Q3126">
        <v>118.75</v>
      </c>
      <c r="R3126">
        <v>95</v>
      </c>
      <c r="S3126">
        <v>142.5</v>
      </c>
      <c r="T3126" t="s">
        <v>16277</v>
      </c>
    </row>
    <row r="3127" spans="1:20">
      <c r="A3127">
        <v>3331182</v>
      </c>
      <c r="B3127" t="s">
        <v>16278</v>
      </c>
      <c r="C3127" t="str">
        <f>"9780773512214"</f>
        <v>9780773512214</v>
      </c>
      <c r="D3127" t="str">
        <f>"9780773564909"</f>
        <v>9780773564909</v>
      </c>
      <c r="E3127" t="s">
        <v>12863</v>
      </c>
      <c r="F3127" t="s">
        <v>12863</v>
      </c>
      <c r="G3127" s="1">
        <v>34544</v>
      </c>
      <c r="J3127" t="s">
        <v>15317</v>
      </c>
      <c r="K3127" t="s">
        <v>1892</v>
      </c>
      <c r="L3127" t="s">
        <v>13574</v>
      </c>
      <c r="M3127">
        <v>277.10903300000001</v>
      </c>
      <c r="N3127" t="s">
        <v>16279</v>
      </c>
      <c r="O3127" t="s">
        <v>26</v>
      </c>
      <c r="P3127">
        <v>142.5</v>
      </c>
      <c r="Q3127">
        <v>118.75</v>
      </c>
      <c r="R3127">
        <v>95</v>
      </c>
      <c r="S3127">
        <v>142.5</v>
      </c>
      <c r="T3127" t="s">
        <v>16280</v>
      </c>
    </row>
    <row r="3128" spans="1:20">
      <c r="A3128">
        <v>3331183</v>
      </c>
      <c r="B3128" t="s">
        <v>16281</v>
      </c>
      <c r="C3128" t="str">
        <f>"9780773514058"</f>
        <v>9780773514058</v>
      </c>
      <c r="D3128" t="str">
        <f>"9780773566002"</f>
        <v>9780773566002</v>
      </c>
      <c r="E3128" t="s">
        <v>12863</v>
      </c>
      <c r="F3128" t="s">
        <v>12863</v>
      </c>
      <c r="G3128" s="1">
        <v>35152</v>
      </c>
      <c r="J3128" t="s">
        <v>16282</v>
      </c>
      <c r="K3128" t="s">
        <v>467</v>
      </c>
      <c r="L3128" t="s">
        <v>14114</v>
      </c>
      <c r="M3128">
        <v>320.971</v>
      </c>
      <c r="N3128" t="s">
        <v>16283</v>
      </c>
      <c r="O3128" t="s">
        <v>26</v>
      </c>
      <c r="P3128">
        <v>142.5</v>
      </c>
      <c r="Q3128">
        <v>118.75</v>
      </c>
      <c r="R3128">
        <v>95</v>
      </c>
      <c r="S3128">
        <v>142.5</v>
      </c>
      <c r="T3128" t="s">
        <v>16284</v>
      </c>
    </row>
    <row r="3129" spans="1:20">
      <c r="A3129">
        <v>3331184</v>
      </c>
      <c r="B3129" t="s">
        <v>16285</v>
      </c>
      <c r="C3129" t="str">
        <f>"9780773517448"</f>
        <v>9780773517448</v>
      </c>
      <c r="D3129" t="str">
        <f>"9780773567290"</f>
        <v>9780773567290</v>
      </c>
      <c r="E3129" t="s">
        <v>12863</v>
      </c>
      <c r="F3129" t="s">
        <v>12863</v>
      </c>
      <c r="G3129" s="1">
        <v>35962</v>
      </c>
      <c r="J3129" t="s">
        <v>16286</v>
      </c>
      <c r="K3129" t="s">
        <v>416</v>
      </c>
      <c r="L3129" t="s">
        <v>16287</v>
      </c>
      <c r="M3129" t="s">
        <v>16288</v>
      </c>
      <c r="N3129" t="s">
        <v>16289</v>
      </c>
      <c r="O3129" t="s">
        <v>26</v>
      </c>
      <c r="P3129">
        <v>142.5</v>
      </c>
      <c r="Q3129">
        <v>118.75</v>
      </c>
      <c r="R3129">
        <v>95</v>
      </c>
      <c r="S3129">
        <v>142.5</v>
      </c>
      <c r="T3129" t="s">
        <v>16290</v>
      </c>
    </row>
    <row r="3130" spans="1:20">
      <c r="A3130">
        <v>3331185</v>
      </c>
      <c r="B3130" t="s">
        <v>16291</v>
      </c>
      <c r="C3130" t="str">
        <f>"9780773516748"</f>
        <v>9780773516748</v>
      </c>
      <c r="D3130" t="str">
        <f>"9780773566927"</f>
        <v>9780773566927</v>
      </c>
      <c r="E3130" t="s">
        <v>12863</v>
      </c>
      <c r="F3130" t="s">
        <v>12863</v>
      </c>
      <c r="G3130" s="1">
        <v>35685</v>
      </c>
      <c r="I3130" t="s">
        <v>12871</v>
      </c>
      <c r="J3130" t="s">
        <v>16292</v>
      </c>
      <c r="K3130" t="s">
        <v>2963</v>
      </c>
      <c r="L3130" t="s">
        <v>16293</v>
      </c>
      <c r="M3130">
        <v>917.19500000000005</v>
      </c>
      <c r="N3130" t="s">
        <v>16294</v>
      </c>
      <c r="O3130" t="s">
        <v>26</v>
      </c>
      <c r="P3130">
        <v>142.5</v>
      </c>
      <c r="Q3130">
        <v>118.75</v>
      </c>
      <c r="R3130">
        <v>95</v>
      </c>
      <c r="S3130">
        <v>142.5</v>
      </c>
      <c r="T3130" t="s">
        <v>16295</v>
      </c>
    </row>
    <row r="3131" spans="1:20">
      <c r="A3131">
        <v>3331186</v>
      </c>
      <c r="B3131" t="s">
        <v>16296</v>
      </c>
      <c r="C3131" t="str">
        <f>"9780773513631"</f>
        <v>9780773513631</v>
      </c>
      <c r="D3131" t="str">
        <f>"9780773565715"</f>
        <v>9780773565715</v>
      </c>
      <c r="E3131" t="s">
        <v>12863</v>
      </c>
      <c r="F3131" t="s">
        <v>12863</v>
      </c>
      <c r="G3131" s="1">
        <v>35135</v>
      </c>
      <c r="J3131" t="s">
        <v>16297</v>
      </c>
      <c r="K3131" t="s">
        <v>574</v>
      </c>
      <c r="L3131" t="s">
        <v>16298</v>
      </c>
      <c r="M3131">
        <v>338.1</v>
      </c>
      <c r="N3131" t="s">
        <v>16299</v>
      </c>
      <c r="O3131" t="s">
        <v>26</v>
      </c>
      <c r="P3131">
        <v>120</v>
      </c>
      <c r="Q3131">
        <v>100</v>
      </c>
      <c r="R3131">
        <v>80</v>
      </c>
      <c r="S3131">
        <v>120</v>
      </c>
      <c r="T3131" t="s">
        <v>16300</v>
      </c>
    </row>
    <row r="3132" spans="1:20">
      <c r="A3132">
        <v>3331187</v>
      </c>
      <c r="B3132" t="s">
        <v>16301</v>
      </c>
      <c r="C3132" t="str">
        <f>"9780773513679"</f>
        <v>9780773513679</v>
      </c>
      <c r="D3132" t="str">
        <f>"9780773565753"</f>
        <v>9780773565753</v>
      </c>
      <c r="E3132" t="s">
        <v>12863</v>
      </c>
      <c r="F3132" t="s">
        <v>12863</v>
      </c>
      <c r="G3132" s="1">
        <v>35171</v>
      </c>
      <c r="I3132" t="s">
        <v>12886</v>
      </c>
      <c r="J3132" t="s">
        <v>16302</v>
      </c>
      <c r="K3132" t="s">
        <v>1892</v>
      </c>
      <c r="L3132" t="s">
        <v>16303</v>
      </c>
      <c r="M3132">
        <v>287.09710000000001</v>
      </c>
      <c r="N3132" t="s">
        <v>16304</v>
      </c>
      <c r="O3132" t="s">
        <v>26</v>
      </c>
      <c r="P3132">
        <v>127.5</v>
      </c>
      <c r="Q3132">
        <v>106.25</v>
      </c>
      <c r="R3132">
        <v>85</v>
      </c>
      <c r="S3132">
        <v>127.5</v>
      </c>
      <c r="T3132" t="s">
        <v>16305</v>
      </c>
    </row>
    <row r="3133" spans="1:20">
      <c r="A3133">
        <v>3331188</v>
      </c>
      <c r="B3133" t="s">
        <v>16306</v>
      </c>
      <c r="C3133" t="str">
        <f>"9780773513082"</f>
        <v>9780773513082</v>
      </c>
      <c r="D3133" t="str">
        <f>"9780773565432"</f>
        <v>9780773565432</v>
      </c>
      <c r="E3133" t="s">
        <v>12863</v>
      </c>
      <c r="F3133" t="s">
        <v>12863</v>
      </c>
      <c r="G3133" s="1">
        <v>34932</v>
      </c>
      <c r="J3133" t="s">
        <v>16307</v>
      </c>
      <c r="K3133" t="s">
        <v>1464</v>
      </c>
      <c r="L3133" t="s">
        <v>16308</v>
      </c>
      <c r="M3133">
        <v>813.00900000000001</v>
      </c>
      <c r="N3133" t="s">
        <v>16309</v>
      </c>
      <c r="O3133" t="s">
        <v>26</v>
      </c>
      <c r="P3133">
        <v>142.5</v>
      </c>
      <c r="Q3133">
        <v>118.75</v>
      </c>
      <c r="R3133">
        <v>95</v>
      </c>
      <c r="S3133">
        <v>142.5</v>
      </c>
      <c r="T3133" t="s">
        <v>16310</v>
      </c>
    </row>
    <row r="3134" spans="1:20">
      <c r="A3134">
        <v>3331189</v>
      </c>
      <c r="B3134" t="s">
        <v>16311</v>
      </c>
      <c r="C3134" t="str">
        <f>"9780773515048"</f>
        <v>9780773515048</v>
      </c>
      <c r="D3134" t="str">
        <f>"9780773566293"</f>
        <v>9780773566293</v>
      </c>
      <c r="E3134" t="s">
        <v>12863</v>
      </c>
      <c r="F3134" t="s">
        <v>12863</v>
      </c>
      <c r="G3134" s="1">
        <v>35354</v>
      </c>
      <c r="J3134" t="s">
        <v>16312</v>
      </c>
      <c r="K3134" t="s">
        <v>6444</v>
      </c>
      <c r="L3134" t="s">
        <v>13482</v>
      </c>
      <c r="M3134">
        <v>971.06470000000002</v>
      </c>
      <c r="N3134" t="s">
        <v>16313</v>
      </c>
      <c r="O3134" t="s">
        <v>26</v>
      </c>
      <c r="P3134">
        <v>142.5</v>
      </c>
      <c r="Q3134">
        <v>118.75</v>
      </c>
      <c r="R3134">
        <v>95</v>
      </c>
      <c r="S3134">
        <v>142.5</v>
      </c>
      <c r="T3134" t="s">
        <v>16314</v>
      </c>
    </row>
    <row r="3135" spans="1:20">
      <c r="A3135">
        <v>3331190</v>
      </c>
      <c r="B3135" t="s">
        <v>16315</v>
      </c>
      <c r="C3135" t="str">
        <f>"9780773516342"</f>
        <v>9780773516342</v>
      </c>
      <c r="D3135" t="str">
        <f>"9780773566699"</f>
        <v>9780773566699</v>
      </c>
      <c r="E3135" t="s">
        <v>12863</v>
      </c>
      <c r="F3135" t="s">
        <v>12863</v>
      </c>
      <c r="G3135" s="1">
        <v>35641</v>
      </c>
      <c r="J3135" t="s">
        <v>16316</v>
      </c>
      <c r="K3135" t="s">
        <v>467</v>
      </c>
      <c r="L3135" t="s">
        <v>16317</v>
      </c>
      <c r="M3135">
        <v>324.27130699999998</v>
      </c>
      <c r="N3135" t="s">
        <v>16318</v>
      </c>
      <c r="O3135" t="s">
        <v>26</v>
      </c>
      <c r="P3135">
        <v>142.5</v>
      </c>
      <c r="Q3135">
        <v>118.75</v>
      </c>
      <c r="R3135">
        <v>95</v>
      </c>
      <c r="S3135">
        <v>142.5</v>
      </c>
      <c r="T3135" t="s">
        <v>16319</v>
      </c>
    </row>
    <row r="3136" spans="1:20">
      <c r="A3136">
        <v>3331191</v>
      </c>
      <c r="B3136" t="s">
        <v>16320</v>
      </c>
      <c r="C3136" t="str">
        <f>"9780773512207"</f>
        <v>9780773512207</v>
      </c>
      <c r="D3136" t="str">
        <f>"9780773564893"</f>
        <v>9780773564893</v>
      </c>
      <c r="E3136" t="s">
        <v>12863</v>
      </c>
      <c r="F3136" t="s">
        <v>12863</v>
      </c>
      <c r="G3136" s="1">
        <v>34702</v>
      </c>
      <c r="J3136" t="s">
        <v>16321</v>
      </c>
      <c r="K3136" t="s">
        <v>16322</v>
      </c>
      <c r="L3136" t="s">
        <v>16323</v>
      </c>
      <c r="M3136">
        <v>808.00882000000001</v>
      </c>
      <c r="N3136" t="s">
        <v>16324</v>
      </c>
      <c r="O3136" t="s">
        <v>26</v>
      </c>
      <c r="P3136">
        <v>142.5</v>
      </c>
      <c r="Q3136">
        <v>118.75</v>
      </c>
      <c r="R3136">
        <v>95</v>
      </c>
      <c r="S3136">
        <v>142.5</v>
      </c>
      <c r="T3136" t="s">
        <v>16325</v>
      </c>
    </row>
    <row r="3137" spans="1:20">
      <c r="A3137">
        <v>3331192</v>
      </c>
      <c r="B3137" t="s">
        <v>16326</v>
      </c>
      <c r="C3137" t="str">
        <f>"9780773517998"</f>
        <v>9780773517998</v>
      </c>
      <c r="D3137" t="str">
        <f>"9780773567528"</f>
        <v>9780773567528</v>
      </c>
      <c r="E3137" t="s">
        <v>12863</v>
      </c>
      <c r="F3137" t="s">
        <v>12863</v>
      </c>
      <c r="G3137" s="1">
        <v>36188</v>
      </c>
      <c r="I3137" t="s">
        <v>12886</v>
      </c>
      <c r="J3137" t="s">
        <v>16327</v>
      </c>
      <c r="K3137" t="s">
        <v>1892</v>
      </c>
      <c r="L3137" t="s">
        <v>16328</v>
      </c>
      <c r="M3137">
        <v>266.02341000000001</v>
      </c>
      <c r="N3137" t="s">
        <v>16329</v>
      </c>
      <c r="O3137" t="s">
        <v>26</v>
      </c>
      <c r="P3137">
        <v>142.5</v>
      </c>
      <c r="Q3137">
        <v>118.75</v>
      </c>
      <c r="R3137">
        <v>95</v>
      </c>
      <c r="S3137">
        <v>142.5</v>
      </c>
      <c r="T3137" t="s">
        <v>16330</v>
      </c>
    </row>
    <row r="3138" spans="1:20">
      <c r="A3138">
        <v>3331193</v>
      </c>
      <c r="B3138" t="s">
        <v>16331</v>
      </c>
      <c r="C3138" t="str">
        <f>"9780773513723"</f>
        <v>9780773513723</v>
      </c>
      <c r="D3138" t="str">
        <f>"9780773565791"</f>
        <v>9780773565791</v>
      </c>
      <c r="E3138" t="s">
        <v>12863</v>
      </c>
      <c r="F3138" t="s">
        <v>12863</v>
      </c>
      <c r="G3138" s="1">
        <v>35011</v>
      </c>
      <c r="J3138" t="s">
        <v>16332</v>
      </c>
      <c r="K3138" t="s">
        <v>2498</v>
      </c>
      <c r="L3138" t="s">
        <v>16333</v>
      </c>
      <c r="M3138">
        <v>179</v>
      </c>
      <c r="N3138" t="s">
        <v>16334</v>
      </c>
      <c r="O3138" t="s">
        <v>26</v>
      </c>
      <c r="P3138">
        <v>142.5</v>
      </c>
      <c r="Q3138">
        <v>118.75</v>
      </c>
      <c r="R3138">
        <v>95</v>
      </c>
      <c r="S3138">
        <v>142.5</v>
      </c>
      <c r="T3138" t="s">
        <v>16335</v>
      </c>
    </row>
    <row r="3139" spans="1:20">
      <c r="A3139">
        <v>3331194</v>
      </c>
      <c r="B3139" t="s">
        <v>16336</v>
      </c>
      <c r="C3139" t="str">
        <f>"9780773521803"</f>
        <v>9780773521803</v>
      </c>
      <c r="D3139" t="str">
        <f>"9780773569195"</f>
        <v>9780773569195</v>
      </c>
      <c r="E3139" t="s">
        <v>12863</v>
      </c>
      <c r="F3139" t="s">
        <v>12863</v>
      </c>
      <c r="G3139" s="1">
        <v>37118</v>
      </c>
      <c r="J3139" t="s">
        <v>16337</v>
      </c>
      <c r="K3139" t="s">
        <v>263</v>
      </c>
      <c r="L3139" t="s">
        <v>16338</v>
      </c>
      <c r="M3139">
        <v>362.40456109709999</v>
      </c>
      <c r="N3139" t="s">
        <v>16339</v>
      </c>
      <c r="O3139" t="s">
        <v>26</v>
      </c>
      <c r="P3139">
        <v>142.5</v>
      </c>
      <c r="Q3139">
        <v>118.75</v>
      </c>
      <c r="R3139">
        <v>95</v>
      </c>
      <c r="S3139">
        <v>142.5</v>
      </c>
      <c r="T3139" t="s">
        <v>16340</v>
      </c>
    </row>
    <row r="3140" spans="1:20">
      <c r="A3140">
        <v>3331195</v>
      </c>
      <c r="B3140" t="s">
        <v>16341</v>
      </c>
      <c r="C3140" t="str">
        <f>"9780773513884"</f>
        <v>9780773513884</v>
      </c>
      <c r="D3140" t="str">
        <f>"9780773565876"</f>
        <v>9780773565876</v>
      </c>
      <c r="E3140" t="s">
        <v>12863</v>
      </c>
      <c r="F3140" t="s">
        <v>12863</v>
      </c>
      <c r="G3140" s="1">
        <v>35103</v>
      </c>
      <c r="J3140" t="s">
        <v>13335</v>
      </c>
      <c r="K3140" t="s">
        <v>291</v>
      </c>
      <c r="L3140" t="s">
        <v>16342</v>
      </c>
      <c r="M3140">
        <v>941.07299999999998</v>
      </c>
      <c r="N3140" t="s">
        <v>16343</v>
      </c>
      <c r="O3140" t="s">
        <v>26</v>
      </c>
      <c r="P3140">
        <v>142.5</v>
      </c>
      <c r="Q3140">
        <v>118.75</v>
      </c>
      <c r="R3140">
        <v>95</v>
      </c>
      <c r="S3140">
        <v>142.5</v>
      </c>
      <c r="T3140" t="s">
        <v>16344</v>
      </c>
    </row>
    <row r="3141" spans="1:20">
      <c r="A3141">
        <v>3331196</v>
      </c>
      <c r="B3141" t="s">
        <v>16345</v>
      </c>
      <c r="C3141" t="str">
        <f>"9780773518520"</f>
        <v>9780773518520</v>
      </c>
      <c r="D3141" t="str">
        <f>"9780773567870"</f>
        <v>9780773567870</v>
      </c>
      <c r="E3141" t="s">
        <v>12907</v>
      </c>
      <c r="F3141" t="s">
        <v>12907</v>
      </c>
      <c r="G3141" s="1">
        <v>36490</v>
      </c>
      <c r="I3141" t="s">
        <v>12963</v>
      </c>
      <c r="J3141" t="s">
        <v>16346</v>
      </c>
      <c r="K3141" t="s">
        <v>1859</v>
      </c>
      <c r="L3141" t="s">
        <v>16347</v>
      </c>
      <c r="M3141" t="s">
        <v>16348</v>
      </c>
      <c r="N3141" t="s">
        <v>16349</v>
      </c>
      <c r="O3141" t="s">
        <v>26</v>
      </c>
      <c r="P3141">
        <v>142.5</v>
      </c>
      <c r="Q3141">
        <v>118.75</v>
      </c>
      <c r="R3141">
        <v>95</v>
      </c>
      <c r="S3141">
        <v>142.5</v>
      </c>
      <c r="T3141" t="s">
        <v>16350</v>
      </c>
    </row>
    <row r="3142" spans="1:20">
      <c r="A3142">
        <v>3331197</v>
      </c>
      <c r="B3142" t="s">
        <v>16351</v>
      </c>
      <c r="C3142" t="str">
        <f>"9780773515093"</f>
        <v>9780773515093</v>
      </c>
      <c r="D3142" t="str">
        <f>"9780773566330"</f>
        <v>9780773566330</v>
      </c>
      <c r="E3142" t="s">
        <v>12863</v>
      </c>
      <c r="F3142" t="s">
        <v>12863</v>
      </c>
      <c r="G3142" s="1">
        <v>35299</v>
      </c>
      <c r="J3142" t="s">
        <v>14103</v>
      </c>
      <c r="K3142" t="s">
        <v>1150</v>
      </c>
      <c r="L3142" t="s">
        <v>16352</v>
      </c>
      <c r="M3142">
        <v>796.33563097137198</v>
      </c>
      <c r="N3142" t="s">
        <v>16353</v>
      </c>
      <c r="O3142" t="s">
        <v>26</v>
      </c>
      <c r="P3142">
        <v>142.5</v>
      </c>
      <c r="Q3142">
        <v>118.75</v>
      </c>
      <c r="R3142">
        <v>95</v>
      </c>
      <c r="S3142">
        <v>142.5</v>
      </c>
      <c r="T3142" t="s">
        <v>16354</v>
      </c>
    </row>
    <row r="3143" spans="1:20">
      <c r="A3143">
        <v>3331198</v>
      </c>
      <c r="B3143" t="s">
        <v>16355</v>
      </c>
      <c r="C3143" t="str">
        <f>"9780773516731"</f>
        <v>9780773516731</v>
      </c>
      <c r="D3143" t="str">
        <f>"9780773566910"</f>
        <v>9780773566910</v>
      </c>
      <c r="E3143" t="s">
        <v>12863</v>
      </c>
      <c r="F3143" t="s">
        <v>12863</v>
      </c>
      <c r="G3143" s="1">
        <v>35727</v>
      </c>
      <c r="J3143" t="s">
        <v>16356</v>
      </c>
      <c r="K3143" t="s">
        <v>525</v>
      </c>
      <c r="L3143" t="s">
        <v>16357</v>
      </c>
      <c r="M3143">
        <v>340.11</v>
      </c>
      <c r="N3143" t="s">
        <v>16358</v>
      </c>
      <c r="O3143" t="s">
        <v>26</v>
      </c>
      <c r="P3143">
        <v>142.5</v>
      </c>
      <c r="Q3143">
        <v>118.75</v>
      </c>
      <c r="R3143">
        <v>95</v>
      </c>
      <c r="S3143">
        <v>142.5</v>
      </c>
      <c r="T3143" t="s">
        <v>16359</v>
      </c>
    </row>
    <row r="3144" spans="1:20">
      <c r="A3144">
        <v>3331199</v>
      </c>
      <c r="B3144" t="s">
        <v>16360</v>
      </c>
      <c r="C3144" t="str">
        <f>"9780886291235"</f>
        <v>9780886291235</v>
      </c>
      <c r="D3144" t="str">
        <f>"9780773573628"</f>
        <v>9780773573628</v>
      </c>
      <c r="E3144" t="s">
        <v>12863</v>
      </c>
      <c r="F3144" t="s">
        <v>12863</v>
      </c>
      <c r="G3144" s="1">
        <v>41773</v>
      </c>
      <c r="J3144" t="s">
        <v>16361</v>
      </c>
      <c r="K3144" t="s">
        <v>1464</v>
      </c>
      <c r="L3144" t="s">
        <v>16362</v>
      </c>
      <c r="M3144">
        <v>813.54</v>
      </c>
      <c r="N3144" t="s">
        <v>16363</v>
      </c>
      <c r="O3144" t="s">
        <v>94</v>
      </c>
      <c r="P3144">
        <v>142.5</v>
      </c>
      <c r="Q3144">
        <v>118.75</v>
      </c>
      <c r="R3144">
        <v>95</v>
      </c>
      <c r="S3144">
        <v>142.5</v>
      </c>
      <c r="T3144" t="s">
        <v>16364</v>
      </c>
    </row>
    <row r="3145" spans="1:20">
      <c r="A3145">
        <v>3331200</v>
      </c>
      <c r="B3145" t="s">
        <v>16365</v>
      </c>
      <c r="C3145" t="str">
        <f>"9780773523661"</f>
        <v>9780773523661</v>
      </c>
      <c r="D3145" t="str">
        <f>"9780773570221"</f>
        <v>9780773570221</v>
      </c>
      <c r="E3145" t="s">
        <v>12863</v>
      </c>
      <c r="F3145" t="s">
        <v>12863</v>
      </c>
      <c r="G3145" s="1">
        <v>37568</v>
      </c>
      <c r="J3145" t="s">
        <v>16366</v>
      </c>
      <c r="K3145" t="s">
        <v>1082</v>
      </c>
      <c r="L3145" t="s">
        <v>16367</v>
      </c>
      <c r="M3145">
        <v>362.10971240904001</v>
      </c>
      <c r="N3145" t="s">
        <v>16368</v>
      </c>
      <c r="O3145" t="s">
        <v>26</v>
      </c>
      <c r="P3145">
        <v>44.93</v>
      </c>
      <c r="Q3145">
        <v>37.44</v>
      </c>
      <c r="R3145">
        <v>29.95</v>
      </c>
      <c r="S3145">
        <v>44.93</v>
      </c>
      <c r="T3145" t="s">
        <v>16369</v>
      </c>
    </row>
    <row r="3146" spans="1:20">
      <c r="A3146">
        <v>3331201</v>
      </c>
      <c r="B3146" t="s">
        <v>16370</v>
      </c>
      <c r="C3146" t="str">
        <f>"9780773509764"</f>
        <v>9780773509764</v>
      </c>
      <c r="D3146" t="str">
        <f>"9780773563773"</f>
        <v>9780773563773</v>
      </c>
      <c r="E3146" t="s">
        <v>12863</v>
      </c>
      <c r="F3146" t="s">
        <v>12863</v>
      </c>
      <c r="G3146" s="1">
        <v>34029</v>
      </c>
      <c r="J3146" t="s">
        <v>16371</v>
      </c>
      <c r="K3146" t="s">
        <v>1464</v>
      </c>
      <c r="L3146" t="s">
        <v>16372</v>
      </c>
      <c r="M3146">
        <v>821.91209100000003</v>
      </c>
      <c r="N3146" t="s">
        <v>16373</v>
      </c>
      <c r="O3146" t="s">
        <v>26</v>
      </c>
      <c r="P3146">
        <v>142.5</v>
      </c>
      <c r="Q3146">
        <v>118.75</v>
      </c>
      <c r="R3146">
        <v>95</v>
      </c>
      <c r="S3146">
        <v>142.5</v>
      </c>
      <c r="T3146" t="s">
        <v>16374</v>
      </c>
    </row>
    <row r="3147" spans="1:20">
      <c r="A3147">
        <v>3331202</v>
      </c>
      <c r="B3147" t="s">
        <v>16375</v>
      </c>
      <c r="C3147" t="str">
        <f>"9780773526259"</f>
        <v>9780773526259</v>
      </c>
      <c r="D3147" t="str">
        <f>"9780773571549"</f>
        <v>9780773571549</v>
      </c>
      <c r="E3147" t="s">
        <v>12863</v>
      </c>
      <c r="F3147" t="s">
        <v>12863</v>
      </c>
      <c r="G3147" s="1">
        <v>38075</v>
      </c>
      <c r="I3147" t="s">
        <v>13282</v>
      </c>
      <c r="J3147" t="s">
        <v>16376</v>
      </c>
      <c r="K3147" t="s">
        <v>467</v>
      </c>
      <c r="L3147" t="s">
        <v>16377</v>
      </c>
      <c r="M3147">
        <v>327.09048999999999</v>
      </c>
      <c r="N3147" t="s">
        <v>16378</v>
      </c>
      <c r="O3147" t="s">
        <v>26</v>
      </c>
      <c r="P3147">
        <v>142.5</v>
      </c>
      <c r="Q3147">
        <v>118.75</v>
      </c>
      <c r="R3147">
        <v>95</v>
      </c>
      <c r="S3147">
        <v>142.5</v>
      </c>
      <c r="T3147" t="s">
        <v>16379</v>
      </c>
    </row>
    <row r="3148" spans="1:20">
      <c r="A3148">
        <v>3331203</v>
      </c>
      <c r="B3148" t="s">
        <v>16380</v>
      </c>
      <c r="C3148" t="str">
        <f>"9780773504073"</f>
        <v>9780773504073</v>
      </c>
      <c r="D3148" t="str">
        <f>"9780773560888"</f>
        <v>9780773560888</v>
      </c>
      <c r="E3148" t="s">
        <v>12863</v>
      </c>
      <c r="F3148" t="s">
        <v>12863</v>
      </c>
      <c r="G3148" s="1">
        <v>30317</v>
      </c>
      <c r="J3148" t="s">
        <v>16381</v>
      </c>
      <c r="K3148" t="s">
        <v>1464</v>
      </c>
      <c r="L3148" t="s">
        <v>16382</v>
      </c>
      <c r="M3148">
        <v>823.91200000000003</v>
      </c>
      <c r="N3148" t="s">
        <v>16383</v>
      </c>
      <c r="O3148" t="s">
        <v>26</v>
      </c>
      <c r="P3148">
        <v>59.93</v>
      </c>
      <c r="Q3148">
        <v>49.94</v>
      </c>
      <c r="R3148">
        <v>39.950000000000003</v>
      </c>
      <c r="S3148">
        <v>59.93</v>
      </c>
      <c r="T3148" t="s">
        <v>16384</v>
      </c>
    </row>
    <row r="3149" spans="1:20">
      <c r="A3149">
        <v>3331204</v>
      </c>
      <c r="B3149" t="s">
        <v>16385</v>
      </c>
      <c r="C3149" t="str">
        <f>"9780773522329"</f>
        <v>9780773522329</v>
      </c>
      <c r="D3149" t="str">
        <f>"9780773569485"</f>
        <v>9780773569485</v>
      </c>
      <c r="E3149" t="s">
        <v>12863</v>
      </c>
      <c r="F3149" t="s">
        <v>12863</v>
      </c>
      <c r="G3149" s="1">
        <v>37205</v>
      </c>
      <c r="I3149" t="s">
        <v>12963</v>
      </c>
      <c r="J3149" t="s">
        <v>13203</v>
      </c>
      <c r="K3149" t="s">
        <v>467</v>
      </c>
      <c r="L3149" t="s">
        <v>16386</v>
      </c>
      <c r="M3149">
        <v>321.80099999999999</v>
      </c>
      <c r="N3149" t="s">
        <v>16387</v>
      </c>
      <c r="O3149" t="s">
        <v>26</v>
      </c>
      <c r="P3149">
        <v>142.5</v>
      </c>
      <c r="Q3149">
        <v>118.75</v>
      </c>
      <c r="R3149">
        <v>95</v>
      </c>
      <c r="S3149">
        <v>142.5</v>
      </c>
      <c r="T3149" t="s">
        <v>16388</v>
      </c>
    </row>
    <row r="3150" spans="1:20">
      <c r="A3150">
        <v>3331205</v>
      </c>
      <c r="B3150" t="s">
        <v>16389</v>
      </c>
      <c r="C3150" t="str">
        <f>"9780773509955"</f>
        <v>9780773509955</v>
      </c>
      <c r="D3150" t="str">
        <f>"9780773563926"</f>
        <v>9780773563926</v>
      </c>
      <c r="E3150" t="s">
        <v>12863</v>
      </c>
      <c r="F3150" t="s">
        <v>12863</v>
      </c>
      <c r="G3150" s="1">
        <v>34088</v>
      </c>
      <c r="J3150" t="s">
        <v>15326</v>
      </c>
      <c r="K3150" t="s">
        <v>550</v>
      </c>
      <c r="L3150" t="s">
        <v>16390</v>
      </c>
      <c r="M3150">
        <v>363.50971090450003</v>
      </c>
      <c r="N3150" t="s">
        <v>16391</v>
      </c>
      <c r="O3150" t="s">
        <v>26</v>
      </c>
      <c r="P3150">
        <v>142.5</v>
      </c>
      <c r="Q3150">
        <v>118.75</v>
      </c>
      <c r="R3150">
        <v>95</v>
      </c>
      <c r="S3150">
        <v>142.5</v>
      </c>
      <c r="T3150" t="s">
        <v>16392</v>
      </c>
    </row>
    <row r="3151" spans="1:20">
      <c r="A3151">
        <v>3331206</v>
      </c>
      <c r="B3151" t="s">
        <v>16393</v>
      </c>
      <c r="C3151" t="str">
        <f>"9780773508842"</f>
        <v>9780773508842</v>
      </c>
      <c r="D3151" t="str">
        <f>"9780773563216"</f>
        <v>9780773563216</v>
      </c>
      <c r="E3151" t="s">
        <v>12863</v>
      </c>
      <c r="F3151" t="s">
        <v>12863</v>
      </c>
      <c r="G3151" s="1">
        <v>33690</v>
      </c>
      <c r="J3151" t="s">
        <v>16394</v>
      </c>
      <c r="K3151" t="s">
        <v>1859</v>
      </c>
      <c r="L3151" t="s">
        <v>16395</v>
      </c>
      <c r="M3151">
        <v>128</v>
      </c>
      <c r="N3151" t="s">
        <v>16396</v>
      </c>
      <c r="O3151" t="s">
        <v>26</v>
      </c>
      <c r="P3151">
        <v>105</v>
      </c>
      <c r="Q3151">
        <v>87.5</v>
      </c>
      <c r="R3151">
        <v>70</v>
      </c>
      <c r="S3151">
        <v>105</v>
      </c>
      <c r="T3151" t="s">
        <v>16397</v>
      </c>
    </row>
    <row r="3152" spans="1:20">
      <c r="A3152">
        <v>3331207</v>
      </c>
      <c r="B3152" t="s">
        <v>16398</v>
      </c>
      <c r="C3152" t="str">
        <f>"9780773503700"</f>
        <v>9780773503700</v>
      </c>
      <c r="D3152" t="str">
        <f>"9780773560789"</f>
        <v>9780773560789</v>
      </c>
      <c r="E3152" t="s">
        <v>12863</v>
      </c>
      <c r="F3152" t="s">
        <v>12863</v>
      </c>
      <c r="G3152" s="1">
        <v>29921</v>
      </c>
      <c r="J3152" t="s">
        <v>14539</v>
      </c>
      <c r="K3152" t="s">
        <v>291</v>
      </c>
      <c r="L3152" t="s">
        <v>16399</v>
      </c>
      <c r="M3152">
        <v>971.00994000000003</v>
      </c>
      <c r="N3152" t="s">
        <v>16400</v>
      </c>
      <c r="O3152" t="s">
        <v>26</v>
      </c>
      <c r="P3152">
        <v>142.5</v>
      </c>
      <c r="Q3152">
        <v>118.75</v>
      </c>
      <c r="R3152">
        <v>95</v>
      </c>
      <c r="S3152">
        <v>142.5</v>
      </c>
      <c r="T3152" t="s">
        <v>16401</v>
      </c>
    </row>
    <row r="3153" spans="1:20">
      <c r="A3153">
        <v>3331208</v>
      </c>
      <c r="B3153" t="s">
        <v>16402</v>
      </c>
      <c r="C3153" t="str">
        <f>"9780773508989"</f>
        <v>9780773508989</v>
      </c>
      <c r="D3153" t="str">
        <f>"9780773563315"</f>
        <v>9780773563315</v>
      </c>
      <c r="E3153" t="s">
        <v>12863</v>
      </c>
      <c r="F3153" t="s">
        <v>12863</v>
      </c>
      <c r="G3153" s="1">
        <v>33666</v>
      </c>
      <c r="J3153" t="s">
        <v>16403</v>
      </c>
      <c r="K3153" t="s">
        <v>1464</v>
      </c>
      <c r="L3153" t="s">
        <v>16404</v>
      </c>
      <c r="M3153">
        <v>821.70914500000003</v>
      </c>
      <c r="N3153" t="s">
        <v>16405</v>
      </c>
      <c r="O3153" t="s">
        <v>26</v>
      </c>
      <c r="P3153">
        <v>142.5</v>
      </c>
      <c r="Q3153">
        <v>118.75</v>
      </c>
      <c r="R3153">
        <v>95</v>
      </c>
      <c r="S3153">
        <v>142.5</v>
      </c>
      <c r="T3153" t="s">
        <v>16406</v>
      </c>
    </row>
    <row r="3154" spans="1:20">
      <c r="A3154">
        <v>3331209</v>
      </c>
      <c r="B3154" t="s">
        <v>16407</v>
      </c>
      <c r="C3154" t="str">
        <f>"9780773509276"</f>
        <v>9780773509276</v>
      </c>
      <c r="D3154" t="str">
        <f>"9780773563568"</f>
        <v>9780773563568</v>
      </c>
      <c r="E3154" t="s">
        <v>12863</v>
      </c>
      <c r="F3154" t="s">
        <v>12863</v>
      </c>
      <c r="G3154" s="1">
        <v>35186</v>
      </c>
      <c r="I3154" t="s">
        <v>16408</v>
      </c>
      <c r="J3154" t="s">
        <v>16409</v>
      </c>
      <c r="K3154" t="s">
        <v>416</v>
      </c>
      <c r="L3154" t="s">
        <v>16410</v>
      </c>
      <c r="M3154">
        <v>337.71</v>
      </c>
      <c r="N3154" t="s">
        <v>16411</v>
      </c>
      <c r="O3154" t="s">
        <v>26</v>
      </c>
      <c r="P3154">
        <v>150</v>
      </c>
      <c r="Q3154">
        <v>125</v>
      </c>
      <c r="R3154">
        <v>100</v>
      </c>
      <c r="S3154">
        <v>150</v>
      </c>
      <c r="T3154" t="s">
        <v>16412</v>
      </c>
    </row>
    <row r="3155" spans="1:20">
      <c r="A3155">
        <v>3331210</v>
      </c>
      <c r="B3155" t="s">
        <v>16413</v>
      </c>
      <c r="C3155" t="str">
        <f>"9780773509016"</f>
        <v>9780773509016</v>
      </c>
      <c r="D3155" t="str">
        <f>"9780773563346"</f>
        <v>9780773563346</v>
      </c>
      <c r="E3155" t="s">
        <v>12863</v>
      </c>
      <c r="F3155" t="s">
        <v>12863</v>
      </c>
      <c r="G3155" s="1">
        <v>33700</v>
      </c>
      <c r="J3155" t="s">
        <v>14164</v>
      </c>
      <c r="K3155" t="s">
        <v>9858</v>
      </c>
      <c r="L3155" t="s">
        <v>16414</v>
      </c>
      <c r="M3155">
        <v>306.4812</v>
      </c>
      <c r="N3155" t="s">
        <v>16415</v>
      </c>
      <c r="O3155" t="s">
        <v>26</v>
      </c>
      <c r="P3155">
        <v>142.5</v>
      </c>
      <c r="Q3155">
        <v>118.75</v>
      </c>
      <c r="R3155">
        <v>95</v>
      </c>
      <c r="S3155">
        <v>142.5</v>
      </c>
      <c r="T3155" t="s">
        <v>16416</v>
      </c>
    </row>
    <row r="3156" spans="1:20">
      <c r="A3156">
        <v>3331211</v>
      </c>
      <c r="B3156" t="s">
        <v>16417</v>
      </c>
      <c r="C3156" t="str">
        <f>"9780773520646"</f>
        <v>9780773520646</v>
      </c>
      <c r="D3156" t="str">
        <f>"9780773568525"</f>
        <v>9780773568525</v>
      </c>
      <c r="E3156" t="s">
        <v>12907</v>
      </c>
      <c r="F3156" t="s">
        <v>12907</v>
      </c>
      <c r="G3156" s="1">
        <v>36617</v>
      </c>
      <c r="J3156" t="s">
        <v>16418</v>
      </c>
      <c r="K3156" t="s">
        <v>6444</v>
      </c>
      <c r="L3156" t="s">
        <v>16419</v>
      </c>
      <c r="M3156">
        <v>323.11970710000003</v>
      </c>
      <c r="N3156" t="s">
        <v>16420</v>
      </c>
      <c r="O3156" t="s">
        <v>26</v>
      </c>
      <c r="P3156">
        <v>142.5</v>
      </c>
      <c r="Q3156">
        <v>118.75</v>
      </c>
      <c r="R3156">
        <v>95</v>
      </c>
      <c r="S3156">
        <v>142.5</v>
      </c>
      <c r="T3156" t="s">
        <v>16421</v>
      </c>
    </row>
    <row r="3157" spans="1:20">
      <c r="A3157">
        <v>3331212</v>
      </c>
      <c r="B3157" t="s">
        <v>16422</v>
      </c>
      <c r="C3157" t="str">
        <f>"9780773507258"</f>
        <v>9780773507258</v>
      </c>
      <c r="D3157" t="str">
        <f>"9780773562226"</f>
        <v>9780773562226</v>
      </c>
      <c r="E3157" t="s">
        <v>12863</v>
      </c>
      <c r="F3157" t="s">
        <v>12863</v>
      </c>
      <c r="G3157" s="1">
        <v>32964</v>
      </c>
      <c r="J3157" t="s">
        <v>14352</v>
      </c>
      <c r="K3157" t="s">
        <v>16423</v>
      </c>
      <c r="L3157" t="s">
        <v>16424</v>
      </c>
      <c r="M3157">
        <v>338.91</v>
      </c>
      <c r="N3157" t="s">
        <v>16425</v>
      </c>
      <c r="O3157" t="s">
        <v>26</v>
      </c>
      <c r="P3157">
        <v>127.5</v>
      </c>
      <c r="Q3157">
        <v>106.25</v>
      </c>
      <c r="R3157">
        <v>85</v>
      </c>
      <c r="S3157">
        <v>127.5</v>
      </c>
      <c r="T3157" t="s">
        <v>16426</v>
      </c>
    </row>
    <row r="3158" spans="1:20">
      <c r="A3158">
        <v>3331213</v>
      </c>
      <c r="B3158" t="s">
        <v>16427</v>
      </c>
      <c r="C3158" t="str">
        <f>"9780773509009"</f>
        <v>9780773509009</v>
      </c>
      <c r="D3158" t="str">
        <f>"9780773563339"</f>
        <v>9780773563339</v>
      </c>
      <c r="E3158" t="s">
        <v>12863</v>
      </c>
      <c r="F3158" t="s">
        <v>12863</v>
      </c>
      <c r="G3158" s="1">
        <v>34134</v>
      </c>
      <c r="I3158" t="s">
        <v>14112</v>
      </c>
      <c r="J3158" t="s">
        <v>16428</v>
      </c>
      <c r="K3158" t="s">
        <v>416</v>
      </c>
      <c r="L3158" t="s">
        <v>16429</v>
      </c>
      <c r="M3158">
        <v>338.62097119999999</v>
      </c>
      <c r="N3158" t="s">
        <v>16430</v>
      </c>
      <c r="O3158" t="s">
        <v>26</v>
      </c>
      <c r="P3158">
        <v>142.5</v>
      </c>
      <c r="Q3158">
        <v>118.75</v>
      </c>
      <c r="R3158">
        <v>95</v>
      </c>
      <c r="S3158">
        <v>142.5</v>
      </c>
      <c r="T3158" t="s">
        <v>16431</v>
      </c>
    </row>
    <row r="3159" spans="1:20">
      <c r="A3159">
        <v>3331214</v>
      </c>
      <c r="B3159" t="s">
        <v>16432</v>
      </c>
      <c r="C3159" t="str">
        <f>"9780773528123"</f>
        <v>9780773528123</v>
      </c>
      <c r="D3159" t="str">
        <f>"9780773572362"</f>
        <v>9780773572362</v>
      </c>
      <c r="E3159" t="s">
        <v>12907</v>
      </c>
      <c r="F3159" t="s">
        <v>12907</v>
      </c>
      <c r="G3159" s="1">
        <v>38240</v>
      </c>
      <c r="J3159" t="s">
        <v>16433</v>
      </c>
      <c r="K3159" t="s">
        <v>6359</v>
      </c>
      <c r="L3159" t="s">
        <v>16434</v>
      </c>
      <c r="M3159" t="s">
        <v>16435</v>
      </c>
      <c r="N3159" t="s">
        <v>16436</v>
      </c>
      <c r="O3159" t="s">
        <v>26</v>
      </c>
      <c r="P3159">
        <v>142.5</v>
      </c>
      <c r="Q3159">
        <v>118.75</v>
      </c>
      <c r="R3159">
        <v>95</v>
      </c>
      <c r="S3159">
        <v>142.5</v>
      </c>
      <c r="T3159" t="s">
        <v>16437</v>
      </c>
    </row>
    <row r="3160" spans="1:20">
      <c r="A3160">
        <v>3331215</v>
      </c>
      <c r="B3160" t="s">
        <v>16438</v>
      </c>
      <c r="C3160" t="str">
        <f>"9780773518773"</f>
        <v>9780773518773</v>
      </c>
      <c r="D3160" t="str">
        <f>"9780773567948"</f>
        <v>9780773567948</v>
      </c>
      <c r="E3160" t="s">
        <v>12863</v>
      </c>
      <c r="F3160" t="s">
        <v>12863</v>
      </c>
      <c r="G3160" s="1">
        <v>36300</v>
      </c>
      <c r="J3160" t="s">
        <v>16439</v>
      </c>
      <c r="K3160" t="s">
        <v>376</v>
      </c>
      <c r="L3160" t="s">
        <v>16440</v>
      </c>
      <c r="M3160">
        <v>362.10971000000001</v>
      </c>
      <c r="N3160" t="s">
        <v>16441</v>
      </c>
      <c r="O3160" t="s">
        <v>26</v>
      </c>
      <c r="P3160">
        <v>112.5</v>
      </c>
      <c r="Q3160">
        <v>93.75</v>
      </c>
      <c r="R3160">
        <v>75</v>
      </c>
      <c r="S3160">
        <v>112.5</v>
      </c>
      <c r="T3160" t="s">
        <v>16442</v>
      </c>
    </row>
    <row r="3161" spans="1:20">
      <c r="A3161">
        <v>3331216</v>
      </c>
      <c r="B3161" t="s">
        <v>16443</v>
      </c>
      <c r="C3161" t="str">
        <f>"9780773507210"</f>
        <v>9780773507210</v>
      </c>
      <c r="D3161" t="str">
        <f>"9780773562202"</f>
        <v>9780773562202</v>
      </c>
      <c r="E3161" t="s">
        <v>12863</v>
      </c>
      <c r="F3161" t="s">
        <v>12863</v>
      </c>
      <c r="G3161" s="1">
        <v>33086</v>
      </c>
      <c r="J3161" t="s">
        <v>16444</v>
      </c>
      <c r="K3161" t="s">
        <v>1464</v>
      </c>
      <c r="L3161" t="s">
        <v>16445</v>
      </c>
      <c r="M3161" t="s">
        <v>3574</v>
      </c>
      <c r="N3161" t="s">
        <v>16446</v>
      </c>
      <c r="O3161" t="s">
        <v>26</v>
      </c>
      <c r="P3161">
        <v>67.5</v>
      </c>
      <c r="Q3161">
        <v>56.25</v>
      </c>
      <c r="R3161">
        <v>45</v>
      </c>
      <c r="S3161">
        <v>67.5</v>
      </c>
      <c r="T3161" t="s">
        <v>16447</v>
      </c>
    </row>
    <row r="3162" spans="1:20">
      <c r="A3162">
        <v>3331217</v>
      </c>
      <c r="B3162" t="s">
        <v>16448</v>
      </c>
      <c r="C3162" t="str">
        <f>"9780773509160"</f>
        <v>9780773509160</v>
      </c>
      <c r="D3162" t="str">
        <f>"9780773563476"</f>
        <v>9780773563476</v>
      </c>
      <c r="E3162" t="s">
        <v>12863</v>
      </c>
      <c r="F3162" t="s">
        <v>12863</v>
      </c>
      <c r="G3162" s="1">
        <v>33850</v>
      </c>
      <c r="J3162" t="s">
        <v>16449</v>
      </c>
      <c r="K3162" t="s">
        <v>1464</v>
      </c>
      <c r="L3162" t="s">
        <v>16450</v>
      </c>
      <c r="M3162">
        <v>828.91209000000003</v>
      </c>
      <c r="N3162" t="s">
        <v>16451</v>
      </c>
      <c r="O3162" t="s">
        <v>26</v>
      </c>
      <c r="P3162">
        <v>142.5</v>
      </c>
      <c r="Q3162">
        <v>118.75</v>
      </c>
      <c r="R3162">
        <v>95</v>
      </c>
      <c r="S3162">
        <v>142.5</v>
      </c>
      <c r="T3162" t="s">
        <v>16452</v>
      </c>
    </row>
    <row r="3163" spans="1:20">
      <c r="A3163">
        <v>3331218</v>
      </c>
      <c r="B3163" t="s">
        <v>16453</v>
      </c>
      <c r="C3163" t="str">
        <f>"9780773524477"</f>
        <v>9780773524477</v>
      </c>
      <c r="D3163" t="str">
        <f>"9780773570665"</f>
        <v>9780773570665</v>
      </c>
      <c r="E3163" t="s">
        <v>12863</v>
      </c>
      <c r="F3163" t="s">
        <v>12863</v>
      </c>
      <c r="G3163" s="1">
        <v>37372</v>
      </c>
      <c r="I3163" t="s">
        <v>12886</v>
      </c>
      <c r="J3163" t="s">
        <v>15224</v>
      </c>
      <c r="K3163" t="s">
        <v>257</v>
      </c>
      <c r="L3163" t="s">
        <v>16454</v>
      </c>
      <c r="M3163">
        <v>378.71354100000002</v>
      </c>
      <c r="N3163" t="s">
        <v>16455</v>
      </c>
      <c r="O3163" t="s">
        <v>26</v>
      </c>
      <c r="P3163">
        <v>142.5</v>
      </c>
      <c r="Q3163">
        <v>118.75</v>
      </c>
      <c r="R3163">
        <v>95</v>
      </c>
      <c r="S3163">
        <v>142.5</v>
      </c>
      <c r="T3163" t="s">
        <v>16456</v>
      </c>
    </row>
    <row r="3164" spans="1:20">
      <c r="A3164">
        <v>3331219</v>
      </c>
      <c r="B3164" t="s">
        <v>16457</v>
      </c>
      <c r="C3164" t="str">
        <f>"9780773516694"</f>
        <v>9780773516694</v>
      </c>
      <c r="D3164" t="str">
        <f>"9780773566880"</f>
        <v>9780773566880</v>
      </c>
      <c r="E3164" t="s">
        <v>12863</v>
      </c>
      <c r="F3164" t="s">
        <v>12863</v>
      </c>
      <c r="G3164" s="1">
        <v>35801</v>
      </c>
      <c r="J3164" t="s">
        <v>16458</v>
      </c>
      <c r="K3164" t="s">
        <v>1464</v>
      </c>
      <c r="L3164" t="s">
        <v>16308</v>
      </c>
      <c r="M3164">
        <v>813.54091129999995</v>
      </c>
      <c r="N3164" t="s">
        <v>16459</v>
      </c>
      <c r="O3164" t="s">
        <v>26</v>
      </c>
      <c r="P3164">
        <v>142.5</v>
      </c>
      <c r="Q3164">
        <v>118.75</v>
      </c>
      <c r="R3164">
        <v>95</v>
      </c>
      <c r="S3164">
        <v>142.5</v>
      </c>
      <c r="T3164" t="s">
        <v>16460</v>
      </c>
    </row>
    <row r="3165" spans="1:20">
      <c r="A3165">
        <v>3331220</v>
      </c>
      <c r="B3165" t="s">
        <v>16461</v>
      </c>
      <c r="C3165" t="str">
        <f>"9780773511477"</f>
        <v>9780773511477</v>
      </c>
      <c r="D3165" t="str">
        <f>"9780773564480"</f>
        <v>9780773564480</v>
      </c>
      <c r="E3165" t="s">
        <v>12863</v>
      </c>
      <c r="F3165" t="s">
        <v>12863</v>
      </c>
      <c r="G3165" s="1">
        <v>34402</v>
      </c>
      <c r="J3165" t="s">
        <v>16462</v>
      </c>
      <c r="K3165" t="s">
        <v>1464</v>
      </c>
      <c r="L3165" t="s">
        <v>16463</v>
      </c>
      <c r="M3165">
        <v>811.54</v>
      </c>
      <c r="N3165" t="s">
        <v>16464</v>
      </c>
      <c r="O3165" t="s">
        <v>26</v>
      </c>
      <c r="P3165">
        <v>142.5</v>
      </c>
      <c r="Q3165">
        <v>118.75</v>
      </c>
      <c r="R3165">
        <v>95</v>
      </c>
      <c r="S3165">
        <v>142.5</v>
      </c>
      <c r="T3165" t="s">
        <v>16465</v>
      </c>
    </row>
    <row r="3166" spans="1:20">
      <c r="A3166">
        <v>3331221</v>
      </c>
      <c r="B3166" t="s">
        <v>16466</v>
      </c>
      <c r="C3166" t="str">
        <f>"9780773509825"</f>
        <v>9780773509825</v>
      </c>
      <c r="D3166" t="str">
        <f>"9780773563803"</f>
        <v>9780773563803</v>
      </c>
      <c r="E3166" t="s">
        <v>12863</v>
      </c>
      <c r="F3166" t="s">
        <v>12863</v>
      </c>
      <c r="G3166" s="1">
        <v>34037</v>
      </c>
      <c r="J3166" t="s">
        <v>16467</v>
      </c>
      <c r="K3166" t="s">
        <v>16322</v>
      </c>
      <c r="L3166" t="s">
        <v>16468</v>
      </c>
      <c r="M3166">
        <v>844.6</v>
      </c>
      <c r="N3166" t="s">
        <v>16469</v>
      </c>
      <c r="O3166" t="s">
        <v>26</v>
      </c>
      <c r="P3166">
        <v>142.5</v>
      </c>
      <c r="Q3166">
        <v>118.75</v>
      </c>
      <c r="R3166">
        <v>95</v>
      </c>
      <c r="S3166">
        <v>142.5</v>
      </c>
      <c r="T3166" t="s">
        <v>16470</v>
      </c>
    </row>
    <row r="3167" spans="1:20">
      <c r="A3167">
        <v>3331222</v>
      </c>
      <c r="B3167" t="s">
        <v>16471</v>
      </c>
      <c r="C3167" t="str">
        <f>"9780886290955"</f>
        <v>9780886290955</v>
      </c>
      <c r="D3167" t="str">
        <f>"9780773573543"</f>
        <v>9780773573543</v>
      </c>
      <c r="E3167" t="s">
        <v>12863</v>
      </c>
      <c r="F3167" t="s">
        <v>12863</v>
      </c>
      <c r="G3167" s="1">
        <v>32674</v>
      </c>
      <c r="I3167" t="s">
        <v>13270</v>
      </c>
      <c r="J3167" t="s">
        <v>16472</v>
      </c>
      <c r="K3167" t="s">
        <v>291</v>
      </c>
      <c r="L3167" t="s">
        <v>14205</v>
      </c>
      <c r="M3167">
        <v>971.30200000000002</v>
      </c>
      <c r="N3167" t="s">
        <v>16473</v>
      </c>
      <c r="O3167" t="s">
        <v>26</v>
      </c>
      <c r="P3167">
        <v>142.5</v>
      </c>
      <c r="Q3167">
        <v>118.75</v>
      </c>
      <c r="R3167">
        <v>95</v>
      </c>
      <c r="S3167">
        <v>142.5</v>
      </c>
      <c r="T3167" t="s">
        <v>16474</v>
      </c>
    </row>
    <row r="3168" spans="1:20">
      <c r="A3168">
        <v>3331223</v>
      </c>
      <c r="B3168" t="s">
        <v>16475</v>
      </c>
      <c r="C3168" t="str">
        <f>"9780886291037"</f>
        <v>9780886291037</v>
      </c>
      <c r="D3168" t="str">
        <f>"9780773573574"</f>
        <v>9780773573574</v>
      </c>
      <c r="E3168" t="s">
        <v>12907</v>
      </c>
      <c r="F3168" t="s">
        <v>12907</v>
      </c>
      <c r="G3168" s="1">
        <v>41773</v>
      </c>
      <c r="I3168" t="s">
        <v>16476</v>
      </c>
      <c r="J3168" t="s">
        <v>16477</v>
      </c>
      <c r="K3168" t="s">
        <v>57</v>
      </c>
      <c r="L3168" t="s">
        <v>16478</v>
      </c>
      <c r="M3168" t="s">
        <v>16479</v>
      </c>
      <c r="N3168" t="s">
        <v>16480</v>
      </c>
      <c r="O3168" t="s">
        <v>26</v>
      </c>
      <c r="P3168">
        <v>142.5</v>
      </c>
      <c r="Q3168">
        <v>118.75</v>
      </c>
      <c r="R3168">
        <v>95</v>
      </c>
      <c r="S3168">
        <v>142.5</v>
      </c>
      <c r="T3168" t="s">
        <v>16481</v>
      </c>
    </row>
    <row r="3169" spans="1:20">
      <c r="A3169">
        <v>3331224</v>
      </c>
      <c r="B3169" t="s">
        <v>16482</v>
      </c>
      <c r="C3169" t="str">
        <f>"9780773511880"</f>
        <v>9780773511880</v>
      </c>
      <c r="D3169" t="str">
        <f>"9780773564732"</f>
        <v>9780773564732</v>
      </c>
      <c r="E3169" t="s">
        <v>12863</v>
      </c>
      <c r="F3169" t="s">
        <v>12863</v>
      </c>
      <c r="G3169" s="1">
        <v>34596</v>
      </c>
      <c r="J3169" t="s">
        <v>16483</v>
      </c>
      <c r="K3169" t="s">
        <v>1471</v>
      </c>
      <c r="L3169" t="s">
        <v>16484</v>
      </c>
      <c r="M3169">
        <v>704.04209709999998</v>
      </c>
      <c r="N3169" t="s">
        <v>16485</v>
      </c>
      <c r="O3169" t="s">
        <v>26</v>
      </c>
      <c r="P3169">
        <v>142.5</v>
      </c>
      <c r="Q3169">
        <v>118.75</v>
      </c>
      <c r="R3169">
        <v>95</v>
      </c>
      <c r="S3169">
        <v>142.5</v>
      </c>
      <c r="T3169" t="s">
        <v>16486</v>
      </c>
    </row>
    <row r="3170" spans="1:20">
      <c r="A3170">
        <v>3331225</v>
      </c>
      <c r="B3170" t="s">
        <v>16487</v>
      </c>
      <c r="C3170" t="str">
        <f>"9780773506985"</f>
        <v>9780773506985</v>
      </c>
      <c r="D3170" t="str">
        <f>"9780773562004"</f>
        <v>9780773562004</v>
      </c>
      <c r="E3170" t="s">
        <v>12863</v>
      </c>
      <c r="F3170" t="s">
        <v>12863</v>
      </c>
      <c r="G3170" s="1">
        <v>32813</v>
      </c>
      <c r="J3170" t="s">
        <v>16488</v>
      </c>
      <c r="K3170" t="s">
        <v>291</v>
      </c>
      <c r="L3170" t="s">
        <v>15196</v>
      </c>
      <c r="M3170">
        <v>971.02200000000005</v>
      </c>
      <c r="N3170" t="s">
        <v>16489</v>
      </c>
      <c r="O3170" t="s">
        <v>26</v>
      </c>
      <c r="P3170">
        <v>142.5</v>
      </c>
      <c r="Q3170">
        <v>118.75</v>
      </c>
      <c r="R3170">
        <v>95</v>
      </c>
      <c r="S3170">
        <v>142.5</v>
      </c>
      <c r="T3170" t="s">
        <v>16490</v>
      </c>
    </row>
    <row r="3171" spans="1:20">
      <c r="A3171">
        <v>3331226</v>
      </c>
      <c r="B3171" t="s">
        <v>16491</v>
      </c>
      <c r="C3171" t="str">
        <f>"9780773523500"</f>
        <v>9780773523500</v>
      </c>
      <c r="D3171" t="str">
        <f>"9780773570122"</f>
        <v>9780773570122</v>
      </c>
      <c r="E3171" t="s">
        <v>12863</v>
      </c>
      <c r="F3171" t="s">
        <v>12863</v>
      </c>
      <c r="G3171" s="1">
        <v>37587</v>
      </c>
      <c r="I3171" t="s">
        <v>12942</v>
      </c>
      <c r="J3171" t="s">
        <v>12943</v>
      </c>
      <c r="K3171" t="s">
        <v>291</v>
      </c>
      <c r="L3171" t="s">
        <v>13301</v>
      </c>
      <c r="M3171">
        <v>940.31771100000003</v>
      </c>
      <c r="N3171" t="s">
        <v>16492</v>
      </c>
      <c r="O3171" t="s">
        <v>26</v>
      </c>
      <c r="P3171">
        <v>74.930000000000007</v>
      </c>
      <c r="Q3171">
        <v>62.44</v>
      </c>
      <c r="R3171">
        <v>49.95</v>
      </c>
      <c r="S3171">
        <v>74.930000000000007</v>
      </c>
      <c r="T3171" t="s">
        <v>16493</v>
      </c>
    </row>
    <row r="3172" spans="1:20">
      <c r="A3172">
        <v>3331227</v>
      </c>
      <c r="B3172" t="s">
        <v>16494</v>
      </c>
      <c r="C3172" t="str">
        <f>"9780886292492"</f>
        <v>9780886292492</v>
      </c>
      <c r="D3172" t="str">
        <f>"9780773573956"</f>
        <v>9780773573956</v>
      </c>
      <c r="E3172" t="s">
        <v>12863</v>
      </c>
      <c r="F3172" t="s">
        <v>12863</v>
      </c>
      <c r="G3172" s="1">
        <v>34773</v>
      </c>
      <c r="I3172" t="s">
        <v>16495</v>
      </c>
      <c r="J3172" t="s">
        <v>16496</v>
      </c>
      <c r="K3172" t="s">
        <v>6444</v>
      </c>
      <c r="L3172" t="s">
        <v>16497</v>
      </c>
      <c r="M3172">
        <v>327.71080000000001</v>
      </c>
      <c r="N3172" t="s">
        <v>16498</v>
      </c>
      <c r="O3172" t="s">
        <v>26</v>
      </c>
      <c r="P3172">
        <v>142.5</v>
      </c>
      <c r="Q3172">
        <v>118.75</v>
      </c>
      <c r="R3172">
        <v>95</v>
      </c>
      <c r="S3172">
        <v>142.5</v>
      </c>
      <c r="T3172" t="s">
        <v>16499</v>
      </c>
    </row>
    <row r="3173" spans="1:20">
      <c r="A3173">
        <v>3331228</v>
      </c>
      <c r="B3173" t="s">
        <v>16500</v>
      </c>
      <c r="C3173" t="str">
        <f>"9780886290252"</f>
        <v>9780886290252</v>
      </c>
      <c r="D3173" t="str">
        <f>"9780773573390"</f>
        <v>9780773573390</v>
      </c>
      <c r="E3173" t="s">
        <v>12863</v>
      </c>
      <c r="F3173" t="s">
        <v>12863</v>
      </c>
      <c r="G3173" s="1">
        <v>31305</v>
      </c>
      <c r="I3173" t="s">
        <v>16501</v>
      </c>
      <c r="J3173" t="s">
        <v>16502</v>
      </c>
      <c r="K3173" t="s">
        <v>1464</v>
      </c>
      <c r="L3173" t="s">
        <v>16503</v>
      </c>
      <c r="N3173" t="s">
        <v>16504</v>
      </c>
      <c r="O3173" t="s">
        <v>26</v>
      </c>
      <c r="P3173">
        <v>127.5</v>
      </c>
      <c r="Q3173">
        <v>106.25</v>
      </c>
      <c r="R3173">
        <v>85</v>
      </c>
      <c r="S3173">
        <v>127.5</v>
      </c>
      <c r="T3173" t="s">
        <v>16505</v>
      </c>
    </row>
    <row r="3174" spans="1:20">
      <c r="A3174">
        <v>3331229</v>
      </c>
      <c r="B3174" t="s">
        <v>16506</v>
      </c>
      <c r="C3174" t="str">
        <f>"9780773509894"</f>
        <v>9780773509894</v>
      </c>
      <c r="D3174" t="str">
        <f>"9780773574311"</f>
        <v>9780773574311</v>
      </c>
      <c r="E3174" t="s">
        <v>12863</v>
      </c>
      <c r="F3174" t="s">
        <v>12863</v>
      </c>
      <c r="G3174" s="1">
        <v>35947</v>
      </c>
      <c r="J3174" t="s">
        <v>16507</v>
      </c>
      <c r="K3174" t="s">
        <v>10089</v>
      </c>
      <c r="L3174" t="s">
        <v>16508</v>
      </c>
      <c r="M3174">
        <v>380.14567530969998</v>
      </c>
      <c r="N3174" t="s">
        <v>16509</v>
      </c>
      <c r="O3174" t="s">
        <v>26</v>
      </c>
      <c r="P3174">
        <v>120</v>
      </c>
      <c r="Q3174">
        <v>100</v>
      </c>
      <c r="R3174">
        <v>80</v>
      </c>
      <c r="S3174">
        <v>120</v>
      </c>
      <c r="T3174" t="s">
        <v>16510</v>
      </c>
    </row>
    <row r="3175" spans="1:20">
      <c r="A3175">
        <v>3331230</v>
      </c>
      <c r="B3175" t="s">
        <v>16511</v>
      </c>
      <c r="C3175" t="str">
        <f>"9780773517776"</f>
        <v>9780773517776</v>
      </c>
      <c r="D3175" t="str">
        <f>"9780773567382"</f>
        <v>9780773567382</v>
      </c>
      <c r="E3175" t="s">
        <v>12863</v>
      </c>
      <c r="F3175" t="s">
        <v>12863</v>
      </c>
      <c r="G3175" s="1">
        <v>36187</v>
      </c>
      <c r="J3175" t="s">
        <v>16512</v>
      </c>
      <c r="K3175" t="s">
        <v>291</v>
      </c>
      <c r="L3175" t="s">
        <v>16513</v>
      </c>
      <c r="M3175">
        <v>960.32</v>
      </c>
      <c r="N3175" t="s">
        <v>16514</v>
      </c>
      <c r="O3175" t="s">
        <v>26</v>
      </c>
      <c r="P3175">
        <v>142.5</v>
      </c>
      <c r="Q3175">
        <v>118.75</v>
      </c>
      <c r="R3175">
        <v>95</v>
      </c>
      <c r="S3175">
        <v>142.5</v>
      </c>
      <c r="T3175" t="s">
        <v>16515</v>
      </c>
    </row>
    <row r="3176" spans="1:20">
      <c r="A3176">
        <v>3331231</v>
      </c>
      <c r="B3176" t="s">
        <v>16516</v>
      </c>
      <c r="C3176" t="str">
        <f>"9780773507647"</f>
        <v>9780773507647</v>
      </c>
      <c r="D3176" t="str">
        <f>"9780773562516"</f>
        <v>9780773562516</v>
      </c>
      <c r="E3176" t="s">
        <v>12863</v>
      </c>
      <c r="F3176" t="s">
        <v>12863</v>
      </c>
      <c r="G3176" s="1">
        <v>33178</v>
      </c>
      <c r="J3176" t="s">
        <v>16517</v>
      </c>
      <c r="K3176" t="s">
        <v>305</v>
      </c>
      <c r="L3176" t="s">
        <v>16518</v>
      </c>
      <c r="M3176">
        <v>387.50971509034002</v>
      </c>
      <c r="N3176" t="s">
        <v>16519</v>
      </c>
      <c r="O3176" t="s">
        <v>26</v>
      </c>
      <c r="P3176">
        <v>142.5</v>
      </c>
      <c r="Q3176">
        <v>118.75</v>
      </c>
      <c r="R3176">
        <v>95</v>
      </c>
      <c r="S3176">
        <v>142.5</v>
      </c>
      <c r="T3176" t="s">
        <v>16520</v>
      </c>
    </row>
    <row r="3177" spans="1:20">
      <c r="A3177">
        <v>3331232</v>
      </c>
      <c r="B3177" t="s">
        <v>16521</v>
      </c>
      <c r="C3177" t="str">
        <f>"9780773510050"</f>
        <v>9780773510050</v>
      </c>
      <c r="D3177" t="str">
        <f>"9780773564008"</f>
        <v>9780773564008</v>
      </c>
      <c r="E3177" t="s">
        <v>12863</v>
      </c>
      <c r="F3177" t="s">
        <v>12863</v>
      </c>
      <c r="G3177" s="1">
        <v>30498</v>
      </c>
      <c r="I3177" t="s">
        <v>12963</v>
      </c>
      <c r="J3177" t="s">
        <v>16522</v>
      </c>
      <c r="K3177" t="s">
        <v>1859</v>
      </c>
      <c r="L3177" t="s">
        <v>16523</v>
      </c>
      <c r="M3177">
        <v>192</v>
      </c>
      <c r="N3177" t="s">
        <v>16524</v>
      </c>
      <c r="O3177" t="s">
        <v>26</v>
      </c>
      <c r="P3177">
        <v>127.5</v>
      </c>
      <c r="Q3177">
        <v>106.25</v>
      </c>
      <c r="R3177">
        <v>85</v>
      </c>
      <c r="S3177">
        <v>127.5</v>
      </c>
      <c r="T3177" t="s">
        <v>16525</v>
      </c>
    </row>
    <row r="3178" spans="1:20">
      <c r="A3178">
        <v>3331233</v>
      </c>
      <c r="B3178" t="s">
        <v>16526</v>
      </c>
      <c r="C3178" t="str">
        <f>"9780773500839"</f>
        <v>9780773500839</v>
      </c>
      <c r="D3178" t="str">
        <f>"9780773560628"</f>
        <v>9780773560628</v>
      </c>
      <c r="E3178" t="s">
        <v>12863</v>
      </c>
      <c r="F3178" t="s">
        <v>12863</v>
      </c>
      <c r="G3178" s="1">
        <v>25689</v>
      </c>
      <c r="J3178" t="s">
        <v>16527</v>
      </c>
      <c r="K3178" t="s">
        <v>416</v>
      </c>
      <c r="L3178" t="s">
        <v>16528</v>
      </c>
      <c r="M3178">
        <v>338.5220971</v>
      </c>
      <c r="N3178" t="s">
        <v>16529</v>
      </c>
      <c r="O3178" t="s">
        <v>26</v>
      </c>
      <c r="P3178">
        <v>127.5</v>
      </c>
      <c r="Q3178">
        <v>106.25</v>
      </c>
      <c r="R3178">
        <v>85</v>
      </c>
      <c r="S3178">
        <v>127.5</v>
      </c>
      <c r="T3178" t="s">
        <v>16530</v>
      </c>
    </row>
    <row r="3179" spans="1:20">
      <c r="A3179">
        <v>3331234</v>
      </c>
      <c r="B3179" t="s">
        <v>16531</v>
      </c>
      <c r="C3179" t="str">
        <f>"9780773509610"</f>
        <v>9780773509610</v>
      </c>
      <c r="D3179" t="str">
        <f>"9780773563711"</f>
        <v>9780773563711</v>
      </c>
      <c r="E3179" t="s">
        <v>12863</v>
      </c>
      <c r="F3179" t="s">
        <v>12863</v>
      </c>
      <c r="G3179" s="1">
        <v>34030</v>
      </c>
      <c r="J3179" t="s">
        <v>16532</v>
      </c>
      <c r="K3179" t="s">
        <v>6444</v>
      </c>
      <c r="L3179" t="s">
        <v>16533</v>
      </c>
      <c r="M3179">
        <v>323.11970710000003</v>
      </c>
      <c r="N3179" t="s">
        <v>16534</v>
      </c>
      <c r="O3179" t="s">
        <v>26</v>
      </c>
      <c r="P3179">
        <v>142.5</v>
      </c>
      <c r="Q3179">
        <v>118.75</v>
      </c>
      <c r="R3179">
        <v>95</v>
      </c>
      <c r="S3179">
        <v>142.5</v>
      </c>
      <c r="T3179" t="s">
        <v>16535</v>
      </c>
    </row>
    <row r="3180" spans="1:20">
      <c r="A3180">
        <v>3331235</v>
      </c>
      <c r="B3180" t="s">
        <v>16536</v>
      </c>
      <c r="C3180" t="str">
        <f>"9780773526143"</f>
        <v>9780773526143</v>
      </c>
      <c r="D3180" t="str">
        <f>"9780773571495"</f>
        <v>9780773571495</v>
      </c>
      <c r="E3180" t="s">
        <v>12863</v>
      </c>
      <c r="F3180" t="s">
        <v>12863</v>
      </c>
      <c r="G3180" s="1">
        <v>37944</v>
      </c>
      <c r="J3180" t="s">
        <v>16537</v>
      </c>
      <c r="K3180" t="s">
        <v>525</v>
      </c>
      <c r="L3180" t="s">
        <v>15167</v>
      </c>
      <c r="M3180">
        <v>347.71035000000001</v>
      </c>
      <c r="N3180" t="s">
        <v>16538</v>
      </c>
      <c r="O3180" t="s">
        <v>26</v>
      </c>
      <c r="P3180">
        <v>44.93</v>
      </c>
      <c r="Q3180">
        <v>37.44</v>
      </c>
      <c r="R3180">
        <v>29.95</v>
      </c>
      <c r="S3180">
        <v>44.93</v>
      </c>
      <c r="T3180" t="s">
        <v>16539</v>
      </c>
    </row>
    <row r="3181" spans="1:20">
      <c r="A3181">
        <v>3331236</v>
      </c>
      <c r="B3181" t="s">
        <v>16540</v>
      </c>
      <c r="C3181" t="str">
        <f>"9780773505827"</f>
        <v>9780773505827</v>
      </c>
      <c r="D3181" t="str">
        <f>"9780773561250"</f>
        <v>9780773561250</v>
      </c>
      <c r="E3181" t="s">
        <v>12863</v>
      </c>
      <c r="F3181" t="s">
        <v>12863</v>
      </c>
      <c r="G3181" s="1">
        <v>31686</v>
      </c>
      <c r="J3181" t="s">
        <v>16541</v>
      </c>
      <c r="K3181" t="s">
        <v>2387</v>
      </c>
      <c r="L3181" t="s">
        <v>16542</v>
      </c>
      <c r="M3181">
        <v>640.94100000000003</v>
      </c>
      <c r="N3181" t="s">
        <v>16543</v>
      </c>
      <c r="O3181" t="s">
        <v>26</v>
      </c>
      <c r="P3181">
        <v>127.5</v>
      </c>
      <c r="Q3181">
        <v>106.25</v>
      </c>
      <c r="R3181">
        <v>85</v>
      </c>
      <c r="S3181">
        <v>127.5</v>
      </c>
      <c r="T3181" t="s">
        <v>16544</v>
      </c>
    </row>
    <row r="3182" spans="1:20">
      <c r="A3182">
        <v>3331237</v>
      </c>
      <c r="B3182" t="s">
        <v>16545</v>
      </c>
      <c r="C3182" t="str">
        <f>"9780886291433"</f>
        <v>9780886291433</v>
      </c>
      <c r="D3182" t="str">
        <f>"9780773573697"</f>
        <v>9780773573697</v>
      </c>
      <c r="E3182" t="s">
        <v>12863</v>
      </c>
      <c r="F3182" t="s">
        <v>12863</v>
      </c>
      <c r="G3182" s="1">
        <v>33373</v>
      </c>
      <c r="J3182" t="s">
        <v>16546</v>
      </c>
      <c r="K3182" t="s">
        <v>305</v>
      </c>
      <c r="L3182" t="s">
        <v>16547</v>
      </c>
      <c r="N3182" t="s">
        <v>16548</v>
      </c>
      <c r="O3182" t="s">
        <v>26</v>
      </c>
      <c r="P3182">
        <v>150</v>
      </c>
      <c r="Q3182">
        <v>125</v>
      </c>
      <c r="R3182">
        <v>100</v>
      </c>
      <c r="S3182">
        <v>150</v>
      </c>
      <c r="T3182" t="s">
        <v>16549</v>
      </c>
    </row>
    <row r="3183" spans="1:20">
      <c r="A3183">
        <v>3331238</v>
      </c>
      <c r="B3183" t="s">
        <v>16550</v>
      </c>
      <c r="C3183" t="str">
        <f>"9780886291129"</f>
        <v>9780886291129</v>
      </c>
      <c r="D3183" t="str">
        <f>"9780773573581"</f>
        <v>9780773573581</v>
      </c>
      <c r="E3183" t="s">
        <v>12907</v>
      </c>
      <c r="F3183" t="s">
        <v>12907</v>
      </c>
      <c r="G3183" s="1">
        <v>41773</v>
      </c>
      <c r="I3183" t="s">
        <v>16551</v>
      </c>
      <c r="J3183" t="s">
        <v>16552</v>
      </c>
      <c r="K3183" t="s">
        <v>6444</v>
      </c>
      <c r="L3183" t="s">
        <v>16553</v>
      </c>
      <c r="M3183">
        <v>327.71</v>
      </c>
      <c r="N3183" t="s">
        <v>16554</v>
      </c>
      <c r="O3183" t="s">
        <v>26</v>
      </c>
      <c r="P3183">
        <v>142.5</v>
      </c>
      <c r="Q3183">
        <v>118.75</v>
      </c>
      <c r="R3183">
        <v>95</v>
      </c>
      <c r="S3183">
        <v>142.5</v>
      </c>
      <c r="T3183" t="s">
        <v>16555</v>
      </c>
    </row>
    <row r="3184" spans="1:20">
      <c r="A3184">
        <v>3331239</v>
      </c>
      <c r="B3184" t="s">
        <v>16556</v>
      </c>
      <c r="C3184" t="str">
        <f>"9780773509856"</f>
        <v>9780773509856</v>
      </c>
      <c r="D3184" t="str">
        <f>"9780773563834"</f>
        <v>9780773563834</v>
      </c>
      <c r="E3184" t="s">
        <v>12863</v>
      </c>
      <c r="F3184" t="s">
        <v>12863</v>
      </c>
      <c r="G3184" s="1">
        <v>33976</v>
      </c>
      <c r="J3184" t="s">
        <v>15485</v>
      </c>
      <c r="K3184" t="s">
        <v>467</v>
      </c>
      <c r="L3184" t="s">
        <v>16557</v>
      </c>
      <c r="M3184">
        <v>323.60971000000001</v>
      </c>
      <c r="N3184" t="s">
        <v>16558</v>
      </c>
      <c r="O3184" t="s">
        <v>26</v>
      </c>
      <c r="P3184">
        <v>142.5</v>
      </c>
      <c r="Q3184">
        <v>118.75</v>
      </c>
      <c r="R3184">
        <v>95</v>
      </c>
      <c r="S3184">
        <v>142.5</v>
      </c>
      <c r="T3184" t="s">
        <v>16559</v>
      </c>
    </row>
    <row r="3185" spans="1:20">
      <c r="A3185">
        <v>3331240</v>
      </c>
      <c r="B3185" t="s">
        <v>16560</v>
      </c>
      <c r="C3185" t="str">
        <f>"9780773527355"</f>
        <v>9780773527355</v>
      </c>
      <c r="D3185" t="str">
        <f>"9780773572041"</f>
        <v>9780773572041</v>
      </c>
      <c r="E3185" t="s">
        <v>12907</v>
      </c>
      <c r="F3185" t="s">
        <v>12907</v>
      </c>
      <c r="G3185" s="1">
        <v>38100</v>
      </c>
      <c r="J3185" t="s">
        <v>16561</v>
      </c>
      <c r="K3185" t="s">
        <v>291</v>
      </c>
      <c r="L3185" t="s">
        <v>16562</v>
      </c>
      <c r="M3185" t="s">
        <v>16563</v>
      </c>
      <c r="N3185" t="s">
        <v>16564</v>
      </c>
      <c r="O3185" t="s">
        <v>26</v>
      </c>
      <c r="P3185">
        <v>44.93</v>
      </c>
      <c r="Q3185">
        <v>37.44</v>
      </c>
      <c r="R3185">
        <v>29.95</v>
      </c>
      <c r="S3185">
        <v>44.93</v>
      </c>
      <c r="T3185" t="s">
        <v>16565</v>
      </c>
    </row>
    <row r="3186" spans="1:20">
      <c r="A3186">
        <v>3331241</v>
      </c>
      <c r="B3186" t="s">
        <v>16566</v>
      </c>
      <c r="C3186" t="str">
        <f>"9780773507289"</f>
        <v>9780773507289</v>
      </c>
      <c r="D3186" t="str">
        <f>"9780773562257"</f>
        <v>9780773562257</v>
      </c>
      <c r="E3186" t="s">
        <v>12863</v>
      </c>
      <c r="F3186" t="s">
        <v>12863</v>
      </c>
      <c r="G3186" s="1">
        <v>32964</v>
      </c>
      <c r="J3186" t="s">
        <v>16567</v>
      </c>
      <c r="K3186" t="s">
        <v>3230</v>
      </c>
      <c r="L3186" t="s">
        <v>16568</v>
      </c>
      <c r="M3186">
        <v>910.7</v>
      </c>
      <c r="N3186" t="s">
        <v>16569</v>
      </c>
      <c r="O3186" t="s">
        <v>26</v>
      </c>
      <c r="P3186">
        <v>142.5</v>
      </c>
      <c r="Q3186">
        <v>118.75</v>
      </c>
      <c r="R3186">
        <v>95</v>
      </c>
      <c r="S3186">
        <v>142.5</v>
      </c>
      <c r="T3186" t="s">
        <v>16570</v>
      </c>
    </row>
    <row r="3187" spans="1:20">
      <c r="A3187">
        <v>3331242</v>
      </c>
      <c r="B3187" t="s">
        <v>16571</v>
      </c>
      <c r="C3187" t="str">
        <f>"9780773518872"</f>
        <v>9780773518872</v>
      </c>
      <c r="D3187" t="str">
        <f>"9780773568013"</f>
        <v>9780773568013</v>
      </c>
      <c r="E3187" t="s">
        <v>12863</v>
      </c>
      <c r="F3187" t="s">
        <v>12863</v>
      </c>
      <c r="G3187" s="1">
        <v>36419</v>
      </c>
      <c r="I3187" t="s">
        <v>12871</v>
      </c>
      <c r="J3187" t="s">
        <v>16572</v>
      </c>
      <c r="K3187" t="s">
        <v>291</v>
      </c>
      <c r="L3187" t="s">
        <v>16573</v>
      </c>
      <c r="M3187">
        <v>971.95</v>
      </c>
      <c r="N3187" t="s">
        <v>16574</v>
      </c>
      <c r="O3187" t="s">
        <v>26</v>
      </c>
      <c r="P3187">
        <v>44.93</v>
      </c>
      <c r="Q3187">
        <v>37.44</v>
      </c>
      <c r="R3187">
        <v>29.95</v>
      </c>
      <c r="S3187">
        <v>44.93</v>
      </c>
      <c r="T3187" t="s">
        <v>16575</v>
      </c>
    </row>
    <row r="3188" spans="1:20">
      <c r="A3188">
        <v>3331243</v>
      </c>
      <c r="B3188" t="s">
        <v>16576</v>
      </c>
      <c r="C3188" t="str">
        <f>"9780886292331"</f>
        <v>9780886292331</v>
      </c>
      <c r="D3188" t="str">
        <f>"9780773573888"</f>
        <v>9780773573888</v>
      </c>
      <c r="E3188" t="s">
        <v>12863</v>
      </c>
      <c r="F3188" t="s">
        <v>12863</v>
      </c>
      <c r="G3188" s="1">
        <v>34500</v>
      </c>
      <c r="I3188" t="s">
        <v>13270</v>
      </c>
      <c r="J3188" t="s">
        <v>16577</v>
      </c>
      <c r="K3188" t="s">
        <v>291</v>
      </c>
      <c r="L3188" t="s">
        <v>16578</v>
      </c>
      <c r="M3188">
        <v>971.03809200000001</v>
      </c>
      <c r="N3188" t="s">
        <v>16579</v>
      </c>
      <c r="O3188" t="s">
        <v>26</v>
      </c>
      <c r="P3188">
        <v>112.5</v>
      </c>
      <c r="Q3188">
        <v>93.75</v>
      </c>
      <c r="R3188">
        <v>75</v>
      </c>
      <c r="S3188">
        <v>112.5</v>
      </c>
      <c r="T3188" t="s">
        <v>16580</v>
      </c>
    </row>
    <row r="3189" spans="1:20">
      <c r="A3189">
        <v>3331244</v>
      </c>
      <c r="B3189" t="s">
        <v>16581</v>
      </c>
      <c r="C3189" t="str">
        <f>"9780773507562"</f>
        <v>9780773507562</v>
      </c>
      <c r="D3189" t="str">
        <f>"9780773562448"</f>
        <v>9780773562448</v>
      </c>
      <c r="E3189" t="s">
        <v>12863</v>
      </c>
      <c r="F3189" t="s">
        <v>12863</v>
      </c>
      <c r="G3189" s="1">
        <v>33025</v>
      </c>
      <c r="I3189" t="s">
        <v>12963</v>
      </c>
      <c r="J3189" t="s">
        <v>12671</v>
      </c>
      <c r="K3189" t="s">
        <v>1859</v>
      </c>
      <c r="L3189" t="s">
        <v>16582</v>
      </c>
      <c r="M3189">
        <v>186</v>
      </c>
      <c r="N3189" t="s">
        <v>16583</v>
      </c>
      <c r="O3189" t="s">
        <v>26</v>
      </c>
      <c r="P3189">
        <v>142.5</v>
      </c>
      <c r="Q3189">
        <v>118.75</v>
      </c>
      <c r="R3189">
        <v>95</v>
      </c>
      <c r="S3189">
        <v>142.5</v>
      </c>
      <c r="T3189" t="s">
        <v>16584</v>
      </c>
    </row>
    <row r="3190" spans="1:20">
      <c r="A3190">
        <v>3331245</v>
      </c>
      <c r="B3190" t="s">
        <v>16585</v>
      </c>
      <c r="C3190" t="str">
        <f>"9780886290924"</f>
        <v>9780886290924</v>
      </c>
      <c r="D3190" t="str">
        <f>"9780773573536"</f>
        <v>9780773573536</v>
      </c>
      <c r="E3190" t="s">
        <v>12863</v>
      </c>
      <c r="F3190" t="s">
        <v>12863</v>
      </c>
      <c r="G3190" s="1">
        <v>32857</v>
      </c>
      <c r="I3190" t="s">
        <v>16501</v>
      </c>
      <c r="J3190" t="s">
        <v>16586</v>
      </c>
      <c r="K3190" t="s">
        <v>1464</v>
      </c>
      <c r="L3190" t="s">
        <v>16587</v>
      </c>
      <c r="M3190">
        <v>813.3</v>
      </c>
      <c r="N3190" t="s">
        <v>11229</v>
      </c>
      <c r="O3190" t="s">
        <v>26</v>
      </c>
      <c r="P3190">
        <v>142.5</v>
      </c>
      <c r="Q3190">
        <v>118.75</v>
      </c>
      <c r="R3190">
        <v>95</v>
      </c>
      <c r="S3190">
        <v>142.5</v>
      </c>
      <c r="T3190" t="s">
        <v>16588</v>
      </c>
    </row>
    <row r="3191" spans="1:20">
      <c r="A3191">
        <v>3331246</v>
      </c>
      <c r="B3191" t="s">
        <v>16589</v>
      </c>
      <c r="C3191" t="str">
        <f>"9780773504288"</f>
        <v>9780773504288</v>
      </c>
      <c r="D3191" t="str">
        <f>"9780773560970"</f>
        <v>9780773560970</v>
      </c>
      <c r="E3191" t="s">
        <v>12863</v>
      </c>
      <c r="F3191" t="s">
        <v>12863</v>
      </c>
      <c r="G3191" s="1">
        <v>30864</v>
      </c>
      <c r="J3191" t="s">
        <v>16590</v>
      </c>
      <c r="K3191" t="s">
        <v>305</v>
      </c>
      <c r="L3191" t="s">
        <v>16591</v>
      </c>
      <c r="M3191" t="s">
        <v>16592</v>
      </c>
      <c r="N3191" t="s">
        <v>16593</v>
      </c>
      <c r="O3191" t="s">
        <v>26</v>
      </c>
      <c r="P3191">
        <v>127.5</v>
      </c>
      <c r="Q3191">
        <v>106.25</v>
      </c>
      <c r="R3191">
        <v>85</v>
      </c>
      <c r="S3191">
        <v>127.5</v>
      </c>
      <c r="T3191" t="s">
        <v>16594</v>
      </c>
    </row>
    <row r="3192" spans="1:20">
      <c r="A3192">
        <v>3331247</v>
      </c>
      <c r="B3192" t="s">
        <v>16595</v>
      </c>
      <c r="C3192" t="str">
        <f>"9780886292447"</f>
        <v>9780886292447</v>
      </c>
      <c r="D3192" t="str">
        <f>"9780773573949"</f>
        <v>9780773573949</v>
      </c>
      <c r="E3192" t="s">
        <v>12863</v>
      </c>
      <c r="F3192" t="s">
        <v>12863</v>
      </c>
      <c r="G3192" s="1">
        <v>34500</v>
      </c>
      <c r="I3192" t="s">
        <v>16596</v>
      </c>
      <c r="J3192" t="s">
        <v>16597</v>
      </c>
      <c r="K3192" t="s">
        <v>1464</v>
      </c>
      <c r="L3192" t="s">
        <v>16598</v>
      </c>
      <c r="M3192">
        <v>839.81371999999999</v>
      </c>
      <c r="N3192" t="s">
        <v>16599</v>
      </c>
      <c r="O3192" t="s">
        <v>26</v>
      </c>
      <c r="P3192">
        <v>112.5</v>
      </c>
      <c r="Q3192">
        <v>93.75</v>
      </c>
      <c r="R3192">
        <v>75</v>
      </c>
      <c r="S3192">
        <v>112.5</v>
      </c>
      <c r="T3192" t="s">
        <v>16600</v>
      </c>
    </row>
    <row r="3193" spans="1:20">
      <c r="A3193">
        <v>3331248</v>
      </c>
      <c r="B3193" t="s">
        <v>16601</v>
      </c>
      <c r="C3193" t="str">
        <f>"9780773505698"</f>
        <v>9780773505698</v>
      </c>
      <c r="D3193" t="str">
        <f>"9780773561182"</f>
        <v>9780773561182</v>
      </c>
      <c r="E3193" t="s">
        <v>12863</v>
      </c>
      <c r="F3193" t="s">
        <v>12863</v>
      </c>
      <c r="G3193" s="1">
        <v>32082</v>
      </c>
      <c r="J3193" t="s">
        <v>16602</v>
      </c>
      <c r="K3193" t="s">
        <v>278</v>
      </c>
      <c r="L3193" t="s">
        <v>16603</v>
      </c>
      <c r="M3193">
        <v>331.88096812999999</v>
      </c>
      <c r="N3193" t="s">
        <v>16604</v>
      </c>
      <c r="O3193" t="s">
        <v>26</v>
      </c>
      <c r="P3193">
        <v>142.5</v>
      </c>
      <c r="Q3193">
        <v>118.75</v>
      </c>
      <c r="R3193">
        <v>95</v>
      </c>
      <c r="S3193">
        <v>142.5</v>
      </c>
      <c r="T3193" t="s">
        <v>16605</v>
      </c>
    </row>
    <row r="3194" spans="1:20">
      <c r="A3194">
        <v>3331249</v>
      </c>
      <c r="B3194" t="s">
        <v>16606</v>
      </c>
      <c r="C3194" t="str">
        <f>"9780886292263"</f>
        <v>9780886292263</v>
      </c>
      <c r="D3194" t="str">
        <f>"9780773573871"</f>
        <v>9780773573871</v>
      </c>
      <c r="E3194" t="s">
        <v>12907</v>
      </c>
      <c r="F3194" t="s">
        <v>12907</v>
      </c>
      <c r="G3194" s="1">
        <v>41773</v>
      </c>
      <c r="I3194" t="s">
        <v>16551</v>
      </c>
      <c r="J3194" t="s">
        <v>16607</v>
      </c>
      <c r="K3194" t="s">
        <v>6444</v>
      </c>
      <c r="L3194" t="s">
        <v>16608</v>
      </c>
      <c r="M3194">
        <v>327.71</v>
      </c>
      <c r="N3194" t="s">
        <v>16609</v>
      </c>
      <c r="O3194" t="s">
        <v>26</v>
      </c>
      <c r="P3194">
        <v>142.5</v>
      </c>
      <c r="Q3194">
        <v>118.75</v>
      </c>
      <c r="R3194">
        <v>95</v>
      </c>
      <c r="S3194">
        <v>142.5</v>
      </c>
      <c r="T3194" t="s">
        <v>16610</v>
      </c>
    </row>
    <row r="3195" spans="1:20">
      <c r="A3195">
        <v>3331250</v>
      </c>
      <c r="B3195" t="s">
        <v>16611</v>
      </c>
      <c r="C3195" t="str">
        <f>"9780886293550"</f>
        <v>9780886293550</v>
      </c>
      <c r="D3195" t="str">
        <f>"9780773574168"</f>
        <v>9780773574168</v>
      </c>
      <c r="E3195" t="s">
        <v>12863</v>
      </c>
      <c r="F3195" t="s">
        <v>12863</v>
      </c>
      <c r="G3195" s="1">
        <v>36617</v>
      </c>
      <c r="J3195" t="s">
        <v>16612</v>
      </c>
      <c r="K3195" t="s">
        <v>291</v>
      </c>
      <c r="L3195" t="s">
        <v>16613</v>
      </c>
      <c r="M3195">
        <v>973.31409199999996</v>
      </c>
      <c r="N3195" t="s">
        <v>16614</v>
      </c>
      <c r="O3195" t="s">
        <v>26</v>
      </c>
      <c r="P3195">
        <v>142.5</v>
      </c>
      <c r="Q3195">
        <v>118.75</v>
      </c>
      <c r="R3195">
        <v>95</v>
      </c>
      <c r="S3195">
        <v>142.5</v>
      </c>
      <c r="T3195" t="s">
        <v>16615</v>
      </c>
    </row>
    <row r="3196" spans="1:20">
      <c r="A3196">
        <v>3331251</v>
      </c>
      <c r="B3196" t="s">
        <v>16616</v>
      </c>
      <c r="C3196" t="str">
        <f>"9780773507432"</f>
        <v>9780773507432</v>
      </c>
      <c r="D3196" t="str">
        <f>"9780773562363"</f>
        <v>9780773562363</v>
      </c>
      <c r="E3196" t="s">
        <v>12863</v>
      </c>
      <c r="F3196" t="s">
        <v>12863</v>
      </c>
      <c r="G3196" s="1">
        <v>32994</v>
      </c>
      <c r="J3196" t="s">
        <v>16617</v>
      </c>
      <c r="K3196" t="s">
        <v>305</v>
      </c>
      <c r="L3196" t="s">
        <v>16618</v>
      </c>
      <c r="M3196">
        <v>384.54097100000001</v>
      </c>
      <c r="N3196" t="s">
        <v>16619</v>
      </c>
      <c r="O3196" t="s">
        <v>26</v>
      </c>
      <c r="P3196">
        <v>142.5</v>
      </c>
      <c r="Q3196">
        <v>118.75</v>
      </c>
      <c r="R3196">
        <v>95</v>
      </c>
      <c r="S3196">
        <v>142.5</v>
      </c>
      <c r="T3196" t="s">
        <v>16620</v>
      </c>
    </row>
    <row r="3197" spans="1:20">
      <c r="A3197">
        <v>3331252</v>
      </c>
      <c r="B3197" t="s">
        <v>16621</v>
      </c>
      <c r="C3197" t="str">
        <f>"9780886291273"</f>
        <v>9780886291273</v>
      </c>
      <c r="D3197" t="str">
        <f>"9780773573642"</f>
        <v>9780773573642</v>
      </c>
      <c r="E3197" t="s">
        <v>12863</v>
      </c>
      <c r="F3197" t="s">
        <v>12863</v>
      </c>
      <c r="G3197" s="1">
        <v>33192</v>
      </c>
      <c r="I3197" t="s">
        <v>13270</v>
      </c>
      <c r="J3197" t="s">
        <v>16622</v>
      </c>
      <c r="K3197" t="s">
        <v>263</v>
      </c>
      <c r="L3197" t="s">
        <v>16623</v>
      </c>
      <c r="M3197" t="s">
        <v>16624</v>
      </c>
      <c r="N3197" t="s">
        <v>16625</v>
      </c>
      <c r="O3197" t="s">
        <v>26</v>
      </c>
      <c r="P3197">
        <v>127.5</v>
      </c>
      <c r="Q3197">
        <v>106.25</v>
      </c>
      <c r="R3197">
        <v>85</v>
      </c>
      <c r="S3197">
        <v>127.5</v>
      </c>
      <c r="T3197" t="s">
        <v>16626</v>
      </c>
    </row>
    <row r="3198" spans="1:20">
      <c r="A3198">
        <v>3331253</v>
      </c>
      <c r="B3198" t="s">
        <v>16627</v>
      </c>
      <c r="C3198" t="str">
        <f>"9780773523760"</f>
        <v>9780773523760</v>
      </c>
      <c r="D3198" t="str">
        <f>"9780773570283"</f>
        <v>9780773570283</v>
      </c>
      <c r="E3198" t="s">
        <v>12907</v>
      </c>
      <c r="F3198" t="s">
        <v>12907</v>
      </c>
      <c r="G3198" s="1">
        <v>37575</v>
      </c>
      <c r="J3198" t="s">
        <v>16628</v>
      </c>
      <c r="K3198" t="s">
        <v>473</v>
      </c>
      <c r="L3198" t="s">
        <v>16629</v>
      </c>
      <c r="M3198" t="s">
        <v>16630</v>
      </c>
      <c r="N3198" t="s">
        <v>16631</v>
      </c>
      <c r="O3198" t="s">
        <v>26</v>
      </c>
      <c r="P3198">
        <v>142.5</v>
      </c>
      <c r="Q3198">
        <v>118.75</v>
      </c>
      <c r="R3198">
        <v>95</v>
      </c>
      <c r="S3198">
        <v>142.5</v>
      </c>
      <c r="T3198" t="s">
        <v>16632</v>
      </c>
    </row>
    <row r="3199" spans="1:20">
      <c r="A3199">
        <v>3331255</v>
      </c>
      <c r="B3199" t="s">
        <v>16633</v>
      </c>
      <c r="C3199" t="str">
        <f>"9780773518131"</f>
        <v>9780773518131</v>
      </c>
      <c r="D3199" t="str">
        <f>"9780773567610"</f>
        <v>9780773567610</v>
      </c>
      <c r="E3199" t="s">
        <v>12863</v>
      </c>
      <c r="F3199" t="s">
        <v>12863</v>
      </c>
      <c r="G3199" s="1">
        <v>36031</v>
      </c>
      <c r="J3199" t="s">
        <v>16634</v>
      </c>
      <c r="K3199" t="s">
        <v>467</v>
      </c>
      <c r="L3199" t="s">
        <v>16102</v>
      </c>
      <c r="M3199">
        <v>352.3</v>
      </c>
      <c r="N3199" t="s">
        <v>16635</v>
      </c>
      <c r="O3199" t="s">
        <v>26</v>
      </c>
      <c r="P3199">
        <v>142.5</v>
      </c>
      <c r="Q3199">
        <v>118.75</v>
      </c>
      <c r="R3199">
        <v>95</v>
      </c>
      <c r="S3199">
        <v>142.5</v>
      </c>
      <c r="T3199" t="s">
        <v>16636</v>
      </c>
    </row>
    <row r="3200" spans="1:20">
      <c r="A3200">
        <v>3331256</v>
      </c>
      <c r="B3200" t="s">
        <v>16637</v>
      </c>
      <c r="C3200" t="str">
        <f>"9780773518889"</f>
        <v>9780773518889</v>
      </c>
      <c r="D3200" t="str">
        <f>"9780773568020"</f>
        <v>9780773568020</v>
      </c>
      <c r="E3200" t="s">
        <v>12863</v>
      </c>
      <c r="F3200" t="s">
        <v>12863</v>
      </c>
      <c r="G3200" s="1">
        <v>36495</v>
      </c>
      <c r="J3200" t="s">
        <v>16638</v>
      </c>
      <c r="K3200" t="s">
        <v>467</v>
      </c>
      <c r="L3200" t="s">
        <v>16639</v>
      </c>
      <c r="M3200">
        <v>323.60000000000002</v>
      </c>
      <c r="N3200" t="s">
        <v>16640</v>
      </c>
      <c r="O3200" t="s">
        <v>26</v>
      </c>
      <c r="P3200">
        <v>142.5</v>
      </c>
      <c r="Q3200">
        <v>118.75</v>
      </c>
      <c r="R3200">
        <v>95</v>
      </c>
      <c r="S3200">
        <v>142.5</v>
      </c>
      <c r="T3200" t="s">
        <v>16641</v>
      </c>
    </row>
    <row r="3201" spans="1:20">
      <c r="A3201">
        <v>3331257</v>
      </c>
      <c r="B3201" t="s">
        <v>16642</v>
      </c>
      <c r="C3201" t="str">
        <f>"9780773509917"</f>
        <v>9780773509917</v>
      </c>
      <c r="D3201" t="str">
        <f>"9780773563889"</f>
        <v>9780773563889</v>
      </c>
      <c r="E3201" t="s">
        <v>12863</v>
      </c>
      <c r="F3201" t="s">
        <v>12863</v>
      </c>
      <c r="G3201" s="1">
        <v>34312</v>
      </c>
      <c r="J3201" t="s">
        <v>16643</v>
      </c>
      <c r="K3201" t="s">
        <v>12989</v>
      </c>
      <c r="L3201" t="s">
        <v>16644</v>
      </c>
      <c r="M3201">
        <v>613.04320971300001</v>
      </c>
      <c r="N3201" t="s">
        <v>16645</v>
      </c>
      <c r="O3201" t="s">
        <v>26</v>
      </c>
      <c r="P3201">
        <v>142.5</v>
      </c>
      <c r="Q3201">
        <v>118.75</v>
      </c>
      <c r="R3201">
        <v>95</v>
      </c>
      <c r="S3201">
        <v>142.5</v>
      </c>
      <c r="T3201" t="s">
        <v>16646</v>
      </c>
    </row>
    <row r="3202" spans="1:20">
      <c r="A3202">
        <v>3331258</v>
      </c>
      <c r="B3202" t="s">
        <v>16647</v>
      </c>
      <c r="C3202" t="str">
        <f>"9780773524255"</f>
        <v>9780773524255</v>
      </c>
      <c r="D3202" t="str">
        <f>"9780773570504"</f>
        <v>9780773570504</v>
      </c>
      <c r="E3202" t="s">
        <v>12863</v>
      </c>
      <c r="F3202" t="s">
        <v>12863</v>
      </c>
      <c r="G3202" s="1">
        <v>37651</v>
      </c>
      <c r="J3202" t="s">
        <v>16648</v>
      </c>
      <c r="K3202" t="s">
        <v>305</v>
      </c>
      <c r="L3202" t="s">
        <v>13250</v>
      </c>
      <c r="M3202">
        <v>384.09710000000001</v>
      </c>
      <c r="N3202" t="s">
        <v>16649</v>
      </c>
      <c r="O3202" t="s">
        <v>26</v>
      </c>
      <c r="P3202">
        <v>142.5</v>
      </c>
      <c r="Q3202">
        <v>118.75</v>
      </c>
      <c r="R3202">
        <v>95</v>
      </c>
      <c r="S3202">
        <v>142.5</v>
      </c>
      <c r="T3202" t="s">
        <v>16650</v>
      </c>
    </row>
    <row r="3203" spans="1:20">
      <c r="A3203">
        <v>3331259</v>
      </c>
      <c r="B3203" t="s">
        <v>16651</v>
      </c>
      <c r="C3203" t="str">
        <f>"9780773526419"</f>
        <v>9780773526419</v>
      </c>
      <c r="D3203" t="str">
        <f>"9780773571600"</f>
        <v>9780773571600</v>
      </c>
      <c r="E3203" t="s">
        <v>12863</v>
      </c>
      <c r="F3203" t="s">
        <v>12863</v>
      </c>
      <c r="G3203" s="1">
        <v>37935</v>
      </c>
      <c r="J3203" t="s">
        <v>14403</v>
      </c>
      <c r="K3203" t="s">
        <v>467</v>
      </c>
      <c r="L3203" t="s">
        <v>16652</v>
      </c>
      <c r="M3203">
        <v>323.04399999999998</v>
      </c>
      <c r="N3203" t="s">
        <v>16653</v>
      </c>
      <c r="O3203" t="s">
        <v>26</v>
      </c>
      <c r="P3203">
        <v>142.5</v>
      </c>
      <c r="Q3203">
        <v>118.75</v>
      </c>
      <c r="R3203">
        <v>95</v>
      </c>
      <c r="S3203">
        <v>142.5</v>
      </c>
      <c r="T3203" t="s">
        <v>16654</v>
      </c>
    </row>
    <row r="3204" spans="1:20">
      <c r="A3204">
        <v>3331260</v>
      </c>
      <c r="B3204" t="s">
        <v>16655</v>
      </c>
      <c r="C3204" t="str">
        <f>"9780773507616"</f>
        <v>9780773507616</v>
      </c>
      <c r="D3204" t="str">
        <f>"9780773562493"</f>
        <v>9780773562493</v>
      </c>
      <c r="E3204" t="s">
        <v>12863</v>
      </c>
      <c r="F3204" t="s">
        <v>12863</v>
      </c>
      <c r="G3204" s="1">
        <v>33147</v>
      </c>
      <c r="K3204" t="s">
        <v>257</v>
      </c>
      <c r="L3204" t="s">
        <v>16656</v>
      </c>
      <c r="M3204">
        <v>378.71810900000003</v>
      </c>
      <c r="N3204" t="s">
        <v>16657</v>
      </c>
      <c r="O3204" t="s">
        <v>26</v>
      </c>
      <c r="P3204">
        <v>142.5</v>
      </c>
      <c r="Q3204">
        <v>118.75</v>
      </c>
      <c r="R3204">
        <v>95</v>
      </c>
      <c r="S3204">
        <v>142.5</v>
      </c>
      <c r="T3204" t="s">
        <v>16658</v>
      </c>
    </row>
    <row r="3205" spans="1:20">
      <c r="A3205">
        <v>3331261</v>
      </c>
      <c r="B3205" t="s">
        <v>16659</v>
      </c>
      <c r="C3205" t="str">
        <f>"9780773508965"</f>
        <v>9780773508965</v>
      </c>
      <c r="D3205" t="str">
        <f>"9780773563308"</f>
        <v>9780773563308</v>
      </c>
      <c r="E3205" t="s">
        <v>12863</v>
      </c>
      <c r="F3205" t="s">
        <v>12863</v>
      </c>
      <c r="G3205" s="1">
        <v>33695</v>
      </c>
      <c r="I3205" t="s">
        <v>12886</v>
      </c>
      <c r="J3205" t="s">
        <v>16660</v>
      </c>
      <c r="K3205" t="s">
        <v>1892</v>
      </c>
      <c r="L3205" t="s">
        <v>16661</v>
      </c>
      <c r="M3205">
        <v>266.7</v>
      </c>
      <c r="N3205" t="s">
        <v>16662</v>
      </c>
      <c r="O3205" t="s">
        <v>26</v>
      </c>
      <c r="P3205">
        <v>142.5</v>
      </c>
      <c r="Q3205">
        <v>118.75</v>
      </c>
      <c r="R3205">
        <v>95</v>
      </c>
      <c r="S3205">
        <v>142.5</v>
      </c>
      <c r="T3205" t="s">
        <v>16663</v>
      </c>
    </row>
    <row r="3206" spans="1:20">
      <c r="A3206">
        <v>3331262</v>
      </c>
      <c r="B3206" t="s">
        <v>16664</v>
      </c>
      <c r="C3206" t="str">
        <f>"9780773509245"</f>
        <v>9780773509245</v>
      </c>
      <c r="D3206" t="str">
        <f>"9780773563537"</f>
        <v>9780773563537</v>
      </c>
      <c r="E3206" t="s">
        <v>12863</v>
      </c>
      <c r="F3206" t="s">
        <v>12863</v>
      </c>
      <c r="G3206" s="1">
        <v>33795</v>
      </c>
      <c r="I3206" t="s">
        <v>12871</v>
      </c>
      <c r="J3206" t="s">
        <v>16665</v>
      </c>
      <c r="K3206" t="s">
        <v>305</v>
      </c>
      <c r="L3206" t="s">
        <v>16666</v>
      </c>
      <c r="M3206">
        <v>658</v>
      </c>
      <c r="N3206" t="s">
        <v>16667</v>
      </c>
      <c r="O3206" t="s">
        <v>26</v>
      </c>
      <c r="P3206">
        <v>120</v>
      </c>
      <c r="Q3206">
        <v>100</v>
      </c>
      <c r="R3206">
        <v>80</v>
      </c>
      <c r="S3206">
        <v>120</v>
      </c>
      <c r="T3206" t="s">
        <v>16668</v>
      </c>
    </row>
    <row r="3207" spans="1:20">
      <c r="A3207">
        <v>3331263</v>
      </c>
      <c r="B3207" t="s">
        <v>16669</v>
      </c>
      <c r="C3207" t="str">
        <f>"9780773524453"</f>
        <v>9780773524453</v>
      </c>
      <c r="D3207" t="str">
        <f>"9780773570658"</f>
        <v>9780773570658</v>
      </c>
      <c r="E3207" t="s">
        <v>12863</v>
      </c>
      <c r="F3207" t="s">
        <v>12863</v>
      </c>
      <c r="G3207" s="1">
        <v>37670</v>
      </c>
      <c r="J3207" t="s">
        <v>16670</v>
      </c>
      <c r="K3207" t="s">
        <v>263</v>
      </c>
      <c r="L3207" t="s">
        <v>13922</v>
      </c>
      <c r="M3207">
        <v>306.80971309033998</v>
      </c>
      <c r="N3207" t="s">
        <v>16671</v>
      </c>
      <c r="O3207" t="s">
        <v>26</v>
      </c>
      <c r="P3207">
        <v>142.5</v>
      </c>
      <c r="Q3207">
        <v>118.75</v>
      </c>
      <c r="R3207">
        <v>95</v>
      </c>
      <c r="S3207">
        <v>142.5</v>
      </c>
      <c r="T3207" t="s">
        <v>16672</v>
      </c>
    </row>
    <row r="3208" spans="1:20">
      <c r="A3208">
        <v>3331264</v>
      </c>
      <c r="B3208" t="s">
        <v>16673</v>
      </c>
      <c r="C3208" t="str">
        <f>"9780773509375"</f>
        <v>9780773509375</v>
      </c>
      <c r="D3208" t="str">
        <f>"9780773563605"</f>
        <v>9780773563605</v>
      </c>
      <c r="E3208" t="s">
        <v>12863</v>
      </c>
      <c r="F3208" t="s">
        <v>12863</v>
      </c>
      <c r="G3208" s="1">
        <v>33900</v>
      </c>
      <c r="J3208" t="s">
        <v>16674</v>
      </c>
      <c r="K3208" t="s">
        <v>263</v>
      </c>
      <c r="L3208" t="s">
        <v>16675</v>
      </c>
      <c r="M3208" t="s">
        <v>16676</v>
      </c>
      <c r="N3208" t="s">
        <v>16677</v>
      </c>
      <c r="O3208" t="s">
        <v>26</v>
      </c>
      <c r="P3208">
        <v>127.5</v>
      </c>
      <c r="Q3208">
        <v>106.25</v>
      </c>
      <c r="R3208">
        <v>85</v>
      </c>
      <c r="S3208">
        <v>127.5</v>
      </c>
      <c r="T3208" t="s">
        <v>16678</v>
      </c>
    </row>
    <row r="3209" spans="1:20">
      <c r="A3209">
        <v>3331265</v>
      </c>
      <c r="B3209" t="s">
        <v>16679</v>
      </c>
      <c r="C3209" t="str">
        <f>"9780773507494"</f>
        <v>9780773507494</v>
      </c>
      <c r="D3209" t="str">
        <f>"9780773562417"</f>
        <v>9780773562417</v>
      </c>
      <c r="E3209" t="s">
        <v>12863</v>
      </c>
      <c r="F3209" t="s">
        <v>12863</v>
      </c>
      <c r="G3209" s="1">
        <v>32933</v>
      </c>
      <c r="J3209" t="s">
        <v>16680</v>
      </c>
      <c r="K3209" t="s">
        <v>263</v>
      </c>
      <c r="L3209" t="s">
        <v>16681</v>
      </c>
      <c r="M3209">
        <v>306.80971</v>
      </c>
      <c r="N3209" t="s">
        <v>16682</v>
      </c>
      <c r="O3209" t="s">
        <v>26</v>
      </c>
      <c r="P3209">
        <v>142.5</v>
      </c>
      <c r="Q3209">
        <v>118.75</v>
      </c>
      <c r="R3209">
        <v>95</v>
      </c>
      <c r="S3209">
        <v>142.5</v>
      </c>
      <c r="T3209" t="s">
        <v>16683</v>
      </c>
    </row>
    <row r="3210" spans="1:20">
      <c r="A3210">
        <v>3331266</v>
      </c>
      <c r="B3210" t="s">
        <v>16684</v>
      </c>
      <c r="C3210" t="str">
        <f>"9780773506329"</f>
        <v>9780773506329</v>
      </c>
      <c r="D3210" t="str">
        <f>"9780773561519"</f>
        <v>9780773561519</v>
      </c>
      <c r="E3210" t="s">
        <v>12907</v>
      </c>
      <c r="F3210" t="s">
        <v>12907</v>
      </c>
      <c r="G3210" s="1">
        <v>32112</v>
      </c>
      <c r="H3210">
        <v>2</v>
      </c>
      <c r="I3210" t="s">
        <v>14112</v>
      </c>
      <c r="J3210" t="s">
        <v>16685</v>
      </c>
      <c r="K3210" t="s">
        <v>467</v>
      </c>
      <c r="L3210" t="s">
        <v>16686</v>
      </c>
      <c r="M3210">
        <v>325.70999999999998</v>
      </c>
      <c r="N3210" t="s">
        <v>16687</v>
      </c>
      <c r="O3210" t="s">
        <v>26</v>
      </c>
      <c r="P3210">
        <v>127.5</v>
      </c>
      <c r="Q3210">
        <v>106.25</v>
      </c>
      <c r="R3210">
        <v>85</v>
      </c>
      <c r="S3210">
        <v>127.5</v>
      </c>
      <c r="T3210" t="s">
        <v>16688</v>
      </c>
    </row>
    <row r="3211" spans="1:20">
      <c r="A3211">
        <v>3331267</v>
      </c>
      <c r="B3211" t="s">
        <v>16689</v>
      </c>
      <c r="C3211" t="str">
        <f>"9780886290863"</f>
        <v>9780886290863</v>
      </c>
      <c r="D3211" t="str">
        <f>"9780773573529"</f>
        <v>9780773573529</v>
      </c>
      <c r="E3211" t="s">
        <v>12863</v>
      </c>
      <c r="F3211" t="s">
        <v>12863</v>
      </c>
      <c r="G3211" s="1">
        <v>32157</v>
      </c>
      <c r="I3211" t="s">
        <v>13270</v>
      </c>
      <c r="J3211" t="s">
        <v>16690</v>
      </c>
      <c r="K3211" t="s">
        <v>291</v>
      </c>
      <c r="L3211" t="s">
        <v>16691</v>
      </c>
      <c r="M3211">
        <v>971.2</v>
      </c>
      <c r="N3211" t="s">
        <v>16692</v>
      </c>
      <c r="O3211" t="s">
        <v>26</v>
      </c>
      <c r="P3211">
        <v>127.5</v>
      </c>
      <c r="Q3211">
        <v>106.25</v>
      </c>
      <c r="R3211">
        <v>85</v>
      </c>
      <c r="S3211">
        <v>127.5</v>
      </c>
      <c r="T3211" t="s">
        <v>16693</v>
      </c>
    </row>
    <row r="3212" spans="1:20">
      <c r="A3212">
        <v>3331268</v>
      </c>
      <c r="B3212" t="s">
        <v>16694</v>
      </c>
      <c r="C3212" t="str">
        <f>"9780773507388"</f>
        <v>9780773507388</v>
      </c>
      <c r="D3212" t="str">
        <f>"9780773562349"</f>
        <v>9780773562349</v>
      </c>
      <c r="E3212" t="s">
        <v>12863</v>
      </c>
      <c r="F3212" t="s">
        <v>12863</v>
      </c>
      <c r="G3212" s="1">
        <v>34793</v>
      </c>
      <c r="I3212" t="s">
        <v>14112</v>
      </c>
      <c r="J3212" t="s">
        <v>16695</v>
      </c>
      <c r="K3212" t="s">
        <v>467</v>
      </c>
      <c r="L3212" t="s">
        <v>16696</v>
      </c>
      <c r="M3212">
        <v>354.71060999999997</v>
      </c>
      <c r="N3212" t="s">
        <v>16697</v>
      </c>
      <c r="O3212" t="s">
        <v>26</v>
      </c>
      <c r="P3212">
        <v>142.5</v>
      </c>
      <c r="Q3212">
        <v>118.75</v>
      </c>
      <c r="R3212">
        <v>95</v>
      </c>
      <c r="S3212">
        <v>142.5</v>
      </c>
      <c r="T3212" t="s">
        <v>16698</v>
      </c>
    </row>
    <row r="3213" spans="1:20">
      <c r="A3213">
        <v>3331269</v>
      </c>
      <c r="B3213" t="s">
        <v>16699</v>
      </c>
      <c r="C3213" t="str">
        <f>"9780773522855"</f>
        <v>9780773522855</v>
      </c>
      <c r="D3213" t="str">
        <f>"9780773569751"</f>
        <v>9780773569751</v>
      </c>
      <c r="E3213" t="s">
        <v>12863</v>
      </c>
      <c r="F3213" t="s">
        <v>12863</v>
      </c>
      <c r="G3213" s="1">
        <v>37917</v>
      </c>
      <c r="I3213" t="s">
        <v>12871</v>
      </c>
      <c r="J3213" t="s">
        <v>16700</v>
      </c>
      <c r="K3213" t="s">
        <v>16701</v>
      </c>
      <c r="L3213" t="s">
        <v>16702</v>
      </c>
      <c r="M3213">
        <v>508.092241</v>
      </c>
      <c r="N3213" t="s">
        <v>16703</v>
      </c>
      <c r="O3213" t="s">
        <v>26</v>
      </c>
      <c r="P3213">
        <v>142.5</v>
      </c>
      <c r="Q3213">
        <v>118.75</v>
      </c>
      <c r="R3213">
        <v>95</v>
      </c>
      <c r="S3213">
        <v>142.5</v>
      </c>
      <c r="T3213" t="s">
        <v>16704</v>
      </c>
    </row>
    <row r="3214" spans="1:20">
      <c r="A3214">
        <v>3331270</v>
      </c>
      <c r="B3214" t="s">
        <v>16705</v>
      </c>
      <c r="C3214" t="str">
        <f>"9780886290542"</f>
        <v>9780886290542</v>
      </c>
      <c r="D3214" t="str">
        <f>"9780773573475"</f>
        <v>9780773573475</v>
      </c>
      <c r="E3214" t="s">
        <v>12863</v>
      </c>
      <c r="F3214" t="s">
        <v>12863</v>
      </c>
      <c r="G3214" s="1">
        <v>31427</v>
      </c>
      <c r="J3214" t="s">
        <v>16706</v>
      </c>
      <c r="K3214" t="s">
        <v>16707</v>
      </c>
      <c r="L3214" t="s">
        <v>16708</v>
      </c>
      <c r="M3214" t="s">
        <v>16709</v>
      </c>
      <c r="N3214" t="s">
        <v>16710</v>
      </c>
      <c r="O3214" t="s">
        <v>26</v>
      </c>
      <c r="P3214">
        <v>127.5</v>
      </c>
      <c r="Q3214">
        <v>106.25</v>
      </c>
      <c r="R3214">
        <v>85</v>
      </c>
      <c r="S3214">
        <v>127.5</v>
      </c>
      <c r="T3214" t="s">
        <v>16711</v>
      </c>
    </row>
    <row r="3215" spans="1:20">
      <c r="A3215">
        <v>3331271</v>
      </c>
      <c r="B3215" t="s">
        <v>16712</v>
      </c>
      <c r="C3215" t="str">
        <f>"9780773524323"</f>
        <v>9780773524323</v>
      </c>
      <c r="D3215" t="str">
        <f>"9780773570566"</f>
        <v>9780773570566</v>
      </c>
      <c r="E3215" t="s">
        <v>12907</v>
      </c>
      <c r="F3215" t="s">
        <v>12907</v>
      </c>
      <c r="G3215" s="1">
        <v>37749</v>
      </c>
      <c r="J3215" t="s">
        <v>16713</v>
      </c>
      <c r="K3215" t="s">
        <v>291</v>
      </c>
      <c r="L3215" t="s">
        <v>16714</v>
      </c>
      <c r="M3215" t="s">
        <v>16715</v>
      </c>
      <c r="N3215" t="s">
        <v>16716</v>
      </c>
      <c r="O3215" t="s">
        <v>26</v>
      </c>
      <c r="P3215">
        <v>142.5</v>
      </c>
      <c r="Q3215">
        <v>118.75</v>
      </c>
      <c r="R3215">
        <v>95</v>
      </c>
      <c r="S3215">
        <v>142.5</v>
      </c>
      <c r="T3215" t="s">
        <v>16717</v>
      </c>
    </row>
    <row r="3216" spans="1:20">
      <c r="A3216">
        <v>3331272</v>
      </c>
      <c r="B3216" t="s">
        <v>16718</v>
      </c>
      <c r="C3216" t="str">
        <f>"9780773507180"</f>
        <v>9780773507180</v>
      </c>
      <c r="D3216" t="str">
        <f>"9780773562172"</f>
        <v>9780773562172</v>
      </c>
      <c r="E3216" t="s">
        <v>12907</v>
      </c>
      <c r="F3216" t="s">
        <v>12907</v>
      </c>
      <c r="G3216" s="1">
        <v>32813</v>
      </c>
      <c r="I3216" t="s">
        <v>12942</v>
      </c>
      <c r="J3216" t="s">
        <v>16719</v>
      </c>
      <c r="K3216" t="s">
        <v>2963</v>
      </c>
      <c r="L3216" t="s">
        <v>16720</v>
      </c>
      <c r="M3216">
        <v>917.10440000000006</v>
      </c>
      <c r="N3216" t="s">
        <v>2966</v>
      </c>
      <c r="O3216" t="s">
        <v>26</v>
      </c>
      <c r="P3216">
        <v>142.5</v>
      </c>
      <c r="Q3216">
        <v>118.75</v>
      </c>
      <c r="R3216">
        <v>95</v>
      </c>
      <c r="S3216">
        <v>142.5</v>
      </c>
      <c r="T3216" t="s">
        <v>16721</v>
      </c>
    </row>
    <row r="3217" spans="1:20">
      <c r="A3217">
        <v>3331273</v>
      </c>
      <c r="B3217" t="s">
        <v>16722</v>
      </c>
      <c r="C3217" t="str">
        <f>"9780886293116"</f>
        <v>9780886293116</v>
      </c>
      <c r="D3217" t="str">
        <f>"9780773574038"</f>
        <v>9780773574038</v>
      </c>
      <c r="E3217" t="s">
        <v>12863</v>
      </c>
      <c r="F3217" t="s">
        <v>12863</v>
      </c>
      <c r="G3217" s="1">
        <v>35626</v>
      </c>
      <c r="I3217" t="s">
        <v>16501</v>
      </c>
      <c r="J3217" t="s">
        <v>16723</v>
      </c>
      <c r="K3217" t="s">
        <v>2963</v>
      </c>
      <c r="L3217" t="s">
        <v>16724</v>
      </c>
      <c r="M3217" t="s">
        <v>16725</v>
      </c>
      <c r="N3217" t="s">
        <v>16726</v>
      </c>
      <c r="O3217" t="s">
        <v>26</v>
      </c>
      <c r="P3217">
        <v>120</v>
      </c>
      <c r="Q3217">
        <v>100</v>
      </c>
      <c r="R3217">
        <v>80</v>
      </c>
      <c r="S3217">
        <v>120</v>
      </c>
      <c r="T3217" t="s">
        <v>16727</v>
      </c>
    </row>
    <row r="3218" spans="1:20">
      <c r="A3218">
        <v>3331274</v>
      </c>
      <c r="B3218" t="s">
        <v>16728</v>
      </c>
      <c r="C3218" t="str">
        <f>"9780886291624"</f>
        <v>9780886291624</v>
      </c>
      <c r="D3218" t="str">
        <f>"9780773573765"</f>
        <v>9780773573765</v>
      </c>
      <c r="E3218" t="s">
        <v>12863</v>
      </c>
      <c r="F3218" t="s">
        <v>12863</v>
      </c>
      <c r="G3218" s="1">
        <v>41773</v>
      </c>
      <c r="J3218" t="s">
        <v>16729</v>
      </c>
      <c r="K3218" t="s">
        <v>1464</v>
      </c>
      <c r="L3218" t="s">
        <v>16730</v>
      </c>
      <c r="M3218" t="s">
        <v>16731</v>
      </c>
      <c r="N3218" t="s">
        <v>16732</v>
      </c>
      <c r="O3218" t="s">
        <v>26</v>
      </c>
      <c r="P3218">
        <v>142.5</v>
      </c>
      <c r="Q3218">
        <v>118.75</v>
      </c>
      <c r="R3218">
        <v>95</v>
      </c>
      <c r="S3218">
        <v>142.5</v>
      </c>
      <c r="T3218" t="s">
        <v>16733</v>
      </c>
    </row>
    <row r="3219" spans="1:20">
      <c r="A3219">
        <v>3331275</v>
      </c>
      <c r="B3219" t="s">
        <v>16734</v>
      </c>
      <c r="C3219" t="str">
        <f>"9780773504219"</f>
        <v>9780773504219</v>
      </c>
      <c r="D3219" t="str">
        <f>"9780773560932"</f>
        <v>9780773560932</v>
      </c>
      <c r="E3219" t="s">
        <v>12863</v>
      </c>
      <c r="F3219" t="s">
        <v>12863</v>
      </c>
      <c r="G3219" s="1">
        <v>30590</v>
      </c>
      <c r="J3219" t="s">
        <v>16735</v>
      </c>
      <c r="K3219" t="s">
        <v>1471</v>
      </c>
      <c r="L3219" t="s">
        <v>16736</v>
      </c>
      <c r="M3219" t="s">
        <v>16737</v>
      </c>
      <c r="N3219" t="s">
        <v>16738</v>
      </c>
      <c r="O3219" t="s">
        <v>26</v>
      </c>
      <c r="P3219">
        <v>135</v>
      </c>
      <c r="Q3219">
        <v>112.5</v>
      </c>
      <c r="R3219">
        <v>90</v>
      </c>
      <c r="S3219">
        <v>135</v>
      </c>
      <c r="T3219" t="s">
        <v>16739</v>
      </c>
    </row>
    <row r="3220" spans="1:20">
      <c r="A3220">
        <v>3331276</v>
      </c>
      <c r="B3220" t="s">
        <v>16740</v>
      </c>
      <c r="C3220" t="str">
        <f>"9780886290993"</f>
        <v>9780886290993</v>
      </c>
      <c r="D3220" t="str">
        <f>"9780773573567"</f>
        <v>9780773573567</v>
      </c>
      <c r="E3220" t="s">
        <v>12863</v>
      </c>
      <c r="F3220" t="s">
        <v>12863</v>
      </c>
      <c r="G3220" s="1">
        <v>32704</v>
      </c>
      <c r="J3220" t="s">
        <v>16741</v>
      </c>
      <c r="K3220" t="s">
        <v>1859</v>
      </c>
      <c r="L3220" t="s">
        <v>16742</v>
      </c>
      <c r="M3220">
        <v>193</v>
      </c>
      <c r="N3220" t="s">
        <v>16743</v>
      </c>
      <c r="O3220" t="s">
        <v>26</v>
      </c>
      <c r="P3220">
        <v>142.5</v>
      </c>
      <c r="Q3220">
        <v>118.75</v>
      </c>
      <c r="R3220">
        <v>95</v>
      </c>
      <c r="S3220">
        <v>142.5</v>
      </c>
      <c r="T3220" t="s">
        <v>16744</v>
      </c>
    </row>
    <row r="3221" spans="1:20">
      <c r="A3221">
        <v>3331277</v>
      </c>
      <c r="B3221" t="s">
        <v>16745</v>
      </c>
      <c r="C3221" t="str">
        <f>"9780773524392"</f>
        <v>9780773524392</v>
      </c>
      <c r="D3221" t="str">
        <f>"9780773570603"</f>
        <v>9780773570603</v>
      </c>
      <c r="E3221" t="s">
        <v>12863</v>
      </c>
      <c r="F3221" t="s">
        <v>12863</v>
      </c>
      <c r="G3221" s="1">
        <v>37497</v>
      </c>
      <c r="J3221" t="s">
        <v>16746</v>
      </c>
      <c r="K3221" t="s">
        <v>7838</v>
      </c>
      <c r="L3221" t="s">
        <v>16747</v>
      </c>
      <c r="M3221">
        <v>728.09709045</v>
      </c>
      <c r="N3221" t="s">
        <v>16748</v>
      </c>
      <c r="O3221" t="s">
        <v>26</v>
      </c>
      <c r="P3221">
        <v>44.93</v>
      </c>
      <c r="Q3221">
        <v>37.44</v>
      </c>
      <c r="R3221">
        <v>29.95</v>
      </c>
      <c r="S3221">
        <v>44.93</v>
      </c>
      <c r="T3221" t="s">
        <v>16749</v>
      </c>
    </row>
    <row r="3222" spans="1:20">
      <c r="A3222">
        <v>3331278</v>
      </c>
      <c r="B3222" t="s">
        <v>16750</v>
      </c>
      <c r="C3222" t="str">
        <f>"9780773509344"</f>
        <v>9780773509344</v>
      </c>
      <c r="D3222" t="str">
        <f>"9780773563599"</f>
        <v>9780773563599</v>
      </c>
      <c r="E3222" t="s">
        <v>12863</v>
      </c>
      <c r="F3222" t="s">
        <v>12863</v>
      </c>
      <c r="G3222" s="1">
        <v>33848</v>
      </c>
      <c r="J3222" t="s">
        <v>14751</v>
      </c>
      <c r="K3222" t="s">
        <v>1082</v>
      </c>
      <c r="L3222" t="s">
        <v>13767</v>
      </c>
      <c r="M3222">
        <v>362.10971000000001</v>
      </c>
      <c r="N3222" t="s">
        <v>16751</v>
      </c>
      <c r="O3222" t="s">
        <v>26</v>
      </c>
      <c r="P3222">
        <v>142.5</v>
      </c>
      <c r="Q3222">
        <v>118.75</v>
      </c>
      <c r="R3222">
        <v>95</v>
      </c>
      <c r="S3222">
        <v>142.5</v>
      </c>
      <c r="T3222" t="s">
        <v>16752</v>
      </c>
    </row>
    <row r="3223" spans="1:20">
      <c r="A3223">
        <v>3331279</v>
      </c>
      <c r="B3223" t="s">
        <v>16753</v>
      </c>
      <c r="C3223" t="str">
        <f>"9780773505407"</f>
        <v>9780773505407</v>
      </c>
      <c r="D3223" t="str">
        <f>"9780773561052"</f>
        <v>9780773561052</v>
      </c>
      <c r="E3223" t="s">
        <v>12863</v>
      </c>
      <c r="F3223" t="s">
        <v>12863</v>
      </c>
      <c r="G3223" s="1">
        <v>32143</v>
      </c>
      <c r="J3223" t="s">
        <v>16754</v>
      </c>
      <c r="K3223" t="s">
        <v>7621</v>
      </c>
      <c r="L3223" t="s">
        <v>15260</v>
      </c>
      <c r="M3223">
        <v>282.71800000000002</v>
      </c>
      <c r="N3223" t="s">
        <v>16755</v>
      </c>
      <c r="O3223" t="s">
        <v>26</v>
      </c>
      <c r="P3223">
        <v>142.5</v>
      </c>
      <c r="Q3223">
        <v>118.75</v>
      </c>
      <c r="R3223">
        <v>95</v>
      </c>
      <c r="S3223">
        <v>142.5</v>
      </c>
      <c r="T3223" t="s">
        <v>16756</v>
      </c>
    </row>
    <row r="3224" spans="1:20">
      <c r="A3224">
        <v>3331280</v>
      </c>
      <c r="B3224" t="s">
        <v>16757</v>
      </c>
      <c r="C3224" t="str">
        <f>"9780773502062"</f>
        <v>9780773502062</v>
      </c>
      <c r="D3224" t="str">
        <f>"9780773560666"</f>
        <v>9780773560666</v>
      </c>
      <c r="E3224" t="s">
        <v>12863</v>
      </c>
      <c r="F3224" t="s">
        <v>12863</v>
      </c>
      <c r="G3224" s="1">
        <v>27150</v>
      </c>
      <c r="I3224" t="s">
        <v>14112</v>
      </c>
      <c r="J3224" t="s">
        <v>16758</v>
      </c>
      <c r="K3224" t="s">
        <v>899</v>
      </c>
      <c r="L3224" t="s">
        <v>16759</v>
      </c>
      <c r="M3224">
        <v>368.43009710000001</v>
      </c>
      <c r="N3224" t="s">
        <v>16760</v>
      </c>
      <c r="O3224" t="s">
        <v>26</v>
      </c>
      <c r="P3224">
        <v>127.5</v>
      </c>
      <c r="Q3224">
        <v>106.25</v>
      </c>
      <c r="R3224">
        <v>85</v>
      </c>
      <c r="S3224">
        <v>127.5</v>
      </c>
      <c r="T3224" t="s">
        <v>16761</v>
      </c>
    </row>
    <row r="3225" spans="1:20">
      <c r="A3225">
        <v>3331281</v>
      </c>
      <c r="B3225" t="s">
        <v>16762</v>
      </c>
      <c r="C3225" t="str">
        <f>"9780773508934"</f>
        <v>9780773508934</v>
      </c>
      <c r="D3225" t="str">
        <f>"9780773563285"</f>
        <v>9780773563285</v>
      </c>
      <c r="E3225" t="s">
        <v>12863</v>
      </c>
      <c r="F3225" t="s">
        <v>12863</v>
      </c>
      <c r="G3225" s="1">
        <v>33708</v>
      </c>
      <c r="I3225" t="s">
        <v>12871</v>
      </c>
      <c r="J3225" t="s">
        <v>16763</v>
      </c>
      <c r="K3225" t="s">
        <v>7063</v>
      </c>
      <c r="L3225" t="s">
        <v>16764</v>
      </c>
      <c r="M3225">
        <v>323.11970711999999</v>
      </c>
      <c r="N3225" t="s">
        <v>16765</v>
      </c>
      <c r="O3225" t="s">
        <v>26</v>
      </c>
      <c r="P3225">
        <v>112.5</v>
      </c>
      <c r="Q3225">
        <v>93.75</v>
      </c>
      <c r="R3225">
        <v>75</v>
      </c>
      <c r="S3225">
        <v>112.5</v>
      </c>
      <c r="T3225" t="s">
        <v>16766</v>
      </c>
    </row>
    <row r="3226" spans="1:20">
      <c r="A3226">
        <v>3331282</v>
      </c>
      <c r="B3226" t="s">
        <v>16767</v>
      </c>
      <c r="C3226" t="str">
        <f>"9780773506176"</f>
        <v>9780773506176</v>
      </c>
      <c r="D3226" t="str">
        <f>"9780773561441"</f>
        <v>9780773561441</v>
      </c>
      <c r="E3226" t="s">
        <v>12863</v>
      </c>
      <c r="F3226" t="s">
        <v>12863</v>
      </c>
      <c r="G3226" s="1">
        <v>32082</v>
      </c>
      <c r="J3226" t="s">
        <v>16768</v>
      </c>
      <c r="K3226" t="s">
        <v>16769</v>
      </c>
      <c r="L3226" t="s">
        <v>16770</v>
      </c>
      <c r="M3226">
        <v>523.12</v>
      </c>
      <c r="N3226" t="s">
        <v>16771</v>
      </c>
      <c r="O3226" t="s">
        <v>26</v>
      </c>
      <c r="P3226">
        <v>112.5</v>
      </c>
      <c r="Q3226">
        <v>93.75</v>
      </c>
      <c r="R3226">
        <v>75</v>
      </c>
      <c r="S3226">
        <v>112.5</v>
      </c>
      <c r="T3226" t="s">
        <v>16772</v>
      </c>
    </row>
    <row r="3227" spans="1:20">
      <c r="A3227">
        <v>3331283</v>
      </c>
      <c r="B3227" t="s">
        <v>16773</v>
      </c>
      <c r="C3227" t="str">
        <f>"9780886292201"</f>
        <v>9780886292201</v>
      </c>
      <c r="D3227" t="str">
        <f>"9780773573857"</f>
        <v>9780773573857</v>
      </c>
      <c r="E3227" t="s">
        <v>12863</v>
      </c>
      <c r="F3227" t="s">
        <v>12863</v>
      </c>
      <c r="G3227" s="1">
        <v>34592</v>
      </c>
      <c r="J3227" t="s">
        <v>16774</v>
      </c>
      <c r="K3227" t="s">
        <v>278</v>
      </c>
      <c r="L3227" t="s">
        <v>16775</v>
      </c>
      <c r="M3227">
        <v>338.95949999999999</v>
      </c>
      <c r="N3227" t="s">
        <v>16776</v>
      </c>
      <c r="O3227" t="s">
        <v>26</v>
      </c>
      <c r="P3227">
        <v>142.5</v>
      </c>
      <c r="Q3227">
        <v>118.75</v>
      </c>
      <c r="R3227">
        <v>95</v>
      </c>
      <c r="S3227">
        <v>142.5</v>
      </c>
      <c r="T3227" t="s">
        <v>16777</v>
      </c>
    </row>
    <row r="3228" spans="1:20">
      <c r="A3228">
        <v>3331284</v>
      </c>
      <c r="B3228" t="s">
        <v>16778</v>
      </c>
      <c r="C3228" t="str">
        <f>"9780886291143"</f>
        <v>9780886291143</v>
      </c>
      <c r="D3228" t="str">
        <f>"9780773573604"</f>
        <v>9780773573604</v>
      </c>
      <c r="E3228" t="s">
        <v>12863</v>
      </c>
      <c r="F3228" t="s">
        <v>12863</v>
      </c>
      <c r="G3228" s="1">
        <v>32827</v>
      </c>
      <c r="I3228" t="s">
        <v>15076</v>
      </c>
      <c r="J3228" t="s">
        <v>16779</v>
      </c>
      <c r="K3228" t="s">
        <v>10956</v>
      </c>
      <c r="L3228" t="s">
        <v>16780</v>
      </c>
      <c r="M3228">
        <v>70.92</v>
      </c>
      <c r="N3228" t="s">
        <v>16781</v>
      </c>
      <c r="O3228" t="s">
        <v>26</v>
      </c>
      <c r="P3228">
        <v>142.5</v>
      </c>
      <c r="Q3228">
        <v>118.75</v>
      </c>
      <c r="R3228">
        <v>95</v>
      </c>
      <c r="S3228">
        <v>142.5</v>
      </c>
      <c r="T3228" t="s">
        <v>16782</v>
      </c>
    </row>
    <row r="3229" spans="1:20">
      <c r="A3229">
        <v>3331285</v>
      </c>
      <c r="B3229" t="s">
        <v>16783</v>
      </c>
      <c r="C3229" t="str">
        <f>"9780773509740"</f>
        <v>9780773509740</v>
      </c>
      <c r="D3229" t="str">
        <f>"9780773563759"</f>
        <v>9780773563759</v>
      </c>
      <c r="E3229" t="s">
        <v>12863</v>
      </c>
      <c r="F3229" t="s">
        <v>12863</v>
      </c>
      <c r="G3229" s="1">
        <v>34109</v>
      </c>
      <c r="J3229" t="s">
        <v>15404</v>
      </c>
      <c r="K3229" t="s">
        <v>467</v>
      </c>
      <c r="L3229" t="s">
        <v>16784</v>
      </c>
      <c r="M3229">
        <v>354.71068500000001</v>
      </c>
      <c r="N3229" t="s">
        <v>16785</v>
      </c>
      <c r="O3229" t="s">
        <v>26</v>
      </c>
      <c r="P3229">
        <v>142.5</v>
      </c>
      <c r="Q3229">
        <v>118.75</v>
      </c>
      <c r="R3229">
        <v>95</v>
      </c>
      <c r="S3229">
        <v>142.5</v>
      </c>
      <c r="T3229" t="s">
        <v>16786</v>
      </c>
    </row>
    <row r="3230" spans="1:20">
      <c r="A3230">
        <v>3331286</v>
      </c>
      <c r="B3230" t="s">
        <v>16787</v>
      </c>
      <c r="C3230" t="str">
        <f>"9780886290436"</f>
        <v>9780886290436</v>
      </c>
      <c r="D3230" t="str">
        <f>"9780773573468"</f>
        <v>9780773573468</v>
      </c>
      <c r="E3230" t="s">
        <v>12863</v>
      </c>
      <c r="F3230" t="s">
        <v>12863</v>
      </c>
      <c r="G3230" s="1">
        <v>32157</v>
      </c>
      <c r="I3230" t="s">
        <v>16501</v>
      </c>
      <c r="J3230" t="s">
        <v>16788</v>
      </c>
      <c r="K3230" t="s">
        <v>291</v>
      </c>
      <c r="L3230" t="s">
        <v>16789</v>
      </c>
      <c r="M3230">
        <v>971.30200000000002</v>
      </c>
      <c r="N3230" t="s">
        <v>16790</v>
      </c>
      <c r="O3230" t="s">
        <v>26</v>
      </c>
      <c r="P3230">
        <v>49.43</v>
      </c>
      <c r="Q3230">
        <v>41.19</v>
      </c>
      <c r="R3230">
        <v>32.950000000000003</v>
      </c>
      <c r="S3230">
        <v>49.43</v>
      </c>
      <c r="T3230" t="s">
        <v>16791</v>
      </c>
    </row>
    <row r="3231" spans="1:20">
      <c r="A3231">
        <v>3331287</v>
      </c>
      <c r="B3231" t="s">
        <v>16792</v>
      </c>
      <c r="C3231" t="str">
        <f>"9780773510173"</f>
        <v>9780773510173</v>
      </c>
      <c r="D3231" t="str">
        <f>"9780773564114"</f>
        <v>9780773564114</v>
      </c>
      <c r="E3231" t="s">
        <v>12863</v>
      </c>
      <c r="F3231" t="s">
        <v>12863</v>
      </c>
      <c r="G3231" s="1">
        <v>34515</v>
      </c>
      <c r="I3231" t="s">
        <v>12963</v>
      </c>
      <c r="J3231" t="s">
        <v>16793</v>
      </c>
      <c r="K3231" t="s">
        <v>467</v>
      </c>
      <c r="L3231" t="s">
        <v>16794</v>
      </c>
      <c r="M3231">
        <v>320.08999999999997</v>
      </c>
      <c r="N3231" t="s">
        <v>16795</v>
      </c>
      <c r="O3231" t="s">
        <v>26</v>
      </c>
      <c r="P3231">
        <v>142.5</v>
      </c>
      <c r="Q3231">
        <v>118.75</v>
      </c>
      <c r="R3231">
        <v>95</v>
      </c>
      <c r="S3231">
        <v>142.5</v>
      </c>
      <c r="T3231" t="s">
        <v>16796</v>
      </c>
    </row>
    <row r="3232" spans="1:20">
      <c r="A3232">
        <v>3331288</v>
      </c>
      <c r="B3232" t="s">
        <v>16797</v>
      </c>
      <c r="C3232" t="str">
        <f>"9780773509337"</f>
        <v>9780773509337</v>
      </c>
      <c r="D3232" t="str">
        <f>"9780773563582"</f>
        <v>9780773563582</v>
      </c>
      <c r="E3232" t="s">
        <v>12863</v>
      </c>
      <c r="F3232" t="s">
        <v>12863</v>
      </c>
      <c r="G3232" s="1">
        <v>33959</v>
      </c>
      <c r="I3232" t="s">
        <v>13288</v>
      </c>
      <c r="J3232" t="s">
        <v>16798</v>
      </c>
      <c r="K3232" t="s">
        <v>291</v>
      </c>
      <c r="L3232" t="s">
        <v>16799</v>
      </c>
      <c r="M3232">
        <v>971.43401400000005</v>
      </c>
      <c r="N3232" t="s">
        <v>16800</v>
      </c>
      <c r="O3232" t="s">
        <v>94</v>
      </c>
      <c r="P3232">
        <v>150</v>
      </c>
      <c r="Q3232">
        <v>125</v>
      </c>
      <c r="R3232">
        <v>100</v>
      </c>
      <c r="S3232">
        <v>150</v>
      </c>
      <c r="T3232" t="s">
        <v>16801</v>
      </c>
    </row>
    <row r="3233" spans="1:20">
      <c r="A3233">
        <v>3331289</v>
      </c>
      <c r="B3233" t="s">
        <v>16802</v>
      </c>
      <c r="C3233" t="str">
        <f>"9780773523524"</f>
        <v>9780773523524</v>
      </c>
      <c r="D3233" t="str">
        <f>"9780773570146"</f>
        <v>9780773570146</v>
      </c>
      <c r="E3233" t="s">
        <v>12907</v>
      </c>
      <c r="F3233" t="s">
        <v>12907</v>
      </c>
      <c r="G3233" s="1">
        <v>37585</v>
      </c>
      <c r="J3233" t="s">
        <v>16803</v>
      </c>
      <c r="K3233" t="s">
        <v>263</v>
      </c>
      <c r="L3233" t="s">
        <v>16804</v>
      </c>
      <c r="M3233">
        <v>307</v>
      </c>
      <c r="N3233" t="s">
        <v>16805</v>
      </c>
      <c r="O3233" t="s">
        <v>26</v>
      </c>
      <c r="P3233">
        <v>142.5</v>
      </c>
      <c r="Q3233">
        <v>118.75</v>
      </c>
      <c r="R3233">
        <v>95</v>
      </c>
      <c r="S3233">
        <v>142.5</v>
      </c>
      <c r="T3233" t="s">
        <v>16806</v>
      </c>
    </row>
    <row r="3234" spans="1:20">
      <c r="A3234">
        <v>3331290</v>
      </c>
      <c r="B3234" t="s">
        <v>16807</v>
      </c>
      <c r="C3234" t="str">
        <f>"9780773506268"</f>
        <v>9780773506268</v>
      </c>
      <c r="D3234" t="str">
        <f>"9780773561496"</f>
        <v>9780773561496</v>
      </c>
      <c r="E3234" t="s">
        <v>12863</v>
      </c>
      <c r="F3234" t="s">
        <v>12863</v>
      </c>
      <c r="G3234" s="1">
        <v>32387</v>
      </c>
      <c r="I3234" t="s">
        <v>13270</v>
      </c>
      <c r="J3234" t="s">
        <v>16808</v>
      </c>
      <c r="K3234" t="s">
        <v>291</v>
      </c>
      <c r="L3234" t="s">
        <v>15361</v>
      </c>
      <c r="M3234">
        <v>971.30049699999995</v>
      </c>
      <c r="N3234" t="s">
        <v>16809</v>
      </c>
      <c r="O3234" t="s">
        <v>26</v>
      </c>
      <c r="P3234">
        <v>180</v>
      </c>
      <c r="Q3234">
        <v>150</v>
      </c>
      <c r="R3234">
        <v>120</v>
      </c>
      <c r="S3234">
        <v>180</v>
      </c>
      <c r="T3234" t="s">
        <v>16810</v>
      </c>
    </row>
    <row r="3235" spans="1:20">
      <c r="A3235">
        <v>3331291</v>
      </c>
      <c r="B3235" t="s">
        <v>16811</v>
      </c>
      <c r="C3235" t="str">
        <f>"9780773524262"</f>
        <v>9780773524262</v>
      </c>
      <c r="D3235" t="str">
        <f>"9780773570511"</f>
        <v>9780773570511</v>
      </c>
      <c r="E3235" t="s">
        <v>12863</v>
      </c>
      <c r="F3235" t="s">
        <v>12863</v>
      </c>
      <c r="G3235" s="1">
        <v>37424</v>
      </c>
      <c r="J3235" t="s">
        <v>16812</v>
      </c>
      <c r="K3235" t="s">
        <v>1892</v>
      </c>
      <c r="L3235" t="s">
        <v>16813</v>
      </c>
      <c r="M3235">
        <v>297.5</v>
      </c>
      <c r="N3235" t="s">
        <v>16814</v>
      </c>
      <c r="O3235" t="s">
        <v>26</v>
      </c>
      <c r="P3235">
        <v>142.5</v>
      </c>
      <c r="Q3235">
        <v>118.75</v>
      </c>
      <c r="R3235">
        <v>95</v>
      </c>
      <c r="S3235">
        <v>142.5</v>
      </c>
      <c r="T3235" t="s">
        <v>16815</v>
      </c>
    </row>
    <row r="3236" spans="1:20">
      <c r="A3236">
        <v>3331292</v>
      </c>
      <c r="B3236" t="s">
        <v>16816</v>
      </c>
      <c r="C3236" t="str">
        <f>"9780773516830"</f>
        <v>9780773516830</v>
      </c>
      <c r="D3236" t="str">
        <f>"9780773566996"</f>
        <v>9780773566996</v>
      </c>
      <c r="E3236" t="s">
        <v>12863</v>
      </c>
      <c r="F3236" t="s">
        <v>12863</v>
      </c>
      <c r="G3236" s="1">
        <v>35935</v>
      </c>
      <c r="J3236" t="s">
        <v>16817</v>
      </c>
      <c r="K3236" t="s">
        <v>1464</v>
      </c>
      <c r="L3236" t="s">
        <v>16818</v>
      </c>
      <c r="M3236">
        <v>821.3</v>
      </c>
      <c r="N3236" t="s">
        <v>16819</v>
      </c>
      <c r="O3236" t="s">
        <v>26</v>
      </c>
      <c r="P3236">
        <v>142.5</v>
      </c>
      <c r="Q3236">
        <v>118.75</v>
      </c>
      <c r="R3236">
        <v>95</v>
      </c>
      <c r="S3236">
        <v>142.5</v>
      </c>
      <c r="T3236" t="s">
        <v>16820</v>
      </c>
    </row>
    <row r="3237" spans="1:20">
      <c r="A3237">
        <v>3331293</v>
      </c>
      <c r="B3237" t="s">
        <v>16821</v>
      </c>
      <c r="C3237" t="str">
        <f>"9780886291259"</f>
        <v>9780886291259</v>
      </c>
      <c r="D3237" t="str">
        <f>"9780773573635"</f>
        <v>9780773573635</v>
      </c>
      <c r="E3237" t="s">
        <v>12863</v>
      </c>
      <c r="F3237" t="s">
        <v>12863</v>
      </c>
      <c r="G3237" s="1">
        <v>33253</v>
      </c>
      <c r="I3237" t="s">
        <v>13270</v>
      </c>
      <c r="J3237" t="s">
        <v>16822</v>
      </c>
      <c r="K3237" t="s">
        <v>1892</v>
      </c>
      <c r="L3237" t="s">
        <v>16823</v>
      </c>
      <c r="M3237" t="s">
        <v>16824</v>
      </c>
      <c r="N3237" t="s">
        <v>16825</v>
      </c>
      <c r="O3237" t="s">
        <v>26</v>
      </c>
      <c r="P3237">
        <v>97.5</v>
      </c>
      <c r="Q3237">
        <v>81.25</v>
      </c>
      <c r="R3237">
        <v>65</v>
      </c>
      <c r="S3237">
        <v>97.5</v>
      </c>
      <c r="T3237" t="s">
        <v>16826</v>
      </c>
    </row>
    <row r="3238" spans="1:20">
      <c r="A3238">
        <v>3331294</v>
      </c>
      <c r="B3238" t="s">
        <v>16827</v>
      </c>
      <c r="C3238" t="str">
        <f>"9780773522886"</f>
        <v>9780773522886</v>
      </c>
      <c r="D3238" t="str">
        <f>"9780773569775"</f>
        <v>9780773569775</v>
      </c>
      <c r="E3238" t="s">
        <v>12863</v>
      </c>
      <c r="F3238" t="s">
        <v>12863</v>
      </c>
      <c r="G3238" s="1">
        <v>37172</v>
      </c>
      <c r="J3238" t="s">
        <v>16828</v>
      </c>
      <c r="K3238" t="s">
        <v>1859</v>
      </c>
      <c r="L3238" t="s">
        <v>16829</v>
      </c>
      <c r="M3238">
        <v>194</v>
      </c>
      <c r="N3238" t="s">
        <v>16830</v>
      </c>
      <c r="O3238" t="s">
        <v>26</v>
      </c>
      <c r="P3238">
        <v>142.5</v>
      </c>
      <c r="Q3238">
        <v>118.75</v>
      </c>
      <c r="R3238">
        <v>95</v>
      </c>
      <c r="S3238">
        <v>142.5</v>
      </c>
      <c r="T3238" t="s">
        <v>16831</v>
      </c>
    </row>
    <row r="3239" spans="1:20">
      <c r="A3239">
        <v>3331295</v>
      </c>
      <c r="B3239" t="s">
        <v>16832</v>
      </c>
      <c r="C3239" t="str">
        <f>"9780773509832"</f>
        <v>9780773509832</v>
      </c>
      <c r="D3239" t="str">
        <f>"9780773563810"</f>
        <v>9780773563810</v>
      </c>
      <c r="E3239" t="s">
        <v>12863</v>
      </c>
      <c r="F3239" t="s">
        <v>12863</v>
      </c>
      <c r="G3239" s="1">
        <v>34361</v>
      </c>
      <c r="J3239" t="s">
        <v>16833</v>
      </c>
      <c r="K3239" t="s">
        <v>416</v>
      </c>
      <c r="L3239" t="s">
        <v>16834</v>
      </c>
      <c r="M3239" t="s">
        <v>16835</v>
      </c>
      <c r="N3239" t="s">
        <v>16836</v>
      </c>
      <c r="O3239" t="s">
        <v>26</v>
      </c>
      <c r="P3239">
        <v>135</v>
      </c>
      <c r="Q3239">
        <v>112.5</v>
      </c>
      <c r="R3239">
        <v>90</v>
      </c>
      <c r="S3239">
        <v>135</v>
      </c>
      <c r="T3239" t="s">
        <v>16837</v>
      </c>
    </row>
    <row r="3240" spans="1:20">
      <c r="A3240">
        <v>3331296</v>
      </c>
      <c r="B3240" t="s">
        <v>16838</v>
      </c>
      <c r="C3240" t="str">
        <f>"9780886293406"</f>
        <v>9780886293406</v>
      </c>
      <c r="D3240" t="str">
        <f>"9780773574090"</f>
        <v>9780773574090</v>
      </c>
      <c r="E3240" t="s">
        <v>12863</v>
      </c>
      <c r="F3240" t="s">
        <v>12863</v>
      </c>
      <c r="G3240" s="1">
        <v>36249</v>
      </c>
      <c r="J3240" t="s">
        <v>16839</v>
      </c>
      <c r="K3240" t="s">
        <v>1464</v>
      </c>
      <c r="L3240" t="s">
        <v>16840</v>
      </c>
      <c r="M3240" t="s">
        <v>1545</v>
      </c>
      <c r="N3240" t="s">
        <v>16841</v>
      </c>
      <c r="O3240" t="s">
        <v>26</v>
      </c>
      <c r="P3240">
        <v>105</v>
      </c>
      <c r="Q3240">
        <v>87.5</v>
      </c>
      <c r="R3240">
        <v>70</v>
      </c>
      <c r="S3240">
        <v>105</v>
      </c>
      <c r="T3240" t="s">
        <v>16842</v>
      </c>
    </row>
    <row r="3241" spans="1:20">
      <c r="A3241">
        <v>3331297</v>
      </c>
      <c r="B3241" t="s">
        <v>16843</v>
      </c>
      <c r="C3241" t="str">
        <f>"9780773522732"</f>
        <v>9780773522732</v>
      </c>
      <c r="D3241" t="str">
        <f>"9780773569706"</f>
        <v>9780773569706</v>
      </c>
      <c r="E3241" t="s">
        <v>12907</v>
      </c>
      <c r="F3241" t="s">
        <v>12907</v>
      </c>
      <c r="G3241" s="1">
        <v>37230</v>
      </c>
      <c r="J3241" t="s">
        <v>16844</v>
      </c>
      <c r="K3241" t="s">
        <v>1464</v>
      </c>
      <c r="L3241" t="s">
        <v>16845</v>
      </c>
      <c r="M3241" t="s">
        <v>16846</v>
      </c>
      <c r="N3241" t="s">
        <v>16847</v>
      </c>
      <c r="O3241" t="s">
        <v>26</v>
      </c>
      <c r="P3241">
        <v>142.5</v>
      </c>
      <c r="Q3241">
        <v>118.75</v>
      </c>
      <c r="R3241">
        <v>95</v>
      </c>
      <c r="S3241">
        <v>142.5</v>
      </c>
      <c r="T3241" t="s">
        <v>16848</v>
      </c>
    </row>
    <row r="3242" spans="1:20">
      <c r="A3242">
        <v>3331298</v>
      </c>
      <c r="B3242" t="s">
        <v>16849</v>
      </c>
      <c r="C3242" t="str">
        <f>"9780886292508"</f>
        <v>9780886292508</v>
      </c>
      <c r="D3242" t="str">
        <f>"9780773573963"</f>
        <v>9780773573963</v>
      </c>
      <c r="E3242" t="s">
        <v>12863</v>
      </c>
      <c r="F3242" t="s">
        <v>12863</v>
      </c>
      <c r="G3242" s="1">
        <v>34865</v>
      </c>
      <c r="I3242" t="s">
        <v>15076</v>
      </c>
      <c r="J3242" t="s">
        <v>16850</v>
      </c>
      <c r="K3242" t="s">
        <v>1464</v>
      </c>
      <c r="L3242" t="s">
        <v>16851</v>
      </c>
      <c r="M3242">
        <v>811.52</v>
      </c>
      <c r="N3242" t="s">
        <v>16852</v>
      </c>
      <c r="O3242" t="s">
        <v>26</v>
      </c>
      <c r="P3242">
        <v>142.5</v>
      </c>
      <c r="Q3242">
        <v>118.75</v>
      </c>
      <c r="R3242">
        <v>95</v>
      </c>
      <c r="S3242">
        <v>142.5</v>
      </c>
      <c r="T3242" t="s">
        <v>16853</v>
      </c>
    </row>
    <row r="3243" spans="1:20">
      <c r="A3243">
        <v>3331299</v>
      </c>
      <c r="B3243" t="s">
        <v>16854</v>
      </c>
      <c r="C3243" t="str">
        <f>"9780773509283"</f>
        <v>9780773509283</v>
      </c>
      <c r="D3243" t="str">
        <f>"9780773563575"</f>
        <v>9780773563575</v>
      </c>
      <c r="E3243" t="s">
        <v>12863</v>
      </c>
      <c r="F3243" t="s">
        <v>12863</v>
      </c>
      <c r="G3243" s="1">
        <v>35810</v>
      </c>
      <c r="I3243" t="s">
        <v>16408</v>
      </c>
      <c r="J3243" t="s">
        <v>16855</v>
      </c>
      <c r="K3243" t="s">
        <v>16856</v>
      </c>
      <c r="L3243" t="s">
        <v>16857</v>
      </c>
      <c r="M3243">
        <v>551.69709999999998</v>
      </c>
      <c r="N3243" t="s">
        <v>16858</v>
      </c>
      <c r="O3243" t="s">
        <v>26</v>
      </c>
      <c r="P3243">
        <v>150</v>
      </c>
      <c r="Q3243">
        <v>125</v>
      </c>
      <c r="R3243">
        <v>100</v>
      </c>
      <c r="S3243">
        <v>150</v>
      </c>
      <c r="T3243" t="s">
        <v>16859</v>
      </c>
    </row>
    <row r="3244" spans="1:20">
      <c r="A3244">
        <v>3331300</v>
      </c>
      <c r="B3244" t="s">
        <v>16860</v>
      </c>
      <c r="C3244" t="str">
        <f>"9780773506367"</f>
        <v>9780773506367</v>
      </c>
      <c r="D3244" t="str">
        <f>"9780773561533"</f>
        <v>9780773561533</v>
      </c>
      <c r="E3244" t="s">
        <v>12907</v>
      </c>
      <c r="F3244" t="s">
        <v>12907</v>
      </c>
      <c r="G3244" s="1">
        <v>32112</v>
      </c>
      <c r="I3244" t="s">
        <v>12886</v>
      </c>
      <c r="J3244" t="s">
        <v>16861</v>
      </c>
      <c r="K3244" t="s">
        <v>263</v>
      </c>
      <c r="L3244" t="s">
        <v>16862</v>
      </c>
      <c r="M3244">
        <v>304.60941500000001</v>
      </c>
      <c r="N3244" t="s">
        <v>16863</v>
      </c>
      <c r="O3244" t="s">
        <v>26</v>
      </c>
      <c r="P3244">
        <v>112.5</v>
      </c>
      <c r="Q3244">
        <v>93.75</v>
      </c>
      <c r="R3244">
        <v>75</v>
      </c>
      <c r="S3244">
        <v>112.5</v>
      </c>
      <c r="T3244" t="s">
        <v>16864</v>
      </c>
    </row>
    <row r="3245" spans="1:20">
      <c r="A3245">
        <v>3331301</v>
      </c>
      <c r="B3245" t="s">
        <v>16865</v>
      </c>
      <c r="C3245" t="str">
        <f>"9780886290795"</f>
        <v>9780886290795</v>
      </c>
      <c r="D3245" t="str">
        <f>"9780773573512"</f>
        <v>9780773573512</v>
      </c>
      <c r="E3245" t="s">
        <v>12863</v>
      </c>
      <c r="F3245" t="s">
        <v>12863</v>
      </c>
      <c r="G3245" s="1">
        <v>32492</v>
      </c>
      <c r="J3245" t="s">
        <v>15511</v>
      </c>
      <c r="K3245" t="s">
        <v>1464</v>
      </c>
      <c r="L3245" t="s">
        <v>16866</v>
      </c>
      <c r="M3245">
        <v>883.01</v>
      </c>
      <c r="N3245" t="s">
        <v>16867</v>
      </c>
      <c r="O3245" t="s">
        <v>26</v>
      </c>
      <c r="P3245">
        <v>142.5</v>
      </c>
      <c r="Q3245">
        <v>118.75</v>
      </c>
      <c r="R3245">
        <v>95</v>
      </c>
      <c r="S3245">
        <v>142.5</v>
      </c>
      <c r="T3245" t="s">
        <v>16868</v>
      </c>
    </row>
    <row r="3246" spans="1:20">
      <c r="A3246">
        <v>3331302</v>
      </c>
      <c r="B3246" t="s">
        <v>16869</v>
      </c>
      <c r="C3246" t="str">
        <f>"9780886292324"</f>
        <v>9780886292324</v>
      </c>
      <c r="D3246" t="str">
        <f>"9780773573895"</f>
        <v>9780773573895</v>
      </c>
      <c r="E3246" t="s">
        <v>12863</v>
      </c>
      <c r="F3246" t="s">
        <v>12863</v>
      </c>
      <c r="G3246" s="1">
        <v>34592</v>
      </c>
      <c r="I3246" t="s">
        <v>13270</v>
      </c>
      <c r="J3246" t="s">
        <v>16870</v>
      </c>
      <c r="K3246" t="s">
        <v>291</v>
      </c>
      <c r="L3246" t="s">
        <v>16871</v>
      </c>
      <c r="M3246">
        <v>971.33799999999997</v>
      </c>
      <c r="N3246" t="s">
        <v>16872</v>
      </c>
      <c r="O3246" t="s">
        <v>26</v>
      </c>
      <c r="P3246">
        <v>142.5</v>
      </c>
      <c r="Q3246">
        <v>118.75</v>
      </c>
      <c r="R3246">
        <v>95</v>
      </c>
      <c r="S3246">
        <v>142.5</v>
      </c>
      <c r="T3246" t="s">
        <v>16873</v>
      </c>
    </row>
    <row r="3247" spans="1:20">
      <c r="A3247">
        <v>3331303</v>
      </c>
      <c r="B3247" t="s">
        <v>16874</v>
      </c>
      <c r="C3247" t="str">
        <f>"9780773507326"</f>
        <v>9780773507326</v>
      </c>
      <c r="D3247" t="str">
        <f>"9780773562295"</f>
        <v>9780773562295</v>
      </c>
      <c r="E3247" t="s">
        <v>12863</v>
      </c>
      <c r="F3247" t="s">
        <v>12863</v>
      </c>
      <c r="G3247" s="1">
        <v>32933</v>
      </c>
      <c r="J3247" t="s">
        <v>16875</v>
      </c>
      <c r="K3247" t="s">
        <v>4081</v>
      </c>
      <c r="L3247" t="s">
        <v>16876</v>
      </c>
      <c r="M3247">
        <v>440</v>
      </c>
      <c r="N3247" t="s">
        <v>16877</v>
      </c>
      <c r="O3247" t="s">
        <v>26</v>
      </c>
      <c r="P3247">
        <v>142.5</v>
      </c>
      <c r="Q3247">
        <v>118.75</v>
      </c>
      <c r="R3247">
        <v>95</v>
      </c>
      <c r="S3247">
        <v>142.5</v>
      </c>
      <c r="T3247" t="s">
        <v>16878</v>
      </c>
    </row>
    <row r="3248" spans="1:20">
      <c r="A3248">
        <v>3331304</v>
      </c>
      <c r="B3248" t="s">
        <v>16879</v>
      </c>
      <c r="C3248" t="str">
        <f>"9780773503878"</f>
        <v>9780773503878</v>
      </c>
      <c r="D3248" t="str">
        <f>"9780773560826"</f>
        <v>9780773560826</v>
      </c>
      <c r="E3248" t="s">
        <v>12863</v>
      </c>
      <c r="F3248" t="s">
        <v>12863</v>
      </c>
      <c r="G3248" s="1">
        <v>30286</v>
      </c>
      <c r="J3248" t="s">
        <v>14062</v>
      </c>
      <c r="K3248" t="s">
        <v>291</v>
      </c>
      <c r="L3248" t="s">
        <v>14063</v>
      </c>
      <c r="M3248">
        <v>971.60209239999995</v>
      </c>
      <c r="N3248" t="s">
        <v>14064</v>
      </c>
      <c r="O3248" t="s">
        <v>26</v>
      </c>
      <c r="P3248">
        <v>142.5</v>
      </c>
      <c r="Q3248">
        <v>118.75</v>
      </c>
      <c r="R3248">
        <v>95</v>
      </c>
      <c r="S3248">
        <v>142.5</v>
      </c>
      <c r="T3248" t="s">
        <v>16880</v>
      </c>
    </row>
    <row r="3249" spans="1:20">
      <c r="A3249">
        <v>3331305</v>
      </c>
      <c r="B3249" t="s">
        <v>16881</v>
      </c>
      <c r="C3249" t="str">
        <f>"9780773524064"</f>
        <v>9780773524064</v>
      </c>
      <c r="D3249" t="str">
        <f>"9780773570429"</f>
        <v>9780773570429</v>
      </c>
      <c r="E3249" t="s">
        <v>12863</v>
      </c>
      <c r="F3249" t="s">
        <v>12863</v>
      </c>
      <c r="G3249" s="1">
        <v>37329</v>
      </c>
      <c r="J3249" t="s">
        <v>12902</v>
      </c>
      <c r="K3249" t="s">
        <v>257</v>
      </c>
      <c r="L3249" t="s">
        <v>13135</v>
      </c>
      <c r="M3249">
        <v>378.01209710000001</v>
      </c>
      <c r="N3249" t="s">
        <v>16882</v>
      </c>
      <c r="O3249" t="s">
        <v>26</v>
      </c>
      <c r="P3249">
        <v>142.5</v>
      </c>
      <c r="Q3249">
        <v>118.75</v>
      </c>
      <c r="R3249">
        <v>95</v>
      </c>
      <c r="S3249">
        <v>142.5</v>
      </c>
      <c r="T3249" t="s">
        <v>16883</v>
      </c>
    </row>
    <row r="3250" spans="1:20">
      <c r="A3250">
        <v>3331306</v>
      </c>
      <c r="B3250" t="s">
        <v>16884</v>
      </c>
      <c r="C3250" t="str">
        <f>"9780773522534"</f>
        <v>9780773522534</v>
      </c>
      <c r="D3250" t="str">
        <f>"9780773569577"</f>
        <v>9780773569577</v>
      </c>
      <c r="E3250" t="s">
        <v>12863</v>
      </c>
      <c r="F3250" t="s">
        <v>12863</v>
      </c>
      <c r="G3250" s="1">
        <v>37279</v>
      </c>
      <c r="I3250" t="s">
        <v>14082</v>
      </c>
      <c r="J3250" t="s">
        <v>16885</v>
      </c>
      <c r="K3250" t="s">
        <v>3219</v>
      </c>
      <c r="L3250" t="s">
        <v>13130</v>
      </c>
      <c r="M3250">
        <v>917.19504199999994</v>
      </c>
      <c r="N3250" t="s">
        <v>16886</v>
      </c>
      <c r="O3250" t="s">
        <v>26</v>
      </c>
      <c r="P3250">
        <v>142.5</v>
      </c>
      <c r="Q3250">
        <v>118.75</v>
      </c>
      <c r="R3250">
        <v>95</v>
      </c>
      <c r="S3250">
        <v>142.5</v>
      </c>
      <c r="T3250" t="s">
        <v>16887</v>
      </c>
    </row>
    <row r="3251" spans="1:20">
      <c r="A3251">
        <v>3331307</v>
      </c>
      <c r="B3251" t="s">
        <v>16888</v>
      </c>
      <c r="C3251" t="str">
        <f>"9780886292362"</f>
        <v>9780886292362</v>
      </c>
      <c r="D3251" t="str">
        <f>"9780773573918"</f>
        <v>9780773573918</v>
      </c>
      <c r="E3251" t="s">
        <v>12863</v>
      </c>
      <c r="F3251" t="s">
        <v>12863</v>
      </c>
      <c r="G3251" s="1">
        <v>34500</v>
      </c>
      <c r="I3251" t="s">
        <v>13270</v>
      </c>
      <c r="J3251" t="s">
        <v>16889</v>
      </c>
      <c r="K3251" t="s">
        <v>1892</v>
      </c>
      <c r="L3251" t="s">
        <v>16890</v>
      </c>
      <c r="M3251">
        <v>285.27100000000002</v>
      </c>
      <c r="N3251" t="s">
        <v>16891</v>
      </c>
      <c r="O3251" t="s">
        <v>26</v>
      </c>
      <c r="P3251">
        <v>127.5</v>
      </c>
      <c r="Q3251">
        <v>106.25</v>
      </c>
      <c r="R3251">
        <v>85</v>
      </c>
      <c r="S3251">
        <v>127.5</v>
      </c>
      <c r="T3251" t="s">
        <v>16892</v>
      </c>
    </row>
    <row r="3252" spans="1:20">
      <c r="A3252">
        <v>3331308</v>
      </c>
      <c r="B3252" t="s">
        <v>16893</v>
      </c>
      <c r="C3252" t="str">
        <f>"9780886291327"</f>
        <v>9780886291327</v>
      </c>
      <c r="D3252" t="str">
        <f>"9780773573659"</f>
        <v>9780773573659</v>
      </c>
      <c r="E3252" t="s">
        <v>12863</v>
      </c>
      <c r="F3252" t="s">
        <v>12863</v>
      </c>
      <c r="G3252" s="1">
        <v>33192</v>
      </c>
      <c r="I3252" t="s">
        <v>13270</v>
      </c>
      <c r="J3252" t="s">
        <v>16894</v>
      </c>
      <c r="K3252" t="s">
        <v>16895</v>
      </c>
      <c r="L3252" t="s">
        <v>13100</v>
      </c>
      <c r="M3252">
        <v>191</v>
      </c>
      <c r="N3252" t="s">
        <v>16896</v>
      </c>
      <c r="O3252" t="s">
        <v>26</v>
      </c>
      <c r="P3252">
        <v>142.5</v>
      </c>
      <c r="Q3252">
        <v>118.75</v>
      </c>
      <c r="R3252">
        <v>95</v>
      </c>
      <c r="S3252">
        <v>142.5</v>
      </c>
      <c r="T3252" t="s">
        <v>16897</v>
      </c>
    </row>
    <row r="3253" spans="1:20">
      <c r="A3253">
        <v>3331309</v>
      </c>
      <c r="B3253" t="s">
        <v>16898</v>
      </c>
      <c r="C3253" t="str">
        <f>"9780886290139"</f>
        <v>9780886290139</v>
      </c>
      <c r="D3253" t="str">
        <f>"9780773573376"</f>
        <v>9780773573376</v>
      </c>
      <c r="E3253" t="s">
        <v>12863</v>
      </c>
      <c r="F3253" t="s">
        <v>12863</v>
      </c>
      <c r="G3253" s="1">
        <v>30331</v>
      </c>
      <c r="J3253" t="s">
        <v>16899</v>
      </c>
      <c r="K3253" t="s">
        <v>1464</v>
      </c>
      <c r="L3253" t="s">
        <v>16900</v>
      </c>
      <c r="M3253">
        <v>811.4</v>
      </c>
      <c r="N3253" t="s">
        <v>16901</v>
      </c>
      <c r="O3253" t="s">
        <v>26</v>
      </c>
      <c r="P3253">
        <v>142.5</v>
      </c>
      <c r="Q3253">
        <v>118.75</v>
      </c>
      <c r="R3253">
        <v>95</v>
      </c>
      <c r="S3253">
        <v>142.5</v>
      </c>
      <c r="T3253" t="s">
        <v>16902</v>
      </c>
    </row>
    <row r="3254" spans="1:20">
      <c r="A3254">
        <v>3331310</v>
      </c>
      <c r="B3254" t="s">
        <v>16903</v>
      </c>
      <c r="C3254" t="str">
        <f>"9780773525139"</f>
        <v>9780773525139</v>
      </c>
      <c r="D3254" t="str">
        <f>"9780773570863"</f>
        <v>9780773570863</v>
      </c>
      <c r="E3254" t="s">
        <v>12863</v>
      </c>
      <c r="F3254" t="s">
        <v>12863</v>
      </c>
      <c r="G3254" s="1">
        <v>37749</v>
      </c>
      <c r="I3254" t="s">
        <v>12864</v>
      </c>
      <c r="J3254" t="s">
        <v>16904</v>
      </c>
      <c r="K3254" t="s">
        <v>1082</v>
      </c>
      <c r="L3254" t="s">
        <v>16905</v>
      </c>
      <c r="M3254">
        <v>362.11094209999999</v>
      </c>
      <c r="N3254" t="s">
        <v>16906</v>
      </c>
      <c r="O3254" t="s">
        <v>26</v>
      </c>
      <c r="P3254">
        <v>142.5</v>
      </c>
      <c r="Q3254">
        <v>118.75</v>
      </c>
      <c r="R3254">
        <v>95</v>
      </c>
      <c r="S3254">
        <v>142.5</v>
      </c>
      <c r="T3254" t="s">
        <v>16907</v>
      </c>
    </row>
    <row r="3255" spans="1:20">
      <c r="A3255">
        <v>3331311</v>
      </c>
      <c r="B3255" t="s">
        <v>16908</v>
      </c>
      <c r="C3255" t="str">
        <f>"9780773508149"</f>
        <v>9780773508149</v>
      </c>
      <c r="D3255" t="str">
        <f>"9780773562745"</f>
        <v>9780773562745</v>
      </c>
      <c r="E3255" t="s">
        <v>12863</v>
      </c>
      <c r="F3255" t="s">
        <v>12863</v>
      </c>
      <c r="G3255" s="1">
        <v>33562</v>
      </c>
      <c r="I3255" t="s">
        <v>12942</v>
      </c>
      <c r="J3255" t="s">
        <v>16909</v>
      </c>
      <c r="K3255" t="s">
        <v>6444</v>
      </c>
      <c r="L3255" t="s">
        <v>16910</v>
      </c>
      <c r="M3255">
        <v>971.37500491629999</v>
      </c>
      <c r="N3255" t="s">
        <v>16911</v>
      </c>
      <c r="O3255" t="s">
        <v>26</v>
      </c>
      <c r="P3255">
        <v>142.5</v>
      </c>
      <c r="Q3255">
        <v>118.75</v>
      </c>
      <c r="R3255">
        <v>95</v>
      </c>
      <c r="S3255">
        <v>142.5</v>
      </c>
      <c r="T3255" t="s">
        <v>16912</v>
      </c>
    </row>
    <row r="3256" spans="1:20">
      <c r="A3256">
        <v>3331312</v>
      </c>
      <c r="B3256" t="s">
        <v>16913</v>
      </c>
      <c r="C3256" t="str">
        <f>"9780886293420"</f>
        <v>9780886293420</v>
      </c>
      <c r="D3256" t="str">
        <f>"9780773574113"</f>
        <v>9780773574113</v>
      </c>
      <c r="E3256" t="s">
        <v>12863</v>
      </c>
      <c r="F3256" t="s">
        <v>12863</v>
      </c>
      <c r="G3256" s="1">
        <v>36152</v>
      </c>
      <c r="J3256" t="s">
        <v>16914</v>
      </c>
      <c r="K3256" t="s">
        <v>3994</v>
      </c>
      <c r="L3256" t="s">
        <v>16915</v>
      </c>
      <c r="N3256" t="s">
        <v>16916</v>
      </c>
      <c r="O3256" t="s">
        <v>26</v>
      </c>
      <c r="P3256">
        <v>150</v>
      </c>
      <c r="Q3256">
        <v>125</v>
      </c>
      <c r="R3256">
        <v>100</v>
      </c>
      <c r="S3256">
        <v>150</v>
      </c>
      <c r="T3256" t="s">
        <v>16917</v>
      </c>
    </row>
    <row r="3257" spans="1:20">
      <c r="A3257">
        <v>3331313</v>
      </c>
      <c r="B3257" t="s">
        <v>16918</v>
      </c>
      <c r="C3257" t="str">
        <f>"9780773513648"</f>
        <v>9780773513648</v>
      </c>
      <c r="D3257" t="str">
        <f>"9780773565722"</f>
        <v>9780773565722</v>
      </c>
      <c r="E3257" t="s">
        <v>12863</v>
      </c>
      <c r="F3257" t="s">
        <v>12863</v>
      </c>
      <c r="G3257" s="1">
        <v>34968</v>
      </c>
      <c r="I3257" t="s">
        <v>14082</v>
      </c>
      <c r="J3257" t="s">
        <v>16919</v>
      </c>
      <c r="K3257" t="s">
        <v>291</v>
      </c>
      <c r="L3257" t="s">
        <v>12975</v>
      </c>
      <c r="M3257">
        <v>971.41150000000005</v>
      </c>
      <c r="N3257" t="s">
        <v>16920</v>
      </c>
      <c r="O3257" t="s">
        <v>26</v>
      </c>
      <c r="P3257">
        <v>142.5</v>
      </c>
      <c r="Q3257">
        <v>118.75</v>
      </c>
      <c r="R3257">
        <v>95</v>
      </c>
      <c r="S3257">
        <v>142.5</v>
      </c>
      <c r="T3257" t="s">
        <v>16921</v>
      </c>
    </row>
    <row r="3258" spans="1:20">
      <c r="A3258">
        <v>3331314</v>
      </c>
      <c r="B3258" t="s">
        <v>16922</v>
      </c>
      <c r="C3258" t="str">
        <f>"9780773507340"</f>
        <v>9780773507340</v>
      </c>
      <c r="D3258" t="str">
        <f>"9780773562318"</f>
        <v>9780773562318</v>
      </c>
      <c r="E3258" t="s">
        <v>12907</v>
      </c>
      <c r="F3258" t="s">
        <v>14297</v>
      </c>
      <c r="G3258" s="1">
        <v>41836</v>
      </c>
      <c r="J3258" t="s">
        <v>16923</v>
      </c>
      <c r="K3258" t="s">
        <v>376</v>
      </c>
      <c r="L3258" t="s">
        <v>16924</v>
      </c>
      <c r="M3258">
        <v>362.10820000000001</v>
      </c>
      <c r="N3258" t="s">
        <v>16925</v>
      </c>
      <c r="O3258" t="s">
        <v>26</v>
      </c>
      <c r="P3258">
        <v>120</v>
      </c>
      <c r="Q3258">
        <v>100</v>
      </c>
      <c r="R3258">
        <v>80</v>
      </c>
      <c r="S3258">
        <v>120</v>
      </c>
      <c r="T3258" t="s">
        <v>16926</v>
      </c>
    </row>
    <row r="3259" spans="1:20">
      <c r="A3259">
        <v>3331315</v>
      </c>
      <c r="B3259" t="s">
        <v>16927</v>
      </c>
      <c r="C3259" t="str">
        <f>"9780773507937"</f>
        <v>9780773507937</v>
      </c>
      <c r="D3259" t="str">
        <f>"9780773562660"</f>
        <v>9780773562660</v>
      </c>
      <c r="E3259" t="s">
        <v>12863</v>
      </c>
      <c r="F3259" t="s">
        <v>12863</v>
      </c>
      <c r="G3259" s="1">
        <v>33055</v>
      </c>
      <c r="J3259" t="s">
        <v>16928</v>
      </c>
      <c r="K3259" t="s">
        <v>11437</v>
      </c>
      <c r="L3259" t="s">
        <v>16929</v>
      </c>
      <c r="M3259">
        <v>509</v>
      </c>
      <c r="N3259" t="s">
        <v>16930</v>
      </c>
      <c r="O3259" t="s">
        <v>26</v>
      </c>
      <c r="P3259">
        <v>142.5</v>
      </c>
      <c r="Q3259">
        <v>118.75</v>
      </c>
      <c r="R3259">
        <v>95</v>
      </c>
      <c r="S3259">
        <v>142.5</v>
      </c>
      <c r="T3259" t="s">
        <v>16931</v>
      </c>
    </row>
    <row r="3260" spans="1:20">
      <c r="A3260">
        <v>3331316</v>
      </c>
      <c r="B3260" t="s">
        <v>16932</v>
      </c>
      <c r="C3260" t="str">
        <f>"9780773508910"</f>
        <v>9780773508910</v>
      </c>
      <c r="D3260" t="str">
        <f>"9780773563278"</f>
        <v>9780773563278</v>
      </c>
      <c r="E3260" t="s">
        <v>12907</v>
      </c>
      <c r="F3260" t="s">
        <v>12907</v>
      </c>
      <c r="G3260" s="1">
        <v>33652</v>
      </c>
      <c r="J3260" t="s">
        <v>16933</v>
      </c>
      <c r="K3260" t="s">
        <v>778</v>
      </c>
      <c r="L3260" t="s">
        <v>16934</v>
      </c>
      <c r="M3260">
        <v>342.71084999999999</v>
      </c>
      <c r="N3260" t="s">
        <v>16935</v>
      </c>
      <c r="O3260" t="s">
        <v>26</v>
      </c>
      <c r="P3260">
        <v>142.5</v>
      </c>
      <c r="Q3260">
        <v>118.75</v>
      </c>
      <c r="R3260">
        <v>95</v>
      </c>
      <c r="S3260">
        <v>142.5</v>
      </c>
      <c r="T3260" t="s">
        <v>16936</v>
      </c>
    </row>
    <row r="3261" spans="1:20">
      <c r="A3261">
        <v>3331317</v>
      </c>
      <c r="B3261" t="s">
        <v>16937</v>
      </c>
      <c r="C3261" t="str">
        <f>"9780886292348"</f>
        <v>9780886292348</v>
      </c>
      <c r="D3261" t="str">
        <f>"9780773573901"</f>
        <v>9780773573901</v>
      </c>
      <c r="E3261" t="s">
        <v>12863</v>
      </c>
      <c r="F3261" t="s">
        <v>12863</v>
      </c>
      <c r="G3261" s="1">
        <v>34683</v>
      </c>
      <c r="J3261" t="s">
        <v>16938</v>
      </c>
      <c r="K3261" t="s">
        <v>263</v>
      </c>
      <c r="L3261" t="s">
        <v>14489</v>
      </c>
      <c r="M3261">
        <v>303.483</v>
      </c>
      <c r="N3261" t="s">
        <v>16939</v>
      </c>
      <c r="O3261" t="s">
        <v>26</v>
      </c>
      <c r="P3261">
        <v>142.5</v>
      </c>
      <c r="Q3261">
        <v>118.75</v>
      </c>
      <c r="R3261">
        <v>95</v>
      </c>
      <c r="S3261">
        <v>142.5</v>
      </c>
      <c r="T3261" t="s">
        <v>16940</v>
      </c>
    </row>
    <row r="3262" spans="1:20">
      <c r="A3262">
        <v>3331318</v>
      </c>
      <c r="B3262" t="s">
        <v>16941</v>
      </c>
      <c r="C3262" t="str">
        <f>"9780773507425"</f>
        <v>9780773507425</v>
      </c>
      <c r="D3262" t="str">
        <f>"9780773562356"</f>
        <v>9780773562356</v>
      </c>
      <c r="E3262" t="s">
        <v>12863</v>
      </c>
      <c r="F3262" t="s">
        <v>12863</v>
      </c>
      <c r="G3262" s="1">
        <v>33547</v>
      </c>
      <c r="J3262" t="s">
        <v>16942</v>
      </c>
      <c r="K3262" t="s">
        <v>1464</v>
      </c>
      <c r="L3262" t="s">
        <v>16943</v>
      </c>
      <c r="M3262">
        <v>823</v>
      </c>
      <c r="N3262" t="s">
        <v>16944</v>
      </c>
      <c r="O3262" t="s">
        <v>26</v>
      </c>
      <c r="P3262">
        <v>135</v>
      </c>
      <c r="Q3262">
        <v>112.5</v>
      </c>
      <c r="R3262">
        <v>90</v>
      </c>
      <c r="S3262">
        <v>135</v>
      </c>
      <c r="T3262" t="s">
        <v>16945</v>
      </c>
    </row>
    <row r="3263" spans="1:20">
      <c r="A3263">
        <v>3331319</v>
      </c>
      <c r="B3263" t="s">
        <v>16946</v>
      </c>
      <c r="C3263" t="str">
        <f>"9780773507661"</f>
        <v>9780773507661</v>
      </c>
      <c r="D3263" t="str">
        <f>"9780773562530"</f>
        <v>9780773562530</v>
      </c>
      <c r="E3263" t="s">
        <v>12863</v>
      </c>
      <c r="F3263" t="s">
        <v>12863</v>
      </c>
      <c r="G3263" s="1">
        <v>33178</v>
      </c>
      <c r="J3263" t="s">
        <v>16947</v>
      </c>
      <c r="K3263" t="s">
        <v>1471</v>
      </c>
      <c r="L3263" t="s">
        <v>16948</v>
      </c>
      <c r="M3263" t="s">
        <v>16949</v>
      </c>
      <c r="N3263" t="s">
        <v>16950</v>
      </c>
      <c r="O3263" t="s">
        <v>26</v>
      </c>
      <c r="P3263">
        <v>120</v>
      </c>
      <c r="Q3263">
        <v>100</v>
      </c>
      <c r="R3263">
        <v>80</v>
      </c>
      <c r="S3263">
        <v>120</v>
      </c>
      <c r="T3263" t="s">
        <v>16951</v>
      </c>
    </row>
    <row r="3264" spans="1:20">
      <c r="A3264">
        <v>3331320</v>
      </c>
      <c r="B3264" t="s">
        <v>16952</v>
      </c>
      <c r="C3264" t="str">
        <f>"9780886292027"</f>
        <v>9780886292027</v>
      </c>
      <c r="D3264" t="str">
        <f>"9780773573796"</f>
        <v>9780773573796</v>
      </c>
      <c r="E3264" t="s">
        <v>12907</v>
      </c>
      <c r="F3264" t="s">
        <v>12907</v>
      </c>
      <c r="G3264" s="1">
        <v>41773</v>
      </c>
      <c r="I3264" t="s">
        <v>16551</v>
      </c>
      <c r="J3264" t="s">
        <v>16953</v>
      </c>
      <c r="K3264" t="s">
        <v>6444</v>
      </c>
      <c r="L3264" t="s">
        <v>16954</v>
      </c>
      <c r="M3264">
        <v>327.71</v>
      </c>
      <c r="N3264" t="s">
        <v>16609</v>
      </c>
      <c r="O3264" t="s">
        <v>26</v>
      </c>
      <c r="P3264">
        <v>142.5</v>
      </c>
      <c r="Q3264">
        <v>118.75</v>
      </c>
      <c r="R3264">
        <v>95</v>
      </c>
      <c r="S3264">
        <v>142.5</v>
      </c>
      <c r="T3264" t="s">
        <v>16955</v>
      </c>
    </row>
    <row r="3265" spans="1:20">
      <c r="A3265">
        <v>3331321</v>
      </c>
      <c r="B3265" t="s">
        <v>16956</v>
      </c>
      <c r="C3265" t="str">
        <f>"9780773504028"</f>
        <v>9780773504028</v>
      </c>
      <c r="D3265" t="str">
        <f>"9780773560864"</f>
        <v>9780773560864</v>
      </c>
      <c r="E3265" t="s">
        <v>12863</v>
      </c>
      <c r="F3265" t="s">
        <v>12863</v>
      </c>
      <c r="G3265" s="1">
        <v>30407</v>
      </c>
      <c r="I3265" t="s">
        <v>14112</v>
      </c>
      <c r="J3265" t="s">
        <v>16957</v>
      </c>
      <c r="K3265" t="s">
        <v>16958</v>
      </c>
      <c r="L3265" t="s">
        <v>16959</v>
      </c>
      <c r="M3265">
        <v>387.74041999999997</v>
      </c>
      <c r="N3265" t="s">
        <v>16960</v>
      </c>
      <c r="O3265" t="s">
        <v>26</v>
      </c>
      <c r="P3265">
        <v>142.5</v>
      </c>
      <c r="Q3265">
        <v>118.75</v>
      </c>
      <c r="R3265">
        <v>95</v>
      </c>
      <c r="S3265">
        <v>142.5</v>
      </c>
      <c r="T3265" t="s">
        <v>16961</v>
      </c>
    </row>
    <row r="3266" spans="1:20">
      <c r="A3266">
        <v>3331322</v>
      </c>
      <c r="B3266" t="s">
        <v>16962</v>
      </c>
      <c r="C3266" t="str">
        <f>"9780773507609"</f>
        <v>9780773507609</v>
      </c>
      <c r="D3266" t="str">
        <f>"9780773562486"</f>
        <v>9780773562486</v>
      </c>
      <c r="E3266" t="s">
        <v>12863</v>
      </c>
      <c r="F3266" t="s">
        <v>12863</v>
      </c>
      <c r="G3266" s="1">
        <v>32933</v>
      </c>
      <c r="J3266" t="s">
        <v>15317</v>
      </c>
      <c r="K3266" t="s">
        <v>1892</v>
      </c>
      <c r="L3266" t="s">
        <v>16963</v>
      </c>
      <c r="M3266">
        <v>286.17150904200003</v>
      </c>
      <c r="N3266" t="s">
        <v>16964</v>
      </c>
      <c r="O3266" t="s">
        <v>26</v>
      </c>
      <c r="P3266">
        <v>142.5</v>
      </c>
      <c r="Q3266">
        <v>118.75</v>
      </c>
      <c r="R3266">
        <v>95</v>
      </c>
      <c r="S3266">
        <v>142.5</v>
      </c>
      <c r="T3266" t="s">
        <v>16965</v>
      </c>
    </row>
    <row r="3267" spans="1:20">
      <c r="A3267">
        <v>3331323</v>
      </c>
      <c r="B3267" t="s">
        <v>16966</v>
      </c>
      <c r="C3267" t="str">
        <f>"9780886292225"</f>
        <v>9780886292225</v>
      </c>
      <c r="D3267" t="str">
        <f>"9780773573864"</f>
        <v>9780773573864</v>
      </c>
      <c r="E3267" t="s">
        <v>12863</v>
      </c>
      <c r="F3267" t="s">
        <v>12863</v>
      </c>
      <c r="G3267" s="1">
        <v>34469</v>
      </c>
      <c r="J3267" t="s">
        <v>16967</v>
      </c>
      <c r="K3267" t="s">
        <v>16968</v>
      </c>
      <c r="L3267" t="s">
        <v>16969</v>
      </c>
      <c r="M3267" t="s">
        <v>16970</v>
      </c>
      <c r="N3267" t="s">
        <v>16971</v>
      </c>
      <c r="O3267" t="s">
        <v>26</v>
      </c>
      <c r="P3267">
        <v>150</v>
      </c>
      <c r="Q3267">
        <v>125</v>
      </c>
      <c r="R3267">
        <v>100</v>
      </c>
      <c r="S3267">
        <v>150</v>
      </c>
      <c r="T3267" t="s">
        <v>16972</v>
      </c>
    </row>
    <row r="3268" spans="1:20">
      <c r="A3268">
        <v>3331324</v>
      </c>
      <c r="B3268" t="s">
        <v>16973</v>
      </c>
      <c r="C3268" t="str">
        <f>"9780773504134"</f>
        <v>9780773504134</v>
      </c>
      <c r="D3268" t="str">
        <f>"9780773560901"</f>
        <v>9780773560901</v>
      </c>
      <c r="E3268" t="s">
        <v>12863</v>
      </c>
      <c r="F3268" t="s">
        <v>12863</v>
      </c>
      <c r="G3268" s="1">
        <v>30590</v>
      </c>
      <c r="H3268">
        <v>2</v>
      </c>
      <c r="J3268" t="s">
        <v>16974</v>
      </c>
      <c r="K3268" t="s">
        <v>291</v>
      </c>
      <c r="L3268" t="s">
        <v>16975</v>
      </c>
      <c r="M3268">
        <v>971.40041120000001</v>
      </c>
      <c r="N3268" t="s">
        <v>16976</v>
      </c>
      <c r="O3268" t="s">
        <v>26</v>
      </c>
      <c r="P3268">
        <v>142.5</v>
      </c>
      <c r="Q3268">
        <v>118.75</v>
      </c>
      <c r="R3268">
        <v>95</v>
      </c>
      <c r="S3268">
        <v>142.5</v>
      </c>
      <c r="T3268" t="s">
        <v>16977</v>
      </c>
    </row>
    <row r="3269" spans="1:20">
      <c r="A3269">
        <v>3331325</v>
      </c>
      <c r="B3269" t="s">
        <v>16978</v>
      </c>
      <c r="C3269" t="str">
        <f>"9780886292164"</f>
        <v>9780886292164</v>
      </c>
      <c r="D3269" t="str">
        <f>"9780773573840"</f>
        <v>9780773573840</v>
      </c>
      <c r="E3269" t="s">
        <v>12863</v>
      </c>
      <c r="F3269" t="s">
        <v>12863</v>
      </c>
      <c r="G3269" s="1">
        <v>34288</v>
      </c>
      <c r="J3269" t="s">
        <v>16979</v>
      </c>
      <c r="K3269" t="s">
        <v>291</v>
      </c>
      <c r="L3269" t="s">
        <v>16980</v>
      </c>
      <c r="M3269">
        <v>971.06309199999998</v>
      </c>
      <c r="N3269" t="s">
        <v>16981</v>
      </c>
      <c r="O3269" t="s">
        <v>26</v>
      </c>
      <c r="P3269">
        <v>112.5</v>
      </c>
      <c r="Q3269">
        <v>93.75</v>
      </c>
      <c r="R3269">
        <v>75</v>
      </c>
      <c r="S3269">
        <v>112.5</v>
      </c>
      <c r="T3269" t="s">
        <v>16982</v>
      </c>
    </row>
    <row r="3270" spans="1:20">
      <c r="A3270">
        <v>3331326</v>
      </c>
      <c r="B3270" t="s">
        <v>16983</v>
      </c>
      <c r="C3270" t="str">
        <f>"9780773524569"</f>
        <v>9780773524569</v>
      </c>
      <c r="D3270" t="str">
        <f>"9780773570702"</f>
        <v>9780773570702</v>
      </c>
      <c r="E3270" t="s">
        <v>12863</v>
      </c>
      <c r="F3270" t="s">
        <v>12863</v>
      </c>
      <c r="G3270" s="1">
        <v>37652</v>
      </c>
      <c r="J3270" t="s">
        <v>16984</v>
      </c>
      <c r="K3270" t="s">
        <v>3270</v>
      </c>
      <c r="L3270" t="s">
        <v>16985</v>
      </c>
      <c r="M3270">
        <v>306.48309713459997</v>
      </c>
      <c r="N3270" t="s">
        <v>16986</v>
      </c>
      <c r="O3270" t="s">
        <v>26</v>
      </c>
      <c r="P3270">
        <v>52.43</v>
      </c>
      <c r="Q3270">
        <v>43.69</v>
      </c>
      <c r="R3270">
        <v>34.950000000000003</v>
      </c>
      <c r="S3270">
        <v>52.43</v>
      </c>
      <c r="T3270" t="s">
        <v>16987</v>
      </c>
    </row>
    <row r="3271" spans="1:20">
      <c r="A3271">
        <v>3331327</v>
      </c>
      <c r="B3271" t="s">
        <v>16988</v>
      </c>
      <c r="C3271" t="str">
        <f>"9780773507203"</f>
        <v>9780773507203</v>
      </c>
      <c r="D3271" t="str">
        <f>"9780773562196"</f>
        <v>9780773562196</v>
      </c>
      <c r="E3271" t="s">
        <v>12863</v>
      </c>
      <c r="F3271" t="s">
        <v>12863</v>
      </c>
      <c r="G3271" s="1">
        <v>32752</v>
      </c>
      <c r="J3271" t="s">
        <v>16989</v>
      </c>
      <c r="K3271" t="s">
        <v>1464</v>
      </c>
      <c r="L3271" t="s">
        <v>16990</v>
      </c>
      <c r="M3271">
        <v>821.91399999999999</v>
      </c>
      <c r="N3271" t="s">
        <v>16991</v>
      </c>
      <c r="O3271" t="s">
        <v>26</v>
      </c>
      <c r="P3271">
        <v>142.5</v>
      </c>
      <c r="Q3271">
        <v>118.75</v>
      </c>
      <c r="R3271">
        <v>95</v>
      </c>
      <c r="S3271">
        <v>142.5</v>
      </c>
      <c r="T3271" t="s">
        <v>16992</v>
      </c>
    </row>
    <row r="3272" spans="1:20">
      <c r="A3272">
        <v>3331329</v>
      </c>
      <c r="B3272" t="s">
        <v>16993</v>
      </c>
      <c r="C3272" t="str">
        <f>"9780773523548"</f>
        <v>9780773523548</v>
      </c>
      <c r="D3272" t="str">
        <f>"9780773570153"</f>
        <v>9780773570153</v>
      </c>
      <c r="E3272" t="s">
        <v>12863</v>
      </c>
      <c r="F3272" t="s">
        <v>12863</v>
      </c>
      <c r="G3272" s="1">
        <v>37417</v>
      </c>
      <c r="J3272" t="s">
        <v>16994</v>
      </c>
      <c r="K3272" t="s">
        <v>291</v>
      </c>
      <c r="L3272" t="s">
        <v>14205</v>
      </c>
      <c r="M3272">
        <v>971.30309199999999</v>
      </c>
      <c r="N3272" t="s">
        <v>16995</v>
      </c>
      <c r="O3272" t="s">
        <v>26</v>
      </c>
      <c r="P3272">
        <v>142.5</v>
      </c>
      <c r="Q3272">
        <v>118.75</v>
      </c>
      <c r="R3272">
        <v>95</v>
      </c>
      <c r="S3272">
        <v>142.5</v>
      </c>
      <c r="T3272" t="s">
        <v>16996</v>
      </c>
    </row>
    <row r="3273" spans="1:20">
      <c r="A3273">
        <v>3331330</v>
      </c>
      <c r="B3273" t="s">
        <v>16997</v>
      </c>
      <c r="C3273" t="str">
        <f>"9780886292409"</f>
        <v>9780886292409</v>
      </c>
      <c r="D3273" t="str">
        <f>"9780773573932"</f>
        <v>9780773573932</v>
      </c>
      <c r="E3273" t="s">
        <v>12907</v>
      </c>
      <c r="F3273" t="s">
        <v>12907</v>
      </c>
      <c r="G3273" s="1">
        <v>34335</v>
      </c>
      <c r="I3273" t="s">
        <v>16998</v>
      </c>
      <c r="J3273" t="s">
        <v>16999</v>
      </c>
      <c r="K3273" t="s">
        <v>550</v>
      </c>
      <c r="L3273" t="s">
        <v>17000</v>
      </c>
      <c r="M3273" t="s">
        <v>17001</v>
      </c>
      <c r="N3273" t="s">
        <v>17002</v>
      </c>
      <c r="O3273" t="s">
        <v>26</v>
      </c>
      <c r="P3273">
        <v>150</v>
      </c>
      <c r="Q3273">
        <v>125</v>
      </c>
      <c r="R3273">
        <v>100</v>
      </c>
      <c r="S3273">
        <v>150</v>
      </c>
      <c r="T3273" t="s">
        <v>17003</v>
      </c>
    </row>
    <row r="3274" spans="1:20">
      <c r="A3274">
        <v>3331331</v>
      </c>
      <c r="B3274" t="s">
        <v>17004</v>
      </c>
      <c r="C3274" t="str">
        <f>"9780773522978"</f>
        <v>9780773522978</v>
      </c>
      <c r="D3274" t="str">
        <f>"9780773569829"</f>
        <v>9780773569829</v>
      </c>
      <c r="E3274" t="s">
        <v>12863</v>
      </c>
      <c r="F3274" t="s">
        <v>12863</v>
      </c>
      <c r="G3274" s="1">
        <v>37189</v>
      </c>
      <c r="J3274" t="s">
        <v>17005</v>
      </c>
      <c r="K3274" t="s">
        <v>1471</v>
      </c>
      <c r="L3274" t="s">
        <v>17006</v>
      </c>
      <c r="M3274" t="s">
        <v>17007</v>
      </c>
      <c r="N3274" t="s">
        <v>17008</v>
      </c>
      <c r="O3274" t="s">
        <v>26</v>
      </c>
      <c r="P3274">
        <v>142.5</v>
      </c>
      <c r="Q3274">
        <v>118.75</v>
      </c>
      <c r="R3274">
        <v>95</v>
      </c>
      <c r="S3274">
        <v>142.5</v>
      </c>
      <c r="T3274" t="s">
        <v>17009</v>
      </c>
    </row>
    <row r="3275" spans="1:20">
      <c r="A3275">
        <v>3331332</v>
      </c>
      <c r="B3275" t="s">
        <v>17010</v>
      </c>
      <c r="C3275" t="str">
        <f>"9780773507173"</f>
        <v>9780773507173</v>
      </c>
      <c r="D3275" t="str">
        <f>"9780773562165"</f>
        <v>9780773562165</v>
      </c>
      <c r="E3275" t="s">
        <v>12863</v>
      </c>
      <c r="F3275" t="s">
        <v>12863</v>
      </c>
      <c r="G3275" s="1">
        <v>32843</v>
      </c>
      <c r="J3275" t="s">
        <v>17011</v>
      </c>
      <c r="K3275" t="s">
        <v>278</v>
      </c>
      <c r="L3275" t="s">
        <v>17012</v>
      </c>
      <c r="M3275">
        <v>338.47664942</v>
      </c>
      <c r="N3275" t="s">
        <v>17013</v>
      </c>
      <c r="O3275" t="s">
        <v>26</v>
      </c>
      <c r="P3275">
        <v>142.5</v>
      </c>
      <c r="Q3275">
        <v>118.75</v>
      </c>
      <c r="R3275">
        <v>95</v>
      </c>
      <c r="S3275">
        <v>142.5</v>
      </c>
      <c r="T3275" t="s">
        <v>17014</v>
      </c>
    </row>
    <row r="3276" spans="1:20">
      <c r="A3276">
        <v>3331333</v>
      </c>
      <c r="B3276" t="s">
        <v>17015</v>
      </c>
      <c r="C3276" t="str">
        <f>"9780773508958"</f>
        <v>9780773508958</v>
      </c>
      <c r="D3276" t="str">
        <f>"9780773563292"</f>
        <v>9780773563292</v>
      </c>
      <c r="E3276" t="s">
        <v>12863</v>
      </c>
      <c r="F3276" t="s">
        <v>12863</v>
      </c>
      <c r="G3276" s="1">
        <v>33626</v>
      </c>
      <c r="I3276" t="s">
        <v>14877</v>
      </c>
      <c r="J3276" t="s">
        <v>6443</v>
      </c>
      <c r="K3276" t="s">
        <v>278</v>
      </c>
      <c r="L3276" t="s">
        <v>17016</v>
      </c>
      <c r="M3276">
        <v>338.97129999999999</v>
      </c>
      <c r="N3276" t="s">
        <v>17017</v>
      </c>
      <c r="O3276" t="s">
        <v>26</v>
      </c>
      <c r="P3276">
        <v>142.5</v>
      </c>
      <c r="Q3276">
        <v>118.75</v>
      </c>
      <c r="R3276">
        <v>95</v>
      </c>
      <c r="S3276">
        <v>142.5</v>
      </c>
      <c r="T3276" t="s">
        <v>17018</v>
      </c>
    </row>
    <row r="3277" spans="1:20">
      <c r="A3277">
        <v>3331334</v>
      </c>
      <c r="B3277" t="s">
        <v>17019</v>
      </c>
      <c r="C3277" t="str">
        <f>"9780773507593"</f>
        <v>9780773507593</v>
      </c>
      <c r="D3277" t="str">
        <f>"9780773562479"</f>
        <v>9780773562479</v>
      </c>
      <c r="E3277" t="s">
        <v>12863</v>
      </c>
      <c r="F3277" t="s">
        <v>12863</v>
      </c>
      <c r="G3277" s="1">
        <v>33086</v>
      </c>
      <c r="J3277" t="s">
        <v>17020</v>
      </c>
      <c r="K3277" t="s">
        <v>278</v>
      </c>
      <c r="L3277" t="s">
        <v>17021</v>
      </c>
      <c r="M3277">
        <v>334.2209714</v>
      </c>
      <c r="N3277" t="s">
        <v>17022</v>
      </c>
      <c r="O3277" t="s">
        <v>26</v>
      </c>
      <c r="P3277">
        <v>142.5</v>
      </c>
      <c r="Q3277">
        <v>118.75</v>
      </c>
      <c r="R3277">
        <v>95</v>
      </c>
      <c r="S3277">
        <v>142.5</v>
      </c>
      <c r="T3277" t="s">
        <v>17023</v>
      </c>
    </row>
    <row r="3278" spans="1:20">
      <c r="A3278">
        <v>3331335</v>
      </c>
      <c r="B3278" t="s">
        <v>17024</v>
      </c>
      <c r="C3278" t="str">
        <f>"9780773509078"</f>
        <v>9780773509078</v>
      </c>
      <c r="D3278" t="str">
        <f>"9780773563391"</f>
        <v>9780773563391</v>
      </c>
      <c r="E3278" t="s">
        <v>12863</v>
      </c>
      <c r="F3278" t="s">
        <v>12863</v>
      </c>
      <c r="G3278" s="1">
        <v>33777</v>
      </c>
      <c r="J3278" t="s">
        <v>17025</v>
      </c>
      <c r="K3278" t="s">
        <v>257</v>
      </c>
      <c r="L3278" t="s">
        <v>17026</v>
      </c>
      <c r="M3278">
        <v>370.971409032</v>
      </c>
      <c r="N3278" t="s">
        <v>17027</v>
      </c>
      <c r="O3278" t="s">
        <v>26</v>
      </c>
      <c r="P3278">
        <v>142.5</v>
      </c>
      <c r="Q3278">
        <v>118.75</v>
      </c>
      <c r="R3278">
        <v>95</v>
      </c>
      <c r="S3278">
        <v>142.5</v>
      </c>
      <c r="T3278" t="s">
        <v>17028</v>
      </c>
    </row>
    <row r="3279" spans="1:20">
      <c r="A3279">
        <v>3331336</v>
      </c>
      <c r="B3279" t="s">
        <v>17029</v>
      </c>
      <c r="C3279" t="str">
        <f>"9780773523401"</f>
        <v>9780773523401</v>
      </c>
      <c r="D3279" t="str">
        <f>"9780773570061"</f>
        <v>9780773570061</v>
      </c>
      <c r="E3279" t="s">
        <v>12863</v>
      </c>
      <c r="F3279" t="s">
        <v>12863</v>
      </c>
      <c r="G3279" s="1">
        <v>38126</v>
      </c>
      <c r="I3279" t="s">
        <v>12871</v>
      </c>
      <c r="J3279" t="s">
        <v>17030</v>
      </c>
      <c r="K3279" t="s">
        <v>1550</v>
      </c>
      <c r="L3279" t="s">
        <v>16573</v>
      </c>
      <c r="M3279">
        <v>305.89712409719499</v>
      </c>
      <c r="N3279" t="s">
        <v>17031</v>
      </c>
      <c r="O3279" t="s">
        <v>26</v>
      </c>
      <c r="P3279">
        <v>52.43</v>
      </c>
      <c r="Q3279">
        <v>43.69</v>
      </c>
      <c r="R3279">
        <v>34.950000000000003</v>
      </c>
      <c r="S3279">
        <v>52.43</v>
      </c>
      <c r="T3279" t="s">
        <v>17032</v>
      </c>
    </row>
    <row r="3280" spans="1:20">
      <c r="A3280">
        <v>3331337</v>
      </c>
      <c r="B3280" t="s">
        <v>17033</v>
      </c>
      <c r="C3280" t="str">
        <f>"9780886293413"</f>
        <v>9780886293413</v>
      </c>
      <c r="D3280" t="str">
        <f>"9780773574106"</f>
        <v>9780773574106</v>
      </c>
      <c r="E3280" t="s">
        <v>12863</v>
      </c>
      <c r="F3280" t="s">
        <v>12863</v>
      </c>
      <c r="G3280" s="1">
        <v>36650</v>
      </c>
      <c r="J3280" t="s">
        <v>17034</v>
      </c>
      <c r="K3280" t="s">
        <v>525</v>
      </c>
      <c r="L3280" t="s">
        <v>17035</v>
      </c>
      <c r="M3280">
        <v>347.71035339999997</v>
      </c>
      <c r="N3280" t="s">
        <v>17036</v>
      </c>
      <c r="O3280" t="s">
        <v>26</v>
      </c>
      <c r="P3280">
        <v>142.5</v>
      </c>
      <c r="Q3280">
        <v>118.75</v>
      </c>
      <c r="R3280">
        <v>95</v>
      </c>
      <c r="S3280">
        <v>142.5</v>
      </c>
      <c r="T3280" t="s">
        <v>17037</v>
      </c>
    </row>
    <row r="3281" spans="1:20">
      <c r="A3281">
        <v>3331338</v>
      </c>
      <c r="B3281" t="s">
        <v>17038</v>
      </c>
      <c r="C3281" t="str">
        <f>"9780773503731"</f>
        <v>9780773503731</v>
      </c>
      <c r="D3281" t="str">
        <f>"9780773560796"</f>
        <v>9780773560796</v>
      </c>
      <c r="E3281" t="s">
        <v>12863</v>
      </c>
      <c r="F3281" t="s">
        <v>12863</v>
      </c>
      <c r="G3281" s="1">
        <v>29738</v>
      </c>
      <c r="I3281" t="s">
        <v>14112</v>
      </c>
      <c r="J3281" t="s">
        <v>17039</v>
      </c>
      <c r="K3281" t="s">
        <v>278</v>
      </c>
      <c r="L3281" t="s">
        <v>17040</v>
      </c>
      <c r="M3281">
        <v>338.97149999999999</v>
      </c>
      <c r="N3281" t="s">
        <v>17041</v>
      </c>
      <c r="O3281" t="s">
        <v>26</v>
      </c>
      <c r="P3281">
        <v>142.5</v>
      </c>
      <c r="Q3281">
        <v>118.75</v>
      </c>
      <c r="R3281">
        <v>95</v>
      </c>
      <c r="S3281">
        <v>142.5</v>
      </c>
      <c r="T3281" t="s">
        <v>17042</v>
      </c>
    </row>
    <row r="3282" spans="1:20">
      <c r="A3282">
        <v>3331339</v>
      </c>
      <c r="B3282" t="s">
        <v>17043</v>
      </c>
      <c r="C3282" t="str">
        <f>"9780773506855"</f>
        <v>9780773506855</v>
      </c>
      <c r="D3282" t="str">
        <f>"9780773561915"</f>
        <v>9780773561915</v>
      </c>
      <c r="E3282" t="s">
        <v>12863</v>
      </c>
      <c r="F3282" t="s">
        <v>12863</v>
      </c>
      <c r="G3282" s="1">
        <v>32599</v>
      </c>
      <c r="J3282" t="s">
        <v>17044</v>
      </c>
      <c r="K3282" t="s">
        <v>257</v>
      </c>
      <c r="L3282" t="s">
        <v>17045</v>
      </c>
      <c r="M3282">
        <v>378.71</v>
      </c>
      <c r="N3282" t="s">
        <v>17046</v>
      </c>
      <c r="O3282" t="s">
        <v>26</v>
      </c>
      <c r="P3282">
        <v>142.5</v>
      </c>
      <c r="Q3282">
        <v>118.75</v>
      </c>
      <c r="R3282">
        <v>95</v>
      </c>
      <c r="S3282">
        <v>142.5</v>
      </c>
      <c r="T3282" t="s">
        <v>17047</v>
      </c>
    </row>
    <row r="3283" spans="1:20">
      <c r="A3283">
        <v>3331340</v>
      </c>
      <c r="B3283" t="s">
        <v>17048</v>
      </c>
      <c r="C3283" t="str">
        <f>"9780886291419"</f>
        <v>9780886291419</v>
      </c>
      <c r="D3283" t="str">
        <f>"9780773573680"</f>
        <v>9780773573680</v>
      </c>
      <c r="E3283" t="s">
        <v>12863</v>
      </c>
      <c r="F3283" t="s">
        <v>12863</v>
      </c>
      <c r="G3283" s="1">
        <v>33434</v>
      </c>
      <c r="I3283" t="s">
        <v>16501</v>
      </c>
      <c r="J3283" t="s">
        <v>17049</v>
      </c>
      <c r="K3283" t="s">
        <v>1464</v>
      </c>
      <c r="L3283" t="s">
        <v>17050</v>
      </c>
      <c r="M3283">
        <v>813.3</v>
      </c>
      <c r="N3283" t="s">
        <v>17051</v>
      </c>
      <c r="O3283" t="s">
        <v>26</v>
      </c>
      <c r="P3283">
        <v>142.5</v>
      </c>
      <c r="Q3283">
        <v>118.75</v>
      </c>
      <c r="R3283">
        <v>95</v>
      </c>
      <c r="S3283">
        <v>142.5</v>
      </c>
      <c r="T3283" t="s">
        <v>17052</v>
      </c>
    </row>
    <row r="3284" spans="1:20">
      <c r="A3284">
        <v>3331341</v>
      </c>
      <c r="B3284" t="s">
        <v>17053</v>
      </c>
      <c r="C3284" t="str">
        <f>"9780773525245"</f>
        <v>9780773525245</v>
      </c>
      <c r="D3284" t="str">
        <f>"9780773570931"</f>
        <v>9780773570931</v>
      </c>
      <c r="E3284" t="s">
        <v>12863</v>
      </c>
      <c r="F3284" t="s">
        <v>12863</v>
      </c>
      <c r="G3284" s="1">
        <v>37881</v>
      </c>
      <c r="I3284" t="s">
        <v>12864</v>
      </c>
      <c r="J3284" t="s">
        <v>17054</v>
      </c>
      <c r="K3284" t="s">
        <v>2260</v>
      </c>
      <c r="L3284" t="s">
        <v>17055</v>
      </c>
      <c r="M3284">
        <v>610.91999999999996</v>
      </c>
      <c r="N3284" t="s">
        <v>17056</v>
      </c>
      <c r="O3284" t="s">
        <v>26</v>
      </c>
      <c r="P3284">
        <v>142.5</v>
      </c>
      <c r="Q3284">
        <v>118.75</v>
      </c>
      <c r="R3284">
        <v>95</v>
      </c>
      <c r="S3284">
        <v>142.5</v>
      </c>
      <c r="T3284" t="s">
        <v>17057</v>
      </c>
    </row>
    <row r="3285" spans="1:20">
      <c r="A3285">
        <v>3331342</v>
      </c>
      <c r="B3285" t="s">
        <v>17058</v>
      </c>
      <c r="C3285" t="str">
        <f>"9780773523326"</f>
        <v>9780773523326</v>
      </c>
      <c r="D3285" t="str">
        <f>"9780773569980"</f>
        <v>9780773569980</v>
      </c>
      <c r="E3285" t="s">
        <v>12863</v>
      </c>
      <c r="F3285" t="s">
        <v>12863</v>
      </c>
      <c r="G3285" s="1">
        <v>37935</v>
      </c>
      <c r="I3285" t="s">
        <v>12871</v>
      </c>
      <c r="J3285" t="s">
        <v>17059</v>
      </c>
      <c r="K3285" t="s">
        <v>291</v>
      </c>
      <c r="L3285" t="s">
        <v>17060</v>
      </c>
      <c r="M3285">
        <v>970.00496999999996</v>
      </c>
      <c r="N3285" t="s">
        <v>17061</v>
      </c>
      <c r="O3285" t="s">
        <v>26</v>
      </c>
      <c r="P3285">
        <v>52.43</v>
      </c>
      <c r="Q3285">
        <v>43.69</v>
      </c>
      <c r="R3285">
        <v>34.950000000000003</v>
      </c>
      <c r="S3285">
        <v>52.43</v>
      </c>
      <c r="T3285" t="s">
        <v>17062</v>
      </c>
    </row>
    <row r="3286" spans="1:20">
      <c r="A3286">
        <v>3331343</v>
      </c>
      <c r="B3286" t="s">
        <v>17063</v>
      </c>
      <c r="C3286" t="str">
        <f>"9780886293581"</f>
        <v>9780886293581</v>
      </c>
      <c r="D3286" t="str">
        <f>"9780773574199"</f>
        <v>9780773574199</v>
      </c>
      <c r="E3286" t="s">
        <v>12907</v>
      </c>
      <c r="F3286" t="s">
        <v>12907</v>
      </c>
      <c r="G3286" s="1">
        <v>36481</v>
      </c>
      <c r="I3286" t="s">
        <v>16998</v>
      </c>
      <c r="J3286" t="s">
        <v>17064</v>
      </c>
      <c r="K3286" t="s">
        <v>3219</v>
      </c>
      <c r="L3286" t="s">
        <v>17065</v>
      </c>
      <c r="M3286">
        <v>971.8</v>
      </c>
      <c r="N3286" t="s">
        <v>17066</v>
      </c>
      <c r="O3286" t="s">
        <v>26</v>
      </c>
      <c r="P3286">
        <v>150</v>
      </c>
      <c r="Q3286">
        <v>125</v>
      </c>
      <c r="R3286">
        <v>100</v>
      </c>
      <c r="S3286">
        <v>150</v>
      </c>
      <c r="T3286" t="s">
        <v>17067</v>
      </c>
    </row>
    <row r="3287" spans="1:20">
      <c r="A3287">
        <v>3331344</v>
      </c>
      <c r="B3287" t="s">
        <v>17068</v>
      </c>
      <c r="C3287" t="str">
        <f>"9780773525658"</f>
        <v>9780773525658</v>
      </c>
      <c r="D3287" t="str">
        <f>"9780773571204"</f>
        <v>9780773571204</v>
      </c>
      <c r="E3287" t="s">
        <v>12863</v>
      </c>
      <c r="F3287" t="s">
        <v>12863</v>
      </c>
      <c r="G3287" s="1">
        <v>37922</v>
      </c>
      <c r="J3287" t="s">
        <v>14821</v>
      </c>
      <c r="K3287" t="s">
        <v>7781</v>
      </c>
      <c r="L3287" t="s">
        <v>16573</v>
      </c>
      <c r="M3287">
        <v>769.92</v>
      </c>
      <c r="N3287" t="s">
        <v>17069</v>
      </c>
      <c r="O3287" t="s">
        <v>26</v>
      </c>
      <c r="P3287">
        <v>52.43</v>
      </c>
      <c r="Q3287">
        <v>43.69</v>
      </c>
      <c r="R3287">
        <v>34.950000000000003</v>
      </c>
      <c r="S3287">
        <v>52.43</v>
      </c>
      <c r="T3287" t="s">
        <v>17070</v>
      </c>
    </row>
    <row r="3288" spans="1:20">
      <c r="A3288">
        <v>3331345</v>
      </c>
      <c r="B3288" t="s">
        <v>17071</v>
      </c>
      <c r="C3288" t="str">
        <f>"9780773509214"</f>
        <v>9780773509214</v>
      </c>
      <c r="D3288" t="str">
        <f>"9780773563513"</f>
        <v>9780773563513</v>
      </c>
      <c r="E3288" t="s">
        <v>12863</v>
      </c>
      <c r="F3288" t="s">
        <v>12863</v>
      </c>
      <c r="G3288" s="1">
        <v>33924</v>
      </c>
      <c r="I3288" t="s">
        <v>14112</v>
      </c>
      <c r="J3288" t="s">
        <v>17072</v>
      </c>
      <c r="K3288" t="s">
        <v>785</v>
      </c>
      <c r="L3288" t="s">
        <v>17073</v>
      </c>
      <c r="M3288">
        <v>338.971</v>
      </c>
      <c r="N3288" t="s">
        <v>17074</v>
      </c>
      <c r="O3288" t="s">
        <v>26</v>
      </c>
      <c r="P3288">
        <v>120</v>
      </c>
      <c r="Q3288">
        <v>100</v>
      </c>
      <c r="R3288">
        <v>80</v>
      </c>
      <c r="S3288">
        <v>120</v>
      </c>
      <c r="T3288" t="s">
        <v>17075</v>
      </c>
    </row>
    <row r="3289" spans="1:20">
      <c r="A3289">
        <v>3331346</v>
      </c>
      <c r="B3289" t="s">
        <v>17076</v>
      </c>
      <c r="C3289" t="str">
        <f>"9780773525931"</f>
        <v>9780773525931</v>
      </c>
      <c r="D3289" t="str">
        <f>"9780773571341"</f>
        <v>9780773571341</v>
      </c>
      <c r="E3289" t="s">
        <v>12863</v>
      </c>
      <c r="F3289" t="s">
        <v>12863</v>
      </c>
      <c r="G3289" s="1">
        <v>37768</v>
      </c>
      <c r="J3289" t="s">
        <v>15065</v>
      </c>
      <c r="K3289" t="s">
        <v>467</v>
      </c>
      <c r="L3289" t="s">
        <v>17077</v>
      </c>
      <c r="M3289">
        <v>328.71071000000001</v>
      </c>
      <c r="N3289" t="s">
        <v>17078</v>
      </c>
      <c r="O3289" t="s">
        <v>26</v>
      </c>
      <c r="P3289">
        <v>142.5</v>
      </c>
      <c r="Q3289">
        <v>118.75</v>
      </c>
      <c r="R3289">
        <v>95</v>
      </c>
      <c r="S3289">
        <v>142.5</v>
      </c>
      <c r="T3289" t="s">
        <v>17079</v>
      </c>
    </row>
    <row r="3290" spans="1:20">
      <c r="A3290">
        <v>3331347</v>
      </c>
      <c r="B3290" t="s">
        <v>17080</v>
      </c>
      <c r="C3290" t="str">
        <f>"9780773503533"</f>
        <v>9780773503533</v>
      </c>
      <c r="D3290" t="str">
        <f>"9780773560758"</f>
        <v>9780773560758</v>
      </c>
      <c r="E3290" t="s">
        <v>12863</v>
      </c>
      <c r="F3290" t="s">
        <v>12863</v>
      </c>
      <c r="G3290" s="1">
        <v>29312</v>
      </c>
      <c r="J3290" t="s">
        <v>15176</v>
      </c>
      <c r="K3290" t="s">
        <v>257</v>
      </c>
      <c r="L3290" t="s">
        <v>17081</v>
      </c>
      <c r="M3290">
        <v>378.71428100000003</v>
      </c>
      <c r="N3290" t="s">
        <v>14486</v>
      </c>
      <c r="O3290" t="s">
        <v>26</v>
      </c>
      <c r="P3290">
        <v>142.5</v>
      </c>
      <c r="Q3290">
        <v>118.75</v>
      </c>
      <c r="R3290">
        <v>95</v>
      </c>
      <c r="S3290">
        <v>142.5</v>
      </c>
      <c r="T3290" t="s">
        <v>17082</v>
      </c>
    </row>
    <row r="3291" spans="1:20">
      <c r="A3291">
        <v>3331348</v>
      </c>
      <c r="B3291" t="s">
        <v>17083</v>
      </c>
      <c r="C3291" t="str">
        <f>"9780773508996"</f>
        <v>9780773508996</v>
      </c>
      <c r="D3291" t="str">
        <f>"9780773563322"</f>
        <v>9780773563322</v>
      </c>
      <c r="E3291" t="s">
        <v>12863</v>
      </c>
      <c r="F3291" t="s">
        <v>12863</v>
      </c>
      <c r="G3291" s="1">
        <v>33756</v>
      </c>
      <c r="J3291" t="s">
        <v>17084</v>
      </c>
      <c r="K3291" t="s">
        <v>568</v>
      </c>
      <c r="L3291" t="s">
        <v>17085</v>
      </c>
      <c r="M3291">
        <v>304.80971499999998</v>
      </c>
      <c r="N3291" t="s">
        <v>17086</v>
      </c>
      <c r="O3291" t="s">
        <v>26</v>
      </c>
      <c r="P3291">
        <v>142.5</v>
      </c>
      <c r="Q3291">
        <v>118.75</v>
      </c>
      <c r="R3291">
        <v>95</v>
      </c>
      <c r="S3291">
        <v>142.5</v>
      </c>
      <c r="T3291" t="s">
        <v>17087</v>
      </c>
    </row>
    <row r="3292" spans="1:20">
      <c r="A3292">
        <v>3331349</v>
      </c>
      <c r="B3292" t="s">
        <v>17088</v>
      </c>
      <c r="C3292" t="str">
        <f>"9780773522985"</f>
        <v>9780773522985</v>
      </c>
      <c r="D3292" t="str">
        <f>"9780773569836"</f>
        <v>9780773569836</v>
      </c>
      <c r="E3292" t="s">
        <v>12907</v>
      </c>
      <c r="F3292" t="s">
        <v>12907</v>
      </c>
      <c r="G3292" s="1">
        <v>37189</v>
      </c>
      <c r="J3292" t="s">
        <v>17089</v>
      </c>
      <c r="K3292" t="s">
        <v>1471</v>
      </c>
      <c r="L3292" t="s">
        <v>17090</v>
      </c>
      <c r="M3292" t="s">
        <v>17091</v>
      </c>
      <c r="N3292" t="s">
        <v>17092</v>
      </c>
      <c r="O3292" t="s">
        <v>26</v>
      </c>
      <c r="P3292">
        <v>59.93</v>
      </c>
      <c r="Q3292">
        <v>49.94</v>
      </c>
      <c r="R3292">
        <v>39.950000000000003</v>
      </c>
      <c r="S3292">
        <v>59.93</v>
      </c>
      <c r="T3292" t="s">
        <v>17093</v>
      </c>
    </row>
    <row r="3293" spans="1:20">
      <c r="A3293">
        <v>3331350</v>
      </c>
      <c r="B3293" t="s">
        <v>17094</v>
      </c>
      <c r="C3293" t="str">
        <f>"9780773509108"</f>
        <v>9780773509108</v>
      </c>
      <c r="D3293" t="str">
        <f>"9780773563421"</f>
        <v>9780773563421</v>
      </c>
      <c r="E3293" t="s">
        <v>12863</v>
      </c>
      <c r="F3293" t="s">
        <v>12863</v>
      </c>
      <c r="G3293" s="1">
        <v>33820</v>
      </c>
      <c r="J3293" t="s">
        <v>17095</v>
      </c>
      <c r="K3293" t="s">
        <v>263</v>
      </c>
      <c r="L3293" t="s">
        <v>17096</v>
      </c>
      <c r="M3293">
        <v>305.42097100000001</v>
      </c>
      <c r="N3293" t="s">
        <v>17097</v>
      </c>
      <c r="O3293" t="s">
        <v>26</v>
      </c>
      <c r="P3293">
        <v>142.5</v>
      </c>
      <c r="Q3293">
        <v>118.75</v>
      </c>
      <c r="R3293">
        <v>95</v>
      </c>
      <c r="S3293">
        <v>142.5</v>
      </c>
      <c r="T3293" t="s">
        <v>17098</v>
      </c>
    </row>
    <row r="3294" spans="1:20">
      <c r="A3294">
        <v>3331351</v>
      </c>
      <c r="B3294" t="s">
        <v>17099</v>
      </c>
      <c r="C3294" t="str">
        <f>"9780773509849"</f>
        <v>9780773509849</v>
      </c>
      <c r="D3294" t="str">
        <f>"9780773563827"</f>
        <v>9780773563827</v>
      </c>
      <c r="E3294" t="s">
        <v>12863</v>
      </c>
      <c r="F3294" t="s">
        <v>12863</v>
      </c>
      <c r="G3294" s="1">
        <v>34158</v>
      </c>
      <c r="J3294" t="s">
        <v>17100</v>
      </c>
      <c r="K3294" t="s">
        <v>899</v>
      </c>
      <c r="L3294" t="s">
        <v>15327</v>
      </c>
      <c r="M3294">
        <v>363.58097099999998</v>
      </c>
      <c r="N3294" t="s">
        <v>17101</v>
      </c>
      <c r="O3294" t="s">
        <v>26</v>
      </c>
      <c r="P3294">
        <v>142.5</v>
      </c>
      <c r="Q3294">
        <v>118.75</v>
      </c>
      <c r="R3294">
        <v>95</v>
      </c>
      <c r="S3294">
        <v>142.5</v>
      </c>
      <c r="T3294" t="s">
        <v>17102</v>
      </c>
    </row>
    <row r="3295" spans="1:20">
      <c r="A3295">
        <v>3331352</v>
      </c>
      <c r="B3295" t="s">
        <v>17103</v>
      </c>
      <c r="C3295" t="str">
        <f>"9780773509986"</f>
        <v>9780773509986</v>
      </c>
      <c r="D3295" t="str">
        <f>"9780773563957"</f>
        <v>9780773563957</v>
      </c>
      <c r="E3295" t="s">
        <v>12863</v>
      </c>
      <c r="F3295" t="s">
        <v>12863</v>
      </c>
      <c r="G3295" s="1">
        <v>34247</v>
      </c>
      <c r="J3295" t="s">
        <v>13325</v>
      </c>
      <c r="K3295" t="s">
        <v>1892</v>
      </c>
      <c r="L3295" t="s">
        <v>17104</v>
      </c>
      <c r="M3295">
        <v>268.01</v>
      </c>
      <c r="N3295" t="s">
        <v>17105</v>
      </c>
      <c r="O3295" t="s">
        <v>26</v>
      </c>
      <c r="P3295">
        <v>142.5</v>
      </c>
      <c r="Q3295">
        <v>118.75</v>
      </c>
      <c r="R3295">
        <v>95</v>
      </c>
      <c r="S3295">
        <v>142.5</v>
      </c>
      <c r="T3295" t="s">
        <v>17106</v>
      </c>
    </row>
    <row r="3296" spans="1:20">
      <c r="A3296">
        <v>3331353</v>
      </c>
      <c r="B3296" t="s">
        <v>17107</v>
      </c>
      <c r="C3296" t="str">
        <f>"9780773525900"</f>
        <v>9780773525900</v>
      </c>
      <c r="D3296" t="str">
        <f>"9780773571327"</f>
        <v>9780773571327</v>
      </c>
      <c r="E3296" t="s">
        <v>12863</v>
      </c>
      <c r="F3296" t="s">
        <v>12863</v>
      </c>
      <c r="G3296" s="1">
        <v>37860</v>
      </c>
      <c r="J3296" t="s">
        <v>17108</v>
      </c>
      <c r="K3296" t="s">
        <v>291</v>
      </c>
      <c r="L3296" t="s">
        <v>13130</v>
      </c>
      <c r="M3296">
        <v>971.904</v>
      </c>
      <c r="N3296" t="s">
        <v>17109</v>
      </c>
      <c r="O3296" t="s">
        <v>26</v>
      </c>
      <c r="P3296">
        <v>142.5</v>
      </c>
      <c r="Q3296">
        <v>118.75</v>
      </c>
      <c r="R3296">
        <v>95</v>
      </c>
      <c r="S3296">
        <v>142.5</v>
      </c>
      <c r="T3296" t="s">
        <v>17110</v>
      </c>
    </row>
    <row r="3297" spans="1:20">
      <c r="A3297">
        <v>3331354</v>
      </c>
      <c r="B3297" t="s">
        <v>17111</v>
      </c>
      <c r="C3297" t="str">
        <f>"9780886290429"</f>
        <v>9780886290429</v>
      </c>
      <c r="D3297" t="str">
        <f>"9780773573451"</f>
        <v>9780773573451</v>
      </c>
      <c r="E3297" t="s">
        <v>12863</v>
      </c>
      <c r="F3297" t="s">
        <v>12863</v>
      </c>
      <c r="G3297" s="1">
        <v>32888</v>
      </c>
      <c r="I3297" t="s">
        <v>16501</v>
      </c>
      <c r="J3297" t="s">
        <v>17112</v>
      </c>
      <c r="K3297" t="s">
        <v>1464</v>
      </c>
      <c r="L3297" t="s">
        <v>17113</v>
      </c>
      <c r="M3297" t="s">
        <v>17114</v>
      </c>
      <c r="N3297" t="s">
        <v>17115</v>
      </c>
      <c r="O3297" t="s">
        <v>26</v>
      </c>
      <c r="P3297">
        <v>112.5</v>
      </c>
      <c r="Q3297">
        <v>93.75</v>
      </c>
      <c r="R3297">
        <v>75</v>
      </c>
      <c r="S3297">
        <v>112.5</v>
      </c>
      <c r="T3297" t="s">
        <v>17116</v>
      </c>
    </row>
    <row r="3298" spans="1:20">
      <c r="A3298">
        <v>3331355</v>
      </c>
      <c r="B3298" t="s">
        <v>17117</v>
      </c>
      <c r="C3298" t="str">
        <f>"9780773507166"</f>
        <v>9780773507166</v>
      </c>
      <c r="D3298" t="str">
        <f>"9780773562158"</f>
        <v>9780773562158</v>
      </c>
      <c r="E3298" t="s">
        <v>12863</v>
      </c>
      <c r="F3298" t="s">
        <v>12863</v>
      </c>
      <c r="G3298" s="1">
        <v>33059</v>
      </c>
      <c r="I3298" t="s">
        <v>12942</v>
      </c>
      <c r="J3298" t="s">
        <v>17118</v>
      </c>
      <c r="K3298" t="s">
        <v>263</v>
      </c>
      <c r="L3298" t="s">
        <v>17119</v>
      </c>
      <c r="M3298">
        <v>305.8</v>
      </c>
      <c r="N3298" t="s">
        <v>17120</v>
      </c>
      <c r="O3298" t="s">
        <v>26</v>
      </c>
      <c r="P3298">
        <v>142.5</v>
      </c>
      <c r="Q3298">
        <v>118.75</v>
      </c>
      <c r="R3298">
        <v>95</v>
      </c>
      <c r="S3298">
        <v>142.5</v>
      </c>
      <c r="T3298" t="s">
        <v>17121</v>
      </c>
    </row>
    <row r="3299" spans="1:20">
      <c r="A3299">
        <v>3331356</v>
      </c>
      <c r="B3299" t="s">
        <v>17122</v>
      </c>
      <c r="C3299" t="str">
        <f>"9780773512290"</f>
        <v>9780773512290</v>
      </c>
      <c r="D3299" t="str">
        <f>"9780773564985"</f>
        <v>9780773564985</v>
      </c>
      <c r="E3299" t="s">
        <v>12863</v>
      </c>
      <c r="F3299" t="s">
        <v>12863</v>
      </c>
      <c r="G3299" s="1">
        <v>34592</v>
      </c>
      <c r="J3299" t="s">
        <v>17123</v>
      </c>
      <c r="K3299" t="s">
        <v>291</v>
      </c>
      <c r="L3299" t="s">
        <v>14144</v>
      </c>
      <c r="M3299">
        <v>971</v>
      </c>
      <c r="N3299" t="s">
        <v>17124</v>
      </c>
      <c r="O3299" t="s">
        <v>26</v>
      </c>
      <c r="P3299">
        <v>142.5</v>
      </c>
      <c r="Q3299">
        <v>118.75</v>
      </c>
      <c r="R3299">
        <v>95</v>
      </c>
      <c r="S3299">
        <v>142.5</v>
      </c>
      <c r="T3299" t="s">
        <v>17125</v>
      </c>
    </row>
    <row r="3300" spans="1:20">
      <c r="A3300">
        <v>3331357</v>
      </c>
      <c r="B3300" t="s">
        <v>17126</v>
      </c>
      <c r="C3300" t="str">
        <f>"9780773508132"</f>
        <v>9780773508132</v>
      </c>
      <c r="D3300" t="str">
        <f>"9780773562738"</f>
        <v>9780773562738</v>
      </c>
      <c r="E3300" t="s">
        <v>12863</v>
      </c>
      <c r="F3300" t="s">
        <v>12863</v>
      </c>
      <c r="G3300" s="1">
        <v>33270</v>
      </c>
      <c r="J3300" t="s">
        <v>16577</v>
      </c>
      <c r="K3300" t="s">
        <v>291</v>
      </c>
      <c r="L3300" t="s">
        <v>17127</v>
      </c>
      <c r="M3300">
        <v>971.0163</v>
      </c>
      <c r="N3300" t="s">
        <v>17128</v>
      </c>
      <c r="O3300" t="s">
        <v>26</v>
      </c>
      <c r="P3300">
        <v>49.43</v>
      </c>
      <c r="Q3300">
        <v>41.19</v>
      </c>
      <c r="R3300">
        <v>32.950000000000003</v>
      </c>
      <c r="S3300">
        <v>49.43</v>
      </c>
      <c r="T3300" t="s">
        <v>17129</v>
      </c>
    </row>
    <row r="3301" spans="1:20">
      <c r="A3301">
        <v>3331358</v>
      </c>
      <c r="B3301" t="s">
        <v>17130</v>
      </c>
      <c r="C3301" t="str">
        <f>"9780886291556"</f>
        <v>9780886291556</v>
      </c>
      <c r="D3301" t="str">
        <f>"9780773573741"</f>
        <v>9780773573741</v>
      </c>
      <c r="E3301" t="s">
        <v>12863</v>
      </c>
      <c r="F3301" t="s">
        <v>12863</v>
      </c>
      <c r="G3301" s="1">
        <v>41773</v>
      </c>
      <c r="I3301" t="s">
        <v>13270</v>
      </c>
      <c r="J3301" t="s">
        <v>17131</v>
      </c>
      <c r="K3301" t="s">
        <v>467</v>
      </c>
      <c r="L3301" t="s">
        <v>17132</v>
      </c>
      <c r="M3301">
        <v>320.971</v>
      </c>
      <c r="N3301" t="s">
        <v>17133</v>
      </c>
      <c r="O3301" t="s">
        <v>26</v>
      </c>
      <c r="P3301">
        <v>142.5</v>
      </c>
      <c r="Q3301">
        <v>118.75</v>
      </c>
      <c r="R3301">
        <v>95</v>
      </c>
      <c r="S3301">
        <v>142.5</v>
      </c>
      <c r="T3301" t="s">
        <v>17134</v>
      </c>
    </row>
    <row r="3302" spans="1:20">
      <c r="A3302">
        <v>3331359</v>
      </c>
      <c r="B3302" t="s">
        <v>17135</v>
      </c>
      <c r="C3302" t="str">
        <f>"9780773521193"</f>
        <v>9780773521193</v>
      </c>
      <c r="D3302" t="str">
        <f>"9780773568822"</f>
        <v>9780773568822</v>
      </c>
      <c r="E3302" t="s">
        <v>12863</v>
      </c>
      <c r="F3302" t="s">
        <v>12863</v>
      </c>
      <c r="G3302" s="1">
        <v>36910</v>
      </c>
      <c r="J3302" t="s">
        <v>17136</v>
      </c>
      <c r="K3302" t="s">
        <v>263</v>
      </c>
      <c r="L3302" t="s">
        <v>17137</v>
      </c>
      <c r="M3302">
        <v>302.23092000000003</v>
      </c>
      <c r="N3302" t="s">
        <v>17138</v>
      </c>
      <c r="O3302" t="s">
        <v>26</v>
      </c>
      <c r="P3302">
        <v>142.5</v>
      </c>
      <c r="Q3302">
        <v>118.75</v>
      </c>
      <c r="R3302">
        <v>95</v>
      </c>
      <c r="S3302">
        <v>142.5</v>
      </c>
      <c r="T3302" t="s">
        <v>17139</v>
      </c>
    </row>
    <row r="3303" spans="1:20">
      <c r="A3303">
        <v>3331360</v>
      </c>
      <c r="B3303" t="s">
        <v>17140</v>
      </c>
      <c r="C3303" t="str">
        <f>"9780773508255"</f>
        <v>9780773508255</v>
      </c>
      <c r="D3303" t="str">
        <f>"9780773562820"</f>
        <v>9780773562820</v>
      </c>
      <c r="E3303" t="s">
        <v>12863</v>
      </c>
      <c r="F3303" t="s">
        <v>12863</v>
      </c>
      <c r="G3303" s="1">
        <v>33456</v>
      </c>
      <c r="J3303" t="s">
        <v>17141</v>
      </c>
      <c r="K3303" t="s">
        <v>550</v>
      </c>
      <c r="L3303" t="s">
        <v>17142</v>
      </c>
      <c r="M3303">
        <v>363.50900000000001</v>
      </c>
      <c r="N3303" t="s">
        <v>17143</v>
      </c>
      <c r="O3303" t="s">
        <v>26</v>
      </c>
      <c r="P3303">
        <v>142.5</v>
      </c>
      <c r="Q3303">
        <v>118.75</v>
      </c>
      <c r="R3303">
        <v>95</v>
      </c>
      <c r="S3303">
        <v>142.5</v>
      </c>
      <c r="T3303" t="s">
        <v>17144</v>
      </c>
    </row>
    <row r="3304" spans="1:20">
      <c r="A3304">
        <v>3331361</v>
      </c>
      <c r="B3304" t="s">
        <v>17145</v>
      </c>
      <c r="C3304" t="str">
        <f>"9780773516250"</f>
        <v>9780773516250</v>
      </c>
      <c r="D3304" t="str">
        <f>"9780773566651"</f>
        <v>9780773566651</v>
      </c>
      <c r="E3304" t="s">
        <v>12863</v>
      </c>
      <c r="F3304" t="s">
        <v>12863</v>
      </c>
      <c r="G3304" s="1">
        <v>35717</v>
      </c>
      <c r="J3304" t="s">
        <v>17146</v>
      </c>
      <c r="K3304" t="s">
        <v>1464</v>
      </c>
      <c r="L3304" t="s">
        <v>17147</v>
      </c>
      <c r="M3304">
        <v>823.8</v>
      </c>
      <c r="N3304" t="s">
        <v>17148</v>
      </c>
      <c r="O3304" t="s">
        <v>26</v>
      </c>
      <c r="P3304">
        <v>127.5</v>
      </c>
      <c r="Q3304">
        <v>106.25</v>
      </c>
      <c r="R3304">
        <v>85</v>
      </c>
      <c r="S3304">
        <v>127.5</v>
      </c>
      <c r="T3304" t="s">
        <v>17149</v>
      </c>
    </row>
    <row r="3305" spans="1:20">
      <c r="A3305">
        <v>3331362</v>
      </c>
      <c r="B3305" t="s">
        <v>17150</v>
      </c>
      <c r="C3305" t="str">
        <f>"9780773504264"</f>
        <v>9780773504264</v>
      </c>
      <c r="D3305" t="str">
        <f>"9780773560963"</f>
        <v>9780773560963</v>
      </c>
      <c r="E3305" t="s">
        <v>12863</v>
      </c>
      <c r="F3305" t="s">
        <v>12863</v>
      </c>
      <c r="G3305" s="1">
        <v>31017</v>
      </c>
      <c r="J3305" t="s">
        <v>15331</v>
      </c>
      <c r="K3305" t="s">
        <v>291</v>
      </c>
      <c r="L3305" t="s">
        <v>17151</v>
      </c>
      <c r="M3305">
        <v>944.58230700000001</v>
      </c>
      <c r="N3305" t="s">
        <v>17152</v>
      </c>
      <c r="O3305" t="s">
        <v>26</v>
      </c>
      <c r="P3305">
        <v>142.5</v>
      </c>
      <c r="Q3305">
        <v>118.75</v>
      </c>
      <c r="R3305">
        <v>95</v>
      </c>
      <c r="S3305">
        <v>142.5</v>
      </c>
      <c r="T3305" t="s">
        <v>17153</v>
      </c>
    </row>
    <row r="3306" spans="1:20">
      <c r="A3306">
        <v>3331363</v>
      </c>
      <c r="B3306" t="s">
        <v>17154</v>
      </c>
      <c r="C3306" t="str">
        <f>"9780773512849"</f>
        <v>9780773512849</v>
      </c>
      <c r="D3306" t="str">
        <f>"9780773565289"</f>
        <v>9780773565289</v>
      </c>
      <c r="E3306" t="s">
        <v>12863</v>
      </c>
      <c r="F3306" t="s">
        <v>12863</v>
      </c>
      <c r="G3306" s="1">
        <v>34820</v>
      </c>
      <c r="J3306" t="s">
        <v>17155</v>
      </c>
      <c r="K3306" t="s">
        <v>263</v>
      </c>
      <c r="L3306" t="s">
        <v>17156</v>
      </c>
      <c r="M3306">
        <v>363.20970999999997</v>
      </c>
      <c r="N3306" t="s">
        <v>17157</v>
      </c>
      <c r="O3306" t="s">
        <v>26</v>
      </c>
      <c r="P3306">
        <v>142.5</v>
      </c>
      <c r="Q3306">
        <v>118.75</v>
      </c>
      <c r="R3306">
        <v>95</v>
      </c>
      <c r="S3306">
        <v>142.5</v>
      </c>
      <c r="T3306" t="s">
        <v>17158</v>
      </c>
    </row>
    <row r="3307" spans="1:20">
      <c r="A3307">
        <v>3331364</v>
      </c>
      <c r="B3307" t="s">
        <v>17159</v>
      </c>
      <c r="C3307" t="str">
        <f>"9780773512573"</f>
        <v>9780773512573</v>
      </c>
      <c r="D3307" t="str">
        <f>"9780773565128"</f>
        <v>9780773565128</v>
      </c>
      <c r="E3307" t="s">
        <v>12907</v>
      </c>
      <c r="F3307" t="s">
        <v>17160</v>
      </c>
      <c r="G3307" s="1">
        <v>41773</v>
      </c>
      <c r="J3307" t="s">
        <v>17161</v>
      </c>
      <c r="K3307" t="s">
        <v>291</v>
      </c>
      <c r="L3307" t="s">
        <v>17162</v>
      </c>
      <c r="M3307">
        <v>971.803</v>
      </c>
      <c r="N3307" t="s">
        <v>17163</v>
      </c>
      <c r="O3307" t="s">
        <v>26</v>
      </c>
      <c r="P3307">
        <v>427.5</v>
      </c>
      <c r="Q3307">
        <v>356.25</v>
      </c>
      <c r="R3307">
        <v>285</v>
      </c>
      <c r="S3307">
        <v>427.5</v>
      </c>
      <c r="T3307" t="s">
        <v>17164</v>
      </c>
    </row>
    <row r="3308" spans="1:20">
      <c r="A3308">
        <v>3331365</v>
      </c>
      <c r="B3308" t="s">
        <v>17165</v>
      </c>
      <c r="C3308" t="str">
        <f>"9780773518360"</f>
        <v>9780773518360</v>
      </c>
      <c r="D3308" t="str">
        <f>"9780773567733"</f>
        <v>9780773567733</v>
      </c>
      <c r="E3308" t="s">
        <v>12863</v>
      </c>
      <c r="F3308" t="s">
        <v>12863</v>
      </c>
      <c r="G3308" s="1">
        <v>36507</v>
      </c>
      <c r="I3308" t="s">
        <v>12871</v>
      </c>
      <c r="J3308" t="s">
        <v>17166</v>
      </c>
      <c r="K3308" t="s">
        <v>435</v>
      </c>
      <c r="L3308" t="s">
        <v>17167</v>
      </c>
      <c r="M3308">
        <v>333.91409714115002</v>
      </c>
      <c r="N3308" t="s">
        <v>17168</v>
      </c>
      <c r="O3308" t="s">
        <v>26</v>
      </c>
      <c r="P3308">
        <v>142.5</v>
      </c>
      <c r="Q3308">
        <v>118.75</v>
      </c>
      <c r="R3308">
        <v>95</v>
      </c>
      <c r="S3308">
        <v>142.5</v>
      </c>
      <c r="T3308" t="s">
        <v>17169</v>
      </c>
    </row>
    <row r="3309" spans="1:20">
      <c r="A3309">
        <v>3331366</v>
      </c>
      <c r="B3309" t="s">
        <v>17170</v>
      </c>
      <c r="C3309" t="str">
        <f>"9780773518599"</f>
        <v>9780773518599</v>
      </c>
      <c r="D3309" t="str">
        <f>"9780773567917"</f>
        <v>9780773567917</v>
      </c>
      <c r="E3309" t="s">
        <v>12863</v>
      </c>
      <c r="F3309" t="s">
        <v>12863</v>
      </c>
      <c r="G3309" s="1">
        <v>36404</v>
      </c>
      <c r="J3309" t="s">
        <v>17171</v>
      </c>
      <c r="K3309" t="s">
        <v>1471</v>
      </c>
      <c r="L3309" t="s">
        <v>17172</v>
      </c>
      <c r="M3309">
        <v>791.43023309199998</v>
      </c>
      <c r="N3309" t="s">
        <v>17173</v>
      </c>
      <c r="O3309" t="s">
        <v>26</v>
      </c>
      <c r="P3309">
        <v>142.5</v>
      </c>
      <c r="Q3309">
        <v>118.75</v>
      </c>
      <c r="R3309">
        <v>95</v>
      </c>
      <c r="S3309">
        <v>142.5</v>
      </c>
      <c r="T3309" t="s">
        <v>17174</v>
      </c>
    </row>
    <row r="3310" spans="1:20">
      <c r="A3310">
        <v>3331367</v>
      </c>
      <c r="B3310" t="s">
        <v>17175</v>
      </c>
      <c r="C3310" t="str">
        <f>"9780773508613"</f>
        <v>9780773508613</v>
      </c>
      <c r="D3310" t="str">
        <f>"9780773563070"</f>
        <v>9780773563070</v>
      </c>
      <c r="E3310" t="s">
        <v>12907</v>
      </c>
      <c r="F3310" t="s">
        <v>12907</v>
      </c>
      <c r="G3310" s="1">
        <v>33493</v>
      </c>
      <c r="J3310" t="s">
        <v>17176</v>
      </c>
      <c r="K3310" t="s">
        <v>263</v>
      </c>
      <c r="L3310" t="s">
        <v>17177</v>
      </c>
      <c r="M3310" t="s">
        <v>17178</v>
      </c>
      <c r="N3310" t="s">
        <v>17179</v>
      </c>
      <c r="O3310" t="s">
        <v>26</v>
      </c>
      <c r="P3310">
        <v>120</v>
      </c>
      <c r="Q3310">
        <v>100</v>
      </c>
      <c r="R3310">
        <v>80</v>
      </c>
      <c r="S3310">
        <v>120</v>
      </c>
      <c r="T3310" t="s">
        <v>17180</v>
      </c>
    </row>
    <row r="3311" spans="1:20">
      <c r="A3311">
        <v>3331368</v>
      </c>
      <c r="B3311" t="s">
        <v>17181</v>
      </c>
      <c r="C3311" t="str">
        <f>"9780773507050"</f>
        <v>9780773507050</v>
      </c>
      <c r="D3311" t="str">
        <f>"9780773562066"</f>
        <v>9780773562066</v>
      </c>
      <c r="E3311" t="s">
        <v>12863</v>
      </c>
      <c r="F3311" t="s">
        <v>12863</v>
      </c>
      <c r="G3311" s="1">
        <v>32690</v>
      </c>
      <c r="J3311" t="s">
        <v>17182</v>
      </c>
      <c r="K3311" t="s">
        <v>6444</v>
      </c>
      <c r="L3311" t="s">
        <v>17183</v>
      </c>
      <c r="M3311">
        <v>327.71055999999999</v>
      </c>
      <c r="N3311" t="s">
        <v>17184</v>
      </c>
      <c r="O3311" t="s">
        <v>26</v>
      </c>
      <c r="P3311">
        <v>142.5</v>
      </c>
      <c r="Q3311">
        <v>118.75</v>
      </c>
      <c r="R3311">
        <v>95</v>
      </c>
      <c r="S3311">
        <v>142.5</v>
      </c>
      <c r="T3311" t="s">
        <v>17185</v>
      </c>
    </row>
    <row r="3312" spans="1:20">
      <c r="A3312">
        <v>3331369</v>
      </c>
      <c r="B3312" t="s">
        <v>17186</v>
      </c>
      <c r="C3312" t="str">
        <f>"9780773518827"</f>
        <v>9780773518827</v>
      </c>
      <c r="D3312" t="str">
        <f>"9780773567986"</f>
        <v>9780773567986</v>
      </c>
      <c r="E3312" t="s">
        <v>12863</v>
      </c>
      <c r="F3312" t="s">
        <v>12863</v>
      </c>
      <c r="G3312" s="1">
        <v>36526</v>
      </c>
      <c r="I3312" t="s">
        <v>12942</v>
      </c>
      <c r="J3312" t="s">
        <v>17187</v>
      </c>
      <c r="K3312" t="s">
        <v>6444</v>
      </c>
      <c r="L3312" t="s">
        <v>17188</v>
      </c>
      <c r="M3312" t="s">
        <v>17189</v>
      </c>
      <c r="N3312" t="s">
        <v>17190</v>
      </c>
      <c r="O3312" t="s">
        <v>26</v>
      </c>
      <c r="P3312">
        <v>112.5</v>
      </c>
      <c r="Q3312">
        <v>93.75</v>
      </c>
      <c r="R3312">
        <v>75</v>
      </c>
      <c r="S3312">
        <v>112.5</v>
      </c>
      <c r="T3312" t="s">
        <v>17191</v>
      </c>
    </row>
    <row r="3313" spans="1:20">
      <c r="A3313">
        <v>3331370</v>
      </c>
      <c r="B3313" t="s">
        <v>17192</v>
      </c>
      <c r="C3313" t="str">
        <f>"9780773517318"</f>
        <v>9780773517318</v>
      </c>
      <c r="D3313" t="str">
        <f>"9780773567214"</f>
        <v>9780773567214</v>
      </c>
      <c r="E3313" t="s">
        <v>12863</v>
      </c>
      <c r="F3313" t="s">
        <v>12863</v>
      </c>
      <c r="G3313" s="1">
        <v>36038</v>
      </c>
      <c r="J3313" t="s">
        <v>17193</v>
      </c>
      <c r="K3313" t="s">
        <v>76</v>
      </c>
      <c r="L3313" t="s">
        <v>17194</v>
      </c>
      <c r="M3313">
        <v>635.09713090339994</v>
      </c>
      <c r="N3313" t="s">
        <v>17195</v>
      </c>
      <c r="O3313" t="s">
        <v>26</v>
      </c>
      <c r="P3313">
        <v>142.5</v>
      </c>
      <c r="Q3313">
        <v>118.75</v>
      </c>
      <c r="R3313">
        <v>95</v>
      </c>
      <c r="S3313">
        <v>142.5</v>
      </c>
      <c r="T3313" t="s">
        <v>17196</v>
      </c>
    </row>
    <row r="3314" spans="1:20">
      <c r="A3314">
        <v>3331371</v>
      </c>
      <c r="B3314" t="s">
        <v>17197</v>
      </c>
      <c r="C3314" t="str">
        <f>"9780773516984"</f>
        <v>9780773516984</v>
      </c>
      <c r="D3314" t="str">
        <f>"9780773567030"</f>
        <v>9780773567030</v>
      </c>
      <c r="E3314" t="s">
        <v>12863</v>
      </c>
      <c r="F3314" t="s">
        <v>12863</v>
      </c>
      <c r="G3314" s="1">
        <v>35948</v>
      </c>
      <c r="J3314" t="s">
        <v>17198</v>
      </c>
      <c r="K3314" t="s">
        <v>17199</v>
      </c>
      <c r="L3314" t="s">
        <v>17200</v>
      </c>
      <c r="M3314">
        <v>613.20000000000005</v>
      </c>
      <c r="N3314" t="s">
        <v>17201</v>
      </c>
      <c r="O3314" t="s">
        <v>26</v>
      </c>
      <c r="P3314">
        <v>142.5</v>
      </c>
      <c r="Q3314">
        <v>118.75</v>
      </c>
      <c r="R3314">
        <v>95</v>
      </c>
      <c r="S3314">
        <v>142.5</v>
      </c>
      <c r="T3314" t="s">
        <v>17202</v>
      </c>
    </row>
    <row r="3315" spans="1:20">
      <c r="A3315">
        <v>3331372</v>
      </c>
      <c r="B3315" t="s">
        <v>17203</v>
      </c>
      <c r="C3315" t="str">
        <f>"9780886293482"</f>
        <v>9780886293482</v>
      </c>
      <c r="D3315" t="str">
        <f>"9780773574144"</f>
        <v>9780773574144</v>
      </c>
      <c r="E3315" t="s">
        <v>12863</v>
      </c>
      <c r="F3315" t="s">
        <v>12863</v>
      </c>
      <c r="G3315" s="1">
        <v>36483</v>
      </c>
      <c r="J3315" t="s">
        <v>13727</v>
      </c>
      <c r="K3315" t="s">
        <v>1550</v>
      </c>
      <c r="L3315" t="s">
        <v>17204</v>
      </c>
      <c r="M3315">
        <v>303.48271040999998</v>
      </c>
      <c r="N3315" t="s">
        <v>17205</v>
      </c>
      <c r="O3315" t="s">
        <v>26</v>
      </c>
      <c r="P3315">
        <v>142.5</v>
      </c>
      <c r="Q3315">
        <v>118.75</v>
      </c>
      <c r="R3315">
        <v>95</v>
      </c>
      <c r="S3315">
        <v>142.5</v>
      </c>
      <c r="T3315" t="s">
        <v>17206</v>
      </c>
    </row>
    <row r="3316" spans="1:20">
      <c r="A3316">
        <v>3331373</v>
      </c>
      <c r="B3316" t="s">
        <v>17207</v>
      </c>
      <c r="C3316" t="str">
        <f>"9780773522152"</f>
        <v>9780773522152</v>
      </c>
      <c r="D3316" t="str">
        <f>"9780773569386"</f>
        <v>9780773569386</v>
      </c>
      <c r="E3316" t="s">
        <v>12863</v>
      </c>
      <c r="F3316" t="s">
        <v>12863</v>
      </c>
      <c r="G3316" s="1">
        <v>36951</v>
      </c>
      <c r="J3316" t="s">
        <v>17208</v>
      </c>
      <c r="K3316" t="s">
        <v>416</v>
      </c>
      <c r="L3316" t="s">
        <v>17209</v>
      </c>
      <c r="M3316">
        <v>330.09</v>
      </c>
      <c r="N3316" t="s">
        <v>17210</v>
      </c>
      <c r="O3316" t="s">
        <v>26</v>
      </c>
      <c r="P3316">
        <v>142.5</v>
      </c>
      <c r="Q3316">
        <v>118.75</v>
      </c>
      <c r="R3316">
        <v>95</v>
      </c>
      <c r="S3316">
        <v>142.5</v>
      </c>
      <c r="T3316" t="s">
        <v>17211</v>
      </c>
    </row>
    <row r="3317" spans="1:20">
      <c r="A3317">
        <v>3331374</v>
      </c>
      <c r="B3317" t="s">
        <v>17212</v>
      </c>
      <c r="C3317" t="str">
        <f>"9780773514324"</f>
        <v>9780773514324</v>
      </c>
      <c r="D3317" t="str">
        <f>"9780773566170"</f>
        <v>9780773566170</v>
      </c>
      <c r="E3317" t="s">
        <v>12863</v>
      </c>
      <c r="F3317" t="s">
        <v>12863</v>
      </c>
      <c r="G3317" s="1">
        <v>35304</v>
      </c>
      <c r="J3317" t="s">
        <v>17213</v>
      </c>
      <c r="K3317" t="s">
        <v>1464</v>
      </c>
      <c r="L3317" t="s">
        <v>17214</v>
      </c>
      <c r="M3317">
        <v>823.91200000000003</v>
      </c>
      <c r="N3317" t="s">
        <v>17215</v>
      </c>
      <c r="O3317" t="s">
        <v>26</v>
      </c>
      <c r="P3317">
        <v>142.5</v>
      </c>
      <c r="Q3317">
        <v>118.75</v>
      </c>
      <c r="R3317">
        <v>95</v>
      </c>
      <c r="S3317">
        <v>142.5</v>
      </c>
      <c r="T3317" t="s">
        <v>17216</v>
      </c>
    </row>
    <row r="3318" spans="1:20">
      <c r="A3318">
        <v>3331375</v>
      </c>
      <c r="B3318" t="s">
        <v>17217</v>
      </c>
      <c r="C3318" t="str">
        <f>"9780773508767"</f>
        <v>9780773508767</v>
      </c>
      <c r="D3318" t="str">
        <f>"9780773563162"</f>
        <v>9780773563162</v>
      </c>
      <c r="E3318" t="s">
        <v>12863</v>
      </c>
      <c r="F3318" t="s">
        <v>12863</v>
      </c>
      <c r="G3318" s="1">
        <v>33695</v>
      </c>
      <c r="I3318" t="s">
        <v>13288</v>
      </c>
      <c r="J3318" t="s">
        <v>17218</v>
      </c>
      <c r="K3318" t="s">
        <v>291</v>
      </c>
      <c r="L3318" t="s">
        <v>17219</v>
      </c>
      <c r="M3318">
        <v>971.43</v>
      </c>
      <c r="N3318" t="s">
        <v>17220</v>
      </c>
      <c r="O3318" t="s">
        <v>26</v>
      </c>
      <c r="P3318">
        <v>142.5</v>
      </c>
      <c r="Q3318">
        <v>118.75</v>
      </c>
      <c r="R3318">
        <v>95</v>
      </c>
      <c r="S3318">
        <v>142.5</v>
      </c>
      <c r="T3318" t="s">
        <v>17221</v>
      </c>
    </row>
    <row r="3319" spans="1:20">
      <c r="A3319">
        <v>3331376</v>
      </c>
      <c r="B3319" t="s">
        <v>17222</v>
      </c>
      <c r="C3319" t="str">
        <f>"9780773517271"</f>
        <v>9780773517271</v>
      </c>
      <c r="D3319" t="str">
        <f>"9780773567184"</f>
        <v>9780773567184</v>
      </c>
      <c r="E3319" t="s">
        <v>12863</v>
      </c>
      <c r="F3319" t="s">
        <v>12863</v>
      </c>
      <c r="G3319" s="1">
        <v>35893</v>
      </c>
      <c r="J3319" t="s">
        <v>17223</v>
      </c>
      <c r="K3319" t="s">
        <v>1859</v>
      </c>
      <c r="L3319" t="s">
        <v>17224</v>
      </c>
      <c r="M3319">
        <v>192</v>
      </c>
      <c r="N3319" t="s">
        <v>17225</v>
      </c>
      <c r="O3319" t="s">
        <v>26</v>
      </c>
      <c r="P3319">
        <v>142.5</v>
      </c>
      <c r="Q3319">
        <v>118.75</v>
      </c>
      <c r="R3319">
        <v>95</v>
      </c>
      <c r="S3319">
        <v>142.5</v>
      </c>
      <c r="T3319" t="s">
        <v>17226</v>
      </c>
    </row>
    <row r="3320" spans="1:20">
      <c r="A3320">
        <v>3331377</v>
      </c>
      <c r="B3320" t="s">
        <v>17227</v>
      </c>
      <c r="C3320" t="str">
        <f>"9780773513242"</f>
        <v>9780773513242</v>
      </c>
      <c r="D3320" t="str">
        <f>"9780773565524"</f>
        <v>9780773565524</v>
      </c>
      <c r="E3320" t="s">
        <v>12907</v>
      </c>
      <c r="F3320" t="s">
        <v>12907</v>
      </c>
      <c r="G3320" s="1">
        <v>35132</v>
      </c>
      <c r="J3320" t="s">
        <v>17228</v>
      </c>
      <c r="K3320" t="s">
        <v>2260</v>
      </c>
      <c r="L3320" t="s">
        <v>17229</v>
      </c>
      <c r="M3320" t="s">
        <v>17230</v>
      </c>
      <c r="N3320" t="s">
        <v>17231</v>
      </c>
      <c r="O3320" t="s">
        <v>26</v>
      </c>
      <c r="P3320">
        <v>142.5</v>
      </c>
      <c r="Q3320">
        <v>118.75</v>
      </c>
      <c r="R3320">
        <v>95</v>
      </c>
      <c r="S3320">
        <v>142.5</v>
      </c>
      <c r="T3320" t="s">
        <v>17232</v>
      </c>
    </row>
    <row r="3321" spans="1:20">
      <c r="A3321">
        <v>3331378</v>
      </c>
      <c r="B3321" t="s">
        <v>17233</v>
      </c>
      <c r="C3321" t="str">
        <f>"9780773513495"</f>
        <v>9780773513495</v>
      </c>
      <c r="D3321" t="str">
        <f>"9780773565647"</f>
        <v>9780773565647</v>
      </c>
      <c r="E3321" t="s">
        <v>12863</v>
      </c>
      <c r="F3321" t="s">
        <v>12863</v>
      </c>
      <c r="G3321" s="1">
        <v>35026</v>
      </c>
      <c r="J3321" t="s">
        <v>17234</v>
      </c>
      <c r="K3321" t="s">
        <v>291</v>
      </c>
      <c r="L3321" t="s">
        <v>17235</v>
      </c>
      <c r="M3321">
        <v>957.08410000000003</v>
      </c>
      <c r="N3321" t="s">
        <v>17236</v>
      </c>
      <c r="O3321" t="s">
        <v>26</v>
      </c>
      <c r="P3321">
        <v>142.5</v>
      </c>
      <c r="Q3321">
        <v>118.75</v>
      </c>
      <c r="R3321">
        <v>95</v>
      </c>
      <c r="S3321">
        <v>142.5</v>
      </c>
      <c r="T3321" t="s">
        <v>17237</v>
      </c>
    </row>
    <row r="3322" spans="1:20">
      <c r="A3322">
        <v>3331379</v>
      </c>
      <c r="B3322" t="s">
        <v>17238</v>
      </c>
      <c r="C3322" t="str">
        <f>"9780773506442"</f>
        <v>9780773506442</v>
      </c>
      <c r="D3322" t="str">
        <f>"9780773561595"</f>
        <v>9780773561595</v>
      </c>
      <c r="E3322" t="s">
        <v>12863</v>
      </c>
      <c r="F3322" t="s">
        <v>12863</v>
      </c>
      <c r="G3322" s="1">
        <v>32295</v>
      </c>
      <c r="J3322" t="s">
        <v>17239</v>
      </c>
      <c r="K3322" t="s">
        <v>291</v>
      </c>
      <c r="L3322" t="s">
        <v>17240</v>
      </c>
      <c r="M3322">
        <v>940.53219999999999</v>
      </c>
      <c r="N3322" t="s">
        <v>17241</v>
      </c>
      <c r="O3322" t="s">
        <v>26</v>
      </c>
      <c r="P3322">
        <v>142.5</v>
      </c>
      <c r="Q3322">
        <v>118.75</v>
      </c>
      <c r="R3322">
        <v>95</v>
      </c>
      <c r="S3322">
        <v>142.5</v>
      </c>
      <c r="T3322" t="s">
        <v>17242</v>
      </c>
    </row>
    <row r="3323" spans="1:20">
      <c r="A3323">
        <v>3331380</v>
      </c>
      <c r="B3323" t="s">
        <v>17243</v>
      </c>
      <c r="C3323" t="str">
        <f>"9780773508477"</f>
        <v>9780773508477</v>
      </c>
      <c r="D3323" t="str">
        <f>"9780773562998"</f>
        <v>9780773562998</v>
      </c>
      <c r="E3323" t="s">
        <v>12863</v>
      </c>
      <c r="F3323" t="s">
        <v>12863</v>
      </c>
      <c r="G3323" s="1">
        <v>33893</v>
      </c>
      <c r="J3323" t="s">
        <v>17244</v>
      </c>
      <c r="K3323" t="s">
        <v>416</v>
      </c>
      <c r="L3323" t="s">
        <v>17245</v>
      </c>
      <c r="M3323">
        <v>338.9</v>
      </c>
      <c r="N3323" t="s">
        <v>17246</v>
      </c>
      <c r="O3323" t="s">
        <v>26</v>
      </c>
      <c r="P3323">
        <v>142.5</v>
      </c>
      <c r="Q3323">
        <v>118.75</v>
      </c>
      <c r="R3323">
        <v>95</v>
      </c>
      <c r="S3323">
        <v>142.5</v>
      </c>
      <c r="T3323" t="s">
        <v>17247</v>
      </c>
    </row>
    <row r="3324" spans="1:20">
      <c r="A3324">
        <v>3331381</v>
      </c>
      <c r="B3324" t="s">
        <v>17248</v>
      </c>
      <c r="C3324" t="str">
        <f>"9780773526877"</f>
        <v>9780773526877</v>
      </c>
      <c r="D3324" t="str">
        <f>"9780773571785"</f>
        <v>9780773571785</v>
      </c>
      <c r="E3324" t="s">
        <v>12863</v>
      </c>
      <c r="F3324" t="s">
        <v>12863</v>
      </c>
      <c r="G3324" s="1">
        <v>38103</v>
      </c>
      <c r="I3324" t="s">
        <v>12871</v>
      </c>
      <c r="J3324" t="s">
        <v>17249</v>
      </c>
      <c r="K3324" t="s">
        <v>17250</v>
      </c>
      <c r="L3324" t="s">
        <v>17251</v>
      </c>
      <c r="M3324">
        <v>362.28091999999998</v>
      </c>
      <c r="N3324" t="s">
        <v>17252</v>
      </c>
      <c r="O3324" t="s">
        <v>26</v>
      </c>
      <c r="P3324">
        <v>44.93</v>
      </c>
      <c r="Q3324">
        <v>37.44</v>
      </c>
      <c r="R3324">
        <v>29.95</v>
      </c>
      <c r="S3324">
        <v>44.93</v>
      </c>
      <c r="T3324" t="s">
        <v>17253</v>
      </c>
    </row>
    <row r="3325" spans="1:20">
      <c r="A3325">
        <v>3331382</v>
      </c>
      <c r="B3325" t="s">
        <v>17254</v>
      </c>
      <c r="C3325" t="str">
        <f>"9780773523906"</f>
        <v>9780773523906</v>
      </c>
      <c r="D3325" t="str">
        <f>"9780773570313"</f>
        <v>9780773570313</v>
      </c>
      <c r="E3325" t="s">
        <v>12863</v>
      </c>
      <c r="F3325" t="s">
        <v>12863</v>
      </c>
      <c r="G3325" s="1">
        <v>37467</v>
      </c>
      <c r="I3325" t="s">
        <v>13270</v>
      </c>
      <c r="J3325" t="s">
        <v>17255</v>
      </c>
      <c r="K3325" t="s">
        <v>291</v>
      </c>
      <c r="L3325" t="s">
        <v>17256</v>
      </c>
      <c r="M3325">
        <v>971.4</v>
      </c>
      <c r="N3325" t="s">
        <v>17257</v>
      </c>
      <c r="O3325" t="s">
        <v>26</v>
      </c>
      <c r="P3325">
        <v>142.5</v>
      </c>
      <c r="Q3325">
        <v>118.75</v>
      </c>
      <c r="R3325">
        <v>95</v>
      </c>
      <c r="S3325">
        <v>142.5</v>
      </c>
      <c r="T3325" t="s">
        <v>17258</v>
      </c>
    </row>
    <row r="3326" spans="1:20">
      <c r="A3326">
        <v>3331383</v>
      </c>
      <c r="B3326" t="s">
        <v>17259</v>
      </c>
      <c r="C3326" t="str">
        <f>"9780773516557"</f>
        <v>9780773516557</v>
      </c>
      <c r="D3326" t="str">
        <f>"9780773566781"</f>
        <v>9780773566781</v>
      </c>
      <c r="E3326" t="s">
        <v>12863</v>
      </c>
      <c r="F3326" t="s">
        <v>12863</v>
      </c>
      <c r="G3326" s="1">
        <v>35751</v>
      </c>
      <c r="I3326" t="s">
        <v>12871</v>
      </c>
      <c r="J3326" t="s">
        <v>17260</v>
      </c>
      <c r="K3326" t="s">
        <v>1550</v>
      </c>
      <c r="L3326" t="s">
        <v>17261</v>
      </c>
      <c r="M3326">
        <v>971.202</v>
      </c>
      <c r="N3326" t="s">
        <v>17262</v>
      </c>
      <c r="O3326" t="s">
        <v>26</v>
      </c>
      <c r="P3326">
        <v>142.5</v>
      </c>
      <c r="Q3326">
        <v>118.75</v>
      </c>
      <c r="R3326">
        <v>95</v>
      </c>
      <c r="S3326">
        <v>142.5</v>
      </c>
      <c r="T3326" t="s">
        <v>17263</v>
      </c>
    </row>
    <row r="3327" spans="1:20">
      <c r="A3327">
        <v>3331384</v>
      </c>
      <c r="B3327" t="s">
        <v>17264</v>
      </c>
      <c r="C3327" t="str">
        <f>"9780773508699"</f>
        <v>9780773508699</v>
      </c>
      <c r="D3327" t="str">
        <f>"9780773563117"</f>
        <v>9780773563117</v>
      </c>
      <c r="E3327" t="s">
        <v>12863</v>
      </c>
      <c r="F3327" t="s">
        <v>12863</v>
      </c>
      <c r="G3327" s="1">
        <v>33493</v>
      </c>
      <c r="J3327" t="s">
        <v>14469</v>
      </c>
      <c r="K3327" t="s">
        <v>1464</v>
      </c>
      <c r="L3327" t="s">
        <v>17265</v>
      </c>
      <c r="M3327">
        <v>832.6</v>
      </c>
      <c r="N3327" t="s">
        <v>17266</v>
      </c>
      <c r="O3327" t="s">
        <v>26</v>
      </c>
      <c r="P3327">
        <v>142.5</v>
      </c>
      <c r="Q3327">
        <v>118.75</v>
      </c>
      <c r="R3327">
        <v>95</v>
      </c>
      <c r="S3327">
        <v>142.5</v>
      </c>
      <c r="T3327" t="s">
        <v>17267</v>
      </c>
    </row>
    <row r="3328" spans="1:20">
      <c r="A3328">
        <v>3331385</v>
      </c>
      <c r="B3328" t="s">
        <v>17268</v>
      </c>
      <c r="C3328" t="str">
        <f>"9780773508286"</f>
        <v>9780773508286</v>
      </c>
      <c r="D3328" t="str">
        <f>"9780773562851"</f>
        <v>9780773562851</v>
      </c>
      <c r="E3328" t="s">
        <v>12907</v>
      </c>
      <c r="F3328" t="s">
        <v>12907</v>
      </c>
      <c r="G3328" s="1">
        <v>33721</v>
      </c>
      <c r="J3328" t="s">
        <v>17269</v>
      </c>
      <c r="K3328" t="s">
        <v>6444</v>
      </c>
      <c r="L3328" t="s">
        <v>17270</v>
      </c>
      <c r="M3328">
        <v>327</v>
      </c>
      <c r="N3328" t="s">
        <v>17271</v>
      </c>
      <c r="O3328" t="s">
        <v>26</v>
      </c>
      <c r="P3328">
        <v>127.5</v>
      </c>
      <c r="Q3328">
        <v>106.25</v>
      </c>
      <c r="R3328">
        <v>85</v>
      </c>
      <c r="S3328">
        <v>127.5</v>
      </c>
      <c r="T3328" t="s">
        <v>17272</v>
      </c>
    </row>
    <row r="3329" spans="1:20">
      <c r="A3329">
        <v>3331386</v>
      </c>
      <c r="B3329" t="s">
        <v>17273</v>
      </c>
      <c r="C3329" t="str">
        <f>"9780773517769"</f>
        <v>9780773517769</v>
      </c>
      <c r="D3329" t="str">
        <f>"9780773567375"</f>
        <v>9780773567375</v>
      </c>
      <c r="E3329" t="s">
        <v>12907</v>
      </c>
      <c r="F3329" t="s">
        <v>12907</v>
      </c>
      <c r="G3329" s="1">
        <v>41773</v>
      </c>
      <c r="I3329" t="s">
        <v>14112</v>
      </c>
      <c r="J3329" t="s">
        <v>17274</v>
      </c>
      <c r="K3329" t="s">
        <v>2312</v>
      </c>
      <c r="L3329" t="s">
        <v>17275</v>
      </c>
      <c r="M3329">
        <v>352.75097099999999</v>
      </c>
      <c r="N3329" t="s">
        <v>17276</v>
      </c>
      <c r="O3329" t="s">
        <v>26</v>
      </c>
      <c r="P3329">
        <v>142.5</v>
      </c>
      <c r="Q3329">
        <v>118.75</v>
      </c>
      <c r="R3329">
        <v>95</v>
      </c>
      <c r="S3329">
        <v>142.5</v>
      </c>
      <c r="T3329" t="s">
        <v>17277</v>
      </c>
    </row>
    <row r="3330" spans="1:20">
      <c r="A3330">
        <v>3331387</v>
      </c>
      <c r="B3330" t="s">
        <v>17278</v>
      </c>
      <c r="C3330" t="str">
        <f>"9780773516076"</f>
        <v>9780773516076</v>
      </c>
      <c r="D3330" t="str">
        <f>"9780773566576"</f>
        <v>9780773566576</v>
      </c>
      <c r="E3330" t="s">
        <v>12863</v>
      </c>
      <c r="F3330" t="s">
        <v>12863</v>
      </c>
      <c r="G3330" s="1">
        <v>35535</v>
      </c>
      <c r="I3330" t="s">
        <v>12886</v>
      </c>
      <c r="J3330" t="s">
        <v>17279</v>
      </c>
      <c r="K3330" t="s">
        <v>1892</v>
      </c>
      <c r="L3330" t="s">
        <v>17280</v>
      </c>
      <c r="M3330">
        <v>282.09199999999998</v>
      </c>
      <c r="N3330" t="s">
        <v>17281</v>
      </c>
      <c r="O3330" t="s">
        <v>26</v>
      </c>
      <c r="P3330">
        <v>142.5</v>
      </c>
      <c r="Q3330">
        <v>118.75</v>
      </c>
      <c r="R3330">
        <v>95</v>
      </c>
      <c r="S3330">
        <v>142.5</v>
      </c>
      <c r="T3330" t="s">
        <v>17282</v>
      </c>
    </row>
    <row r="3331" spans="1:20">
      <c r="A3331">
        <v>3331388</v>
      </c>
      <c r="B3331" t="s">
        <v>17283</v>
      </c>
      <c r="C3331" t="str">
        <f>"9780773511613"</f>
        <v>9780773511613</v>
      </c>
      <c r="D3331" t="str">
        <f>"9780773564541"</f>
        <v>9780773564541</v>
      </c>
      <c r="E3331" t="s">
        <v>12863</v>
      </c>
      <c r="F3331" t="s">
        <v>12863</v>
      </c>
      <c r="G3331" s="1">
        <v>34429</v>
      </c>
      <c r="J3331" t="s">
        <v>17284</v>
      </c>
      <c r="K3331" t="s">
        <v>2449</v>
      </c>
      <c r="L3331" t="s">
        <v>17285</v>
      </c>
      <c r="M3331">
        <v>379.71</v>
      </c>
      <c r="N3331" t="s">
        <v>17286</v>
      </c>
      <c r="O3331" t="s">
        <v>26</v>
      </c>
      <c r="P3331">
        <v>142.5</v>
      </c>
      <c r="Q3331">
        <v>118.75</v>
      </c>
      <c r="R3331">
        <v>95</v>
      </c>
      <c r="S3331">
        <v>142.5</v>
      </c>
      <c r="T3331" t="s">
        <v>17287</v>
      </c>
    </row>
    <row r="3332" spans="1:20">
      <c r="A3332">
        <v>3331389</v>
      </c>
      <c r="B3332" t="s">
        <v>17288</v>
      </c>
      <c r="C3332" t="str">
        <f>"9780773515475"</f>
        <v>9780773515475</v>
      </c>
      <c r="D3332" t="str">
        <f>"9780773566484"</f>
        <v>9780773566484</v>
      </c>
      <c r="E3332" t="s">
        <v>12863</v>
      </c>
      <c r="F3332" t="s">
        <v>12863</v>
      </c>
      <c r="G3332" s="1">
        <v>35478</v>
      </c>
      <c r="I3332" t="s">
        <v>12886</v>
      </c>
      <c r="J3332" t="s">
        <v>15317</v>
      </c>
      <c r="K3332" t="s">
        <v>1892</v>
      </c>
      <c r="L3332" t="s">
        <v>17289</v>
      </c>
      <c r="M3332">
        <v>277.10820000000001</v>
      </c>
      <c r="N3332" t="s">
        <v>15726</v>
      </c>
      <c r="O3332" t="s">
        <v>26</v>
      </c>
      <c r="P3332">
        <v>142.5</v>
      </c>
      <c r="Q3332">
        <v>118.75</v>
      </c>
      <c r="R3332">
        <v>95</v>
      </c>
      <c r="S3332">
        <v>142.5</v>
      </c>
      <c r="T3332" t="s">
        <v>17290</v>
      </c>
    </row>
    <row r="3333" spans="1:20">
      <c r="A3333">
        <v>3331390</v>
      </c>
      <c r="B3333" t="s">
        <v>17291</v>
      </c>
      <c r="C3333" t="str">
        <f>"9780773516540"</f>
        <v>9780773516540</v>
      </c>
      <c r="D3333" t="str">
        <f>"9780773566774"</f>
        <v>9780773566774</v>
      </c>
      <c r="E3333" t="s">
        <v>12863</v>
      </c>
      <c r="F3333" t="s">
        <v>12863</v>
      </c>
      <c r="G3333" s="1">
        <v>36952</v>
      </c>
      <c r="J3333" t="s">
        <v>15856</v>
      </c>
      <c r="K3333" t="s">
        <v>1892</v>
      </c>
      <c r="L3333" t="s">
        <v>17292</v>
      </c>
      <c r="M3333">
        <v>262.7</v>
      </c>
      <c r="N3333" t="s">
        <v>17293</v>
      </c>
      <c r="O3333" t="s">
        <v>26</v>
      </c>
      <c r="P3333">
        <v>41.93</v>
      </c>
      <c r="Q3333">
        <v>34.94</v>
      </c>
      <c r="R3333">
        <v>27.95</v>
      </c>
      <c r="S3333">
        <v>41.93</v>
      </c>
      <c r="T3333" t="s">
        <v>17294</v>
      </c>
    </row>
    <row r="3334" spans="1:20">
      <c r="A3334">
        <v>3331391</v>
      </c>
      <c r="B3334" t="s">
        <v>17295</v>
      </c>
      <c r="C3334" t="str">
        <f>"9780773512610"</f>
        <v>9780773512610</v>
      </c>
      <c r="D3334" t="str">
        <f>"9780773565159"</f>
        <v>9780773565159</v>
      </c>
      <c r="E3334" t="s">
        <v>12863</v>
      </c>
      <c r="F3334" t="s">
        <v>12863</v>
      </c>
      <c r="G3334" s="1">
        <v>34740</v>
      </c>
      <c r="J3334" t="s">
        <v>17296</v>
      </c>
      <c r="K3334" t="s">
        <v>467</v>
      </c>
      <c r="L3334" t="s">
        <v>17297</v>
      </c>
      <c r="M3334">
        <v>328.41</v>
      </c>
      <c r="N3334" t="s">
        <v>17298</v>
      </c>
      <c r="O3334" t="s">
        <v>26</v>
      </c>
      <c r="P3334">
        <v>142.5</v>
      </c>
      <c r="Q3334">
        <v>118.75</v>
      </c>
      <c r="R3334">
        <v>95</v>
      </c>
      <c r="S3334">
        <v>142.5</v>
      </c>
      <c r="T3334" t="s">
        <v>17299</v>
      </c>
    </row>
    <row r="3335" spans="1:20">
      <c r="A3335">
        <v>3331392</v>
      </c>
      <c r="B3335" t="s">
        <v>17300</v>
      </c>
      <c r="C3335" t="str">
        <f>"9780773512825"</f>
        <v>9780773512825</v>
      </c>
      <c r="D3335" t="str">
        <f>"9780773565265"</f>
        <v>9780773565265</v>
      </c>
      <c r="E3335" t="s">
        <v>12863</v>
      </c>
      <c r="F3335" t="s">
        <v>12863</v>
      </c>
      <c r="G3335" s="1">
        <v>34775</v>
      </c>
      <c r="J3335" t="s">
        <v>17301</v>
      </c>
      <c r="K3335" t="s">
        <v>4347</v>
      </c>
      <c r="L3335" t="s">
        <v>17302</v>
      </c>
      <c r="M3335">
        <v>359.93830943090001</v>
      </c>
      <c r="N3335" t="s">
        <v>17303</v>
      </c>
      <c r="O3335" t="s">
        <v>26</v>
      </c>
      <c r="P3335">
        <v>142.5</v>
      </c>
      <c r="Q3335">
        <v>118.75</v>
      </c>
      <c r="R3335">
        <v>95</v>
      </c>
      <c r="S3335">
        <v>142.5</v>
      </c>
      <c r="T3335" t="s">
        <v>17304</v>
      </c>
    </row>
    <row r="3336" spans="1:20">
      <c r="A3336">
        <v>3331393</v>
      </c>
      <c r="B3336" t="s">
        <v>17305</v>
      </c>
      <c r="C3336" t="str">
        <f>"9780773514157"</f>
        <v>9780773514157</v>
      </c>
      <c r="D3336" t="str">
        <f>"9780773566040"</f>
        <v>9780773566040</v>
      </c>
      <c r="E3336" t="s">
        <v>12863</v>
      </c>
      <c r="F3336" t="s">
        <v>12863</v>
      </c>
      <c r="G3336" s="1">
        <v>35217</v>
      </c>
      <c r="J3336" t="s">
        <v>17223</v>
      </c>
      <c r="K3336" t="s">
        <v>17306</v>
      </c>
      <c r="L3336" t="s">
        <v>17307</v>
      </c>
      <c r="M3336">
        <v>320.14999999999998</v>
      </c>
      <c r="N3336" t="s">
        <v>17308</v>
      </c>
      <c r="O3336" t="s">
        <v>26</v>
      </c>
      <c r="P3336">
        <v>142.5</v>
      </c>
      <c r="Q3336">
        <v>118.75</v>
      </c>
      <c r="R3336">
        <v>95</v>
      </c>
      <c r="S3336">
        <v>142.5</v>
      </c>
      <c r="T3336" t="s">
        <v>17309</v>
      </c>
    </row>
    <row r="3337" spans="1:20">
      <c r="A3337">
        <v>3331394</v>
      </c>
      <c r="B3337" t="s">
        <v>17310</v>
      </c>
      <c r="C3337" t="str">
        <f>"9780773506480"</f>
        <v>9780773506480</v>
      </c>
      <c r="D3337" t="str">
        <f>"9780773561632"</f>
        <v>9780773561632</v>
      </c>
      <c r="E3337" t="s">
        <v>12863</v>
      </c>
      <c r="F3337" t="s">
        <v>12863</v>
      </c>
      <c r="G3337" s="1">
        <v>32264</v>
      </c>
      <c r="J3337" t="s">
        <v>17311</v>
      </c>
      <c r="K3337" t="s">
        <v>278</v>
      </c>
      <c r="L3337" t="s">
        <v>17312</v>
      </c>
      <c r="M3337">
        <v>338.00607100000002</v>
      </c>
      <c r="N3337" t="s">
        <v>17313</v>
      </c>
      <c r="O3337" t="s">
        <v>26</v>
      </c>
      <c r="P3337">
        <v>127.5</v>
      </c>
      <c r="Q3337">
        <v>106.25</v>
      </c>
      <c r="R3337">
        <v>85</v>
      </c>
      <c r="S3337">
        <v>127.5</v>
      </c>
      <c r="T3337" t="s">
        <v>17314</v>
      </c>
    </row>
    <row r="3338" spans="1:20">
      <c r="A3338">
        <v>3331395</v>
      </c>
      <c r="B3338" t="s">
        <v>17315</v>
      </c>
      <c r="C3338" t="str">
        <f>"9780773503762"</f>
        <v>9780773503762</v>
      </c>
      <c r="D3338" t="str">
        <f>"9780773560802"</f>
        <v>9780773560802</v>
      </c>
      <c r="E3338" t="s">
        <v>12907</v>
      </c>
      <c r="F3338" t="s">
        <v>12907</v>
      </c>
      <c r="G3338" s="1">
        <v>41836</v>
      </c>
      <c r="J3338" t="s">
        <v>17316</v>
      </c>
      <c r="K3338" t="s">
        <v>257</v>
      </c>
      <c r="L3338" t="s">
        <v>17317</v>
      </c>
      <c r="M3338">
        <v>378.71372000000002</v>
      </c>
      <c r="N3338" t="s">
        <v>17318</v>
      </c>
      <c r="O3338" t="s">
        <v>26</v>
      </c>
      <c r="P3338">
        <v>135</v>
      </c>
      <c r="Q3338">
        <v>112.5</v>
      </c>
      <c r="R3338">
        <v>90</v>
      </c>
      <c r="S3338">
        <v>135</v>
      </c>
      <c r="T3338" t="s">
        <v>17319</v>
      </c>
    </row>
    <row r="3339" spans="1:20">
      <c r="A3339">
        <v>3331396</v>
      </c>
      <c r="B3339" t="s">
        <v>17320</v>
      </c>
      <c r="C3339" t="str">
        <f>"9780773511743"</f>
        <v>9780773511743</v>
      </c>
      <c r="D3339" t="str">
        <f>"9780773564640"</f>
        <v>9780773564640</v>
      </c>
      <c r="E3339" t="s">
        <v>12863</v>
      </c>
      <c r="F3339" t="s">
        <v>12863</v>
      </c>
      <c r="G3339" s="1">
        <v>34610</v>
      </c>
      <c r="I3339" t="s">
        <v>12942</v>
      </c>
      <c r="J3339" t="s">
        <v>17321</v>
      </c>
      <c r="K3339" t="s">
        <v>291</v>
      </c>
      <c r="L3339" t="s">
        <v>17322</v>
      </c>
      <c r="M3339" t="s">
        <v>17323</v>
      </c>
      <c r="N3339" t="s">
        <v>17324</v>
      </c>
      <c r="O3339" t="s">
        <v>26</v>
      </c>
      <c r="P3339">
        <v>127.5</v>
      </c>
      <c r="Q3339">
        <v>106.25</v>
      </c>
      <c r="R3339">
        <v>85</v>
      </c>
      <c r="S3339">
        <v>127.5</v>
      </c>
      <c r="T3339" t="s">
        <v>17325</v>
      </c>
    </row>
    <row r="3340" spans="1:20">
      <c r="A3340">
        <v>3331397</v>
      </c>
      <c r="B3340" t="s">
        <v>17326</v>
      </c>
      <c r="C3340" t="str">
        <f>"9780773506152"</f>
        <v>9780773506152</v>
      </c>
      <c r="D3340" t="str">
        <f>"9780773561427"</f>
        <v>9780773561427</v>
      </c>
      <c r="E3340" t="s">
        <v>12863</v>
      </c>
      <c r="F3340" t="s">
        <v>12863</v>
      </c>
      <c r="G3340" s="1">
        <v>32143</v>
      </c>
      <c r="J3340" t="s">
        <v>16241</v>
      </c>
      <c r="K3340" t="s">
        <v>1892</v>
      </c>
      <c r="L3340" t="s">
        <v>16242</v>
      </c>
      <c r="M3340">
        <v>231.73</v>
      </c>
      <c r="N3340" t="s">
        <v>17327</v>
      </c>
      <c r="O3340" t="s">
        <v>26</v>
      </c>
      <c r="P3340">
        <v>142.5</v>
      </c>
      <c r="Q3340">
        <v>118.75</v>
      </c>
      <c r="R3340">
        <v>95</v>
      </c>
      <c r="S3340">
        <v>142.5</v>
      </c>
      <c r="T3340" t="s">
        <v>17328</v>
      </c>
    </row>
    <row r="3341" spans="1:20">
      <c r="A3341">
        <v>3331398</v>
      </c>
      <c r="B3341" t="s">
        <v>17329</v>
      </c>
      <c r="C3341" t="str">
        <f>"9780773509115"</f>
        <v>9780773509115</v>
      </c>
      <c r="D3341" t="str">
        <f>"9780773563438"</f>
        <v>9780773563438</v>
      </c>
      <c r="E3341" t="s">
        <v>12863</v>
      </c>
      <c r="F3341" t="s">
        <v>12863</v>
      </c>
      <c r="G3341" s="1">
        <v>33456</v>
      </c>
      <c r="J3341" t="s">
        <v>17330</v>
      </c>
      <c r="K3341" t="s">
        <v>291</v>
      </c>
      <c r="L3341" t="s">
        <v>13336</v>
      </c>
      <c r="M3341">
        <v>971.92020920000004</v>
      </c>
      <c r="N3341" t="s">
        <v>17331</v>
      </c>
      <c r="O3341" t="s">
        <v>26</v>
      </c>
      <c r="P3341">
        <v>142.5</v>
      </c>
      <c r="Q3341">
        <v>118.75</v>
      </c>
      <c r="R3341">
        <v>95</v>
      </c>
      <c r="S3341">
        <v>142.5</v>
      </c>
      <c r="T3341" t="s">
        <v>17332</v>
      </c>
    </row>
    <row r="3342" spans="1:20">
      <c r="A3342">
        <v>3331399</v>
      </c>
      <c r="B3342" t="s">
        <v>17333</v>
      </c>
      <c r="C3342" t="str">
        <f>"9780773511866"</f>
        <v>9780773511866</v>
      </c>
      <c r="D3342" t="str">
        <f>"9780773564725"</f>
        <v>9780773564725</v>
      </c>
      <c r="E3342" t="s">
        <v>12863</v>
      </c>
      <c r="F3342" t="s">
        <v>12863</v>
      </c>
      <c r="G3342" s="1">
        <v>34491</v>
      </c>
      <c r="J3342" t="s">
        <v>17334</v>
      </c>
      <c r="K3342" t="s">
        <v>69</v>
      </c>
      <c r="L3342" t="s">
        <v>17335</v>
      </c>
      <c r="M3342">
        <v>539.70920000000001</v>
      </c>
      <c r="N3342" t="s">
        <v>17336</v>
      </c>
      <c r="O3342" t="s">
        <v>26</v>
      </c>
      <c r="P3342">
        <v>142.5</v>
      </c>
      <c r="Q3342">
        <v>118.75</v>
      </c>
      <c r="R3342">
        <v>95</v>
      </c>
      <c r="S3342">
        <v>142.5</v>
      </c>
      <c r="T3342" t="s">
        <v>17337</v>
      </c>
    </row>
    <row r="3343" spans="1:20">
      <c r="A3343">
        <v>3331400</v>
      </c>
      <c r="B3343" t="s">
        <v>17338</v>
      </c>
      <c r="C3343" t="str">
        <f>"9780773514249"</f>
        <v>9780773514249</v>
      </c>
      <c r="D3343" t="str">
        <f>"9780773566101"</f>
        <v>9780773566101</v>
      </c>
      <c r="E3343" t="s">
        <v>12863</v>
      </c>
      <c r="F3343" t="s">
        <v>12863</v>
      </c>
      <c r="G3343" s="1">
        <v>35311</v>
      </c>
      <c r="J3343" t="s">
        <v>17339</v>
      </c>
      <c r="K3343" t="s">
        <v>257</v>
      </c>
      <c r="L3343" t="s">
        <v>17340</v>
      </c>
      <c r="M3343">
        <v>378.01209710000001</v>
      </c>
      <c r="N3343" t="s">
        <v>17341</v>
      </c>
      <c r="O3343" t="s">
        <v>26</v>
      </c>
      <c r="P3343">
        <v>142.5</v>
      </c>
      <c r="Q3343">
        <v>118.75</v>
      </c>
      <c r="R3343">
        <v>95</v>
      </c>
      <c r="S3343">
        <v>142.5</v>
      </c>
      <c r="T3343" t="s">
        <v>17342</v>
      </c>
    </row>
    <row r="3344" spans="1:20">
      <c r="A3344">
        <v>3331401</v>
      </c>
      <c r="B3344" t="s">
        <v>17343</v>
      </c>
      <c r="C3344" t="str">
        <f>"9780773513525"</f>
        <v>9780773513525</v>
      </c>
      <c r="D3344" t="str">
        <f>"9780773565678"</f>
        <v>9780773565678</v>
      </c>
      <c r="E3344" t="s">
        <v>12863</v>
      </c>
      <c r="F3344" t="s">
        <v>12863</v>
      </c>
      <c r="G3344" s="1">
        <v>34975</v>
      </c>
      <c r="J3344" t="s">
        <v>17344</v>
      </c>
      <c r="K3344" t="s">
        <v>416</v>
      </c>
      <c r="L3344" t="s">
        <v>17345</v>
      </c>
      <c r="M3344">
        <v>331.09710899999999</v>
      </c>
      <c r="N3344" t="s">
        <v>17346</v>
      </c>
      <c r="O3344" t="s">
        <v>26</v>
      </c>
      <c r="P3344">
        <v>142.5</v>
      </c>
      <c r="Q3344">
        <v>118.75</v>
      </c>
      <c r="R3344">
        <v>95</v>
      </c>
      <c r="S3344">
        <v>142.5</v>
      </c>
      <c r="T3344" t="s">
        <v>17347</v>
      </c>
    </row>
    <row r="3345" spans="1:20">
      <c r="A3345">
        <v>3331402</v>
      </c>
      <c r="B3345" t="s">
        <v>17348</v>
      </c>
      <c r="C3345" t="str">
        <f>"9780773508552"</f>
        <v>9780773508552</v>
      </c>
      <c r="D3345" t="str">
        <f>"9780773563056"</f>
        <v>9780773563056</v>
      </c>
      <c r="E3345" t="s">
        <v>12863</v>
      </c>
      <c r="F3345" t="s">
        <v>12863</v>
      </c>
      <c r="G3345" s="1">
        <v>33553</v>
      </c>
      <c r="J3345" t="s">
        <v>17349</v>
      </c>
      <c r="K3345" t="s">
        <v>1464</v>
      </c>
      <c r="L3345" t="s">
        <v>17350</v>
      </c>
      <c r="M3345">
        <v>813.54</v>
      </c>
      <c r="N3345" t="s">
        <v>17351</v>
      </c>
      <c r="O3345" t="s">
        <v>26</v>
      </c>
      <c r="P3345">
        <v>142.5</v>
      </c>
      <c r="Q3345">
        <v>118.75</v>
      </c>
      <c r="R3345">
        <v>95</v>
      </c>
      <c r="S3345">
        <v>142.5</v>
      </c>
      <c r="T3345" t="s">
        <v>17352</v>
      </c>
    </row>
    <row r="3346" spans="1:20">
      <c r="A3346">
        <v>3331403</v>
      </c>
      <c r="B3346" t="s">
        <v>17353</v>
      </c>
      <c r="C3346" t="str">
        <f>"9780773513747"</f>
        <v>9780773513747</v>
      </c>
      <c r="D3346" t="str">
        <f>"9780773565807"</f>
        <v>9780773565807</v>
      </c>
      <c r="E3346" t="s">
        <v>12863</v>
      </c>
      <c r="F3346" t="s">
        <v>12863</v>
      </c>
      <c r="G3346" s="1">
        <v>35237</v>
      </c>
      <c r="I3346" t="s">
        <v>12871</v>
      </c>
      <c r="J3346" t="s">
        <v>17354</v>
      </c>
      <c r="K3346" t="s">
        <v>1530</v>
      </c>
      <c r="L3346" t="s">
        <v>16573</v>
      </c>
      <c r="M3346">
        <v>306.08997107189998</v>
      </c>
      <c r="N3346" t="s">
        <v>17355</v>
      </c>
      <c r="O3346" t="s">
        <v>26</v>
      </c>
      <c r="P3346">
        <v>142.5</v>
      </c>
      <c r="Q3346">
        <v>118.75</v>
      </c>
      <c r="R3346">
        <v>95</v>
      </c>
      <c r="S3346">
        <v>142.5</v>
      </c>
      <c r="T3346" t="s">
        <v>17356</v>
      </c>
    </row>
    <row r="3347" spans="1:20">
      <c r="A3347">
        <v>3331404</v>
      </c>
      <c r="B3347" t="s">
        <v>17357</v>
      </c>
      <c r="C3347" t="str">
        <f>"9780773511125"</f>
        <v>9780773511125</v>
      </c>
      <c r="D3347" t="str">
        <f>"9780773564251"</f>
        <v>9780773564251</v>
      </c>
      <c r="E3347" t="s">
        <v>12863</v>
      </c>
      <c r="F3347" t="s">
        <v>12863</v>
      </c>
      <c r="G3347" s="1">
        <v>34415</v>
      </c>
      <c r="J3347" t="s">
        <v>17358</v>
      </c>
      <c r="K3347" t="s">
        <v>17359</v>
      </c>
      <c r="L3347" t="s">
        <v>17360</v>
      </c>
      <c r="M3347">
        <v>333.91640970999998</v>
      </c>
      <c r="N3347" t="s">
        <v>17361</v>
      </c>
      <c r="O3347" t="s">
        <v>26</v>
      </c>
      <c r="P3347">
        <v>127.5</v>
      </c>
      <c r="Q3347">
        <v>106.25</v>
      </c>
      <c r="R3347">
        <v>85</v>
      </c>
      <c r="S3347">
        <v>127.5</v>
      </c>
      <c r="T3347" t="s">
        <v>17362</v>
      </c>
    </row>
    <row r="3348" spans="1:20">
      <c r="A3348">
        <v>3331405</v>
      </c>
      <c r="B3348" t="s">
        <v>17363</v>
      </c>
      <c r="C3348" t="str">
        <f>"9780886291457"</f>
        <v>9780886291457</v>
      </c>
      <c r="D3348" t="str">
        <f>"9780773573703"</f>
        <v>9780773573703</v>
      </c>
      <c r="E3348" t="s">
        <v>12907</v>
      </c>
      <c r="F3348" t="s">
        <v>12907</v>
      </c>
      <c r="G3348" s="1">
        <v>41773</v>
      </c>
      <c r="I3348" t="s">
        <v>16551</v>
      </c>
      <c r="J3348" t="s">
        <v>16953</v>
      </c>
      <c r="K3348" t="s">
        <v>6444</v>
      </c>
      <c r="L3348" t="s">
        <v>17364</v>
      </c>
      <c r="M3348">
        <v>327.71</v>
      </c>
      <c r="N3348" t="s">
        <v>17365</v>
      </c>
      <c r="O3348" t="s">
        <v>26</v>
      </c>
      <c r="P3348">
        <v>142.5</v>
      </c>
      <c r="Q3348">
        <v>118.75</v>
      </c>
      <c r="R3348">
        <v>95</v>
      </c>
      <c r="S3348">
        <v>142.5</v>
      </c>
      <c r="T3348" t="s">
        <v>17366</v>
      </c>
    </row>
    <row r="3349" spans="1:20">
      <c r="A3349">
        <v>3331406</v>
      </c>
      <c r="B3349" t="s">
        <v>17367</v>
      </c>
      <c r="C3349" t="str">
        <f>"9780773509900"</f>
        <v>9780773509900</v>
      </c>
      <c r="D3349" t="str">
        <f>"9780773563872"</f>
        <v>9780773563872</v>
      </c>
      <c r="E3349" t="s">
        <v>12863</v>
      </c>
      <c r="F3349" t="s">
        <v>12863</v>
      </c>
      <c r="G3349" s="1">
        <v>34226</v>
      </c>
      <c r="I3349" t="s">
        <v>14877</v>
      </c>
      <c r="J3349" t="s">
        <v>17368</v>
      </c>
      <c r="K3349" t="s">
        <v>263</v>
      </c>
      <c r="L3349" t="s">
        <v>16250</v>
      </c>
      <c r="M3349">
        <v>361.680971</v>
      </c>
      <c r="N3349" t="s">
        <v>17369</v>
      </c>
      <c r="O3349" t="s">
        <v>26</v>
      </c>
      <c r="P3349">
        <v>142.5</v>
      </c>
      <c r="Q3349">
        <v>118.75</v>
      </c>
      <c r="R3349">
        <v>95</v>
      </c>
      <c r="S3349">
        <v>142.5</v>
      </c>
      <c r="T3349" t="s">
        <v>17370</v>
      </c>
    </row>
    <row r="3350" spans="1:20">
      <c r="A3350">
        <v>3331407</v>
      </c>
      <c r="B3350" t="s">
        <v>17371</v>
      </c>
      <c r="C3350" t="str">
        <f>"9780773508378"</f>
        <v>9780773508378</v>
      </c>
      <c r="D3350" t="str">
        <f>"9780773562912"</f>
        <v>9780773562912</v>
      </c>
      <c r="E3350" t="s">
        <v>12863</v>
      </c>
      <c r="F3350" t="s">
        <v>12863</v>
      </c>
      <c r="G3350" s="1">
        <v>33329</v>
      </c>
      <c r="J3350" t="s">
        <v>17372</v>
      </c>
      <c r="K3350" t="s">
        <v>291</v>
      </c>
      <c r="L3350" t="s">
        <v>17373</v>
      </c>
      <c r="M3350">
        <v>938.07092</v>
      </c>
      <c r="N3350" t="s">
        <v>17374</v>
      </c>
      <c r="O3350" t="s">
        <v>26</v>
      </c>
      <c r="P3350">
        <v>142.5</v>
      </c>
      <c r="Q3350">
        <v>118.75</v>
      </c>
      <c r="R3350">
        <v>95</v>
      </c>
      <c r="S3350">
        <v>142.5</v>
      </c>
      <c r="T3350" t="s">
        <v>17375</v>
      </c>
    </row>
    <row r="3351" spans="1:20">
      <c r="A3351">
        <v>3331408</v>
      </c>
      <c r="B3351" t="s">
        <v>17376</v>
      </c>
      <c r="C3351" t="str">
        <f>"9780773506626"</f>
        <v>9780773506626</v>
      </c>
      <c r="D3351" t="str">
        <f>"9780773561762"</f>
        <v>9780773561762</v>
      </c>
      <c r="E3351" t="s">
        <v>12863</v>
      </c>
      <c r="F3351" t="s">
        <v>12863</v>
      </c>
      <c r="G3351" s="1">
        <v>32295</v>
      </c>
      <c r="J3351" t="s">
        <v>17377</v>
      </c>
      <c r="K3351" t="s">
        <v>1464</v>
      </c>
      <c r="L3351" t="s">
        <v>17378</v>
      </c>
      <c r="M3351" t="s">
        <v>17379</v>
      </c>
      <c r="N3351" t="s">
        <v>17380</v>
      </c>
      <c r="O3351" t="s">
        <v>26</v>
      </c>
      <c r="P3351">
        <v>127.5</v>
      </c>
      <c r="Q3351">
        <v>106.25</v>
      </c>
      <c r="R3351">
        <v>85</v>
      </c>
      <c r="S3351">
        <v>127.5</v>
      </c>
      <c r="T3351" t="s">
        <v>17381</v>
      </c>
    </row>
    <row r="3352" spans="1:20">
      <c r="A3352">
        <v>3331409</v>
      </c>
      <c r="B3352" t="s">
        <v>17382</v>
      </c>
      <c r="C3352" t="str">
        <f>"9780773513976"</f>
        <v>9780773513976</v>
      </c>
      <c r="D3352" t="str">
        <f>"9780773565944"</f>
        <v>9780773565944</v>
      </c>
      <c r="E3352" t="s">
        <v>12863</v>
      </c>
      <c r="F3352" t="s">
        <v>12863</v>
      </c>
      <c r="G3352" s="1">
        <v>35149</v>
      </c>
      <c r="I3352" t="s">
        <v>12886</v>
      </c>
      <c r="J3352" t="s">
        <v>13921</v>
      </c>
      <c r="K3352" t="s">
        <v>11294</v>
      </c>
      <c r="L3352" t="s">
        <v>13356</v>
      </c>
      <c r="M3352">
        <v>261.83097099999998</v>
      </c>
      <c r="N3352" t="s">
        <v>17383</v>
      </c>
      <c r="O3352" t="s">
        <v>26</v>
      </c>
      <c r="P3352">
        <v>142.5</v>
      </c>
      <c r="Q3352">
        <v>118.75</v>
      </c>
      <c r="R3352">
        <v>95</v>
      </c>
      <c r="S3352">
        <v>142.5</v>
      </c>
      <c r="T3352" t="s">
        <v>17384</v>
      </c>
    </row>
    <row r="3353" spans="1:20">
      <c r="A3353">
        <v>3331410</v>
      </c>
      <c r="B3353" t="s">
        <v>17385</v>
      </c>
      <c r="C3353" t="str">
        <f>"9780773512788"</f>
        <v>9780773512788</v>
      </c>
      <c r="D3353" t="str">
        <f>"9780773565234"</f>
        <v>9780773565234</v>
      </c>
      <c r="E3353" t="s">
        <v>12863</v>
      </c>
      <c r="F3353" t="s">
        <v>12863</v>
      </c>
      <c r="G3353" s="1">
        <v>34750</v>
      </c>
      <c r="J3353" t="s">
        <v>14730</v>
      </c>
      <c r="K3353" t="s">
        <v>278</v>
      </c>
      <c r="L3353" t="s">
        <v>17386</v>
      </c>
      <c r="M3353">
        <v>331.41330971000002</v>
      </c>
      <c r="N3353" t="s">
        <v>17387</v>
      </c>
      <c r="O3353" t="s">
        <v>26</v>
      </c>
      <c r="P3353">
        <v>142.5</v>
      </c>
      <c r="Q3353">
        <v>118.75</v>
      </c>
      <c r="R3353">
        <v>95</v>
      </c>
      <c r="S3353">
        <v>142.5</v>
      </c>
      <c r="T3353" t="s">
        <v>17388</v>
      </c>
    </row>
    <row r="3354" spans="1:20">
      <c r="A3354">
        <v>3331411</v>
      </c>
      <c r="B3354" t="s">
        <v>17389</v>
      </c>
      <c r="C3354" t="str">
        <f>"9780773511958"</f>
        <v>9780773511958</v>
      </c>
      <c r="D3354" t="str">
        <f>"9780773564770"</f>
        <v>9780773564770</v>
      </c>
      <c r="E3354" t="s">
        <v>12863</v>
      </c>
      <c r="F3354" t="s">
        <v>12863</v>
      </c>
      <c r="G3354" s="1">
        <v>34544</v>
      </c>
      <c r="I3354" t="s">
        <v>12886</v>
      </c>
      <c r="J3354" t="s">
        <v>17390</v>
      </c>
      <c r="K3354" t="s">
        <v>1892</v>
      </c>
      <c r="L3354" t="s">
        <v>17391</v>
      </c>
      <c r="M3354">
        <v>289.89999999999998</v>
      </c>
      <c r="N3354" t="s">
        <v>17392</v>
      </c>
      <c r="O3354" t="s">
        <v>26</v>
      </c>
      <c r="P3354">
        <v>127.5</v>
      </c>
      <c r="Q3354">
        <v>106.25</v>
      </c>
      <c r="R3354">
        <v>85</v>
      </c>
      <c r="S3354">
        <v>127.5</v>
      </c>
      <c r="T3354" t="s">
        <v>17393</v>
      </c>
    </row>
    <row r="3355" spans="1:20">
      <c r="A3355">
        <v>3331412</v>
      </c>
      <c r="B3355" t="s">
        <v>17394</v>
      </c>
      <c r="C3355" t="str">
        <f>"9780773520356"</f>
        <v>9780773520356</v>
      </c>
      <c r="D3355" t="str">
        <f>"9780773568334"</f>
        <v>9780773568334</v>
      </c>
      <c r="E3355" t="s">
        <v>12863</v>
      </c>
      <c r="F3355" t="s">
        <v>12863</v>
      </c>
      <c r="G3355" s="1">
        <v>36768</v>
      </c>
      <c r="J3355" t="s">
        <v>17395</v>
      </c>
      <c r="K3355" t="s">
        <v>291</v>
      </c>
      <c r="L3355" t="s">
        <v>15945</v>
      </c>
      <c r="M3355">
        <v>971.30042100000003</v>
      </c>
      <c r="N3355" t="s">
        <v>17396</v>
      </c>
      <c r="O3355" t="s">
        <v>26</v>
      </c>
      <c r="P3355">
        <v>142.5</v>
      </c>
      <c r="Q3355">
        <v>118.75</v>
      </c>
      <c r="R3355">
        <v>95</v>
      </c>
      <c r="S3355">
        <v>142.5</v>
      </c>
      <c r="T3355" t="s">
        <v>17397</v>
      </c>
    </row>
    <row r="3356" spans="1:20">
      <c r="A3356">
        <v>3331413</v>
      </c>
      <c r="B3356" t="s">
        <v>17398</v>
      </c>
      <c r="C3356" t="str">
        <f>"9780773517349"</f>
        <v>9780773517349</v>
      </c>
      <c r="D3356" t="str">
        <f>"9780773567245"</f>
        <v>9780773567245</v>
      </c>
      <c r="E3356" t="s">
        <v>12863</v>
      </c>
      <c r="F3356" t="s">
        <v>12863</v>
      </c>
      <c r="G3356" s="1">
        <v>36110</v>
      </c>
      <c r="J3356" t="s">
        <v>14730</v>
      </c>
      <c r="K3356" t="s">
        <v>550</v>
      </c>
      <c r="L3356" t="s">
        <v>17399</v>
      </c>
      <c r="M3356">
        <v>306.36150971270001</v>
      </c>
      <c r="N3356" t="s">
        <v>17400</v>
      </c>
      <c r="O3356" t="s">
        <v>26</v>
      </c>
      <c r="P3356">
        <v>142.5</v>
      </c>
      <c r="Q3356">
        <v>118.75</v>
      </c>
      <c r="R3356">
        <v>95</v>
      </c>
      <c r="S3356">
        <v>142.5</v>
      </c>
      <c r="T3356" t="s">
        <v>17401</v>
      </c>
    </row>
    <row r="3357" spans="1:20">
      <c r="A3357">
        <v>3331414</v>
      </c>
      <c r="B3357" t="s">
        <v>17402</v>
      </c>
      <c r="C3357" t="str">
        <f>"9780773507333"</f>
        <v>9780773507333</v>
      </c>
      <c r="D3357" t="str">
        <f>"9780773562301"</f>
        <v>9780773562301</v>
      </c>
      <c r="E3357" t="s">
        <v>12863</v>
      </c>
      <c r="F3357" t="s">
        <v>12863</v>
      </c>
      <c r="G3357" s="1">
        <v>33091</v>
      </c>
      <c r="J3357" t="s">
        <v>17198</v>
      </c>
      <c r="K3357" t="s">
        <v>376</v>
      </c>
      <c r="L3357" t="s">
        <v>17403</v>
      </c>
      <c r="M3357">
        <v>613.20000000000005</v>
      </c>
      <c r="N3357" t="s">
        <v>17404</v>
      </c>
      <c r="O3357" t="s">
        <v>26</v>
      </c>
      <c r="P3357">
        <v>142.5</v>
      </c>
      <c r="Q3357">
        <v>118.75</v>
      </c>
      <c r="R3357">
        <v>95</v>
      </c>
      <c r="S3357">
        <v>142.5</v>
      </c>
      <c r="T3357" t="s">
        <v>17405</v>
      </c>
    </row>
    <row r="3358" spans="1:20">
      <c r="A3358">
        <v>3331415</v>
      </c>
      <c r="B3358" t="s">
        <v>17406</v>
      </c>
      <c r="C3358" t="str">
        <f>"9780773508194"</f>
        <v>9780773508194</v>
      </c>
      <c r="D3358" t="str">
        <f>"9780773562783"</f>
        <v>9780773562783</v>
      </c>
      <c r="E3358" t="s">
        <v>12863</v>
      </c>
      <c r="F3358" t="s">
        <v>12863</v>
      </c>
      <c r="G3358" s="1">
        <v>33329</v>
      </c>
      <c r="J3358" t="s">
        <v>17407</v>
      </c>
      <c r="K3358" t="s">
        <v>263</v>
      </c>
      <c r="L3358" t="s">
        <v>15187</v>
      </c>
      <c r="M3358">
        <v>361.2</v>
      </c>
      <c r="N3358" t="s">
        <v>17408</v>
      </c>
      <c r="O3358" t="s">
        <v>26</v>
      </c>
      <c r="P3358">
        <v>142.5</v>
      </c>
      <c r="Q3358">
        <v>118.75</v>
      </c>
      <c r="R3358">
        <v>95</v>
      </c>
      <c r="S3358">
        <v>142.5</v>
      </c>
      <c r="T3358" t="s">
        <v>17409</v>
      </c>
    </row>
    <row r="3359" spans="1:20">
      <c r="A3359">
        <v>3331416</v>
      </c>
      <c r="B3359" t="s">
        <v>17410</v>
      </c>
      <c r="C3359" t="str">
        <f>"9780773512993"</f>
        <v>9780773512993</v>
      </c>
      <c r="D3359" t="str">
        <f>"9780773565364"</f>
        <v>9780773565364</v>
      </c>
      <c r="E3359" t="s">
        <v>12863</v>
      </c>
      <c r="F3359" t="s">
        <v>12863</v>
      </c>
      <c r="G3359" s="1">
        <v>34864</v>
      </c>
      <c r="J3359" t="s">
        <v>17411</v>
      </c>
      <c r="K3359" t="s">
        <v>416</v>
      </c>
      <c r="L3359" t="s">
        <v>13625</v>
      </c>
      <c r="M3359">
        <v>330.971</v>
      </c>
      <c r="N3359" t="s">
        <v>17412</v>
      </c>
      <c r="O3359" t="s">
        <v>26</v>
      </c>
      <c r="P3359">
        <v>142.5</v>
      </c>
      <c r="Q3359">
        <v>118.75</v>
      </c>
      <c r="R3359">
        <v>95</v>
      </c>
      <c r="S3359">
        <v>142.5</v>
      </c>
      <c r="T3359" t="s">
        <v>17413</v>
      </c>
    </row>
    <row r="3360" spans="1:20">
      <c r="A3360">
        <v>3331417</v>
      </c>
      <c r="B3360" t="s">
        <v>17414</v>
      </c>
      <c r="C3360" t="str">
        <f>"9780773505834"</f>
        <v>9780773505834</v>
      </c>
      <c r="D3360" t="str">
        <f>"9780773561267"</f>
        <v>9780773561267</v>
      </c>
      <c r="E3360" t="s">
        <v>12863</v>
      </c>
      <c r="F3360" t="s">
        <v>12863</v>
      </c>
      <c r="G3360" s="1">
        <v>32082</v>
      </c>
      <c r="J3360" t="s">
        <v>17415</v>
      </c>
      <c r="K3360" t="s">
        <v>291</v>
      </c>
      <c r="L3360" t="s">
        <v>17416</v>
      </c>
      <c r="M3360">
        <v>971.37199999999996</v>
      </c>
      <c r="N3360" t="s">
        <v>17417</v>
      </c>
      <c r="O3360" t="s">
        <v>26</v>
      </c>
      <c r="P3360">
        <v>142.5</v>
      </c>
      <c r="Q3360">
        <v>118.75</v>
      </c>
      <c r="R3360">
        <v>95</v>
      </c>
      <c r="S3360">
        <v>142.5</v>
      </c>
      <c r="T3360" t="s">
        <v>17418</v>
      </c>
    </row>
    <row r="3361" spans="1:20">
      <c r="A3361">
        <v>3331418</v>
      </c>
      <c r="B3361" t="s">
        <v>17419</v>
      </c>
      <c r="C3361" t="str">
        <f>"9780773513471"</f>
        <v>9780773513471</v>
      </c>
      <c r="D3361" t="str">
        <f>"9780773565623"</f>
        <v>9780773565623</v>
      </c>
      <c r="E3361" t="s">
        <v>12863</v>
      </c>
      <c r="F3361" t="s">
        <v>12863</v>
      </c>
      <c r="G3361" s="1">
        <v>35002</v>
      </c>
      <c r="J3361" t="s">
        <v>17420</v>
      </c>
      <c r="K3361" t="s">
        <v>416</v>
      </c>
      <c r="L3361" t="s">
        <v>17421</v>
      </c>
      <c r="M3361">
        <v>330.97285053000002</v>
      </c>
      <c r="N3361" t="s">
        <v>17422</v>
      </c>
      <c r="O3361" t="s">
        <v>26</v>
      </c>
      <c r="P3361">
        <v>142.5</v>
      </c>
      <c r="Q3361">
        <v>118.75</v>
      </c>
      <c r="R3361">
        <v>95</v>
      </c>
      <c r="S3361">
        <v>142.5</v>
      </c>
      <c r="T3361" t="s">
        <v>17423</v>
      </c>
    </row>
    <row r="3362" spans="1:20">
      <c r="A3362">
        <v>3331419</v>
      </c>
      <c r="B3362" t="s">
        <v>17424</v>
      </c>
      <c r="C3362" t="str">
        <f>"9780773527522"</f>
        <v>9780773527522</v>
      </c>
      <c r="D3362" t="str">
        <f>"9780773572126"</f>
        <v>9780773572126</v>
      </c>
      <c r="E3362" t="s">
        <v>12863</v>
      </c>
      <c r="F3362" t="s">
        <v>12863</v>
      </c>
      <c r="G3362" s="1">
        <v>38295</v>
      </c>
      <c r="J3362" t="s">
        <v>17425</v>
      </c>
      <c r="K3362" t="s">
        <v>1471</v>
      </c>
      <c r="L3362" t="s">
        <v>17426</v>
      </c>
      <c r="M3362">
        <v>759.11</v>
      </c>
      <c r="N3362" t="s">
        <v>17427</v>
      </c>
      <c r="O3362" t="s">
        <v>26</v>
      </c>
      <c r="P3362">
        <v>44.93</v>
      </c>
      <c r="Q3362">
        <v>37.44</v>
      </c>
      <c r="R3362">
        <v>29.95</v>
      </c>
      <c r="S3362">
        <v>44.93</v>
      </c>
      <c r="T3362" t="s">
        <v>17428</v>
      </c>
    </row>
    <row r="3363" spans="1:20">
      <c r="A3363">
        <v>3331420</v>
      </c>
      <c r="B3363" t="s">
        <v>17429</v>
      </c>
      <c r="C3363" t="str">
        <f>"9780773513488"</f>
        <v>9780773513488</v>
      </c>
      <c r="D3363" t="str">
        <f>"9780773565630"</f>
        <v>9780773565630</v>
      </c>
      <c r="E3363" t="s">
        <v>12863</v>
      </c>
      <c r="F3363" t="s">
        <v>12863</v>
      </c>
      <c r="G3363" s="1">
        <v>34949</v>
      </c>
      <c r="I3363" t="s">
        <v>12871</v>
      </c>
      <c r="J3363" t="s">
        <v>17430</v>
      </c>
      <c r="K3363" t="s">
        <v>3230</v>
      </c>
      <c r="L3363" t="s">
        <v>17431</v>
      </c>
      <c r="M3363">
        <v>917.19504409219996</v>
      </c>
      <c r="N3363" t="s">
        <v>17432</v>
      </c>
      <c r="O3363" t="s">
        <v>26</v>
      </c>
      <c r="P3363">
        <v>142.5</v>
      </c>
      <c r="Q3363">
        <v>118.75</v>
      </c>
      <c r="R3363">
        <v>95</v>
      </c>
      <c r="S3363">
        <v>142.5</v>
      </c>
      <c r="T3363" t="s">
        <v>17433</v>
      </c>
    </row>
    <row r="3364" spans="1:20">
      <c r="A3364">
        <v>3331421</v>
      </c>
      <c r="B3364" t="s">
        <v>17434</v>
      </c>
      <c r="C3364" t="str">
        <f>"9780773526600"</f>
        <v>9780773526600</v>
      </c>
      <c r="D3364" t="str">
        <f>"9780773571693"</f>
        <v>9780773571693</v>
      </c>
      <c r="E3364" t="s">
        <v>12863</v>
      </c>
      <c r="F3364" t="s">
        <v>12863</v>
      </c>
      <c r="G3364" s="1">
        <v>37880</v>
      </c>
      <c r="J3364" t="s">
        <v>17435</v>
      </c>
      <c r="K3364" t="s">
        <v>17436</v>
      </c>
      <c r="L3364" t="s">
        <v>17437</v>
      </c>
      <c r="M3364">
        <v>333.75097099999999</v>
      </c>
      <c r="N3364" t="s">
        <v>17438</v>
      </c>
      <c r="O3364" t="s">
        <v>26</v>
      </c>
      <c r="P3364">
        <v>142.5</v>
      </c>
      <c r="Q3364">
        <v>118.75</v>
      </c>
      <c r="R3364">
        <v>95</v>
      </c>
      <c r="S3364">
        <v>142.5</v>
      </c>
      <c r="T3364" t="s">
        <v>17439</v>
      </c>
    </row>
    <row r="3365" spans="1:20">
      <c r="A3365">
        <v>3331422</v>
      </c>
      <c r="B3365" t="s">
        <v>17440</v>
      </c>
      <c r="C3365" t="str">
        <f>"9780773521667"</f>
        <v>9780773521667</v>
      </c>
      <c r="D3365" t="str">
        <f>"9780773569072"</f>
        <v>9780773569072</v>
      </c>
      <c r="E3365" t="s">
        <v>12907</v>
      </c>
      <c r="F3365" t="s">
        <v>12907</v>
      </c>
      <c r="G3365" s="1">
        <v>36706</v>
      </c>
      <c r="J3365" t="s">
        <v>17441</v>
      </c>
      <c r="K3365" t="s">
        <v>3230</v>
      </c>
      <c r="L3365" t="s">
        <v>17442</v>
      </c>
      <c r="M3365" t="s">
        <v>17443</v>
      </c>
      <c r="N3365" t="s">
        <v>17444</v>
      </c>
      <c r="O3365" t="s">
        <v>26</v>
      </c>
      <c r="P3365">
        <v>142.5</v>
      </c>
      <c r="Q3365">
        <v>118.75</v>
      </c>
      <c r="R3365">
        <v>95</v>
      </c>
      <c r="S3365">
        <v>142.5</v>
      </c>
      <c r="T3365" t="s">
        <v>17445</v>
      </c>
    </row>
    <row r="3366" spans="1:20">
      <c r="A3366">
        <v>3331423</v>
      </c>
      <c r="B3366" t="s">
        <v>17446</v>
      </c>
      <c r="C3366" t="str">
        <f>"9780773513259"</f>
        <v>9780773513259</v>
      </c>
      <c r="D3366" t="str">
        <f>"9780773565531"</f>
        <v>9780773565531</v>
      </c>
      <c r="E3366" t="s">
        <v>12863</v>
      </c>
      <c r="F3366" t="s">
        <v>12863</v>
      </c>
      <c r="G3366" s="1">
        <v>34970</v>
      </c>
      <c r="J3366" t="s">
        <v>15480</v>
      </c>
      <c r="K3366" t="s">
        <v>291</v>
      </c>
      <c r="L3366" t="s">
        <v>17447</v>
      </c>
      <c r="M3366">
        <v>970.03</v>
      </c>
      <c r="N3366" t="s">
        <v>17448</v>
      </c>
      <c r="O3366" t="s">
        <v>26</v>
      </c>
      <c r="P3366">
        <v>142.5</v>
      </c>
      <c r="Q3366">
        <v>118.75</v>
      </c>
      <c r="R3366">
        <v>95</v>
      </c>
      <c r="S3366">
        <v>142.5</v>
      </c>
      <c r="T3366" t="s">
        <v>17449</v>
      </c>
    </row>
    <row r="3367" spans="1:20">
      <c r="A3367">
        <v>3331424</v>
      </c>
      <c r="B3367" t="s">
        <v>17450</v>
      </c>
      <c r="C3367" t="str">
        <f>"9780773516502"</f>
        <v>9780773516502</v>
      </c>
      <c r="D3367" t="str">
        <f>"9780773566750"</f>
        <v>9780773566750</v>
      </c>
      <c r="E3367" t="s">
        <v>12863</v>
      </c>
      <c r="F3367" t="s">
        <v>12863</v>
      </c>
      <c r="G3367" s="1">
        <v>35759</v>
      </c>
      <c r="J3367" t="s">
        <v>17451</v>
      </c>
      <c r="K3367" t="s">
        <v>6444</v>
      </c>
      <c r="L3367" t="s">
        <v>17452</v>
      </c>
      <c r="M3367">
        <v>971.06399999999996</v>
      </c>
      <c r="N3367" t="s">
        <v>17453</v>
      </c>
      <c r="O3367" t="s">
        <v>26</v>
      </c>
      <c r="P3367">
        <v>142.5</v>
      </c>
      <c r="Q3367">
        <v>118.75</v>
      </c>
      <c r="R3367">
        <v>95</v>
      </c>
      <c r="S3367">
        <v>142.5</v>
      </c>
      <c r="T3367" t="s">
        <v>17454</v>
      </c>
    </row>
    <row r="3368" spans="1:20">
      <c r="A3368">
        <v>3331425</v>
      </c>
      <c r="B3368" t="s">
        <v>17455</v>
      </c>
      <c r="C3368" t="str">
        <f>"9780773509863"</f>
        <v>9780773509863</v>
      </c>
      <c r="D3368" t="str">
        <f>"9780773563841"</f>
        <v>9780773563841</v>
      </c>
      <c r="E3368" t="s">
        <v>12863</v>
      </c>
      <c r="F3368" t="s">
        <v>12863</v>
      </c>
      <c r="G3368" s="1">
        <v>34243</v>
      </c>
      <c r="J3368" t="s">
        <v>16060</v>
      </c>
      <c r="K3368" t="s">
        <v>467</v>
      </c>
      <c r="L3368" t="s">
        <v>17456</v>
      </c>
      <c r="M3368">
        <v>320.471</v>
      </c>
      <c r="N3368" t="s">
        <v>17457</v>
      </c>
      <c r="O3368" t="s">
        <v>26</v>
      </c>
      <c r="P3368">
        <v>142.5</v>
      </c>
      <c r="Q3368">
        <v>118.75</v>
      </c>
      <c r="R3368">
        <v>95</v>
      </c>
      <c r="S3368">
        <v>142.5</v>
      </c>
      <c r="T3368" t="s">
        <v>17458</v>
      </c>
    </row>
    <row r="3369" spans="1:20">
      <c r="A3369">
        <v>3331426</v>
      </c>
      <c r="B3369" t="s">
        <v>17459</v>
      </c>
      <c r="C3369" t="str">
        <f>"9780773520554"</f>
        <v>9780773520554</v>
      </c>
      <c r="D3369" t="str">
        <f>"9780773568464"</f>
        <v>9780773568464</v>
      </c>
      <c r="E3369" t="s">
        <v>12863</v>
      </c>
      <c r="F3369" t="s">
        <v>12863</v>
      </c>
      <c r="G3369" s="1">
        <v>36678</v>
      </c>
      <c r="J3369" t="s">
        <v>16561</v>
      </c>
      <c r="K3369" t="s">
        <v>17460</v>
      </c>
      <c r="L3369" t="s">
        <v>17461</v>
      </c>
      <c r="M3369">
        <v>386.30971399999999</v>
      </c>
      <c r="N3369" t="s">
        <v>17462</v>
      </c>
      <c r="O3369" t="s">
        <v>26</v>
      </c>
      <c r="P3369">
        <v>142.5</v>
      </c>
      <c r="Q3369">
        <v>118.75</v>
      </c>
      <c r="R3369">
        <v>95</v>
      </c>
      <c r="S3369">
        <v>142.5</v>
      </c>
      <c r="T3369" t="s">
        <v>17463</v>
      </c>
    </row>
    <row r="3370" spans="1:20">
      <c r="A3370">
        <v>3331427</v>
      </c>
      <c r="B3370" t="s">
        <v>17464</v>
      </c>
      <c r="C3370" t="str">
        <f>"9780773525177"</f>
        <v>9780773525177</v>
      </c>
      <c r="D3370" t="str">
        <f>"9780773570894"</f>
        <v>9780773570894</v>
      </c>
      <c r="E3370" t="s">
        <v>12863</v>
      </c>
      <c r="F3370" t="s">
        <v>12863</v>
      </c>
      <c r="G3370" s="1">
        <v>37750</v>
      </c>
      <c r="J3370" t="s">
        <v>17465</v>
      </c>
      <c r="K3370" t="s">
        <v>305</v>
      </c>
      <c r="L3370" t="s">
        <v>17466</v>
      </c>
      <c r="M3370">
        <v>387.10971799999999</v>
      </c>
      <c r="N3370" t="s">
        <v>17467</v>
      </c>
      <c r="O3370" t="s">
        <v>26</v>
      </c>
      <c r="P3370">
        <v>59.93</v>
      </c>
      <c r="Q3370">
        <v>49.94</v>
      </c>
      <c r="R3370">
        <v>39.950000000000003</v>
      </c>
      <c r="S3370">
        <v>59.93</v>
      </c>
      <c r="T3370" t="s">
        <v>17468</v>
      </c>
    </row>
    <row r="3371" spans="1:20">
      <c r="A3371">
        <v>3331428</v>
      </c>
      <c r="B3371" t="s">
        <v>17469</v>
      </c>
      <c r="C3371" t="str">
        <f>"9780773513853"</f>
        <v>9780773513853</v>
      </c>
      <c r="D3371" t="str">
        <f>"9780773565852"</f>
        <v>9780773565852</v>
      </c>
      <c r="E3371" t="s">
        <v>12863</v>
      </c>
      <c r="F3371" t="s">
        <v>12863</v>
      </c>
      <c r="G3371" s="1">
        <v>35114</v>
      </c>
      <c r="J3371" t="s">
        <v>17470</v>
      </c>
      <c r="K3371" t="s">
        <v>257</v>
      </c>
      <c r="L3371" t="s">
        <v>17471</v>
      </c>
      <c r="M3371">
        <v>378.71614</v>
      </c>
      <c r="N3371" t="s">
        <v>17472</v>
      </c>
      <c r="O3371" t="s">
        <v>26</v>
      </c>
      <c r="P3371">
        <v>142.5</v>
      </c>
      <c r="Q3371">
        <v>118.75</v>
      </c>
      <c r="R3371">
        <v>95</v>
      </c>
      <c r="S3371">
        <v>142.5</v>
      </c>
      <c r="T3371" t="s">
        <v>17473</v>
      </c>
    </row>
    <row r="3372" spans="1:20">
      <c r="A3372">
        <v>3331429</v>
      </c>
      <c r="B3372" t="s">
        <v>17474</v>
      </c>
      <c r="C3372" t="str">
        <f>"9780773509061"</f>
        <v>9780773509061</v>
      </c>
      <c r="D3372" t="str">
        <f>"9780773563384"</f>
        <v>9780773563384</v>
      </c>
      <c r="E3372" t="s">
        <v>12863</v>
      </c>
      <c r="F3372" t="s">
        <v>12863</v>
      </c>
      <c r="G3372" s="1">
        <v>33843</v>
      </c>
      <c r="J3372" t="s">
        <v>17475</v>
      </c>
      <c r="K3372" t="s">
        <v>263</v>
      </c>
      <c r="L3372" t="s">
        <v>17476</v>
      </c>
      <c r="M3372">
        <v>364.6</v>
      </c>
      <c r="N3372" t="s">
        <v>17477</v>
      </c>
      <c r="O3372" t="s">
        <v>26</v>
      </c>
      <c r="P3372">
        <v>142.5</v>
      </c>
      <c r="Q3372">
        <v>118.75</v>
      </c>
      <c r="R3372">
        <v>95</v>
      </c>
      <c r="S3372">
        <v>142.5</v>
      </c>
      <c r="T3372" t="s">
        <v>17478</v>
      </c>
    </row>
    <row r="3373" spans="1:20">
      <c r="A3373">
        <v>3331430</v>
      </c>
      <c r="B3373" t="s">
        <v>17479</v>
      </c>
      <c r="C3373" t="str">
        <f>"9780773516670"</f>
        <v>9780773516670</v>
      </c>
      <c r="D3373" t="str">
        <f>"9780773566866"</f>
        <v>9780773566866</v>
      </c>
      <c r="E3373" t="s">
        <v>12863</v>
      </c>
      <c r="F3373" t="s">
        <v>12863</v>
      </c>
      <c r="G3373" s="1">
        <v>35759</v>
      </c>
      <c r="J3373" t="s">
        <v>17480</v>
      </c>
      <c r="K3373" t="s">
        <v>305</v>
      </c>
      <c r="L3373" t="s">
        <v>17481</v>
      </c>
      <c r="M3373">
        <v>382.41097100000002</v>
      </c>
      <c r="N3373" t="s">
        <v>17482</v>
      </c>
      <c r="O3373" t="s">
        <v>26</v>
      </c>
      <c r="P3373">
        <v>142.5</v>
      </c>
      <c r="Q3373">
        <v>118.75</v>
      </c>
      <c r="R3373">
        <v>95</v>
      </c>
      <c r="S3373">
        <v>142.5</v>
      </c>
      <c r="T3373" t="s">
        <v>17483</v>
      </c>
    </row>
    <row r="3374" spans="1:20">
      <c r="A3374">
        <v>3331431</v>
      </c>
      <c r="B3374" t="s">
        <v>17484</v>
      </c>
      <c r="C3374" t="str">
        <f>"9780773513907"</f>
        <v>9780773513907</v>
      </c>
      <c r="D3374" t="str">
        <f>"9780773565890"</f>
        <v>9780773565890</v>
      </c>
      <c r="E3374" t="s">
        <v>12863</v>
      </c>
      <c r="F3374" t="s">
        <v>12863</v>
      </c>
      <c r="G3374" s="1">
        <v>35297</v>
      </c>
      <c r="J3374" t="s">
        <v>17485</v>
      </c>
      <c r="K3374" t="s">
        <v>291</v>
      </c>
      <c r="L3374" t="s">
        <v>17486</v>
      </c>
      <c r="M3374">
        <v>971.80049789999998</v>
      </c>
      <c r="N3374" t="s">
        <v>17487</v>
      </c>
      <c r="O3374" t="s">
        <v>26</v>
      </c>
      <c r="P3374">
        <v>142.5</v>
      </c>
      <c r="Q3374">
        <v>118.75</v>
      </c>
      <c r="R3374">
        <v>95</v>
      </c>
      <c r="S3374">
        <v>142.5</v>
      </c>
      <c r="T3374" t="s">
        <v>17488</v>
      </c>
    </row>
    <row r="3375" spans="1:20">
      <c r="A3375">
        <v>3331432</v>
      </c>
      <c r="B3375" t="s">
        <v>17489</v>
      </c>
      <c r="C3375" t="str">
        <f>"9780773518384"</f>
        <v>9780773518384</v>
      </c>
      <c r="D3375" t="str">
        <f>"9780773567740"</f>
        <v>9780773567740</v>
      </c>
      <c r="E3375" t="s">
        <v>12863</v>
      </c>
      <c r="F3375" t="s">
        <v>12863</v>
      </c>
      <c r="G3375" s="1">
        <v>36398</v>
      </c>
      <c r="J3375" t="s">
        <v>17490</v>
      </c>
      <c r="K3375" t="s">
        <v>10956</v>
      </c>
      <c r="L3375" t="s">
        <v>17491</v>
      </c>
      <c r="M3375">
        <v>71.108199999999997</v>
      </c>
      <c r="N3375" t="s">
        <v>17492</v>
      </c>
      <c r="O3375" t="s">
        <v>26</v>
      </c>
      <c r="P3375">
        <v>142.5</v>
      </c>
      <c r="Q3375">
        <v>118.75</v>
      </c>
      <c r="R3375">
        <v>95</v>
      </c>
      <c r="S3375">
        <v>142.5</v>
      </c>
      <c r="T3375" t="s">
        <v>17493</v>
      </c>
    </row>
    <row r="3376" spans="1:20">
      <c r="A3376">
        <v>3331433</v>
      </c>
      <c r="B3376" t="s">
        <v>17494</v>
      </c>
      <c r="C3376" t="str">
        <f>"9780773516588"</f>
        <v>9780773516588</v>
      </c>
      <c r="D3376" t="str">
        <f>"9780773566798"</f>
        <v>9780773566798</v>
      </c>
      <c r="E3376" t="s">
        <v>12863</v>
      </c>
      <c r="F3376" t="s">
        <v>12863</v>
      </c>
      <c r="G3376" s="1">
        <v>35713</v>
      </c>
      <c r="J3376" t="s">
        <v>14229</v>
      </c>
      <c r="K3376" t="s">
        <v>467</v>
      </c>
      <c r="L3376" t="s">
        <v>16386</v>
      </c>
      <c r="M3376">
        <v>321.8</v>
      </c>
      <c r="N3376" t="s">
        <v>17495</v>
      </c>
      <c r="O3376" t="s">
        <v>26</v>
      </c>
      <c r="P3376">
        <v>142.5</v>
      </c>
      <c r="Q3376">
        <v>118.75</v>
      </c>
      <c r="R3376">
        <v>95</v>
      </c>
      <c r="S3376">
        <v>142.5</v>
      </c>
      <c r="T3376" t="s">
        <v>17496</v>
      </c>
    </row>
    <row r="3377" spans="1:20">
      <c r="A3377">
        <v>3331434</v>
      </c>
      <c r="B3377" t="s">
        <v>17497</v>
      </c>
      <c r="C3377" t="str">
        <f>"9780886292126"</f>
        <v>9780886292126</v>
      </c>
      <c r="D3377" t="str">
        <f>"9780773573826"</f>
        <v>9780773573826</v>
      </c>
      <c r="E3377" t="s">
        <v>12863</v>
      </c>
      <c r="F3377" t="s">
        <v>12863</v>
      </c>
      <c r="G3377" s="1">
        <v>34865</v>
      </c>
      <c r="I3377" t="s">
        <v>16501</v>
      </c>
      <c r="J3377" t="s">
        <v>17498</v>
      </c>
      <c r="K3377" t="s">
        <v>1464</v>
      </c>
      <c r="L3377" t="s">
        <v>17499</v>
      </c>
      <c r="N3377" t="s">
        <v>11229</v>
      </c>
      <c r="O3377" t="s">
        <v>26</v>
      </c>
      <c r="P3377">
        <v>127.5</v>
      </c>
      <c r="Q3377">
        <v>106.25</v>
      </c>
      <c r="R3377">
        <v>85</v>
      </c>
      <c r="S3377">
        <v>127.5</v>
      </c>
      <c r="T3377" t="s">
        <v>17500</v>
      </c>
    </row>
    <row r="3378" spans="1:20">
      <c r="A3378">
        <v>3331435</v>
      </c>
      <c r="B3378" t="s">
        <v>17501</v>
      </c>
      <c r="C3378" t="str">
        <f>"9780886290399"</f>
        <v>9780886290399</v>
      </c>
      <c r="D3378" t="str">
        <f>"9780773573437"</f>
        <v>9780773573437</v>
      </c>
      <c r="E3378" t="s">
        <v>12863</v>
      </c>
      <c r="F3378" t="s">
        <v>12863</v>
      </c>
      <c r="G3378" s="1">
        <v>31427</v>
      </c>
      <c r="J3378" t="s">
        <v>17502</v>
      </c>
      <c r="K3378" t="s">
        <v>1464</v>
      </c>
      <c r="L3378" t="s">
        <v>17503</v>
      </c>
      <c r="N3378" t="s">
        <v>17504</v>
      </c>
      <c r="O3378" t="s">
        <v>26</v>
      </c>
      <c r="P3378">
        <v>127.5</v>
      </c>
      <c r="Q3378">
        <v>106.25</v>
      </c>
      <c r="R3378">
        <v>85</v>
      </c>
      <c r="S3378">
        <v>127.5</v>
      </c>
      <c r="T3378" t="s">
        <v>17505</v>
      </c>
    </row>
    <row r="3379" spans="1:20">
      <c r="A3379">
        <v>3331436</v>
      </c>
      <c r="B3379" t="s">
        <v>17506</v>
      </c>
      <c r="C3379" t="str">
        <f>"9780773521964"</f>
        <v>9780773521964</v>
      </c>
      <c r="D3379" t="str">
        <f>"9780773569287"</f>
        <v>9780773569287</v>
      </c>
      <c r="E3379" t="s">
        <v>12863</v>
      </c>
      <c r="F3379" t="s">
        <v>12863</v>
      </c>
      <c r="G3379" s="1">
        <v>37130</v>
      </c>
      <c r="J3379" t="s">
        <v>17507</v>
      </c>
      <c r="K3379" t="s">
        <v>263</v>
      </c>
      <c r="L3379" t="s">
        <v>17508</v>
      </c>
      <c r="M3379">
        <v>301</v>
      </c>
      <c r="N3379" t="s">
        <v>17509</v>
      </c>
      <c r="O3379" t="s">
        <v>26</v>
      </c>
      <c r="P3379">
        <v>142.5</v>
      </c>
      <c r="Q3379">
        <v>118.75</v>
      </c>
      <c r="R3379">
        <v>95</v>
      </c>
      <c r="S3379">
        <v>142.5</v>
      </c>
      <c r="T3379" t="s">
        <v>17510</v>
      </c>
    </row>
    <row r="3380" spans="1:20">
      <c r="A3380">
        <v>3331437</v>
      </c>
      <c r="B3380" t="s">
        <v>17511</v>
      </c>
      <c r="C3380" t="str">
        <f>"9780773520417"</f>
        <v>9780773520417</v>
      </c>
      <c r="D3380" t="str">
        <f>"9780773568358"</f>
        <v>9780773568358</v>
      </c>
      <c r="E3380" t="s">
        <v>12863</v>
      </c>
      <c r="F3380" t="s">
        <v>12863</v>
      </c>
      <c r="G3380" s="1">
        <v>36617</v>
      </c>
      <c r="J3380" t="s">
        <v>17512</v>
      </c>
      <c r="K3380" t="s">
        <v>1464</v>
      </c>
      <c r="L3380" t="s">
        <v>17513</v>
      </c>
      <c r="M3380">
        <v>813.54</v>
      </c>
      <c r="N3380" t="s">
        <v>17514</v>
      </c>
      <c r="O3380" t="s">
        <v>26</v>
      </c>
      <c r="P3380">
        <v>142.5</v>
      </c>
      <c r="Q3380">
        <v>118.75</v>
      </c>
      <c r="R3380">
        <v>95</v>
      </c>
      <c r="S3380">
        <v>142.5</v>
      </c>
      <c r="T3380" t="s">
        <v>17515</v>
      </c>
    </row>
    <row r="3381" spans="1:20">
      <c r="A3381">
        <v>3331438</v>
      </c>
      <c r="B3381" t="s">
        <v>17516</v>
      </c>
      <c r="C3381" t="str">
        <f>"9780773503618"</f>
        <v>9780773503618</v>
      </c>
      <c r="D3381" t="str">
        <f>"9780773560772"</f>
        <v>9780773560772</v>
      </c>
      <c r="E3381" t="s">
        <v>12863</v>
      </c>
      <c r="F3381" t="s">
        <v>12863</v>
      </c>
      <c r="G3381" s="1">
        <v>29921</v>
      </c>
      <c r="J3381" t="s">
        <v>17517</v>
      </c>
      <c r="K3381" t="s">
        <v>467</v>
      </c>
      <c r="L3381" t="s">
        <v>17518</v>
      </c>
      <c r="M3381">
        <v>324.24920800000001</v>
      </c>
      <c r="N3381" t="s">
        <v>17519</v>
      </c>
      <c r="O3381" t="s">
        <v>26</v>
      </c>
      <c r="P3381">
        <v>127.5</v>
      </c>
      <c r="Q3381">
        <v>106.25</v>
      </c>
      <c r="R3381">
        <v>85</v>
      </c>
      <c r="S3381">
        <v>127.5</v>
      </c>
      <c r="T3381" t="s">
        <v>17520</v>
      </c>
    </row>
    <row r="3382" spans="1:20">
      <c r="A3382">
        <v>3331439</v>
      </c>
      <c r="B3382" t="s">
        <v>17521</v>
      </c>
      <c r="C3382" t="str">
        <f>"9780773508637"</f>
        <v>9780773508637</v>
      </c>
      <c r="D3382" t="str">
        <f>"9780773563094"</f>
        <v>9780773563094</v>
      </c>
      <c r="E3382" t="s">
        <v>12863</v>
      </c>
      <c r="F3382" t="s">
        <v>12863</v>
      </c>
      <c r="G3382" s="1">
        <v>33541</v>
      </c>
      <c r="J3382" t="s">
        <v>17522</v>
      </c>
      <c r="K3382" t="s">
        <v>291</v>
      </c>
      <c r="L3382" t="s">
        <v>17523</v>
      </c>
      <c r="M3382">
        <v>944.08109200000001</v>
      </c>
      <c r="N3382" t="s">
        <v>17524</v>
      </c>
      <c r="O3382" t="s">
        <v>26</v>
      </c>
      <c r="P3382">
        <v>142.5</v>
      </c>
      <c r="Q3382">
        <v>118.75</v>
      </c>
      <c r="R3382">
        <v>95</v>
      </c>
      <c r="S3382">
        <v>142.5</v>
      </c>
      <c r="T3382" t="s">
        <v>17525</v>
      </c>
    </row>
    <row r="3383" spans="1:20">
      <c r="A3383">
        <v>3331440</v>
      </c>
      <c r="B3383" t="s">
        <v>17526</v>
      </c>
      <c r="C3383" t="str">
        <f>"9780773505551"</f>
        <v>9780773505551</v>
      </c>
      <c r="D3383" t="str">
        <f>"9780773561106"</f>
        <v>9780773561106</v>
      </c>
      <c r="E3383" t="s">
        <v>12863</v>
      </c>
      <c r="F3383" t="s">
        <v>12863</v>
      </c>
      <c r="G3383" s="1">
        <v>31564</v>
      </c>
      <c r="I3383" t="s">
        <v>14112</v>
      </c>
      <c r="J3383" t="s">
        <v>17527</v>
      </c>
      <c r="K3383" t="s">
        <v>2312</v>
      </c>
      <c r="L3383" t="s">
        <v>17528</v>
      </c>
      <c r="M3383">
        <v>354.71007208999998</v>
      </c>
      <c r="N3383" t="s">
        <v>17529</v>
      </c>
      <c r="O3383" t="s">
        <v>26</v>
      </c>
      <c r="P3383">
        <v>127.5</v>
      </c>
      <c r="Q3383">
        <v>106.25</v>
      </c>
      <c r="R3383">
        <v>85</v>
      </c>
      <c r="S3383">
        <v>127.5</v>
      </c>
      <c r="T3383" t="s">
        <v>17530</v>
      </c>
    </row>
    <row r="3384" spans="1:20">
      <c r="A3384">
        <v>3331441</v>
      </c>
      <c r="B3384" t="s">
        <v>17531</v>
      </c>
      <c r="C3384" t="str">
        <f>"9780773508415"</f>
        <v>9780773508415</v>
      </c>
      <c r="D3384" t="str">
        <f>"9780773562943"</f>
        <v>9780773562943</v>
      </c>
      <c r="E3384" t="s">
        <v>12863</v>
      </c>
      <c r="F3384" t="s">
        <v>12863</v>
      </c>
      <c r="G3384" s="1">
        <v>33547</v>
      </c>
      <c r="J3384" t="s">
        <v>17532</v>
      </c>
      <c r="K3384" t="s">
        <v>467</v>
      </c>
      <c r="L3384" t="s">
        <v>14114</v>
      </c>
      <c r="M3384">
        <v>320.471</v>
      </c>
      <c r="N3384" t="s">
        <v>17533</v>
      </c>
      <c r="O3384" t="s">
        <v>26</v>
      </c>
      <c r="P3384">
        <v>142.5</v>
      </c>
      <c r="Q3384">
        <v>118.75</v>
      </c>
      <c r="R3384">
        <v>95</v>
      </c>
      <c r="S3384">
        <v>142.5</v>
      </c>
      <c r="T3384" t="s">
        <v>17534</v>
      </c>
    </row>
    <row r="3385" spans="1:20">
      <c r="A3385">
        <v>3331442</v>
      </c>
      <c r="B3385" t="s">
        <v>17535</v>
      </c>
      <c r="C3385" t="str">
        <f>"9780773511637"</f>
        <v>9780773511637</v>
      </c>
      <c r="D3385" t="str">
        <f>"9780773564558"</f>
        <v>9780773564558</v>
      </c>
      <c r="E3385" t="s">
        <v>12863</v>
      </c>
      <c r="F3385" t="s">
        <v>12863</v>
      </c>
      <c r="G3385" s="1">
        <v>34480</v>
      </c>
      <c r="J3385" t="s">
        <v>7399</v>
      </c>
      <c r="K3385" t="s">
        <v>1892</v>
      </c>
      <c r="L3385" t="s">
        <v>17536</v>
      </c>
      <c r="M3385">
        <v>286.10919999999999</v>
      </c>
      <c r="N3385" t="s">
        <v>17537</v>
      </c>
      <c r="O3385" t="s">
        <v>26</v>
      </c>
      <c r="P3385">
        <v>142.5</v>
      </c>
      <c r="Q3385">
        <v>118.75</v>
      </c>
      <c r="R3385">
        <v>95</v>
      </c>
      <c r="S3385">
        <v>142.5</v>
      </c>
      <c r="T3385" t="s">
        <v>17538</v>
      </c>
    </row>
    <row r="3386" spans="1:20">
      <c r="A3386">
        <v>3331443</v>
      </c>
      <c r="B3386" t="s">
        <v>17539</v>
      </c>
      <c r="C3386" t="str">
        <f>"9780773507463"</f>
        <v>9780773507463</v>
      </c>
      <c r="D3386" t="str">
        <f>"9780773562394"</f>
        <v>9780773562394</v>
      </c>
      <c r="E3386" t="s">
        <v>12863</v>
      </c>
      <c r="F3386" t="s">
        <v>12863</v>
      </c>
      <c r="G3386" s="1">
        <v>32964</v>
      </c>
      <c r="J3386" t="s">
        <v>17540</v>
      </c>
      <c r="K3386" t="s">
        <v>257</v>
      </c>
      <c r="L3386" t="s">
        <v>17541</v>
      </c>
      <c r="M3386">
        <v>373.13</v>
      </c>
      <c r="N3386" t="s">
        <v>17542</v>
      </c>
      <c r="O3386" t="s">
        <v>26</v>
      </c>
      <c r="P3386">
        <v>142.5</v>
      </c>
      <c r="Q3386">
        <v>118.75</v>
      </c>
      <c r="R3386">
        <v>95</v>
      </c>
      <c r="S3386">
        <v>142.5</v>
      </c>
      <c r="T3386" t="s">
        <v>17543</v>
      </c>
    </row>
    <row r="3387" spans="1:20">
      <c r="A3387">
        <v>3331444</v>
      </c>
      <c r="B3387" t="s">
        <v>17544</v>
      </c>
      <c r="C3387" t="str">
        <f>"9780773509931"</f>
        <v>9780773509931</v>
      </c>
      <c r="D3387" t="str">
        <f>"9780773563902"</f>
        <v>9780773563902</v>
      </c>
      <c r="E3387" t="s">
        <v>12863</v>
      </c>
      <c r="F3387" t="s">
        <v>12863</v>
      </c>
      <c r="G3387" s="1">
        <v>34248</v>
      </c>
      <c r="J3387" t="s">
        <v>17545</v>
      </c>
      <c r="K3387" t="s">
        <v>1471</v>
      </c>
      <c r="L3387" t="s">
        <v>17546</v>
      </c>
      <c r="M3387">
        <v>741.01900000000001</v>
      </c>
      <c r="N3387" t="s">
        <v>17547</v>
      </c>
      <c r="O3387" t="s">
        <v>26</v>
      </c>
      <c r="P3387">
        <v>97.5</v>
      </c>
      <c r="Q3387">
        <v>81.25</v>
      </c>
      <c r="R3387">
        <v>65</v>
      </c>
      <c r="S3387">
        <v>97.5</v>
      </c>
      <c r="T3387" t="s">
        <v>17548</v>
      </c>
    </row>
    <row r="3388" spans="1:20">
      <c r="A3388">
        <v>3331445</v>
      </c>
      <c r="B3388" t="s">
        <v>17549</v>
      </c>
      <c r="C3388" t="str">
        <f>"9780773518483"</f>
        <v>9780773518483</v>
      </c>
      <c r="D3388" t="str">
        <f>"9780773567832"</f>
        <v>9780773567832</v>
      </c>
      <c r="E3388" t="s">
        <v>12863</v>
      </c>
      <c r="F3388" t="s">
        <v>12863</v>
      </c>
      <c r="G3388" s="1">
        <v>36526</v>
      </c>
      <c r="J3388" t="s">
        <v>17550</v>
      </c>
      <c r="K3388" t="s">
        <v>284</v>
      </c>
      <c r="L3388" t="s">
        <v>17551</v>
      </c>
      <c r="M3388">
        <v>331.09227099999998</v>
      </c>
      <c r="N3388" t="s">
        <v>17552</v>
      </c>
      <c r="O3388" t="s">
        <v>26</v>
      </c>
      <c r="P3388">
        <v>142.5</v>
      </c>
      <c r="Q3388">
        <v>118.75</v>
      </c>
      <c r="R3388">
        <v>95</v>
      </c>
      <c r="S3388">
        <v>142.5</v>
      </c>
      <c r="T3388" t="s">
        <v>17553</v>
      </c>
    </row>
    <row r="3389" spans="1:20">
      <c r="A3389">
        <v>3331446</v>
      </c>
      <c r="B3389" t="s">
        <v>17554</v>
      </c>
      <c r="C3389" t="str">
        <f>"9780773514317"</f>
        <v>9780773514317</v>
      </c>
      <c r="D3389" t="str">
        <f>"9780773566163"</f>
        <v>9780773566163</v>
      </c>
      <c r="E3389" t="s">
        <v>12863</v>
      </c>
      <c r="F3389" t="s">
        <v>12863</v>
      </c>
      <c r="G3389" s="1">
        <v>35217</v>
      </c>
      <c r="J3389" t="s">
        <v>13975</v>
      </c>
      <c r="K3389" t="s">
        <v>525</v>
      </c>
      <c r="L3389" t="s">
        <v>17555</v>
      </c>
      <c r="M3389">
        <v>347.71012000000002</v>
      </c>
      <c r="N3389" t="s">
        <v>17556</v>
      </c>
      <c r="O3389" t="s">
        <v>26</v>
      </c>
      <c r="P3389">
        <v>142.5</v>
      </c>
      <c r="Q3389">
        <v>118.75</v>
      </c>
      <c r="R3389">
        <v>95</v>
      </c>
      <c r="S3389">
        <v>142.5</v>
      </c>
      <c r="T3389" t="s">
        <v>17557</v>
      </c>
    </row>
    <row r="3390" spans="1:20">
      <c r="A3390">
        <v>3331447</v>
      </c>
      <c r="B3390" t="s">
        <v>17558</v>
      </c>
      <c r="C3390" t="str">
        <f>"9780773509979"</f>
        <v>9780773509979</v>
      </c>
      <c r="D3390" t="str">
        <f>"9780773563940"</f>
        <v>9780773563940</v>
      </c>
      <c r="E3390" t="s">
        <v>12863</v>
      </c>
      <c r="F3390" t="s">
        <v>12863</v>
      </c>
      <c r="G3390" s="1">
        <v>34254</v>
      </c>
      <c r="I3390" t="s">
        <v>12942</v>
      </c>
      <c r="J3390" t="s">
        <v>17559</v>
      </c>
      <c r="K3390" t="s">
        <v>291</v>
      </c>
      <c r="L3390" t="s">
        <v>12938</v>
      </c>
      <c r="M3390">
        <v>971.00492399999996</v>
      </c>
      <c r="N3390" t="s">
        <v>17560</v>
      </c>
      <c r="O3390" t="s">
        <v>26</v>
      </c>
      <c r="P3390">
        <v>142.5</v>
      </c>
      <c r="Q3390">
        <v>118.75</v>
      </c>
      <c r="R3390">
        <v>95</v>
      </c>
      <c r="S3390">
        <v>142.5</v>
      </c>
      <c r="T3390" t="s">
        <v>17561</v>
      </c>
    </row>
    <row r="3391" spans="1:20">
      <c r="A3391">
        <v>3331448</v>
      </c>
      <c r="B3391" t="s">
        <v>17562</v>
      </c>
      <c r="C3391" t="str">
        <f>"9780773505636"</f>
        <v>9780773505636</v>
      </c>
      <c r="D3391" t="str">
        <f>"9780773561144"</f>
        <v>9780773561144</v>
      </c>
      <c r="E3391" t="s">
        <v>12863</v>
      </c>
      <c r="F3391" t="s">
        <v>12863</v>
      </c>
      <c r="G3391" s="1">
        <v>31656</v>
      </c>
      <c r="J3391" t="s">
        <v>17563</v>
      </c>
      <c r="K3391" t="s">
        <v>257</v>
      </c>
      <c r="L3391" t="s">
        <v>17564</v>
      </c>
      <c r="M3391">
        <v>370.97140000000002</v>
      </c>
      <c r="N3391" t="s">
        <v>17565</v>
      </c>
      <c r="O3391" t="s">
        <v>26</v>
      </c>
      <c r="P3391">
        <v>142.5</v>
      </c>
      <c r="Q3391">
        <v>118.75</v>
      </c>
      <c r="R3391">
        <v>95</v>
      </c>
      <c r="S3391">
        <v>142.5</v>
      </c>
      <c r="T3391" t="s">
        <v>17566</v>
      </c>
    </row>
    <row r="3392" spans="1:20">
      <c r="A3392">
        <v>3331449</v>
      </c>
      <c r="B3392" t="s">
        <v>17567</v>
      </c>
      <c r="C3392" t="str">
        <f>"9780773516007"</f>
        <v>9780773516007</v>
      </c>
      <c r="D3392" t="str">
        <f>"9780773566521"</f>
        <v>9780773566521</v>
      </c>
      <c r="E3392" t="s">
        <v>12863</v>
      </c>
      <c r="F3392" t="s">
        <v>12863</v>
      </c>
      <c r="G3392" s="1">
        <v>35531</v>
      </c>
      <c r="I3392" t="s">
        <v>12886</v>
      </c>
      <c r="J3392" t="s">
        <v>17568</v>
      </c>
      <c r="K3392" t="s">
        <v>1892</v>
      </c>
      <c r="L3392" t="s">
        <v>17569</v>
      </c>
      <c r="M3392">
        <v>285.2715</v>
      </c>
      <c r="N3392" t="s">
        <v>17570</v>
      </c>
      <c r="O3392" t="s">
        <v>26</v>
      </c>
      <c r="P3392">
        <v>142.5</v>
      </c>
      <c r="Q3392">
        <v>118.75</v>
      </c>
      <c r="R3392">
        <v>95</v>
      </c>
      <c r="S3392">
        <v>142.5</v>
      </c>
      <c r="T3392" t="s">
        <v>17571</v>
      </c>
    </row>
    <row r="3393" spans="1:20">
      <c r="A3393">
        <v>3331450</v>
      </c>
      <c r="B3393" t="s">
        <v>17572</v>
      </c>
      <c r="C3393" t="str">
        <f>"9780773514263"</f>
        <v>9780773514263</v>
      </c>
      <c r="D3393" t="str">
        <f>"9780773566125"</f>
        <v>9780773566125</v>
      </c>
      <c r="E3393" t="s">
        <v>12863</v>
      </c>
      <c r="F3393" t="s">
        <v>12863</v>
      </c>
      <c r="G3393" s="1">
        <v>35140</v>
      </c>
      <c r="J3393" t="s">
        <v>17573</v>
      </c>
      <c r="K3393" t="s">
        <v>1056</v>
      </c>
      <c r="L3393" t="s">
        <v>17574</v>
      </c>
      <c r="M3393">
        <v>333.79320607130001</v>
      </c>
      <c r="N3393" t="s">
        <v>17575</v>
      </c>
      <c r="O3393" t="s">
        <v>26</v>
      </c>
      <c r="P3393">
        <v>142.5</v>
      </c>
      <c r="Q3393">
        <v>118.75</v>
      </c>
      <c r="R3393">
        <v>95</v>
      </c>
      <c r="S3393">
        <v>142.5</v>
      </c>
      <c r="T3393" t="s">
        <v>17576</v>
      </c>
    </row>
    <row r="3394" spans="1:20">
      <c r="A3394">
        <v>3331451</v>
      </c>
      <c r="B3394" t="s">
        <v>17577</v>
      </c>
      <c r="C3394" t="str">
        <f>"9780773525269"</f>
        <v>9780773525269</v>
      </c>
      <c r="D3394" t="str">
        <f>"9780773570955"</f>
        <v>9780773570955</v>
      </c>
      <c r="E3394" t="s">
        <v>12863</v>
      </c>
      <c r="F3394" t="s">
        <v>12863</v>
      </c>
      <c r="G3394" s="1">
        <v>37768</v>
      </c>
      <c r="J3394" t="s">
        <v>17578</v>
      </c>
      <c r="K3394" t="s">
        <v>1471</v>
      </c>
      <c r="L3394" t="s">
        <v>17579</v>
      </c>
      <c r="M3394">
        <v>770.971</v>
      </c>
      <c r="N3394" t="s">
        <v>17580</v>
      </c>
      <c r="O3394" t="s">
        <v>26</v>
      </c>
      <c r="P3394">
        <v>142.5</v>
      </c>
      <c r="Q3394">
        <v>118.75</v>
      </c>
      <c r="R3394">
        <v>95</v>
      </c>
      <c r="S3394">
        <v>142.5</v>
      </c>
      <c r="T3394" t="s">
        <v>17581</v>
      </c>
    </row>
    <row r="3395" spans="1:20">
      <c r="A3395">
        <v>3331452</v>
      </c>
      <c r="B3395" t="s">
        <v>17582</v>
      </c>
      <c r="C3395" t="str">
        <f>"9780773527454"</f>
        <v>9780773527454</v>
      </c>
      <c r="D3395" t="str">
        <f>"9780773572096"</f>
        <v>9780773572096</v>
      </c>
      <c r="E3395" t="s">
        <v>12863</v>
      </c>
      <c r="F3395" t="s">
        <v>12863</v>
      </c>
      <c r="G3395" s="1">
        <v>38264</v>
      </c>
      <c r="J3395" t="s">
        <v>17583</v>
      </c>
      <c r="K3395" t="s">
        <v>305</v>
      </c>
      <c r="L3395" t="s">
        <v>17584</v>
      </c>
      <c r="M3395">
        <v>381.440942753</v>
      </c>
      <c r="N3395" t="s">
        <v>17585</v>
      </c>
      <c r="O3395" t="s">
        <v>26</v>
      </c>
      <c r="P3395">
        <v>165</v>
      </c>
      <c r="Q3395">
        <v>137.5</v>
      </c>
      <c r="R3395">
        <v>110</v>
      </c>
      <c r="S3395">
        <v>165</v>
      </c>
      <c r="T3395" t="s">
        <v>17586</v>
      </c>
    </row>
    <row r="3396" spans="1:20">
      <c r="A3396">
        <v>3331453</v>
      </c>
      <c r="B3396" t="s">
        <v>17587</v>
      </c>
      <c r="C3396" t="str">
        <f>"9780773525764"</f>
        <v>9780773525764</v>
      </c>
      <c r="D3396" t="str">
        <f>"9780773571228"</f>
        <v>9780773571228</v>
      </c>
      <c r="E3396" t="s">
        <v>12863</v>
      </c>
      <c r="F3396" t="s">
        <v>12863</v>
      </c>
      <c r="G3396" s="1">
        <v>38007</v>
      </c>
      <c r="J3396" t="s">
        <v>17588</v>
      </c>
      <c r="K3396" t="s">
        <v>263</v>
      </c>
      <c r="L3396" t="s">
        <v>13503</v>
      </c>
      <c r="M3396">
        <v>306.09710000000001</v>
      </c>
      <c r="N3396" t="s">
        <v>17589</v>
      </c>
      <c r="O3396" t="s">
        <v>26</v>
      </c>
      <c r="P3396">
        <v>142.5</v>
      </c>
      <c r="Q3396">
        <v>118.75</v>
      </c>
      <c r="R3396">
        <v>95</v>
      </c>
      <c r="S3396">
        <v>142.5</v>
      </c>
      <c r="T3396" t="s">
        <v>17590</v>
      </c>
    </row>
    <row r="3397" spans="1:20">
      <c r="A3397">
        <v>3331454</v>
      </c>
      <c r="B3397" t="s">
        <v>17591</v>
      </c>
      <c r="C3397" t="str">
        <f>"9780773517479"</f>
        <v>9780773517479</v>
      </c>
      <c r="D3397" t="str">
        <f>"9780773567313"</f>
        <v>9780773567313</v>
      </c>
      <c r="E3397" t="s">
        <v>12863</v>
      </c>
      <c r="F3397" t="s">
        <v>12863</v>
      </c>
      <c r="G3397" s="1">
        <v>36229</v>
      </c>
      <c r="J3397" t="s">
        <v>17592</v>
      </c>
      <c r="K3397" t="s">
        <v>1471</v>
      </c>
      <c r="L3397" t="s">
        <v>17593</v>
      </c>
      <c r="M3397">
        <v>759.2</v>
      </c>
      <c r="N3397" t="s">
        <v>17594</v>
      </c>
      <c r="O3397" t="s">
        <v>26</v>
      </c>
      <c r="P3397">
        <v>142.5</v>
      </c>
      <c r="Q3397">
        <v>118.75</v>
      </c>
      <c r="R3397">
        <v>95</v>
      </c>
      <c r="S3397">
        <v>142.5</v>
      </c>
      <c r="T3397" t="s">
        <v>17595</v>
      </c>
    </row>
    <row r="3398" spans="1:20">
      <c r="A3398">
        <v>3331455</v>
      </c>
      <c r="B3398" t="s">
        <v>17596</v>
      </c>
      <c r="C3398" t="str">
        <f>"9780886291822"</f>
        <v>9780886291822</v>
      </c>
      <c r="D3398" t="str">
        <f>"9780773573789"</f>
        <v>9780773573789</v>
      </c>
      <c r="E3398" t="s">
        <v>12907</v>
      </c>
      <c r="F3398" t="s">
        <v>12907</v>
      </c>
      <c r="G3398" s="1">
        <v>41830</v>
      </c>
      <c r="I3398" t="s">
        <v>13270</v>
      </c>
      <c r="J3398" t="s">
        <v>17597</v>
      </c>
      <c r="K3398" t="s">
        <v>278</v>
      </c>
      <c r="L3398" t="s">
        <v>17598</v>
      </c>
      <c r="M3398">
        <v>332.11097100000001</v>
      </c>
      <c r="N3398" t="s">
        <v>17599</v>
      </c>
      <c r="O3398" t="s">
        <v>26</v>
      </c>
      <c r="P3398">
        <v>44.93</v>
      </c>
      <c r="Q3398">
        <v>37.44</v>
      </c>
      <c r="R3398">
        <v>29.95</v>
      </c>
      <c r="S3398">
        <v>44.93</v>
      </c>
      <c r="T3398" t="s">
        <v>17600</v>
      </c>
    </row>
    <row r="3399" spans="1:20">
      <c r="A3399">
        <v>3331456</v>
      </c>
      <c r="B3399" t="s">
        <v>17601</v>
      </c>
      <c r="C3399" t="str">
        <f>"9780773507265"</f>
        <v>9780773507265</v>
      </c>
      <c r="D3399" t="str">
        <f>"9780773562233"</f>
        <v>9780773562233</v>
      </c>
      <c r="E3399" t="s">
        <v>12863</v>
      </c>
      <c r="F3399" t="s">
        <v>12863</v>
      </c>
      <c r="G3399" s="1">
        <v>33055</v>
      </c>
      <c r="J3399" t="s">
        <v>17602</v>
      </c>
      <c r="K3399" t="s">
        <v>291</v>
      </c>
      <c r="L3399" t="s">
        <v>17603</v>
      </c>
      <c r="M3399">
        <v>971.44902999999999</v>
      </c>
      <c r="N3399" t="s">
        <v>17604</v>
      </c>
      <c r="O3399" t="s">
        <v>26</v>
      </c>
      <c r="P3399">
        <v>142.5</v>
      </c>
      <c r="Q3399">
        <v>118.75</v>
      </c>
      <c r="R3399">
        <v>95</v>
      </c>
      <c r="S3399">
        <v>142.5</v>
      </c>
      <c r="T3399" t="s">
        <v>17605</v>
      </c>
    </row>
    <row r="3400" spans="1:20">
      <c r="A3400">
        <v>3331457</v>
      </c>
      <c r="B3400" t="s">
        <v>17606</v>
      </c>
      <c r="C3400" t="str">
        <f>"9780773508262"</f>
        <v>9780773508262</v>
      </c>
      <c r="D3400" t="str">
        <f>"9780773562837"</f>
        <v>9780773562837</v>
      </c>
      <c r="E3400" t="s">
        <v>12863</v>
      </c>
      <c r="F3400" t="s">
        <v>12863</v>
      </c>
      <c r="G3400" s="1">
        <v>33329</v>
      </c>
      <c r="J3400" t="s">
        <v>17607</v>
      </c>
      <c r="K3400" t="s">
        <v>1530</v>
      </c>
      <c r="L3400" t="s">
        <v>17608</v>
      </c>
      <c r="M3400">
        <v>971.37699999999995</v>
      </c>
      <c r="N3400" t="s">
        <v>17609</v>
      </c>
      <c r="O3400" t="s">
        <v>26</v>
      </c>
      <c r="P3400">
        <v>142.5</v>
      </c>
      <c r="Q3400">
        <v>118.75</v>
      </c>
      <c r="R3400">
        <v>95</v>
      </c>
      <c r="S3400">
        <v>142.5</v>
      </c>
      <c r="T3400" t="s">
        <v>17610</v>
      </c>
    </row>
    <row r="3401" spans="1:20">
      <c r="A3401">
        <v>3331458</v>
      </c>
      <c r="B3401" t="s">
        <v>17611</v>
      </c>
      <c r="C3401" t="str">
        <f>"9780773506008"</f>
        <v>9780773506008</v>
      </c>
      <c r="D3401" t="str">
        <f>"9780773561359"</f>
        <v>9780773561359</v>
      </c>
      <c r="E3401" t="s">
        <v>12863</v>
      </c>
      <c r="F3401" t="s">
        <v>12863</v>
      </c>
      <c r="G3401" s="1">
        <v>31929</v>
      </c>
      <c r="J3401" t="s">
        <v>17612</v>
      </c>
      <c r="K3401" t="s">
        <v>525</v>
      </c>
      <c r="L3401" t="s">
        <v>17613</v>
      </c>
      <c r="M3401" t="s">
        <v>17614</v>
      </c>
      <c r="N3401" t="s">
        <v>17615</v>
      </c>
      <c r="O3401" t="s">
        <v>26</v>
      </c>
      <c r="P3401">
        <v>127.5</v>
      </c>
      <c r="Q3401">
        <v>106.25</v>
      </c>
      <c r="R3401">
        <v>85</v>
      </c>
      <c r="S3401">
        <v>127.5</v>
      </c>
      <c r="T3401" t="s">
        <v>17616</v>
      </c>
    </row>
    <row r="3402" spans="1:20">
      <c r="A3402">
        <v>3331459</v>
      </c>
      <c r="B3402" t="s">
        <v>17617</v>
      </c>
      <c r="C3402" t="str">
        <f>"9780773521261"</f>
        <v>9780773521261</v>
      </c>
      <c r="D3402" t="str">
        <f>"9780773568860"</f>
        <v>9780773568860</v>
      </c>
      <c r="E3402" t="s">
        <v>12863</v>
      </c>
      <c r="F3402" t="s">
        <v>12863</v>
      </c>
      <c r="G3402" s="1">
        <v>36804</v>
      </c>
      <c r="I3402" t="s">
        <v>12864</v>
      </c>
      <c r="J3402" t="s">
        <v>17618</v>
      </c>
      <c r="K3402" t="s">
        <v>291</v>
      </c>
      <c r="L3402" t="s">
        <v>17619</v>
      </c>
      <c r="M3402">
        <v>940.47571091999998</v>
      </c>
      <c r="N3402" t="s">
        <v>17620</v>
      </c>
      <c r="O3402" t="s">
        <v>26</v>
      </c>
      <c r="P3402">
        <v>41.93</v>
      </c>
      <c r="Q3402">
        <v>34.94</v>
      </c>
      <c r="R3402">
        <v>27.95</v>
      </c>
      <c r="S3402">
        <v>41.93</v>
      </c>
      <c r="T3402" t="s">
        <v>17621</v>
      </c>
    </row>
    <row r="3403" spans="1:20">
      <c r="A3403">
        <v>3331460</v>
      </c>
      <c r="B3403" t="s">
        <v>17622</v>
      </c>
      <c r="C3403" t="str">
        <f>"9780773501621"</f>
        <v>9780773501621</v>
      </c>
      <c r="D3403" t="str">
        <f>"9780773560642"</f>
        <v>9780773560642</v>
      </c>
      <c r="E3403" t="s">
        <v>12907</v>
      </c>
      <c r="F3403" t="s">
        <v>12907</v>
      </c>
      <c r="G3403" s="1">
        <v>41836</v>
      </c>
      <c r="J3403" t="s">
        <v>17623</v>
      </c>
      <c r="K3403" t="s">
        <v>257</v>
      </c>
      <c r="L3403" t="s">
        <v>17624</v>
      </c>
      <c r="M3403">
        <v>378</v>
      </c>
      <c r="N3403" t="s">
        <v>17625</v>
      </c>
      <c r="O3403" t="s">
        <v>26</v>
      </c>
      <c r="P3403">
        <v>120</v>
      </c>
      <c r="Q3403">
        <v>100</v>
      </c>
      <c r="R3403">
        <v>80</v>
      </c>
      <c r="S3403">
        <v>120</v>
      </c>
      <c r="T3403" t="s">
        <v>17626</v>
      </c>
    </row>
    <row r="3404" spans="1:20">
      <c r="A3404">
        <v>3331461</v>
      </c>
      <c r="B3404" t="s">
        <v>17627</v>
      </c>
      <c r="C3404" t="str">
        <f>"9780773521513"</f>
        <v>9780773521513</v>
      </c>
      <c r="D3404" t="str">
        <f>"9780773568983"</f>
        <v>9780773568983</v>
      </c>
      <c r="E3404" t="s">
        <v>12863</v>
      </c>
      <c r="F3404" t="s">
        <v>12863</v>
      </c>
      <c r="G3404" s="1">
        <v>37019</v>
      </c>
      <c r="I3404" t="s">
        <v>13282</v>
      </c>
      <c r="J3404" t="s">
        <v>17628</v>
      </c>
      <c r="K3404" t="s">
        <v>6444</v>
      </c>
      <c r="L3404" t="s">
        <v>17629</v>
      </c>
      <c r="M3404">
        <v>949.70299999999997</v>
      </c>
      <c r="N3404" t="s">
        <v>17630</v>
      </c>
      <c r="O3404" t="s">
        <v>26</v>
      </c>
      <c r="P3404">
        <v>142.5</v>
      </c>
      <c r="Q3404">
        <v>118.75</v>
      </c>
      <c r="R3404">
        <v>95</v>
      </c>
      <c r="S3404">
        <v>142.5</v>
      </c>
      <c r="T3404" t="s">
        <v>17631</v>
      </c>
    </row>
    <row r="3405" spans="1:20">
      <c r="A3405">
        <v>3331462</v>
      </c>
      <c r="B3405" t="s">
        <v>17632</v>
      </c>
      <c r="C3405" t="str">
        <f>"9780773509207"</f>
        <v>9780773509207</v>
      </c>
      <c r="D3405" t="str">
        <f>"9780773563506"</f>
        <v>9780773563506</v>
      </c>
      <c r="E3405" t="s">
        <v>12863</v>
      </c>
      <c r="F3405" t="s">
        <v>12863</v>
      </c>
      <c r="G3405" s="1">
        <v>33482</v>
      </c>
      <c r="J3405" t="s">
        <v>17633</v>
      </c>
      <c r="K3405" t="s">
        <v>467</v>
      </c>
      <c r="L3405" t="s">
        <v>17634</v>
      </c>
      <c r="M3405">
        <v>327.17409710904502</v>
      </c>
      <c r="N3405" t="s">
        <v>17635</v>
      </c>
      <c r="O3405" t="s">
        <v>26</v>
      </c>
      <c r="P3405">
        <v>142.5</v>
      </c>
      <c r="Q3405">
        <v>118.75</v>
      </c>
      <c r="R3405">
        <v>95</v>
      </c>
      <c r="S3405">
        <v>142.5</v>
      </c>
      <c r="T3405" t="s">
        <v>17636</v>
      </c>
    </row>
    <row r="3406" spans="1:20">
      <c r="A3406">
        <v>3331463</v>
      </c>
      <c r="B3406" t="s">
        <v>17637</v>
      </c>
      <c r="C3406" t="str">
        <f>"9780773527041"</f>
        <v>9780773527041</v>
      </c>
      <c r="D3406" t="str">
        <f>"9780773571884"</f>
        <v>9780773571884</v>
      </c>
      <c r="E3406" t="s">
        <v>12863</v>
      </c>
      <c r="F3406" t="s">
        <v>12863</v>
      </c>
      <c r="G3406" s="1">
        <v>38126</v>
      </c>
      <c r="J3406" t="s">
        <v>17638</v>
      </c>
      <c r="K3406" t="s">
        <v>2963</v>
      </c>
      <c r="L3406" t="s">
        <v>17639</v>
      </c>
      <c r="M3406">
        <v>917.18204200000002</v>
      </c>
      <c r="N3406" t="s">
        <v>17640</v>
      </c>
      <c r="O3406" t="s">
        <v>26</v>
      </c>
      <c r="P3406">
        <v>142.5</v>
      </c>
      <c r="Q3406">
        <v>118.75</v>
      </c>
      <c r="R3406">
        <v>95</v>
      </c>
      <c r="S3406">
        <v>142.5</v>
      </c>
      <c r="T3406" t="s">
        <v>17641</v>
      </c>
    </row>
    <row r="3407" spans="1:20">
      <c r="A3407">
        <v>3331464</v>
      </c>
      <c r="B3407" t="s">
        <v>17642</v>
      </c>
      <c r="C3407" t="str">
        <f>"9780886292041"</f>
        <v>9780886292041</v>
      </c>
      <c r="D3407" t="str">
        <f>"9780773573802"</f>
        <v>9780773573802</v>
      </c>
      <c r="E3407" t="s">
        <v>12863</v>
      </c>
      <c r="F3407" t="s">
        <v>12863</v>
      </c>
      <c r="G3407" s="1">
        <v>34135</v>
      </c>
      <c r="J3407" t="s">
        <v>17643</v>
      </c>
      <c r="K3407" t="s">
        <v>7063</v>
      </c>
      <c r="L3407" t="s">
        <v>17644</v>
      </c>
      <c r="M3407" t="s">
        <v>17645</v>
      </c>
      <c r="N3407" t="s">
        <v>17646</v>
      </c>
      <c r="O3407" t="s">
        <v>26</v>
      </c>
      <c r="P3407">
        <v>127.5</v>
      </c>
      <c r="Q3407">
        <v>106.25</v>
      </c>
      <c r="R3407">
        <v>85</v>
      </c>
      <c r="S3407">
        <v>127.5</v>
      </c>
      <c r="T3407" t="s">
        <v>17647</v>
      </c>
    </row>
    <row r="3408" spans="1:20">
      <c r="A3408">
        <v>3331465</v>
      </c>
      <c r="B3408" t="s">
        <v>17648</v>
      </c>
      <c r="C3408" t="str">
        <f>"9780773511606"</f>
        <v>9780773511606</v>
      </c>
      <c r="D3408" t="str">
        <f>"9780773564534"</f>
        <v>9780773564534</v>
      </c>
      <c r="E3408" t="s">
        <v>12907</v>
      </c>
      <c r="F3408" t="s">
        <v>12907</v>
      </c>
      <c r="G3408" s="1">
        <v>41836</v>
      </c>
      <c r="J3408" t="s">
        <v>17649</v>
      </c>
      <c r="K3408" t="s">
        <v>2432</v>
      </c>
      <c r="L3408" t="s">
        <v>17650</v>
      </c>
      <c r="M3408">
        <v>179.8</v>
      </c>
      <c r="N3408" t="s">
        <v>17651</v>
      </c>
      <c r="O3408" t="s">
        <v>26</v>
      </c>
      <c r="P3408">
        <v>127.5</v>
      </c>
      <c r="Q3408">
        <v>106.25</v>
      </c>
      <c r="R3408">
        <v>85</v>
      </c>
      <c r="S3408">
        <v>127.5</v>
      </c>
      <c r="T3408" t="s">
        <v>17652</v>
      </c>
    </row>
    <row r="3409" spans="1:20">
      <c r="A3409">
        <v>3331466</v>
      </c>
      <c r="B3409" t="s">
        <v>17653</v>
      </c>
      <c r="C3409" t="str">
        <f>"9780773503366"</f>
        <v>9780773503366</v>
      </c>
      <c r="D3409" t="str">
        <f>"9780773560741"</f>
        <v>9780773560741</v>
      </c>
      <c r="E3409" t="s">
        <v>12907</v>
      </c>
      <c r="F3409" t="s">
        <v>12907</v>
      </c>
      <c r="G3409" s="1">
        <v>41836</v>
      </c>
      <c r="J3409" t="s">
        <v>17654</v>
      </c>
      <c r="K3409" t="s">
        <v>257</v>
      </c>
      <c r="L3409" t="s">
        <v>17655</v>
      </c>
      <c r="M3409">
        <v>378.71372000000002</v>
      </c>
      <c r="N3409" t="s">
        <v>17318</v>
      </c>
      <c r="O3409" t="s">
        <v>26</v>
      </c>
      <c r="P3409">
        <v>135</v>
      </c>
      <c r="Q3409">
        <v>112.5</v>
      </c>
      <c r="R3409">
        <v>90</v>
      </c>
      <c r="S3409">
        <v>135</v>
      </c>
      <c r="T3409" t="s">
        <v>17656</v>
      </c>
    </row>
    <row r="3410" spans="1:20">
      <c r="A3410">
        <v>3331467</v>
      </c>
      <c r="B3410" t="s">
        <v>17657</v>
      </c>
      <c r="C3410" t="str">
        <f>"9780773520561"</f>
        <v>9780773520561</v>
      </c>
      <c r="D3410" t="str">
        <f>"9780773568471"</f>
        <v>9780773568471</v>
      </c>
      <c r="E3410" t="s">
        <v>12863</v>
      </c>
      <c r="F3410" t="s">
        <v>12863</v>
      </c>
      <c r="G3410" s="1">
        <v>36908</v>
      </c>
      <c r="I3410" t="s">
        <v>12942</v>
      </c>
      <c r="J3410" t="s">
        <v>17658</v>
      </c>
      <c r="K3410" t="s">
        <v>1471</v>
      </c>
      <c r="L3410" t="s">
        <v>17659</v>
      </c>
      <c r="M3410">
        <v>749.21154999999999</v>
      </c>
      <c r="N3410" t="s">
        <v>17660</v>
      </c>
      <c r="O3410" t="s">
        <v>26</v>
      </c>
      <c r="P3410">
        <v>142.5</v>
      </c>
      <c r="Q3410">
        <v>118.75</v>
      </c>
      <c r="R3410">
        <v>95</v>
      </c>
      <c r="S3410">
        <v>142.5</v>
      </c>
      <c r="T3410" t="s">
        <v>17661</v>
      </c>
    </row>
    <row r="3411" spans="1:20">
      <c r="A3411">
        <v>3331468</v>
      </c>
      <c r="B3411" t="s">
        <v>17662</v>
      </c>
      <c r="C3411" t="str">
        <f>"9780773507586"</f>
        <v>9780773507586</v>
      </c>
      <c r="D3411" t="str">
        <f>"9780773562462"</f>
        <v>9780773562462</v>
      </c>
      <c r="E3411" t="s">
        <v>12863</v>
      </c>
      <c r="F3411" t="s">
        <v>12863</v>
      </c>
      <c r="G3411" s="1">
        <v>33055</v>
      </c>
      <c r="J3411" t="s">
        <v>17663</v>
      </c>
      <c r="K3411" t="s">
        <v>1150</v>
      </c>
      <c r="L3411" t="s">
        <v>17664</v>
      </c>
      <c r="M3411">
        <v>796.09709999999995</v>
      </c>
      <c r="N3411" t="s">
        <v>17665</v>
      </c>
      <c r="O3411" t="s">
        <v>26</v>
      </c>
      <c r="P3411">
        <v>142.5</v>
      </c>
      <c r="Q3411">
        <v>118.75</v>
      </c>
      <c r="R3411">
        <v>95</v>
      </c>
      <c r="S3411">
        <v>142.5</v>
      </c>
      <c r="T3411" t="s">
        <v>17666</v>
      </c>
    </row>
    <row r="3412" spans="1:20">
      <c r="A3412">
        <v>3331469</v>
      </c>
      <c r="B3412" t="s">
        <v>17667</v>
      </c>
      <c r="C3412" t="str">
        <f>"9780773511583"</f>
        <v>9780773511583</v>
      </c>
      <c r="D3412" t="str">
        <f>"9780773564510"</f>
        <v>9780773564510</v>
      </c>
      <c r="E3412" t="s">
        <v>12863</v>
      </c>
      <c r="F3412" t="s">
        <v>12863</v>
      </c>
      <c r="G3412" s="1">
        <v>34394</v>
      </c>
      <c r="I3412" t="s">
        <v>14112</v>
      </c>
      <c r="J3412" t="s">
        <v>17668</v>
      </c>
      <c r="K3412" t="s">
        <v>1082</v>
      </c>
      <c r="L3412" t="s">
        <v>17669</v>
      </c>
      <c r="M3412">
        <v>362.10971000000001</v>
      </c>
      <c r="N3412" t="s">
        <v>17670</v>
      </c>
      <c r="O3412" t="s">
        <v>26</v>
      </c>
      <c r="P3412">
        <v>142.5</v>
      </c>
      <c r="Q3412">
        <v>118.75</v>
      </c>
      <c r="R3412">
        <v>95</v>
      </c>
      <c r="S3412">
        <v>142.5</v>
      </c>
      <c r="T3412" t="s">
        <v>17671</v>
      </c>
    </row>
    <row r="3413" spans="1:20">
      <c r="A3413">
        <v>3331470</v>
      </c>
      <c r="B3413" t="s">
        <v>17672</v>
      </c>
      <c r="C3413" t="str">
        <f>"9780773516687"</f>
        <v>9780773516687</v>
      </c>
      <c r="D3413" t="str">
        <f>"9780773566873"</f>
        <v>9780773566873</v>
      </c>
      <c r="E3413" t="s">
        <v>12863</v>
      </c>
      <c r="F3413" t="s">
        <v>12863</v>
      </c>
      <c r="G3413" s="1">
        <v>35685</v>
      </c>
      <c r="J3413" t="s">
        <v>17673</v>
      </c>
      <c r="K3413" t="s">
        <v>1464</v>
      </c>
      <c r="L3413" t="s">
        <v>17674</v>
      </c>
      <c r="M3413">
        <v>823.00992870000005</v>
      </c>
      <c r="N3413" t="s">
        <v>17675</v>
      </c>
      <c r="O3413" t="s">
        <v>26</v>
      </c>
      <c r="P3413">
        <v>142.5</v>
      </c>
      <c r="Q3413">
        <v>118.75</v>
      </c>
      <c r="R3413">
        <v>95</v>
      </c>
      <c r="S3413">
        <v>142.5</v>
      </c>
      <c r="T3413" t="s">
        <v>17676</v>
      </c>
    </row>
    <row r="3414" spans="1:20">
      <c r="A3414">
        <v>3331471</v>
      </c>
      <c r="B3414" t="s">
        <v>17677</v>
      </c>
      <c r="C3414" t="str">
        <f>"9780773510203"</f>
        <v>9780773510203</v>
      </c>
      <c r="D3414" t="str">
        <f>"9780773564145"</f>
        <v>9780773564145</v>
      </c>
      <c r="E3414" t="s">
        <v>12863</v>
      </c>
      <c r="F3414" t="s">
        <v>12863</v>
      </c>
      <c r="G3414" s="1">
        <v>35494</v>
      </c>
      <c r="I3414" t="s">
        <v>12963</v>
      </c>
      <c r="J3414" t="s">
        <v>17678</v>
      </c>
      <c r="K3414" t="s">
        <v>1464</v>
      </c>
      <c r="L3414" t="s">
        <v>17679</v>
      </c>
      <c r="M3414">
        <v>831.6</v>
      </c>
      <c r="N3414" t="s">
        <v>17680</v>
      </c>
      <c r="O3414" t="s">
        <v>26</v>
      </c>
      <c r="P3414">
        <v>142.5</v>
      </c>
      <c r="Q3414">
        <v>118.75</v>
      </c>
      <c r="R3414">
        <v>95</v>
      </c>
      <c r="S3414">
        <v>142.5</v>
      </c>
      <c r="T3414" t="s">
        <v>17681</v>
      </c>
    </row>
    <row r="3415" spans="1:20">
      <c r="A3415">
        <v>3331472</v>
      </c>
      <c r="B3415" t="s">
        <v>17682</v>
      </c>
      <c r="C3415" t="str">
        <f>"9780773513983"</f>
        <v>9780773513983</v>
      </c>
      <c r="D3415" t="str">
        <f>"9780773565951"</f>
        <v>9780773565951</v>
      </c>
      <c r="E3415" t="s">
        <v>12863</v>
      </c>
      <c r="F3415" t="s">
        <v>12863</v>
      </c>
      <c r="G3415" s="1">
        <v>35266</v>
      </c>
      <c r="J3415" t="s">
        <v>14684</v>
      </c>
      <c r="K3415" t="s">
        <v>7732</v>
      </c>
      <c r="L3415" t="s">
        <v>17683</v>
      </c>
      <c r="M3415">
        <v>358.41509710000003</v>
      </c>
      <c r="N3415" t="s">
        <v>17684</v>
      </c>
      <c r="O3415" t="s">
        <v>26</v>
      </c>
      <c r="P3415">
        <v>142.5</v>
      </c>
      <c r="Q3415">
        <v>118.75</v>
      </c>
      <c r="R3415">
        <v>95</v>
      </c>
      <c r="S3415">
        <v>142.5</v>
      </c>
      <c r="T3415" t="s">
        <v>17685</v>
      </c>
    </row>
    <row r="3416" spans="1:20">
      <c r="A3416">
        <v>3331473</v>
      </c>
      <c r="B3416" t="s">
        <v>17686</v>
      </c>
      <c r="C3416" t="str">
        <f>"9780773518292"</f>
        <v>9780773518292</v>
      </c>
      <c r="D3416" t="str">
        <f>"9780773567672"</f>
        <v>9780773567672</v>
      </c>
      <c r="E3416" t="s">
        <v>12863</v>
      </c>
      <c r="F3416" t="s">
        <v>12863</v>
      </c>
      <c r="G3416" s="1">
        <v>36373</v>
      </c>
      <c r="J3416" t="s">
        <v>17687</v>
      </c>
      <c r="K3416" t="s">
        <v>568</v>
      </c>
      <c r="L3416" t="s">
        <v>15789</v>
      </c>
      <c r="M3416">
        <v>320.97109046999998</v>
      </c>
      <c r="N3416" t="s">
        <v>17688</v>
      </c>
      <c r="O3416" t="s">
        <v>26</v>
      </c>
      <c r="P3416">
        <v>142.5</v>
      </c>
      <c r="Q3416">
        <v>118.75</v>
      </c>
      <c r="R3416">
        <v>95</v>
      </c>
      <c r="S3416">
        <v>142.5</v>
      </c>
      <c r="T3416" t="s">
        <v>17689</v>
      </c>
    </row>
    <row r="3417" spans="1:20">
      <c r="A3417">
        <v>3331474</v>
      </c>
      <c r="B3417" t="s">
        <v>17690</v>
      </c>
      <c r="C3417" t="str">
        <f>"9780886293505"</f>
        <v>9780886293505</v>
      </c>
      <c r="D3417" t="str">
        <f>"9780773574151"</f>
        <v>9780773574151</v>
      </c>
      <c r="E3417" t="s">
        <v>12863</v>
      </c>
      <c r="F3417" t="s">
        <v>12863</v>
      </c>
      <c r="G3417" s="1">
        <v>41773</v>
      </c>
      <c r="J3417" t="s">
        <v>17691</v>
      </c>
      <c r="K3417" t="s">
        <v>263</v>
      </c>
      <c r="L3417" t="s">
        <v>17692</v>
      </c>
      <c r="M3417">
        <v>300</v>
      </c>
      <c r="N3417" t="s">
        <v>17693</v>
      </c>
      <c r="O3417" t="s">
        <v>26</v>
      </c>
      <c r="P3417">
        <v>142.5</v>
      </c>
      <c r="Q3417">
        <v>118.75</v>
      </c>
      <c r="R3417">
        <v>95</v>
      </c>
      <c r="S3417">
        <v>142.5</v>
      </c>
      <c r="T3417" t="s">
        <v>17694</v>
      </c>
    </row>
    <row r="3418" spans="1:20">
      <c r="A3418">
        <v>3331475</v>
      </c>
      <c r="B3418" t="s">
        <v>17695</v>
      </c>
      <c r="C3418" t="str">
        <f>"9780773514171"</f>
        <v>9780773514171</v>
      </c>
      <c r="D3418" t="str">
        <f>"9780773566064"</f>
        <v>9780773566064</v>
      </c>
      <c r="E3418" t="s">
        <v>12863</v>
      </c>
      <c r="F3418" t="s">
        <v>12863</v>
      </c>
      <c r="G3418" s="1">
        <v>35317</v>
      </c>
      <c r="I3418" t="s">
        <v>14877</v>
      </c>
      <c r="J3418" t="s">
        <v>17696</v>
      </c>
      <c r="K3418" t="s">
        <v>278</v>
      </c>
      <c r="L3418" t="s">
        <v>17697</v>
      </c>
      <c r="M3418">
        <v>331.13797099999999</v>
      </c>
      <c r="N3418" t="s">
        <v>17698</v>
      </c>
      <c r="O3418" t="s">
        <v>26</v>
      </c>
      <c r="P3418">
        <v>142.5</v>
      </c>
      <c r="Q3418">
        <v>118.75</v>
      </c>
      <c r="R3418">
        <v>95</v>
      </c>
      <c r="S3418">
        <v>142.5</v>
      </c>
      <c r="T3418" t="s">
        <v>17699</v>
      </c>
    </row>
    <row r="3419" spans="1:20">
      <c r="A3419">
        <v>3331476</v>
      </c>
      <c r="B3419" t="s">
        <v>17700</v>
      </c>
      <c r="C3419" t="str">
        <f>"9780773506978"</f>
        <v>9780773506978</v>
      </c>
      <c r="D3419" t="str">
        <f>"9780773561991"</f>
        <v>9780773561991</v>
      </c>
      <c r="E3419" t="s">
        <v>12863</v>
      </c>
      <c r="F3419" t="s">
        <v>12863</v>
      </c>
      <c r="G3419" s="1">
        <v>32721</v>
      </c>
      <c r="J3419" t="s">
        <v>14838</v>
      </c>
      <c r="K3419" t="s">
        <v>1464</v>
      </c>
      <c r="L3419" t="s">
        <v>17701</v>
      </c>
      <c r="M3419">
        <v>811.50900000000001</v>
      </c>
      <c r="N3419" t="s">
        <v>17702</v>
      </c>
      <c r="O3419" t="s">
        <v>26</v>
      </c>
      <c r="P3419">
        <v>142.5</v>
      </c>
      <c r="Q3419">
        <v>118.75</v>
      </c>
      <c r="R3419">
        <v>95</v>
      </c>
      <c r="S3419">
        <v>142.5</v>
      </c>
      <c r="T3419" t="s">
        <v>17703</v>
      </c>
    </row>
    <row r="3420" spans="1:20">
      <c r="A3420">
        <v>3331477</v>
      </c>
      <c r="B3420" t="s">
        <v>17704</v>
      </c>
      <c r="C3420" t="str">
        <f>"9780773507692"</f>
        <v>9780773507692</v>
      </c>
      <c r="D3420" t="str">
        <f>"9780773562554"</f>
        <v>9780773562554</v>
      </c>
      <c r="E3420" t="s">
        <v>12863</v>
      </c>
      <c r="F3420" t="s">
        <v>12863</v>
      </c>
      <c r="G3420" s="1">
        <v>33298</v>
      </c>
      <c r="I3420" t="s">
        <v>12886</v>
      </c>
      <c r="J3420" t="s">
        <v>17705</v>
      </c>
      <c r="K3420" t="s">
        <v>1892</v>
      </c>
      <c r="L3420" t="s">
        <v>13574</v>
      </c>
      <c r="M3420">
        <v>280.40971000000002</v>
      </c>
      <c r="N3420" t="s">
        <v>17706</v>
      </c>
      <c r="O3420" t="s">
        <v>26</v>
      </c>
      <c r="P3420">
        <v>142.5</v>
      </c>
      <c r="Q3420">
        <v>118.75</v>
      </c>
      <c r="R3420">
        <v>95</v>
      </c>
      <c r="S3420">
        <v>142.5</v>
      </c>
      <c r="T3420" t="s">
        <v>17707</v>
      </c>
    </row>
    <row r="3421" spans="1:20">
      <c r="A3421">
        <v>3331478</v>
      </c>
      <c r="B3421" t="s">
        <v>17708</v>
      </c>
      <c r="C3421" t="str">
        <f>"9780773521742"</f>
        <v>9780773521742</v>
      </c>
      <c r="D3421" t="str">
        <f>"9780773569133"</f>
        <v>9780773569133</v>
      </c>
      <c r="E3421" t="s">
        <v>12863</v>
      </c>
      <c r="F3421" t="s">
        <v>12863</v>
      </c>
      <c r="G3421" s="1">
        <v>37061</v>
      </c>
      <c r="J3421" t="s">
        <v>17709</v>
      </c>
      <c r="K3421" t="s">
        <v>17710</v>
      </c>
      <c r="L3421" t="s">
        <v>17711</v>
      </c>
      <c r="M3421">
        <v>907.2</v>
      </c>
      <c r="N3421" t="s">
        <v>17712</v>
      </c>
      <c r="O3421" t="s">
        <v>26</v>
      </c>
      <c r="P3421">
        <v>59.93</v>
      </c>
      <c r="Q3421">
        <v>49.94</v>
      </c>
      <c r="R3421">
        <v>39.950000000000003</v>
      </c>
      <c r="S3421">
        <v>59.93</v>
      </c>
      <c r="T3421" t="s">
        <v>17713</v>
      </c>
    </row>
    <row r="3422" spans="1:20">
      <c r="A3422">
        <v>3331479</v>
      </c>
      <c r="B3422" t="s">
        <v>17714</v>
      </c>
      <c r="C3422" t="str">
        <f>"9780773509252"</f>
        <v>9780773509252</v>
      </c>
      <c r="D3422" t="str">
        <f>"9780773563544"</f>
        <v>9780773563544</v>
      </c>
      <c r="E3422" t="s">
        <v>12863</v>
      </c>
      <c r="F3422" t="s">
        <v>12863</v>
      </c>
      <c r="G3422" s="1">
        <v>34044</v>
      </c>
      <c r="I3422" t="s">
        <v>16408</v>
      </c>
      <c r="J3422" t="s">
        <v>17715</v>
      </c>
      <c r="K3422" t="s">
        <v>17716</v>
      </c>
      <c r="L3422" t="s">
        <v>17717</v>
      </c>
      <c r="M3422">
        <v>917.1</v>
      </c>
      <c r="N3422" t="s">
        <v>17718</v>
      </c>
      <c r="O3422" t="s">
        <v>26</v>
      </c>
      <c r="P3422">
        <v>150</v>
      </c>
      <c r="Q3422">
        <v>125</v>
      </c>
      <c r="R3422">
        <v>100</v>
      </c>
      <c r="S3422">
        <v>150</v>
      </c>
      <c r="T3422" t="s">
        <v>17719</v>
      </c>
    </row>
    <row r="3423" spans="1:20">
      <c r="A3423">
        <v>3331480</v>
      </c>
      <c r="B3423" t="s">
        <v>17720</v>
      </c>
      <c r="C3423" t="str">
        <f>"9780773511996"</f>
        <v>9780773511996</v>
      </c>
      <c r="D3423" t="str">
        <f>"9780773564800"</f>
        <v>9780773564800</v>
      </c>
      <c r="E3423" t="s">
        <v>12863</v>
      </c>
      <c r="F3423" t="s">
        <v>12863</v>
      </c>
      <c r="G3423" s="1">
        <v>34506</v>
      </c>
      <c r="J3423" t="s">
        <v>17721</v>
      </c>
      <c r="K3423" t="s">
        <v>1387</v>
      </c>
      <c r="L3423" t="s">
        <v>17722</v>
      </c>
      <c r="M3423">
        <v>330.97134801999999</v>
      </c>
      <c r="N3423" t="s">
        <v>17723</v>
      </c>
      <c r="O3423" t="s">
        <v>26</v>
      </c>
      <c r="P3423">
        <v>142.5</v>
      </c>
      <c r="Q3423">
        <v>118.75</v>
      </c>
      <c r="R3423">
        <v>95</v>
      </c>
      <c r="S3423">
        <v>142.5</v>
      </c>
      <c r="T3423" t="s">
        <v>17724</v>
      </c>
    </row>
    <row r="3424" spans="1:20">
      <c r="A3424">
        <v>3331481</v>
      </c>
      <c r="B3424" t="s">
        <v>17725</v>
      </c>
      <c r="C3424" t="str">
        <f>"9780773522565"</f>
        <v>9780773522565</v>
      </c>
      <c r="D3424" t="str">
        <f>"9780773569607"</f>
        <v>9780773569607</v>
      </c>
      <c r="E3424" t="s">
        <v>12863</v>
      </c>
      <c r="F3424" t="s">
        <v>12863</v>
      </c>
      <c r="G3424" s="1">
        <v>37211</v>
      </c>
      <c r="J3424" t="s">
        <v>17726</v>
      </c>
      <c r="K3424" t="s">
        <v>7781</v>
      </c>
      <c r="L3424" t="s">
        <v>17727</v>
      </c>
      <c r="M3424">
        <v>704.03970710999999</v>
      </c>
      <c r="N3424" t="s">
        <v>17728</v>
      </c>
      <c r="O3424" t="s">
        <v>26</v>
      </c>
      <c r="P3424">
        <v>142.5</v>
      </c>
      <c r="Q3424">
        <v>118.75</v>
      </c>
      <c r="R3424">
        <v>95</v>
      </c>
      <c r="S3424">
        <v>142.5</v>
      </c>
      <c r="T3424" t="s">
        <v>17729</v>
      </c>
    </row>
    <row r="3425" spans="1:20">
      <c r="A3425">
        <v>3331482</v>
      </c>
      <c r="B3425" t="s">
        <v>17730</v>
      </c>
      <c r="C3425" t="str">
        <f>"9780773508682"</f>
        <v>9780773508682</v>
      </c>
      <c r="D3425" t="str">
        <f>"9780773563100"</f>
        <v>9780773563100</v>
      </c>
      <c r="E3425" t="s">
        <v>12863</v>
      </c>
      <c r="F3425" t="s">
        <v>12863</v>
      </c>
      <c r="G3425" s="1">
        <v>33577</v>
      </c>
      <c r="J3425" t="s">
        <v>17731</v>
      </c>
      <c r="K3425" t="s">
        <v>435</v>
      </c>
      <c r="L3425" t="s">
        <v>17732</v>
      </c>
      <c r="M3425">
        <v>333.79</v>
      </c>
      <c r="N3425" t="s">
        <v>17733</v>
      </c>
      <c r="O3425" t="s">
        <v>26</v>
      </c>
      <c r="P3425">
        <v>127.5</v>
      </c>
      <c r="Q3425">
        <v>106.25</v>
      </c>
      <c r="R3425">
        <v>85</v>
      </c>
      <c r="S3425">
        <v>127.5</v>
      </c>
      <c r="T3425" t="s">
        <v>17734</v>
      </c>
    </row>
    <row r="3426" spans="1:20">
      <c r="A3426">
        <v>3331483</v>
      </c>
      <c r="B3426" t="s">
        <v>17735</v>
      </c>
      <c r="C3426" t="str">
        <f>"9780773508507"</f>
        <v>9780773508507</v>
      </c>
      <c r="D3426" t="str">
        <f>"9780773563001"</f>
        <v>9780773563001</v>
      </c>
      <c r="E3426" t="s">
        <v>12863</v>
      </c>
      <c r="F3426" t="s">
        <v>12863</v>
      </c>
      <c r="G3426" s="1">
        <v>33239</v>
      </c>
      <c r="J3426" t="s">
        <v>17736</v>
      </c>
      <c r="K3426" t="s">
        <v>1464</v>
      </c>
      <c r="L3426" t="s">
        <v>17737</v>
      </c>
      <c r="M3426" t="s">
        <v>1567</v>
      </c>
      <c r="N3426" t="s">
        <v>17738</v>
      </c>
      <c r="O3426" t="s">
        <v>26</v>
      </c>
      <c r="P3426">
        <v>120</v>
      </c>
      <c r="Q3426">
        <v>100</v>
      </c>
      <c r="R3426">
        <v>80</v>
      </c>
      <c r="S3426">
        <v>120</v>
      </c>
      <c r="T3426" t="s">
        <v>17739</v>
      </c>
    </row>
    <row r="3427" spans="1:20">
      <c r="A3427">
        <v>3331484</v>
      </c>
      <c r="B3427" t="s">
        <v>17740</v>
      </c>
      <c r="C3427" t="str">
        <f>"9780773521681"</f>
        <v>9780773521681</v>
      </c>
      <c r="D3427" t="str">
        <f>"9780773569089"</f>
        <v>9780773569089</v>
      </c>
      <c r="E3427" t="s">
        <v>12863</v>
      </c>
      <c r="F3427" t="s">
        <v>12863</v>
      </c>
      <c r="G3427" s="1">
        <v>36931</v>
      </c>
      <c r="J3427" t="s">
        <v>17741</v>
      </c>
      <c r="K3427" t="s">
        <v>7838</v>
      </c>
      <c r="L3427" t="s">
        <v>17742</v>
      </c>
      <c r="M3427">
        <v>728.37</v>
      </c>
      <c r="N3427" t="s">
        <v>17743</v>
      </c>
      <c r="O3427" t="s">
        <v>26</v>
      </c>
      <c r="P3427">
        <v>34.43</v>
      </c>
      <c r="Q3427">
        <v>28.69</v>
      </c>
      <c r="R3427">
        <v>22.95</v>
      </c>
      <c r="S3427">
        <v>34.43</v>
      </c>
      <c r="T3427" t="s">
        <v>17744</v>
      </c>
    </row>
    <row r="3428" spans="1:20">
      <c r="A3428">
        <v>3331485</v>
      </c>
      <c r="B3428" t="s">
        <v>17745</v>
      </c>
      <c r="C3428" t="str">
        <f>"9780773507531"</f>
        <v>9780773507531</v>
      </c>
      <c r="D3428" t="str">
        <f>"9780773562424"</f>
        <v>9780773562424</v>
      </c>
      <c r="E3428" t="s">
        <v>12863</v>
      </c>
      <c r="F3428" t="s">
        <v>12863</v>
      </c>
      <c r="G3428" s="1">
        <v>33147</v>
      </c>
      <c r="J3428" t="s">
        <v>12902</v>
      </c>
      <c r="K3428" t="s">
        <v>257</v>
      </c>
      <c r="L3428" t="s">
        <v>17746</v>
      </c>
      <c r="M3428">
        <v>378.19809710904298</v>
      </c>
      <c r="N3428" t="s">
        <v>17747</v>
      </c>
      <c r="O3428" t="s">
        <v>26</v>
      </c>
      <c r="P3428">
        <v>142.5</v>
      </c>
      <c r="Q3428">
        <v>118.75</v>
      </c>
      <c r="R3428">
        <v>95</v>
      </c>
      <c r="S3428">
        <v>142.5</v>
      </c>
      <c r="T3428" t="s">
        <v>17748</v>
      </c>
    </row>
    <row r="3429" spans="1:20">
      <c r="A3429">
        <v>3331486</v>
      </c>
      <c r="B3429" t="s">
        <v>17749</v>
      </c>
      <c r="C3429" t="str">
        <f>"9780773507869"</f>
        <v>9780773507869</v>
      </c>
      <c r="D3429" t="str">
        <f>"9780773562646"</f>
        <v>9780773562646</v>
      </c>
      <c r="E3429" t="s">
        <v>12863</v>
      </c>
      <c r="F3429" t="s">
        <v>12863</v>
      </c>
      <c r="G3429" s="1">
        <v>33086</v>
      </c>
      <c r="J3429" t="s">
        <v>17750</v>
      </c>
      <c r="K3429" t="s">
        <v>263</v>
      </c>
      <c r="L3429" t="s">
        <v>17751</v>
      </c>
      <c r="M3429">
        <v>398.20971354099999</v>
      </c>
      <c r="N3429" t="s">
        <v>17752</v>
      </c>
      <c r="O3429" t="s">
        <v>26</v>
      </c>
      <c r="P3429">
        <v>142.5</v>
      </c>
      <c r="Q3429">
        <v>118.75</v>
      </c>
      <c r="R3429">
        <v>95</v>
      </c>
      <c r="S3429">
        <v>142.5</v>
      </c>
      <c r="T3429" t="s">
        <v>17753</v>
      </c>
    </row>
    <row r="3430" spans="1:20">
      <c r="A3430">
        <v>3331487</v>
      </c>
      <c r="B3430" t="s">
        <v>17754</v>
      </c>
      <c r="C3430" t="str">
        <f>"9780773511378"</f>
        <v>9780773511378</v>
      </c>
      <c r="D3430" t="str">
        <f>"9780773564428"</f>
        <v>9780773564428</v>
      </c>
      <c r="E3430" t="s">
        <v>12863</v>
      </c>
      <c r="F3430" t="s">
        <v>12863</v>
      </c>
      <c r="G3430" s="1">
        <v>34373</v>
      </c>
      <c r="J3430" t="s">
        <v>17755</v>
      </c>
      <c r="K3430" t="s">
        <v>291</v>
      </c>
      <c r="L3430" t="s">
        <v>17756</v>
      </c>
      <c r="M3430">
        <v>971.03399999999999</v>
      </c>
      <c r="N3430" t="s">
        <v>17757</v>
      </c>
      <c r="O3430" t="s">
        <v>26</v>
      </c>
      <c r="P3430">
        <v>127.5</v>
      </c>
      <c r="Q3430">
        <v>106.25</v>
      </c>
      <c r="R3430">
        <v>85</v>
      </c>
      <c r="S3430">
        <v>127.5</v>
      </c>
      <c r="T3430" t="s">
        <v>17758</v>
      </c>
    </row>
    <row r="3431" spans="1:20">
      <c r="A3431">
        <v>3331488</v>
      </c>
      <c r="B3431" t="s">
        <v>17759</v>
      </c>
      <c r="C3431" t="str">
        <f>"9780773518445"</f>
        <v>9780773518445</v>
      </c>
      <c r="D3431" t="str">
        <f>"9780773567801"</f>
        <v>9780773567801</v>
      </c>
      <c r="E3431" t="s">
        <v>12863</v>
      </c>
      <c r="F3431" t="s">
        <v>12863</v>
      </c>
      <c r="G3431" s="1">
        <v>36377</v>
      </c>
      <c r="J3431" t="s">
        <v>17760</v>
      </c>
      <c r="K3431" t="s">
        <v>263</v>
      </c>
      <c r="L3431" t="s">
        <v>17761</v>
      </c>
      <c r="M3431">
        <v>305.39999999999998</v>
      </c>
      <c r="N3431" t="s">
        <v>17762</v>
      </c>
      <c r="O3431" t="s">
        <v>26</v>
      </c>
      <c r="P3431">
        <v>142.5</v>
      </c>
      <c r="Q3431">
        <v>118.75</v>
      </c>
      <c r="R3431">
        <v>95</v>
      </c>
      <c r="S3431">
        <v>142.5</v>
      </c>
      <c r="T3431" t="s">
        <v>17763</v>
      </c>
    </row>
    <row r="3432" spans="1:20">
      <c r="A3432">
        <v>3331489</v>
      </c>
      <c r="B3432" t="s">
        <v>17764</v>
      </c>
      <c r="C3432" t="str">
        <f>"9780773525825"</f>
        <v>9780773525825</v>
      </c>
      <c r="D3432" t="str">
        <f>"9780773571266"</f>
        <v>9780773571266</v>
      </c>
      <c r="E3432" t="s">
        <v>12863</v>
      </c>
      <c r="F3432" t="s">
        <v>12863</v>
      </c>
      <c r="G3432" s="1">
        <v>37818</v>
      </c>
      <c r="J3432" t="s">
        <v>16483</v>
      </c>
      <c r="K3432" t="s">
        <v>291</v>
      </c>
      <c r="L3432" t="s">
        <v>14313</v>
      </c>
      <c r="M3432">
        <v>971.35410309199995</v>
      </c>
      <c r="N3432" t="s">
        <v>17765</v>
      </c>
      <c r="O3432" t="s">
        <v>26</v>
      </c>
      <c r="P3432">
        <v>74.930000000000007</v>
      </c>
      <c r="Q3432">
        <v>62.44</v>
      </c>
      <c r="R3432">
        <v>49.95</v>
      </c>
      <c r="S3432">
        <v>74.930000000000007</v>
      </c>
      <c r="T3432" t="s">
        <v>17766</v>
      </c>
    </row>
    <row r="3433" spans="1:20">
      <c r="A3433">
        <v>3331490</v>
      </c>
      <c r="B3433" t="s">
        <v>17767</v>
      </c>
      <c r="C3433" t="str">
        <f>"9780773505957"</f>
        <v>9780773505957</v>
      </c>
      <c r="D3433" t="str">
        <f>"9780773561328"</f>
        <v>9780773561328</v>
      </c>
      <c r="E3433" t="s">
        <v>12863</v>
      </c>
      <c r="F3433" t="s">
        <v>12863</v>
      </c>
      <c r="G3433" s="1">
        <v>31594</v>
      </c>
      <c r="J3433" t="s">
        <v>17768</v>
      </c>
      <c r="K3433" t="s">
        <v>291</v>
      </c>
      <c r="L3433" t="s">
        <v>16533</v>
      </c>
      <c r="M3433">
        <v>971.00496999999996</v>
      </c>
      <c r="N3433" t="s">
        <v>17769</v>
      </c>
      <c r="O3433" t="s">
        <v>26</v>
      </c>
      <c r="P3433">
        <v>142.5</v>
      </c>
      <c r="Q3433">
        <v>118.75</v>
      </c>
      <c r="R3433">
        <v>95</v>
      </c>
      <c r="S3433">
        <v>142.5</v>
      </c>
      <c r="T3433" t="s">
        <v>17770</v>
      </c>
    </row>
    <row r="3434" spans="1:20">
      <c r="A3434">
        <v>3331491</v>
      </c>
      <c r="B3434" t="s">
        <v>17771</v>
      </c>
      <c r="C3434" t="str">
        <f>"9780773522909"</f>
        <v>9780773522909</v>
      </c>
      <c r="D3434" t="str">
        <f>"9780773569782"</f>
        <v>9780773569782</v>
      </c>
      <c r="E3434" t="s">
        <v>12863</v>
      </c>
      <c r="F3434" t="s">
        <v>12863</v>
      </c>
      <c r="G3434" s="1">
        <v>37389</v>
      </c>
      <c r="J3434" t="s">
        <v>17772</v>
      </c>
      <c r="K3434" t="s">
        <v>1471</v>
      </c>
      <c r="L3434" t="s">
        <v>17773</v>
      </c>
      <c r="M3434">
        <v>751.73097099999995</v>
      </c>
      <c r="N3434" t="s">
        <v>17774</v>
      </c>
      <c r="O3434" t="s">
        <v>26</v>
      </c>
      <c r="P3434">
        <v>142.5</v>
      </c>
      <c r="Q3434">
        <v>118.75</v>
      </c>
      <c r="R3434">
        <v>95</v>
      </c>
      <c r="S3434">
        <v>142.5</v>
      </c>
      <c r="T3434" t="s">
        <v>17775</v>
      </c>
    </row>
    <row r="3435" spans="1:20">
      <c r="A3435">
        <v>3331492</v>
      </c>
      <c r="B3435" t="s">
        <v>17776</v>
      </c>
      <c r="C3435" t="str">
        <f>"9780773506725"</f>
        <v>9780773506725</v>
      </c>
      <c r="D3435" t="str">
        <f>"9780773561830"</f>
        <v>9780773561830</v>
      </c>
      <c r="E3435" t="s">
        <v>12863</v>
      </c>
      <c r="F3435" t="s">
        <v>12863</v>
      </c>
      <c r="G3435" s="1">
        <v>32509</v>
      </c>
      <c r="J3435" t="s">
        <v>17777</v>
      </c>
      <c r="K3435" t="s">
        <v>278</v>
      </c>
      <c r="L3435" t="s">
        <v>15390</v>
      </c>
      <c r="M3435">
        <v>338.971</v>
      </c>
      <c r="N3435" t="s">
        <v>17778</v>
      </c>
      <c r="O3435" t="s">
        <v>26</v>
      </c>
      <c r="P3435">
        <v>142.5</v>
      </c>
      <c r="Q3435">
        <v>118.75</v>
      </c>
      <c r="R3435">
        <v>95</v>
      </c>
      <c r="S3435">
        <v>142.5</v>
      </c>
      <c r="T3435" t="s">
        <v>17779</v>
      </c>
    </row>
    <row r="3436" spans="1:20">
      <c r="A3436">
        <v>3331493</v>
      </c>
      <c r="B3436" t="s">
        <v>17780</v>
      </c>
      <c r="C3436" t="str">
        <f>"9780773506794"</f>
        <v>9780773506794</v>
      </c>
      <c r="D3436" t="str">
        <f>"9780773561892"</f>
        <v>9780773561892</v>
      </c>
      <c r="E3436" t="s">
        <v>12863</v>
      </c>
      <c r="F3436" t="s">
        <v>12863</v>
      </c>
      <c r="G3436" s="1">
        <v>32782</v>
      </c>
      <c r="J3436" t="s">
        <v>17781</v>
      </c>
      <c r="K3436" t="s">
        <v>17782</v>
      </c>
      <c r="L3436" t="s">
        <v>17783</v>
      </c>
      <c r="M3436">
        <v>912.714111</v>
      </c>
      <c r="N3436" t="s">
        <v>17784</v>
      </c>
      <c r="O3436" t="s">
        <v>26</v>
      </c>
      <c r="P3436">
        <v>142.5</v>
      </c>
      <c r="Q3436">
        <v>118.75</v>
      </c>
      <c r="R3436">
        <v>95</v>
      </c>
      <c r="S3436">
        <v>142.5</v>
      </c>
      <c r="T3436" t="s">
        <v>17785</v>
      </c>
    </row>
    <row r="3437" spans="1:20">
      <c r="A3437">
        <v>3331494</v>
      </c>
      <c r="B3437" t="s">
        <v>17786</v>
      </c>
      <c r="C3437" t="str">
        <f>"9780773513709"</f>
        <v>9780773513709</v>
      </c>
      <c r="D3437" t="str">
        <f>"9780773565777"</f>
        <v>9780773565777</v>
      </c>
      <c r="E3437" t="s">
        <v>12863</v>
      </c>
      <c r="F3437" t="s">
        <v>12863</v>
      </c>
      <c r="G3437" s="1">
        <v>35259</v>
      </c>
      <c r="J3437" t="s">
        <v>17787</v>
      </c>
      <c r="K3437" t="s">
        <v>278</v>
      </c>
      <c r="L3437" t="s">
        <v>17788</v>
      </c>
      <c r="M3437">
        <v>338.17477209728997</v>
      </c>
      <c r="N3437" t="s">
        <v>17789</v>
      </c>
      <c r="O3437" t="s">
        <v>26</v>
      </c>
      <c r="P3437">
        <v>142.5</v>
      </c>
      <c r="Q3437">
        <v>118.75</v>
      </c>
      <c r="R3437">
        <v>95</v>
      </c>
      <c r="S3437">
        <v>142.5</v>
      </c>
      <c r="T3437" t="s">
        <v>17790</v>
      </c>
    </row>
    <row r="3438" spans="1:20">
      <c r="A3438">
        <v>3331495</v>
      </c>
      <c r="B3438" t="s">
        <v>17791</v>
      </c>
      <c r="C3438" t="str">
        <f>"9780773507302"</f>
        <v>9780773507302</v>
      </c>
      <c r="D3438" t="str">
        <f>"9780773562271"</f>
        <v>9780773562271</v>
      </c>
      <c r="E3438" t="s">
        <v>12863</v>
      </c>
      <c r="F3438" t="s">
        <v>12863</v>
      </c>
      <c r="G3438" s="1">
        <v>33208</v>
      </c>
      <c r="J3438" t="s">
        <v>17792</v>
      </c>
      <c r="K3438" t="s">
        <v>278</v>
      </c>
      <c r="L3438" t="s">
        <v>17793</v>
      </c>
      <c r="M3438">
        <v>338.37275299999999</v>
      </c>
      <c r="N3438" t="s">
        <v>17794</v>
      </c>
      <c r="O3438" t="s">
        <v>26</v>
      </c>
      <c r="P3438">
        <v>142.5</v>
      </c>
      <c r="Q3438">
        <v>118.75</v>
      </c>
      <c r="R3438">
        <v>95</v>
      </c>
      <c r="S3438">
        <v>142.5</v>
      </c>
      <c r="T3438" t="s">
        <v>17795</v>
      </c>
    </row>
    <row r="3439" spans="1:20">
      <c r="A3439">
        <v>3331497</v>
      </c>
      <c r="B3439" t="s">
        <v>17796</v>
      </c>
      <c r="C3439" t="str">
        <f>"9780773518865"</f>
        <v>9780773518865</v>
      </c>
      <c r="D3439" t="str">
        <f>"9780773568006"</f>
        <v>9780773568006</v>
      </c>
      <c r="E3439" t="s">
        <v>12863</v>
      </c>
      <c r="F3439" t="s">
        <v>12863</v>
      </c>
      <c r="G3439" s="1">
        <v>36494</v>
      </c>
      <c r="J3439" t="s">
        <v>17797</v>
      </c>
      <c r="K3439" t="s">
        <v>17798</v>
      </c>
      <c r="L3439" t="s">
        <v>17799</v>
      </c>
      <c r="M3439">
        <v>914.04287999999997</v>
      </c>
      <c r="N3439" t="s">
        <v>17800</v>
      </c>
      <c r="O3439" t="s">
        <v>26</v>
      </c>
      <c r="P3439">
        <v>142.5</v>
      </c>
      <c r="Q3439">
        <v>118.75</v>
      </c>
      <c r="R3439">
        <v>95</v>
      </c>
      <c r="S3439">
        <v>142.5</v>
      </c>
      <c r="T3439" t="s">
        <v>17801</v>
      </c>
    </row>
    <row r="3440" spans="1:20">
      <c r="A3440">
        <v>3331498</v>
      </c>
      <c r="B3440" t="s">
        <v>17802</v>
      </c>
      <c r="C3440" t="str">
        <f>"9780773509177"</f>
        <v>9780773509177</v>
      </c>
      <c r="D3440" t="str">
        <f>"9780773563483"</f>
        <v>9780773563483</v>
      </c>
      <c r="E3440" t="s">
        <v>12863</v>
      </c>
      <c r="F3440" t="s">
        <v>12863</v>
      </c>
      <c r="G3440" s="1">
        <v>33875</v>
      </c>
      <c r="J3440" t="s">
        <v>17803</v>
      </c>
      <c r="K3440" t="s">
        <v>2811</v>
      </c>
      <c r="L3440" t="s">
        <v>17804</v>
      </c>
      <c r="M3440">
        <v>384.54097100000001</v>
      </c>
      <c r="N3440" t="s">
        <v>17805</v>
      </c>
      <c r="O3440" t="s">
        <v>26</v>
      </c>
      <c r="P3440">
        <v>142.5</v>
      </c>
      <c r="Q3440">
        <v>118.75</v>
      </c>
      <c r="R3440">
        <v>95</v>
      </c>
      <c r="S3440">
        <v>142.5</v>
      </c>
      <c r="T3440" t="s">
        <v>17806</v>
      </c>
    </row>
    <row r="3441" spans="1:20">
      <c r="A3441">
        <v>3331499</v>
      </c>
      <c r="B3441" t="s">
        <v>17807</v>
      </c>
      <c r="C3441" t="str">
        <f>"9780773523487"</f>
        <v>9780773523487</v>
      </c>
      <c r="D3441" t="str">
        <f>"9780773570115"</f>
        <v>9780773570115</v>
      </c>
      <c r="E3441" t="s">
        <v>12863</v>
      </c>
      <c r="F3441" t="s">
        <v>12863</v>
      </c>
      <c r="G3441" s="1">
        <v>37511</v>
      </c>
      <c r="J3441" t="s">
        <v>14469</v>
      </c>
      <c r="K3441" t="s">
        <v>1471</v>
      </c>
      <c r="L3441" t="s">
        <v>17808</v>
      </c>
      <c r="M3441">
        <v>745.59360919999995</v>
      </c>
      <c r="N3441" t="s">
        <v>17809</v>
      </c>
      <c r="O3441" t="s">
        <v>26</v>
      </c>
      <c r="P3441">
        <v>97.5</v>
      </c>
      <c r="Q3441">
        <v>81.25</v>
      </c>
      <c r="R3441">
        <v>65</v>
      </c>
      <c r="S3441">
        <v>97.5</v>
      </c>
      <c r="T3441" t="s">
        <v>17810</v>
      </c>
    </row>
    <row r="3442" spans="1:20">
      <c r="A3442">
        <v>3331500</v>
      </c>
      <c r="B3442" t="s">
        <v>17811</v>
      </c>
      <c r="C3442" t="str">
        <f>"9780773512986"</f>
        <v>9780773512986</v>
      </c>
      <c r="D3442" t="str">
        <f>"9780773565357"</f>
        <v>9780773565357</v>
      </c>
      <c r="E3442" t="s">
        <v>12863</v>
      </c>
      <c r="F3442" t="s">
        <v>12863</v>
      </c>
      <c r="G3442" s="1">
        <v>34864</v>
      </c>
      <c r="J3442" t="s">
        <v>14469</v>
      </c>
      <c r="K3442" t="s">
        <v>1464</v>
      </c>
      <c r="L3442" t="s">
        <v>17812</v>
      </c>
      <c r="M3442">
        <v>832.60935265099999</v>
      </c>
      <c r="N3442" t="s">
        <v>17813</v>
      </c>
      <c r="O3442" t="s">
        <v>26</v>
      </c>
      <c r="P3442">
        <v>142.5</v>
      </c>
      <c r="Q3442">
        <v>118.75</v>
      </c>
      <c r="R3442">
        <v>95</v>
      </c>
      <c r="S3442">
        <v>142.5</v>
      </c>
      <c r="T3442" t="s">
        <v>17814</v>
      </c>
    </row>
    <row r="3443" spans="1:20">
      <c r="A3443">
        <v>3331501</v>
      </c>
      <c r="B3443" t="s">
        <v>17815</v>
      </c>
      <c r="C3443" t="str">
        <f>"9780773506824"</f>
        <v>9780773506824</v>
      </c>
      <c r="D3443" t="str">
        <f>"9780773561908"</f>
        <v>9780773561908</v>
      </c>
      <c r="E3443" t="s">
        <v>12907</v>
      </c>
      <c r="F3443" t="s">
        <v>14297</v>
      </c>
      <c r="G3443" s="1">
        <v>41836</v>
      </c>
      <c r="J3443" t="s">
        <v>17816</v>
      </c>
      <c r="K3443" t="s">
        <v>263</v>
      </c>
      <c r="L3443" t="s">
        <v>17817</v>
      </c>
      <c r="M3443">
        <v>305.39999999999998</v>
      </c>
      <c r="N3443" t="s">
        <v>17818</v>
      </c>
      <c r="O3443" t="s">
        <v>26</v>
      </c>
      <c r="P3443">
        <v>127.5</v>
      </c>
      <c r="Q3443">
        <v>106.25</v>
      </c>
      <c r="R3443">
        <v>85</v>
      </c>
      <c r="S3443">
        <v>127.5</v>
      </c>
      <c r="T3443" t="s">
        <v>17819</v>
      </c>
    </row>
    <row r="3444" spans="1:20">
      <c r="A3444">
        <v>3331502</v>
      </c>
      <c r="B3444" t="s">
        <v>17820</v>
      </c>
      <c r="C3444" t="str">
        <f>"9780773508811"</f>
        <v>9780773508811</v>
      </c>
      <c r="D3444" t="str">
        <f>"9780773563186"</f>
        <v>9780773563186</v>
      </c>
      <c r="E3444" t="s">
        <v>12907</v>
      </c>
      <c r="F3444" t="s">
        <v>12907</v>
      </c>
      <c r="G3444" s="1">
        <v>33641</v>
      </c>
      <c r="J3444" t="s">
        <v>17821</v>
      </c>
      <c r="K3444" t="s">
        <v>69</v>
      </c>
      <c r="L3444" t="s">
        <v>17822</v>
      </c>
      <c r="M3444">
        <v>539</v>
      </c>
      <c r="N3444" t="s">
        <v>17823</v>
      </c>
      <c r="O3444" t="s">
        <v>26</v>
      </c>
      <c r="P3444">
        <v>142.5</v>
      </c>
      <c r="Q3444">
        <v>118.75</v>
      </c>
      <c r="R3444">
        <v>95</v>
      </c>
      <c r="S3444">
        <v>142.5</v>
      </c>
      <c r="T3444" t="s">
        <v>17824</v>
      </c>
    </row>
    <row r="3445" spans="1:20">
      <c r="A3445">
        <v>3331503</v>
      </c>
      <c r="B3445" t="s">
        <v>17825</v>
      </c>
      <c r="C3445" t="str">
        <f>"9780773518490"</f>
        <v>9780773518490</v>
      </c>
      <c r="D3445" t="str">
        <f>"9780773567849"</f>
        <v>9780773567849</v>
      </c>
      <c r="E3445" t="s">
        <v>12863</v>
      </c>
      <c r="F3445" t="s">
        <v>12863</v>
      </c>
      <c r="G3445" s="1">
        <v>36319</v>
      </c>
      <c r="J3445" t="s">
        <v>17826</v>
      </c>
      <c r="K3445" t="s">
        <v>1464</v>
      </c>
      <c r="L3445" t="s">
        <v>17827</v>
      </c>
      <c r="M3445">
        <v>823.6</v>
      </c>
      <c r="N3445" t="s">
        <v>17828</v>
      </c>
      <c r="O3445" t="s">
        <v>26</v>
      </c>
      <c r="P3445">
        <v>142.5</v>
      </c>
      <c r="Q3445">
        <v>118.75</v>
      </c>
      <c r="R3445">
        <v>95</v>
      </c>
      <c r="S3445">
        <v>142.5</v>
      </c>
      <c r="T3445" t="s">
        <v>17829</v>
      </c>
    </row>
    <row r="3446" spans="1:20">
      <c r="A3446">
        <v>3331504</v>
      </c>
      <c r="B3446" t="s">
        <v>17830</v>
      </c>
      <c r="C3446" t="str">
        <f>"9780773518438"</f>
        <v>9780773518438</v>
      </c>
      <c r="D3446" t="str">
        <f>"9780773567795"</f>
        <v>9780773567795</v>
      </c>
      <c r="E3446" t="s">
        <v>12863</v>
      </c>
      <c r="F3446" t="s">
        <v>12863</v>
      </c>
      <c r="G3446" s="1">
        <v>36479</v>
      </c>
      <c r="J3446" t="s">
        <v>17831</v>
      </c>
      <c r="K3446" t="s">
        <v>1471</v>
      </c>
      <c r="L3446" t="s">
        <v>17832</v>
      </c>
      <c r="M3446">
        <v>791.43023309199998</v>
      </c>
      <c r="N3446" t="s">
        <v>17833</v>
      </c>
      <c r="O3446" t="s">
        <v>26</v>
      </c>
      <c r="P3446">
        <v>142.5</v>
      </c>
      <c r="Q3446">
        <v>118.75</v>
      </c>
      <c r="R3446">
        <v>95</v>
      </c>
      <c r="S3446">
        <v>142.5</v>
      </c>
      <c r="T3446" t="s">
        <v>17834</v>
      </c>
    </row>
    <row r="3447" spans="1:20">
      <c r="A3447">
        <v>3331505</v>
      </c>
      <c r="B3447" t="s">
        <v>17835</v>
      </c>
      <c r="C3447" t="str">
        <f>"9780773516441"</f>
        <v>9780773516441</v>
      </c>
      <c r="D3447" t="str">
        <f>"9780773566736"</f>
        <v>9780773566736</v>
      </c>
      <c r="E3447" t="s">
        <v>12907</v>
      </c>
      <c r="F3447" t="s">
        <v>12907</v>
      </c>
      <c r="G3447" s="1">
        <v>35556</v>
      </c>
      <c r="J3447" t="s">
        <v>15609</v>
      </c>
      <c r="K3447" t="s">
        <v>257</v>
      </c>
      <c r="L3447" t="s">
        <v>17836</v>
      </c>
      <c r="M3447" t="s">
        <v>15611</v>
      </c>
      <c r="N3447" t="s">
        <v>17837</v>
      </c>
      <c r="O3447" t="s">
        <v>26</v>
      </c>
      <c r="P3447">
        <v>142.5</v>
      </c>
      <c r="Q3447">
        <v>118.75</v>
      </c>
      <c r="R3447">
        <v>95</v>
      </c>
      <c r="S3447">
        <v>142.5</v>
      </c>
      <c r="T3447" t="s">
        <v>17838</v>
      </c>
    </row>
    <row r="3448" spans="1:20">
      <c r="A3448">
        <v>3331506</v>
      </c>
      <c r="B3448" t="s">
        <v>17839</v>
      </c>
      <c r="C3448" t="str">
        <f>"9780886292065"</f>
        <v>9780886292065</v>
      </c>
      <c r="D3448" t="str">
        <f>"9780773573819"</f>
        <v>9780773573819</v>
      </c>
      <c r="E3448" t="s">
        <v>12863</v>
      </c>
      <c r="F3448" t="s">
        <v>12863</v>
      </c>
      <c r="G3448" s="1">
        <v>34592</v>
      </c>
      <c r="J3448" t="s">
        <v>17840</v>
      </c>
      <c r="K3448" t="s">
        <v>1471</v>
      </c>
      <c r="L3448" t="s">
        <v>17841</v>
      </c>
      <c r="M3448">
        <v>709.2</v>
      </c>
      <c r="N3448" t="s">
        <v>17842</v>
      </c>
      <c r="O3448" t="s">
        <v>26</v>
      </c>
      <c r="P3448">
        <v>112.5</v>
      </c>
      <c r="Q3448">
        <v>93.75</v>
      </c>
      <c r="R3448">
        <v>75</v>
      </c>
      <c r="S3448">
        <v>112.5</v>
      </c>
      <c r="T3448" t="s">
        <v>17843</v>
      </c>
    </row>
    <row r="3449" spans="1:20">
      <c r="A3449">
        <v>3331507</v>
      </c>
      <c r="B3449" t="s">
        <v>17844</v>
      </c>
      <c r="C3449" t="str">
        <f>"9780773507746"</f>
        <v>9780773507746</v>
      </c>
      <c r="D3449" t="str">
        <f>"9780773562592"</f>
        <v>9780773562592</v>
      </c>
      <c r="E3449" t="s">
        <v>12907</v>
      </c>
      <c r="F3449" t="s">
        <v>12907</v>
      </c>
      <c r="G3449" s="1">
        <v>33086</v>
      </c>
      <c r="J3449" t="s">
        <v>17845</v>
      </c>
      <c r="K3449" t="s">
        <v>7732</v>
      </c>
      <c r="L3449" t="s">
        <v>17846</v>
      </c>
      <c r="M3449" t="s">
        <v>17847</v>
      </c>
      <c r="N3449" t="s">
        <v>17848</v>
      </c>
      <c r="O3449" t="s">
        <v>26</v>
      </c>
      <c r="P3449">
        <v>142.5</v>
      </c>
      <c r="Q3449">
        <v>118.75</v>
      </c>
      <c r="R3449">
        <v>95</v>
      </c>
      <c r="S3449">
        <v>142.5</v>
      </c>
      <c r="T3449" t="s">
        <v>17849</v>
      </c>
    </row>
    <row r="3450" spans="1:20">
      <c r="A3450">
        <v>3331508</v>
      </c>
      <c r="B3450" t="s">
        <v>17850</v>
      </c>
      <c r="C3450" t="str">
        <f>"9780773525092"</f>
        <v>9780773525092</v>
      </c>
      <c r="D3450" t="str">
        <f>"9780773570832"</f>
        <v>9780773570832</v>
      </c>
      <c r="E3450" t="s">
        <v>12863</v>
      </c>
      <c r="F3450" t="s">
        <v>12863</v>
      </c>
      <c r="G3450" s="1">
        <v>37767</v>
      </c>
      <c r="J3450" t="s">
        <v>17851</v>
      </c>
      <c r="K3450" t="s">
        <v>1471</v>
      </c>
      <c r="L3450" t="s">
        <v>17852</v>
      </c>
      <c r="M3450">
        <v>708.11383999999998</v>
      </c>
      <c r="N3450" t="s">
        <v>17853</v>
      </c>
      <c r="O3450" t="s">
        <v>26</v>
      </c>
      <c r="P3450">
        <v>90</v>
      </c>
      <c r="Q3450">
        <v>75</v>
      </c>
      <c r="R3450">
        <v>60</v>
      </c>
      <c r="S3450">
        <v>90</v>
      </c>
      <c r="T3450" t="s">
        <v>17854</v>
      </c>
    </row>
    <row r="3451" spans="1:20">
      <c r="A3451">
        <v>3331509</v>
      </c>
      <c r="B3451" t="s">
        <v>17855</v>
      </c>
      <c r="C3451" t="str">
        <f>"9780773511484"</f>
        <v>9780773511484</v>
      </c>
      <c r="D3451" t="str">
        <f>"9780773564497"</f>
        <v>9780773564497</v>
      </c>
      <c r="E3451" t="s">
        <v>12907</v>
      </c>
      <c r="F3451" t="s">
        <v>17856</v>
      </c>
      <c r="G3451" s="1">
        <v>41773</v>
      </c>
      <c r="J3451" t="s">
        <v>17857</v>
      </c>
      <c r="K3451" t="s">
        <v>7838</v>
      </c>
      <c r="L3451" t="s">
        <v>17858</v>
      </c>
      <c r="M3451">
        <v>720</v>
      </c>
      <c r="N3451" t="s">
        <v>17859</v>
      </c>
      <c r="O3451" t="s">
        <v>26</v>
      </c>
      <c r="P3451">
        <v>142.5</v>
      </c>
      <c r="Q3451">
        <v>118.75</v>
      </c>
      <c r="R3451">
        <v>95</v>
      </c>
      <c r="S3451">
        <v>142.5</v>
      </c>
      <c r="T3451" t="s">
        <v>17860</v>
      </c>
    </row>
    <row r="3452" spans="1:20">
      <c r="A3452">
        <v>3331510</v>
      </c>
      <c r="B3452" t="s">
        <v>17861</v>
      </c>
      <c r="C3452" t="str">
        <f>"9780773509221"</f>
        <v>9780773509221</v>
      </c>
      <c r="D3452" t="str">
        <f>"9780773563520"</f>
        <v>9780773563520</v>
      </c>
      <c r="E3452" t="s">
        <v>12863</v>
      </c>
      <c r="F3452" t="s">
        <v>12863</v>
      </c>
      <c r="G3452" s="1">
        <v>33941</v>
      </c>
      <c r="J3452" t="s">
        <v>17862</v>
      </c>
      <c r="K3452" t="s">
        <v>305</v>
      </c>
      <c r="L3452" t="s">
        <v>17863</v>
      </c>
      <c r="M3452">
        <v>382.30971090449998</v>
      </c>
      <c r="N3452" t="s">
        <v>17864</v>
      </c>
      <c r="O3452" t="s">
        <v>26</v>
      </c>
      <c r="P3452">
        <v>142.5</v>
      </c>
      <c r="Q3452">
        <v>118.75</v>
      </c>
      <c r="R3452">
        <v>95</v>
      </c>
      <c r="S3452">
        <v>142.5</v>
      </c>
      <c r="T3452" t="s">
        <v>17865</v>
      </c>
    </row>
    <row r="3453" spans="1:20">
      <c r="A3453">
        <v>3331511</v>
      </c>
      <c r="B3453" t="s">
        <v>17866</v>
      </c>
      <c r="C3453" t="str">
        <f>"9780773507449"</f>
        <v>9780773507449</v>
      </c>
      <c r="D3453" t="str">
        <f>"9780773562370"</f>
        <v>9780773562370</v>
      </c>
      <c r="E3453" t="s">
        <v>12907</v>
      </c>
      <c r="F3453" t="s">
        <v>12907</v>
      </c>
      <c r="G3453" s="1">
        <v>41836</v>
      </c>
      <c r="J3453" t="s">
        <v>17867</v>
      </c>
      <c r="K3453" t="s">
        <v>4433</v>
      </c>
      <c r="L3453" t="s">
        <v>17868</v>
      </c>
      <c r="M3453" t="s">
        <v>17869</v>
      </c>
      <c r="N3453" t="s">
        <v>17870</v>
      </c>
      <c r="O3453" t="s">
        <v>26</v>
      </c>
      <c r="P3453">
        <v>127.5</v>
      </c>
      <c r="Q3453">
        <v>106.25</v>
      </c>
      <c r="R3453">
        <v>85</v>
      </c>
      <c r="S3453">
        <v>127.5</v>
      </c>
      <c r="T3453" t="s">
        <v>17871</v>
      </c>
    </row>
    <row r="3454" spans="1:20">
      <c r="A3454">
        <v>3331512</v>
      </c>
      <c r="B3454" t="s">
        <v>17872</v>
      </c>
      <c r="C3454" t="str">
        <f>"9780773506770"</f>
        <v>9780773506770</v>
      </c>
      <c r="D3454" t="str">
        <f>"9780773561878"</f>
        <v>9780773561878</v>
      </c>
      <c r="E3454" t="s">
        <v>12863</v>
      </c>
      <c r="F3454" t="s">
        <v>12863</v>
      </c>
      <c r="G3454" s="1">
        <v>32325</v>
      </c>
      <c r="J3454" t="s">
        <v>15317</v>
      </c>
      <c r="K3454" t="s">
        <v>257</v>
      </c>
      <c r="L3454" t="s">
        <v>17873</v>
      </c>
      <c r="M3454">
        <v>377.86171000000002</v>
      </c>
      <c r="N3454" t="s">
        <v>17874</v>
      </c>
      <c r="O3454" t="s">
        <v>26</v>
      </c>
      <c r="P3454">
        <v>142.5</v>
      </c>
      <c r="Q3454">
        <v>118.75</v>
      </c>
      <c r="R3454">
        <v>95</v>
      </c>
      <c r="S3454">
        <v>142.5</v>
      </c>
      <c r="T3454" t="s">
        <v>17875</v>
      </c>
    </row>
    <row r="3455" spans="1:20">
      <c r="A3455">
        <v>3331513</v>
      </c>
      <c r="B3455" t="s">
        <v>17876</v>
      </c>
      <c r="C3455" t="str">
        <f>"9780773516281"</f>
        <v>9780773516281</v>
      </c>
      <c r="D3455" t="str">
        <f>"9780773566668"</f>
        <v>9780773566668</v>
      </c>
      <c r="E3455" t="s">
        <v>12863</v>
      </c>
      <c r="F3455" t="s">
        <v>12863</v>
      </c>
      <c r="G3455" s="1">
        <v>35810</v>
      </c>
      <c r="J3455" t="s">
        <v>17877</v>
      </c>
      <c r="K3455" t="s">
        <v>525</v>
      </c>
      <c r="L3455" t="s">
        <v>17878</v>
      </c>
      <c r="M3455">
        <v>346.71073000000001</v>
      </c>
      <c r="N3455" t="s">
        <v>17879</v>
      </c>
      <c r="O3455" t="s">
        <v>26</v>
      </c>
      <c r="P3455">
        <v>142.5</v>
      </c>
      <c r="Q3455">
        <v>118.75</v>
      </c>
      <c r="R3455">
        <v>95</v>
      </c>
      <c r="S3455">
        <v>142.5</v>
      </c>
      <c r="T3455" t="s">
        <v>17880</v>
      </c>
    </row>
    <row r="3456" spans="1:20">
      <c r="A3456">
        <v>3331514</v>
      </c>
      <c r="B3456" t="s">
        <v>17881</v>
      </c>
      <c r="C3456" t="str">
        <f>"9780773511590"</f>
        <v>9780773511590</v>
      </c>
      <c r="D3456" t="str">
        <f>"9780773564527"</f>
        <v>9780773564527</v>
      </c>
      <c r="E3456" t="s">
        <v>12863</v>
      </c>
      <c r="F3456" t="s">
        <v>12863</v>
      </c>
      <c r="G3456" s="1">
        <v>34373</v>
      </c>
      <c r="J3456" t="s">
        <v>17882</v>
      </c>
      <c r="K3456" t="s">
        <v>1464</v>
      </c>
      <c r="L3456" t="s">
        <v>13140</v>
      </c>
      <c r="M3456">
        <v>813.54089999999997</v>
      </c>
      <c r="N3456" t="s">
        <v>17883</v>
      </c>
      <c r="O3456" t="s">
        <v>26</v>
      </c>
      <c r="P3456">
        <v>142.5</v>
      </c>
      <c r="Q3456">
        <v>118.75</v>
      </c>
      <c r="R3456">
        <v>95</v>
      </c>
      <c r="S3456">
        <v>142.5</v>
      </c>
      <c r="T3456" t="s">
        <v>17884</v>
      </c>
    </row>
    <row r="3457" spans="1:20">
      <c r="A3457">
        <v>3331515</v>
      </c>
      <c r="B3457" t="s">
        <v>17885</v>
      </c>
      <c r="C3457" t="str">
        <f>"9780773506381"</f>
        <v>9780773506381</v>
      </c>
      <c r="D3457" t="str">
        <f>"9780773561557"</f>
        <v>9780773561557</v>
      </c>
      <c r="E3457" t="s">
        <v>12863</v>
      </c>
      <c r="F3457" t="s">
        <v>12863</v>
      </c>
      <c r="G3457" s="1">
        <v>32325</v>
      </c>
      <c r="J3457" t="s">
        <v>17886</v>
      </c>
      <c r="K3457" t="s">
        <v>7838</v>
      </c>
      <c r="L3457" t="s">
        <v>17887</v>
      </c>
      <c r="M3457">
        <v>720.92399999999998</v>
      </c>
      <c r="N3457" t="s">
        <v>17888</v>
      </c>
      <c r="O3457" t="s">
        <v>26</v>
      </c>
      <c r="P3457">
        <v>142.5</v>
      </c>
      <c r="Q3457">
        <v>118.75</v>
      </c>
      <c r="R3457">
        <v>95</v>
      </c>
      <c r="S3457">
        <v>142.5</v>
      </c>
      <c r="T3457" t="s">
        <v>17889</v>
      </c>
    </row>
    <row r="3458" spans="1:20">
      <c r="A3458">
        <v>3331516</v>
      </c>
      <c r="B3458" t="s">
        <v>17890</v>
      </c>
      <c r="C3458" t="str">
        <f>"9780773507128"</f>
        <v>9780773507128</v>
      </c>
      <c r="D3458" t="str">
        <f>"9780773562110"</f>
        <v>9780773562110</v>
      </c>
      <c r="E3458" t="s">
        <v>12863</v>
      </c>
      <c r="F3458" t="s">
        <v>12863</v>
      </c>
      <c r="G3458" s="1">
        <v>32813</v>
      </c>
      <c r="J3458" t="s">
        <v>17891</v>
      </c>
      <c r="K3458" t="s">
        <v>263</v>
      </c>
      <c r="L3458" t="s">
        <v>17892</v>
      </c>
      <c r="M3458">
        <v>305.40942256</v>
      </c>
      <c r="N3458" t="s">
        <v>17893</v>
      </c>
      <c r="O3458" t="s">
        <v>26</v>
      </c>
      <c r="P3458">
        <v>120</v>
      </c>
      <c r="Q3458">
        <v>100</v>
      </c>
      <c r="R3458">
        <v>80</v>
      </c>
      <c r="S3458">
        <v>120</v>
      </c>
      <c r="T3458" t="s">
        <v>17894</v>
      </c>
    </row>
    <row r="3459" spans="1:20">
      <c r="A3459">
        <v>3331517</v>
      </c>
      <c r="B3459" t="s">
        <v>17895</v>
      </c>
      <c r="C3459" t="str">
        <f>"9780773508439"</f>
        <v>9780773508439</v>
      </c>
      <c r="D3459" t="str">
        <f>"9780773562967"</f>
        <v>9780773562967</v>
      </c>
      <c r="E3459" t="s">
        <v>12863</v>
      </c>
      <c r="F3459" t="s">
        <v>12863</v>
      </c>
      <c r="G3459" s="1">
        <v>33484</v>
      </c>
      <c r="J3459" t="s">
        <v>17896</v>
      </c>
      <c r="K3459" t="s">
        <v>416</v>
      </c>
      <c r="L3459" t="s">
        <v>17897</v>
      </c>
      <c r="M3459">
        <v>338.47647949999998</v>
      </c>
      <c r="N3459" t="s">
        <v>17898</v>
      </c>
      <c r="O3459" t="s">
        <v>26</v>
      </c>
      <c r="P3459">
        <v>120</v>
      </c>
      <c r="Q3459">
        <v>100</v>
      </c>
      <c r="R3459">
        <v>80</v>
      </c>
      <c r="S3459">
        <v>120</v>
      </c>
      <c r="T3459" t="s">
        <v>17899</v>
      </c>
    </row>
    <row r="3460" spans="1:20">
      <c r="A3460">
        <v>3331518</v>
      </c>
      <c r="B3460" t="s">
        <v>17900</v>
      </c>
      <c r="C3460" t="str">
        <f>"9780773505674"</f>
        <v>9780773505674</v>
      </c>
      <c r="D3460" t="str">
        <f>"9780773561175"</f>
        <v>9780773561175</v>
      </c>
      <c r="E3460" t="s">
        <v>12863</v>
      </c>
      <c r="F3460" t="s">
        <v>12863</v>
      </c>
      <c r="G3460" s="1">
        <v>35587</v>
      </c>
      <c r="J3460" t="s">
        <v>17901</v>
      </c>
      <c r="K3460" t="s">
        <v>1859</v>
      </c>
      <c r="L3460" t="s">
        <v>17902</v>
      </c>
      <c r="M3460">
        <v>121.6</v>
      </c>
      <c r="N3460" t="s">
        <v>17903</v>
      </c>
      <c r="O3460" t="s">
        <v>26</v>
      </c>
      <c r="P3460">
        <v>142.5</v>
      </c>
      <c r="Q3460">
        <v>118.75</v>
      </c>
      <c r="R3460">
        <v>95</v>
      </c>
      <c r="S3460">
        <v>142.5</v>
      </c>
      <c r="T3460" t="s">
        <v>17904</v>
      </c>
    </row>
    <row r="3461" spans="1:20">
      <c r="A3461">
        <v>3331519</v>
      </c>
      <c r="B3461" t="s">
        <v>17905</v>
      </c>
      <c r="C3461" t="str">
        <f>"9780773507142"</f>
        <v>9780773507142</v>
      </c>
      <c r="D3461" t="str">
        <f>"9780773562134"</f>
        <v>9780773562134</v>
      </c>
      <c r="E3461" t="s">
        <v>12863</v>
      </c>
      <c r="F3461" t="s">
        <v>12863</v>
      </c>
      <c r="G3461" s="1">
        <v>32782</v>
      </c>
      <c r="I3461" t="s">
        <v>14082</v>
      </c>
      <c r="J3461" t="s">
        <v>17906</v>
      </c>
      <c r="K3461" t="s">
        <v>291</v>
      </c>
      <c r="L3461" t="s">
        <v>17907</v>
      </c>
      <c r="M3461">
        <v>971.20100000000002</v>
      </c>
      <c r="N3461" t="s">
        <v>17908</v>
      </c>
      <c r="O3461" t="s">
        <v>26</v>
      </c>
      <c r="P3461">
        <v>120</v>
      </c>
      <c r="Q3461">
        <v>100</v>
      </c>
      <c r="R3461">
        <v>80</v>
      </c>
      <c r="S3461">
        <v>120</v>
      </c>
      <c r="T3461" t="s">
        <v>17909</v>
      </c>
    </row>
    <row r="3462" spans="1:20">
      <c r="A3462">
        <v>3331520</v>
      </c>
      <c r="B3462" t="s">
        <v>17910</v>
      </c>
      <c r="C3462" t="str">
        <f>"9780773506022"</f>
        <v>9780773506022</v>
      </c>
      <c r="D3462" t="str">
        <f>"9780773561366"</f>
        <v>9780773561366</v>
      </c>
      <c r="E3462" t="s">
        <v>12863</v>
      </c>
      <c r="F3462" t="s">
        <v>12863</v>
      </c>
      <c r="G3462" s="1">
        <v>31959</v>
      </c>
      <c r="J3462" t="s">
        <v>17911</v>
      </c>
      <c r="K3462" t="s">
        <v>291</v>
      </c>
      <c r="L3462" t="s">
        <v>17912</v>
      </c>
      <c r="M3462">
        <v>971.386004114</v>
      </c>
      <c r="N3462" t="s">
        <v>17913</v>
      </c>
      <c r="O3462" t="s">
        <v>26</v>
      </c>
      <c r="P3462">
        <v>142.5</v>
      </c>
      <c r="Q3462">
        <v>118.75</v>
      </c>
      <c r="R3462">
        <v>95</v>
      </c>
      <c r="S3462">
        <v>142.5</v>
      </c>
      <c r="T3462" t="s">
        <v>17914</v>
      </c>
    </row>
    <row r="3463" spans="1:20">
      <c r="A3463">
        <v>3331521</v>
      </c>
      <c r="B3463" t="s">
        <v>17915</v>
      </c>
      <c r="C3463" t="str">
        <f>"9780773514133"</f>
        <v>9780773514133</v>
      </c>
      <c r="D3463" t="str">
        <f>"9780773566033"</f>
        <v>9780773566033</v>
      </c>
      <c r="E3463" t="s">
        <v>12863</v>
      </c>
      <c r="F3463" t="s">
        <v>12863</v>
      </c>
      <c r="G3463" s="1">
        <v>35213</v>
      </c>
      <c r="J3463" t="s">
        <v>15676</v>
      </c>
      <c r="K3463" t="s">
        <v>467</v>
      </c>
      <c r="L3463" t="s">
        <v>17916</v>
      </c>
      <c r="M3463">
        <v>327</v>
      </c>
      <c r="N3463" t="s">
        <v>17917</v>
      </c>
      <c r="O3463" t="s">
        <v>26</v>
      </c>
      <c r="P3463">
        <v>142.5</v>
      </c>
      <c r="Q3463">
        <v>118.75</v>
      </c>
      <c r="R3463">
        <v>95</v>
      </c>
      <c r="S3463">
        <v>142.5</v>
      </c>
      <c r="T3463" t="s">
        <v>17918</v>
      </c>
    </row>
    <row r="3464" spans="1:20">
      <c r="A3464">
        <v>3331522</v>
      </c>
      <c r="B3464" t="s">
        <v>17919</v>
      </c>
      <c r="C3464" t="str">
        <f>"9780773528949"</f>
        <v>9780773528949</v>
      </c>
      <c r="D3464" t="str">
        <f>"9780773572874"</f>
        <v>9780773572874</v>
      </c>
      <c r="E3464" t="s">
        <v>12863</v>
      </c>
      <c r="F3464" t="s">
        <v>12863</v>
      </c>
      <c r="G3464" s="1">
        <v>38210</v>
      </c>
      <c r="J3464" t="s">
        <v>17920</v>
      </c>
      <c r="K3464" t="s">
        <v>263</v>
      </c>
      <c r="L3464" t="s">
        <v>17921</v>
      </c>
      <c r="M3464" t="s">
        <v>17922</v>
      </c>
      <c r="N3464" t="s">
        <v>17923</v>
      </c>
      <c r="O3464" t="s">
        <v>26</v>
      </c>
      <c r="P3464">
        <v>142.5</v>
      </c>
      <c r="Q3464">
        <v>118.75</v>
      </c>
      <c r="R3464">
        <v>95</v>
      </c>
      <c r="S3464">
        <v>142.5</v>
      </c>
      <c r="T3464" t="s">
        <v>17924</v>
      </c>
    </row>
    <row r="3465" spans="1:20">
      <c r="A3465">
        <v>3331523</v>
      </c>
      <c r="B3465" t="s">
        <v>17925</v>
      </c>
      <c r="C3465" t="str">
        <f>"9780773506763"</f>
        <v>9780773506763</v>
      </c>
      <c r="D3465" t="str">
        <f>"9780773561861"</f>
        <v>9780773561861</v>
      </c>
      <c r="E3465" t="s">
        <v>12907</v>
      </c>
      <c r="F3465" t="s">
        <v>12907</v>
      </c>
      <c r="G3465" s="1">
        <v>32509</v>
      </c>
      <c r="J3465" t="s">
        <v>17926</v>
      </c>
      <c r="K3465" t="s">
        <v>291</v>
      </c>
      <c r="L3465" t="s">
        <v>17927</v>
      </c>
      <c r="M3465">
        <v>941.08</v>
      </c>
      <c r="N3465" t="s">
        <v>17928</v>
      </c>
      <c r="O3465" t="s">
        <v>26</v>
      </c>
      <c r="P3465">
        <v>142.5</v>
      </c>
      <c r="Q3465">
        <v>118.75</v>
      </c>
      <c r="R3465">
        <v>95</v>
      </c>
      <c r="S3465">
        <v>142.5</v>
      </c>
      <c r="T3465" t="s">
        <v>17929</v>
      </c>
    </row>
    <row r="3466" spans="1:20">
      <c r="A3466">
        <v>3331524</v>
      </c>
      <c r="B3466" t="s">
        <v>17930</v>
      </c>
      <c r="C3466" t="str">
        <f>"9780773517226"</f>
        <v>9780773517226</v>
      </c>
      <c r="D3466" t="str">
        <f>"9780773567153"</f>
        <v>9780773567153</v>
      </c>
      <c r="E3466" t="s">
        <v>12863</v>
      </c>
      <c r="F3466" t="s">
        <v>12863</v>
      </c>
      <c r="G3466" s="1">
        <v>35948</v>
      </c>
      <c r="J3466" t="s">
        <v>17931</v>
      </c>
      <c r="K3466" t="s">
        <v>291</v>
      </c>
      <c r="L3466" t="s">
        <v>13100</v>
      </c>
      <c r="M3466">
        <v>971.06399999999996</v>
      </c>
      <c r="N3466" t="s">
        <v>17932</v>
      </c>
      <c r="O3466" t="s">
        <v>26</v>
      </c>
      <c r="P3466">
        <v>142.5</v>
      </c>
      <c r="Q3466">
        <v>118.75</v>
      </c>
      <c r="R3466">
        <v>95</v>
      </c>
      <c r="S3466">
        <v>142.5</v>
      </c>
      <c r="T3466" t="s">
        <v>17933</v>
      </c>
    </row>
    <row r="3467" spans="1:20">
      <c r="A3467">
        <v>3331525</v>
      </c>
      <c r="B3467" t="s">
        <v>17934</v>
      </c>
      <c r="C3467" t="str">
        <f>"9780773508545"</f>
        <v>9780773508545</v>
      </c>
      <c r="D3467" t="str">
        <f>"9780773563049"</f>
        <v>9780773563049</v>
      </c>
      <c r="E3467" t="s">
        <v>12907</v>
      </c>
      <c r="F3467" t="s">
        <v>12907</v>
      </c>
      <c r="G3467" s="1">
        <v>33542</v>
      </c>
      <c r="J3467" t="s">
        <v>17935</v>
      </c>
      <c r="K3467" t="s">
        <v>305</v>
      </c>
      <c r="L3467" t="s">
        <v>17936</v>
      </c>
      <c r="M3467">
        <v>385.06799999999998</v>
      </c>
      <c r="N3467" t="s">
        <v>17937</v>
      </c>
      <c r="O3467" t="s">
        <v>26</v>
      </c>
      <c r="P3467">
        <v>127.5</v>
      </c>
      <c r="Q3467">
        <v>106.25</v>
      </c>
      <c r="R3467">
        <v>85</v>
      </c>
      <c r="S3467">
        <v>127.5</v>
      </c>
      <c r="T3467" t="s">
        <v>17938</v>
      </c>
    </row>
    <row r="3468" spans="1:20">
      <c r="A3468">
        <v>3331526</v>
      </c>
      <c r="B3468" t="s">
        <v>17939</v>
      </c>
      <c r="C3468" t="str">
        <f>"9780773513457"</f>
        <v>9780773513457</v>
      </c>
      <c r="D3468" t="str">
        <f>"9780773565616"</f>
        <v>9780773565616</v>
      </c>
      <c r="E3468" t="s">
        <v>12863</v>
      </c>
      <c r="F3468" t="s">
        <v>12863</v>
      </c>
      <c r="G3468" s="1">
        <v>34960</v>
      </c>
      <c r="J3468" t="s">
        <v>14403</v>
      </c>
      <c r="K3468" t="s">
        <v>416</v>
      </c>
      <c r="L3468" t="s">
        <v>17940</v>
      </c>
      <c r="M3468">
        <v>338.17498000000001</v>
      </c>
      <c r="N3468" t="s">
        <v>17941</v>
      </c>
      <c r="O3468" t="s">
        <v>26</v>
      </c>
      <c r="P3468">
        <v>142.5</v>
      </c>
      <c r="Q3468">
        <v>118.75</v>
      </c>
      <c r="R3468">
        <v>95</v>
      </c>
      <c r="S3468">
        <v>142.5</v>
      </c>
      <c r="T3468" t="s">
        <v>17942</v>
      </c>
    </row>
    <row r="3469" spans="1:20">
      <c r="A3469">
        <v>3331527</v>
      </c>
      <c r="B3469" t="s">
        <v>17943</v>
      </c>
      <c r="C3469" t="str">
        <f>"9780773516038"</f>
        <v>9780773516038</v>
      </c>
      <c r="D3469" t="str">
        <f>"9780773566545"</f>
        <v>9780773566545</v>
      </c>
      <c r="E3469" t="s">
        <v>12907</v>
      </c>
      <c r="F3469" t="s">
        <v>12907</v>
      </c>
      <c r="G3469" s="1">
        <v>35905</v>
      </c>
      <c r="J3469" t="s">
        <v>17944</v>
      </c>
      <c r="K3469" t="s">
        <v>467</v>
      </c>
      <c r="L3469" t="s">
        <v>17945</v>
      </c>
      <c r="M3469">
        <v>327.41056099999997</v>
      </c>
      <c r="N3469" t="s">
        <v>17946</v>
      </c>
      <c r="O3469" t="s">
        <v>26</v>
      </c>
      <c r="P3469">
        <v>142.5</v>
      </c>
      <c r="Q3469">
        <v>118.75</v>
      </c>
      <c r="R3469">
        <v>95</v>
      </c>
      <c r="S3469">
        <v>142.5</v>
      </c>
      <c r="T3469" t="s">
        <v>17947</v>
      </c>
    </row>
    <row r="3470" spans="1:20">
      <c r="A3470">
        <v>3331528</v>
      </c>
      <c r="B3470" t="s">
        <v>17948</v>
      </c>
      <c r="C3470" t="str">
        <f>"9780773507456"</f>
        <v>9780773507456</v>
      </c>
      <c r="D3470" t="str">
        <f>"9780773562387"</f>
        <v>9780773562387</v>
      </c>
      <c r="E3470" t="s">
        <v>12863</v>
      </c>
      <c r="F3470" t="s">
        <v>12863</v>
      </c>
      <c r="G3470" s="1">
        <v>33025</v>
      </c>
      <c r="J3470" t="s">
        <v>17949</v>
      </c>
      <c r="K3470" t="s">
        <v>291</v>
      </c>
      <c r="L3470" t="s">
        <v>17950</v>
      </c>
      <c r="M3470">
        <v>972.92</v>
      </c>
      <c r="N3470" t="s">
        <v>17951</v>
      </c>
      <c r="O3470" t="s">
        <v>26</v>
      </c>
      <c r="P3470">
        <v>142.5</v>
      </c>
      <c r="Q3470">
        <v>118.75</v>
      </c>
      <c r="R3470">
        <v>95</v>
      </c>
      <c r="S3470">
        <v>142.5</v>
      </c>
      <c r="T3470" t="s">
        <v>17952</v>
      </c>
    </row>
    <row r="3471" spans="1:20">
      <c r="A3471">
        <v>3331529</v>
      </c>
      <c r="B3471" t="s">
        <v>17953</v>
      </c>
      <c r="C3471" t="str">
        <f>"9780773507470"</f>
        <v>9780773507470</v>
      </c>
      <c r="D3471" t="str">
        <f>"9780773562400"</f>
        <v>9780773562400</v>
      </c>
      <c r="E3471" t="s">
        <v>12863</v>
      </c>
      <c r="F3471" t="s">
        <v>12863</v>
      </c>
      <c r="G3471" s="1">
        <v>33055</v>
      </c>
      <c r="J3471" t="s">
        <v>17954</v>
      </c>
      <c r="K3471" t="s">
        <v>291</v>
      </c>
      <c r="L3471" t="s">
        <v>17955</v>
      </c>
      <c r="M3471">
        <v>947.71707309199996</v>
      </c>
      <c r="N3471" t="s">
        <v>17956</v>
      </c>
      <c r="O3471" t="s">
        <v>26</v>
      </c>
      <c r="P3471">
        <v>142.5</v>
      </c>
      <c r="Q3471">
        <v>118.75</v>
      </c>
      <c r="R3471">
        <v>95</v>
      </c>
      <c r="S3471">
        <v>142.5</v>
      </c>
      <c r="T3471" t="s">
        <v>17957</v>
      </c>
    </row>
    <row r="3472" spans="1:20">
      <c r="A3472">
        <v>3331530</v>
      </c>
      <c r="B3472" t="s">
        <v>17958</v>
      </c>
      <c r="C3472" t="str">
        <f>"9780773511279"</f>
        <v>9780773511279</v>
      </c>
      <c r="D3472" t="str">
        <f>"9780773564343"</f>
        <v>9780773564343</v>
      </c>
      <c r="E3472" t="s">
        <v>12863</v>
      </c>
      <c r="F3472" t="s">
        <v>12863</v>
      </c>
      <c r="G3472" s="1">
        <v>34221</v>
      </c>
      <c r="I3472" t="s">
        <v>12942</v>
      </c>
      <c r="J3472" t="s">
        <v>17959</v>
      </c>
      <c r="K3472" t="s">
        <v>291</v>
      </c>
      <c r="L3472" t="s">
        <v>17960</v>
      </c>
      <c r="M3472">
        <v>971.00450999999998</v>
      </c>
      <c r="N3472" t="s">
        <v>17961</v>
      </c>
      <c r="O3472" t="s">
        <v>26</v>
      </c>
      <c r="P3472">
        <v>142.5</v>
      </c>
      <c r="Q3472">
        <v>118.75</v>
      </c>
      <c r="R3472">
        <v>95</v>
      </c>
      <c r="S3472">
        <v>142.5</v>
      </c>
      <c r="T3472" t="s">
        <v>17962</v>
      </c>
    </row>
    <row r="3473" spans="1:20">
      <c r="A3473">
        <v>3331531</v>
      </c>
      <c r="B3473" t="s">
        <v>17963</v>
      </c>
      <c r="C3473" t="str">
        <f>"9780773517202"</f>
        <v>9780773517202</v>
      </c>
      <c r="D3473" t="str">
        <f>"9780773567146"</f>
        <v>9780773567146</v>
      </c>
      <c r="E3473" t="s">
        <v>12907</v>
      </c>
      <c r="F3473" t="s">
        <v>12907</v>
      </c>
      <c r="G3473" s="1">
        <v>35753</v>
      </c>
      <c r="J3473" t="s">
        <v>17964</v>
      </c>
      <c r="K3473" t="s">
        <v>525</v>
      </c>
      <c r="L3473" t="s">
        <v>17965</v>
      </c>
      <c r="M3473">
        <v>342.71055000000001</v>
      </c>
      <c r="N3473" t="s">
        <v>17966</v>
      </c>
      <c r="O3473" t="s">
        <v>26</v>
      </c>
      <c r="P3473">
        <v>135</v>
      </c>
      <c r="Q3473">
        <v>112.5</v>
      </c>
      <c r="R3473">
        <v>90</v>
      </c>
      <c r="S3473">
        <v>135</v>
      </c>
      <c r="T3473" t="s">
        <v>17967</v>
      </c>
    </row>
    <row r="3474" spans="1:20">
      <c r="A3474">
        <v>3331532</v>
      </c>
      <c r="B3474" t="s">
        <v>17968</v>
      </c>
      <c r="C3474" t="str">
        <f>"9780773504318"</f>
        <v>9780773504318</v>
      </c>
      <c r="D3474" t="str">
        <f>"9780773560994"</f>
        <v>9780773560994</v>
      </c>
      <c r="E3474" t="s">
        <v>12863</v>
      </c>
      <c r="F3474" t="s">
        <v>12863</v>
      </c>
      <c r="G3474" s="1">
        <v>30834</v>
      </c>
      <c r="J3474" t="s">
        <v>17969</v>
      </c>
      <c r="K3474" t="s">
        <v>278</v>
      </c>
      <c r="L3474" t="s">
        <v>17970</v>
      </c>
      <c r="M3474">
        <v>333.32209710000001</v>
      </c>
      <c r="N3474" t="s">
        <v>17971</v>
      </c>
      <c r="O3474" t="s">
        <v>26</v>
      </c>
      <c r="P3474">
        <v>142.5</v>
      </c>
      <c r="Q3474">
        <v>118.75</v>
      </c>
      <c r="R3474">
        <v>95</v>
      </c>
      <c r="S3474">
        <v>142.5</v>
      </c>
      <c r="T3474" t="s">
        <v>17972</v>
      </c>
    </row>
    <row r="3475" spans="1:20">
      <c r="A3475">
        <v>3331533</v>
      </c>
      <c r="B3475" t="s">
        <v>17973</v>
      </c>
      <c r="C3475" t="str">
        <f>"9780773513945"</f>
        <v>9780773513945</v>
      </c>
      <c r="D3475" t="str">
        <f>"9780773565920"</f>
        <v>9780773565920</v>
      </c>
      <c r="E3475" t="s">
        <v>12863</v>
      </c>
      <c r="F3475" t="s">
        <v>12863</v>
      </c>
      <c r="G3475" s="1">
        <v>35234</v>
      </c>
      <c r="J3475" t="s">
        <v>4330</v>
      </c>
      <c r="K3475" t="s">
        <v>263</v>
      </c>
      <c r="L3475" t="s">
        <v>17974</v>
      </c>
      <c r="M3475">
        <v>305.42092000000002</v>
      </c>
      <c r="N3475" t="s">
        <v>17975</v>
      </c>
      <c r="O3475" t="s">
        <v>26</v>
      </c>
      <c r="P3475">
        <v>142.5</v>
      </c>
      <c r="Q3475">
        <v>118.75</v>
      </c>
      <c r="R3475">
        <v>95</v>
      </c>
      <c r="S3475">
        <v>142.5</v>
      </c>
      <c r="T3475" t="s">
        <v>17976</v>
      </c>
    </row>
    <row r="3476" spans="1:20">
      <c r="A3476">
        <v>3331534</v>
      </c>
      <c r="B3476" t="s">
        <v>17977</v>
      </c>
      <c r="C3476" t="str">
        <f>"9780773525993"</f>
        <v>9780773525993</v>
      </c>
      <c r="D3476" t="str">
        <f>"9780773571372"</f>
        <v>9780773571372</v>
      </c>
      <c r="E3476" t="s">
        <v>12907</v>
      </c>
      <c r="F3476" t="s">
        <v>12907</v>
      </c>
      <c r="G3476" s="1">
        <v>37799</v>
      </c>
      <c r="J3476" t="s">
        <v>17978</v>
      </c>
      <c r="K3476" t="s">
        <v>17979</v>
      </c>
      <c r="L3476" t="s">
        <v>17980</v>
      </c>
      <c r="M3476" t="s">
        <v>17981</v>
      </c>
      <c r="N3476" t="s">
        <v>17982</v>
      </c>
      <c r="O3476" t="s">
        <v>26</v>
      </c>
      <c r="P3476">
        <v>74.930000000000007</v>
      </c>
      <c r="Q3476">
        <v>62.44</v>
      </c>
      <c r="R3476">
        <v>49.95</v>
      </c>
      <c r="S3476">
        <v>74.930000000000007</v>
      </c>
      <c r="T3476" t="s">
        <v>17983</v>
      </c>
    </row>
    <row r="3477" spans="1:20">
      <c r="A3477">
        <v>3331535</v>
      </c>
      <c r="B3477" t="s">
        <v>17984</v>
      </c>
      <c r="C3477" t="str">
        <f>"9780773525634"</f>
        <v>9780773525634</v>
      </c>
      <c r="D3477" t="str">
        <f>"9780773571198"</f>
        <v>9780773571198</v>
      </c>
      <c r="E3477" t="s">
        <v>12907</v>
      </c>
      <c r="F3477" t="s">
        <v>12907</v>
      </c>
      <c r="G3477" s="1">
        <v>38117</v>
      </c>
      <c r="J3477" t="s">
        <v>17985</v>
      </c>
      <c r="K3477" t="s">
        <v>7838</v>
      </c>
      <c r="L3477" t="s">
        <v>17986</v>
      </c>
      <c r="M3477">
        <v>721.04453999999998</v>
      </c>
      <c r="N3477" t="s">
        <v>17987</v>
      </c>
      <c r="O3477" t="s">
        <v>26</v>
      </c>
      <c r="P3477">
        <v>52.43</v>
      </c>
      <c r="Q3477">
        <v>43.69</v>
      </c>
      <c r="R3477">
        <v>34.950000000000003</v>
      </c>
      <c r="S3477">
        <v>52.43</v>
      </c>
      <c r="T3477" t="s">
        <v>17988</v>
      </c>
    </row>
    <row r="3478" spans="1:20">
      <c r="A3478">
        <v>3331536</v>
      </c>
      <c r="B3478" t="s">
        <v>17989</v>
      </c>
      <c r="C3478" t="str">
        <f>"9780773513938"</f>
        <v>9780773513938</v>
      </c>
      <c r="D3478" t="str">
        <f>"9780773575424"</f>
        <v>9780773575424</v>
      </c>
      <c r="E3478" t="s">
        <v>12863</v>
      </c>
      <c r="F3478" t="s">
        <v>12863</v>
      </c>
      <c r="G3478" s="1">
        <v>35227</v>
      </c>
      <c r="H3478">
        <v>1</v>
      </c>
      <c r="I3478" t="s">
        <v>12871</v>
      </c>
      <c r="J3478" t="s">
        <v>17990</v>
      </c>
      <c r="K3478" t="s">
        <v>2963</v>
      </c>
      <c r="L3478" t="s">
        <v>16293</v>
      </c>
      <c r="M3478">
        <v>917.19504199999994</v>
      </c>
      <c r="N3478" t="s">
        <v>17991</v>
      </c>
      <c r="O3478" t="s">
        <v>26</v>
      </c>
      <c r="P3478">
        <v>44.93</v>
      </c>
      <c r="Q3478">
        <v>37.44</v>
      </c>
      <c r="R3478">
        <v>29.95</v>
      </c>
      <c r="S3478">
        <v>44.93</v>
      </c>
      <c r="T3478" t="s">
        <v>17992</v>
      </c>
    </row>
    <row r="3479" spans="1:20">
      <c r="A3479">
        <v>3331537</v>
      </c>
      <c r="B3479" t="s">
        <v>17993</v>
      </c>
      <c r="C3479" t="str">
        <f>"9780773509269"</f>
        <v>9780773509269</v>
      </c>
      <c r="D3479" t="str">
        <f>"9780773563551"</f>
        <v>9780773563551</v>
      </c>
      <c r="E3479" t="s">
        <v>12863</v>
      </c>
      <c r="F3479" t="s">
        <v>12863</v>
      </c>
      <c r="G3479" s="1">
        <v>34078</v>
      </c>
      <c r="I3479" t="s">
        <v>16408</v>
      </c>
      <c r="J3479" t="s">
        <v>17994</v>
      </c>
      <c r="K3479" t="s">
        <v>263</v>
      </c>
      <c r="L3479" t="s">
        <v>17995</v>
      </c>
      <c r="M3479">
        <v>307.76097099999998</v>
      </c>
      <c r="N3479" t="s">
        <v>17996</v>
      </c>
      <c r="O3479" t="s">
        <v>26</v>
      </c>
      <c r="P3479">
        <v>150</v>
      </c>
      <c r="Q3479">
        <v>125</v>
      </c>
      <c r="R3479">
        <v>100</v>
      </c>
      <c r="S3479">
        <v>150</v>
      </c>
      <c r="T3479" t="s">
        <v>17997</v>
      </c>
    </row>
    <row r="3480" spans="1:20">
      <c r="A3480">
        <v>3331538</v>
      </c>
      <c r="B3480" t="s">
        <v>17998</v>
      </c>
      <c r="C3480" t="str">
        <f>"9780773512016"</f>
        <v>9780773512016</v>
      </c>
      <c r="D3480" t="str">
        <f>"9780773564824"</f>
        <v>9780773564824</v>
      </c>
      <c r="E3480" t="s">
        <v>12863</v>
      </c>
      <c r="F3480" t="s">
        <v>12863</v>
      </c>
      <c r="G3480" s="1">
        <v>35019</v>
      </c>
      <c r="I3480" t="s">
        <v>12942</v>
      </c>
      <c r="J3480" t="s">
        <v>17999</v>
      </c>
      <c r="K3480" t="s">
        <v>6444</v>
      </c>
      <c r="L3480" t="s">
        <v>18000</v>
      </c>
      <c r="M3480">
        <v>323.11924070999999</v>
      </c>
      <c r="N3480" t="s">
        <v>18001</v>
      </c>
      <c r="O3480" t="s">
        <v>26</v>
      </c>
      <c r="P3480">
        <v>120</v>
      </c>
      <c r="Q3480">
        <v>100</v>
      </c>
      <c r="R3480">
        <v>80</v>
      </c>
      <c r="S3480">
        <v>120</v>
      </c>
      <c r="T3480" t="s">
        <v>18002</v>
      </c>
    </row>
    <row r="3481" spans="1:20">
      <c r="A3481">
        <v>3331539</v>
      </c>
      <c r="B3481" t="s">
        <v>18003</v>
      </c>
      <c r="C3481" t="str">
        <f>"9780773505841"</f>
        <v>9780773505841</v>
      </c>
      <c r="D3481" t="str">
        <f>"9780773561274"</f>
        <v>9780773561274</v>
      </c>
      <c r="E3481" t="s">
        <v>12863</v>
      </c>
      <c r="F3481" t="s">
        <v>12863</v>
      </c>
      <c r="G3481" s="1">
        <v>31168</v>
      </c>
      <c r="J3481" t="s">
        <v>17301</v>
      </c>
      <c r="K3481" t="s">
        <v>291</v>
      </c>
      <c r="L3481" t="s">
        <v>18004</v>
      </c>
      <c r="M3481">
        <v>940.54499999999996</v>
      </c>
      <c r="N3481" t="s">
        <v>18005</v>
      </c>
      <c r="O3481" t="s">
        <v>26</v>
      </c>
      <c r="P3481">
        <v>82.5</v>
      </c>
      <c r="Q3481">
        <v>68.75</v>
      </c>
      <c r="R3481">
        <v>55</v>
      </c>
      <c r="S3481">
        <v>82.5</v>
      </c>
      <c r="T3481" t="s">
        <v>18006</v>
      </c>
    </row>
    <row r="3482" spans="1:20">
      <c r="A3482">
        <v>3331540</v>
      </c>
      <c r="B3482" t="s">
        <v>18007</v>
      </c>
      <c r="C3482" t="str">
        <f>"9780773507364"</f>
        <v>9780773507364</v>
      </c>
      <c r="D3482" t="str">
        <f>"9780773562332"</f>
        <v>9780773562332</v>
      </c>
      <c r="E3482" t="s">
        <v>12863</v>
      </c>
      <c r="F3482" t="s">
        <v>12863</v>
      </c>
      <c r="G3482" s="1">
        <v>32874</v>
      </c>
      <c r="I3482" t="s">
        <v>14112</v>
      </c>
      <c r="J3482" t="s">
        <v>18008</v>
      </c>
      <c r="K3482" t="s">
        <v>467</v>
      </c>
      <c r="L3482" t="s">
        <v>18009</v>
      </c>
      <c r="M3482">
        <v>354.71060999999997</v>
      </c>
      <c r="N3482" t="s">
        <v>18010</v>
      </c>
      <c r="O3482" t="s">
        <v>26</v>
      </c>
      <c r="P3482">
        <v>120</v>
      </c>
      <c r="Q3482">
        <v>100</v>
      </c>
      <c r="R3482">
        <v>80</v>
      </c>
      <c r="S3482">
        <v>120</v>
      </c>
      <c r="T3482" t="s">
        <v>18011</v>
      </c>
    </row>
    <row r="3483" spans="1:20">
      <c r="A3483">
        <v>3331541</v>
      </c>
      <c r="B3483" t="s">
        <v>18012</v>
      </c>
      <c r="C3483" t="str">
        <f>"9780773508743"</f>
        <v>9780773508743</v>
      </c>
      <c r="D3483" t="str">
        <f>"9780773563155"</f>
        <v>9780773563155</v>
      </c>
      <c r="E3483" t="s">
        <v>12863</v>
      </c>
      <c r="F3483" t="s">
        <v>12863</v>
      </c>
      <c r="G3483" s="1">
        <v>33687</v>
      </c>
      <c r="I3483" t="s">
        <v>12942</v>
      </c>
      <c r="J3483" t="s">
        <v>18013</v>
      </c>
      <c r="K3483" t="s">
        <v>291</v>
      </c>
      <c r="L3483" t="s">
        <v>16189</v>
      </c>
      <c r="M3483">
        <v>971.35410045100002</v>
      </c>
      <c r="N3483" t="s">
        <v>18014</v>
      </c>
      <c r="O3483" t="s">
        <v>26</v>
      </c>
      <c r="P3483">
        <v>142.5</v>
      </c>
      <c r="Q3483">
        <v>118.75</v>
      </c>
      <c r="R3483">
        <v>95</v>
      </c>
      <c r="S3483">
        <v>142.5</v>
      </c>
      <c r="T3483" t="s">
        <v>18015</v>
      </c>
    </row>
    <row r="3484" spans="1:20">
      <c r="A3484">
        <v>3331542</v>
      </c>
      <c r="B3484" t="s">
        <v>18016</v>
      </c>
      <c r="C3484" t="str">
        <f>"9780886292386"</f>
        <v>9780886292386</v>
      </c>
      <c r="D3484" t="str">
        <f>"9780773573925"</f>
        <v>9780773573925</v>
      </c>
      <c r="E3484" t="s">
        <v>12863</v>
      </c>
      <c r="F3484" t="s">
        <v>12863</v>
      </c>
      <c r="G3484" s="1">
        <v>34592</v>
      </c>
      <c r="H3484">
        <v>2</v>
      </c>
      <c r="I3484" t="s">
        <v>13270</v>
      </c>
      <c r="J3484" t="s">
        <v>18017</v>
      </c>
      <c r="K3484" t="s">
        <v>525</v>
      </c>
      <c r="L3484" t="s">
        <v>18018</v>
      </c>
      <c r="M3484">
        <v>342</v>
      </c>
      <c r="N3484" t="s">
        <v>18019</v>
      </c>
      <c r="O3484" t="s">
        <v>26</v>
      </c>
      <c r="P3484">
        <v>135</v>
      </c>
      <c r="Q3484">
        <v>112.5</v>
      </c>
      <c r="R3484">
        <v>90</v>
      </c>
      <c r="S3484">
        <v>135</v>
      </c>
      <c r="T3484" t="s">
        <v>18020</v>
      </c>
    </row>
    <row r="3485" spans="1:20">
      <c r="A3485">
        <v>3331543</v>
      </c>
      <c r="B3485" t="s">
        <v>18021</v>
      </c>
      <c r="C3485" t="str">
        <f>"9780773521728"</f>
        <v>9780773521728</v>
      </c>
      <c r="D3485" t="str">
        <f>"9780773569119"</f>
        <v>9780773569119</v>
      </c>
      <c r="E3485" t="s">
        <v>12863</v>
      </c>
      <c r="F3485" t="s">
        <v>12863</v>
      </c>
      <c r="G3485" s="1">
        <v>37025</v>
      </c>
      <c r="J3485" t="s">
        <v>18022</v>
      </c>
      <c r="K3485" t="s">
        <v>263</v>
      </c>
      <c r="L3485" t="s">
        <v>14409</v>
      </c>
      <c r="M3485">
        <v>305.40971090400001</v>
      </c>
      <c r="N3485" t="s">
        <v>18023</v>
      </c>
      <c r="O3485" t="s">
        <v>26</v>
      </c>
      <c r="P3485">
        <v>59.93</v>
      </c>
      <c r="Q3485">
        <v>49.94</v>
      </c>
      <c r="R3485">
        <v>39.950000000000003</v>
      </c>
      <c r="S3485">
        <v>59.93</v>
      </c>
      <c r="T3485" t="s">
        <v>18024</v>
      </c>
    </row>
    <row r="3486" spans="1:20">
      <c r="A3486">
        <v>3331544</v>
      </c>
      <c r="B3486" t="s">
        <v>18025</v>
      </c>
      <c r="C3486" t="str">
        <f>"9780773505971"</f>
        <v>9780773505971</v>
      </c>
      <c r="D3486" t="str">
        <f>"9780773561335"</f>
        <v>9780773561335</v>
      </c>
      <c r="E3486" t="s">
        <v>12863</v>
      </c>
      <c r="F3486" t="s">
        <v>12863</v>
      </c>
      <c r="G3486" s="1">
        <v>32234</v>
      </c>
      <c r="J3486" t="s">
        <v>18026</v>
      </c>
      <c r="K3486" t="s">
        <v>10089</v>
      </c>
      <c r="L3486" t="s">
        <v>18027</v>
      </c>
      <c r="M3486">
        <v>971.36</v>
      </c>
      <c r="N3486" t="s">
        <v>18028</v>
      </c>
      <c r="O3486" t="s">
        <v>26</v>
      </c>
      <c r="P3486">
        <v>41.93</v>
      </c>
      <c r="Q3486">
        <v>34.94</v>
      </c>
      <c r="R3486">
        <v>27.95</v>
      </c>
      <c r="S3486">
        <v>41.93</v>
      </c>
      <c r="T3486" t="s">
        <v>18029</v>
      </c>
    </row>
    <row r="3487" spans="1:20">
      <c r="A3487">
        <v>3331545</v>
      </c>
      <c r="B3487" t="s">
        <v>18030</v>
      </c>
      <c r="C3487" t="str">
        <f>"9780773525290"</f>
        <v>9780773525290</v>
      </c>
      <c r="D3487" t="str">
        <f>"9780773570986"</f>
        <v>9780773570986</v>
      </c>
      <c r="E3487" t="s">
        <v>12863</v>
      </c>
      <c r="F3487" t="s">
        <v>12863</v>
      </c>
      <c r="G3487" s="1">
        <v>37767</v>
      </c>
      <c r="J3487" t="s">
        <v>14539</v>
      </c>
      <c r="K3487" t="s">
        <v>291</v>
      </c>
      <c r="L3487" t="s">
        <v>18031</v>
      </c>
      <c r="M3487">
        <v>971.428</v>
      </c>
      <c r="N3487" t="s">
        <v>17982</v>
      </c>
      <c r="O3487" t="s">
        <v>26</v>
      </c>
      <c r="P3487">
        <v>82.5</v>
      </c>
      <c r="Q3487">
        <v>68.75</v>
      </c>
      <c r="R3487">
        <v>55</v>
      </c>
      <c r="S3487">
        <v>82.5</v>
      </c>
      <c r="T3487" t="s">
        <v>18032</v>
      </c>
    </row>
    <row r="3488" spans="1:20">
      <c r="A3488">
        <v>3331546</v>
      </c>
      <c r="B3488" t="s">
        <v>18033</v>
      </c>
      <c r="C3488" t="str">
        <f>"9780773520684"</f>
        <v>9780773520684</v>
      </c>
      <c r="D3488" t="str">
        <f>"9780773568563"</f>
        <v>9780773568563</v>
      </c>
      <c r="E3488" t="s">
        <v>12863</v>
      </c>
      <c r="F3488" t="s">
        <v>12863</v>
      </c>
      <c r="G3488" s="1">
        <v>36761</v>
      </c>
      <c r="J3488" t="s">
        <v>18034</v>
      </c>
      <c r="K3488" t="s">
        <v>1464</v>
      </c>
      <c r="L3488" t="s">
        <v>18035</v>
      </c>
      <c r="M3488">
        <v>801</v>
      </c>
      <c r="N3488" t="s">
        <v>18036</v>
      </c>
      <c r="O3488" t="s">
        <v>26</v>
      </c>
      <c r="P3488">
        <v>150</v>
      </c>
      <c r="Q3488">
        <v>125</v>
      </c>
      <c r="R3488">
        <v>100</v>
      </c>
      <c r="S3488">
        <v>150</v>
      </c>
      <c r="T3488" t="s">
        <v>18037</v>
      </c>
    </row>
    <row r="3489" spans="1:20">
      <c r="A3489">
        <v>3331547</v>
      </c>
      <c r="B3489" t="s">
        <v>18038</v>
      </c>
      <c r="C3489" t="str">
        <f>"9780773515086"</f>
        <v>9780773515086</v>
      </c>
      <c r="D3489" t="str">
        <f>"9780773566323"</f>
        <v>9780773566323</v>
      </c>
      <c r="E3489" t="s">
        <v>12863</v>
      </c>
      <c r="F3489" t="s">
        <v>12863</v>
      </c>
      <c r="G3489" s="1">
        <v>35374</v>
      </c>
      <c r="I3489" t="s">
        <v>12942</v>
      </c>
      <c r="J3489" t="s">
        <v>18039</v>
      </c>
      <c r="K3489" t="s">
        <v>291</v>
      </c>
      <c r="L3489" t="s">
        <v>18040</v>
      </c>
      <c r="M3489">
        <v>971.51004114</v>
      </c>
      <c r="N3489" t="s">
        <v>18041</v>
      </c>
      <c r="O3489" t="s">
        <v>26</v>
      </c>
      <c r="P3489">
        <v>142.5</v>
      </c>
      <c r="Q3489">
        <v>118.75</v>
      </c>
      <c r="R3489">
        <v>95</v>
      </c>
      <c r="S3489">
        <v>142.5</v>
      </c>
      <c r="T3489" t="s">
        <v>18042</v>
      </c>
    </row>
    <row r="3490" spans="1:20">
      <c r="A3490">
        <v>3331548</v>
      </c>
      <c r="B3490" t="s">
        <v>18043</v>
      </c>
      <c r="C3490" t="str">
        <f>"9780773508422"</f>
        <v>9780773508422</v>
      </c>
      <c r="D3490" t="str">
        <f>"9780773562950"</f>
        <v>9780773562950</v>
      </c>
      <c r="E3490" t="s">
        <v>12863</v>
      </c>
      <c r="F3490" t="s">
        <v>12863</v>
      </c>
      <c r="G3490" s="1">
        <v>33329</v>
      </c>
      <c r="I3490" t="s">
        <v>12886</v>
      </c>
      <c r="J3490" t="s">
        <v>15939</v>
      </c>
      <c r="K3490" t="s">
        <v>1892</v>
      </c>
      <c r="L3490" t="s">
        <v>18044</v>
      </c>
      <c r="M3490">
        <v>284.309031</v>
      </c>
      <c r="N3490" t="s">
        <v>18045</v>
      </c>
      <c r="O3490" t="s">
        <v>26</v>
      </c>
      <c r="P3490">
        <v>142.5</v>
      </c>
      <c r="Q3490">
        <v>118.75</v>
      </c>
      <c r="R3490">
        <v>95</v>
      </c>
      <c r="S3490">
        <v>142.5</v>
      </c>
      <c r="T3490" t="s">
        <v>18046</v>
      </c>
    </row>
    <row r="3491" spans="1:20">
      <c r="A3491">
        <v>3331549</v>
      </c>
      <c r="B3491" t="s">
        <v>18047</v>
      </c>
      <c r="C3491" t="str">
        <f>"9780773509887"</f>
        <v>9780773509887</v>
      </c>
      <c r="D3491" t="str">
        <f>"9780773563858"</f>
        <v>9780773563858</v>
      </c>
      <c r="E3491" t="s">
        <v>12863</v>
      </c>
      <c r="F3491" t="s">
        <v>12863</v>
      </c>
      <c r="G3491" s="1">
        <v>34267</v>
      </c>
      <c r="J3491" t="s">
        <v>18048</v>
      </c>
      <c r="K3491" t="s">
        <v>3308</v>
      </c>
      <c r="L3491" t="s">
        <v>18049</v>
      </c>
      <c r="M3491">
        <v>362.10971609032998</v>
      </c>
      <c r="N3491" t="s">
        <v>18050</v>
      </c>
      <c r="O3491" t="s">
        <v>26</v>
      </c>
      <c r="P3491">
        <v>142.5</v>
      </c>
      <c r="Q3491">
        <v>118.75</v>
      </c>
      <c r="R3491">
        <v>95</v>
      </c>
      <c r="S3491">
        <v>142.5</v>
      </c>
      <c r="T3491" t="s">
        <v>18051</v>
      </c>
    </row>
    <row r="3492" spans="1:20">
      <c r="A3492">
        <v>3331550</v>
      </c>
      <c r="B3492" t="s">
        <v>18052</v>
      </c>
      <c r="C3492" t="str">
        <f>"9780886291488"</f>
        <v>9780886291488</v>
      </c>
      <c r="D3492" t="str">
        <f>"9780773573710"</f>
        <v>9780773573710</v>
      </c>
      <c r="E3492" t="s">
        <v>12863</v>
      </c>
      <c r="F3492" t="s">
        <v>12863</v>
      </c>
      <c r="G3492" s="1">
        <v>33373</v>
      </c>
      <c r="I3492" t="s">
        <v>13270</v>
      </c>
      <c r="J3492" t="s">
        <v>18053</v>
      </c>
      <c r="K3492" t="s">
        <v>291</v>
      </c>
      <c r="L3492" t="s">
        <v>15196</v>
      </c>
      <c r="M3492">
        <v>971.04</v>
      </c>
      <c r="N3492" t="s">
        <v>18054</v>
      </c>
      <c r="O3492" t="s">
        <v>26</v>
      </c>
      <c r="P3492">
        <v>142.5</v>
      </c>
      <c r="Q3492">
        <v>118.75</v>
      </c>
      <c r="R3492">
        <v>95</v>
      </c>
      <c r="S3492">
        <v>142.5</v>
      </c>
      <c r="T3492" t="s">
        <v>18055</v>
      </c>
    </row>
    <row r="3493" spans="1:20">
      <c r="A3493">
        <v>3331551</v>
      </c>
      <c r="B3493" t="s">
        <v>18056</v>
      </c>
      <c r="C3493" t="str">
        <f>"9780773507555"</f>
        <v>9780773507555</v>
      </c>
      <c r="D3493" t="str">
        <f>"9780773562431"</f>
        <v>9780773562431</v>
      </c>
      <c r="E3493" t="s">
        <v>12863</v>
      </c>
      <c r="F3493" t="s">
        <v>12863</v>
      </c>
      <c r="G3493" s="1">
        <v>33147</v>
      </c>
      <c r="I3493" t="s">
        <v>12871</v>
      </c>
      <c r="J3493" t="s">
        <v>17260</v>
      </c>
      <c r="K3493" t="s">
        <v>16423</v>
      </c>
      <c r="L3493" t="s">
        <v>18057</v>
      </c>
      <c r="M3493" t="s">
        <v>18058</v>
      </c>
      <c r="N3493" t="s">
        <v>18059</v>
      </c>
      <c r="O3493" t="s">
        <v>26</v>
      </c>
      <c r="P3493">
        <v>120</v>
      </c>
      <c r="Q3493">
        <v>100</v>
      </c>
      <c r="R3493">
        <v>80</v>
      </c>
      <c r="S3493">
        <v>120</v>
      </c>
      <c r="T3493" t="s">
        <v>18060</v>
      </c>
    </row>
    <row r="3494" spans="1:20">
      <c r="A3494">
        <v>3331552</v>
      </c>
      <c r="B3494" t="s">
        <v>18061</v>
      </c>
      <c r="C3494" t="str">
        <f>"9780773520004"</f>
        <v>9780773520004</v>
      </c>
      <c r="D3494" t="str">
        <f>"9780773568136"</f>
        <v>9780773568136</v>
      </c>
      <c r="E3494" t="s">
        <v>12863</v>
      </c>
      <c r="F3494" t="s">
        <v>12863</v>
      </c>
      <c r="G3494" s="1">
        <v>36622</v>
      </c>
      <c r="J3494" t="s">
        <v>18062</v>
      </c>
      <c r="K3494" t="s">
        <v>1892</v>
      </c>
      <c r="L3494" t="s">
        <v>18063</v>
      </c>
      <c r="M3494">
        <v>283.09199999999998</v>
      </c>
      <c r="N3494" t="s">
        <v>18064</v>
      </c>
      <c r="O3494" t="s">
        <v>26</v>
      </c>
      <c r="P3494">
        <v>142.5</v>
      </c>
      <c r="Q3494">
        <v>118.75</v>
      </c>
      <c r="R3494">
        <v>95</v>
      </c>
      <c r="S3494">
        <v>142.5</v>
      </c>
      <c r="T3494" t="s">
        <v>18065</v>
      </c>
    </row>
    <row r="3495" spans="1:20">
      <c r="A3495">
        <v>3331553</v>
      </c>
      <c r="B3495" t="s">
        <v>18066</v>
      </c>
      <c r="C3495" t="str">
        <f>"9780773507807"</f>
        <v>9780773507807</v>
      </c>
      <c r="D3495" t="str">
        <f>"9780773562615"</f>
        <v>9780773562615</v>
      </c>
      <c r="E3495" t="s">
        <v>12907</v>
      </c>
      <c r="F3495" t="s">
        <v>12907</v>
      </c>
      <c r="G3495" s="1">
        <v>33512</v>
      </c>
      <c r="I3495" t="s">
        <v>12942</v>
      </c>
      <c r="J3495" t="s">
        <v>18067</v>
      </c>
      <c r="K3495" t="s">
        <v>291</v>
      </c>
      <c r="L3495" t="s">
        <v>18068</v>
      </c>
      <c r="M3495">
        <v>971.91004969999995</v>
      </c>
      <c r="N3495" t="s">
        <v>18069</v>
      </c>
      <c r="O3495" t="s">
        <v>26</v>
      </c>
      <c r="P3495">
        <v>142.5</v>
      </c>
      <c r="Q3495">
        <v>118.75</v>
      </c>
      <c r="R3495">
        <v>95</v>
      </c>
      <c r="S3495">
        <v>142.5</v>
      </c>
      <c r="T3495" t="s">
        <v>18070</v>
      </c>
    </row>
    <row r="3496" spans="1:20">
      <c r="A3496">
        <v>3331554</v>
      </c>
      <c r="B3496" t="s">
        <v>18071</v>
      </c>
      <c r="C3496" t="str">
        <f>"9780773528505"</f>
        <v>9780773528505</v>
      </c>
      <c r="D3496" t="str">
        <f>"9780773572560"</f>
        <v>9780773572560</v>
      </c>
      <c r="E3496" t="s">
        <v>12863</v>
      </c>
      <c r="F3496" t="s">
        <v>12863</v>
      </c>
      <c r="G3496" s="1">
        <v>38308</v>
      </c>
      <c r="J3496" t="s">
        <v>18072</v>
      </c>
      <c r="K3496" t="s">
        <v>291</v>
      </c>
      <c r="L3496" t="s">
        <v>18073</v>
      </c>
      <c r="M3496">
        <v>971.01130920000003</v>
      </c>
      <c r="N3496" t="s">
        <v>18074</v>
      </c>
      <c r="O3496" t="s">
        <v>26</v>
      </c>
      <c r="P3496">
        <v>103.5</v>
      </c>
      <c r="Q3496">
        <v>86.25</v>
      </c>
      <c r="R3496">
        <v>69</v>
      </c>
      <c r="S3496">
        <v>103.5</v>
      </c>
      <c r="T3496" t="s">
        <v>18075</v>
      </c>
    </row>
    <row r="3497" spans="1:20">
      <c r="A3497">
        <v>3331555</v>
      </c>
      <c r="B3497" t="s">
        <v>18076</v>
      </c>
      <c r="C3497" t="str">
        <f>"9780773507272"</f>
        <v>9780773507272</v>
      </c>
      <c r="D3497" t="str">
        <f>"9780773562240"</f>
        <v>9780773562240</v>
      </c>
      <c r="E3497" t="s">
        <v>12863</v>
      </c>
      <c r="F3497" t="s">
        <v>12863</v>
      </c>
      <c r="G3497" s="1">
        <v>32933</v>
      </c>
      <c r="I3497" t="s">
        <v>12886</v>
      </c>
      <c r="J3497" t="s">
        <v>18077</v>
      </c>
      <c r="K3497" t="s">
        <v>1892</v>
      </c>
      <c r="L3497" t="s">
        <v>18078</v>
      </c>
      <c r="M3497">
        <v>271.90044090819998</v>
      </c>
      <c r="N3497" t="s">
        <v>18079</v>
      </c>
      <c r="O3497" t="s">
        <v>26</v>
      </c>
      <c r="P3497">
        <v>49.43</v>
      </c>
      <c r="Q3497">
        <v>41.19</v>
      </c>
      <c r="R3497">
        <v>32.950000000000003</v>
      </c>
      <c r="S3497">
        <v>49.43</v>
      </c>
      <c r="T3497" t="s">
        <v>18080</v>
      </c>
    </row>
    <row r="3498" spans="1:20">
      <c r="A3498">
        <v>3331556</v>
      </c>
      <c r="B3498" t="s">
        <v>18081</v>
      </c>
      <c r="C3498" t="str">
        <f>"9780773528154"</f>
        <v>9780773528154</v>
      </c>
      <c r="D3498" t="str">
        <f>"9780773572386"</f>
        <v>9780773572386</v>
      </c>
      <c r="E3498" t="s">
        <v>12863</v>
      </c>
      <c r="F3498" t="s">
        <v>12863</v>
      </c>
      <c r="G3498" s="1">
        <v>38365</v>
      </c>
      <c r="J3498" t="s">
        <v>18082</v>
      </c>
      <c r="K3498" t="s">
        <v>278</v>
      </c>
      <c r="L3498" t="s">
        <v>16429</v>
      </c>
      <c r="M3498">
        <v>338.7678720971</v>
      </c>
      <c r="N3498" t="s">
        <v>18083</v>
      </c>
      <c r="O3498" t="s">
        <v>26</v>
      </c>
      <c r="P3498">
        <v>49.43</v>
      </c>
      <c r="Q3498">
        <v>41.19</v>
      </c>
      <c r="R3498">
        <v>32.950000000000003</v>
      </c>
      <c r="S3498">
        <v>49.43</v>
      </c>
      <c r="T3498" t="s">
        <v>18084</v>
      </c>
    </row>
    <row r="3499" spans="1:20">
      <c r="A3499">
        <v>3331557</v>
      </c>
      <c r="B3499" t="s">
        <v>18085</v>
      </c>
      <c r="C3499" t="str">
        <f>"9780773529182"</f>
        <v>9780773529182</v>
      </c>
      <c r="D3499" t="str">
        <f>"9780773572980"</f>
        <v>9780773572980</v>
      </c>
      <c r="E3499" t="s">
        <v>12863</v>
      </c>
      <c r="F3499" t="s">
        <v>12863</v>
      </c>
      <c r="G3499" s="1">
        <v>38566</v>
      </c>
      <c r="I3499" t="s">
        <v>13270</v>
      </c>
      <c r="J3499" t="s">
        <v>18086</v>
      </c>
      <c r="K3499" t="s">
        <v>291</v>
      </c>
      <c r="L3499" t="s">
        <v>15806</v>
      </c>
      <c r="M3499">
        <v>971.4</v>
      </c>
      <c r="N3499" t="s">
        <v>18087</v>
      </c>
      <c r="O3499" t="s">
        <v>26</v>
      </c>
      <c r="P3499">
        <v>142.5</v>
      </c>
      <c r="Q3499">
        <v>118.75</v>
      </c>
      <c r="R3499">
        <v>95</v>
      </c>
      <c r="S3499">
        <v>142.5</v>
      </c>
      <c r="T3499" t="s">
        <v>18088</v>
      </c>
    </row>
    <row r="3500" spans="1:20">
      <c r="A3500">
        <v>3331558</v>
      </c>
      <c r="B3500" t="s">
        <v>18089</v>
      </c>
      <c r="C3500" t="str">
        <f>"9780773528864"</f>
        <v>9780773528864</v>
      </c>
      <c r="D3500" t="str">
        <f>"9780773572812"</f>
        <v>9780773572812</v>
      </c>
      <c r="E3500" t="s">
        <v>12907</v>
      </c>
      <c r="F3500" t="s">
        <v>12907</v>
      </c>
      <c r="G3500" s="1">
        <v>38469</v>
      </c>
      <c r="J3500" t="s">
        <v>18090</v>
      </c>
      <c r="K3500" t="s">
        <v>263</v>
      </c>
      <c r="L3500" t="s">
        <v>18091</v>
      </c>
      <c r="M3500">
        <v>305.8</v>
      </c>
      <c r="N3500" t="s">
        <v>18092</v>
      </c>
      <c r="O3500" t="s">
        <v>26</v>
      </c>
      <c r="P3500">
        <v>142.5</v>
      </c>
      <c r="Q3500">
        <v>118.75</v>
      </c>
      <c r="R3500">
        <v>95</v>
      </c>
      <c r="S3500">
        <v>142.5</v>
      </c>
      <c r="T3500" t="s">
        <v>18093</v>
      </c>
    </row>
    <row r="3501" spans="1:20">
      <c r="A3501">
        <v>3331559</v>
      </c>
      <c r="B3501" t="s">
        <v>18094</v>
      </c>
      <c r="C3501" t="str">
        <f>"9780773520462"</f>
        <v>9780773520462</v>
      </c>
      <c r="D3501" t="str">
        <f>"9780773568396"</f>
        <v>9780773568396</v>
      </c>
      <c r="E3501" t="s">
        <v>12863</v>
      </c>
      <c r="F3501" t="s">
        <v>12863</v>
      </c>
      <c r="G3501" s="1">
        <v>36572</v>
      </c>
      <c r="J3501" t="s">
        <v>14267</v>
      </c>
      <c r="K3501" t="s">
        <v>1892</v>
      </c>
      <c r="L3501" t="s">
        <v>18095</v>
      </c>
      <c r="M3501">
        <v>232.90600000000001</v>
      </c>
      <c r="N3501" t="s">
        <v>18096</v>
      </c>
      <c r="O3501" t="s">
        <v>26</v>
      </c>
      <c r="P3501">
        <v>37.43</v>
      </c>
      <c r="Q3501">
        <v>31.19</v>
      </c>
      <c r="R3501">
        <v>24.95</v>
      </c>
      <c r="S3501">
        <v>37.43</v>
      </c>
      <c r="T3501" t="s">
        <v>18097</v>
      </c>
    </row>
    <row r="3502" spans="1:20">
      <c r="A3502">
        <v>3331560</v>
      </c>
      <c r="B3502" t="s">
        <v>18098</v>
      </c>
      <c r="C3502" t="str">
        <f>"9780773515314"</f>
        <v>9780773515314</v>
      </c>
      <c r="D3502" t="str">
        <f>"9780773566408"</f>
        <v>9780773566408</v>
      </c>
      <c r="E3502" t="s">
        <v>12863</v>
      </c>
      <c r="F3502" t="s">
        <v>12863</v>
      </c>
      <c r="G3502" s="1">
        <v>35346</v>
      </c>
      <c r="J3502" t="s">
        <v>18099</v>
      </c>
      <c r="K3502" t="s">
        <v>291</v>
      </c>
      <c r="L3502" t="s">
        <v>18100</v>
      </c>
      <c r="M3502">
        <v>943.08600000000001</v>
      </c>
      <c r="N3502" t="s">
        <v>18101</v>
      </c>
      <c r="O3502" t="s">
        <v>26</v>
      </c>
      <c r="P3502">
        <v>142.5</v>
      </c>
      <c r="Q3502">
        <v>118.75</v>
      </c>
      <c r="R3502">
        <v>95</v>
      </c>
      <c r="S3502">
        <v>142.5</v>
      </c>
      <c r="T3502" t="s">
        <v>18102</v>
      </c>
    </row>
    <row r="3503" spans="1:20">
      <c r="A3503">
        <v>3331561</v>
      </c>
      <c r="B3503" t="s">
        <v>18103</v>
      </c>
      <c r="C3503" t="str">
        <f>"9780773528604"</f>
        <v>9780773528604</v>
      </c>
      <c r="D3503" t="str">
        <f>"9780773572645"</f>
        <v>9780773572645</v>
      </c>
      <c r="E3503" t="s">
        <v>12863</v>
      </c>
      <c r="F3503" t="s">
        <v>12863</v>
      </c>
      <c r="G3503" s="1">
        <v>38559</v>
      </c>
      <c r="J3503" t="s">
        <v>18104</v>
      </c>
      <c r="K3503" t="s">
        <v>1471</v>
      </c>
      <c r="L3503" t="s">
        <v>18105</v>
      </c>
      <c r="M3503">
        <v>745.09710904600001</v>
      </c>
      <c r="N3503" t="s">
        <v>18106</v>
      </c>
      <c r="O3503" t="s">
        <v>26</v>
      </c>
      <c r="P3503">
        <v>74.930000000000007</v>
      </c>
      <c r="Q3503">
        <v>62.44</v>
      </c>
      <c r="R3503">
        <v>49.95</v>
      </c>
      <c r="S3503">
        <v>74.930000000000007</v>
      </c>
      <c r="T3503" t="s">
        <v>18107</v>
      </c>
    </row>
    <row r="3504" spans="1:20">
      <c r="A3504">
        <v>3331562</v>
      </c>
      <c r="B3504" t="s">
        <v>18108</v>
      </c>
      <c r="C3504" t="str">
        <f>"9780773529380"</f>
        <v>9780773529380</v>
      </c>
      <c r="D3504" t="str">
        <f>"9780773573055"</f>
        <v>9780773573055</v>
      </c>
      <c r="E3504" t="s">
        <v>12863</v>
      </c>
      <c r="F3504" t="s">
        <v>12863</v>
      </c>
      <c r="G3504" s="1">
        <v>38492</v>
      </c>
      <c r="J3504" t="s">
        <v>18109</v>
      </c>
      <c r="K3504" t="s">
        <v>2312</v>
      </c>
      <c r="L3504" t="s">
        <v>18110</v>
      </c>
      <c r="M3504">
        <v>352.46097109044001</v>
      </c>
      <c r="N3504" t="s">
        <v>18111</v>
      </c>
      <c r="O3504" t="s">
        <v>26</v>
      </c>
      <c r="P3504">
        <v>150</v>
      </c>
      <c r="Q3504">
        <v>125</v>
      </c>
      <c r="R3504">
        <v>100</v>
      </c>
      <c r="S3504">
        <v>150</v>
      </c>
      <c r="T3504" t="s">
        <v>18112</v>
      </c>
    </row>
    <row r="3505" spans="1:20">
      <c r="A3505">
        <v>3331563</v>
      </c>
      <c r="B3505" t="s">
        <v>18113</v>
      </c>
      <c r="C3505" t="str">
        <f>"9780773528994"</f>
        <v>9780773528994</v>
      </c>
      <c r="D3505" t="str">
        <f>"9780773572911"</f>
        <v>9780773572911</v>
      </c>
      <c r="E3505" t="s">
        <v>12863</v>
      </c>
      <c r="F3505" t="s">
        <v>12863</v>
      </c>
      <c r="G3505" s="1">
        <v>38596</v>
      </c>
      <c r="J3505" t="s">
        <v>18114</v>
      </c>
      <c r="K3505" t="s">
        <v>1464</v>
      </c>
      <c r="L3505" t="s">
        <v>18115</v>
      </c>
      <c r="M3505">
        <v>813.3</v>
      </c>
      <c r="N3505" t="s">
        <v>18116</v>
      </c>
      <c r="O3505" t="s">
        <v>26</v>
      </c>
      <c r="P3505">
        <v>142.5</v>
      </c>
      <c r="Q3505">
        <v>118.75</v>
      </c>
      <c r="R3505">
        <v>95</v>
      </c>
      <c r="S3505">
        <v>142.5</v>
      </c>
      <c r="T3505" t="s">
        <v>18117</v>
      </c>
    </row>
    <row r="3506" spans="1:20">
      <c r="A3506">
        <v>3331564</v>
      </c>
      <c r="B3506" t="s">
        <v>18118</v>
      </c>
      <c r="C3506" t="str">
        <f>"9780773531963"</f>
        <v>9780773531963</v>
      </c>
      <c r="D3506" t="str">
        <f>"9780773573338"</f>
        <v>9780773573338</v>
      </c>
      <c r="E3506" t="s">
        <v>12863</v>
      </c>
      <c r="F3506" t="s">
        <v>12863</v>
      </c>
      <c r="G3506" s="1">
        <v>38899</v>
      </c>
      <c r="I3506" t="s">
        <v>18119</v>
      </c>
      <c r="J3506" t="s">
        <v>18120</v>
      </c>
      <c r="K3506" t="s">
        <v>278</v>
      </c>
      <c r="L3506" t="s">
        <v>18121</v>
      </c>
      <c r="M3506">
        <v>336</v>
      </c>
      <c r="N3506" t="s">
        <v>18122</v>
      </c>
      <c r="O3506" t="s">
        <v>26</v>
      </c>
      <c r="P3506">
        <v>19.43</v>
      </c>
      <c r="Q3506">
        <v>16.190000000000001</v>
      </c>
      <c r="R3506">
        <v>12.95</v>
      </c>
      <c r="S3506">
        <v>19.43</v>
      </c>
      <c r="T3506" t="s">
        <v>18123</v>
      </c>
    </row>
    <row r="3507" spans="1:20">
      <c r="A3507">
        <v>3331565</v>
      </c>
      <c r="B3507" t="s">
        <v>18124</v>
      </c>
      <c r="C3507" t="str">
        <f>"9780773528611"</f>
        <v>9780773528611</v>
      </c>
      <c r="D3507" t="str">
        <f>"9780773572652"</f>
        <v>9780773572652</v>
      </c>
      <c r="E3507" t="s">
        <v>12907</v>
      </c>
      <c r="F3507" t="s">
        <v>12907</v>
      </c>
      <c r="G3507" s="1">
        <v>38476</v>
      </c>
      <c r="J3507" t="s">
        <v>18125</v>
      </c>
      <c r="K3507" t="s">
        <v>18126</v>
      </c>
      <c r="L3507" t="s">
        <v>18127</v>
      </c>
      <c r="M3507" t="s">
        <v>18128</v>
      </c>
      <c r="N3507" t="s">
        <v>18129</v>
      </c>
      <c r="O3507" t="s">
        <v>26</v>
      </c>
      <c r="P3507">
        <v>142.5</v>
      </c>
      <c r="Q3507">
        <v>118.75</v>
      </c>
      <c r="R3507">
        <v>95</v>
      </c>
      <c r="S3507">
        <v>142.5</v>
      </c>
      <c r="T3507" t="s">
        <v>18130</v>
      </c>
    </row>
    <row r="3508" spans="1:20">
      <c r="A3508">
        <v>3331566</v>
      </c>
      <c r="B3508" t="s">
        <v>18131</v>
      </c>
      <c r="C3508" t="str">
        <f>"9780773529267"</f>
        <v>9780773529267</v>
      </c>
      <c r="D3508" t="str">
        <f>"9780773573000"</f>
        <v>9780773573000</v>
      </c>
      <c r="E3508" t="s">
        <v>12863</v>
      </c>
      <c r="F3508" t="s">
        <v>12863</v>
      </c>
      <c r="G3508" s="1">
        <v>38467</v>
      </c>
      <c r="J3508" t="s">
        <v>18132</v>
      </c>
      <c r="K3508" t="s">
        <v>6444</v>
      </c>
      <c r="L3508" t="s">
        <v>18133</v>
      </c>
      <c r="M3508">
        <v>327.71009199999997</v>
      </c>
      <c r="N3508" t="s">
        <v>18134</v>
      </c>
      <c r="O3508" t="s">
        <v>26</v>
      </c>
      <c r="P3508">
        <v>59.93</v>
      </c>
      <c r="Q3508">
        <v>49.94</v>
      </c>
      <c r="R3508">
        <v>39.950000000000003</v>
      </c>
      <c r="S3508">
        <v>59.93</v>
      </c>
      <c r="T3508" t="s">
        <v>18135</v>
      </c>
    </row>
    <row r="3509" spans="1:20">
      <c r="A3509">
        <v>3331567</v>
      </c>
      <c r="B3509" t="s">
        <v>18136</v>
      </c>
      <c r="C3509" t="str">
        <f>"9780886292805"</f>
        <v>9780886292805</v>
      </c>
      <c r="D3509" t="str">
        <f>"9780773574007"</f>
        <v>9780773574007</v>
      </c>
      <c r="E3509" t="s">
        <v>12863</v>
      </c>
      <c r="F3509" t="s">
        <v>12863</v>
      </c>
      <c r="G3509" s="1">
        <v>35353</v>
      </c>
      <c r="I3509" t="s">
        <v>15076</v>
      </c>
      <c r="J3509" t="s">
        <v>18137</v>
      </c>
      <c r="K3509" t="s">
        <v>18138</v>
      </c>
      <c r="L3509" t="s">
        <v>18139</v>
      </c>
      <c r="M3509" t="s">
        <v>18140</v>
      </c>
      <c r="N3509" t="s">
        <v>18141</v>
      </c>
      <c r="O3509" t="s">
        <v>26</v>
      </c>
      <c r="P3509">
        <v>49.43</v>
      </c>
      <c r="Q3509">
        <v>41.19</v>
      </c>
      <c r="R3509">
        <v>32.950000000000003</v>
      </c>
      <c r="S3509">
        <v>49.43</v>
      </c>
      <c r="T3509" t="s">
        <v>18142</v>
      </c>
    </row>
    <row r="3510" spans="1:20">
      <c r="A3510">
        <v>3331568</v>
      </c>
      <c r="B3510" t="s">
        <v>18143</v>
      </c>
      <c r="C3510" t="str">
        <f>"9780886291204"</f>
        <v>9780886291204</v>
      </c>
      <c r="D3510" t="str">
        <f>"9780773573611"</f>
        <v>9780773573611</v>
      </c>
      <c r="E3510" t="s">
        <v>12863</v>
      </c>
      <c r="F3510" t="s">
        <v>12863</v>
      </c>
      <c r="G3510" s="1">
        <v>33039</v>
      </c>
      <c r="I3510" t="s">
        <v>13270</v>
      </c>
      <c r="J3510" t="s">
        <v>18144</v>
      </c>
      <c r="K3510" t="s">
        <v>18145</v>
      </c>
      <c r="L3510" t="s">
        <v>18146</v>
      </c>
      <c r="M3510">
        <v>155.41800000000001</v>
      </c>
      <c r="N3510" t="s">
        <v>18147</v>
      </c>
      <c r="O3510" t="s">
        <v>26</v>
      </c>
      <c r="P3510">
        <v>127.5</v>
      </c>
      <c r="Q3510">
        <v>106.25</v>
      </c>
      <c r="R3510">
        <v>85</v>
      </c>
      <c r="S3510">
        <v>127.5</v>
      </c>
      <c r="T3510" t="s">
        <v>18148</v>
      </c>
    </row>
    <row r="3511" spans="1:20">
      <c r="A3511">
        <v>3331569</v>
      </c>
      <c r="B3511" t="s">
        <v>18149</v>
      </c>
      <c r="C3511" t="str">
        <f>"9780770517427"</f>
        <v>9780770517427</v>
      </c>
      <c r="D3511" t="str">
        <f>"9780773560154"</f>
        <v>9780773560154</v>
      </c>
      <c r="E3511" t="s">
        <v>12863</v>
      </c>
      <c r="F3511" t="s">
        <v>12863</v>
      </c>
      <c r="G3511" s="1">
        <v>28990</v>
      </c>
      <c r="I3511" t="s">
        <v>13270</v>
      </c>
      <c r="J3511" t="s">
        <v>18150</v>
      </c>
      <c r="K3511" t="s">
        <v>2963</v>
      </c>
      <c r="L3511" t="s">
        <v>18151</v>
      </c>
      <c r="M3511">
        <v>911.71</v>
      </c>
      <c r="N3511" t="s">
        <v>18152</v>
      </c>
      <c r="O3511" t="s">
        <v>26</v>
      </c>
      <c r="P3511">
        <v>41.93</v>
      </c>
      <c r="Q3511">
        <v>34.94</v>
      </c>
      <c r="R3511">
        <v>27.95</v>
      </c>
      <c r="S3511">
        <v>41.93</v>
      </c>
      <c r="T3511" t="s">
        <v>18153</v>
      </c>
    </row>
    <row r="3512" spans="1:20">
      <c r="A3512">
        <v>3331570</v>
      </c>
      <c r="B3512" t="s">
        <v>18154</v>
      </c>
      <c r="C3512" t="str">
        <f>"9780773529649"</f>
        <v>9780773529649</v>
      </c>
      <c r="D3512" t="str">
        <f>"9780773573185"</f>
        <v>9780773573185</v>
      </c>
      <c r="E3512" t="s">
        <v>12907</v>
      </c>
      <c r="F3512" t="s">
        <v>12907</v>
      </c>
      <c r="G3512" s="1">
        <v>38639</v>
      </c>
      <c r="J3512" t="s">
        <v>18155</v>
      </c>
      <c r="K3512" t="s">
        <v>2260</v>
      </c>
      <c r="L3512" t="s">
        <v>18156</v>
      </c>
      <c r="M3512" t="s">
        <v>18157</v>
      </c>
      <c r="N3512" t="s">
        <v>18158</v>
      </c>
      <c r="O3512" t="s">
        <v>26</v>
      </c>
      <c r="P3512">
        <v>52.43</v>
      </c>
      <c r="Q3512">
        <v>43.69</v>
      </c>
      <c r="R3512">
        <v>34.950000000000003</v>
      </c>
      <c r="S3512">
        <v>52.43</v>
      </c>
      <c r="T3512" t="s">
        <v>18159</v>
      </c>
    </row>
    <row r="3513" spans="1:20">
      <c r="A3513">
        <v>3331571</v>
      </c>
      <c r="B3513" t="s">
        <v>18160</v>
      </c>
      <c r="C3513" t="str">
        <f>"9780773512740"</f>
        <v>9780773512740</v>
      </c>
      <c r="D3513" t="str">
        <f>"9780773565227"</f>
        <v>9780773565227</v>
      </c>
      <c r="E3513" t="s">
        <v>12863</v>
      </c>
      <c r="F3513" t="s">
        <v>12863</v>
      </c>
      <c r="G3513" s="1">
        <v>34738</v>
      </c>
      <c r="J3513" t="s">
        <v>13649</v>
      </c>
      <c r="K3513" t="s">
        <v>263</v>
      </c>
      <c r="L3513" t="s">
        <v>18161</v>
      </c>
      <c r="M3513">
        <v>364.971</v>
      </c>
      <c r="N3513" t="s">
        <v>18162</v>
      </c>
      <c r="O3513" t="s">
        <v>26</v>
      </c>
      <c r="P3513">
        <v>142.5</v>
      </c>
      <c r="Q3513">
        <v>118.75</v>
      </c>
      <c r="R3513">
        <v>95</v>
      </c>
      <c r="S3513">
        <v>142.5</v>
      </c>
      <c r="T3513" t="s">
        <v>18163</v>
      </c>
    </row>
    <row r="3514" spans="1:20">
      <c r="A3514">
        <v>3331572</v>
      </c>
      <c r="B3514" t="s">
        <v>18164</v>
      </c>
      <c r="C3514" t="str">
        <f>"9780771097966"</f>
        <v>9780771097966</v>
      </c>
      <c r="D3514" t="str">
        <f>"9780773560581"</f>
        <v>9780773560581</v>
      </c>
      <c r="E3514" t="s">
        <v>12863</v>
      </c>
      <c r="F3514" t="s">
        <v>12863</v>
      </c>
      <c r="G3514" s="1">
        <v>27774</v>
      </c>
      <c r="I3514" t="s">
        <v>13270</v>
      </c>
      <c r="J3514" t="s">
        <v>18165</v>
      </c>
      <c r="K3514" t="s">
        <v>291</v>
      </c>
      <c r="L3514" t="s">
        <v>18166</v>
      </c>
      <c r="M3514">
        <v>971.10080000000005</v>
      </c>
      <c r="N3514" t="s">
        <v>18167</v>
      </c>
      <c r="O3514" t="s">
        <v>26</v>
      </c>
      <c r="P3514">
        <v>44.93</v>
      </c>
      <c r="Q3514">
        <v>37.44</v>
      </c>
      <c r="R3514">
        <v>29.95</v>
      </c>
      <c r="S3514">
        <v>44.93</v>
      </c>
      <c r="T3514" t="s">
        <v>18168</v>
      </c>
    </row>
    <row r="3515" spans="1:20">
      <c r="A3515">
        <v>3331573</v>
      </c>
      <c r="B3515" t="s">
        <v>18169</v>
      </c>
      <c r="C3515" t="str">
        <f>"9780773528543"</f>
        <v>9780773528543</v>
      </c>
      <c r="D3515" t="str">
        <f>"9780773572607"</f>
        <v>9780773572607</v>
      </c>
      <c r="E3515" t="s">
        <v>12863</v>
      </c>
      <c r="F3515" t="s">
        <v>12863</v>
      </c>
      <c r="G3515" s="1">
        <v>38414</v>
      </c>
      <c r="J3515" t="s">
        <v>18170</v>
      </c>
      <c r="K3515" t="s">
        <v>263</v>
      </c>
      <c r="L3515" t="s">
        <v>18171</v>
      </c>
      <c r="M3515">
        <v>303.48340000000002</v>
      </c>
      <c r="N3515" t="s">
        <v>18172</v>
      </c>
      <c r="O3515" t="s">
        <v>26</v>
      </c>
      <c r="P3515">
        <v>142.5</v>
      </c>
      <c r="Q3515">
        <v>118.75</v>
      </c>
      <c r="R3515">
        <v>95</v>
      </c>
      <c r="S3515">
        <v>142.5</v>
      </c>
      <c r="T3515" t="s">
        <v>18173</v>
      </c>
    </row>
    <row r="3516" spans="1:20">
      <c r="A3516">
        <v>3331574</v>
      </c>
      <c r="B3516" t="s">
        <v>18174</v>
      </c>
      <c r="C3516" t="str">
        <f>"9780773529410"</f>
        <v>9780773529410</v>
      </c>
      <c r="D3516" t="str">
        <f>"9780773573086"</f>
        <v>9780773573086</v>
      </c>
      <c r="E3516" t="s">
        <v>12863</v>
      </c>
      <c r="F3516" t="s">
        <v>12863</v>
      </c>
      <c r="G3516" s="1">
        <v>38742</v>
      </c>
      <c r="I3516" t="s">
        <v>18119</v>
      </c>
      <c r="J3516" t="s">
        <v>18175</v>
      </c>
      <c r="K3516" t="s">
        <v>467</v>
      </c>
      <c r="L3516" t="s">
        <v>13579</v>
      </c>
      <c r="M3516">
        <v>321.02</v>
      </c>
      <c r="N3516" t="s">
        <v>18176</v>
      </c>
      <c r="O3516" t="s">
        <v>26</v>
      </c>
      <c r="P3516">
        <v>19.43</v>
      </c>
      <c r="Q3516">
        <v>16.190000000000001</v>
      </c>
      <c r="R3516">
        <v>12.95</v>
      </c>
      <c r="S3516">
        <v>19.43</v>
      </c>
      <c r="T3516" t="s">
        <v>18177</v>
      </c>
    </row>
    <row r="3517" spans="1:20">
      <c r="A3517">
        <v>3331575</v>
      </c>
      <c r="B3517" t="s">
        <v>18178</v>
      </c>
      <c r="C3517" t="str">
        <f>"9780773505346"</f>
        <v>9780773505346</v>
      </c>
      <c r="D3517" t="str">
        <f>"9780773561038"</f>
        <v>9780773561038</v>
      </c>
      <c r="E3517" t="s">
        <v>12863</v>
      </c>
      <c r="F3517" t="s">
        <v>12863</v>
      </c>
      <c r="G3517" s="1">
        <v>30621</v>
      </c>
      <c r="J3517" t="s">
        <v>18179</v>
      </c>
      <c r="K3517" t="s">
        <v>291</v>
      </c>
      <c r="L3517" t="s">
        <v>18180</v>
      </c>
      <c r="M3517">
        <v>968.91020000000003</v>
      </c>
      <c r="N3517" t="s">
        <v>18181</v>
      </c>
      <c r="O3517" t="s">
        <v>26</v>
      </c>
      <c r="P3517">
        <v>150</v>
      </c>
      <c r="Q3517">
        <v>125</v>
      </c>
      <c r="R3517">
        <v>100</v>
      </c>
      <c r="S3517">
        <v>150</v>
      </c>
      <c r="T3517" t="s">
        <v>18182</v>
      </c>
    </row>
    <row r="3518" spans="1:20">
      <c r="A3518">
        <v>3331576</v>
      </c>
      <c r="B3518" t="s">
        <v>18183</v>
      </c>
      <c r="C3518" t="str">
        <f>"9780886293185"</f>
        <v>9780886293185</v>
      </c>
      <c r="D3518" t="str">
        <f>"9780773574052"</f>
        <v>9780773574052</v>
      </c>
      <c r="E3518" t="s">
        <v>12863</v>
      </c>
      <c r="F3518" t="s">
        <v>12863</v>
      </c>
      <c r="G3518" s="1">
        <v>35445</v>
      </c>
      <c r="I3518" t="s">
        <v>13270</v>
      </c>
      <c r="J3518" t="s">
        <v>18184</v>
      </c>
      <c r="K3518" t="s">
        <v>291</v>
      </c>
      <c r="L3518" t="s">
        <v>18185</v>
      </c>
      <c r="M3518">
        <v>973.52300000000002</v>
      </c>
      <c r="N3518" t="s">
        <v>18186</v>
      </c>
      <c r="O3518" t="s">
        <v>26</v>
      </c>
      <c r="P3518">
        <v>44.93</v>
      </c>
      <c r="Q3518">
        <v>37.44</v>
      </c>
      <c r="R3518">
        <v>29.95</v>
      </c>
      <c r="S3518">
        <v>44.93</v>
      </c>
      <c r="T3518" t="s">
        <v>18187</v>
      </c>
    </row>
    <row r="3519" spans="1:20">
      <c r="A3519">
        <v>3331577</v>
      </c>
      <c r="B3519" t="s">
        <v>18188</v>
      </c>
      <c r="C3519" t="str">
        <f>"9780886290047"</f>
        <v>9780886290047</v>
      </c>
      <c r="D3519" t="str">
        <f>"9780773573352"</f>
        <v>9780773573352</v>
      </c>
      <c r="E3519" t="s">
        <v>12907</v>
      </c>
      <c r="F3519" t="s">
        <v>12907</v>
      </c>
      <c r="G3519" s="1">
        <v>41818</v>
      </c>
      <c r="I3519" t="s">
        <v>16998</v>
      </c>
      <c r="J3519" t="s">
        <v>18189</v>
      </c>
      <c r="K3519" t="s">
        <v>1464</v>
      </c>
      <c r="L3519" t="s">
        <v>18190</v>
      </c>
      <c r="M3519" t="s">
        <v>18191</v>
      </c>
      <c r="N3519" t="s">
        <v>18192</v>
      </c>
      <c r="O3519" t="s">
        <v>26</v>
      </c>
      <c r="P3519">
        <v>127.5</v>
      </c>
      <c r="Q3519">
        <v>106.25</v>
      </c>
      <c r="R3519">
        <v>85</v>
      </c>
      <c r="S3519">
        <v>127.5</v>
      </c>
      <c r="T3519" t="s">
        <v>18193</v>
      </c>
    </row>
    <row r="3520" spans="1:20">
      <c r="A3520">
        <v>3331578</v>
      </c>
      <c r="B3520" t="s">
        <v>18194</v>
      </c>
      <c r="C3520" t="str">
        <f>"9780773528536"</f>
        <v>9780773528536</v>
      </c>
      <c r="D3520" t="str">
        <f>"9780773572591"</f>
        <v>9780773572591</v>
      </c>
      <c r="E3520" t="s">
        <v>12863</v>
      </c>
      <c r="F3520" t="s">
        <v>12863</v>
      </c>
      <c r="G3520" s="1">
        <v>38392</v>
      </c>
      <c r="J3520" t="s">
        <v>18195</v>
      </c>
      <c r="K3520" t="s">
        <v>1892</v>
      </c>
      <c r="L3520" t="s">
        <v>18196</v>
      </c>
      <c r="M3520">
        <v>266.009511809044</v>
      </c>
      <c r="N3520" t="s">
        <v>18197</v>
      </c>
      <c r="O3520" t="s">
        <v>26</v>
      </c>
      <c r="P3520">
        <v>67.430000000000007</v>
      </c>
      <c r="Q3520">
        <v>56.19</v>
      </c>
      <c r="R3520">
        <v>44.95</v>
      </c>
      <c r="S3520">
        <v>67.430000000000007</v>
      </c>
      <c r="T3520" t="s">
        <v>18198</v>
      </c>
    </row>
    <row r="3521" spans="1:20">
      <c r="A3521">
        <v>3331579</v>
      </c>
      <c r="B3521" t="s">
        <v>18199</v>
      </c>
      <c r="C3521" t="str">
        <f>"9780773517820"</f>
        <v>9780773517820</v>
      </c>
      <c r="D3521" t="str">
        <f>"9780773567412"</f>
        <v>9780773567412</v>
      </c>
      <c r="E3521" t="s">
        <v>12863</v>
      </c>
      <c r="F3521" t="s">
        <v>12863</v>
      </c>
      <c r="G3521" s="1">
        <v>36100</v>
      </c>
      <c r="J3521" t="s">
        <v>18200</v>
      </c>
      <c r="K3521" t="s">
        <v>291</v>
      </c>
      <c r="L3521" t="s">
        <v>18201</v>
      </c>
      <c r="M3521">
        <v>929.42097179999996</v>
      </c>
      <c r="N3521" t="s">
        <v>18202</v>
      </c>
      <c r="O3521" t="s">
        <v>26</v>
      </c>
      <c r="P3521">
        <v>97.5</v>
      </c>
      <c r="Q3521">
        <v>81.25</v>
      </c>
      <c r="R3521">
        <v>65</v>
      </c>
      <c r="S3521">
        <v>97.5</v>
      </c>
      <c r="T3521" t="s">
        <v>18203</v>
      </c>
    </row>
    <row r="3522" spans="1:20">
      <c r="A3522">
        <v>3331580</v>
      </c>
      <c r="B3522" t="s">
        <v>18204</v>
      </c>
      <c r="C3522" t="str">
        <f>"9780773529700"</f>
        <v>9780773529700</v>
      </c>
      <c r="D3522" t="str">
        <f>"9780773573192"</f>
        <v>9780773573192</v>
      </c>
      <c r="E3522" t="s">
        <v>12863</v>
      </c>
      <c r="F3522" t="s">
        <v>12863</v>
      </c>
      <c r="G3522" s="1">
        <v>38698</v>
      </c>
      <c r="I3522" t="s">
        <v>12886</v>
      </c>
      <c r="J3522" t="s">
        <v>17279</v>
      </c>
      <c r="K3522" t="s">
        <v>1892</v>
      </c>
      <c r="L3522" t="s">
        <v>17280</v>
      </c>
      <c r="M3522">
        <v>271.97000000000003</v>
      </c>
      <c r="N3522" t="s">
        <v>18205</v>
      </c>
      <c r="O3522" t="s">
        <v>26</v>
      </c>
      <c r="P3522">
        <v>44.93</v>
      </c>
      <c r="Q3522">
        <v>37.44</v>
      </c>
      <c r="R3522">
        <v>29.95</v>
      </c>
      <c r="S3522">
        <v>44.93</v>
      </c>
      <c r="T3522" t="s">
        <v>18206</v>
      </c>
    </row>
    <row r="3523" spans="1:20">
      <c r="A3523">
        <v>3331581</v>
      </c>
      <c r="B3523" t="s">
        <v>18207</v>
      </c>
      <c r="C3523" t="str">
        <f>"9780773503212"</f>
        <v>9780773503212</v>
      </c>
      <c r="D3523" t="str">
        <f>"9780773560710"</f>
        <v>9780773560710</v>
      </c>
      <c r="E3523" t="s">
        <v>12907</v>
      </c>
      <c r="F3523" t="s">
        <v>12907</v>
      </c>
      <c r="G3523" s="1">
        <v>28887</v>
      </c>
      <c r="J3523" t="s">
        <v>18208</v>
      </c>
      <c r="K3523" t="s">
        <v>6444</v>
      </c>
      <c r="L3523" t="s">
        <v>18209</v>
      </c>
      <c r="M3523">
        <v>320.971</v>
      </c>
      <c r="N3523" t="s">
        <v>18210</v>
      </c>
      <c r="O3523" t="s">
        <v>26</v>
      </c>
      <c r="P3523">
        <v>142.5</v>
      </c>
      <c r="Q3523">
        <v>118.75</v>
      </c>
      <c r="R3523">
        <v>95</v>
      </c>
      <c r="S3523">
        <v>142.5</v>
      </c>
      <c r="T3523" t="s">
        <v>18211</v>
      </c>
    </row>
    <row r="3524" spans="1:20">
      <c r="A3524">
        <v>3331582</v>
      </c>
      <c r="B3524" t="s">
        <v>18212</v>
      </c>
      <c r="C3524" t="str">
        <f>"9780773529472"</f>
        <v>9780773529472</v>
      </c>
      <c r="D3524" t="str">
        <f>"9780773573109"</f>
        <v>9780773573109</v>
      </c>
      <c r="E3524" t="s">
        <v>12863</v>
      </c>
      <c r="F3524" t="s">
        <v>12863</v>
      </c>
      <c r="G3524" s="1">
        <v>38617</v>
      </c>
      <c r="I3524" t="s">
        <v>18213</v>
      </c>
      <c r="J3524" t="s">
        <v>18214</v>
      </c>
      <c r="K3524" t="s">
        <v>467</v>
      </c>
      <c r="L3524" t="s">
        <v>16386</v>
      </c>
      <c r="M3524">
        <v>320.089</v>
      </c>
      <c r="N3524" t="s">
        <v>18215</v>
      </c>
      <c r="O3524" t="s">
        <v>26</v>
      </c>
      <c r="P3524">
        <v>142.5</v>
      </c>
      <c r="Q3524">
        <v>118.75</v>
      </c>
      <c r="R3524">
        <v>95</v>
      </c>
      <c r="S3524">
        <v>142.5</v>
      </c>
      <c r="T3524" t="s">
        <v>18216</v>
      </c>
    </row>
    <row r="3525" spans="1:20">
      <c r="A3525">
        <v>3331583</v>
      </c>
      <c r="B3525" t="s">
        <v>18217</v>
      </c>
      <c r="C3525" t="str">
        <f>"9780773528659"</f>
        <v>9780773528659</v>
      </c>
      <c r="D3525" t="str">
        <f>"9780773572669"</f>
        <v>9780773572669</v>
      </c>
      <c r="E3525" t="s">
        <v>12863</v>
      </c>
      <c r="F3525" t="s">
        <v>12863</v>
      </c>
      <c r="G3525" s="1">
        <v>38614</v>
      </c>
      <c r="J3525" t="s">
        <v>18218</v>
      </c>
      <c r="K3525" t="s">
        <v>291</v>
      </c>
      <c r="L3525" t="s">
        <v>18219</v>
      </c>
      <c r="M3525">
        <v>971.505</v>
      </c>
      <c r="N3525" t="s">
        <v>18220</v>
      </c>
      <c r="O3525" t="s">
        <v>26</v>
      </c>
      <c r="P3525">
        <v>142.5</v>
      </c>
      <c r="Q3525">
        <v>118.75</v>
      </c>
      <c r="R3525">
        <v>95</v>
      </c>
      <c r="S3525">
        <v>142.5</v>
      </c>
      <c r="T3525" t="s">
        <v>18221</v>
      </c>
    </row>
    <row r="3526" spans="1:20">
      <c r="A3526">
        <v>3331584</v>
      </c>
      <c r="B3526" t="s">
        <v>18222</v>
      </c>
      <c r="C3526" t="str">
        <f>"9780773515284"</f>
        <v>9780773515284</v>
      </c>
      <c r="D3526" t="str">
        <f>"9780773566392"</f>
        <v>9780773566392</v>
      </c>
      <c r="E3526" t="s">
        <v>12863</v>
      </c>
      <c r="F3526" t="s">
        <v>12863</v>
      </c>
      <c r="G3526" s="1">
        <v>35516</v>
      </c>
      <c r="J3526" t="s">
        <v>18223</v>
      </c>
      <c r="K3526" t="s">
        <v>1464</v>
      </c>
      <c r="L3526" t="s">
        <v>18224</v>
      </c>
      <c r="M3526">
        <v>843.91090999999994</v>
      </c>
      <c r="N3526" t="s">
        <v>18225</v>
      </c>
      <c r="O3526" t="s">
        <v>26</v>
      </c>
      <c r="P3526">
        <v>142.5</v>
      </c>
      <c r="Q3526">
        <v>118.75</v>
      </c>
      <c r="R3526">
        <v>95</v>
      </c>
      <c r="S3526">
        <v>142.5</v>
      </c>
      <c r="T3526" t="s">
        <v>18226</v>
      </c>
    </row>
    <row r="3527" spans="1:20">
      <c r="A3527">
        <v>3331585</v>
      </c>
      <c r="B3527" t="s">
        <v>18227</v>
      </c>
      <c r="C3527" t="str">
        <f>"9780773528178"</f>
        <v>9780773528178</v>
      </c>
      <c r="D3527" t="str">
        <f>"9780773572409"</f>
        <v>9780773572409</v>
      </c>
      <c r="E3527" t="s">
        <v>12907</v>
      </c>
      <c r="F3527" t="s">
        <v>12907</v>
      </c>
      <c r="G3527" s="1">
        <v>38316</v>
      </c>
      <c r="J3527" t="s">
        <v>3409</v>
      </c>
      <c r="K3527" t="s">
        <v>3095</v>
      </c>
      <c r="L3527" t="s">
        <v>18228</v>
      </c>
      <c r="M3527">
        <v>363.10719999999998</v>
      </c>
      <c r="N3527" t="s">
        <v>18229</v>
      </c>
      <c r="O3527" t="s">
        <v>26</v>
      </c>
      <c r="P3527">
        <v>49.43</v>
      </c>
      <c r="Q3527">
        <v>41.19</v>
      </c>
      <c r="R3527">
        <v>32.950000000000003</v>
      </c>
      <c r="S3527">
        <v>49.43</v>
      </c>
      <c r="T3527" t="s">
        <v>18230</v>
      </c>
    </row>
    <row r="3528" spans="1:20">
      <c r="A3528">
        <v>3331586</v>
      </c>
      <c r="B3528" t="s">
        <v>18231</v>
      </c>
      <c r="C3528" t="str">
        <f>"9780773528246"</f>
        <v>9780773528246</v>
      </c>
      <c r="D3528" t="str">
        <f>"9780773572447"</f>
        <v>9780773572447</v>
      </c>
      <c r="E3528" t="s">
        <v>12863</v>
      </c>
      <c r="F3528" t="s">
        <v>12863</v>
      </c>
      <c r="G3528" s="1">
        <v>38499</v>
      </c>
      <c r="I3528" t="s">
        <v>12871</v>
      </c>
      <c r="J3528" t="s">
        <v>18232</v>
      </c>
      <c r="K3528" t="s">
        <v>18233</v>
      </c>
      <c r="L3528" t="s">
        <v>18234</v>
      </c>
      <c r="M3528">
        <v>388.55089970709997</v>
      </c>
      <c r="N3528" t="s">
        <v>18235</v>
      </c>
      <c r="O3528" t="s">
        <v>26</v>
      </c>
      <c r="P3528">
        <v>142.5</v>
      </c>
      <c r="Q3528">
        <v>118.75</v>
      </c>
      <c r="R3528">
        <v>95</v>
      </c>
      <c r="S3528">
        <v>142.5</v>
      </c>
      <c r="T3528" t="s">
        <v>18236</v>
      </c>
    </row>
    <row r="3529" spans="1:20">
      <c r="A3529">
        <v>3331587</v>
      </c>
      <c r="B3529" t="s">
        <v>18237</v>
      </c>
      <c r="C3529" t="str">
        <f>"9780773529328"</f>
        <v>9780773529328</v>
      </c>
      <c r="D3529" t="str">
        <f>"9780773573017"</f>
        <v>9780773573017</v>
      </c>
      <c r="E3529" t="s">
        <v>12863</v>
      </c>
      <c r="F3529" t="s">
        <v>12863</v>
      </c>
      <c r="G3529" s="1">
        <v>38747</v>
      </c>
      <c r="H3529" t="s">
        <v>18238</v>
      </c>
      <c r="I3529" t="s">
        <v>13270</v>
      </c>
      <c r="J3529" t="s">
        <v>18239</v>
      </c>
      <c r="K3529" t="s">
        <v>416</v>
      </c>
      <c r="L3529" t="s">
        <v>14382</v>
      </c>
      <c r="M3529">
        <v>338.971</v>
      </c>
      <c r="N3529" t="s">
        <v>18240</v>
      </c>
      <c r="O3529" t="s">
        <v>26</v>
      </c>
      <c r="P3529">
        <v>142.5</v>
      </c>
      <c r="Q3529">
        <v>118.75</v>
      </c>
      <c r="R3529">
        <v>95</v>
      </c>
      <c r="S3529">
        <v>142.5</v>
      </c>
      <c r="T3529" t="s">
        <v>18241</v>
      </c>
    </row>
    <row r="3530" spans="1:20">
      <c r="A3530">
        <v>3331588</v>
      </c>
      <c r="B3530" t="s">
        <v>18242</v>
      </c>
      <c r="C3530" t="str">
        <f>"9780773529991"</f>
        <v>9780773529991</v>
      </c>
      <c r="D3530" t="str">
        <f>"9780773573260"</f>
        <v>9780773573260</v>
      </c>
      <c r="E3530" t="s">
        <v>12907</v>
      </c>
      <c r="F3530" t="s">
        <v>12907</v>
      </c>
      <c r="G3530" s="1">
        <v>38596</v>
      </c>
      <c r="J3530" t="s">
        <v>18243</v>
      </c>
      <c r="K3530" t="s">
        <v>4347</v>
      </c>
      <c r="L3530" t="s">
        <v>18244</v>
      </c>
      <c r="M3530" t="s">
        <v>18245</v>
      </c>
      <c r="N3530" t="s">
        <v>18246</v>
      </c>
      <c r="O3530" t="s">
        <v>26</v>
      </c>
      <c r="P3530">
        <v>44.93</v>
      </c>
      <c r="Q3530">
        <v>37.44</v>
      </c>
      <c r="R3530">
        <v>29.95</v>
      </c>
      <c r="S3530">
        <v>44.93</v>
      </c>
      <c r="T3530" t="s">
        <v>18247</v>
      </c>
    </row>
    <row r="3531" spans="1:20">
      <c r="A3531">
        <v>3331589</v>
      </c>
      <c r="B3531" t="s">
        <v>18248</v>
      </c>
      <c r="C3531" t="str">
        <f>"9780773528222"</f>
        <v>9780773528222</v>
      </c>
      <c r="D3531" t="str">
        <f>"9780773572423"</f>
        <v>9780773572423</v>
      </c>
      <c r="E3531" t="s">
        <v>12863</v>
      </c>
      <c r="F3531" t="s">
        <v>12863</v>
      </c>
      <c r="G3531" s="1">
        <v>38394</v>
      </c>
      <c r="J3531" t="s">
        <v>18249</v>
      </c>
      <c r="K3531" t="s">
        <v>1464</v>
      </c>
      <c r="L3531" t="s">
        <v>18250</v>
      </c>
      <c r="M3531">
        <v>809.39352799999995</v>
      </c>
      <c r="N3531" t="s">
        <v>18251</v>
      </c>
      <c r="O3531" t="s">
        <v>26</v>
      </c>
      <c r="P3531">
        <v>142.5</v>
      </c>
      <c r="Q3531">
        <v>118.75</v>
      </c>
      <c r="R3531">
        <v>95</v>
      </c>
      <c r="S3531">
        <v>142.5</v>
      </c>
      <c r="T3531" t="s">
        <v>18252</v>
      </c>
    </row>
    <row r="3532" spans="1:20">
      <c r="A3532">
        <v>3331590</v>
      </c>
      <c r="B3532" t="s">
        <v>18253</v>
      </c>
      <c r="C3532" t="str">
        <f>"9780773590502"</f>
        <v>9780773590502</v>
      </c>
      <c r="D3532" t="str">
        <f>"9780773573345"</f>
        <v>9780773573345</v>
      </c>
      <c r="E3532" t="s">
        <v>12863</v>
      </c>
      <c r="F3532" t="s">
        <v>12863</v>
      </c>
      <c r="G3532" s="1">
        <v>25204</v>
      </c>
      <c r="J3532" t="s">
        <v>18254</v>
      </c>
      <c r="K3532" t="s">
        <v>7075</v>
      </c>
      <c r="L3532" t="s">
        <v>18255</v>
      </c>
      <c r="M3532">
        <v>16.61</v>
      </c>
      <c r="N3532" t="s">
        <v>18256</v>
      </c>
      <c r="O3532" t="s">
        <v>26</v>
      </c>
      <c r="P3532">
        <v>112.5</v>
      </c>
      <c r="Q3532">
        <v>93.75</v>
      </c>
      <c r="R3532">
        <v>75</v>
      </c>
      <c r="S3532">
        <v>112.5</v>
      </c>
      <c r="T3532" t="s">
        <v>18257</v>
      </c>
    </row>
    <row r="3533" spans="1:20">
      <c r="A3533">
        <v>3331591</v>
      </c>
      <c r="B3533" t="s">
        <v>18258</v>
      </c>
      <c r="C3533" t="str">
        <f>"9780773508705"</f>
        <v>9780773508705</v>
      </c>
      <c r="D3533" t="str">
        <f>"9780773563124"</f>
        <v>9780773563124</v>
      </c>
      <c r="E3533" t="s">
        <v>12863</v>
      </c>
      <c r="F3533" t="s">
        <v>12863</v>
      </c>
      <c r="G3533" s="1">
        <v>33298</v>
      </c>
      <c r="J3533" t="s">
        <v>18259</v>
      </c>
      <c r="K3533" t="s">
        <v>291</v>
      </c>
      <c r="L3533" t="s">
        <v>18260</v>
      </c>
      <c r="M3533">
        <v>998.2</v>
      </c>
      <c r="N3533" t="s">
        <v>18261</v>
      </c>
      <c r="O3533" t="s">
        <v>26</v>
      </c>
      <c r="P3533">
        <v>127.5</v>
      </c>
      <c r="Q3533">
        <v>106.25</v>
      </c>
      <c r="R3533">
        <v>85</v>
      </c>
      <c r="S3533">
        <v>127.5</v>
      </c>
      <c r="T3533" t="s">
        <v>18262</v>
      </c>
    </row>
    <row r="3534" spans="1:20">
      <c r="A3534">
        <v>3331592</v>
      </c>
      <c r="B3534" t="s">
        <v>18263</v>
      </c>
      <c r="C3534" t="str">
        <f>"9780773528420"</f>
        <v>9780773528420</v>
      </c>
      <c r="D3534" t="str">
        <f>"9780773572515"</f>
        <v>9780773572515</v>
      </c>
      <c r="E3534" t="s">
        <v>12863</v>
      </c>
      <c r="F3534" t="s">
        <v>12863</v>
      </c>
      <c r="G3534" s="1">
        <v>38421</v>
      </c>
      <c r="J3534" t="s">
        <v>18264</v>
      </c>
      <c r="K3534" t="s">
        <v>550</v>
      </c>
      <c r="L3534" t="s">
        <v>18265</v>
      </c>
      <c r="M3534">
        <v>305.42068899999998</v>
      </c>
      <c r="N3534" t="s">
        <v>18266</v>
      </c>
      <c r="O3534" t="s">
        <v>26</v>
      </c>
      <c r="P3534">
        <v>142.5</v>
      </c>
      <c r="Q3534">
        <v>118.75</v>
      </c>
      <c r="R3534">
        <v>95</v>
      </c>
      <c r="S3534">
        <v>142.5</v>
      </c>
      <c r="T3534" t="s">
        <v>18267</v>
      </c>
    </row>
    <row r="3535" spans="1:20">
      <c r="A3535">
        <v>3331593</v>
      </c>
      <c r="B3535" t="s">
        <v>18268</v>
      </c>
      <c r="C3535" t="str">
        <f>"9780773528758"</f>
        <v>9780773528758</v>
      </c>
      <c r="D3535" t="str">
        <f>"9780773572768"</f>
        <v>9780773572768</v>
      </c>
      <c r="E3535" t="s">
        <v>12907</v>
      </c>
      <c r="F3535" t="s">
        <v>12907</v>
      </c>
      <c r="G3535" s="1">
        <v>38553</v>
      </c>
      <c r="J3535" t="s">
        <v>18269</v>
      </c>
      <c r="K3535" t="s">
        <v>2951</v>
      </c>
      <c r="L3535" t="s">
        <v>18270</v>
      </c>
      <c r="M3535" t="s">
        <v>18271</v>
      </c>
      <c r="N3535" t="s">
        <v>18272</v>
      </c>
      <c r="O3535" t="s">
        <v>26</v>
      </c>
      <c r="P3535">
        <v>142.5</v>
      </c>
      <c r="Q3535">
        <v>118.75</v>
      </c>
      <c r="R3535">
        <v>95</v>
      </c>
      <c r="S3535">
        <v>142.5</v>
      </c>
      <c r="T3535" t="s">
        <v>18273</v>
      </c>
    </row>
    <row r="3536" spans="1:20">
      <c r="A3536">
        <v>3331594</v>
      </c>
      <c r="B3536" t="s">
        <v>18274</v>
      </c>
      <c r="C3536" t="str">
        <f>"9780773516083"</f>
        <v>9780773516083</v>
      </c>
      <c r="D3536" t="str">
        <f>"9780773566583"</f>
        <v>9780773566583</v>
      </c>
      <c r="E3536" t="s">
        <v>12863</v>
      </c>
      <c r="F3536" t="s">
        <v>12863</v>
      </c>
      <c r="G3536" s="1">
        <v>35578</v>
      </c>
      <c r="J3536" t="s">
        <v>17821</v>
      </c>
      <c r="K3536" t="s">
        <v>69</v>
      </c>
      <c r="L3536" t="s">
        <v>18275</v>
      </c>
      <c r="M3536">
        <v>539.75209219999999</v>
      </c>
      <c r="N3536" t="s">
        <v>18276</v>
      </c>
      <c r="O3536" t="s">
        <v>26</v>
      </c>
      <c r="P3536">
        <v>142.5</v>
      </c>
      <c r="Q3536">
        <v>118.75</v>
      </c>
      <c r="R3536">
        <v>95</v>
      </c>
      <c r="S3536">
        <v>142.5</v>
      </c>
      <c r="T3536" t="s">
        <v>18277</v>
      </c>
    </row>
    <row r="3537" spans="1:20">
      <c r="A3537">
        <v>3331595</v>
      </c>
      <c r="B3537" t="s">
        <v>18278</v>
      </c>
      <c r="C3537" t="str">
        <f>"9780773528413"</f>
        <v>9780773528413</v>
      </c>
      <c r="D3537" t="str">
        <f>"9780773572508"</f>
        <v>9780773572508</v>
      </c>
      <c r="E3537" t="s">
        <v>12863</v>
      </c>
      <c r="F3537" t="s">
        <v>12863</v>
      </c>
      <c r="G3537" s="1">
        <v>38505</v>
      </c>
      <c r="I3537" t="s">
        <v>18279</v>
      </c>
      <c r="J3537" t="s">
        <v>18280</v>
      </c>
      <c r="K3537" t="s">
        <v>291</v>
      </c>
      <c r="L3537" t="s">
        <v>18281</v>
      </c>
      <c r="M3537">
        <v>940.53086914092</v>
      </c>
      <c r="N3537" t="s">
        <v>18282</v>
      </c>
      <c r="O3537" t="s">
        <v>26</v>
      </c>
      <c r="P3537">
        <v>52.43</v>
      </c>
      <c r="Q3537">
        <v>43.69</v>
      </c>
      <c r="R3537">
        <v>34.950000000000003</v>
      </c>
      <c r="S3537">
        <v>52.43</v>
      </c>
      <c r="T3537" t="s">
        <v>18283</v>
      </c>
    </row>
    <row r="3538" spans="1:20">
      <c r="A3538">
        <v>3331596</v>
      </c>
      <c r="B3538" t="s">
        <v>18284</v>
      </c>
      <c r="C3538" t="str">
        <f>"9780773529373"</f>
        <v>9780773529373</v>
      </c>
      <c r="D3538" t="str">
        <f>"9780773573048"</f>
        <v>9780773573048</v>
      </c>
      <c r="E3538" t="s">
        <v>12863</v>
      </c>
      <c r="F3538" t="s">
        <v>12863</v>
      </c>
      <c r="G3538" s="1">
        <v>38754</v>
      </c>
      <c r="J3538" t="s">
        <v>18285</v>
      </c>
      <c r="K3538" t="s">
        <v>1464</v>
      </c>
      <c r="L3538" t="s">
        <v>18286</v>
      </c>
      <c r="M3538" t="s">
        <v>3215</v>
      </c>
      <c r="N3538" t="s">
        <v>18287</v>
      </c>
      <c r="O3538" t="s">
        <v>26</v>
      </c>
      <c r="P3538">
        <v>142.5</v>
      </c>
      <c r="Q3538">
        <v>118.75</v>
      </c>
      <c r="R3538">
        <v>95</v>
      </c>
      <c r="S3538">
        <v>142.5</v>
      </c>
      <c r="T3538" t="s">
        <v>18288</v>
      </c>
    </row>
    <row r="3539" spans="1:20">
      <c r="A3539">
        <v>3331597</v>
      </c>
      <c r="B3539" t="s">
        <v>18289</v>
      </c>
      <c r="C3539" t="str">
        <f>"9780773511316"</f>
        <v>9780773511316</v>
      </c>
      <c r="D3539" t="str">
        <f>"9780773564374"</f>
        <v>9780773564374</v>
      </c>
      <c r="E3539" t="s">
        <v>12863</v>
      </c>
      <c r="F3539" t="s">
        <v>12863</v>
      </c>
      <c r="G3539" s="1">
        <v>33988</v>
      </c>
      <c r="J3539" t="s">
        <v>18290</v>
      </c>
      <c r="K3539" t="s">
        <v>1892</v>
      </c>
      <c r="L3539" t="s">
        <v>18291</v>
      </c>
      <c r="M3539">
        <v>269</v>
      </c>
      <c r="N3539" t="s">
        <v>18292</v>
      </c>
      <c r="O3539" t="s">
        <v>26</v>
      </c>
      <c r="P3539">
        <v>142.5</v>
      </c>
      <c r="Q3539">
        <v>118.75</v>
      </c>
      <c r="R3539">
        <v>95</v>
      </c>
      <c r="S3539">
        <v>142.5</v>
      </c>
      <c r="T3539" t="s">
        <v>18293</v>
      </c>
    </row>
    <row r="3540" spans="1:20">
      <c r="A3540">
        <v>3331598</v>
      </c>
      <c r="B3540" t="s">
        <v>18294</v>
      </c>
      <c r="C3540" t="str">
        <f>"9780886290306"</f>
        <v>9780886290306</v>
      </c>
      <c r="D3540" t="str">
        <f>"9780773573406"</f>
        <v>9780773573406</v>
      </c>
      <c r="E3540" t="s">
        <v>12863</v>
      </c>
      <c r="F3540" t="s">
        <v>12863</v>
      </c>
      <c r="G3540" s="1">
        <v>31517</v>
      </c>
      <c r="I3540" t="s">
        <v>13270</v>
      </c>
      <c r="J3540" t="s">
        <v>18295</v>
      </c>
      <c r="K3540" t="s">
        <v>1464</v>
      </c>
      <c r="L3540" t="s">
        <v>18296</v>
      </c>
      <c r="M3540">
        <v>843.52</v>
      </c>
      <c r="N3540" t="s">
        <v>18297</v>
      </c>
      <c r="O3540" t="s">
        <v>26</v>
      </c>
      <c r="P3540">
        <v>142.5</v>
      </c>
      <c r="Q3540">
        <v>118.75</v>
      </c>
      <c r="R3540">
        <v>95</v>
      </c>
      <c r="S3540">
        <v>142.5</v>
      </c>
      <c r="T3540" t="s">
        <v>18298</v>
      </c>
    </row>
    <row r="3541" spans="1:20">
      <c r="A3541">
        <v>3331599</v>
      </c>
      <c r="B3541" t="s">
        <v>18299</v>
      </c>
      <c r="C3541" t="str">
        <f>"9780773529960"</f>
        <v>9780773529960</v>
      </c>
      <c r="D3541" t="str">
        <f>"9780773573253"</f>
        <v>9780773573253</v>
      </c>
      <c r="E3541" t="s">
        <v>12863</v>
      </c>
      <c r="F3541" t="s">
        <v>12863</v>
      </c>
      <c r="G3541" s="1">
        <v>38727</v>
      </c>
      <c r="I3541" t="s">
        <v>18213</v>
      </c>
      <c r="J3541" t="s">
        <v>18300</v>
      </c>
      <c r="K3541" t="s">
        <v>416</v>
      </c>
      <c r="L3541" t="s">
        <v>18301</v>
      </c>
      <c r="M3541">
        <v>330.94889999999998</v>
      </c>
      <c r="N3541" t="s">
        <v>18302</v>
      </c>
      <c r="O3541" t="s">
        <v>26</v>
      </c>
      <c r="P3541">
        <v>142.5</v>
      </c>
      <c r="Q3541">
        <v>118.75</v>
      </c>
      <c r="R3541">
        <v>95</v>
      </c>
      <c r="S3541">
        <v>142.5</v>
      </c>
      <c r="T3541" t="s">
        <v>18303</v>
      </c>
    </row>
    <row r="3542" spans="1:20">
      <c r="A3542">
        <v>3331600</v>
      </c>
      <c r="B3542" t="s">
        <v>18304</v>
      </c>
      <c r="C3542" t="str">
        <f>"9782894483114"</f>
        <v>9782894483114</v>
      </c>
      <c r="D3542" t="str">
        <f>"9780773574274"</f>
        <v>9780773574274</v>
      </c>
      <c r="E3542" t="s">
        <v>12863</v>
      </c>
      <c r="F3542" t="s">
        <v>12863</v>
      </c>
      <c r="G3542" s="1">
        <v>37288</v>
      </c>
      <c r="J3542" t="s">
        <v>18305</v>
      </c>
      <c r="K3542" t="s">
        <v>7063</v>
      </c>
      <c r="L3542" t="s">
        <v>18306</v>
      </c>
      <c r="M3542">
        <v>323.11970714</v>
      </c>
      <c r="N3542" t="s">
        <v>18307</v>
      </c>
      <c r="O3542" t="s">
        <v>26</v>
      </c>
      <c r="P3542">
        <v>67.5</v>
      </c>
      <c r="Q3542">
        <v>56.25</v>
      </c>
      <c r="R3542">
        <v>45</v>
      </c>
      <c r="S3542">
        <v>67.5</v>
      </c>
      <c r="T3542" t="s">
        <v>18308</v>
      </c>
    </row>
    <row r="3543" spans="1:20">
      <c r="A3543">
        <v>3331601</v>
      </c>
      <c r="B3543" t="s">
        <v>18309</v>
      </c>
      <c r="C3543" t="str">
        <f>"9780773529007"</f>
        <v>9780773529007</v>
      </c>
      <c r="D3543" t="str">
        <f>"9780773572928"</f>
        <v>9780773572928</v>
      </c>
      <c r="E3543" t="s">
        <v>12863</v>
      </c>
      <c r="F3543" t="s">
        <v>12863</v>
      </c>
      <c r="G3543" s="1">
        <v>38611</v>
      </c>
      <c r="J3543" t="s">
        <v>18310</v>
      </c>
      <c r="K3543" t="s">
        <v>3939</v>
      </c>
      <c r="L3543" t="s">
        <v>18311</v>
      </c>
      <c r="M3543">
        <v>891.79933000000005</v>
      </c>
      <c r="N3543" t="s">
        <v>18312</v>
      </c>
      <c r="O3543" t="s">
        <v>26</v>
      </c>
      <c r="P3543">
        <v>142.5</v>
      </c>
      <c r="Q3543">
        <v>118.75</v>
      </c>
      <c r="R3543">
        <v>95</v>
      </c>
      <c r="S3543">
        <v>142.5</v>
      </c>
      <c r="T3543" t="s">
        <v>18313</v>
      </c>
    </row>
    <row r="3544" spans="1:20">
      <c r="A3544">
        <v>3331602</v>
      </c>
      <c r="B3544" t="s">
        <v>18314</v>
      </c>
      <c r="C3544" t="str">
        <f>"9780773528291"</f>
        <v>9780773528291</v>
      </c>
      <c r="D3544" t="str">
        <f>"9780773572478"</f>
        <v>9780773572478</v>
      </c>
      <c r="E3544" t="s">
        <v>12907</v>
      </c>
      <c r="F3544" t="s">
        <v>12907</v>
      </c>
      <c r="G3544" s="1">
        <v>38488</v>
      </c>
      <c r="J3544" t="s">
        <v>18315</v>
      </c>
      <c r="K3544" t="s">
        <v>2818</v>
      </c>
      <c r="L3544" t="s">
        <v>18316</v>
      </c>
      <c r="M3544" t="s">
        <v>18317</v>
      </c>
      <c r="N3544" t="s">
        <v>18318</v>
      </c>
      <c r="O3544" t="s">
        <v>26</v>
      </c>
      <c r="P3544">
        <v>142.5</v>
      </c>
      <c r="Q3544">
        <v>118.75</v>
      </c>
      <c r="R3544">
        <v>95</v>
      </c>
      <c r="S3544">
        <v>142.5</v>
      </c>
      <c r="T3544" t="s">
        <v>18319</v>
      </c>
    </row>
    <row r="3545" spans="1:20">
      <c r="A3545">
        <v>3331603</v>
      </c>
      <c r="B3545" t="s">
        <v>18320</v>
      </c>
      <c r="C3545" t="str">
        <f>"9780773528284"</f>
        <v>9780773528284</v>
      </c>
      <c r="D3545" t="str">
        <f>"9780773572461"</f>
        <v>9780773572461</v>
      </c>
      <c r="E3545" t="s">
        <v>12907</v>
      </c>
      <c r="F3545" t="s">
        <v>12907</v>
      </c>
      <c r="G3545" s="1">
        <v>38484</v>
      </c>
      <c r="J3545" t="s">
        <v>18321</v>
      </c>
      <c r="K3545" t="s">
        <v>291</v>
      </c>
      <c r="L3545" t="s">
        <v>18322</v>
      </c>
      <c r="M3545" t="s">
        <v>18323</v>
      </c>
      <c r="N3545" t="s">
        <v>18324</v>
      </c>
      <c r="O3545" t="s">
        <v>26</v>
      </c>
      <c r="P3545">
        <v>142.5</v>
      </c>
      <c r="Q3545">
        <v>118.75</v>
      </c>
      <c r="R3545">
        <v>95</v>
      </c>
      <c r="S3545">
        <v>142.5</v>
      </c>
      <c r="T3545" t="s">
        <v>18325</v>
      </c>
    </row>
    <row r="3546" spans="1:20">
      <c r="A3546">
        <v>3331604</v>
      </c>
      <c r="B3546" t="s">
        <v>18326</v>
      </c>
      <c r="C3546" t="str">
        <f>"9780773518049"</f>
        <v>9780773518049</v>
      </c>
      <c r="D3546" t="str">
        <f>"9780773567566"</f>
        <v>9780773567566</v>
      </c>
      <c r="E3546" t="s">
        <v>12863</v>
      </c>
      <c r="F3546" t="s">
        <v>12863</v>
      </c>
      <c r="G3546" s="1">
        <v>36147</v>
      </c>
      <c r="J3546" t="s">
        <v>16403</v>
      </c>
      <c r="K3546" t="s">
        <v>1464</v>
      </c>
      <c r="L3546" t="s">
        <v>18327</v>
      </c>
      <c r="M3546">
        <v>821.70899999999995</v>
      </c>
      <c r="N3546" t="s">
        <v>18328</v>
      </c>
      <c r="O3546" t="s">
        <v>26</v>
      </c>
      <c r="P3546">
        <v>142.5</v>
      </c>
      <c r="Q3546">
        <v>118.75</v>
      </c>
      <c r="R3546">
        <v>95</v>
      </c>
      <c r="S3546">
        <v>142.5</v>
      </c>
      <c r="T3546" t="s">
        <v>18329</v>
      </c>
    </row>
    <row r="3547" spans="1:20">
      <c r="A3547">
        <v>3331605</v>
      </c>
      <c r="B3547" t="s">
        <v>18330</v>
      </c>
      <c r="C3547" t="str">
        <f>"9780773528734"</f>
        <v>9780773528734</v>
      </c>
      <c r="D3547" t="str">
        <f>"9780773572744"</f>
        <v>9780773572744</v>
      </c>
      <c r="E3547" t="s">
        <v>12863</v>
      </c>
      <c r="F3547" t="s">
        <v>12863</v>
      </c>
      <c r="G3547" s="1">
        <v>38397</v>
      </c>
      <c r="J3547" t="s">
        <v>18331</v>
      </c>
      <c r="K3547" t="s">
        <v>1471</v>
      </c>
      <c r="L3547" t="s">
        <v>18332</v>
      </c>
      <c r="M3547">
        <v>745.09710904600001</v>
      </c>
      <c r="N3547" t="s">
        <v>18333</v>
      </c>
      <c r="O3547" t="s">
        <v>26</v>
      </c>
      <c r="P3547">
        <v>44.93</v>
      </c>
      <c r="Q3547">
        <v>37.44</v>
      </c>
      <c r="R3547">
        <v>29.95</v>
      </c>
      <c r="S3547">
        <v>44.93</v>
      </c>
      <c r="T3547" t="s">
        <v>18334</v>
      </c>
    </row>
    <row r="3548" spans="1:20">
      <c r="A3548">
        <v>3331606</v>
      </c>
      <c r="B3548" t="s">
        <v>18335</v>
      </c>
      <c r="C3548" t="str">
        <f>"9780773528697"</f>
        <v>9780773528697</v>
      </c>
      <c r="D3548" t="str">
        <f>"9780773572706"</f>
        <v>9780773572706</v>
      </c>
      <c r="E3548" t="s">
        <v>12863</v>
      </c>
      <c r="F3548" t="s">
        <v>12863</v>
      </c>
      <c r="G3548" s="1">
        <v>38484</v>
      </c>
      <c r="I3548" t="s">
        <v>12864</v>
      </c>
      <c r="J3548" t="s">
        <v>18336</v>
      </c>
      <c r="K3548" t="s">
        <v>2260</v>
      </c>
      <c r="L3548" t="s">
        <v>18337</v>
      </c>
      <c r="M3548">
        <v>616.99406423097105</v>
      </c>
      <c r="N3548" t="s">
        <v>18338</v>
      </c>
      <c r="O3548" t="s">
        <v>26</v>
      </c>
      <c r="P3548">
        <v>142.5</v>
      </c>
      <c r="Q3548">
        <v>118.75</v>
      </c>
      <c r="R3548">
        <v>95</v>
      </c>
      <c r="S3548">
        <v>142.5</v>
      </c>
      <c r="T3548" t="s">
        <v>18339</v>
      </c>
    </row>
    <row r="3549" spans="1:20">
      <c r="A3549">
        <v>3331607</v>
      </c>
      <c r="B3549" t="s">
        <v>18340</v>
      </c>
      <c r="C3549" t="str">
        <f>"9780773528031"</f>
        <v>9780773528031</v>
      </c>
      <c r="D3549" t="str">
        <f>"9780773572317"</f>
        <v>9780773572317</v>
      </c>
      <c r="E3549" t="s">
        <v>12863</v>
      </c>
      <c r="F3549" t="s">
        <v>12863</v>
      </c>
      <c r="G3549" s="1">
        <v>38364</v>
      </c>
      <c r="J3549" t="s">
        <v>18341</v>
      </c>
      <c r="K3549" t="s">
        <v>1464</v>
      </c>
      <c r="L3549" t="s">
        <v>18342</v>
      </c>
      <c r="M3549">
        <v>810.93553999999995</v>
      </c>
      <c r="N3549" t="s">
        <v>18343</v>
      </c>
      <c r="O3549" t="s">
        <v>26</v>
      </c>
      <c r="P3549">
        <v>142.5</v>
      </c>
      <c r="Q3549">
        <v>118.75</v>
      </c>
      <c r="R3549">
        <v>95</v>
      </c>
      <c r="S3549">
        <v>142.5</v>
      </c>
      <c r="T3549" t="s">
        <v>18344</v>
      </c>
    </row>
    <row r="3550" spans="1:20">
      <c r="A3550">
        <v>3331608</v>
      </c>
      <c r="B3550" t="s">
        <v>18345</v>
      </c>
      <c r="C3550" t="str">
        <f>"9780773523739"</f>
        <v>9780773523739</v>
      </c>
      <c r="D3550" t="str">
        <f>"9780773570269"</f>
        <v>9780773570269</v>
      </c>
      <c r="E3550" t="s">
        <v>12863</v>
      </c>
      <c r="F3550" t="s">
        <v>12863</v>
      </c>
      <c r="G3550" s="1">
        <v>37433</v>
      </c>
      <c r="J3550" t="s">
        <v>18346</v>
      </c>
      <c r="K3550" t="s">
        <v>1464</v>
      </c>
      <c r="L3550" t="s">
        <v>18347</v>
      </c>
      <c r="M3550">
        <v>843.54099286999997</v>
      </c>
      <c r="N3550" t="s">
        <v>18348</v>
      </c>
      <c r="O3550" t="s">
        <v>26</v>
      </c>
      <c r="P3550">
        <v>44.93</v>
      </c>
      <c r="Q3550">
        <v>37.44</v>
      </c>
      <c r="R3550">
        <v>29.95</v>
      </c>
      <c r="S3550">
        <v>44.93</v>
      </c>
      <c r="T3550" t="s">
        <v>18349</v>
      </c>
    </row>
    <row r="3551" spans="1:20">
      <c r="A3551">
        <v>3331609</v>
      </c>
      <c r="B3551" t="s">
        <v>18350</v>
      </c>
      <c r="C3551" t="str">
        <f>"9780771097645"</f>
        <v>9780771097645</v>
      </c>
      <c r="D3551" t="str">
        <f>"9780773560567"</f>
        <v>9780773560567</v>
      </c>
      <c r="E3551" t="s">
        <v>12863</v>
      </c>
      <c r="F3551" t="s">
        <v>12863</v>
      </c>
      <c r="G3551" s="1">
        <v>26679</v>
      </c>
      <c r="I3551" t="s">
        <v>13270</v>
      </c>
      <c r="J3551" t="s">
        <v>18351</v>
      </c>
      <c r="K3551" t="s">
        <v>1214</v>
      </c>
      <c r="L3551" t="s">
        <v>14114</v>
      </c>
      <c r="M3551">
        <v>342.71042</v>
      </c>
      <c r="N3551" t="s">
        <v>18352</v>
      </c>
      <c r="O3551" t="s">
        <v>26</v>
      </c>
      <c r="P3551">
        <v>142.5</v>
      </c>
      <c r="Q3551">
        <v>118.75</v>
      </c>
      <c r="R3551">
        <v>95</v>
      </c>
      <c r="S3551">
        <v>142.5</v>
      </c>
      <c r="T3551" t="s">
        <v>18353</v>
      </c>
    </row>
    <row r="3552" spans="1:20">
      <c r="A3552">
        <v>3331610</v>
      </c>
      <c r="B3552" t="s">
        <v>18354</v>
      </c>
      <c r="C3552" t="str">
        <f>"9780773523210"</f>
        <v>9780773523210</v>
      </c>
      <c r="D3552" t="str">
        <f>"9780773569928"</f>
        <v>9780773569928</v>
      </c>
      <c r="E3552" t="s">
        <v>12907</v>
      </c>
      <c r="F3552" t="s">
        <v>12907</v>
      </c>
      <c r="G3552" s="1">
        <v>38187</v>
      </c>
      <c r="J3552" t="s">
        <v>18355</v>
      </c>
      <c r="K3552" t="s">
        <v>291</v>
      </c>
      <c r="L3552" t="s">
        <v>18356</v>
      </c>
      <c r="M3552">
        <v>971.00491620000003</v>
      </c>
      <c r="N3552" t="s">
        <v>18357</v>
      </c>
      <c r="O3552" t="s">
        <v>26</v>
      </c>
      <c r="P3552">
        <v>49.43</v>
      </c>
      <c r="Q3552">
        <v>41.19</v>
      </c>
      <c r="R3552">
        <v>32.950000000000003</v>
      </c>
      <c r="S3552">
        <v>49.43</v>
      </c>
      <c r="T3552" t="s">
        <v>18358</v>
      </c>
    </row>
    <row r="3553" spans="1:20">
      <c r="A3553">
        <v>3331611</v>
      </c>
      <c r="B3553" t="s">
        <v>18359</v>
      </c>
      <c r="C3553" t="str">
        <f>"9780773513037"</f>
        <v>9780773513037</v>
      </c>
      <c r="D3553" t="str">
        <f>"9780773565395"</f>
        <v>9780773565395</v>
      </c>
      <c r="E3553" t="s">
        <v>12863</v>
      </c>
      <c r="F3553" t="s">
        <v>12863</v>
      </c>
      <c r="G3553" s="1">
        <v>34978</v>
      </c>
      <c r="J3553" t="s">
        <v>18360</v>
      </c>
      <c r="K3553" t="s">
        <v>291</v>
      </c>
      <c r="L3553" t="s">
        <v>18361</v>
      </c>
      <c r="M3553">
        <v>941.08209199999999</v>
      </c>
      <c r="N3553" t="s">
        <v>18362</v>
      </c>
      <c r="O3553" t="s">
        <v>26</v>
      </c>
      <c r="P3553">
        <v>142.5</v>
      </c>
      <c r="Q3553">
        <v>118.75</v>
      </c>
      <c r="R3553">
        <v>95</v>
      </c>
      <c r="S3553">
        <v>142.5</v>
      </c>
      <c r="T3553" t="s">
        <v>18363</v>
      </c>
    </row>
    <row r="3554" spans="1:20">
      <c r="A3554">
        <v>3331612</v>
      </c>
      <c r="B3554" t="s">
        <v>18364</v>
      </c>
      <c r="C3554" t="str">
        <f>"9780773507197"</f>
        <v>9780773507197</v>
      </c>
      <c r="D3554" t="str">
        <f>"9780773562189"</f>
        <v>9780773562189</v>
      </c>
      <c r="E3554" t="s">
        <v>12863</v>
      </c>
      <c r="F3554" t="s">
        <v>12863</v>
      </c>
      <c r="G3554" s="1">
        <v>32509</v>
      </c>
      <c r="J3554" t="s">
        <v>18365</v>
      </c>
      <c r="K3554" t="s">
        <v>291</v>
      </c>
      <c r="L3554" t="s">
        <v>18366</v>
      </c>
      <c r="M3554">
        <v>971.60199999999998</v>
      </c>
      <c r="N3554" t="s">
        <v>18367</v>
      </c>
      <c r="O3554" t="s">
        <v>26</v>
      </c>
      <c r="P3554">
        <v>44.93</v>
      </c>
      <c r="Q3554">
        <v>37.44</v>
      </c>
      <c r="R3554">
        <v>29.95</v>
      </c>
      <c r="S3554">
        <v>44.93</v>
      </c>
      <c r="T3554" t="s">
        <v>18368</v>
      </c>
    </row>
    <row r="3555" spans="1:20">
      <c r="A3555">
        <v>3331613</v>
      </c>
      <c r="B3555" t="s">
        <v>18369</v>
      </c>
      <c r="C3555" t="str">
        <f>"9780773514034"</f>
        <v>9780773514034</v>
      </c>
      <c r="D3555" t="str">
        <f>"9780773565999"</f>
        <v>9780773565999</v>
      </c>
      <c r="E3555" t="s">
        <v>12863</v>
      </c>
      <c r="F3555" t="s">
        <v>12863</v>
      </c>
      <c r="G3555" s="1">
        <v>35387</v>
      </c>
      <c r="J3555" t="s">
        <v>18370</v>
      </c>
      <c r="K3555" t="s">
        <v>416</v>
      </c>
      <c r="L3555" t="s">
        <v>18371</v>
      </c>
      <c r="M3555">
        <v>330.94202000000001</v>
      </c>
      <c r="N3555" t="s">
        <v>18372</v>
      </c>
      <c r="O3555" t="s">
        <v>26</v>
      </c>
      <c r="P3555">
        <v>142.5</v>
      </c>
      <c r="Q3555">
        <v>118.75</v>
      </c>
      <c r="R3555">
        <v>95</v>
      </c>
      <c r="S3555">
        <v>142.5</v>
      </c>
      <c r="T3555" t="s">
        <v>18373</v>
      </c>
    </row>
    <row r="3556" spans="1:20">
      <c r="A3556">
        <v>3331614</v>
      </c>
      <c r="B3556" t="s">
        <v>18374</v>
      </c>
      <c r="C3556" t="str">
        <f>"9780773529533"</f>
        <v>9780773529533</v>
      </c>
      <c r="D3556" t="str">
        <f>"9780773573123"</f>
        <v>9780773573123</v>
      </c>
      <c r="E3556" t="s">
        <v>12863</v>
      </c>
      <c r="F3556" t="s">
        <v>12863</v>
      </c>
      <c r="G3556" s="1">
        <v>38631</v>
      </c>
      <c r="J3556" t="s">
        <v>18375</v>
      </c>
      <c r="K3556" t="s">
        <v>263</v>
      </c>
      <c r="L3556" t="s">
        <v>18376</v>
      </c>
      <c r="M3556">
        <v>305.42095694</v>
      </c>
      <c r="N3556" t="s">
        <v>18377</v>
      </c>
      <c r="O3556" t="s">
        <v>26</v>
      </c>
      <c r="P3556">
        <v>142.5</v>
      </c>
      <c r="Q3556">
        <v>118.75</v>
      </c>
      <c r="R3556">
        <v>95</v>
      </c>
      <c r="S3556">
        <v>142.5</v>
      </c>
      <c r="T3556" t="s">
        <v>18378</v>
      </c>
    </row>
    <row r="3557" spans="1:20">
      <c r="A3557">
        <v>3331615</v>
      </c>
      <c r="B3557" t="s">
        <v>18379</v>
      </c>
      <c r="C3557" t="str">
        <f>"9780886293277"</f>
        <v>9780886293277</v>
      </c>
      <c r="D3557" t="str">
        <f>"9780773574069"</f>
        <v>9780773574069</v>
      </c>
      <c r="E3557" t="s">
        <v>12863</v>
      </c>
      <c r="F3557" t="s">
        <v>12863</v>
      </c>
      <c r="G3557" s="1">
        <v>35657</v>
      </c>
      <c r="I3557" t="s">
        <v>13811</v>
      </c>
      <c r="J3557" t="s">
        <v>18380</v>
      </c>
      <c r="K3557" t="s">
        <v>7063</v>
      </c>
      <c r="L3557" t="s">
        <v>13100</v>
      </c>
      <c r="M3557">
        <v>327.71050000000002</v>
      </c>
      <c r="N3557" t="s">
        <v>18381</v>
      </c>
      <c r="O3557" t="s">
        <v>26</v>
      </c>
      <c r="P3557">
        <v>142.5</v>
      </c>
      <c r="Q3557">
        <v>118.75</v>
      </c>
      <c r="R3557">
        <v>95</v>
      </c>
      <c r="S3557">
        <v>142.5</v>
      </c>
      <c r="T3557" t="s">
        <v>18382</v>
      </c>
    </row>
    <row r="3558" spans="1:20">
      <c r="A3558">
        <v>3331616</v>
      </c>
      <c r="B3558" t="s">
        <v>18383</v>
      </c>
      <c r="C3558" t="str">
        <f>"9780773517530"</f>
        <v>9780773517530</v>
      </c>
      <c r="D3558" t="str">
        <f>"9780773567337"</f>
        <v>9780773567337</v>
      </c>
      <c r="E3558" t="s">
        <v>12863</v>
      </c>
      <c r="F3558" t="s">
        <v>12863</v>
      </c>
      <c r="G3558" s="1">
        <v>36119</v>
      </c>
      <c r="J3558" t="s">
        <v>18384</v>
      </c>
      <c r="K3558" t="s">
        <v>7838</v>
      </c>
      <c r="L3558" t="s">
        <v>18385</v>
      </c>
      <c r="M3558">
        <v>720.1</v>
      </c>
      <c r="N3558" t="s">
        <v>18386</v>
      </c>
      <c r="O3558" t="s">
        <v>26</v>
      </c>
      <c r="P3558">
        <v>142.5</v>
      </c>
      <c r="Q3558">
        <v>118.75</v>
      </c>
      <c r="R3558">
        <v>95</v>
      </c>
      <c r="S3558">
        <v>142.5</v>
      </c>
      <c r="T3558" t="s">
        <v>18387</v>
      </c>
    </row>
    <row r="3559" spans="1:20">
      <c r="A3559">
        <v>3331617</v>
      </c>
      <c r="B3559" t="s">
        <v>18388</v>
      </c>
      <c r="C3559" t="str">
        <f>"9780773512641"</f>
        <v>9780773512641</v>
      </c>
      <c r="D3559" t="str">
        <f>"9780773565173"</f>
        <v>9780773565173</v>
      </c>
      <c r="E3559" t="s">
        <v>12863</v>
      </c>
      <c r="F3559" t="s">
        <v>12863</v>
      </c>
      <c r="G3559" s="1">
        <v>34654</v>
      </c>
      <c r="I3559" t="s">
        <v>13046</v>
      </c>
      <c r="J3559" t="s">
        <v>18389</v>
      </c>
      <c r="K3559" t="s">
        <v>263</v>
      </c>
      <c r="L3559" t="s">
        <v>15187</v>
      </c>
      <c r="M3559">
        <v>303.39999999999998</v>
      </c>
      <c r="N3559" t="s">
        <v>18390</v>
      </c>
      <c r="O3559" t="s">
        <v>26</v>
      </c>
      <c r="P3559">
        <v>142.5</v>
      </c>
      <c r="Q3559">
        <v>118.75</v>
      </c>
      <c r="R3559">
        <v>95</v>
      </c>
      <c r="S3559">
        <v>142.5</v>
      </c>
      <c r="T3559" t="s">
        <v>18391</v>
      </c>
    </row>
    <row r="3560" spans="1:20">
      <c r="A3560">
        <v>3331618</v>
      </c>
      <c r="B3560" t="s">
        <v>18392</v>
      </c>
      <c r="C3560" t="str">
        <f>"9780773509092"</f>
        <v>9780773509092</v>
      </c>
      <c r="D3560" t="str">
        <f>"9780773563414"</f>
        <v>9780773563414</v>
      </c>
      <c r="E3560" t="s">
        <v>12863</v>
      </c>
      <c r="F3560" t="s">
        <v>12863</v>
      </c>
      <c r="G3560" s="1">
        <v>33837</v>
      </c>
      <c r="I3560" t="s">
        <v>13046</v>
      </c>
      <c r="J3560" t="s">
        <v>18393</v>
      </c>
      <c r="K3560" t="s">
        <v>1550</v>
      </c>
      <c r="L3560" t="s">
        <v>18394</v>
      </c>
      <c r="M3560">
        <v>943.08699999999999</v>
      </c>
      <c r="N3560" t="s">
        <v>18395</v>
      </c>
      <c r="O3560" t="s">
        <v>26</v>
      </c>
      <c r="P3560">
        <v>165</v>
      </c>
      <c r="Q3560">
        <v>137.5</v>
      </c>
      <c r="R3560">
        <v>110</v>
      </c>
      <c r="S3560">
        <v>165</v>
      </c>
      <c r="T3560" t="s">
        <v>18396</v>
      </c>
    </row>
    <row r="3561" spans="1:20">
      <c r="A3561">
        <v>3331619</v>
      </c>
      <c r="B3561" t="s">
        <v>18397</v>
      </c>
      <c r="C3561" t="str">
        <f>"9780886291716"</f>
        <v>9780886291716</v>
      </c>
      <c r="D3561" t="str">
        <f>"9780773573772"</f>
        <v>9780773573772</v>
      </c>
      <c r="E3561" t="s">
        <v>12863</v>
      </c>
      <c r="F3561" t="s">
        <v>12863</v>
      </c>
      <c r="G3561" s="1">
        <v>33892</v>
      </c>
      <c r="I3561" t="s">
        <v>16501</v>
      </c>
      <c r="J3561" t="s">
        <v>18398</v>
      </c>
      <c r="K3561" t="s">
        <v>1464</v>
      </c>
      <c r="L3561" t="s">
        <v>18399</v>
      </c>
      <c r="M3561" t="s">
        <v>17114</v>
      </c>
      <c r="N3561" t="s">
        <v>18400</v>
      </c>
      <c r="O3561" t="s">
        <v>26</v>
      </c>
      <c r="P3561">
        <v>150</v>
      </c>
      <c r="Q3561">
        <v>125</v>
      </c>
      <c r="R3561">
        <v>100</v>
      </c>
      <c r="S3561">
        <v>150</v>
      </c>
      <c r="T3561" t="s">
        <v>18401</v>
      </c>
    </row>
    <row r="3562" spans="1:20">
      <c r="A3562">
        <v>3331620</v>
      </c>
      <c r="B3562" t="s">
        <v>18402</v>
      </c>
      <c r="C3562" t="str">
        <f>"9780773517165"</f>
        <v>9780773517165</v>
      </c>
      <c r="D3562" t="str">
        <f>"9780773567115"</f>
        <v>9780773567115</v>
      </c>
      <c r="E3562" t="s">
        <v>12863</v>
      </c>
      <c r="F3562" t="s">
        <v>12863</v>
      </c>
      <c r="G3562" s="1">
        <v>36031</v>
      </c>
      <c r="J3562" t="s">
        <v>18403</v>
      </c>
      <c r="K3562" t="s">
        <v>18404</v>
      </c>
      <c r="L3562" t="s">
        <v>18405</v>
      </c>
      <c r="M3562">
        <v>345.44028800000001</v>
      </c>
      <c r="N3562" t="s">
        <v>18406</v>
      </c>
      <c r="O3562" t="s">
        <v>26</v>
      </c>
      <c r="P3562">
        <v>44.93</v>
      </c>
      <c r="Q3562">
        <v>37.44</v>
      </c>
      <c r="R3562">
        <v>29.95</v>
      </c>
      <c r="S3562">
        <v>44.93</v>
      </c>
      <c r="T3562" t="s">
        <v>18407</v>
      </c>
    </row>
    <row r="3563" spans="1:20">
      <c r="A3563">
        <v>3331621</v>
      </c>
      <c r="B3563" t="s">
        <v>18408</v>
      </c>
      <c r="C3563" t="str">
        <f>"9780773529359"</f>
        <v>9780773529359</v>
      </c>
      <c r="D3563" t="str">
        <f>"9780773573024"</f>
        <v>9780773573024</v>
      </c>
      <c r="E3563" t="s">
        <v>12863</v>
      </c>
      <c r="F3563" t="s">
        <v>12863</v>
      </c>
      <c r="G3563" s="1">
        <v>38625</v>
      </c>
      <c r="J3563" t="s">
        <v>13619</v>
      </c>
      <c r="K3563" t="s">
        <v>291</v>
      </c>
      <c r="L3563" t="s">
        <v>18409</v>
      </c>
      <c r="M3563">
        <v>962.40430000000003</v>
      </c>
      <c r="N3563" t="s">
        <v>18410</v>
      </c>
      <c r="O3563" t="s">
        <v>26</v>
      </c>
      <c r="P3563">
        <v>37.43</v>
      </c>
      <c r="Q3563">
        <v>31.19</v>
      </c>
      <c r="R3563">
        <v>24.95</v>
      </c>
      <c r="S3563">
        <v>37.43</v>
      </c>
      <c r="T3563" t="s">
        <v>18411</v>
      </c>
    </row>
    <row r="3564" spans="1:20">
      <c r="A3564">
        <v>3331622</v>
      </c>
      <c r="B3564" t="s">
        <v>18412</v>
      </c>
      <c r="C3564" t="str">
        <f>"9780773528741"</f>
        <v>9780773528741</v>
      </c>
      <c r="D3564" t="str">
        <f>"9780773572751"</f>
        <v>9780773572751</v>
      </c>
      <c r="E3564" t="s">
        <v>12863</v>
      </c>
      <c r="F3564" t="s">
        <v>12863</v>
      </c>
      <c r="G3564" s="1">
        <v>38670</v>
      </c>
      <c r="I3564" t="s">
        <v>12886</v>
      </c>
      <c r="J3564" t="s">
        <v>17705</v>
      </c>
      <c r="K3564" t="s">
        <v>1892</v>
      </c>
      <c r="L3564" t="s">
        <v>18413</v>
      </c>
      <c r="M3564">
        <v>282.71409039999998</v>
      </c>
      <c r="N3564" t="s">
        <v>18414</v>
      </c>
      <c r="O3564" t="s">
        <v>26</v>
      </c>
      <c r="P3564">
        <v>142.5</v>
      </c>
      <c r="Q3564">
        <v>118.75</v>
      </c>
      <c r="R3564">
        <v>95</v>
      </c>
      <c r="S3564">
        <v>142.5</v>
      </c>
      <c r="T3564" t="s">
        <v>18415</v>
      </c>
    </row>
    <row r="3565" spans="1:20">
      <c r="A3565">
        <v>3331623</v>
      </c>
      <c r="B3565" t="s">
        <v>18416</v>
      </c>
      <c r="C3565" t="str">
        <f>"9780773528932"</f>
        <v>9780773528932</v>
      </c>
      <c r="D3565" t="str">
        <f>"9780773572867"</f>
        <v>9780773572867</v>
      </c>
      <c r="E3565" t="s">
        <v>12863</v>
      </c>
      <c r="F3565" t="s">
        <v>12863</v>
      </c>
      <c r="G3565" s="1">
        <v>38684</v>
      </c>
      <c r="I3565" t="s">
        <v>12886</v>
      </c>
      <c r="J3565" t="s">
        <v>18417</v>
      </c>
      <c r="K3565" t="s">
        <v>1892</v>
      </c>
      <c r="L3565" t="s">
        <v>18418</v>
      </c>
      <c r="M3565">
        <v>282.44</v>
      </c>
      <c r="N3565" t="s">
        <v>18419</v>
      </c>
      <c r="O3565" t="s">
        <v>26</v>
      </c>
      <c r="P3565">
        <v>142.5</v>
      </c>
      <c r="Q3565">
        <v>118.75</v>
      </c>
      <c r="R3565">
        <v>95</v>
      </c>
      <c r="S3565">
        <v>142.5</v>
      </c>
      <c r="T3565" t="s">
        <v>18420</v>
      </c>
    </row>
    <row r="3566" spans="1:20">
      <c r="A3566">
        <v>3331624</v>
      </c>
      <c r="B3566" t="s">
        <v>18421</v>
      </c>
      <c r="C3566" t="str">
        <f>"9780773504202"</f>
        <v>9780773504202</v>
      </c>
      <c r="D3566" t="str">
        <f>"9780773560925"</f>
        <v>9780773560925</v>
      </c>
      <c r="E3566" t="s">
        <v>12863</v>
      </c>
      <c r="F3566" t="s">
        <v>12863</v>
      </c>
      <c r="G3566" s="1">
        <v>31199</v>
      </c>
      <c r="J3566" t="s">
        <v>18422</v>
      </c>
      <c r="K3566" t="s">
        <v>416</v>
      </c>
      <c r="L3566" t="s">
        <v>18423</v>
      </c>
      <c r="M3566">
        <v>331.620968</v>
      </c>
      <c r="N3566" t="s">
        <v>18424</v>
      </c>
      <c r="O3566" t="s">
        <v>26</v>
      </c>
      <c r="P3566">
        <v>135</v>
      </c>
      <c r="Q3566">
        <v>112.5</v>
      </c>
      <c r="R3566">
        <v>90</v>
      </c>
      <c r="S3566">
        <v>135</v>
      </c>
      <c r="T3566" t="s">
        <v>18425</v>
      </c>
    </row>
    <row r="3567" spans="1:20">
      <c r="A3567">
        <v>3331625</v>
      </c>
      <c r="B3567" t="s">
        <v>18426</v>
      </c>
      <c r="C3567" t="str">
        <f>"9780773512221"</f>
        <v>9780773512221</v>
      </c>
      <c r="D3567" t="str">
        <f>"9780773564916"</f>
        <v>9780773564916</v>
      </c>
      <c r="E3567" t="s">
        <v>12863</v>
      </c>
      <c r="F3567" t="s">
        <v>12863</v>
      </c>
      <c r="G3567" s="1">
        <v>34633</v>
      </c>
      <c r="J3567" t="s">
        <v>18427</v>
      </c>
      <c r="K3567" t="s">
        <v>3230</v>
      </c>
      <c r="L3567" t="s">
        <v>18428</v>
      </c>
      <c r="M3567">
        <v>917.12040999999999</v>
      </c>
      <c r="N3567" t="s">
        <v>18429</v>
      </c>
      <c r="O3567" t="s">
        <v>26</v>
      </c>
      <c r="P3567">
        <v>142.5</v>
      </c>
      <c r="Q3567">
        <v>118.75</v>
      </c>
      <c r="R3567">
        <v>95</v>
      </c>
      <c r="S3567">
        <v>142.5</v>
      </c>
      <c r="T3567" t="s">
        <v>18430</v>
      </c>
    </row>
    <row r="3568" spans="1:20">
      <c r="A3568">
        <v>3331626</v>
      </c>
      <c r="B3568" t="s">
        <v>18431</v>
      </c>
      <c r="C3568" t="str">
        <f>"9780773528765"</f>
        <v>9780773528765</v>
      </c>
      <c r="D3568" t="str">
        <f>"9780773572775"</f>
        <v>9780773572775</v>
      </c>
      <c r="E3568" t="s">
        <v>12863</v>
      </c>
      <c r="F3568" t="s">
        <v>12863</v>
      </c>
      <c r="G3568" s="1">
        <v>38618</v>
      </c>
      <c r="I3568" t="s">
        <v>12871</v>
      </c>
      <c r="J3568" t="s">
        <v>18432</v>
      </c>
      <c r="K3568" t="s">
        <v>1471</v>
      </c>
      <c r="L3568" t="s">
        <v>18433</v>
      </c>
      <c r="M3568">
        <v>791.43023309199998</v>
      </c>
      <c r="N3568" t="s">
        <v>18434</v>
      </c>
      <c r="O3568" t="s">
        <v>26</v>
      </c>
      <c r="P3568">
        <v>74.930000000000007</v>
      </c>
      <c r="Q3568">
        <v>62.44</v>
      </c>
      <c r="R3568">
        <v>49.95</v>
      </c>
      <c r="S3568">
        <v>74.930000000000007</v>
      </c>
      <c r="T3568" t="s">
        <v>18435</v>
      </c>
    </row>
    <row r="3569" spans="1:20">
      <c r="A3569">
        <v>3331627</v>
      </c>
      <c r="B3569" t="s">
        <v>18436</v>
      </c>
      <c r="C3569" t="str">
        <f>"9780773529557"</f>
        <v>9780773529557</v>
      </c>
      <c r="D3569" t="str">
        <f>"9780773573147"</f>
        <v>9780773573147</v>
      </c>
      <c r="E3569" t="s">
        <v>12863</v>
      </c>
      <c r="F3569" t="s">
        <v>12863</v>
      </c>
      <c r="G3569" s="1">
        <v>38579</v>
      </c>
      <c r="I3569" t="s">
        <v>13046</v>
      </c>
      <c r="J3569" t="s">
        <v>18437</v>
      </c>
      <c r="K3569" t="s">
        <v>263</v>
      </c>
      <c r="L3569" t="s">
        <v>13503</v>
      </c>
      <c r="M3569">
        <v>306.09710904500002</v>
      </c>
      <c r="N3569" t="s">
        <v>18438</v>
      </c>
      <c r="O3569" t="s">
        <v>26</v>
      </c>
      <c r="P3569">
        <v>165</v>
      </c>
      <c r="Q3569">
        <v>137.5</v>
      </c>
      <c r="R3569">
        <v>110</v>
      </c>
      <c r="S3569">
        <v>165</v>
      </c>
      <c r="T3569" t="s">
        <v>18439</v>
      </c>
    </row>
    <row r="3570" spans="1:20">
      <c r="A3570">
        <v>3331628</v>
      </c>
      <c r="B3570" t="s">
        <v>18440</v>
      </c>
      <c r="C3570" t="str">
        <f>"9780773528925"</f>
        <v>9780773528925</v>
      </c>
      <c r="D3570" t="str">
        <f>"9780773572850"</f>
        <v>9780773572850</v>
      </c>
      <c r="E3570" t="s">
        <v>12863</v>
      </c>
      <c r="F3570" t="s">
        <v>12863</v>
      </c>
      <c r="G3570" s="1">
        <v>38566</v>
      </c>
      <c r="J3570" t="s">
        <v>18441</v>
      </c>
      <c r="K3570" t="s">
        <v>1464</v>
      </c>
      <c r="L3570" t="s">
        <v>18442</v>
      </c>
      <c r="M3570">
        <v>809.93353000000002</v>
      </c>
      <c r="N3570" t="s">
        <v>18443</v>
      </c>
      <c r="O3570" t="s">
        <v>26</v>
      </c>
      <c r="P3570">
        <v>142.5</v>
      </c>
      <c r="Q3570">
        <v>118.75</v>
      </c>
      <c r="R3570">
        <v>95</v>
      </c>
      <c r="S3570">
        <v>142.5</v>
      </c>
      <c r="T3570" t="s">
        <v>18444</v>
      </c>
    </row>
    <row r="3571" spans="1:20">
      <c r="A3571">
        <v>3331629</v>
      </c>
      <c r="B3571" t="s">
        <v>18445</v>
      </c>
      <c r="C3571" t="str">
        <f>"9780773529243"</f>
        <v>9780773529243</v>
      </c>
      <c r="D3571" t="str">
        <f>"9780773572997"</f>
        <v>9780773572997</v>
      </c>
      <c r="E3571" t="s">
        <v>12863</v>
      </c>
      <c r="F3571" t="s">
        <v>12863</v>
      </c>
      <c r="G3571" s="1">
        <v>38531</v>
      </c>
      <c r="J3571" t="s">
        <v>18446</v>
      </c>
      <c r="K3571" t="s">
        <v>2963</v>
      </c>
      <c r="L3571" t="s">
        <v>17639</v>
      </c>
      <c r="M3571">
        <v>917.18204209199996</v>
      </c>
      <c r="N3571" t="s">
        <v>18447</v>
      </c>
      <c r="O3571" t="s">
        <v>26</v>
      </c>
      <c r="P3571">
        <v>44.93</v>
      </c>
      <c r="Q3571">
        <v>37.44</v>
      </c>
      <c r="R3571">
        <v>29.95</v>
      </c>
      <c r="S3571">
        <v>44.93</v>
      </c>
      <c r="T3571" t="s">
        <v>18448</v>
      </c>
    </row>
    <row r="3572" spans="1:20">
      <c r="A3572">
        <v>3331630</v>
      </c>
      <c r="B3572" t="s">
        <v>18449</v>
      </c>
      <c r="C3572" t="str">
        <f>"9780773528499"</f>
        <v>9780773528499</v>
      </c>
      <c r="D3572" t="str">
        <f>"9780773572553"</f>
        <v>9780773572553</v>
      </c>
      <c r="E3572" t="s">
        <v>12907</v>
      </c>
      <c r="F3572" t="s">
        <v>12907</v>
      </c>
      <c r="G3572" s="1">
        <v>38401</v>
      </c>
      <c r="I3572" t="s">
        <v>18450</v>
      </c>
      <c r="J3572" t="s">
        <v>18451</v>
      </c>
      <c r="K3572" t="s">
        <v>467</v>
      </c>
      <c r="L3572" t="s">
        <v>18452</v>
      </c>
      <c r="M3572">
        <v>321.02</v>
      </c>
      <c r="N3572" t="s">
        <v>18453</v>
      </c>
      <c r="O3572" t="s">
        <v>26</v>
      </c>
      <c r="P3572">
        <v>142.5</v>
      </c>
      <c r="Q3572">
        <v>118.75</v>
      </c>
      <c r="R3572">
        <v>95</v>
      </c>
      <c r="S3572">
        <v>142.5</v>
      </c>
      <c r="T3572" t="s">
        <v>18454</v>
      </c>
    </row>
    <row r="3573" spans="1:20">
      <c r="A3573">
        <v>3331631</v>
      </c>
      <c r="B3573" t="s">
        <v>18455</v>
      </c>
      <c r="C3573" t="str">
        <f>"9782894483916"</f>
        <v>9782894483916</v>
      </c>
      <c r="D3573" t="str">
        <f>"9780773574298"</f>
        <v>9780773574298</v>
      </c>
      <c r="E3573" t="s">
        <v>12863</v>
      </c>
      <c r="F3573" t="s">
        <v>12863</v>
      </c>
      <c r="G3573" s="1">
        <v>38253</v>
      </c>
      <c r="J3573" t="s">
        <v>18456</v>
      </c>
      <c r="K3573" t="s">
        <v>291</v>
      </c>
      <c r="L3573" t="s">
        <v>18457</v>
      </c>
      <c r="M3573">
        <v>974.00411399999996</v>
      </c>
      <c r="N3573" t="s">
        <v>18458</v>
      </c>
      <c r="O3573" t="s">
        <v>26</v>
      </c>
      <c r="P3573">
        <v>142.5</v>
      </c>
      <c r="Q3573">
        <v>118.75</v>
      </c>
      <c r="R3573">
        <v>95</v>
      </c>
      <c r="S3573">
        <v>142.5</v>
      </c>
      <c r="T3573" t="s">
        <v>18459</v>
      </c>
    </row>
    <row r="3574" spans="1:20">
      <c r="A3574">
        <v>3331632</v>
      </c>
      <c r="B3574" t="s">
        <v>18460</v>
      </c>
      <c r="C3574" t="str">
        <f>"9780773505599"</f>
        <v>9780773505599</v>
      </c>
      <c r="D3574" t="str">
        <f>"9780773561120"</f>
        <v>9780773561120</v>
      </c>
      <c r="E3574" t="s">
        <v>12863</v>
      </c>
      <c r="F3574" t="s">
        <v>12863</v>
      </c>
      <c r="G3574" s="1">
        <v>31959</v>
      </c>
      <c r="J3574" t="s">
        <v>18461</v>
      </c>
      <c r="K3574" t="s">
        <v>263</v>
      </c>
      <c r="L3574" t="s">
        <v>18462</v>
      </c>
      <c r="M3574">
        <v>398.20971694999997</v>
      </c>
      <c r="N3574" t="s">
        <v>18463</v>
      </c>
      <c r="O3574" t="s">
        <v>26</v>
      </c>
      <c r="P3574">
        <v>135</v>
      </c>
      <c r="Q3574">
        <v>112.5</v>
      </c>
      <c r="R3574">
        <v>90</v>
      </c>
      <c r="S3574">
        <v>135</v>
      </c>
      <c r="T3574" t="s">
        <v>18464</v>
      </c>
    </row>
    <row r="3575" spans="1:20">
      <c r="A3575">
        <v>3331633</v>
      </c>
      <c r="B3575" t="s">
        <v>18465</v>
      </c>
      <c r="C3575" t="str">
        <f>"9780773528598"</f>
        <v>9780773528598</v>
      </c>
      <c r="D3575" t="str">
        <f>"9780773572638"</f>
        <v>9780773572638</v>
      </c>
      <c r="E3575" t="s">
        <v>12863</v>
      </c>
      <c r="F3575" t="s">
        <v>12863</v>
      </c>
      <c r="G3575" s="1">
        <v>38484</v>
      </c>
      <c r="J3575" t="s">
        <v>18466</v>
      </c>
      <c r="K3575" t="s">
        <v>1530</v>
      </c>
      <c r="L3575" t="s">
        <v>18467</v>
      </c>
      <c r="M3575">
        <v>971.12800000000004</v>
      </c>
      <c r="N3575" t="s">
        <v>18468</v>
      </c>
      <c r="O3575" t="s">
        <v>26</v>
      </c>
      <c r="P3575">
        <v>142.5</v>
      </c>
      <c r="Q3575">
        <v>118.75</v>
      </c>
      <c r="R3575">
        <v>95</v>
      </c>
      <c r="S3575">
        <v>142.5</v>
      </c>
      <c r="T3575" t="s">
        <v>18469</v>
      </c>
    </row>
    <row r="3576" spans="1:20">
      <c r="A3576">
        <v>3331634</v>
      </c>
      <c r="B3576" t="s">
        <v>18470</v>
      </c>
      <c r="C3576" t="str">
        <f>"9780773513532"</f>
        <v>9780773513532</v>
      </c>
      <c r="D3576" t="str">
        <f>"9780773565685"</f>
        <v>9780773565685</v>
      </c>
      <c r="E3576" t="s">
        <v>12863</v>
      </c>
      <c r="F3576" t="s">
        <v>12863</v>
      </c>
      <c r="G3576" s="1">
        <v>34939</v>
      </c>
      <c r="J3576" t="s">
        <v>18471</v>
      </c>
      <c r="K3576" t="s">
        <v>291</v>
      </c>
      <c r="L3576" t="s">
        <v>18472</v>
      </c>
      <c r="M3576">
        <v>947.08540921999997</v>
      </c>
      <c r="N3576" t="s">
        <v>18473</v>
      </c>
      <c r="O3576" t="s">
        <v>26</v>
      </c>
      <c r="P3576">
        <v>142.5</v>
      </c>
      <c r="Q3576">
        <v>118.75</v>
      </c>
      <c r="R3576">
        <v>95</v>
      </c>
      <c r="S3576">
        <v>142.5</v>
      </c>
      <c r="T3576" t="s">
        <v>18474</v>
      </c>
    </row>
    <row r="3577" spans="1:20">
      <c r="A3577">
        <v>3331635</v>
      </c>
      <c r="B3577" t="s">
        <v>18475</v>
      </c>
      <c r="C3577" t="str">
        <f>"9780773529885"</f>
        <v>9780773529885</v>
      </c>
      <c r="D3577" t="str">
        <f>"9780773573239"</f>
        <v>9780773573239</v>
      </c>
      <c r="E3577" t="s">
        <v>12863</v>
      </c>
      <c r="F3577" t="s">
        <v>12863</v>
      </c>
      <c r="G3577" s="1">
        <v>38617</v>
      </c>
      <c r="I3577" t="s">
        <v>18279</v>
      </c>
      <c r="J3577" t="s">
        <v>18476</v>
      </c>
      <c r="K3577" t="s">
        <v>4158</v>
      </c>
      <c r="L3577" t="s">
        <v>18477</v>
      </c>
      <c r="M3577">
        <v>971.40409199999999</v>
      </c>
      <c r="N3577" t="s">
        <v>18478</v>
      </c>
      <c r="O3577" t="s">
        <v>26</v>
      </c>
      <c r="P3577">
        <v>52.43</v>
      </c>
      <c r="Q3577">
        <v>43.69</v>
      </c>
      <c r="R3577">
        <v>34.950000000000003</v>
      </c>
      <c r="S3577">
        <v>52.43</v>
      </c>
      <c r="T3577" t="s">
        <v>18479</v>
      </c>
    </row>
    <row r="3578" spans="1:20">
      <c r="A3578">
        <v>3331636</v>
      </c>
      <c r="B3578" t="s">
        <v>18480</v>
      </c>
      <c r="C3578" t="str">
        <f>"9780773513914"</f>
        <v>9780773513914</v>
      </c>
      <c r="D3578" t="str">
        <f>"9780773565906"</f>
        <v>9780773565906</v>
      </c>
      <c r="E3578" t="s">
        <v>12863</v>
      </c>
      <c r="F3578" t="s">
        <v>12863</v>
      </c>
      <c r="G3578" s="1">
        <v>35171</v>
      </c>
      <c r="J3578" t="s">
        <v>18481</v>
      </c>
      <c r="K3578" t="s">
        <v>291</v>
      </c>
      <c r="L3578" t="s">
        <v>18482</v>
      </c>
      <c r="M3578">
        <v>959.70433730000002</v>
      </c>
      <c r="N3578" t="s">
        <v>18483</v>
      </c>
      <c r="O3578" t="s">
        <v>26</v>
      </c>
      <c r="P3578">
        <v>142.5</v>
      </c>
      <c r="Q3578">
        <v>118.75</v>
      </c>
      <c r="R3578">
        <v>95</v>
      </c>
      <c r="S3578">
        <v>142.5</v>
      </c>
      <c r="T3578" t="s">
        <v>18484</v>
      </c>
    </row>
    <row r="3579" spans="1:20">
      <c r="A3579">
        <v>3331637</v>
      </c>
      <c r="B3579" t="s">
        <v>18485</v>
      </c>
      <c r="C3579" t="str">
        <f>"9780773507074"</f>
        <v>9780773507074</v>
      </c>
      <c r="D3579" t="str">
        <f>"9780773562073"</f>
        <v>9780773562073</v>
      </c>
      <c r="E3579" t="s">
        <v>12863</v>
      </c>
      <c r="F3579" t="s">
        <v>12863</v>
      </c>
      <c r="G3579" s="1">
        <v>32568</v>
      </c>
      <c r="J3579" t="s">
        <v>18486</v>
      </c>
      <c r="K3579" t="s">
        <v>1464</v>
      </c>
      <c r="L3579" t="s">
        <v>18487</v>
      </c>
      <c r="M3579">
        <v>820</v>
      </c>
      <c r="N3579" t="s">
        <v>18488</v>
      </c>
      <c r="O3579" t="s">
        <v>26</v>
      </c>
      <c r="P3579">
        <v>127.5</v>
      </c>
      <c r="Q3579">
        <v>106.25</v>
      </c>
      <c r="R3579">
        <v>85</v>
      </c>
      <c r="S3579">
        <v>127.5</v>
      </c>
      <c r="T3579" t="s">
        <v>18489</v>
      </c>
    </row>
    <row r="3580" spans="1:20">
      <c r="A3580">
        <v>3331638</v>
      </c>
      <c r="B3580" t="s">
        <v>18490</v>
      </c>
      <c r="C3580" t="str">
        <f>"9780773507784"</f>
        <v>9780773507784</v>
      </c>
      <c r="D3580" t="str">
        <f>"9780773562608"</f>
        <v>9780773562608</v>
      </c>
      <c r="E3580" t="s">
        <v>12863</v>
      </c>
      <c r="F3580" t="s">
        <v>12863</v>
      </c>
      <c r="G3580" s="1">
        <v>33239</v>
      </c>
      <c r="J3580" t="s">
        <v>17301</v>
      </c>
      <c r="K3580" t="s">
        <v>4347</v>
      </c>
      <c r="L3580" t="s">
        <v>18491</v>
      </c>
      <c r="M3580">
        <v>359.00970999999998</v>
      </c>
      <c r="N3580" t="s">
        <v>18492</v>
      </c>
      <c r="O3580" t="s">
        <v>26</v>
      </c>
      <c r="P3580">
        <v>142.5</v>
      </c>
      <c r="Q3580">
        <v>118.75</v>
      </c>
      <c r="R3580">
        <v>95</v>
      </c>
      <c r="S3580">
        <v>142.5</v>
      </c>
      <c r="T3580" t="s">
        <v>18493</v>
      </c>
    </row>
    <row r="3581" spans="1:20">
      <c r="A3581">
        <v>3331639</v>
      </c>
      <c r="B3581" t="s">
        <v>18494</v>
      </c>
      <c r="C3581" t="str">
        <f>"9780771099076"</f>
        <v>9780771099076</v>
      </c>
      <c r="D3581" t="str">
        <f>"9780773560598"</f>
        <v>9780773560598</v>
      </c>
      <c r="E3581" t="s">
        <v>12863</v>
      </c>
      <c r="F3581" t="s">
        <v>12863</v>
      </c>
      <c r="G3581" s="1">
        <v>27044</v>
      </c>
      <c r="I3581" t="s">
        <v>16476</v>
      </c>
      <c r="J3581" t="s">
        <v>18495</v>
      </c>
      <c r="K3581" t="s">
        <v>423</v>
      </c>
      <c r="L3581" t="s">
        <v>18496</v>
      </c>
      <c r="M3581">
        <v>333.82097190000002</v>
      </c>
      <c r="N3581" t="s">
        <v>18497</v>
      </c>
      <c r="O3581" t="s">
        <v>26</v>
      </c>
      <c r="P3581">
        <v>142.5</v>
      </c>
      <c r="Q3581">
        <v>118.75</v>
      </c>
      <c r="R3581">
        <v>95</v>
      </c>
      <c r="S3581">
        <v>142.5</v>
      </c>
      <c r="T3581" t="s">
        <v>18498</v>
      </c>
    </row>
    <row r="3582" spans="1:20">
      <c r="A3582">
        <v>3331640</v>
      </c>
      <c r="B3582" t="s">
        <v>18499</v>
      </c>
      <c r="C3582" t="str">
        <f>"9780773530263"</f>
        <v>9780773530263</v>
      </c>
      <c r="D3582" t="str">
        <f>"9780773573314"</f>
        <v>9780773573314</v>
      </c>
      <c r="E3582" t="s">
        <v>12907</v>
      </c>
      <c r="F3582" t="s">
        <v>12907</v>
      </c>
      <c r="G3582" s="1">
        <v>38658</v>
      </c>
      <c r="J3582" t="s">
        <v>18500</v>
      </c>
      <c r="K3582" t="s">
        <v>7063</v>
      </c>
      <c r="L3582" t="s">
        <v>18501</v>
      </c>
      <c r="M3582">
        <v>327.71</v>
      </c>
      <c r="N3582" t="s">
        <v>18502</v>
      </c>
      <c r="O3582" t="s">
        <v>26</v>
      </c>
      <c r="P3582">
        <v>142.5</v>
      </c>
      <c r="Q3582">
        <v>118.75</v>
      </c>
      <c r="R3582">
        <v>95</v>
      </c>
      <c r="S3582">
        <v>142.5</v>
      </c>
      <c r="T3582" t="s">
        <v>18503</v>
      </c>
    </row>
    <row r="3583" spans="1:20">
      <c r="A3583">
        <v>3331641</v>
      </c>
      <c r="B3583" t="s">
        <v>18504</v>
      </c>
      <c r="C3583" t="str">
        <f>"9780773528208"</f>
        <v>9780773528208</v>
      </c>
      <c r="D3583" t="str">
        <f>"9780773572416"</f>
        <v>9780773572416</v>
      </c>
      <c r="E3583" t="s">
        <v>12863</v>
      </c>
      <c r="F3583" t="s">
        <v>12863</v>
      </c>
      <c r="G3583" s="1">
        <v>38484</v>
      </c>
      <c r="J3583" t="s">
        <v>18505</v>
      </c>
      <c r="K3583" t="s">
        <v>416</v>
      </c>
      <c r="L3583" t="s">
        <v>18506</v>
      </c>
      <c r="M3583">
        <v>330.96883029999998</v>
      </c>
      <c r="N3583" t="s">
        <v>18507</v>
      </c>
      <c r="O3583" t="s">
        <v>26</v>
      </c>
      <c r="P3583">
        <v>142.5</v>
      </c>
      <c r="Q3583">
        <v>118.75</v>
      </c>
      <c r="R3583">
        <v>95</v>
      </c>
      <c r="S3583">
        <v>142.5</v>
      </c>
      <c r="T3583" t="s">
        <v>18508</v>
      </c>
    </row>
    <row r="3584" spans="1:20">
      <c r="A3584">
        <v>3331642</v>
      </c>
      <c r="B3584" t="s">
        <v>18509</v>
      </c>
      <c r="C3584" t="str">
        <f>"9780773513716"</f>
        <v>9780773513716</v>
      </c>
      <c r="D3584" t="str">
        <f>"9780773565784"</f>
        <v>9780773565784</v>
      </c>
      <c r="E3584" t="s">
        <v>12863</v>
      </c>
      <c r="F3584" t="s">
        <v>12863</v>
      </c>
      <c r="G3584" s="1">
        <v>35138</v>
      </c>
      <c r="J3584" t="s">
        <v>18510</v>
      </c>
      <c r="K3584" t="s">
        <v>291</v>
      </c>
      <c r="L3584" t="s">
        <v>18511</v>
      </c>
      <c r="M3584">
        <v>941.08109200000001</v>
      </c>
      <c r="N3584" t="s">
        <v>18512</v>
      </c>
      <c r="O3584" t="s">
        <v>26</v>
      </c>
      <c r="P3584">
        <v>142.5</v>
      </c>
      <c r="Q3584">
        <v>118.75</v>
      </c>
      <c r="R3584">
        <v>95</v>
      </c>
      <c r="S3584">
        <v>142.5</v>
      </c>
      <c r="T3584" t="s">
        <v>18513</v>
      </c>
    </row>
    <row r="3585" spans="1:20">
      <c r="A3585">
        <v>3331643</v>
      </c>
      <c r="B3585" t="s">
        <v>18514</v>
      </c>
      <c r="C3585" t="str">
        <f>"9780886292737"</f>
        <v>9780886292737</v>
      </c>
      <c r="D3585" t="str">
        <f>"9780773573994"</f>
        <v>9780773573994</v>
      </c>
      <c r="E3585" t="s">
        <v>12907</v>
      </c>
      <c r="F3585" t="s">
        <v>12907</v>
      </c>
      <c r="G3585" s="1">
        <v>35217</v>
      </c>
      <c r="J3585" t="s">
        <v>18515</v>
      </c>
      <c r="K3585" t="s">
        <v>1471</v>
      </c>
      <c r="L3585" t="s">
        <v>18516</v>
      </c>
      <c r="M3585">
        <v>770.92</v>
      </c>
      <c r="N3585" t="s">
        <v>18517</v>
      </c>
      <c r="O3585" t="s">
        <v>26</v>
      </c>
      <c r="P3585">
        <v>74.930000000000007</v>
      </c>
      <c r="Q3585">
        <v>62.44</v>
      </c>
      <c r="R3585">
        <v>49.95</v>
      </c>
      <c r="S3585">
        <v>74.930000000000007</v>
      </c>
      <c r="T3585" t="s">
        <v>18518</v>
      </c>
    </row>
    <row r="3586" spans="1:20">
      <c r="A3586">
        <v>3331644</v>
      </c>
      <c r="B3586" t="s">
        <v>18519</v>
      </c>
      <c r="C3586" t="str">
        <f>"9780773529762"</f>
        <v>9780773529762</v>
      </c>
      <c r="D3586" t="str">
        <f>"9780773573222"</f>
        <v>9780773573222</v>
      </c>
      <c r="E3586" t="s">
        <v>12863</v>
      </c>
      <c r="F3586" t="s">
        <v>12863</v>
      </c>
      <c r="G3586" s="1">
        <v>38705</v>
      </c>
      <c r="I3586" t="s">
        <v>12963</v>
      </c>
      <c r="J3586" t="s">
        <v>18520</v>
      </c>
      <c r="K3586" t="s">
        <v>1859</v>
      </c>
      <c r="L3586" t="s">
        <v>16829</v>
      </c>
      <c r="M3586">
        <v>194</v>
      </c>
      <c r="N3586" t="s">
        <v>18521</v>
      </c>
      <c r="O3586" t="s">
        <v>26</v>
      </c>
      <c r="P3586">
        <v>142.5</v>
      </c>
      <c r="Q3586">
        <v>118.75</v>
      </c>
      <c r="R3586">
        <v>95</v>
      </c>
      <c r="S3586">
        <v>142.5</v>
      </c>
      <c r="T3586" t="s">
        <v>18522</v>
      </c>
    </row>
    <row r="3587" spans="1:20">
      <c r="A3587">
        <v>3331645</v>
      </c>
      <c r="B3587" t="s">
        <v>18523</v>
      </c>
      <c r="C3587" t="str">
        <f>"9780773512559"</f>
        <v>9780773512559</v>
      </c>
      <c r="D3587" t="str">
        <f>"9780773565104"</f>
        <v>9780773565104</v>
      </c>
      <c r="E3587" t="s">
        <v>12907</v>
      </c>
      <c r="F3587" t="s">
        <v>12907</v>
      </c>
      <c r="G3587" s="1">
        <v>41836</v>
      </c>
      <c r="J3587" t="s">
        <v>18524</v>
      </c>
      <c r="K3587" t="s">
        <v>1464</v>
      </c>
      <c r="L3587" t="s">
        <v>18525</v>
      </c>
      <c r="M3587">
        <v>828.91422</v>
      </c>
      <c r="N3587" t="s">
        <v>18526</v>
      </c>
      <c r="O3587" t="s">
        <v>26</v>
      </c>
      <c r="P3587">
        <v>112.5</v>
      </c>
      <c r="Q3587">
        <v>93.75</v>
      </c>
      <c r="R3587">
        <v>75</v>
      </c>
      <c r="S3587">
        <v>112.5</v>
      </c>
      <c r="T3587" t="s">
        <v>18527</v>
      </c>
    </row>
    <row r="3588" spans="1:20">
      <c r="A3588">
        <v>3331646</v>
      </c>
      <c r="B3588" t="s">
        <v>18528</v>
      </c>
      <c r="C3588" t="str">
        <f>"9780773529403"</f>
        <v>9780773529403</v>
      </c>
      <c r="D3588" t="str">
        <f>"9780773573079"</f>
        <v>9780773573079</v>
      </c>
      <c r="E3588" t="s">
        <v>12863</v>
      </c>
      <c r="F3588" t="s">
        <v>12863</v>
      </c>
      <c r="G3588" s="1">
        <v>38401</v>
      </c>
      <c r="I3588" t="s">
        <v>18119</v>
      </c>
      <c r="J3588" t="s">
        <v>18175</v>
      </c>
      <c r="K3588" t="s">
        <v>467</v>
      </c>
      <c r="L3588" t="s">
        <v>13579</v>
      </c>
      <c r="M3588">
        <v>321.02300000000002</v>
      </c>
      <c r="N3588" t="s">
        <v>18529</v>
      </c>
      <c r="O3588" t="s">
        <v>26</v>
      </c>
      <c r="P3588">
        <v>19.43</v>
      </c>
      <c r="Q3588">
        <v>16.190000000000001</v>
      </c>
      <c r="R3588">
        <v>12.95</v>
      </c>
      <c r="S3588">
        <v>19.43</v>
      </c>
      <c r="T3588" t="s">
        <v>18530</v>
      </c>
    </row>
    <row r="3589" spans="1:20">
      <c r="A3589">
        <v>3331647</v>
      </c>
      <c r="B3589" t="s">
        <v>18531</v>
      </c>
      <c r="C3589" t="str">
        <f>"9780771097881"</f>
        <v>9780771097881</v>
      </c>
      <c r="D3589" t="str">
        <f>"9780773560574"</f>
        <v>9780773560574</v>
      </c>
      <c r="E3589" t="s">
        <v>12863</v>
      </c>
      <c r="F3589" t="s">
        <v>12863</v>
      </c>
      <c r="G3589" s="1">
        <v>27409</v>
      </c>
      <c r="I3589" t="s">
        <v>13270</v>
      </c>
      <c r="J3589" t="s">
        <v>18532</v>
      </c>
      <c r="K3589" t="s">
        <v>257</v>
      </c>
      <c r="L3589" t="s">
        <v>18533</v>
      </c>
      <c r="M3589">
        <v>372.97129999999999</v>
      </c>
      <c r="N3589" t="s">
        <v>18534</v>
      </c>
      <c r="O3589" t="s">
        <v>26</v>
      </c>
      <c r="P3589">
        <v>44.93</v>
      </c>
      <c r="Q3589">
        <v>37.44</v>
      </c>
      <c r="R3589">
        <v>29.95</v>
      </c>
      <c r="S3589">
        <v>44.93</v>
      </c>
      <c r="T3589" t="s">
        <v>18535</v>
      </c>
    </row>
    <row r="3590" spans="1:20">
      <c r="A3590">
        <v>3331648</v>
      </c>
      <c r="B3590" t="s">
        <v>18536</v>
      </c>
      <c r="C3590" t="str">
        <f>"9780773528574"</f>
        <v>9780773528574</v>
      </c>
      <c r="D3590" t="str">
        <f>"9780773572621"</f>
        <v>9780773572621</v>
      </c>
      <c r="E3590" t="s">
        <v>12863</v>
      </c>
      <c r="F3590" t="s">
        <v>12863</v>
      </c>
      <c r="G3590" s="1">
        <v>38470</v>
      </c>
      <c r="I3590" t="s">
        <v>12963</v>
      </c>
      <c r="J3590" t="s">
        <v>18537</v>
      </c>
      <c r="K3590" t="s">
        <v>1859</v>
      </c>
      <c r="L3590" t="s">
        <v>18538</v>
      </c>
      <c r="M3590">
        <v>191</v>
      </c>
      <c r="N3590" t="s">
        <v>18539</v>
      </c>
      <c r="O3590" t="s">
        <v>26</v>
      </c>
      <c r="P3590">
        <v>142.5</v>
      </c>
      <c r="Q3590">
        <v>118.75</v>
      </c>
      <c r="R3590">
        <v>95</v>
      </c>
      <c r="S3590">
        <v>142.5</v>
      </c>
      <c r="T3590" t="s">
        <v>18540</v>
      </c>
    </row>
    <row r="3591" spans="1:20">
      <c r="A3591">
        <v>3331649</v>
      </c>
      <c r="B3591" t="s">
        <v>18541</v>
      </c>
      <c r="C3591" t="str">
        <f>"9780773528666"</f>
        <v>9780773528666</v>
      </c>
      <c r="D3591" t="str">
        <f>"9780773572676"</f>
        <v>9780773572676</v>
      </c>
      <c r="E3591" t="s">
        <v>12863</v>
      </c>
      <c r="F3591" t="s">
        <v>12863</v>
      </c>
      <c r="G3591" s="1">
        <v>38484</v>
      </c>
      <c r="J3591" t="s">
        <v>18542</v>
      </c>
      <c r="K3591" t="s">
        <v>3219</v>
      </c>
      <c r="L3591" t="s">
        <v>18543</v>
      </c>
      <c r="M3591">
        <v>910.40819999999997</v>
      </c>
      <c r="N3591" t="s">
        <v>18544</v>
      </c>
      <c r="O3591" t="s">
        <v>26</v>
      </c>
      <c r="P3591">
        <v>74.930000000000007</v>
      </c>
      <c r="Q3591">
        <v>62.44</v>
      </c>
      <c r="R3591">
        <v>49.95</v>
      </c>
      <c r="S3591">
        <v>74.930000000000007</v>
      </c>
      <c r="T3591" t="s">
        <v>18545</v>
      </c>
    </row>
    <row r="3592" spans="1:20">
      <c r="A3592">
        <v>3331650</v>
      </c>
      <c r="B3592" t="s">
        <v>18546</v>
      </c>
      <c r="C3592" t="str">
        <f>"9780773528550"</f>
        <v>9780773528550</v>
      </c>
      <c r="D3592" t="str">
        <f>"9780773572614"</f>
        <v>9780773572614</v>
      </c>
      <c r="E3592" t="s">
        <v>12863</v>
      </c>
      <c r="F3592" t="s">
        <v>12863</v>
      </c>
      <c r="G3592" s="1">
        <v>38678</v>
      </c>
      <c r="I3592" t="s">
        <v>12886</v>
      </c>
      <c r="J3592" t="s">
        <v>18547</v>
      </c>
      <c r="K3592" t="s">
        <v>291</v>
      </c>
      <c r="L3592" t="s">
        <v>18548</v>
      </c>
      <c r="M3592">
        <v>941.66100700000004</v>
      </c>
      <c r="N3592" t="s">
        <v>18549</v>
      </c>
      <c r="O3592" t="s">
        <v>26</v>
      </c>
      <c r="P3592">
        <v>142.5</v>
      </c>
      <c r="Q3592">
        <v>118.75</v>
      </c>
      <c r="R3592">
        <v>95</v>
      </c>
      <c r="S3592">
        <v>142.5</v>
      </c>
      <c r="T3592" t="s">
        <v>18550</v>
      </c>
    </row>
    <row r="3593" spans="1:20">
      <c r="A3593">
        <v>3331651</v>
      </c>
      <c r="B3593" t="s">
        <v>18551</v>
      </c>
      <c r="C3593" t="str">
        <f>"9780773529441"</f>
        <v>9780773529441</v>
      </c>
      <c r="D3593" t="str">
        <f>"9780773573093"</f>
        <v>9780773573093</v>
      </c>
      <c r="E3593" t="s">
        <v>12863</v>
      </c>
      <c r="F3593" t="s">
        <v>12863</v>
      </c>
      <c r="G3593" s="1">
        <v>38414</v>
      </c>
      <c r="I3593" t="s">
        <v>18119</v>
      </c>
      <c r="J3593" t="s">
        <v>18175</v>
      </c>
      <c r="K3593" t="s">
        <v>778</v>
      </c>
      <c r="L3593" t="s">
        <v>13579</v>
      </c>
      <c r="M3593">
        <v>342.04199999999997</v>
      </c>
      <c r="N3593" t="s">
        <v>18552</v>
      </c>
      <c r="O3593" t="s">
        <v>94</v>
      </c>
      <c r="P3593">
        <v>19.43</v>
      </c>
      <c r="Q3593">
        <v>16.190000000000001</v>
      </c>
      <c r="R3593">
        <v>12.95</v>
      </c>
      <c r="S3593">
        <v>19.43</v>
      </c>
      <c r="T3593" t="s">
        <v>18553</v>
      </c>
    </row>
    <row r="3594" spans="1:20">
      <c r="A3594">
        <v>3331652</v>
      </c>
      <c r="B3594" t="s">
        <v>18554</v>
      </c>
      <c r="C3594" t="str">
        <f>"9780773521346"</f>
        <v>9780773521346</v>
      </c>
      <c r="D3594" t="str">
        <f>"9780773568907"</f>
        <v>9780773568907</v>
      </c>
      <c r="E3594" t="s">
        <v>12863</v>
      </c>
      <c r="F3594" t="s">
        <v>12863</v>
      </c>
      <c r="G3594" s="1">
        <v>36068</v>
      </c>
      <c r="J3594" t="s">
        <v>13433</v>
      </c>
      <c r="K3594" t="s">
        <v>1471</v>
      </c>
      <c r="L3594" t="s">
        <v>18555</v>
      </c>
      <c r="M3594">
        <v>788.49094115000003</v>
      </c>
      <c r="N3594" t="s">
        <v>18556</v>
      </c>
      <c r="O3594" t="s">
        <v>26</v>
      </c>
      <c r="P3594">
        <v>142.5</v>
      </c>
      <c r="Q3594">
        <v>118.75</v>
      </c>
      <c r="R3594">
        <v>95</v>
      </c>
      <c r="S3594">
        <v>142.5</v>
      </c>
      <c r="T3594" t="s">
        <v>18557</v>
      </c>
    </row>
    <row r="3595" spans="1:20">
      <c r="A3595">
        <v>3331653</v>
      </c>
      <c r="B3595" t="s">
        <v>18558</v>
      </c>
      <c r="C3595" t="str">
        <f>"9780773510128"</f>
        <v>9780773510128</v>
      </c>
      <c r="D3595" t="str">
        <f>"9780773564060"</f>
        <v>9780773564060</v>
      </c>
      <c r="E3595" t="s">
        <v>12863</v>
      </c>
      <c r="F3595" t="s">
        <v>12863</v>
      </c>
      <c r="G3595" s="1">
        <v>31809</v>
      </c>
      <c r="I3595" t="s">
        <v>12963</v>
      </c>
      <c r="J3595" t="s">
        <v>16793</v>
      </c>
      <c r="K3595" t="s">
        <v>467</v>
      </c>
      <c r="L3595" t="s">
        <v>18559</v>
      </c>
      <c r="M3595">
        <v>321.8</v>
      </c>
      <c r="N3595" t="s">
        <v>18560</v>
      </c>
      <c r="O3595" t="s">
        <v>26</v>
      </c>
      <c r="P3595">
        <v>127.5</v>
      </c>
      <c r="Q3595">
        <v>106.25</v>
      </c>
      <c r="R3595">
        <v>85</v>
      </c>
      <c r="S3595">
        <v>127.5</v>
      </c>
      <c r="T3595" t="s">
        <v>18561</v>
      </c>
    </row>
    <row r="3596" spans="1:20">
      <c r="A3596">
        <v>3331654</v>
      </c>
      <c r="B3596" t="s">
        <v>18562</v>
      </c>
      <c r="C3596" t="str">
        <f>"9780773505292"</f>
        <v>9780773505292</v>
      </c>
      <c r="D3596" t="str">
        <f>"9780773561021"</f>
        <v>9780773561021</v>
      </c>
      <c r="E3596" t="s">
        <v>12907</v>
      </c>
      <c r="F3596" t="s">
        <v>12907</v>
      </c>
      <c r="G3596" s="1">
        <v>37762</v>
      </c>
      <c r="J3596" t="s">
        <v>18563</v>
      </c>
      <c r="K3596" t="s">
        <v>1464</v>
      </c>
      <c r="L3596" t="s">
        <v>18564</v>
      </c>
      <c r="M3596">
        <v>823</v>
      </c>
      <c r="N3596" t="s">
        <v>18565</v>
      </c>
      <c r="O3596" t="s">
        <v>26</v>
      </c>
      <c r="P3596">
        <v>202.5</v>
      </c>
      <c r="Q3596">
        <v>168.75</v>
      </c>
      <c r="R3596">
        <v>135</v>
      </c>
      <c r="S3596">
        <v>202.5</v>
      </c>
      <c r="T3596" t="s">
        <v>18566</v>
      </c>
    </row>
    <row r="3597" spans="1:20">
      <c r="A3597">
        <v>3331655</v>
      </c>
      <c r="B3597" t="s">
        <v>18567</v>
      </c>
      <c r="C3597" t="str">
        <f>"9780773529366"</f>
        <v>9780773529366</v>
      </c>
      <c r="D3597" t="str">
        <f>"9780773573031"</f>
        <v>9780773573031</v>
      </c>
      <c r="E3597" t="s">
        <v>12907</v>
      </c>
      <c r="F3597" t="s">
        <v>12907</v>
      </c>
      <c r="G3597" s="1">
        <v>38649</v>
      </c>
      <c r="J3597" t="s">
        <v>18568</v>
      </c>
      <c r="K3597" t="s">
        <v>1892</v>
      </c>
      <c r="L3597" t="s">
        <v>18569</v>
      </c>
      <c r="M3597">
        <v>261.2</v>
      </c>
      <c r="N3597" t="s">
        <v>18570</v>
      </c>
      <c r="O3597" t="s">
        <v>26</v>
      </c>
      <c r="P3597">
        <v>142.5</v>
      </c>
      <c r="Q3597">
        <v>118.75</v>
      </c>
      <c r="R3597">
        <v>95</v>
      </c>
      <c r="S3597">
        <v>142.5</v>
      </c>
      <c r="T3597" t="s">
        <v>18571</v>
      </c>
    </row>
    <row r="3598" spans="1:20">
      <c r="A3598">
        <v>3331656</v>
      </c>
      <c r="B3598" t="s">
        <v>18572</v>
      </c>
      <c r="C3598" t="str">
        <f>"9780773529106"</f>
        <v>9780773529106</v>
      </c>
      <c r="D3598" t="str">
        <f>"9780773572959"</f>
        <v>9780773572959</v>
      </c>
      <c r="E3598" t="s">
        <v>12863</v>
      </c>
      <c r="F3598" t="s">
        <v>12863</v>
      </c>
      <c r="G3598" s="1">
        <v>38625</v>
      </c>
      <c r="I3598" t="s">
        <v>13288</v>
      </c>
      <c r="J3598" t="s">
        <v>18573</v>
      </c>
      <c r="K3598" t="s">
        <v>263</v>
      </c>
      <c r="L3598" t="s">
        <v>18574</v>
      </c>
      <c r="M3598">
        <v>394.14</v>
      </c>
      <c r="N3598" t="s">
        <v>18575</v>
      </c>
      <c r="O3598" t="s">
        <v>26</v>
      </c>
      <c r="P3598">
        <v>142.5</v>
      </c>
      <c r="Q3598">
        <v>118.75</v>
      </c>
      <c r="R3598">
        <v>95</v>
      </c>
      <c r="S3598">
        <v>142.5</v>
      </c>
      <c r="T3598" t="s">
        <v>18576</v>
      </c>
    </row>
    <row r="3599" spans="1:20">
      <c r="A3599">
        <v>3331657</v>
      </c>
      <c r="B3599" t="s">
        <v>18577</v>
      </c>
      <c r="C3599" t="str">
        <f>"9780773527843"</f>
        <v>9780773527843</v>
      </c>
      <c r="D3599" t="str">
        <f>"9780773572201"</f>
        <v>9780773572201</v>
      </c>
      <c r="E3599" t="s">
        <v>12863</v>
      </c>
      <c r="F3599" t="s">
        <v>12863</v>
      </c>
      <c r="G3599" s="1">
        <v>38103</v>
      </c>
      <c r="J3599" t="s">
        <v>18578</v>
      </c>
      <c r="K3599" t="s">
        <v>4093</v>
      </c>
      <c r="L3599" t="s">
        <v>18579</v>
      </c>
      <c r="M3599">
        <v>174.95699999999999</v>
      </c>
      <c r="N3599" t="s">
        <v>18580</v>
      </c>
      <c r="O3599" t="s">
        <v>26</v>
      </c>
      <c r="P3599">
        <v>41.93</v>
      </c>
      <c r="Q3599">
        <v>34.94</v>
      </c>
      <c r="R3599">
        <v>27.95</v>
      </c>
      <c r="S3599">
        <v>41.93</v>
      </c>
      <c r="T3599" t="s">
        <v>18581</v>
      </c>
    </row>
    <row r="3600" spans="1:20">
      <c r="A3600">
        <v>3331658</v>
      </c>
      <c r="B3600" t="s">
        <v>18582</v>
      </c>
      <c r="C3600" t="str">
        <f>"9780773529748"</f>
        <v>9780773529748</v>
      </c>
      <c r="D3600" t="str">
        <f>"9780773573215"</f>
        <v>9780773573215</v>
      </c>
      <c r="E3600" t="s">
        <v>12863</v>
      </c>
      <c r="F3600" t="s">
        <v>12863</v>
      </c>
      <c r="G3600" s="1">
        <v>38691</v>
      </c>
      <c r="I3600" t="s">
        <v>18583</v>
      </c>
      <c r="J3600" t="s">
        <v>18584</v>
      </c>
      <c r="K3600" t="s">
        <v>467</v>
      </c>
      <c r="L3600" t="s">
        <v>13579</v>
      </c>
      <c r="M3600">
        <v>321.02</v>
      </c>
      <c r="N3600" t="s">
        <v>18585</v>
      </c>
      <c r="O3600" t="s">
        <v>26</v>
      </c>
      <c r="P3600">
        <v>142.5</v>
      </c>
      <c r="Q3600">
        <v>118.75</v>
      </c>
      <c r="R3600">
        <v>95</v>
      </c>
      <c r="S3600">
        <v>142.5</v>
      </c>
      <c r="T3600" t="s">
        <v>18586</v>
      </c>
    </row>
    <row r="3601" spans="1:20">
      <c r="A3601">
        <v>3331659</v>
      </c>
      <c r="B3601" t="s">
        <v>18587</v>
      </c>
      <c r="C3601" t="str">
        <f>"9780886290375"</f>
        <v>9780886290375</v>
      </c>
      <c r="D3601" t="str">
        <f>"9780773573420"</f>
        <v>9780773573420</v>
      </c>
      <c r="E3601" t="s">
        <v>12907</v>
      </c>
      <c r="F3601" t="s">
        <v>12907</v>
      </c>
      <c r="G3601" s="1">
        <v>41817</v>
      </c>
      <c r="J3601" t="s">
        <v>18588</v>
      </c>
      <c r="K3601" t="s">
        <v>6359</v>
      </c>
      <c r="L3601" t="s">
        <v>18589</v>
      </c>
      <c r="M3601">
        <v>322</v>
      </c>
      <c r="N3601" t="s">
        <v>18590</v>
      </c>
      <c r="O3601" t="s">
        <v>26</v>
      </c>
      <c r="P3601">
        <v>41.93</v>
      </c>
      <c r="Q3601">
        <v>34.94</v>
      </c>
      <c r="R3601">
        <v>27.95</v>
      </c>
      <c r="S3601">
        <v>41.93</v>
      </c>
      <c r="T3601" t="s">
        <v>18591</v>
      </c>
    </row>
    <row r="3602" spans="1:20">
      <c r="A3602">
        <v>3331660</v>
      </c>
      <c r="B3602" t="s">
        <v>18592</v>
      </c>
      <c r="C3602" t="str">
        <f>"9780773512269"</f>
        <v>9780773512269</v>
      </c>
      <c r="D3602" t="str">
        <f>"9780773564954"</f>
        <v>9780773564954</v>
      </c>
      <c r="E3602" t="s">
        <v>12863</v>
      </c>
      <c r="F3602" t="s">
        <v>12863</v>
      </c>
      <c r="G3602" s="1">
        <v>34864</v>
      </c>
      <c r="J3602" t="s">
        <v>18593</v>
      </c>
      <c r="K3602" t="s">
        <v>568</v>
      </c>
      <c r="L3602" t="s">
        <v>18594</v>
      </c>
      <c r="M3602">
        <v>320.10939999999999</v>
      </c>
      <c r="N3602" t="s">
        <v>18595</v>
      </c>
      <c r="O3602" t="s">
        <v>26</v>
      </c>
      <c r="P3602">
        <v>142.5</v>
      </c>
      <c r="Q3602">
        <v>118.75</v>
      </c>
      <c r="R3602">
        <v>95</v>
      </c>
      <c r="S3602">
        <v>142.5</v>
      </c>
      <c r="T3602" t="s">
        <v>18596</v>
      </c>
    </row>
    <row r="3603" spans="1:20">
      <c r="A3603">
        <v>3331662</v>
      </c>
      <c r="B3603" t="s">
        <v>18597</v>
      </c>
      <c r="C3603" t="str">
        <f>"9780773523135"</f>
        <v>9780773523135</v>
      </c>
      <c r="D3603" t="str">
        <f>"9780773569881"</f>
        <v>9780773569881</v>
      </c>
      <c r="E3603" t="s">
        <v>12863</v>
      </c>
      <c r="F3603" t="s">
        <v>12863</v>
      </c>
      <c r="G3603" s="1">
        <v>37385</v>
      </c>
      <c r="I3603" t="s">
        <v>12886</v>
      </c>
      <c r="J3603" t="s">
        <v>18598</v>
      </c>
      <c r="K3603" t="s">
        <v>1892</v>
      </c>
      <c r="L3603" t="s">
        <v>18599</v>
      </c>
      <c r="M3603">
        <v>282.70999999999998</v>
      </c>
      <c r="N3603" t="s">
        <v>18600</v>
      </c>
      <c r="O3603" t="s">
        <v>26</v>
      </c>
      <c r="P3603">
        <v>142.5</v>
      </c>
      <c r="Q3603">
        <v>118.75</v>
      </c>
      <c r="R3603">
        <v>95</v>
      </c>
      <c r="S3603">
        <v>142.5</v>
      </c>
      <c r="T3603" t="s">
        <v>18601</v>
      </c>
    </row>
    <row r="3604" spans="1:20">
      <c r="A3604">
        <v>3331664</v>
      </c>
      <c r="B3604" t="s">
        <v>18602</v>
      </c>
      <c r="C3604" t="str">
        <f>"9780773503861"</f>
        <v>9780773503861</v>
      </c>
      <c r="D3604" t="str">
        <f>"9780773560819"</f>
        <v>9780773560819</v>
      </c>
      <c r="E3604" t="s">
        <v>12863</v>
      </c>
      <c r="F3604" t="s">
        <v>12863</v>
      </c>
      <c r="G3604" s="1">
        <v>30317</v>
      </c>
      <c r="J3604" t="s">
        <v>2969</v>
      </c>
      <c r="K3604" t="s">
        <v>305</v>
      </c>
      <c r="L3604" t="s">
        <v>18603</v>
      </c>
      <c r="M3604">
        <v>380.145675309713</v>
      </c>
      <c r="N3604" t="s">
        <v>18604</v>
      </c>
      <c r="O3604" t="s">
        <v>26</v>
      </c>
      <c r="P3604">
        <v>142.5</v>
      </c>
      <c r="Q3604">
        <v>118.75</v>
      </c>
      <c r="R3604">
        <v>95</v>
      </c>
      <c r="S3604">
        <v>142.5</v>
      </c>
      <c r="T3604" t="s">
        <v>18605</v>
      </c>
    </row>
    <row r="3605" spans="1:20">
      <c r="A3605">
        <v>3331665</v>
      </c>
      <c r="B3605" t="s">
        <v>18606</v>
      </c>
      <c r="C3605" t="str">
        <f>"9780773521650"</f>
        <v>9780773521650</v>
      </c>
      <c r="D3605" t="str">
        <f>"9780773569065"</f>
        <v>9780773569065</v>
      </c>
      <c r="E3605" t="s">
        <v>12907</v>
      </c>
      <c r="F3605" t="s">
        <v>12907</v>
      </c>
      <c r="G3605" s="1">
        <v>41773</v>
      </c>
      <c r="J3605" t="s">
        <v>18607</v>
      </c>
      <c r="K3605" t="s">
        <v>467</v>
      </c>
      <c r="L3605" t="s">
        <v>18608</v>
      </c>
      <c r="M3605" t="s">
        <v>18609</v>
      </c>
      <c r="N3605" t="s">
        <v>18610</v>
      </c>
      <c r="O3605" t="s">
        <v>94</v>
      </c>
      <c r="P3605">
        <v>142.5</v>
      </c>
      <c r="Q3605">
        <v>118.75</v>
      </c>
      <c r="R3605">
        <v>95</v>
      </c>
      <c r="S3605">
        <v>142.5</v>
      </c>
      <c r="T3605" t="s">
        <v>18611</v>
      </c>
    </row>
    <row r="3606" spans="1:20">
      <c r="A3606">
        <v>3331666</v>
      </c>
      <c r="B3606" t="s">
        <v>18612</v>
      </c>
      <c r="C3606" t="str">
        <f>"9780773514027"</f>
        <v>9780773514027</v>
      </c>
      <c r="D3606" t="str">
        <f>"9780773565982"</f>
        <v>9780773565982</v>
      </c>
      <c r="E3606" t="s">
        <v>12863</v>
      </c>
      <c r="F3606" t="s">
        <v>12863</v>
      </c>
      <c r="G3606" s="1">
        <v>35563</v>
      </c>
      <c r="J3606" t="s">
        <v>18613</v>
      </c>
      <c r="K3606" t="s">
        <v>11854</v>
      </c>
      <c r="L3606" t="s">
        <v>18614</v>
      </c>
      <c r="M3606">
        <v>891.87090000000001</v>
      </c>
      <c r="N3606" t="s">
        <v>18615</v>
      </c>
      <c r="O3606" t="s">
        <v>26</v>
      </c>
      <c r="P3606">
        <v>142.5</v>
      </c>
      <c r="Q3606">
        <v>118.75</v>
      </c>
      <c r="R3606">
        <v>95</v>
      </c>
      <c r="S3606">
        <v>142.5</v>
      </c>
      <c r="T3606" t="s">
        <v>18616</v>
      </c>
    </row>
    <row r="3607" spans="1:20">
      <c r="A3607">
        <v>3331667</v>
      </c>
      <c r="B3607" t="s">
        <v>18617</v>
      </c>
      <c r="C3607" t="str">
        <f>"9780773523111"</f>
        <v>9780773523111</v>
      </c>
      <c r="D3607" t="str">
        <f>"9780773569874"</f>
        <v>9780773569874</v>
      </c>
      <c r="E3607" t="s">
        <v>12863</v>
      </c>
      <c r="F3607" t="s">
        <v>12863</v>
      </c>
      <c r="G3607" s="1">
        <v>37581</v>
      </c>
      <c r="I3607" t="s">
        <v>13270</v>
      </c>
      <c r="J3607" t="s">
        <v>18618</v>
      </c>
      <c r="K3607" t="s">
        <v>416</v>
      </c>
      <c r="L3607" t="s">
        <v>18619</v>
      </c>
      <c r="M3607">
        <v>332.67373070999997</v>
      </c>
      <c r="N3607" t="s">
        <v>18620</v>
      </c>
      <c r="O3607" t="s">
        <v>26</v>
      </c>
      <c r="P3607">
        <v>142.5</v>
      </c>
      <c r="Q3607">
        <v>118.75</v>
      </c>
      <c r="R3607">
        <v>95</v>
      </c>
      <c r="S3607">
        <v>142.5</v>
      </c>
      <c r="T3607" t="s">
        <v>18621</v>
      </c>
    </row>
    <row r="3608" spans="1:20">
      <c r="A3608">
        <v>3331668</v>
      </c>
      <c r="B3608" t="s">
        <v>18622</v>
      </c>
      <c r="C3608" t="str">
        <f>"9780773508057"</f>
        <v>9780773508057</v>
      </c>
      <c r="D3608" t="str">
        <f>"9780773562707"</f>
        <v>9780773562707</v>
      </c>
      <c r="E3608" t="s">
        <v>12863</v>
      </c>
      <c r="F3608" t="s">
        <v>12863</v>
      </c>
      <c r="G3608" s="1">
        <v>33512</v>
      </c>
      <c r="J3608" t="s">
        <v>18623</v>
      </c>
      <c r="K3608" t="s">
        <v>2154</v>
      </c>
      <c r="L3608" t="s">
        <v>18624</v>
      </c>
      <c r="M3608" t="s">
        <v>18625</v>
      </c>
      <c r="N3608" t="s">
        <v>18626</v>
      </c>
      <c r="O3608" t="s">
        <v>26</v>
      </c>
      <c r="P3608">
        <v>127.5</v>
      </c>
      <c r="Q3608">
        <v>106.25</v>
      </c>
      <c r="R3608">
        <v>85</v>
      </c>
      <c r="S3608">
        <v>127.5</v>
      </c>
      <c r="T3608" t="s">
        <v>18627</v>
      </c>
    </row>
    <row r="3609" spans="1:20">
      <c r="A3609">
        <v>3331669</v>
      </c>
      <c r="B3609" t="s">
        <v>18628</v>
      </c>
      <c r="C3609" t="str">
        <f>"9780773528239"</f>
        <v>9780773528239</v>
      </c>
      <c r="D3609" t="str">
        <f>"9780773572430"</f>
        <v>9780773572430</v>
      </c>
      <c r="E3609" t="s">
        <v>12907</v>
      </c>
      <c r="F3609" t="s">
        <v>12907</v>
      </c>
      <c r="G3609" s="1">
        <v>38364</v>
      </c>
      <c r="J3609" t="s">
        <v>18629</v>
      </c>
      <c r="K3609" t="s">
        <v>18630</v>
      </c>
      <c r="L3609" t="s">
        <v>18631</v>
      </c>
      <c r="M3609" t="s">
        <v>18632</v>
      </c>
      <c r="N3609" t="s">
        <v>18633</v>
      </c>
      <c r="O3609" t="s">
        <v>26</v>
      </c>
      <c r="P3609">
        <v>142.5</v>
      </c>
      <c r="Q3609">
        <v>118.75</v>
      </c>
      <c r="R3609">
        <v>95</v>
      </c>
      <c r="S3609">
        <v>142.5</v>
      </c>
      <c r="T3609" t="s">
        <v>18634</v>
      </c>
    </row>
    <row r="3610" spans="1:20">
      <c r="A3610">
        <v>3331670</v>
      </c>
      <c r="B3610" t="s">
        <v>18635</v>
      </c>
      <c r="C3610" t="str">
        <f>"9780773504110"</f>
        <v>9780773504110</v>
      </c>
      <c r="D3610" t="str">
        <f>"9780773560895"</f>
        <v>9780773560895</v>
      </c>
      <c r="E3610" t="s">
        <v>12863</v>
      </c>
      <c r="F3610" t="s">
        <v>12863</v>
      </c>
      <c r="G3610" s="1">
        <v>34187</v>
      </c>
      <c r="J3610" t="s">
        <v>18636</v>
      </c>
      <c r="K3610" t="s">
        <v>257</v>
      </c>
      <c r="L3610" t="s">
        <v>18637</v>
      </c>
      <c r="M3610">
        <v>371.10019</v>
      </c>
      <c r="N3610" t="s">
        <v>18638</v>
      </c>
      <c r="O3610" t="s">
        <v>26</v>
      </c>
      <c r="P3610">
        <v>142.5</v>
      </c>
      <c r="Q3610">
        <v>118.75</v>
      </c>
      <c r="R3610">
        <v>95</v>
      </c>
      <c r="S3610">
        <v>142.5</v>
      </c>
      <c r="T3610" t="s">
        <v>18639</v>
      </c>
    </row>
    <row r="3611" spans="1:20">
      <c r="A3611">
        <v>3331671</v>
      </c>
      <c r="B3611" t="s">
        <v>18640</v>
      </c>
      <c r="C3611" t="str">
        <f>"9780771097171"</f>
        <v>9780771097171</v>
      </c>
      <c r="D3611" t="str">
        <f>"9780773560536"</f>
        <v>9780773560536</v>
      </c>
      <c r="E3611" t="s">
        <v>12863</v>
      </c>
      <c r="F3611" t="s">
        <v>12863</v>
      </c>
      <c r="G3611" s="1">
        <v>23391</v>
      </c>
      <c r="I3611" t="s">
        <v>13270</v>
      </c>
      <c r="J3611" t="s">
        <v>18641</v>
      </c>
      <c r="K3611" t="s">
        <v>416</v>
      </c>
      <c r="L3611" t="s">
        <v>14680</v>
      </c>
      <c r="M3611">
        <v>332.40971000000002</v>
      </c>
      <c r="N3611" t="s">
        <v>18642</v>
      </c>
      <c r="O3611" t="s">
        <v>26</v>
      </c>
      <c r="P3611">
        <v>142.5</v>
      </c>
      <c r="Q3611">
        <v>118.75</v>
      </c>
      <c r="R3611">
        <v>95</v>
      </c>
      <c r="S3611">
        <v>142.5</v>
      </c>
      <c r="T3611" t="s">
        <v>18643</v>
      </c>
    </row>
    <row r="3612" spans="1:20">
      <c r="A3612">
        <v>3331672</v>
      </c>
      <c r="B3612" t="s">
        <v>18644</v>
      </c>
      <c r="C3612" t="str">
        <f>"9780886293093"</f>
        <v>9780886293093</v>
      </c>
      <c r="D3612" t="str">
        <f>"9780773574021"</f>
        <v>9780773574021</v>
      </c>
      <c r="E3612" t="s">
        <v>12863</v>
      </c>
      <c r="F3612" t="s">
        <v>12863</v>
      </c>
      <c r="G3612" s="1">
        <v>35353</v>
      </c>
      <c r="H3612">
        <v>2</v>
      </c>
      <c r="J3612" t="s">
        <v>18645</v>
      </c>
      <c r="K3612" t="s">
        <v>2260</v>
      </c>
      <c r="L3612" t="s">
        <v>18646</v>
      </c>
      <c r="N3612" t="s">
        <v>18647</v>
      </c>
      <c r="O3612" t="s">
        <v>26</v>
      </c>
      <c r="P3612">
        <v>37.43</v>
      </c>
      <c r="Q3612">
        <v>31.19</v>
      </c>
      <c r="R3612">
        <v>24.95</v>
      </c>
      <c r="S3612">
        <v>37.43</v>
      </c>
      <c r="T3612" t="s">
        <v>18648</v>
      </c>
    </row>
    <row r="3613" spans="1:20">
      <c r="A3613">
        <v>3331673</v>
      </c>
      <c r="B3613" t="s">
        <v>18649</v>
      </c>
      <c r="C3613" t="str">
        <f>"9780773517578"</f>
        <v>9780773517578</v>
      </c>
      <c r="D3613" t="str">
        <f>"9780773567351"</f>
        <v>9780773567351</v>
      </c>
      <c r="E3613" t="s">
        <v>12863</v>
      </c>
      <c r="F3613" t="s">
        <v>12863</v>
      </c>
      <c r="G3613" s="1">
        <v>36143</v>
      </c>
      <c r="I3613" t="s">
        <v>12886</v>
      </c>
      <c r="J3613" t="s">
        <v>18650</v>
      </c>
      <c r="K3613" t="s">
        <v>1464</v>
      </c>
      <c r="L3613" t="s">
        <v>18651</v>
      </c>
      <c r="M3613">
        <v>820.93822999999998</v>
      </c>
      <c r="N3613" t="s">
        <v>18652</v>
      </c>
      <c r="O3613" t="s">
        <v>26</v>
      </c>
      <c r="P3613">
        <v>142.5</v>
      </c>
      <c r="Q3613">
        <v>118.75</v>
      </c>
      <c r="R3613">
        <v>95</v>
      </c>
      <c r="S3613">
        <v>142.5</v>
      </c>
      <c r="T3613" t="s">
        <v>18653</v>
      </c>
    </row>
    <row r="3614" spans="1:20">
      <c r="A3614">
        <v>3331674</v>
      </c>
      <c r="B3614" t="s">
        <v>18654</v>
      </c>
      <c r="C3614" t="str">
        <f>"9780773515253"</f>
        <v>9780773515253</v>
      </c>
      <c r="D3614" t="str">
        <f>"9780773566385"</f>
        <v>9780773566385</v>
      </c>
      <c r="E3614" t="s">
        <v>12863</v>
      </c>
      <c r="F3614" t="s">
        <v>12863</v>
      </c>
      <c r="G3614" s="1">
        <v>35242</v>
      </c>
      <c r="J3614" t="s">
        <v>18655</v>
      </c>
      <c r="K3614" t="s">
        <v>1892</v>
      </c>
      <c r="L3614" t="s">
        <v>18656</v>
      </c>
      <c r="M3614">
        <v>282.71695499999998</v>
      </c>
      <c r="N3614" t="s">
        <v>18657</v>
      </c>
      <c r="O3614" t="s">
        <v>26</v>
      </c>
      <c r="P3614">
        <v>142.5</v>
      </c>
      <c r="Q3614">
        <v>118.75</v>
      </c>
      <c r="R3614">
        <v>95</v>
      </c>
      <c r="S3614">
        <v>142.5</v>
      </c>
      <c r="T3614" t="s">
        <v>18658</v>
      </c>
    </row>
    <row r="3615" spans="1:20">
      <c r="A3615">
        <v>3331675</v>
      </c>
      <c r="B3615" t="s">
        <v>18659</v>
      </c>
      <c r="C3615" t="str">
        <f>"9780773530140"</f>
        <v>9780773530140</v>
      </c>
      <c r="D3615" t="str">
        <f>"9780773573307"</f>
        <v>9780773573307</v>
      </c>
      <c r="E3615" t="s">
        <v>12863</v>
      </c>
      <c r="F3615" t="s">
        <v>12863</v>
      </c>
      <c r="G3615" s="1">
        <v>38597</v>
      </c>
      <c r="I3615" t="s">
        <v>13068</v>
      </c>
      <c r="J3615" t="s">
        <v>18660</v>
      </c>
      <c r="K3615" t="s">
        <v>416</v>
      </c>
      <c r="L3615" t="s">
        <v>18661</v>
      </c>
      <c r="M3615">
        <v>336.71050000000002</v>
      </c>
      <c r="N3615" t="s">
        <v>13071</v>
      </c>
      <c r="O3615" t="s">
        <v>26</v>
      </c>
      <c r="P3615">
        <v>49.43</v>
      </c>
      <c r="Q3615">
        <v>41.19</v>
      </c>
      <c r="R3615">
        <v>32.950000000000003</v>
      </c>
      <c r="S3615">
        <v>49.43</v>
      </c>
      <c r="T3615" t="s">
        <v>18662</v>
      </c>
    </row>
    <row r="3616" spans="1:20">
      <c r="A3616">
        <v>3331676</v>
      </c>
      <c r="B3616" t="s">
        <v>18663</v>
      </c>
      <c r="C3616" t="str">
        <f>"9780773514294"</f>
        <v>9780773514294</v>
      </c>
      <c r="D3616" t="str">
        <f>"9780773566156"</f>
        <v>9780773566156</v>
      </c>
      <c r="E3616" t="s">
        <v>12907</v>
      </c>
      <c r="F3616" t="s">
        <v>12907</v>
      </c>
      <c r="G3616" s="1">
        <v>41836</v>
      </c>
      <c r="J3616" t="s">
        <v>18664</v>
      </c>
      <c r="K3616" t="s">
        <v>291</v>
      </c>
      <c r="L3616" t="s">
        <v>18665</v>
      </c>
      <c r="M3616">
        <v>949.70240000000001</v>
      </c>
      <c r="N3616" t="s">
        <v>18666</v>
      </c>
      <c r="O3616" t="s">
        <v>26</v>
      </c>
      <c r="P3616">
        <v>41.93</v>
      </c>
      <c r="Q3616">
        <v>34.94</v>
      </c>
      <c r="R3616">
        <v>27.95</v>
      </c>
      <c r="S3616">
        <v>41.93</v>
      </c>
      <c r="T3616" t="s">
        <v>18667</v>
      </c>
    </row>
    <row r="3617" spans="1:20">
      <c r="A3617">
        <v>3331677</v>
      </c>
      <c r="B3617" t="s">
        <v>18668</v>
      </c>
      <c r="C3617" t="str">
        <f>"9780773506596"</f>
        <v>9780773506596</v>
      </c>
      <c r="D3617" t="str">
        <f>"9780773561731"</f>
        <v>9780773561731</v>
      </c>
      <c r="E3617" t="s">
        <v>12863</v>
      </c>
      <c r="F3617" t="s">
        <v>12863</v>
      </c>
      <c r="G3617" s="1">
        <v>32387</v>
      </c>
      <c r="J3617" t="s">
        <v>18510</v>
      </c>
      <c r="K3617" t="s">
        <v>291</v>
      </c>
      <c r="L3617" t="s">
        <v>18669</v>
      </c>
      <c r="M3617">
        <v>941.50810000000001</v>
      </c>
      <c r="N3617" t="s">
        <v>18670</v>
      </c>
      <c r="O3617" t="s">
        <v>26</v>
      </c>
      <c r="P3617">
        <v>127.5</v>
      </c>
      <c r="Q3617">
        <v>106.25</v>
      </c>
      <c r="R3617">
        <v>85</v>
      </c>
      <c r="S3617">
        <v>127.5</v>
      </c>
      <c r="T3617" t="s">
        <v>18671</v>
      </c>
    </row>
    <row r="3618" spans="1:20">
      <c r="A3618">
        <v>3331678</v>
      </c>
      <c r="B3618" t="s">
        <v>18672</v>
      </c>
      <c r="C3618" t="str">
        <f>"9780773529021"</f>
        <v>9780773529021</v>
      </c>
      <c r="D3618" t="str">
        <f>"9780773572935"</f>
        <v>9780773572935</v>
      </c>
      <c r="E3618" t="s">
        <v>12863</v>
      </c>
      <c r="F3618" t="s">
        <v>12863</v>
      </c>
      <c r="G3618" s="1">
        <v>38464</v>
      </c>
      <c r="J3618" t="s">
        <v>18673</v>
      </c>
      <c r="K3618" t="s">
        <v>263</v>
      </c>
      <c r="L3618" t="s">
        <v>18674</v>
      </c>
      <c r="M3618">
        <v>306.74309714471002</v>
      </c>
      <c r="N3618" t="s">
        <v>18675</v>
      </c>
      <c r="O3618" t="s">
        <v>26</v>
      </c>
      <c r="P3618">
        <v>29.93</v>
      </c>
      <c r="Q3618">
        <v>24.94</v>
      </c>
      <c r="R3618">
        <v>19.95</v>
      </c>
      <c r="S3618">
        <v>29.93</v>
      </c>
      <c r="T3618" t="s">
        <v>18676</v>
      </c>
    </row>
    <row r="3619" spans="1:20">
      <c r="A3619">
        <v>3331679</v>
      </c>
      <c r="B3619" t="s">
        <v>18677</v>
      </c>
      <c r="C3619" t="str">
        <f>"9780773503236"</f>
        <v>9780773503236</v>
      </c>
      <c r="D3619" t="str">
        <f>"9780773560727"</f>
        <v>9780773560727</v>
      </c>
      <c r="E3619" t="s">
        <v>12863</v>
      </c>
      <c r="F3619" t="s">
        <v>12863</v>
      </c>
      <c r="G3619" s="1">
        <v>33822</v>
      </c>
      <c r="J3619" t="s">
        <v>18678</v>
      </c>
      <c r="K3619" t="s">
        <v>1471</v>
      </c>
      <c r="L3619" t="s">
        <v>18679</v>
      </c>
      <c r="M3619">
        <v>791.430971</v>
      </c>
      <c r="N3619" t="s">
        <v>18680</v>
      </c>
      <c r="O3619" t="s">
        <v>26</v>
      </c>
      <c r="P3619">
        <v>44.93</v>
      </c>
      <c r="Q3619">
        <v>37.44</v>
      </c>
      <c r="R3619">
        <v>29.95</v>
      </c>
      <c r="S3619">
        <v>44.93</v>
      </c>
      <c r="T3619" t="s">
        <v>18681</v>
      </c>
    </row>
    <row r="3620" spans="1:20">
      <c r="A3620">
        <v>3331680</v>
      </c>
      <c r="B3620" t="s">
        <v>18682</v>
      </c>
      <c r="C3620" t="str">
        <f>"9780773513334"</f>
        <v>9780773513334</v>
      </c>
      <c r="D3620" t="str">
        <f>"9780773565555"</f>
        <v>9780773565555</v>
      </c>
      <c r="E3620" t="s">
        <v>12863</v>
      </c>
      <c r="F3620" t="s">
        <v>12863</v>
      </c>
      <c r="G3620" s="1">
        <v>34820</v>
      </c>
      <c r="J3620" t="s">
        <v>18683</v>
      </c>
      <c r="K3620" t="s">
        <v>1464</v>
      </c>
      <c r="L3620" t="s">
        <v>18684</v>
      </c>
      <c r="M3620" t="s">
        <v>18685</v>
      </c>
      <c r="N3620" t="s">
        <v>18686</v>
      </c>
      <c r="O3620" t="s">
        <v>26</v>
      </c>
      <c r="P3620">
        <v>360</v>
      </c>
      <c r="Q3620">
        <v>300</v>
      </c>
      <c r="R3620">
        <v>240</v>
      </c>
      <c r="S3620">
        <v>360</v>
      </c>
      <c r="T3620" t="s">
        <v>18687</v>
      </c>
    </row>
    <row r="3621" spans="1:20">
      <c r="A3621">
        <v>3331681</v>
      </c>
      <c r="B3621" t="s">
        <v>18688</v>
      </c>
      <c r="C3621" t="str">
        <f>"9780773508873"</f>
        <v>9780773508873</v>
      </c>
      <c r="D3621" t="str">
        <f>"9780773563230"</f>
        <v>9780773563230</v>
      </c>
      <c r="E3621" t="s">
        <v>12863</v>
      </c>
      <c r="F3621" t="s">
        <v>12863</v>
      </c>
      <c r="G3621" s="1">
        <v>34088</v>
      </c>
      <c r="I3621" t="s">
        <v>13046</v>
      </c>
      <c r="J3621" t="s">
        <v>18689</v>
      </c>
      <c r="K3621" t="s">
        <v>1550</v>
      </c>
      <c r="L3621" t="s">
        <v>18690</v>
      </c>
      <c r="M3621">
        <v>944.08299999999997</v>
      </c>
      <c r="N3621" t="s">
        <v>18691</v>
      </c>
      <c r="O3621" t="s">
        <v>26</v>
      </c>
      <c r="P3621">
        <v>165</v>
      </c>
      <c r="Q3621">
        <v>137.5</v>
      </c>
      <c r="R3621">
        <v>110</v>
      </c>
      <c r="S3621">
        <v>165</v>
      </c>
      <c r="T3621" t="s">
        <v>18692</v>
      </c>
    </row>
    <row r="3622" spans="1:20">
      <c r="A3622">
        <v>3331682</v>
      </c>
      <c r="B3622" t="s">
        <v>18693</v>
      </c>
      <c r="C3622" t="str">
        <f>"9780773516403"</f>
        <v>9780773516403</v>
      </c>
      <c r="D3622" t="str">
        <f>"9780773566712"</f>
        <v>9780773566712</v>
      </c>
      <c r="E3622" t="s">
        <v>12863</v>
      </c>
      <c r="F3622" t="s">
        <v>12863</v>
      </c>
      <c r="G3622" s="1">
        <v>35872</v>
      </c>
      <c r="J3622" t="s">
        <v>18694</v>
      </c>
      <c r="K3622" t="s">
        <v>291</v>
      </c>
      <c r="L3622" t="s">
        <v>18695</v>
      </c>
      <c r="M3622">
        <v>967.51022092000005</v>
      </c>
      <c r="N3622" t="s">
        <v>18696</v>
      </c>
      <c r="O3622" t="s">
        <v>26</v>
      </c>
      <c r="P3622">
        <v>142.5</v>
      </c>
      <c r="Q3622">
        <v>118.75</v>
      </c>
      <c r="R3622">
        <v>95</v>
      </c>
      <c r="S3622">
        <v>142.5</v>
      </c>
      <c r="T3622" t="s">
        <v>18697</v>
      </c>
    </row>
    <row r="3623" spans="1:20">
      <c r="A3623">
        <v>3331683</v>
      </c>
      <c r="B3623" t="s">
        <v>18698</v>
      </c>
      <c r="C3623" t="str">
        <f>"9780886290351"</f>
        <v>9780886290351</v>
      </c>
      <c r="D3623" t="str">
        <f>"9780773573413"</f>
        <v>9780773573413</v>
      </c>
      <c r="E3623" t="s">
        <v>12863</v>
      </c>
      <c r="F3623" t="s">
        <v>12863</v>
      </c>
      <c r="G3623" s="1">
        <v>31670</v>
      </c>
      <c r="I3623" t="s">
        <v>16501</v>
      </c>
      <c r="J3623" t="s">
        <v>18699</v>
      </c>
      <c r="K3623" t="s">
        <v>1464</v>
      </c>
      <c r="L3623" t="s">
        <v>18700</v>
      </c>
      <c r="M3623">
        <v>813.3</v>
      </c>
      <c r="N3623" t="s">
        <v>18701</v>
      </c>
      <c r="O3623" t="s">
        <v>26</v>
      </c>
      <c r="P3623">
        <v>49.43</v>
      </c>
      <c r="Q3623">
        <v>41.19</v>
      </c>
      <c r="R3623">
        <v>32.950000000000003</v>
      </c>
      <c r="S3623">
        <v>49.43</v>
      </c>
      <c r="T3623" t="s">
        <v>18702</v>
      </c>
    </row>
    <row r="3624" spans="1:20">
      <c r="A3624">
        <v>3331684</v>
      </c>
      <c r="B3624" t="s">
        <v>18703</v>
      </c>
      <c r="C3624" t="str">
        <f>"9780773508798"</f>
        <v>9780773508798</v>
      </c>
      <c r="D3624" t="str">
        <f>"9780773563179"</f>
        <v>9780773563179</v>
      </c>
      <c r="E3624" t="s">
        <v>12863</v>
      </c>
      <c r="F3624" t="s">
        <v>12863</v>
      </c>
      <c r="G3624" s="1">
        <v>33639</v>
      </c>
      <c r="I3624" t="s">
        <v>13046</v>
      </c>
      <c r="J3624" t="s">
        <v>18704</v>
      </c>
      <c r="K3624" t="s">
        <v>1550</v>
      </c>
      <c r="L3624" t="s">
        <v>18705</v>
      </c>
      <c r="M3624">
        <v>971.404</v>
      </c>
      <c r="N3624" t="s">
        <v>18706</v>
      </c>
      <c r="O3624" t="s">
        <v>26</v>
      </c>
      <c r="P3624">
        <v>165</v>
      </c>
      <c r="Q3624">
        <v>137.5</v>
      </c>
      <c r="R3624">
        <v>110</v>
      </c>
      <c r="S3624">
        <v>165</v>
      </c>
      <c r="T3624" t="s">
        <v>18707</v>
      </c>
    </row>
    <row r="3625" spans="1:20">
      <c r="A3625">
        <v>3331685</v>
      </c>
      <c r="B3625" t="s">
        <v>18708</v>
      </c>
      <c r="C3625" t="str">
        <f>"9780773529144"</f>
        <v>9780773529144</v>
      </c>
      <c r="D3625" t="str">
        <f>"9780773572966"</f>
        <v>9780773572966</v>
      </c>
      <c r="E3625" t="s">
        <v>12863</v>
      </c>
      <c r="F3625" t="s">
        <v>12863</v>
      </c>
      <c r="G3625" s="1">
        <v>38470</v>
      </c>
      <c r="I3625" t="s">
        <v>12886</v>
      </c>
      <c r="J3625" t="s">
        <v>18709</v>
      </c>
      <c r="K3625" t="s">
        <v>1892</v>
      </c>
      <c r="L3625" t="s">
        <v>18710</v>
      </c>
      <c r="M3625">
        <v>282.09199999999998</v>
      </c>
      <c r="N3625" t="s">
        <v>18711</v>
      </c>
      <c r="O3625" t="s">
        <v>26</v>
      </c>
      <c r="P3625">
        <v>59.93</v>
      </c>
      <c r="Q3625">
        <v>49.94</v>
      </c>
      <c r="R3625">
        <v>39.950000000000003</v>
      </c>
      <c r="S3625">
        <v>59.93</v>
      </c>
      <c r="T3625" t="s">
        <v>18712</v>
      </c>
    </row>
    <row r="3626" spans="1:20">
      <c r="A3626">
        <v>3331686</v>
      </c>
      <c r="B3626" t="s">
        <v>18713</v>
      </c>
      <c r="C3626" t="str">
        <f>"9780886291563"</f>
        <v>9780886291563</v>
      </c>
      <c r="D3626" t="str">
        <f>"9780773573758"</f>
        <v>9780773573758</v>
      </c>
      <c r="E3626" t="s">
        <v>12863</v>
      </c>
      <c r="F3626" t="s">
        <v>12863</v>
      </c>
      <c r="G3626" s="1">
        <v>33649</v>
      </c>
      <c r="I3626" t="s">
        <v>15076</v>
      </c>
      <c r="J3626" t="s">
        <v>18714</v>
      </c>
      <c r="K3626" t="s">
        <v>263</v>
      </c>
      <c r="L3626" t="s">
        <v>18715</v>
      </c>
      <c r="M3626">
        <v>305.42</v>
      </c>
      <c r="N3626" t="s">
        <v>18716</v>
      </c>
      <c r="O3626" t="s">
        <v>26</v>
      </c>
      <c r="P3626">
        <v>44.93</v>
      </c>
      <c r="Q3626">
        <v>37.44</v>
      </c>
      <c r="R3626">
        <v>29.95</v>
      </c>
      <c r="S3626">
        <v>44.93</v>
      </c>
      <c r="T3626" t="s">
        <v>18717</v>
      </c>
    </row>
    <row r="3627" spans="1:20">
      <c r="A3627">
        <v>3331687</v>
      </c>
      <c r="B3627" t="s">
        <v>18718</v>
      </c>
      <c r="C3627" t="str">
        <f>"9780886293161"</f>
        <v>9780886293161</v>
      </c>
      <c r="D3627" t="str">
        <f>"9780773574045"</f>
        <v>9780773574045</v>
      </c>
      <c r="E3627" t="s">
        <v>12863</v>
      </c>
      <c r="F3627" t="s">
        <v>12863</v>
      </c>
      <c r="G3627" s="1">
        <v>35596</v>
      </c>
      <c r="J3627" t="s">
        <v>18719</v>
      </c>
      <c r="K3627" t="s">
        <v>291</v>
      </c>
      <c r="L3627" t="s">
        <v>18720</v>
      </c>
      <c r="M3627" t="s">
        <v>18721</v>
      </c>
      <c r="N3627" t="s">
        <v>18722</v>
      </c>
      <c r="O3627" t="s">
        <v>26</v>
      </c>
      <c r="P3627">
        <v>44.93</v>
      </c>
      <c r="Q3627">
        <v>37.44</v>
      </c>
      <c r="R3627">
        <v>29.95</v>
      </c>
      <c r="S3627">
        <v>44.93</v>
      </c>
      <c r="T3627" t="s">
        <v>18723</v>
      </c>
    </row>
    <row r="3628" spans="1:20">
      <c r="A3628">
        <v>3331688</v>
      </c>
      <c r="B3628" t="s">
        <v>18724</v>
      </c>
      <c r="C3628" t="str">
        <f>"9780773528727"</f>
        <v>9780773528727</v>
      </c>
      <c r="D3628" t="str">
        <f>"9780773572737"</f>
        <v>9780773572737</v>
      </c>
      <c r="E3628" t="s">
        <v>12863</v>
      </c>
      <c r="F3628" t="s">
        <v>12863</v>
      </c>
      <c r="G3628" s="1">
        <v>38484</v>
      </c>
      <c r="J3628" t="s">
        <v>18725</v>
      </c>
      <c r="K3628" t="s">
        <v>416</v>
      </c>
      <c r="L3628" t="s">
        <v>18726</v>
      </c>
      <c r="M3628">
        <v>331.88</v>
      </c>
      <c r="N3628" t="s">
        <v>18727</v>
      </c>
      <c r="O3628" t="s">
        <v>26</v>
      </c>
      <c r="P3628">
        <v>142.5</v>
      </c>
      <c r="Q3628">
        <v>118.75</v>
      </c>
      <c r="R3628">
        <v>95</v>
      </c>
      <c r="S3628">
        <v>142.5</v>
      </c>
      <c r="T3628" t="s">
        <v>18728</v>
      </c>
    </row>
    <row r="3629" spans="1:20">
      <c r="A3629">
        <v>3331689</v>
      </c>
      <c r="B3629" t="s">
        <v>18729</v>
      </c>
      <c r="C3629" t="str">
        <f>"9780773527973"</f>
        <v>9780773527973</v>
      </c>
      <c r="D3629" t="str">
        <f>"9780773572270"</f>
        <v>9780773572270</v>
      </c>
      <c r="E3629" t="s">
        <v>12863</v>
      </c>
      <c r="F3629" t="s">
        <v>12863</v>
      </c>
      <c r="G3629" s="1">
        <v>38464</v>
      </c>
      <c r="J3629" t="s">
        <v>18730</v>
      </c>
      <c r="K3629" t="s">
        <v>1464</v>
      </c>
      <c r="L3629" t="s">
        <v>18731</v>
      </c>
      <c r="M3629">
        <v>811.54093542999999</v>
      </c>
      <c r="N3629" t="s">
        <v>18732</v>
      </c>
      <c r="O3629" t="s">
        <v>26</v>
      </c>
      <c r="P3629">
        <v>142.5</v>
      </c>
      <c r="Q3629">
        <v>118.75</v>
      </c>
      <c r="R3629">
        <v>95</v>
      </c>
      <c r="S3629">
        <v>142.5</v>
      </c>
      <c r="T3629" t="s">
        <v>18733</v>
      </c>
    </row>
    <row r="3630" spans="1:20">
      <c r="A3630">
        <v>3331690</v>
      </c>
      <c r="B3630" t="s">
        <v>18734</v>
      </c>
      <c r="C3630" t="str">
        <f>"9780773510258"</f>
        <v>9780773510258</v>
      </c>
      <c r="D3630" t="str">
        <f>"9780773564183"</f>
        <v>9780773564183</v>
      </c>
      <c r="E3630" t="s">
        <v>12863</v>
      </c>
      <c r="F3630" t="s">
        <v>12863</v>
      </c>
      <c r="G3630" s="1">
        <v>35744</v>
      </c>
      <c r="I3630" t="s">
        <v>12963</v>
      </c>
      <c r="J3630" t="s">
        <v>18735</v>
      </c>
      <c r="K3630" t="s">
        <v>467</v>
      </c>
      <c r="L3630" t="s">
        <v>18736</v>
      </c>
      <c r="M3630">
        <v>320.52091999999999</v>
      </c>
      <c r="N3630" t="s">
        <v>18737</v>
      </c>
      <c r="O3630" t="s">
        <v>26</v>
      </c>
      <c r="P3630">
        <v>142.5</v>
      </c>
      <c r="Q3630">
        <v>118.75</v>
      </c>
      <c r="R3630">
        <v>95</v>
      </c>
      <c r="S3630">
        <v>142.5</v>
      </c>
      <c r="T3630" t="s">
        <v>18738</v>
      </c>
    </row>
    <row r="3631" spans="1:20">
      <c r="A3631">
        <v>3331691</v>
      </c>
      <c r="B3631" t="s">
        <v>18739</v>
      </c>
      <c r="C3631" t="str">
        <f>"9780773514201"</f>
        <v>9780773514201</v>
      </c>
      <c r="D3631" t="str">
        <f>"9780773566088"</f>
        <v>9780773566088</v>
      </c>
      <c r="E3631" t="s">
        <v>12863</v>
      </c>
      <c r="F3631" t="s">
        <v>12863</v>
      </c>
      <c r="G3631" s="1">
        <v>35224</v>
      </c>
      <c r="J3631" t="s">
        <v>18740</v>
      </c>
      <c r="K3631" t="s">
        <v>7063</v>
      </c>
      <c r="L3631" t="s">
        <v>18741</v>
      </c>
      <c r="M3631">
        <v>327.73050904500002</v>
      </c>
      <c r="N3631" t="s">
        <v>18742</v>
      </c>
      <c r="O3631" t="s">
        <v>26</v>
      </c>
      <c r="P3631">
        <v>142.5</v>
      </c>
      <c r="Q3631">
        <v>118.75</v>
      </c>
      <c r="R3631">
        <v>95</v>
      </c>
      <c r="S3631">
        <v>142.5</v>
      </c>
      <c r="T3631" t="s">
        <v>18743</v>
      </c>
    </row>
    <row r="3632" spans="1:20">
      <c r="A3632">
        <v>3331692</v>
      </c>
      <c r="B3632" t="s">
        <v>18744</v>
      </c>
      <c r="C3632" t="str">
        <f>"9780773529588"</f>
        <v>9780773529588</v>
      </c>
      <c r="D3632" t="str">
        <f>"9780773573161"</f>
        <v>9780773573161</v>
      </c>
      <c r="E3632" t="s">
        <v>12907</v>
      </c>
      <c r="F3632" t="s">
        <v>12907</v>
      </c>
      <c r="G3632" s="1">
        <v>41773</v>
      </c>
      <c r="J3632" t="s">
        <v>18745</v>
      </c>
      <c r="K3632" t="s">
        <v>2260</v>
      </c>
      <c r="L3632" t="s">
        <v>18746</v>
      </c>
      <c r="M3632">
        <v>610.71171428000002</v>
      </c>
      <c r="N3632" t="s">
        <v>18747</v>
      </c>
      <c r="O3632" t="s">
        <v>26</v>
      </c>
      <c r="P3632">
        <v>142.5</v>
      </c>
      <c r="Q3632">
        <v>118.75</v>
      </c>
      <c r="R3632">
        <v>95</v>
      </c>
      <c r="S3632">
        <v>142.5</v>
      </c>
      <c r="T3632" t="s">
        <v>18748</v>
      </c>
    </row>
    <row r="3633" spans="1:20">
      <c r="A3633">
        <v>3331693</v>
      </c>
      <c r="B3633" t="s">
        <v>18749</v>
      </c>
      <c r="C3633" t="str">
        <f>"9780773528437"</f>
        <v>9780773528437</v>
      </c>
      <c r="D3633" t="str">
        <f>"9780773572522"</f>
        <v>9780773572522</v>
      </c>
      <c r="E3633" t="s">
        <v>12863</v>
      </c>
      <c r="F3633" t="s">
        <v>12863</v>
      </c>
      <c r="G3633" s="1">
        <v>38454</v>
      </c>
      <c r="I3633" t="s">
        <v>12871</v>
      </c>
      <c r="J3633" t="s">
        <v>18750</v>
      </c>
      <c r="K3633" t="s">
        <v>291</v>
      </c>
      <c r="L3633" t="s">
        <v>18751</v>
      </c>
      <c r="M3633">
        <v>977.00497317009194</v>
      </c>
      <c r="N3633" t="s">
        <v>18752</v>
      </c>
      <c r="O3633" t="s">
        <v>26</v>
      </c>
      <c r="P3633">
        <v>44.93</v>
      </c>
      <c r="Q3633">
        <v>37.44</v>
      </c>
      <c r="R3633">
        <v>29.95</v>
      </c>
      <c r="S3633">
        <v>44.93</v>
      </c>
      <c r="T3633" t="s">
        <v>18753</v>
      </c>
    </row>
    <row r="3634" spans="1:20">
      <c r="A3634">
        <v>3331694</v>
      </c>
      <c r="B3634" t="s">
        <v>18754</v>
      </c>
      <c r="C3634" t="str">
        <f>"9780773513198"</f>
        <v>9780773513198</v>
      </c>
      <c r="D3634" t="str">
        <f>"9780773565494"</f>
        <v>9780773565494</v>
      </c>
      <c r="E3634" t="s">
        <v>12863</v>
      </c>
      <c r="F3634" t="s">
        <v>12863</v>
      </c>
      <c r="G3634" s="1">
        <v>35081</v>
      </c>
      <c r="J3634" t="s">
        <v>18755</v>
      </c>
      <c r="K3634" t="s">
        <v>291</v>
      </c>
      <c r="L3634" t="s">
        <v>18756</v>
      </c>
      <c r="M3634">
        <v>968.04909199999997</v>
      </c>
      <c r="N3634" t="s">
        <v>18757</v>
      </c>
      <c r="O3634" t="s">
        <v>26</v>
      </c>
      <c r="P3634">
        <v>142.5</v>
      </c>
      <c r="Q3634">
        <v>118.75</v>
      </c>
      <c r="R3634">
        <v>95</v>
      </c>
      <c r="S3634">
        <v>142.5</v>
      </c>
      <c r="T3634" t="s">
        <v>18758</v>
      </c>
    </row>
    <row r="3635" spans="1:20">
      <c r="A3635">
        <v>3331695</v>
      </c>
      <c r="B3635" t="s">
        <v>18759</v>
      </c>
      <c r="C3635" t="str">
        <f>"9780773523784"</f>
        <v>9780773523784</v>
      </c>
      <c r="D3635" t="str">
        <f>"9780773570290"</f>
        <v>9780773570290</v>
      </c>
      <c r="E3635" t="s">
        <v>12863</v>
      </c>
      <c r="F3635" t="s">
        <v>12863</v>
      </c>
      <c r="G3635" s="1">
        <v>37273</v>
      </c>
      <c r="I3635" t="s">
        <v>14082</v>
      </c>
      <c r="J3635" t="s">
        <v>18760</v>
      </c>
      <c r="K3635" t="s">
        <v>305</v>
      </c>
      <c r="L3635" t="s">
        <v>18761</v>
      </c>
      <c r="M3635" t="s">
        <v>18762</v>
      </c>
      <c r="N3635" t="s">
        <v>18763</v>
      </c>
      <c r="O3635" t="s">
        <v>26</v>
      </c>
      <c r="P3635">
        <v>105</v>
      </c>
      <c r="Q3635">
        <v>87.5</v>
      </c>
      <c r="R3635">
        <v>70</v>
      </c>
      <c r="S3635">
        <v>105</v>
      </c>
      <c r="T3635" t="s">
        <v>18764</v>
      </c>
    </row>
    <row r="3636" spans="1:20">
      <c r="A3636">
        <v>3331696</v>
      </c>
      <c r="B3636" t="s">
        <v>18765</v>
      </c>
      <c r="C3636" t="str">
        <f>"9780773528819"</f>
        <v>9780773528819</v>
      </c>
      <c r="D3636" t="str">
        <f>"9780773572805"</f>
        <v>9780773572805</v>
      </c>
      <c r="E3636" t="s">
        <v>12863</v>
      </c>
      <c r="F3636" t="s">
        <v>12863</v>
      </c>
      <c r="G3636" s="1">
        <v>38470</v>
      </c>
      <c r="J3636" t="s">
        <v>18766</v>
      </c>
      <c r="K3636" t="s">
        <v>76</v>
      </c>
      <c r="L3636" t="s">
        <v>18767</v>
      </c>
      <c r="M3636">
        <v>639.28091672999994</v>
      </c>
      <c r="N3636" t="s">
        <v>18768</v>
      </c>
      <c r="O3636" t="s">
        <v>26</v>
      </c>
      <c r="P3636">
        <v>44.93</v>
      </c>
      <c r="Q3636">
        <v>37.44</v>
      </c>
      <c r="R3636">
        <v>29.95</v>
      </c>
      <c r="S3636">
        <v>44.93</v>
      </c>
      <c r="T3636" t="s">
        <v>18769</v>
      </c>
    </row>
    <row r="3637" spans="1:20">
      <c r="A3637">
        <v>3331697</v>
      </c>
      <c r="B3637" t="s">
        <v>18770</v>
      </c>
      <c r="C3637" t="str">
        <f>"9780886291358"</f>
        <v>9780886291358</v>
      </c>
      <c r="D3637" t="str">
        <f>"9780773573666"</f>
        <v>9780773573666</v>
      </c>
      <c r="E3637" t="s">
        <v>12863</v>
      </c>
      <c r="F3637" t="s">
        <v>12863</v>
      </c>
      <c r="G3637" s="1">
        <v>33222</v>
      </c>
      <c r="J3637" t="s">
        <v>18771</v>
      </c>
      <c r="K3637" t="s">
        <v>1471</v>
      </c>
      <c r="L3637" t="s">
        <v>18772</v>
      </c>
      <c r="M3637">
        <v>759.11</v>
      </c>
      <c r="N3637" t="s">
        <v>18773</v>
      </c>
      <c r="O3637" t="s">
        <v>26</v>
      </c>
      <c r="P3637">
        <v>44.93</v>
      </c>
      <c r="Q3637">
        <v>37.44</v>
      </c>
      <c r="R3637">
        <v>29.95</v>
      </c>
      <c r="S3637">
        <v>44.93</v>
      </c>
      <c r="T3637" t="s">
        <v>18774</v>
      </c>
    </row>
    <row r="3638" spans="1:20">
      <c r="A3638">
        <v>3331698</v>
      </c>
      <c r="B3638" t="s">
        <v>18775</v>
      </c>
      <c r="C3638" t="str">
        <f>"9780773528703"</f>
        <v>9780773528703</v>
      </c>
      <c r="D3638" t="str">
        <f>"9780773572713"</f>
        <v>9780773572713</v>
      </c>
      <c r="E3638" t="s">
        <v>12907</v>
      </c>
      <c r="F3638" t="s">
        <v>12907</v>
      </c>
      <c r="G3638" s="1">
        <v>38649</v>
      </c>
      <c r="J3638" t="s">
        <v>18776</v>
      </c>
      <c r="K3638" t="s">
        <v>263</v>
      </c>
      <c r="L3638" t="s">
        <v>18777</v>
      </c>
      <c r="M3638">
        <v>306.3</v>
      </c>
      <c r="N3638" t="s">
        <v>18778</v>
      </c>
      <c r="O3638" t="s">
        <v>26</v>
      </c>
      <c r="P3638">
        <v>142.5</v>
      </c>
      <c r="Q3638">
        <v>118.75</v>
      </c>
      <c r="R3638">
        <v>95</v>
      </c>
      <c r="S3638">
        <v>142.5</v>
      </c>
      <c r="T3638" t="s">
        <v>18779</v>
      </c>
    </row>
    <row r="3639" spans="1:20">
      <c r="A3639">
        <v>3331699</v>
      </c>
      <c r="B3639" t="s">
        <v>18780</v>
      </c>
      <c r="C3639" t="str">
        <f>"9780889118065"</f>
        <v>9780889118065</v>
      </c>
      <c r="D3639" t="str">
        <f>"9780773574236"</f>
        <v>9780773574236</v>
      </c>
      <c r="E3639" t="s">
        <v>12863</v>
      </c>
      <c r="F3639" t="s">
        <v>12863</v>
      </c>
      <c r="G3639" s="1">
        <v>36373</v>
      </c>
      <c r="I3639" t="s">
        <v>18781</v>
      </c>
      <c r="J3639" t="s">
        <v>18782</v>
      </c>
      <c r="K3639" t="s">
        <v>278</v>
      </c>
      <c r="L3639" t="s">
        <v>18783</v>
      </c>
      <c r="M3639" t="s">
        <v>18784</v>
      </c>
      <c r="N3639" t="s">
        <v>18785</v>
      </c>
      <c r="O3639" t="s">
        <v>26</v>
      </c>
      <c r="P3639">
        <v>112.5</v>
      </c>
      <c r="Q3639">
        <v>93.75</v>
      </c>
      <c r="R3639">
        <v>75</v>
      </c>
      <c r="S3639">
        <v>112.5</v>
      </c>
      <c r="T3639" t="s">
        <v>18786</v>
      </c>
    </row>
    <row r="3640" spans="1:20">
      <c r="A3640">
        <v>3331700</v>
      </c>
      <c r="B3640" t="s">
        <v>18787</v>
      </c>
      <c r="C3640" t="str">
        <f>"9780773529632"</f>
        <v>9780773529632</v>
      </c>
      <c r="D3640" t="str">
        <f>"9780773573178"</f>
        <v>9780773573178</v>
      </c>
      <c r="E3640" t="s">
        <v>12863</v>
      </c>
      <c r="F3640" t="s">
        <v>12863</v>
      </c>
      <c r="G3640" s="1">
        <v>38621</v>
      </c>
      <c r="J3640" t="s">
        <v>18788</v>
      </c>
      <c r="K3640" t="s">
        <v>257</v>
      </c>
      <c r="L3640" t="s">
        <v>15672</v>
      </c>
      <c r="M3640">
        <v>378.38097099999999</v>
      </c>
      <c r="N3640" t="s">
        <v>18789</v>
      </c>
      <c r="O3640" t="s">
        <v>26</v>
      </c>
      <c r="P3640">
        <v>142.5</v>
      </c>
      <c r="Q3640">
        <v>118.75</v>
      </c>
      <c r="R3640">
        <v>95</v>
      </c>
      <c r="S3640">
        <v>142.5</v>
      </c>
      <c r="T3640" t="s">
        <v>18790</v>
      </c>
    </row>
    <row r="3641" spans="1:20">
      <c r="A3641">
        <v>3331701</v>
      </c>
      <c r="B3641" t="s">
        <v>18791</v>
      </c>
      <c r="C3641" t="str">
        <f>"9780886290177"</f>
        <v>9780886290177</v>
      </c>
      <c r="D3641" t="str">
        <f>"9780773573383"</f>
        <v>9780773573383</v>
      </c>
      <c r="E3641" t="s">
        <v>12863</v>
      </c>
      <c r="F3641" t="s">
        <v>12863</v>
      </c>
      <c r="G3641" s="1">
        <v>27044</v>
      </c>
      <c r="I3641" t="s">
        <v>13270</v>
      </c>
      <c r="J3641" t="s">
        <v>18792</v>
      </c>
      <c r="K3641" t="s">
        <v>291</v>
      </c>
      <c r="L3641" t="s">
        <v>18793</v>
      </c>
      <c r="M3641">
        <v>971.500497</v>
      </c>
      <c r="N3641" t="s">
        <v>18794</v>
      </c>
      <c r="O3641" t="s">
        <v>26</v>
      </c>
      <c r="P3641">
        <v>41.93</v>
      </c>
      <c r="Q3641">
        <v>34.94</v>
      </c>
      <c r="R3641">
        <v>27.95</v>
      </c>
      <c r="S3641">
        <v>41.93</v>
      </c>
      <c r="T3641" t="s">
        <v>18795</v>
      </c>
    </row>
    <row r="3642" spans="1:20">
      <c r="A3642">
        <v>3331702</v>
      </c>
      <c r="B3642" t="s">
        <v>18796</v>
      </c>
      <c r="C3642" t="str">
        <f>"9780773528901"</f>
        <v>9780773528901</v>
      </c>
      <c r="D3642" t="str">
        <f>"9780773572836"</f>
        <v>9780773572836</v>
      </c>
      <c r="E3642" t="s">
        <v>12907</v>
      </c>
      <c r="F3642" t="s">
        <v>12907</v>
      </c>
      <c r="G3642" s="1">
        <v>38394</v>
      </c>
      <c r="J3642" t="s">
        <v>18524</v>
      </c>
      <c r="K3642" t="s">
        <v>291</v>
      </c>
      <c r="L3642" t="s">
        <v>18797</v>
      </c>
      <c r="M3642">
        <v>941.5</v>
      </c>
      <c r="N3642" t="s">
        <v>18798</v>
      </c>
      <c r="O3642" t="s">
        <v>26</v>
      </c>
      <c r="P3642">
        <v>37.43</v>
      </c>
      <c r="Q3642">
        <v>31.19</v>
      </c>
      <c r="R3642">
        <v>24.95</v>
      </c>
      <c r="S3642">
        <v>37.43</v>
      </c>
      <c r="T3642" t="s">
        <v>18799</v>
      </c>
    </row>
    <row r="3643" spans="1:20">
      <c r="A3643">
        <v>3331703</v>
      </c>
      <c r="B3643" t="s">
        <v>18800</v>
      </c>
      <c r="C3643" t="str">
        <f>"9780773503991"</f>
        <v>9780773503991</v>
      </c>
      <c r="D3643" t="str">
        <f>"9780773560857"</f>
        <v>9780773560857</v>
      </c>
      <c r="E3643" t="s">
        <v>12907</v>
      </c>
      <c r="F3643" t="s">
        <v>12907</v>
      </c>
      <c r="G3643" s="1">
        <v>30317</v>
      </c>
      <c r="J3643" t="s">
        <v>18801</v>
      </c>
      <c r="K3643" t="s">
        <v>1464</v>
      </c>
      <c r="L3643" t="s">
        <v>18802</v>
      </c>
      <c r="M3643" t="s">
        <v>18803</v>
      </c>
      <c r="N3643" t="s">
        <v>18804</v>
      </c>
      <c r="O3643" t="s">
        <v>26</v>
      </c>
      <c r="P3643">
        <v>142.5</v>
      </c>
      <c r="Q3643">
        <v>118.75</v>
      </c>
      <c r="R3643">
        <v>95</v>
      </c>
      <c r="S3643">
        <v>142.5</v>
      </c>
      <c r="T3643" t="s">
        <v>18805</v>
      </c>
    </row>
    <row r="3644" spans="1:20">
      <c r="A3644">
        <v>3331704</v>
      </c>
      <c r="B3644" t="s">
        <v>18806</v>
      </c>
      <c r="C3644" t="str">
        <f>"9780773520820"</f>
        <v>9780773520820</v>
      </c>
      <c r="D3644" t="str">
        <f>"9780773568624"</f>
        <v>9780773568624</v>
      </c>
      <c r="E3644" t="s">
        <v>12863</v>
      </c>
      <c r="F3644" t="s">
        <v>12863</v>
      </c>
      <c r="G3644" s="1">
        <v>36679</v>
      </c>
      <c r="J3644" t="s">
        <v>18807</v>
      </c>
      <c r="K3644" t="s">
        <v>278</v>
      </c>
      <c r="L3644" t="s">
        <v>18808</v>
      </c>
      <c r="M3644">
        <v>338.76214837097098</v>
      </c>
      <c r="N3644" t="s">
        <v>18809</v>
      </c>
      <c r="O3644" t="s">
        <v>26</v>
      </c>
      <c r="P3644">
        <v>142.5</v>
      </c>
      <c r="Q3644">
        <v>118.75</v>
      </c>
      <c r="R3644">
        <v>95</v>
      </c>
      <c r="S3644">
        <v>142.5</v>
      </c>
      <c r="T3644" t="s">
        <v>18810</v>
      </c>
    </row>
    <row r="3645" spans="1:20">
      <c r="A3645">
        <v>3331705</v>
      </c>
      <c r="B3645" t="s">
        <v>18811</v>
      </c>
      <c r="C3645" t="str">
        <f>"9780773518155"</f>
        <v>9780773518155</v>
      </c>
      <c r="D3645" t="str">
        <f>"9780773567627"</f>
        <v>9780773567627</v>
      </c>
      <c r="E3645" t="s">
        <v>12863</v>
      </c>
      <c r="F3645" t="s">
        <v>12863</v>
      </c>
      <c r="G3645" s="1">
        <v>36178</v>
      </c>
      <c r="J3645" t="s">
        <v>18812</v>
      </c>
      <c r="K3645" t="s">
        <v>3219</v>
      </c>
      <c r="L3645" t="s">
        <v>18813</v>
      </c>
      <c r="M3645">
        <v>971.90209200000004</v>
      </c>
      <c r="N3645" t="s">
        <v>18814</v>
      </c>
      <c r="O3645" t="s">
        <v>26</v>
      </c>
      <c r="P3645">
        <v>142.5</v>
      </c>
      <c r="Q3645">
        <v>118.75</v>
      </c>
      <c r="R3645">
        <v>95</v>
      </c>
      <c r="S3645">
        <v>142.5</v>
      </c>
      <c r="T3645" t="s">
        <v>18815</v>
      </c>
    </row>
    <row r="3646" spans="1:20">
      <c r="A3646">
        <v>3331706</v>
      </c>
      <c r="B3646" t="s">
        <v>18816</v>
      </c>
      <c r="C3646" t="str">
        <f>"9780771097218"</f>
        <v>9780771097218</v>
      </c>
      <c r="D3646" t="str">
        <f>"9780773560543"</f>
        <v>9780773560543</v>
      </c>
      <c r="E3646" t="s">
        <v>12863</v>
      </c>
      <c r="F3646" t="s">
        <v>12863</v>
      </c>
      <c r="G3646" s="1">
        <v>41773</v>
      </c>
      <c r="I3646" t="s">
        <v>13270</v>
      </c>
      <c r="J3646" t="s">
        <v>18817</v>
      </c>
      <c r="K3646" t="s">
        <v>291</v>
      </c>
      <c r="L3646" t="s">
        <v>18818</v>
      </c>
      <c r="M3646">
        <v>971.05600000000004</v>
      </c>
      <c r="N3646" t="s">
        <v>18819</v>
      </c>
      <c r="O3646" t="s">
        <v>26</v>
      </c>
      <c r="P3646">
        <v>142.5</v>
      </c>
      <c r="Q3646">
        <v>118.75</v>
      </c>
      <c r="R3646">
        <v>95</v>
      </c>
      <c r="S3646">
        <v>142.5</v>
      </c>
      <c r="T3646" t="s">
        <v>18820</v>
      </c>
    </row>
    <row r="3647" spans="1:20">
      <c r="A3647">
        <v>3331707</v>
      </c>
      <c r="B3647" t="s">
        <v>18821</v>
      </c>
      <c r="C3647" t="str">
        <f>"9780773513891"</f>
        <v>9780773513891</v>
      </c>
      <c r="D3647" t="str">
        <f>"9780773565883"</f>
        <v>9780773565883</v>
      </c>
      <c r="E3647" t="s">
        <v>12863</v>
      </c>
      <c r="F3647" t="s">
        <v>12863</v>
      </c>
      <c r="G3647" s="1">
        <v>35381</v>
      </c>
      <c r="J3647" t="s">
        <v>18822</v>
      </c>
      <c r="K3647" t="s">
        <v>1464</v>
      </c>
      <c r="L3647" t="s">
        <v>18823</v>
      </c>
      <c r="M3647">
        <v>809.93370000000004</v>
      </c>
      <c r="N3647" t="s">
        <v>18824</v>
      </c>
      <c r="O3647" t="s">
        <v>26</v>
      </c>
      <c r="P3647">
        <v>142.5</v>
      </c>
      <c r="Q3647">
        <v>118.75</v>
      </c>
      <c r="R3647">
        <v>95</v>
      </c>
      <c r="S3647">
        <v>142.5</v>
      </c>
      <c r="T3647" t="s">
        <v>18825</v>
      </c>
    </row>
    <row r="3648" spans="1:20">
      <c r="A3648">
        <v>3331708</v>
      </c>
      <c r="B3648" t="s">
        <v>18826</v>
      </c>
      <c r="C3648" t="str">
        <f>"9780773509436"</f>
        <v>9780773509436</v>
      </c>
      <c r="D3648" t="str">
        <f>"9780773563643"</f>
        <v>9780773563643</v>
      </c>
      <c r="E3648" t="s">
        <v>12863</v>
      </c>
      <c r="F3648" t="s">
        <v>12863</v>
      </c>
      <c r="G3648" s="1">
        <v>33862</v>
      </c>
      <c r="J3648" t="s">
        <v>18827</v>
      </c>
      <c r="K3648" t="s">
        <v>467</v>
      </c>
      <c r="L3648" t="s">
        <v>13312</v>
      </c>
      <c r="M3648">
        <v>324.9710647</v>
      </c>
      <c r="N3648" t="s">
        <v>18828</v>
      </c>
      <c r="O3648" t="s">
        <v>26</v>
      </c>
      <c r="P3648">
        <v>142.5</v>
      </c>
      <c r="Q3648">
        <v>118.75</v>
      </c>
      <c r="R3648">
        <v>95</v>
      </c>
      <c r="S3648">
        <v>142.5</v>
      </c>
      <c r="T3648" t="s">
        <v>18829</v>
      </c>
    </row>
    <row r="3649" spans="1:20">
      <c r="A3649">
        <v>3331709</v>
      </c>
      <c r="B3649" t="s">
        <v>18830</v>
      </c>
      <c r="C3649" t="str">
        <f>"9780773529045"</f>
        <v>9780773529045</v>
      </c>
      <c r="D3649" t="str">
        <f>"9780773572942"</f>
        <v>9780773572942</v>
      </c>
      <c r="E3649" t="s">
        <v>12863</v>
      </c>
      <c r="F3649" t="s">
        <v>12863</v>
      </c>
      <c r="G3649" s="1">
        <v>38579</v>
      </c>
      <c r="J3649" t="s">
        <v>18831</v>
      </c>
      <c r="K3649" t="s">
        <v>1464</v>
      </c>
      <c r="L3649" t="s">
        <v>18832</v>
      </c>
      <c r="M3649">
        <v>813.54089999999997</v>
      </c>
      <c r="N3649" t="s">
        <v>18833</v>
      </c>
      <c r="O3649" t="s">
        <v>26</v>
      </c>
      <c r="P3649">
        <v>142.5</v>
      </c>
      <c r="Q3649">
        <v>118.75</v>
      </c>
      <c r="R3649">
        <v>95</v>
      </c>
      <c r="S3649">
        <v>142.5</v>
      </c>
      <c r="T3649" t="s">
        <v>18834</v>
      </c>
    </row>
    <row r="3650" spans="1:20">
      <c r="A3650">
        <v>3331710</v>
      </c>
      <c r="B3650" t="s">
        <v>18835</v>
      </c>
      <c r="C3650" t="str">
        <f>"9780773506886"</f>
        <v>9780773506886</v>
      </c>
      <c r="D3650" t="str">
        <f>"9780773561922"</f>
        <v>9780773561922</v>
      </c>
      <c r="E3650" t="s">
        <v>12863</v>
      </c>
      <c r="F3650" t="s">
        <v>12863</v>
      </c>
      <c r="G3650" s="1">
        <v>32295</v>
      </c>
      <c r="J3650" t="s">
        <v>3409</v>
      </c>
      <c r="K3650" t="s">
        <v>1056</v>
      </c>
      <c r="L3650" t="s">
        <v>18836</v>
      </c>
      <c r="M3650">
        <v>333.8</v>
      </c>
      <c r="N3650" t="s">
        <v>18837</v>
      </c>
      <c r="O3650" t="s">
        <v>26</v>
      </c>
      <c r="P3650">
        <v>142.5</v>
      </c>
      <c r="Q3650">
        <v>118.75</v>
      </c>
      <c r="R3650">
        <v>95</v>
      </c>
      <c r="S3650">
        <v>142.5</v>
      </c>
      <c r="T3650" t="s">
        <v>18838</v>
      </c>
    </row>
    <row r="3651" spans="1:20">
      <c r="A3651">
        <v>3331711</v>
      </c>
      <c r="B3651" t="s">
        <v>18839</v>
      </c>
      <c r="C3651" t="str">
        <f>"9780773528529"</f>
        <v>9780773528529</v>
      </c>
      <c r="D3651" t="str">
        <f>"9780773572584"</f>
        <v>9780773572584</v>
      </c>
      <c r="E3651" t="s">
        <v>12863</v>
      </c>
      <c r="F3651" t="s">
        <v>12863</v>
      </c>
      <c r="G3651" s="1">
        <v>38390</v>
      </c>
      <c r="J3651" t="s">
        <v>18840</v>
      </c>
      <c r="K3651" t="s">
        <v>257</v>
      </c>
      <c r="L3651" t="s">
        <v>18841</v>
      </c>
      <c r="M3651">
        <v>378.12092000000001</v>
      </c>
      <c r="N3651" t="s">
        <v>18842</v>
      </c>
      <c r="O3651" t="s">
        <v>26</v>
      </c>
      <c r="P3651">
        <v>74.930000000000007</v>
      </c>
      <c r="Q3651">
        <v>62.44</v>
      </c>
      <c r="R3651">
        <v>49.95</v>
      </c>
      <c r="S3651">
        <v>74.930000000000007</v>
      </c>
      <c r="T3651" t="s">
        <v>18843</v>
      </c>
    </row>
    <row r="3652" spans="1:20">
      <c r="A3652">
        <v>3331712</v>
      </c>
      <c r="B3652" t="s">
        <v>18844</v>
      </c>
      <c r="C3652" t="str">
        <f>"9780773505995"</f>
        <v>9780773505995</v>
      </c>
      <c r="D3652" t="str">
        <f>"9780773561342"</f>
        <v>9780773561342</v>
      </c>
      <c r="E3652" t="s">
        <v>12863</v>
      </c>
      <c r="F3652" t="s">
        <v>12863</v>
      </c>
      <c r="G3652" s="1">
        <v>31413</v>
      </c>
      <c r="J3652" t="s">
        <v>18845</v>
      </c>
      <c r="K3652" t="s">
        <v>416</v>
      </c>
      <c r="L3652" t="s">
        <v>17345</v>
      </c>
      <c r="M3652">
        <v>331.09710000000001</v>
      </c>
      <c r="N3652" t="s">
        <v>18846</v>
      </c>
      <c r="O3652" t="s">
        <v>26</v>
      </c>
      <c r="P3652">
        <v>142.5</v>
      </c>
      <c r="Q3652">
        <v>118.75</v>
      </c>
      <c r="R3652">
        <v>95</v>
      </c>
      <c r="S3652">
        <v>142.5</v>
      </c>
      <c r="T3652" t="s">
        <v>18847</v>
      </c>
    </row>
    <row r="3653" spans="1:20">
      <c r="A3653">
        <v>3331713</v>
      </c>
      <c r="B3653" t="s">
        <v>18848</v>
      </c>
      <c r="C3653" t="str">
        <f>"9780773518308"</f>
        <v>9780773518308</v>
      </c>
      <c r="D3653" t="str">
        <f>"9780773567689"</f>
        <v>9780773567689</v>
      </c>
      <c r="E3653" t="s">
        <v>12863</v>
      </c>
      <c r="F3653" t="s">
        <v>12863</v>
      </c>
      <c r="G3653" s="1">
        <v>36251</v>
      </c>
      <c r="J3653" t="s">
        <v>18849</v>
      </c>
      <c r="K3653" t="s">
        <v>3230</v>
      </c>
      <c r="L3653" t="s">
        <v>18850</v>
      </c>
      <c r="M3653">
        <v>910.92</v>
      </c>
      <c r="N3653" t="s">
        <v>18851</v>
      </c>
      <c r="O3653" t="s">
        <v>26</v>
      </c>
      <c r="P3653">
        <v>142.5</v>
      </c>
      <c r="Q3653">
        <v>118.75</v>
      </c>
      <c r="R3653">
        <v>95</v>
      </c>
      <c r="S3653">
        <v>142.5</v>
      </c>
      <c r="T3653" t="s">
        <v>18852</v>
      </c>
    </row>
    <row r="3654" spans="1:20">
      <c r="A3654">
        <v>3331714</v>
      </c>
      <c r="B3654" t="s">
        <v>18853</v>
      </c>
      <c r="C3654" t="str">
        <f>"9780773528772"</f>
        <v>9780773528772</v>
      </c>
      <c r="D3654" t="str">
        <f>"9780773572782"</f>
        <v>9780773572782</v>
      </c>
      <c r="E3654" t="s">
        <v>12907</v>
      </c>
      <c r="F3654" t="s">
        <v>12907</v>
      </c>
      <c r="G3654" s="1">
        <v>38705</v>
      </c>
      <c r="J3654" t="s">
        <v>18854</v>
      </c>
      <c r="K3654" t="s">
        <v>1892</v>
      </c>
      <c r="L3654" t="s">
        <v>18855</v>
      </c>
      <c r="M3654" t="s">
        <v>4326</v>
      </c>
      <c r="N3654" t="s">
        <v>18856</v>
      </c>
      <c r="O3654" t="s">
        <v>26</v>
      </c>
      <c r="P3654">
        <v>142.5</v>
      </c>
      <c r="Q3654">
        <v>118.75</v>
      </c>
      <c r="R3654">
        <v>95</v>
      </c>
      <c r="S3654">
        <v>142.5</v>
      </c>
      <c r="T3654" t="s">
        <v>18857</v>
      </c>
    </row>
    <row r="3655" spans="1:20">
      <c r="A3655">
        <v>3331715</v>
      </c>
      <c r="B3655" t="s">
        <v>18858</v>
      </c>
      <c r="C3655" t="str">
        <f>"9780773527430"</f>
        <v>9780773527430</v>
      </c>
      <c r="D3655" t="str">
        <f>"9780773572072"</f>
        <v>9780773572072</v>
      </c>
      <c r="E3655" t="s">
        <v>12863</v>
      </c>
      <c r="F3655" t="s">
        <v>12863</v>
      </c>
      <c r="G3655" s="1">
        <v>38216</v>
      </c>
      <c r="J3655" t="s">
        <v>18859</v>
      </c>
      <c r="K3655" t="s">
        <v>550</v>
      </c>
      <c r="L3655" t="s">
        <v>18860</v>
      </c>
      <c r="M3655">
        <v>364.16800000000001</v>
      </c>
      <c r="N3655" t="s">
        <v>18861</v>
      </c>
      <c r="O3655" t="s">
        <v>26</v>
      </c>
      <c r="P3655">
        <v>52.43</v>
      </c>
      <c r="Q3655">
        <v>43.69</v>
      </c>
      <c r="R3655">
        <v>34.950000000000003</v>
      </c>
      <c r="S3655">
        <v>52.43</v>
      </c>
      <c r="T3655" t="s">
        <v>18862</v>
      </c>
    </row>
    <row r="3656" spans="1:20">
      <c r="A3656">
        <v>3331716</v>
      </c>
      <c r="B3656" t="s">
        <v>18863</v>
      </c>
      <c r="C3656" t="str">
        <f>"9780773524170"</f>
        <v>9780773524170</v>
      </c>
      <c r="D3656" t="str">
        <f>"9780773570450"</f>
        <v>9780773570450</v>
      </c>
      <c r="E3656" t="s">
        <v>12863</v>
      </c>
      <c r="F3656" t="s">
        <v>12863</v>
      </c>
      <c r="G3656" s="1">
        <v>37302</v>
      </c>
      <c r="J3656" t="s">
        <v>18859</v>
      </c>
      <c r="K3656" t="s">
        <v>785</v>
      </c>
      <c r="L3656" t="s">
        <v>18864</v>
      </c>
      <c r="M3656" t="s">
        <v>18865</v>
      </c>
      <c r="N3656" t="s">
        <v>18866</v>
      </c>
      <c r="O3656" t="s">
        <v>26</v>
      </c>
      <c r="P3656">
        <v>120</v>
      </c>
      <c r="Q3656">
        <v>100</v>
      </c>
      <c r="R3656">
        <v>80</v>
      </c>
      <c r="S3656">
        <v>120</v>
      </c>
      <c r="T3656" t="s">
        <v>18867</v>
      </c>
    </row>
    <row r="3657" spans="1:20">
      <c r="A3657">
        <v>3331717</v>
      </c>
      <c r="B3657" t="s">
        <v>18868</v>
      </c>
      <c r="C3657" t="str">
        <f>"9780773515390"</f>
        <v>9780773515390</v>
      </c>
      <c r="D3657" t="str">
        <f>"9780773566439"</f>
        <v>9780773566439</v>
      </c>
      <c r="E3657" t="s">
        <v>12863</v>
      </c>
      <c r="F3657" t="s">
        <v>12863</v>
      </c>
      <c r="G3657" s="1">
        <v>35744</v>
      </c>
      <c r="J3657" t="s">
        <v>18869</v>
      </c>
      <c r="K3657" t="s">
        <v>1471</v>
      </c>
      <c r="L3657" t="s">
        <v>18870</v>
      </c>
      <c r="M3657">
        <v>700.45100000000002</v>
      </c>
      <c r="N3657" t="s">
        <v>18871</v>
      </c>
      <c r="O3657" t="s">
        <v>26</v>
      </c>
      <c r="P3657">
        <v>142.5</v>
      </c>
      <c r="Q3657">
        <v>118.75</v>
      </c>
      <c r="R3657">
        <v>95</v>
      </c>
      <c r="S3657">
        <v>142.5</v>
      </c>
      <c r="T3657" t="s">
        <v>18872</v>
      </c>
    </row>
    <row r="3658" spans="1:20">
      <c r="A3658">
        <v>3331718</v>
      </c>
      <c r="B3658" t="s">
        <v>18873</v>
      </c>
      <c r="C3658" t="str">
        <f>"9780773528970"</f>
        <v>9780773528970</v>
      </c>
      <c r="D3658" t="str">
        <f>"9780773572898"</f>
        <v>9780773572898</v>
      </c>
      <c r="E3658" t="s">
        <v>12863</v>
      </c>
      <c r="F3658" t="s">
        <v>12863</v>
      </c>
      <c r="G3658" s="1">
        <v>38470</v>
      </c>
      <c r="I3658" t="s">
        <v>12864</v>
      </c>
      <c r="J3658" t="s">
        <v>18874</v>
      </c>
      <c r="K3658" t="s">
        <v>2260</v>
      </c>
      <c r="L3658" t="s">
        <v>18875</v>
      </c>
      <c r="M3658">
        <v>610.71171000000004</v>
      </c>
      <c r="N3658" t="s">
        <v>18876</v>
      </c>
      <c r="O3658" t="s">
        <v>26</v>
      </c>
      <c r="P3658">
        <v>142.5</v>
      </c>
      <c r="Q3658">
        <v>118.75</v>
      </c>
      <c r="R3658">
        <v>95</v>
      </c>
      <c r="S3658">
        <v>142.5</v>
      </c>
      <c r="T3658" t="s">
        <v>18877</v>
      </c>
    </row>
    <row r="3659" spans="1:20">
      <c r="A3659">
        <v>3331719</v>
      </c>
      <c r="B3659" t="s">
        <v>18878</v>
      </c>
      <c r="C3659" t="str">
        <f>"9780773520394"</f>
        <v>9780773520394</v>
      </c>
      <c r="D3659" t="str">
        <f>"9780773568341"</f>
        <v>9780773568341</v>
      </c>
      <c r="E3659" t="s">
        <v>12863</v>
      </c>
      <c r="F3659" t="s">
        <v>12863</v>
      </c>
      <c r="G3659" s="1">
        <v>36462</v>
      </c>
      <c r="J3659" t="s">
        <v>16135</v>
      </c>
      <c r="K3659" t="s">
        <v>6444</v>
      </c>
      <c r="L3659" t="s">
        <v>13100</v>
      </c>
      <c r="M3659">
        <v>321.02097099999997</v>
      </c>
      <c r="N3659" t="s">
        <v>18879</v>
      </c>
      <c r="O3659" t="s">
        <v>26</v>
      </c>
      <c r="P3659">
        <v>59.93</v>
      </c>
      <c r="Q3659">
        <v>49.94</v>
      </c>
      <c r="R3659">
        <v>39.950000000000003</v>
      </c>
      <c r="S3659">
        <v>59.93</v>
      </c>
      <c r="T3659" t="s">
        <v>18880</v>
      </c>
    </row>
    <row r="3660" spans="1:20">
      <c r="A3660">
        <v>3331720</v>
      </c>
      <c r="B3660" t="s">
        <v>18881</v>
      </c>
      <c r="C3660" t="str">
        <f>"9780886290405"</f>
        <v>9780886290405</v>
      </c>
      <c r="D3660" t="str">
        <f>"9780773573444"</f>
        <v>9780773573444</v>
      </c>
      <c r="E3660" t="s">
        <v>12863</v>
      </c>
      <c r="F3660" t="s">
        <v>12863</v>
      </c>
      <c r="G3660" s="1">
        <v>32126</v>
      </c>
      <c r="I3660" t="s">
        <v>16501</v>
      </c>
      <c r="J3660" t="s">
        <v>18882</v>
      </c>
      <c r="K3660" t="s">
        <v>1464</v>
      </c>
      <c r="L3660" t="s">
        <v>18883</v>
      </c>
      <c r="M3660" t="s">
        <v>17114</v>
      </c>
      <c r="N3660" t="s">
        <v>18884</v>
      </c>
      <c r="O3660" t="s">
        <v>26</v>
      </c>
      <c r="P3660">
        <v>49.43</v>
      </c>
      <c r="Q3660">
        <v>41.19</v>
      </c>
      <c r="R3660">
        <v>32.950000000000003</v>
      </c>
      <c r="S3660">
        <v>49.43</v>
      </c>
      <c r="T3660" t="s">
        <v>18885</v>
      </c>
    </row>
    <row r="3661" spans="1:20">
      <c r="A3661">
        <v>3331721</v>
      </c>
      <c r="B3661" t="s">
        <v>18886</v>
      </c>
      <c r="C3661" t="str">
        <f>"9780773517400"</f>
        <v>9780773517400</v>
      </c>
      <c r="D3661" t="str">
        <f>"9780773567276"</f>
        <v>9780773567276</v>
      </c>
      <c r="E3661" t="s">
        <v>12863</v>
      </c>
      <c r="F3661" t="s">
        <v>12863</v>
      </c>
      <c r="G3661" s="1">
        <v>35984</v>
      </c>
      <c r="J3661" t="s">
        <v>18887</v>
      </c>
      <c r="K3661" t="s">
        <v>1464</v>
      </c>
      <c r="L3661" t="s">
        <v>18888</v>
      </c>
      <c r="M3661">
        <v>821.80899999999997</v>
      </c>
      <c r="N3661" t="s">
        <v>18889</v>
      </c>
      <c r="O3661" t="s">
        <v>26</v>
      </c>
      <c r="P3661">
        <v>142.5</v>
      </c>
      <c r="Q3661">
        <v>118.75</v>
      </c>
      <c r="R3661">
        <v>95</v>
      </c>
      <c r="S3661">
        <v>142.5</v>
      </c>
      <c r="T3661" t="s">
        <v>18890</v>
      </c>
    </row>
    <row r="3662" spans="1:20">
      <c r="A3662">
        <v>3331722</v>
      </c>
      <c r="B3662" t="s">
        <v>18891</v>
      </c>
      <c r="C3662" t="str">
        <f>"9780773505858"</f>
        <v>9780773505858</v>
      </c>
      <c r="D3662" t="str">
        <f>"9780773561281"</f>
        <v>9780773561281</v>
      </c>
      <c r="E3662" t="s">
        <v>12863</v>
      </c>
      <c r="F3662" t="s">
        <v>12863</v>
      </c>
      <c r="G3662" s="1">
        <v>31199</v>
      </c>
      <c r="J3662" t="s">
        <v>14756</v>
      </c>
      <c r="K3662" t="s">
        <v>14757</v>
      </c>
      <c r="L3662" t="s">
        <v>18892</v>
      </c>
      <c r="M3662">
        <v>327.17399999999998</v>
      </c>
      <c r="N3662" t="s">
        <v>18893</v>
      </c>
      <c r="O3662" t="s">
        <v>26</v>
      </c>
      <c r="P3662">
        <v>142.5</v>
      </c>
      <c r="Q3662">
        <v>118.75</v>
      </c>
      <c r="R3662">
        <v>95</v>
      </c>
      <c r="S3662">
        <v>142.5</v>
      </c>
      <c r="T3662" t="s">
        <v>18894</v>
      </c>
    </row>
    <row r="3663" spans="1:20">
      <c r="A3663">
        <v>3331723</v>
      </c>
      <c r="B3663" t="s">
        <v>18895</v>
      </c>
      <c r="C3663" t="str">
        <f>"9780886292676"</f>
        <v>9780886292676</v>
      </c>
      <c r="D3663" t="str">
        <f>"9780773573987"</f>
        <v>9780773573987</v>
      </c>
      <c r="E3663" t="s">
        <v>12863</v>
      </c>
      <c r="F3663" t="s">
        <v>12863</v>
      </c>
      <c r="G3663" s="1">
        <v>34895</v>
      </c>
      <c r="J3663" t="s">
        <v>18896</v>
      </c>
      <c r="K3663" t="s">
        <v>1530</v>
      </c>
      <c r="L3663" t="s">
        <v>16573</v>
      </c>
      <c r="M3663">
        <v>398.22089997099999</v>
      </c>
      <c r="N3663" t="s">
        <v>18897</v>
      </c>
      <c r="O3663" t="s">
        <v>26</v>
      </c>
      <c r="P3663">
        <v>142.5</v>
      </c>
      <c r="Q3663">
        <v>118.75</v>
      </c>
      <c r="R3663">
        <v>95</v>
      </c>
      <c r="S3663">
        <v>142.5</v>
      </c>
      <c r="T3663" t="s">
        <v>18898</v>
      </c>
    </row>
    <row r="3664" spans="1:20">
      <c r="A3664">
        <v>3331724</v>
      </c>
      <c r="B3664" t="s">
        <v>18899</v>
      </c>
      <c r="C3664" t="str">
        <f>"9780773509153"</f>
        <v>9780773509153</v>
      </c>
      <c r="D3664" t="str">
        <f>"9780773563469"</f>
        <v>9780773563469</v>
      </c>
      <c r="E3664" t="s">
        <v>12863</v>
      </c>
      <c r="F3664" t="s">
        <v>12863</v>
      </c>
      <c r="G3664" s="1">
        <v>33885</v>
      </c>
      <c r="J3664" t="s">
        <v>18900</v>
      </c>
      <c r="K3664" t="s">
        <v>263</v>
      </c>
      <c r="L3664" t="s">
        <v>18901</v>
      </c>
      <c r="M3664">
        <v>305.235094</v>
      </c>
      <c r="N3664" t="s">
        <v>18902</v>
      </c>
      <c r="O3664" t="s">
        <v>26</v>
      </c>
      <c r="P3664">
        <v>142.5</v>
      </c>
      <c r="Q3664">
        <v>118.75</v>
      </c>
      <c r="R3664">
        <v>95</v>
      </c>
      <c r="S3664">
        <v>142.5</v>
      </c>
      <c r="T3664" t="s">
        <v>18903</v>
      </c>
    </row>
    <row r="3665" spans="1:20">
      <c r="A3665">
        <v>3331725</v>
      </c>
      <c r="B3665" t="s">
        <v>18904</v>
      </c>
      <c r="C3665" t="str">
        <f>"9782760003309"</f>
        <v>9782760003309</v>
      </c>
      <c r="D3665" t="str">
        <f>"9780773574267"</f>
        <v>9780773574267</v>
      </c>
      <c r="E3665" t="s">
        <v>12863</v>
      </c>
      <c r="F3665" t="s">
        <v>12863</v>
      </c>
      <c r="G3665" s="1">
        <v>37257</v>
      </c>
      <c r="J3665" t="s">
        <v>18905</v>
      </c>
      <c r="K3665" t="s">
        <v>291</v>
      </c>
      <c r="L3665" t="s">
        <v>18906</v>
      </c>
      <c r="M3665" t="s">
        <v>18907</v>
      </c>
      <c r="N3665" t="s">
        <v>18908</v>
      </c>
      <c r="O3665" t="s">
        <v>94</v>
      </c>
      <c r="P3665">
        <v>49.43</v>
      </c>
      <c r="Q3665">
        <v>41.19</v>
      </c>
      <c r="R3665">
        <v>32.950000000000003</v>
      </c>
      <c r="S3665">
        <v>49.43</v>
      </c>
      <c r="T3665" t="s">
        <v>18909</v>
      </c>
    </row>
    <row r="3666" spans="1:20">
      <c r="A3666">
        <v>3331726</v>
      </c>
      <c r="B3666" t="s">
        <v>18910</v>
      </c>
      <c r="C3666" t="str">
        <f>"9780773529151"</f>
        <v>9780773529151</v>
      </c>
      <c r="D3666" t="str">
        <f>"9780773572973"</f>
        <v>9780773572973</v>
      </c>
      <c r="E3666" t="s">
        <v>12907</v>
      </c>
      <c r="F3666" t="s">
        <v>12907</v>
      </c>
      <c r="G3666" s="1">
        <v>38593</v>
      </c>
      <c r="J3666" t="s">
        <v>18911</v>
      </c>
      <c r="K3666" t="s">
        <v>1550</v>
      </c>
      <c r="L3666" t="s">
        <v>18912</v>
      </c>
      <c r="M3666" t="s">
        <v>18913</v>
      </c>
      <c r="N3666" t="s">
        <v>18914</v>
      </c>
      <c r="O3666" t="s">
        <v>26</v>
      </c>
      <c r="P3666">
        <v>142.5</v>
      </c>
      <c r="Q3666">
        <v>118.75</v>
      </c>
      <c r="R3666">
        <v>95</v>
      </c>
      <c r="S3666">
        <v>142.5</v>
      </c>
      <c r="T3666" t="s">
        <v>18915</v>
      </c>
    </row>
    <row r="3667" spans="1:20">
      <c r="A3667">
        <v>3331727</v>
      </c>
      <c r="B3667" t="s">
        <v>18916</v>
      </c>
      <c r="C3667" t="str">
        <f>"9780773525955"</f>
        <v>9780773525955</v>
      </c>
      <c r="D3667" t="str">
        <f>"9780773571358"</f>
        <v>9780773571358</v>
      </c>
      <c r="E3667" t="s">
        <v>12907</v>
      </c>
      <c r="F3667" t="s">
        <v>12907</v>
      </c>
      <c r="G3667" s="1">
        <v>37591</v>
      </c>
      <c r="J3667" t="s">
        <v>18917</v>
      </c>
      <c r="K3667" t="s">
        <v>291</v>
      </c>
      <c r="L3667" t="s">
        <v>18918</v>
      </c>
      <c r="M3667" t="s">
        <v>18919</v>
      </c>
      <c r="N3667" t="s">
        <v>18920</v>
      </c>
      <c r="O3667" t="s">
        <v>26</v>
      </c>
      <c r="P3667">
        <v>49.43</v>
      </c>
      <c r="Q3667">
        <v>41.19</v>
      </c>
      <c r="R3667">
        <v>32.950000000000003</v>
      </c>
      <c r="S3667">
        <v>49.43</v>
      </c>
      <c r="T3667" t="s">
        <v>18921</v>
      </c>
    </row>
    <row r="3668" spans="1:20">
      <c r="A3668">
        <v>3331728</v>
      </c>
      <c r="B3668" t="s">
        <v>18922</v>
      </c>
      <c r="C3668" t="str">
        <f>"9780773504370"</f>
        <v>9780773504370</v>
      </c>
      <c r="D3668" t="str">
        <f>"9780773561007"</f>
        <v>9780773561007</v>
      </c>
      <c r="E3668" t="s">
        <v>12863</v>
      </c>
      <c r="F3668" t="s">
        <v>12863</v>
      </c>
      <c r="G3668" s="1">
        <v>31017</v>
      </c>
      <c r="J3668" t="s">
        <v>18923</v>
      </c>
      <c r="K3668" t="s">
        <v>7063</v>
      </c>
      <c r="L3668" t="s">
        <v>18924</v>
      </c>
      <c r="M3668">
        <v>328.71269999999998</v>
      </c>
      <c r="N3668" t="s">
        <v>18925</v>
      </c>
      <c r="O3668" t="s">
        <v>26</v>
      </c>
      <c r="P3668">
        <v>142.5</v>
      </c>
      <c r="Q3668">
        <v>118.75</v>
      </c>
      <c r="R3668">
        <v>95</v>
      </c>
      <c r="S3668">
        <v>142.5</v>
      </c>
      <c r="T3668" t="s">
        <v>18926</v>
      </c>
    </row>
    <row r="3669" spans="1:20">
      <c r="A3669">
        <v>3331729</v>
      </c>
      <c r="B3669" t="s">
        <v>18927</v>
      </c>
      <c r="C3669" t="str">
        <f>"9780773509719"</f>
        <v>9780773509719</v>
      </c>
      <c r="D3669" t="str">
        <f>"9780773563735"</f>
        <v>9780773563735</v>
      </c>
      <c r="E3669" t="s">
        <v>12863</v>
      </c>
      <c r="F3669" t="s">
        <v>12863</v>
      </c>
      <c r="G3669" s="1">
        <v>34304</v>
      </c>
      <c r="J3669" t="s">
        <v>18928</v>
      </c>
      <c r="K3669" t="s">
        <v>291</v>
      </c>
      <c r="L3669" t="s">
        <v>18929</v>
      </c>
      <c r="M3669">
        <v>971.428</v>
      </c>
      <c r="N3669" t="s">
        <v>18930</v>
      </c>
      <c r="O3669" t="s">
        <v>26</v>
      </c>
      <c r="P3669">
        <v>97.5</v>
      </c>
      <c r="Q3669">
        <v>81.25</v>
      </c>
      <c r="R3669">
        <v>65</v>
      </c>
      <c r="S3669">
        <v>97.5</v>
      </c>
      <c r="T3669" t="s">
        <v>18931</v>
      </c>
    </row>
    <row r="3670" spans="1:20">
      <c r="A3670">
        <v>3331730</v>
      </c>
      <c r="B3670" t="s">
        <v>18932</v>
      </c>
      <c r="C3670" t="str">
        <f>"9780773517875"</f>
        <v>9780773517875</v>
      </c>
      <c r="D3670" t="str">
        <f>"9780773567450"</f>
        <v>9780773567450</v>
      </c>
      <c r="E3670" t="s">
        <v>12863</v>
      </c>
      <c r="F3670" t="s">
        <v>12863</v>
      </c>
      <c r="G3670" s="1">
        <v>36273</v>
      </c>
      <c r="J3670" t="s">
        <v>14446</v>
      </c>
      <c r="K3670" t="s">
        <v>263</v>
      </c>
      <c r="L3670" t="s">
        <v>18933</v>
      </c>
      <c r="M3670">
        <v>363.28309469999999</v>
      </c>
      <c r="N3670" t="s">
        <v>18934</v>
      </c>
      <c r="O3670" t="s">
        <v>26</v>
      </c>
      <c r="P3670">
        <v>59.93</v>
      </c>
      <c r="Q3670">
        <v>49.94</v>
      </c>
      <c r="R3670">
        <v>39.950000000000003</v>
      </c>
      <c r="S3670">
        <v>59.93</v>
      </c>
      <c r="T3670" t="s">
        <v>18935</v>
      </c>
    </row>
    <row r="3671" spans="1:20">
      <c r="A3671">
        <v>3331731</v>
      </c>
      <c r="B3671" t="s">
        <v>18936</v>
      </c>
      <c r="C3671" t="str">
        <f>"9780773509085"</f>
        <v>9780773509085</v>
      </c>
      <c r="D3671" t="str">
        <f>"9780773563407"</f>
        <v>9780773563407</v>
      </c>
      <c r="E3671" t="s">
        <v>12863</v>
      </c>
      <c r="F3671" t="s">
        <v>12863</v>
      </c>
      <c r="G3671" s="1">
        <v>33759</v>
      </c>
      <c r="J3671" t="s">
        <v>18937</v>
      </c>
      <c r="K3671" t="s">
        <v>291</v>
      </c>
      <c r="L3671" t="s">
        <v>18938</v>
      </c>
      <c r="M3671">
        <v>941.08230920000005</v>
      </c>
      <c r="N3671" t="s">
        <v>18939</v>
      </c>
      <c r="O3671" t="s">
        <v>26</v>
      </c>
      <c r="P3671">
        <v>142.5</v>
      </c>
      <c r="Q3671">
        <v>118.75</v>
      </c>
      <c r="R3671">
        <v>95</v>
      </c>
      <c r="S3671">
        <v>142.5</v>
      </c>
      <c r="T3671" t="s">
        <v>18940</v>
      </c>
    </row>
    <row r="3672" spans="1:20">
      <c r="A3672">
        <v>3331732</v>
      </c>
      <c r="B3672" t="s">
        <v>18941</v>
      </c>
      <c r="C3672" t="str">
        <f>"9780773518605"</f>
        <v>9780773518605</v>
      </c>
      <c r="D3672" t="str">
        <f>"9780773567924"</f>
        <v>9780773567924</v>
      </c>
      <c r="E3672" t="s">
        <v>12907</v>
      </c>
      <c r="F3672" t="s">
        <v>12907</v>
      </c>
      <c r="G3672" s="1">
        <v>36430</v>
      </c>
      <c r="J3672" t="s">
        <v>18942</v>
      </c>
      <c r="K3672" t="s">
        <v>550</v>
      </c>
      <c r="L3672" t="s">
        <v>18943</v>
      </c>
      <c r="M3672">
        <v>304</v>
      </c>
      <c r="N3672" t="s">
        <v>18944</v>
      </c>
      <c r="O3672" t="s">
        <v>26</v>
      </c>
      <c r="P3672">
        <v>142.5</v>
      </c>
      <c r="Q3672">
        <v>118.75</v>
      </c>
      <c r="R3672">
        <v>95</v>
      </c>
      <c r="S3672">
        <v>142.5</v>
      </c>
      <c r="T3672" t="s">
        <v>18945</v>
      </c>
    </row>
    <row r="3673" spans="1:20">
      <c r="A3673">
        <v>3331733</v>
      </c>
      <c r="B3673" t="s">
        <v>18946</v>
      </c>
      <c r="C3673" t="str">
        <f>"9780886293352"</f>
        <v>9780886293352</v>
      </c>
      <c r="D3673" t="str">
        <f>"9780773574076"</f>
        <v>9780773574076</v>
      </c>
      <c r="E3673" t="s">
        <v>12863</v>
      </c>
      <c r="F3673" t="s">
        <v>12863</v>
      </c>
      <c r="G3673" s="1">
        <v>35930</v>
      </c>
      <c r="J3673" t="s">
        <v>18947</v>
      </c>
      <c r="K3673" t="s">
        <v>4433</v>
      </c>
      <c r="L3673" t="s">
        <v>18948</v>
      </c>
      <c r="M3673">
        <v>327.12709999999998</v>
      </c>
      <c r="N3673" t="s">
        <v>18949</v>
      </c>
      <c r="O3673" t="s">
        <v>26</v>
      </c>
      <c r="P3673">
        <v>44.93</v>
      </c>
      <c r="Q3673">
        <v>37.44</v>
      </c>
      <c r="R3673">
        <v>29.95</v>
      </c>
      <c r="S3673">
        <v>44.93</v>
      </c>
      <c r="T3673" t="s">
        <v>18950</v>
      </c>
    </row>
    <row r="3674" spans="1:20">
      <c r="A3674">
        <v>3331734</v>
      </c>
      <c r="B3674" t="s">
        <v>18951</v>
      </c>
      <c r="C3674" t="str">
        <f>"9782894483282"</f>
        <v>9782894483282</v>
      </c>
      <c r="D3674" t="str">
        <f>"9780773574281"</f>
        <v>9780773574281</v>
      </c>
      <c r="E3674" t="s">
        <v>12907</v>
      </c>
      <c r="F3674" t="s">
        <v>12907</v>
      </c>
      <c r="G3674" s="1">
        <v>37522</v>
      </c>
      <c r="J3674" t="s">
        <v>18952</v>
      </c>
      <c r="K3674" t="s">
        <v>291</v>
      </c>
      <c r="L3674" t="s">
        <v>18953</v>
      </c>
      <c r="M3674" t="s">
        <v>18954</v>
      </c>
      <c r="N3674" t="s">
        <v>18955</v>
      </c>
      <c r="O3674" t="s">
        <v>26</v>
      </c>
      <c r="P3674">
        <v>82.5</v>
      </c>
      <c r="Q3674">
        <v>68.75</v>
      </c>
      <c r="R3674">
        <v>55</v>
      </c>
      <c r="S3674">
        <v>82.5</v>
      </c>
      <c r="T3674" t="s">
        <v>18956</v>
      </c>
    </row>
    <row r="3675" spans="1:20">
      <c r="A3675">
        <v>3331735</v>
      </c>
      <c r="B3675" t="s">
        <v>18957</v>
      </c>
      <c r="C3675" t="str">
        <f>"9780773522350"</f>
        <v>9780773522350</v>
      </c>
      <c r="D3675" t="str">
        <f>"9780773569508"</f>
        <v>9780773569508</v>
      </c>
      <c r="E3675" t="s">
        <v>12907</v>
      </c>
      <c r="F3675" t="s">
        <v>12907</v>
      </c>
      <c r="G3675" s="1">
        <v>37196</v>
      </c>
      <c r="J3675" t="s">
        <v>18958</v>
      </c>
      <c r="K3675" t="s">
        <v>2963</v>
      </c>
      <c r="L3675" t="s">
        <v>18959</v>
      </c>
      <c r="M3675" t="s">
        <v>18960</v>
      </c>
      <c r="N3675" t="s">
        <v>18961</v>
      </c>
      <c r="O3675" t="s">
        <v>26</v>
      </c>
      <c r="P3675">
        <v>44.93</v>
      </c>
      <c r="Q3675">
        <v>37.44</v>
      </c>
      <c r="R3675">
        <v>29.95</v>
      </c>
      <c r="S3675">
        <v>44.93</v>
      </c>
      <c r="T3675" t="s">
        <v>18962</v>
      </c>
    </row>
    <row r="3676" spans="1:20">
      <c r="A3676">
        <v>3331736</v>
      </c>
      <c r="B3676" t="s">
        <v>18963</v>
      </c>
      <c r="C3676" t="str">
        <f>"9780773517790"</f>
        <v>9780773517790</v>
      </c>
      <c r="D3676" t="str">
        <f>"9780773567399"</f>
        <v>9780773567399</v>
      </c>
      <c r="E3676" t="s">
        <v>12863</v>
      </c>
      <c r="F3676" t="s">
        <v>12863</v>
      </c>
      <c r="G3676" s="1">
        <v>36173</v>
      </c>
      <c r="J3676" t="s">
        <v>12892</v>
      </c>
      <c r="K3676" t="s">
        <v>1464</v>
      </c>
      <c r="L3676" t="s">
        <v>13245</v>
      </c>
      <c r="M3676">
        <v>891.71439999999996</v>
      </c>
      <c r="N3676" t="s">
        <v>18964</v>
      </c>
      <c r="O3676" t="s">
        <v>26</v>
      </c>
      <c r="P3676">
        <v>142.5</v>
      </c>
      <c r="Q3676">
        <v>118.75</v>
      </c>
      <c r="R3676">
        <v>95</v>
      </c>
      <c r="S3676">
        <v>142.5</v>
      </c>
      <c r="T3676" t="s">
        <v>18965</v>
      </c>
    </row>
    <row r="3677" spans="1:20">
      <c r="A3677">
        <v>3331737</v>
      </c>
      <c r="B3677" t="s">
        <v>18966</v>
      </c>
      <c r="C3677" t="str">
        <f>"9780773529397"</f>
        <v>9780773529397</v>
      </c>
      <c r="D3677" t="str">
        <f>"9780773573062"</f>
        <v>9780773573062</v>
      </c>
      <c r="E3677" t="s">
        <v>12907</v>
      </c>
      <c r="F3677" t="s">
        <v>12907</v>
      </c>
      <c r="G3677" s="1">
        <v>38397</v>
      </c>
      <c r="J3677" t="s">
        <v>18175</v>
      </c>
      <c r="K3677" t="s">
        <v>1214</v>
      </c>
      <c r="L3677" t="s">
        <v>18967</v>
      </c>
      <c r="M3677" t="s">
        <v>18968</v>
      </c>
      <c r="N3677" t="s">
        <v>18969</v>
      </c>
      <c r="O3677" t="s">
        <v>26</v>
      </c>
      <c r="P3677">
        <v>19.43</v>
      </c>
      <c r="Q3677">
        <v>16.190000000000001</v>
      </c>
      <c r="R3677">
        <v>12.95</v>
      </c>
      <c r="S3677">
        <v>19.43</v>
      </c>
      <c r="T3677" t="s">
        <v>18970</v>
      </c>
    </row>
    <row r="3678" spans="1:20">
      <c r="A3678">
        <v>3331738</v>
      </c>
      <c r="B3678" t="s">
        <v>18971</v>
      </c>
      <c r="C3678" t="str">
        <f>"9780773508521"</f>
        <v>9780773508521</v>
      </c>
      <c r="D3678" t="str">
        <f>"9780773563025"</f>
        <v>9780773563025</v>
      </c>
      <c r="E3678" t="s">
        <v>12863</v>
      </c>
      <c r="F3678" t="s">
        <v>12863</v>
      </c>
      <c r="G3678" s="1">
        <v>33564</v>
      </c>
      <c r="I3678" t="s">
        <v>12942</v>
      </c>
      <c r="J3678" t="s">
        <v>18972</v>
      </c>
      <c r="K3678" t="s">
        <v>467</v>
      </c>
      <c r="L3678" t="s">
        <v>18973</v>
      </c>
      <c r="M3678">
        <v>325.70999999999998</v>
      </c>
      <c r="N3678" t="s">
        <v>18974</v>
      </c>
      <c r="O3678" t="s">
        <v>26</v>
      </c>
      <c r="P3678">
        <v>52.43</v>
      </c>
      <c r="Q3678">
        <v>43.69</v>
      </c>
      <c r="R3678">
        <v>34.950000000000003</v>
      </c>
      <c r="S3678">
        <v>52.43</v>
      </c>
      <c r="T3678" t="s">
        <v>18975</v>
      </c>
    </row>
    <row r="3679" spans="1:20">
      <c r="A3679">
        <v>3331739</v>
      </c>
      <c r="B3679" t="s">
        <v>18976</v>
      </c>
      <c r="C3679" t="str">
        <f>"9780773512238"</f>
        <v>9780773512238</v>
      </c>
      <c r="D3679" t="str">
        <f>"9780773564923"</f>
        <v>9780773564923</v>
      </c>
      <c r="E3679" t="s">
        <v>12863</v>
      </c>
      <c r="F3679" t="s">
        <v>12863</v>
      </c>
      <c r="G3679" s="1">
        <v>30956</v>
      </c>
      <c r="J3679" t="s">
        <v>18977</v>
      </c>
      <c r="K3679" t="s">
        <v>3219</v>
      </c>
      <c r="L3679" t="s">
        <v>15507</v>
      </c>
      <c r="M3679">
        <v>917.19304109200004</v>
      </c>
      <c r="N3679" t="s">
        <v>18978</v>
      </c>
      <c r="O3679" t="s">
        <v>26</v>
      </c>
      <c r="P3679">
        <v>142.5</v>
      </c>
      <c r="Q3679">
        <v>118.75</v>
      </c>
      <c r="R3679">
        <v>95</v>
      </c>
      <c r="S3679">
        <v>142.5</v>
      </c>
      <c r="T3679" t="s">
        <v>18979</v>
      </c>
    </row>
    <row r="3680" spans="1:20">
      <c r="A3680">
        <v>3331740</v>
      </c>
      <c r="B3680" t="s">
        <v>18980</v>
      </c>
      <c r="C3680" t="str">
        <f>"9780773527560"</f>
        <v>9780773527560</v>
      </c>
      <c r="D3680" t="str">
        <f>"9780773572157"</f>
        <v>9780773572157</v>
      </c>
      <c r="E3680" t="s">
        <v>12863</v>
      </c>
      <c r="F3680" t="s">
        <v>12863</v>
      </c>
      <c r="G3680" s="1">
        <v>38432</v>
      </c>
      <c r="I3680" t="s">
        <v>13270</v>
      </c>
      <c r="J3680" t="s">
        <v>12999</v>
      </c>
      <c r="K3680" t="s">
        <v>291</v>
      </c>
      <c r="L3680" t="s">
        <v>18981</v>
      </c>
      <c r="M3680">
        <v>971.91</v>
      </c>
      <c r="N3680" t="s">
        <v>18982</v>
      </c>
      <c r="O3680" t="s">
        <v>26</v>
      </c>
      <c r="P3680">
        <v>150</v>
      </c>
      <c r="Q3680">
        <v>125</v>
      </c>
      <c r="R3680">
        <v>100</v>
      </c>
      <c r="S3680">
        <v>150</v>
      </c>
      <c r="T3680" t="s">
        <v>18983</v>
      </c>
    </row>
    <row r="3681" spans="1:20">
      <c r="A3681">
        <v>3331741</v>
      </c>
      <c r="B3681" t="s">
        <v>18984</v>
      </c>
      <c r="C3681" t="str">
        <f>"9781553390091"</f>
        <v>9781553390091</v>
      </c>
      <c r="D3681" t="str">
        <f>"9780773574250"</f>
        <v>9780773574250</v>
      </c>
      <c r="E3681" t="s">
        <v>12907</v>
      </c>
      <c r="F3681" t="s">
        <v>12907</v>
      </c>
      <c r="G3681" s="1">
        <v>38079</v>
      </c>
      <c r="J3681" t="s">
        <v>18985</v>
      </c>
      <c r="K3681" t="s">
        <v>467</v>
      </c>
      <c r="L3681" t="s">
        <v>18986</v>
      </c>
      <c r="M3681" t="s">
        <v>18987</v>
      </c>
      <c r="N3681" t="s">
        <v>18988</v>
      </c>
      <c r="O3681" t="s">
        <v>26</v>
      </c>
      <c r="P3681">
        <v>59.93</v>
      </c>
      <c r="Q3681">
        <v>49.94</v>
      </c>
      <c r="R3681">
        <v>39.950000000000003</v>
      </c>
      <c r="S3681">
        <v>59.93</v>
      </c>
      <c r="T3681" t="s">
        <v>18989</v>
      </c>
    </row>
    <row r="3682" spans="1:20">
      <c r="A3682">
        <v>3331742</v>
      </c>
      <c r="B3682" t="s">
        <v>18990</v>
      </c>
      <c r="C3682" t="str">
        <f>"9780773506664"</f>
        <v>9780773506664</v>
      </c>
      <c r="D3682" t="str">
        <f>"9780773561793"</f>
        <v>9780773561793</v>
      </c>
      <c r="E3682" t="s">
        <v>12863</v>
      </c>
      <c r="F3682" t="s">
        <v>12863</v>
      </c>
      <c r="G3682" s="1">
        <v>32264</v>
      </c>
      <c r="J3682" t="s">
        <v>18991</v>
      </c>
      <c r="K3682" t="s">
        <v>263</v>
      </c>
      <c r="L3682" t="s">
        <v>15789</v>
      </c>
      <c r="M3682">
        <v>303.620971</v>
      </c>
      <c r="N3682" t="s">
        <v>18992</v>
      </c>
      <c r="O3682" t="s">
        <v>26</v>
      </c>
      <c r="P3682">
        <v>142.5</v>
      </c>
      <c r="Q3682">
        <v>118.75</v>
      </c>
      <c r="R3682">
        <v>95</v>
      </c>
      <c r="S3682">
        <v>142.5</v>
      </c>
      <c r="T3682" t="s">
        <v>18993</v>
      </c>
    </row>
    <row r="3683" spans="1:20">
      <c r="A3683">
        <v>3331743</v>
      </c>
      <c r="B3683" t="s">
        <v>18994</v>
      </c>
      <c r="C3683" t="str">
        <f>"9780773528673"</f>
        <v>9780773528673</v>
      </c>
      <c r="D3683" t="str">
        <f>"9780773572683"</f>
        <v>9780773572683</v>
      </c>
      <c r="E3683" t="s">
        <v>12907</v>
      </c>
      <c r="F3683" t="s">
        <v>12907</v>
      </c>
      <c r="G3683" s="1">
        <v>38399</v>
      </c>
      <c r="J3683" t="s">
        <v>18995</v>
      </c>
      <c r="K3683" t="s">
        <v>3219</v>
      </c>
      <c r="L3683" t="s">
        <v>18996</v>
      </c>
      <c r="M3683" t="s">
        <v>18997</v>
      </c>
      <c r="N3683" t="s">
        <v>18998</v>
      </c>
      <c r="O3683" t="s">
        <v>26</v>
      </c>
      <c r="P3683">
        <v>44.93</v>
      </c>
      <c r="Q3683">
        <v>37.44</v>
      </c>
      <c r="R3683">
        <v>29.95</v>
      </c>
      <c r="S3683">
        <v>44.93</v>
      </c>
      <c r="T3683" t="s">
        <v>18999</v>
      </c>
    </row>
    <row r="3684" spans="1:20">
      <c r="A3684">
        <v>3331744</v>
      </c>
      <c r="B3684" t="s">
        <v>19000</v>
      </c>
      <c r="C3684" t="str">
        <f>"9780773509184"</f>
        <v>9780773509184</v>
      </c>
      <c r="D3684" t="str">
        <f>"9780773563490"</f>
        <v>9780773563490</v>
      </c>
      <c r="E3684" t="s">
        <v>12863</v>
      </c>
      <c r="F3684" t="s">
        <v>12863</v>
      </c>
      <c r="G3684" s="1">
        <v>33756</v>
      </c>
      <c r="I3684" t="s">
        <v>12942</v>
      </c>
      <c r="J3684" t="s">
        <v>19001</v>
      </c>
      <c r="K3684" t="s">
        <v>568</v>
      </c>
      <c r="L3684" t="s">
        <v>19002</v>
      </c>
      <c r="M3684">
        <v>326.0971309034</v>
      </c>
      <c r="N3684" t="s">
        <v>19003</v>
      </c>
      <c r="O3684" t="s">
        <v>26</v>
      </c>
      <c r="P3684">
        <v>142.5</v>
      </c>
      <c r="Q3684">
        <v>118.75</v>
      </c>
      <c r="R3684">
        <v>95</v>
      </c>
      <c r="S3684">
        <v>142.5</v>
      </c>
      <c r="T3684" t="s">
        <v>19004</v>
      </c>
    </row>
    <row r="3685" spans="1:20">
      <c r="A3685">
        <v>3331745</v>
      </c>
      <c r="B3685" t="s">
        <v>19005</v>
      </c>
      <c r="C3685" t="str">
        <f>"9780773518988"</f>
        <v>9780773518988</v>
      </c>
      <c r="D3685" t="str">
        <f>"9780773568075"</f>
        <v>9780773568075</v>
      </c>
      <c r="E3685" t="s">
        <v>12863</v>
      </c>
      <c r="F3685" t="s">
        <v>12863</v>
      </c>
      <c r="G3685" s="1">
        <v>36661</v>
      </c>
      <c r="J3685" t="s">
        <v>19006</v>
      </c>
      <c r="K3685" t="s">
        <v>525</v>
      </c>
      <c r="L3685" t="s">
        <v>19007</v>
      </c>
      <c r="M3685">
        <v>347.71043400000002</v>
      </c>
      <c r="N3685" t="s">
        <v>19008</v>
      </c>
      <c r="O3685" t="s">
        <v>26</v>
      </c>
      <c r="P3685">
        <v>142.5</v>
      </c>
      <c r="Q3685">
        <v>118.75</v>
      </c>
      <c r="R3685">
        <v>95</v>
      </c>
      <c r="S3685">
        <v>142.5</v>
      </c>
      <c r="T3685" t="s">
        <v>19009</v>
      </c>
    </row>
    <row r="3686" spans="1:20">
      <c r="A3686">
        <v>3331746</v>
      </c>
      <c r="B3686" t="s">
        <v>19010</v>
      </c>
      <c r="C3686" t="str">
        <f>"9780773529731"</f>
        <v>9780773529731</v>
      </c>
      <c r="D3686" t="str">
        <f>"9780773573208"</f>
        <v>9780773573208</v>
      </c>
      <c r="E3686" t="s">
        <v>12863</v>
      </c>
      <c r="F3686" t="s">
        <v>12863</v>
      </c>
      <c r="G3686" s="1">
        <v>38653</v>
      </c>
      <c r="I3686" t="s">
        <v>13282</v>
      </c>
      <c r="J3686" t="s">
        <v>19011</v>
      </c>
      <c r="K3686" t="s">
        <v>4347</v>
      </c>
      <c r="L3686" t="s">
        <v>19012</v>
      </c>
      <c r="M3686">
        <v>355.03307100000001</v>
      </c>
      <c r="N3686" t="s">
        <v>19013</v>
      </c>
      <c r="O3686" t="s">
        <v>26</v>
      </c>
      <c r="P3686">
        <v>112.5</v>
      </c>
      <c r="Q3686">
        <v>93.75</v>
      </c>
      <c r="R3686">
        <v>75</v>
      </c>
      <c r="S3686">
        <v>112.5</v>
      </c>
      <c r="T3686" t="s">
        <v>19014</v>
      </c>
    </row>
    <row r="3687" spans="1:20">
      <c r="A3687">
        <v>3331747</v>
      </c>
      <c r="B3687" t="s">
        <v>19015</v>
      </c>
      <c r="C3687" t="str">
        <f>"9780773524408"</f>
        <v>9780773524408</v>
      </c>
      <c r="D3687" t="str">
        <f>"9780773570610"</f>
        <v>9780773570610</v>
      </c>
      <c r="E3687" t="s">
        <v>12863</v>
      </c>
      <c r="F3687" t="s">
        <v>12863</v>
      </c>
      <c r="G3687" s="1">
        <v>37517</v>
      </c>
      <c r="J3687" t="s">
        <v>19016</v>
      </c>
      <c r="K3687" t="s">
        <v>1471</v>
      </c>
      <c r="L3687" t="s">
        <v>19017</v>
      </c>
      <c r="M3687">
        <v>709.2</v>
      </c>
      <c r="N3687" t="s">
        <v>19018</v>
      </c>
      <c r="O3687" t="s">
        <v>26</v>
      </c>
      <c r="P3687">
        <v>67.430000000000007</v>
      </c>
      <c r="Q3687">
        <v>56.19</v>
      </c>
      <c r="R3687">
        <v>44.95</v>
      </c>
      <c r="S3687">
        <v>67.430000000000007</v>
      </c>
      <c r="T3687" t="s">
        <v>19019</v>
      </c>
    </row>
    <row r="3688" spans="1:20">
      <c r="A3688">
        <v>3331748</v>
      </c>
      <c r="B3688" t="s">
        <v>19020</v>
      </c>
      <c r="C3688" t="str">
        <f>"9780773505810"</f>
        <v>9780773505810</v>
      </c>
      <c r="D3688" t="str">
        <f>"9780773561243"</f>
        <v>9780773561243</v>
      </c>
      <c r="E3688" t="s">
        <v>12863</v>
      </c>
      <c r="F3688" t="s">
        <v>12863</v>
      </c>
      <c r="G3688" s="1">
        <v>31199</v>
      </c>
      <c r="J3688" t="s">
        <v>18636</v>
      </c>
      <c r="K3688" t="s">
        <v>257</v>
      </c>
      <c r="L3688" t="s">
        <v>19021</v>
      </c>
      <c r="M3688">
        <v>370.1</v>
      </c>
      <c r="N3688" t="s">
        <v>19022</v>
      </c>
      <c r="O3688" t="s">
        <v>26</v>
      </c>
      <c r="P3688">
        <v>142.5</v>
      </c>
      <c r="Q3688">
        <v>118.75</v>
      </c>
      <c r="R3688">
        <v>95</v>
      </c>
      <c r="S3688">
        <v>142.5</v>
      </c>
      <c r="T3688" t="s">
        <v>19023</v>
      </c>
    </row>
    <row r="3689" spans="1:20">
      <c r="A3689">
        <v>3331749</v>
      </c>
      <c r="B3689" t="s">
        <v>19024</v>
      </c>
      <c r="C3689" t="str">
        <f>"9780773528987"</f>
        <v>9780773528987</v>
      </c>
      <c r="D3689" t="str">
        <f>"9780773572904"</f>
        <v>9780773572904</v>
      </c>
      <c r="E3689" t="s">
        <v>12907</v>
      </c>
      <c r="F3689" t="s">
        <v>12907</v>
      </c>
      <c r="G3689" s="1">
        <v>38618</v>
      </c>
      <c r="J3689" t="s">
        <v>19025</v>
      </c>
      <c r="K3689" t="s">
        <v>1892</v>
      </c>
      <c r="L3689" t="s">
        <v>19026</v>
      </c>
      <c r="M3689" t="s">
        <v>19027</v>
      </c>
      <c r="N3689" t="s">
        <v>19028</v>
      </c>
      <c r="O3689" t="s">
        <v>26</v>
      </c>
      <c r="P3689">
        <v>142.5</v>
      </c>
      <c r="Q3689">
        <v>118.75</v>
      </c>
      <c r="R3689">
        <v>95</v>
      </c>
      <c r="S3689">
        <v>142.5</v>
      </c>
      <c r="T3689" t="s">
        <v>19029</v>
      </c>
    </row>
    <row r="3690" spans="1:20">
      <c r="A3690">
        <v>3331750</v>
      </c>
      <c r="B3690" t="s">
        <v>19030</v>
      </c>
      <c r="C3690" t="str">
        <f>"9780771097461"</f>
        <v>9780771097461</v>
      </c>
      <c r="D3690" t="str">
        <f>"9780773560550"</f>
        <v>9780773560550</v>
      </c>
      <c r="E3690" t="s">
        <v>12863</v>
      </c>
      <c r="F3690" t="s">
        <v>12863</v>
      </c>
      <c r="G3690" s="1">
        <v>41773</v>
      </c>
      <c r="I3690" t="s">
        <v>13270</v>
      </c>
      <c r="J3690" t="s">
        <v>19031</v>
      </c>
      <c r="K3690" t="s">
        <v>291</v>
      </c>
      <c r="L3690" t="s">
        <v>19032</v>
      </c>
      <c r="M3690">
        <v>971.06109240000001</v>
      </c>
      <c r="N3690" t="s">
        <v>19033</v>
      </c>
      <c r="O3690" t="s">
        <v>26</v>
      </c>
      <c r="P3690">
        <v>142.5</v>
      </c>
      <c r="Q3690">
        <v>118.75</v>
      </c>
      <c r="R3690">
        <v>95</v>
      </c>
      <c r="S3690">
        <v>142.5</v>
      </c>
      <c r="T3690" t="s">
        <v>19034</v>
      </c>
    </row>
    <row r="3691" spans="1:20">
      <c r="A3691">
        <v>3331751</v>
      </c>
      <c r="B3691" t="s">
        <v>19035</v>
      </c>
      <c r="C3691" t="str">
        <f>"9780773520301"</f>
        <v>9780773520301</v>
      </c>
      <c r="D3691" t="str">
        <f>"9780773568280"</f>
        <v>9780773568280</v>
      </c>
      <c r="E3691" t="s">
        <v>12863</v>
      </c>
      <c r="F3691" t="s">
        <v>12863</v>
      </c>
      <c r="G3691" s="1">
        <v>36661</v>
      </c>
      <c r="J3691" t="s">
        <v>19036</v>
      </c>
      <c r="K3691" t="s">
        <v>4081</v>
      </c>
      <c r="L3691" t="s">
        <v>19037</v>
      </c>
      <c r="M3691" t="s">
        <v>19038</v>
      </c>
      <c r="N3691" t="s">
        <v>19039</v>
      </c>
      <c r="O3691" t="s">
        <v>26</v>
      </c>
      <c r="P3691">
        <v>34.43</v>
      </c>
      <c r="Q3691">
        <v>28.69</v>
      </c>
      <c r="R3691">
        <v>22.95</v>
      </c>
      <c r="S3691">
        <v>34.43</v>
      </c>
      <c r="T3691" t="s">
        <v>19040</v>
      </c>
    </row>
    <row r="3692" spans="1:20">
      <c r="A3692">
        <v>3331752</v>
      </c>
      <c r="B3692" t="s">
        <v>19041</v>
      </c>
      <c r="C3692" t="str">
        <f>"9780773527591"</f>
        <v>9780773527591</v>
      </c>
      <c r="D3692" t="str">
        <f>"9780773572171"</f>
        <v>9780773572171</v>
      </c>
      <c r="E3692" t="s">
        <v>12863</v>
      </c>
      <c r="F3692" t="s">
        <v>12863</v>
      </c>
      <c r="G3692" s="1">
        <v>38380</v>
      </c>
      <c r="I3692" t="s">
        <v>12886</v>
      </c>
      <c r="J3692" t="s">
        <v>16302</v>
      </c>
      <c r="K3692" t="s">
        <v>257</v>
      </c>
      <c r="L3692" t="s">
        <v>19042</v>
      </c>
      <c r="M3692">
        <v>378.71357092</v>
      </c>
      <c r="N3692" t="s">
        <v>19043</v>
      </c>
      <c r="O3692" t="s">
        <v>26</v>
      </c>
      <c r="P3692">
        <v>142.5</v>
      </c>
      <c r="Q3692">
        <v>118.75</v>
      </c>
      <c r="R3692">
        <v>95</v>
      </c>
      <c r="S3692">
        <v>142.5</v>
      </c>
      <c r="T3692" t="s">
        <v>19044</v>
      </c>
    </row>
    <row r="3693" spans="1:20">
      <c r="A3693">
        <v>3331753</v>
      </c>
      <c r="B3693" t="s">
        <v>19045</v>
      </c>
      <c r="C3693" t="str">
        <f>"9780773527881"</f>
        <v>9780773527881</v>
      </c>
      <c r="D3693" t="str">
        <f>"9780773572225"</f>
        <v>9780773572225</v>
      </c>
      <c r="E3693" t="s">
        <v>12863</v>
      </c>
      <c r="F3693" t="s">
        <v>12863</v>
      </c>
      <c r="G3693" s="1">
        <v>38370</v>
      </c>
      <c r="I3693" t="s">
        <v>12871</v>
      </c>
      <c r="J3693" t="s">
        <v>19046</v>
      </c>
      <c r="K3693" t="s">
        <v>1464</v>
      </c>
      <c r="L3693" t="s">
        <v>19047</v>
      </c>
      <c r="M3693">
        <v>810.93529969999997</v>
      </c>
      <c r="N3693" t="s">
        <v>19048</v>
      </c>
      <c r="O3693" t="s">
        <v>26</v>
      </c>
      <c r="P3693">
        <v>142.5</v>
      </c>
      <c r="Q3693">
        <v>118.75</v>
      </c>
      <c r="R3693">
        <v>95</v>
      </c>
      <c r="S3693">
        <v>142.5</v>
      </c>
      <c r="T3693" t="s">
        <v>19049</v>
      </c>
    </row>
    <row r="3694" spans="1:20">
      <c r="A3694">
        <v>3331754</v>
      </c>
      <c r="B3694" t="s">
        <v>19050</v>
      </c>
      <c r="C3694" t="str">
        <f>"9780773521735"</f>
        <v>9780773521735</v>
      </c>
      <c r="D3694" t="str">
        <f>"9780773569126"</f>
        <v>9780773569126</v>
      </c>
      <c r="E3694" t="s">
        <v>12907</v>
      </c>
      <c r="F3694" t="s">
        <v>12907</v>
      </c>
      <c r="G3694" s="1">
        <v>37081</v>
      </c>
      <c r="J3694" t="s">
        <v>19051</v>
      </c>
      <c r="K3694" t="s">
        <v>1464</v>
      </c>
      <c r="L3694" t="s">
        <v>19052</v>
      </c>
      <c r="M3694" t="s">
        <v>1497</v>
      </c>
      <c r="N3694" t="s">
        <v>19053</v>
      </c>
      <c r="O3694" t="s">
        <v>26</v>
      </c>
      <c r="P3694">
        <v>142.5</v>
      </c>
      <c r="Q3694">
        <v>118.75</v>
      </c>
      <c r="R3694">
        <v>95</v>
      </c>
      <c r="S3694">
        <v>142.5</v>
      </c>
      <c r="T3694" t="s">
        <v>19054</v>
      </c>
    </row>
    <row r="3695" spans="1:20">
      <c r="A3695">
        <v>3331755</v>
      </c>
      <c r="B3695" t="s">
        <v>19055</v>
      </c>
      <c r="C3695" t="str">
        <f>"9780773506657"</f>
        <v>9780773506657</v>
      </c>
      <c r="D3695" t="str">
        <f>"9780773561786"</f>
        <v>9780773561786</v>
      </c>
      <c r="E3695" t="s">
        <v>12863</v>
      </c>
      <c r="F3695" t="s">
        <v>12863</v>
      </c>
      <c r="G3695" s="1">
        <v>31898</v>
      </c>
      <c r="J3695" t="s">
        <v>19056</v>
      </c>
      <c r="K3695" t="s">
        <v>1150</v>
      </c>
      <c r="L3695" t="s">
        <v>19057</v>
      </c>
      <c r="M3695">
        <v>796.09709999999995</v>
      </c>
      <c r="N3695" t="s">
        <v>19058</v>
      </c>
      <c r="O3695" t="s">
        <v>26</v>
      </c>
      <c r="P3695">
        <v>44.93</v>
      </c>
      <c r="Q3695">
        <v>37.44</v>
      </c>
      <c r="R3695">
        <v>29.95</v>
      </c>
      <c r="S3695">
        <v>44.93</v>
      </c>
      <c r="T3695" t="s">
        <v>19059</v>
      </c>
    </row>
    <row r="3696" spans="1:20">
      <c r="A3696">
        <v>3331756</v>
      </c>
      <c r="B3696" t="s">
        <v>19060</v>
      </c>
      <c r="C3696" t="str">
        <f>"9780773505377"</f>
        <v>9780773505377</v>
      </c>
      <c r="D3696" t="str">
        <f>"9780773561045"</f>
        <v>9780773561045</v>
      </c>
      <c r="E3696" t="s">
        <v>12863</v>
      </c>
      <c r="F3696" t="s">
        <v>12863</v>
      </c>
      <c r="G3696" s="1">
        <v>31564</v>
      </c>
      <c r="J3696" t="s">
        <v>19061</v>
      </c>
      <c r="K3696" t="s">
        <v>291</v>
      </c>
      <c r="L3696" t="s">
        <v>19062</v>
      </c>
      <c r="M3696">
        <v>974</v>
      </c>
      <c r="N3696" t="s">
        <v>19063</v>
      </c>
      <c r="O3696" t="s">
        <v>26</v>
      </c>
      <c r="P3696">
        <v>49.43</v>
      </c>
      <c r="Q3696">
        <v>41.19</v>
      </c>
      <c r="R3696">
        <v>32.950000000000003</v>
      </c>
      <c r="S3696">
        <v>49.43</v>
      </c>
      <c r="T3696" t="s">
        <v>19064</v>
      </c>
    </row>
    <row r="3697" spans="1:20">
      <c r="A3697">
        <v>3331757</v>
      </c>
      <c r="B3697" t="s">
        <v>19065</v>
      </c>
      <c r="C3697" t="str">
        <f>"9780773515178"</f>
        <v>9780773515178</v>
      </c>
      <c r="D3697" t="str">
        <f>"9780773566361"</f>
        <v>9780773566361</v>
      </c>
      <c r="E3697" t="s">
        <v>12863</v>
      </c>
      <c r="F3697" t="s">
        <v>12863</v>
      </c>
      <c r="G3697" s="1">
        <v>35436</v>
      </c>
      <c r="J3697" t="s">
        <v>19066</v>
      </c>
      <c r="K3697" t="s">
        <v>2432</v>
      </c>
      <c r="L3697" t="s">
        <v>19067</v>
      </c>
      <c r="M3697">
        <v>305.55200000000002</v>
      </c>
      <c r="N3697" t="s">
        <v>19068</v>
      </c>
      <c r="O3697" t="s">
        <v>26</v>
      </c>
      <c r="P3697">
        <v>142.5</v>
      </c>
      <c r="Q3697">
        <v>118.75</v>
      </c>
      <c r="R3697">
        <v>95</v>
      </c>
      <c r="S3697">
        <v>142.5</v>
      </c>
      <c r="T3697" t="s">
        <v>19069</v>
      </c>
    </row>
    <row r="3698" spans="1:20">
      <c r="A3698">
        <v>3331758</v>
      </c>
      <c r="B3698" t="s">
        <v>19070</v>
      </c>
      <c r="C3698" t="str">
        <f>"9780773527584"</f>
        <v>9780773527584</v>
      </c>
      <c r="D3698" t="str">
        <f>"9780773572164"</f>
        <v>9780773572164</v>
      </c>
      <c r="E3698" t="s">
        <v>12863</v>
      </c>
      <c r="F3698" t="s">
        <v>12863</v>
      </c>
      <c r="G3698" s="1">
        <v>38553</v>
      </c>
      <c r="I3698" t="s">
        <v>13270</v>
      </c>
      <c r="J3698" t="s">
        <v>19071</v>
      </c>
      <c r="K3698" t="s">
        <v>416</v>
      </c>
      <c r="L3698" t="s">
        <v>19072</v>
      </c>
      <c r="M3698">
        <v>338.97129999999999</v>
      </c>
      <c r="N3698" t="s">
        <v>19073</v>
      </c>
      <c r="O3698" t="s">
        <v>26</v>
      </c>
      <c r="P3698">
        <v>142.5</v>
      </c>
      <c r="Q3698">
        <v>118.75</v>
      </c>
      <c r="R3698">
        <v>95</v>
      </c>
      <c r="S3698">
        <v>142.5</v>
      </c>
      <c r="T3698" t="s">
        <v>19074</v>
      </c>
    </row>
    <row r="3699" spans="1:20">
      <c r="A3699">
        <v>3331759</v>
      </c>
      <c r="B3699" t="s">
        <v>19075</v>
      </c>
      <c r="C3699" t="str">
        <f>"9780773528710"</f>
        <v>9780773528710</v>
      </c>
      <c r="D3699" t="str">
        <f>"9780773572720"</f>
        <v>9780773572720</v>
      </c>
      <c r="E3699" t="s">
        <v>12863</v>
      </c>
      <c r="F3699" t="s">
        <v>12863</v>
      </c>
      <c r="G3699" s="1">
        <v>38492</v>
      </c>
      <c r="J3699" t="s">
        <v>12892</v>
      </c>
      <c r="K3699" t="s">
        <v>1471</v>
      </c>
      <c r="L3699" t="s">
        <v>19076</v>
      </c>
      <c r="M3699">
        <v>791.43340947000002</v>
      </c>
      <c r="N3699" t="s">
        <v>19077</v>
      </c>
      <c r="O3699" t="s">
        <v>26</v>
      </c>
      <c r="P3699">
        <v>142.5</v>
      </c>
      <c r="Q3699">
        <v>118.75</v>
      </c>
      <c r="R3699">
        <v>95</v>
      </c>
      <c r="S3699">
        <v>142.5</v>
      </c>
      <c r="T3699" t="s">
        <v>19078</v>
      </c>
    </row>
    <row r="3700" spans="1:20">
      <c r="A3700">
        <v>3331760</v>
      </c>
      <c r="B3700" t="s">
        <v>19079</v>
      </c>
      <c r="C3700" t="str">
        <f>"9780773511989"</f>
        <v>9780773511989</v>
      </c>
      <c r="D3700" t="str">
        <f>"9780773564794"</f>
        <v>9780773564794</v>
      </c>
      <c r="E3700" t="s">
        <v>12863</v>
      </c>
      <c r="F3700" t="s">
        <v>12863</v>
      </c>
      <c r="G3700" s="1">
        <v>34407</v>
      </c>
      <c r="J3700" t="s">
        <v>3409</v>
      </c>
      <c r="K3700" t="s">
        <v>1859</v>
      </c>
      <c r="L3700" t="s">
        <v>19080</v>
      </c>
      <c r="M3700">
        <v>113</v>
      </c>
      <c r="N3700" t="s">
        <v>19081</v>
      </c>
      <c r="O3700" t="s">
        <v>26</v>
      </c>
      <c r="P3700">
        <v>142.5</v>
      </c>
      <c r="Q3700">
        <v>118.75</v>
      </c>
      <c r="R3700">
        <v>95</v>
      </c>
      <c r="S3700">
        <v>142.5</v>
      </c>
      <c r="T3700" t="s">
        <v>19082</v>
      </c>
    </row>
    <row r="3701" spans="1:20">
      <c r="A3701">
        <v>3331761</v>
      </c>
      <c r="B3701" t="s">
        <v>19083</v>
      </c>
      <c r="C3701" t="str">
        <f>"9780773529571"</f>
        <v>9780773529571</v>
      </c>
      <c r="D3701" t="str">
        <f>"9780773573154"</f>
        <v>9780773573154</v>
      </c>
      <c r="E3701" t="s">
        <v>12863</v>
      </c>
      <c r="F3701" t="s">
        <v>12863</v>
      </c>
      <c r="G3701" s="1">
        <v>38638</v>
      </c>
      <c r="I3701" t="s">
        <v>12942</v>
      </c>
      <c r="J3701" t="s">
        <v>19084</v>
      </c>
      <c r="K3701" t="s">
        <v>1530</v>
      </c>
      <c r="L3701" t="s">
        <v>19085</v>
      </c>
      <c r="M3701">
        <v>305.800971</v>
      </c>
      <c r="N3701" t="s">
        <v>19086</v>
      </c>
      <c r="O3701" t="s">
        <v>26</v>
      </c>
      <c r="P3701">
        <v>142.5</v>
      </c>
      <c r="Q3701">
        <v>118.75</v>
      </c>
      <c r="R3701">
        <v>95</v>
      </c>
      <c r="S3701">
        <v>142.5</v>
      </c>
      <c r="T3701" t="s">
        <v>19087</v>
      </c>
    </row>
    <row r="3702" spans="1:20">
      <c r="A3702">
        <v>3331762</v>
      </c>
      <c r="B3702" t="s">
        <v>19088</v>
      </c>
      <c r="C3702" t="str">
        <f>"9780773527447"</f>
        <v>9780773527447</v>
      </c>
      <c r="D3702" t="str">
        <f>"9780773572089"</f>
        <v>9780773572089</v>
      </c>
      <c r="E3702" t="s">
        <v>12907</v>
      </c>
      <c r="F3702" t="s">
        <v>12907</v>
      </c>
      <c r="G3702" s="1">
        <v>38103</v>
      </c>
      <c r="J3702" t="s">
        <v>16060</v>
      </c>
      <c r="K3702" t="s">
        <v>467</v>
      </c>
      <c r="L3702" t="s">
        <v>19089</v>
      </c>
      <c r="M3702">
        <v>320.471</v>
      </c>
      <c r="N3702" t="s">
        <v>19090</v>
      </c>
      <c r="O3702" t="s">
        <v>26</v>
      </c>
      <c r="P3702">
        <v>49.43</v>
      </c>
      <c r="Q3702">
        <v>41.19</v>
      </c>
      <c r="R3702">
        <v>32.950000000000003</v>
      </c>
      <c r="S3702">
        <v>49.43</v>
      </c>
      <c r="T3702" t="s">
        <v>19091</v>
      </c>
    </row>
    <row r="3703" spans="1:20">
      <c r="A3703">
        <v>3331763</v>
      </c>
      <c r="B3703" t="s">
        <v>19092</v>
      </c>
      <c r="C3703" t="str">
        <f>"9780773533387"</f>
        <v>9780773533387</v>
      </c>
      <c r="D3703" t="str">
        <f>"9780773567061"</f>
        <v>9780773567061</v>
      </c>
      <c r="E3703" t="s">
        <v>12863</v>
      </c>
      <c r="F3703" t="s">
        <v>12863</v>
      </c>
      <c r="G3703" s="1">
        <v>35870</v>
      </c>
      <c r="I3703" t="s">
        <v>19093</v>
      </c>
      <c r="J3703" t="s">
        <v>19094</v>
      </c>
      <c r="K3703" t="s">
        <v>4081</v>
      </c>
      <c r="L3703" t="s">
        <v>19095</v>
      </c>
      <c r="M3703">
        <v>401</v>
      </c>
      <c r="N3703" t="s">
        <v>19096</v>
      </c>
      <c r="O3703" t="s">
        <v>26</v>
      </c>
      <c r="P3703">
        <v>150</v>
      </c>
      <c r="Q3703">
        <v>125</v>
      </c>
      <c r="R3703">
        <v>100</v>
      </c>
      <c r="S3703">
        <v>150</v>
      </c>
      <c r="T3703" t="s">
        <v>19097</v>
      </c>
    </row>
    <row r="3704" spans="1:20">
      <c r="A3704">
        <v>3331764</v>
      </c>
      <c r="B3704" t="s">
        <v>19098</v>
      </c>
      <c r="C3704" t="str">
        <f>"9780773528475"</f>
        <v>9780773528475</v>
      </c>
      <c r="D3704" t="str">
        <f>"9780773572546"</f>
        <v>9780773572546</v>
      </c>
      <c r="E3704" t="s">
        <v>12863</v>
      </c>
      <c r="F3704" t="s">
        <v>12863</v>
      </c>
      <c r="G3704" s="1">
        <v>38471</v>
      </c>
      <c r="I3704" t="s">
        <v>18213</v>
      </c>
      <c r="J3704" t="s">
        <v>14057</v>
      </c>
      <c r="K3704" t="s">
        <v>1550</v>
      </c>
      <c r="L3704" t="s">
        <v>19099</v>
      </c>
      <c r="M3704">
        <v>305.56091766999998</v>
      </c>
      <c r="N3704" t="s">
        <v>19100</v>
      </c>
      <c r="O3704" t="s">
        <v>26</v>
      </c>
      <c r="P3704">
        <v>142.5</v>
      </c>
      <c r="Q3704">
        <v>118.75</v>
      </c>
      <c r="R3704">
        <v>95</v>
      </c>
      <c r="S3704">
        <v>142.5</v>
      </c>
      <c r="T3704" t="s">
        <v>19101</v>
      </c>
    </row>
    <row r="3705" spans="1:20">
      <c r="A3705">
        <v>3331765</v>
      </c>
      <c r="B3705" t="s">
        <v>19102</v>
      </c>
      <c r="C3705" t="str">
        <f>"9780773514010"</f>
        <v>9780773514010</v>
      </c>
      <c r="D3705" t="str">
        <f>"9780773565975"</f>
        <v>9780773565975</v>
      </c>
      <c r="E3705" t="s">
        <v>12863</v>
      </c>
      <c r="F3705" t="s">
        <v>12863</v>
      </c>
      <c r="G3705" s="1">
        <v>35213</v>
      </c>
      <c r="J3705" t="s">
        <v>19103</v>
      </c>
      <c r="K3705" t="s">
        <v>291</v>
      </c>
      <c r="L3705" t="s">
        <v>19104</v>
      </c>
      <c r="M3705">
        <v>940.54859999999996</v>
      </c>
      <c r="N3705" t="s">
        <v>19105</v>
      </c>
      <c r="O3705" t="s">
        <v>26</v>
      </c>
      <c r="P3705">
        <v>127.5</v>
      </c>
      <c r="Q3705">
        <v>106.25</v>
      </c>
      <c r="R3705">
        <v>85</v>
      </c>
      <c r="S3705">
        <v>127.5</v>
      </c>
      <c r="T3705" t="s">
        <v>19106</v>
      </c>
    </row>
    <row r="3706" spans="1:20">
      <c r="A3706">
        <v>3331766</v>
      </c>
      <c r="B3706" t="s">
        <v>19107</v>
      </c>
      <c r="C3706" t="str">
        <f>"9780886293369"</f>
        <v>9780886293369</v>
      </c>
      <c r="D3706" t="str">
        <f>"9780773574083"</f>
        <v>9780773574083</v>
      </c>
      <c r="E3706" t="s">
        <v>12863</v>
      </c>
      <c r="F3706" t="s">
        <v>12863</v>
      </c>
      <c r="G3706" s="1">
        <v>35688</v>
      </c>
      <c r="J3706" t="s">
        <v>3094</v>
      </c>
      <c r="K3706" t="s">
        <v>15955</v>
      </c>
      <c r="L3706" t="s">
        <v>19108</v>
      </c>
      <c r="M3706">
        <v>303.48309710000001</v>
      </c>
      <c r="N3706" t="s">
        <v>19109</v>
      </c>
      <c r="O3706" t="s">
        <v>26</v>
      </c>
      <c r="P3706">
        <v>142.5</v>
      </c>
      <c r="Q3706">
        <v>118.75</v>
      </c>
      <c r="R3706">
        <v>95</v>
      </c>
      <c r="S3706">
        <v>142.5</v>
      </c>
      <c r="T3706" t="s">
        <v>19110</v>
      </c>
    </row>
    <row r="3707" spans="1:20">
      <c r="A3707">
        <v>3331767</v>
      </c>
      <c r="B3707" t="s">
        <v>19111</v>
      </c>
      <c r="C3707" t="str">
        <f>"9780773528079"</f>
        <v>9780773528079</v>
      </c>
      <c r="D3707" t="str">
        <f>"9780773572348"</f>
        <v>9780773572348</v>
      </c>
      <c r="E3707" t="s">
        <v>12863</v>
      </c>
      <c r="F3707" t="s">
        <v>12863</v>
      </c>
      <c r="G3707" s="1">
        <v>38622</v>
      </c>
      <c r="J3707" t="s">
        <v>19112</v>
      </c>
      <c r="K3707" t="s">
        <v>257</v>
      </c>
      <c r="L3707" t="s">
        <v>13135</v>
      </c>
      <c r="M3707">
        <v>378.01499999999999</v>
      </c>
      <c r="N3707" t="s">
        <v>19113</v>
      </c>
      <c r="O3707" t="s">
        <v>26</v>
      </c>
      <c r="P3707">
        <v>142.5</v>
      </c>
      <c r="Q3707">
        <v>118.75</v>
      </c>
      <c r="R3707">
        <v>95</v>
      </c>
      <c r="S3707">
        <v>142.5</v>
      </c>
      <c r="T3707" t="s">
        <v>19114</v>
      </c>
    </row>
    <row r="3708" spans="1:20">
      <c r="A3708">
        <v>3331768</v>
      </c>
      <c r="B3708" t="s">
        <v>19115</v>
      </c>
      <c r="C3708" t="str">
        <f>"9780773507944"</f>
        <v>9780773507944</v>
      </c>
      <c r="D3708" t="str">
        <f>"9780773562677"</f>
        <v>9780773562677</v>
      </c>
      <c r="E3708" t="s">
        <v>12863</v>
      </c>
      <c r="F3708" t="s">
        <v>12863</v>
      </c>
      <c r="G3708" s="1">
        <v>33055</v>
      </c>
      <c r="J3708" t="s">
        <v>19116</v>
      </c>
      <c r="K3708" t="s">
        <v>278</v>
      </c>
      <c r="L3708" t="s">
        <v>19117</v>
      </c>
      <c r="M3708">
        <v>331.89297127430001</v>
      </c>
      <c r="N3708" t="s">
        <v>19118</v>
      </c>
      <c r="O3708" t="s">
        <v>26</v>
      </c>
      <c r="P3708">
        <v>142.5</v>
      </c>
      <c r="Q3708">
        <v>118.75</v>
      </c>
      <c r="R3708">
        <v>95</v>
      </c>
      <c r="S3708">
        <v>142.5</v>
      </c>
      <c r="T3708" t="s">
        <v>19119</v>
      </c>
    </row>
    <row r="3709" spans="1:20">
      <c r="A3709">
        <v>3331769</v>
      </c>
      <c r="B3709" t="s">
        <v>19120</v>
      </c>
      <c r="C3709" t="str">
        <f>"9780773507296"</f>
        <v>9780773507296</v>
      </c>
      <c r="D3709" t="str">
        <f>"9780773562264"</f>
        <v>9780773562264</v>
      </c>
      <c r="E3709" t="s">
        <v>12863</v>
      </c>
      <c r="F3709" t="s">
        <v>12863</v>
      </c>
      <c r="G3709" s="1">
        <v>33652</v>
      </c>
      <c r="J3709" t="s">
        <v>19121</v>
      </c>
      <c r="K3709" t="s">
        <v>278</v>
      </c>
      <c r="L3709" t="s">
        <v>19122</v>
      </c>
      <c r="M3709" t="s">
        <v>19123</v>
      </c>
      <c r="N3709" t="s">
        <v>19124</v>
      </c>
      <c r="O3709" t="s">
        <v>26</v>
      </c>
      <c r="P3709">
        <v>142.5</v>
      </c>
      <c r="Q3709">
        <v>118.75</v>
      </c>
      <c r="R3709">
        <v>95</v>
      </c>
      <c r="S3709">
        <v>142.5</v>
      </c>
      <c r="T3709" t="s">
        <v>19125</v>
      </c>
    </row>
    <row r="3710" spans="1:20">
      <c r="A3710">
        <v>3331770</v>
      </c>
      <c r="B3710" t="s">
        <v>19126</v>
      </c>
      <c r="C3710" t="str">
        <f>"9780773512566"</f>
        <v>9780773512566</v>
      </c>
      <c r="D3710" t="str">
        <f>"9780773565111"</f>
        <v>9780773565111</v>
      </c>
      <c r="E3710" t="s">
        <v>12907</v>
      </c>
      <c r="F3710" t="s">
        <v>12907</v>
      </c>
      <c r="G3710" s="1">
        <v>34584</v>
      </c>
      <c r="J3710" t="s">
        <v>18524</v>
      </c>
      <c r="K3710" t="s">
        <v>1464</v>
      </c>
      <c r="L3710" t="s">
        <v>19127</v>
      </c>
      <c r="M3710">
        <v>828.91399999999999</v>
      </c>
      <c r="N3710" t="s">
        <v>18526</v>
      </c>
      <c r="O3710" t="s">
        <v>26</v>
      </c>
      <c r="P3710">
        <v>112.5</v>
      </c>
      <c r="Q3710">
        <v>93.75</v>
      </c>
      <c r="R3710">
        <v>75</v>
      </c>
      <c r="S3710">
        <v>112.5</v>
      </c>
      <c r="T3710" t="s">
        <v>19128</v>
      </c>
    </row>
    <row r="3711" spans="1:20">
      <c r="A3711">
        <v>3331771</v>
      </c>
      <c r="B3711" t="s">
        <v>19129</v>
      </c>
      <c r="C3711" t="str">
        <f>"9780773528680"</f>
        <v>9780773528680</v>
      </c>
      <c r="D3711" t="str">
        <f>"9780773572690"</f>
        <v>9780773572690</v>
      </c>
      <c r="E3711" t="s">
        <v>12863</v>
      </c>
      <c r="F3711" t="s">
        <v>12863</v>
      </c>
      <c r="G3711" s="1">
        <v>38687</v>
      </c>
      <c r="J3711" t="s">
        <v>19130</v>
      </c>
      <c r="K3711" t="s">
        <v>263</v>
      </c>
      <c r="L3711" t="s">
        <v>19131</v>
      </c>
      <c r="M3711">
        <v>361.76320971000001</v>
      </c>
      <c r="N3711" t="s">
        <v>19132</v>
      </c>
      <c r="O3711" t="s">
        <v>26</v>
      </c>
      <c r="P3711">
        <v>142.5</v>
      </c>
      <c r="Q3711">
        <v>118.75</v>
      </c>
      <c r="R3711">
        <v>95</v>
      </c>
      <c r="S3711">
        <v>142.5</v>
      </c>
      <c r="T3711" t="s">
        <v>19133</v>
      </c>
    </row>
    <row r="3712" spans="1:20">
      <c r="A3712">
        <v>3331772</v>
      </c>
      <c r="B3712" t="s">
        <v>19134</v>
      </c>
      <c r="C3712" t="str">
        <f>"9780773529540"</f>
        <v>9780773529540</v>
      </c>
      <c r="D3712" t="str">
        <f>"9780773573130"</f>
        <v>9780773573130</v>
      </c>
      <c r="E3712" t="s">
        <v>12863</v>
      </c>
      <c r="F3712" t="s">
        <v>12863</v>
      </c>
      <c r="G3712" s="1">
        <v>38685</v>
      </c>
      <c r="I3712" t="s">
        <v>12886</v>
      </c>
      <c r="J3712" t="s">
        <v>19135</v>
      </c>
      <c r="K3712" t="s">
        <v>1892</v>
      </c>
      <c r="L3712" t="s">
        <v>19136</v>
      </c>
      <c r="M3712">
        <v>271.97000000000003</v>
      </c>
      <c r="N3712" t="s">
        <v>19137</v>
      </c>
      <c r="O3712" t="s">
        <v>26</v>
      </c>
      <c r="P3712">
        <v>142.5</v>
      </c>
      <c r="Q3712">
        <v>118.75</v>
      </c>
      <c r="R3712">
        <v>95</v>
      </c>
      <c r="S3712">
        <v>142.5</v>
      </c>
      <c r="T3712" t="s">
        <v>19138</v>
      </c>
    </row>
    <row r="3713" spans="1:20">
      <c r="A3713">
        <v>3331773</v>
      </c>
      <c r="B3713" t="s">
        <v>19139</v>
      </c>
      <c r="C3713" t="str">
        <f>"9780773527416"</f>
        <v>9780773527416</v>
      </c>
      <c r="D3713" t="str">
        <f>"9780773572065"</f>
        <v>9780773572065</v>
      </c>
      <c r="E3713" t="s">
        <v>12863</v>
      </c>
      <c r="F3713" t="s">
        <v>12863</v>
      </c>
      <c r="G3713" s="1">
        <v>33666</v>
      </c>
      <c r="J3713" t="s">
        <v>19140</v>
      </c>
      <c r="K3713" t="s">
        <v>291</v>
      </c>
      <c r="L3713" t="s">
        <v>19141</v>
      </c>
      <c r="N3713" t="s">
        <v>19142</v>
      </c>
      <c r="O3713" t="s">
        <v>26</v>
      </c>
      <c r="P3713">
        <v>47.93</v>
      </c>
      <c r="Q3713">
        <v>39.94</v>
      </c>
      <c r="R3713">
        <v>31.95</v>
      </c>
      <c r="S3713">
        <v>47.93</v>
      </c>
      <c r="T3713" t="s">
        <v>19143</v>
      </c>
    </row>
    <row r="3714" spans="1:20">
      <c r="A3714">
        <v>3331774</v>
      </c>
      <c r="B3714" t="s">
        <v>19144</v>
      </c>
      <c r="C3714" t="str">
        <f>"9780773526228"</f>
        <v>9780773526228</v>
      </c>
      <c r="D3714" t="str">
        <f>"9780773571532"</f>
        <v>9780773571532</v>
      </c>
      <c r="E3714" t="s">
        <v>12863</v>
      </c>
      <c r="F3714" t="s">
        <v>12863</v>
      </c>
      <c r="G3714" s="1">
        <v>37890</v>
      </c>
      <c r="J3714" t="s">
        <v>19145</v>
      </c>
      <c r="K3714" t="s">
        <v>1464</v>
      </c>
      <c r="L3714" t="s">
        <v>19146</v>
      </c>
      <c r="M3714">
        <v>828.91209000000003</v>
      </c>
      <c r="N3714" t="s">
        <v>19147</v>
      </c>
      <c r="O3714" t="s">
        <v>26</v>
      </c>
      <c r="P3714">
        <v>142.5</v>
      </c>
      <c r="Q3714">
        <v>118.75</v>
      </c>
      <c r="R3714">
        <v>95</v>
      </c>
      <c r="S3714">
        <v>142.5</v>
      </c>
      <c r="T3714" t="s">
        <v>19148</v>
      </c>
    </row>
    <row r="3715" spans="1:20">
      <c r="A3715">
        <v>3331775</v>
      </c>
      <c r="B3715" t="s">
        <v>19149</v>
      </c>
      <c r="C3715" t="str">
        <f>"9780773508408"</f>
        <v>9780773508408</v>
      </c>
      <c r="D3715" t="str">
        <f>"9780773562936"</f>
        <v>9780773562936</v>
      </c>
      <c r="E3715" t="s">
        <v>12863</v>
      </c>
      <c r="F3715" t="s">
        <v>12863</v>
      </c>
      <c r="G3715" s="1">
        <v>33390</v>
      </c>
      <c r="J3715" t="s">
        <v>19150</v>
      </c>
      <c r="K3715" t="s">
        <v>305</v>
      </c>
      <c r="L3715" t="s">
        <v>19151</v>
      </c>
      <c r="M3715">
        <v>388.09420903300003</v>
      </c>
      <c r="N3715" t="s">
        <v>19152</v>
      </c>
      <c r="O3715" t="s">
        <v>26</v>
      </c>
      <c r="P3715">
        <v>142.5</v>
      </c>
      <c r="Q3715">
        <v>118.75</v>
      </c>
      <c r="R3715">
        <v>95</v>
      </c>
      <c r="S3715">
        <v>142.5</v>
      </c>
      <c r="T3715" t="s">
        <v>19153</v>
      </c>
    </row>
    <row r="3716" spans="1:20">
      <c r="A3716">
        <v>3331776</v>
      </c>
      <c r="B3716" t="s">
        <v>19154</v>
      </c>
      <c r="C3716" t="str">
        <f>"9780773508446"</f>
        <v>9780773508446</v>
      </c>
      <c r="D3716" t="str">
        <f>"9780773562974"</f>
        <v>9780773562974</v>
      </c>
      <c r="E3716" t="s">
        <v>12863</v>
      </c>
      <c r="F3716" t="s">
        <v>12863</v>
      </c>
      <c r="G3716" s="1">
        <v>33546</v>
      </c>
      <c r="I3716" t="s">
        <v>12942</v>
      </c>
      <c r="J3716" t="s">
        <v>19155</v>
      </c>
      <c r="K3716" t="s">
        <v>291</v>
      </c>
      <c r="L3716" t="s">
        <v>19156</v>
      </c>
      <c r="M3716">
        <v>971.13300495099998</v>
      </c>
      <c r="N3716" t="s">
        <v>19157</v>
      </c>
      <c r="O3716" t="s">
        <v>26</v>
      </c>
      <c r="P3716">
        <v>142.5</v>
      </c>
      <c r="Q3716">
        <v>118.75</v>
      </c>
      <c r="R3716">
        <v>95</v>
      </c>
      <c r="S3716">
        <v>142.5</v>
      </c>
      <c r="T3716" t="s">
        <v>19158</v>
      </c>
    </row>
    <row r="3717" spans="1:20">
      <c r="A3717">
        <v>3331777</v>
      </c>
      <c r="B3717" t="s">
        <v>19159</v>
      </c>
      <c r="C3717" t="str">
        <f>"9780773524750"</f>
        <v>9780773524750</v>
      </c>
      <c r="D3717" t="str">
        <f>"9780773570733"</f>
        <v>9780773570733</v>
      </c>
      <c r="E3717" t="s">
        <v>12863</v>
      </c>
      <c r="F3717" t="s">
        <v>12863</v>
      </c>
      <c r="G3717" s="1">
        <v>37574</v>
      </c>
      <c r="J3717" t="s">
        <v>15370</v>
      </c>
      <c r="K3717" t="s">
        <v>467</v>
      </c>
      <c r="L3717" t="s">
        <v>19160</v>
      </c>
      <c r="M3717">
        <v>320.80945800000001</v>
      </c>
      <c r="N3717" t="s">
        <v>19161</v>
      </c>
      <c r="O3717" t="s">
        <v>26</v>
      </c>
      <c r="P3717">
        <v>142.5</v>
      </c>
      <c r="Q3717">
        <v>118.75</v>
      </c>
      <c r="R3717">
        <v>95</v>
      </c>
      <c r="S3717">
        <v>142.5</v>
      </c>
      <c r="T3717" t="s">
        <v>19162</v>
      </c>
    </row>
    <row r="3718" spans="1:20">
      <c r="A3718">
        <v>3331778</v>
      </c>
      <c r="B3718" t="s">
        <v>19163</v>
      </c>
      <c r="C3718" t="str">
        <f>"9780773509054"</f>
        <v>9780773509054</v>
      </c>
      <c r="D3718" t="str">
        <f>"9780773563377"</f>
        <v>9780773563377</v>
      </c>
      <c r="E3718" t="s">
        <v>12863</v>
      </c>
      <c r="F3718" t="s">
        <v>12863</v>
      </c>
      <c r="G3718" s="1">
        <v>34117</v>
      </c>
      <c r="J3718" t="s">
        <v>19164</v>
      </c>
      <c r="K3718" t="s">
        <v>467</v>
      </c>
      <c r="L3718" t="s">
        <v>19165</v>
      </c>
      <c r="M3718">
        <v>327.17409709999998</v>
      </c>
      <c r="N3718" t="s">
        <v>19166</v>
      </c>
      <c r="O3718" t="s">
        <v>26</v>
      </c>
      <c r="P3718">
        <v>142.5</v>
      </c>
      <c r="Q3718">
        <v>118.75</v>
      </c>
      <c r="R3718">
        <v>95</v>
      </c>
      <c r="S3718">
        <v>142.5</v>
      </c>
      <c r="T3718" t="s">
        <v>19167</v>
      </c>
    </row>
    <row r="3719" spans="1:20">
      <c r="A3719">
        <v>3331779</v>
      </c>
      <c r="B3719" t="s">
        <v>19168</v>
      </c>
      <c r="C3719" t="str">
        <f>"9780773528352"</f>
        <v>9780773528352</v>
      </c>
      <c r="D3719" t="str">
        <f>"9780773574441"</f>
        <v>9780773574441</v>
      </c>
      <c r="E3719" t="s">
        <v>12863</v>
      </c>
      <c r="F3719" t="s">
        <v>12863</v>
      </c>
      <c r="G3719" s="1">
        <v>38317</v>
      </c>
      <c r="I3719" t="s">
        <v>19169</v>
      </c>
      <c r="J3719" t="s">
        <v>19170</v>
      </c>
      <c r="K3719" t="s">
        <v>1464</v>
      </c>
      <c r="L3719" t="s">
        <v>19171</v>
      </c>
      <c r="M3719" t="s">
        <v>1497</v>
      </c>
      <c r="O3719" t="s">
        <v>26</v>
      </c>
      <c r="P3719">
        <v>25.43</v>
      </c>
      <c r="Q3719">
        <v>21.19</v>
      </c>
      <c r="R3719">
        <v>16.95</v>
      </c>
      <c r="S3719">
        <v>25.43</v>
      </c>
      <c r="T3719" t="s">
        <v>19172</v>
      </c>
    </row>
    <row r="3720" spans="1:20">
      <c r="A3720">
        <v>3331780</v>
      </c>
      <c r="B3720" t="s">
        <v>19173</v>
      </c>
      <c r="C3720" t="str">
        <f>"9780773529786"</f>
        <v>9780773529786</v>
      </c>
      <c r="D3720" t="str">
        <f>"9780773574434"</f>
        <v>9780773574434</v>
      </c>
      <c r="E3720" t="s">
        <v>12863</v>
      </c>
      <c r="F3720" t="s">
        <v>12863</v>
      </c>
      <c r="G3720" s="1">
        <v>38622</v>
      </c>
      <c r="I3720" t="s">
        <v>19169</v>
      </c>
      <c r="J3720" t="s">
        <v>19174</v>
      </c>
      <c r="K3720" t="s">
        <v>1464</v>
      </c>
      <c r="L3720" t="s">
        <v>19175</v>
      </c>
      <c r="M3720" t="s">
        <v>1497</v>
      </c>
      <c r="O3720" t="s">
        <v>26</v>
      </c>
      <c r="P3720">
        <v>25.43</v>
      </c>
      <c r="Q3720">
        <v>21.19</v>
      </c>
      <c r="R3720">
        <v>16.95</v>
      </c>
      <c r="S3720">
        <v>25.43</v>
      </c>
      <c r="T3720" t="s">
        <v>19176</v>
      </c>
    </row>
    <row r="3721" spans="1:20">
      <c r="A3721">
        <v>3331781</v>
      </c>
      <c r="B3721" t="s">
        <v>19177</v>
      </c>
      <c r="C3721" t="str">
        <f>"9780773525665"</f>
        <v>9780773525665</v>
      </c>
      <c r="D3721" t="str">
        <f>"9780773574359"</f>
        <v>9780773574359</v>
      </c>
      <c r="E3721" t="s">
        <v>12863</v>
      </c>
      <c r="F3721" t="s">
        <v>12863</v>
      </c>
      <c r="G3721" s="1">
        <v>37725</v>
      </c>
      <c r="I3721" t="s">
        <v>19169</v>
      </c>
      <c r="J3721" t="s">
        <v>19178</v>
      </c>
      <c r="K3721" t="s">
        <v>1464</v>
      </c>
      <c r="L3721" t="s">
        <v>19179</v>
      </c>
      <c r="M3721" t="s">
        <v>1545</v>
      </c>
      <c r="O3721" t="s">
        <v>26</v>
      </c>
      <c r="P3721">
        <v>25.43</v>
      </c>
      <c r="Q3721">
        <v>21.19</v>
      </c>
      <c r="R3721">
        <v>16.95</v>
      </c>
      <c r="S3721">
        <v>25.43</v>
      </c>
      <c r="T3721" t="s">
        <v>19180</v>
      </c>
    </row>
    <row r="3722" spans="1:20">
      <c r="A3722">
        <v>3331782</v>
      </c>
      <c r="B3722" t="s">
        <v>19181</v>
      </c>
      <c r="C3722" t="str">
        <f>"9780773522220"</f>
        <v>9780773522220</v>
      </c>
      <c r="D3722" t="str">
        <f>"9780773569416"</f>
        <v>9780773569416</v>
      </c>
      <c r="E3722" t="s">
        <v>12863</v>
      </c>
      <c r="F3722" t="s">
        <v>12863</v>
      </c>
      <c r="G3722" s="1">
        <v>36901</v>
      </c>
      <c r="I3722" t="s">
        <v>12886</v>
      </c>
      <c r="J3722" t="s">
        <v>18077</v>
      </c>
      <c r="K3722" t="s">
        <v>19182</v>
      </c>
      <c r="L3722" t="s">
        <v>19183</v>
      </c>
      <c r="M3722" t="s">
        <v>19184</v>
      </c>
      <c r="N3722" t="s">
        <v>19185</v>
      </c>
      <c r="O3722" t="s">
        <v>26</v>
      </c>
      <c r="P3722">
        <v>105</v>
      </c>
      <c r="Q3722">
        <v>87.5</v>
      </c>
      <c r="R3722">
        <v>70</v>
      </c>
      <c r="S3722">
        <v>105</v>
      </c>
      <c r="T3722" t="s">
        <v>19186</v>
      </c>
    </row>
    <row r="3723" spans="1:20">
      <c r="A3723">
        <v>3331783</v>
      </c>
      <c r="B3723" t="s">
        <v>19187</v>
      </c>
      <c r="C3723" t="str">
        <f>"9780773527034"</f>
        <v>9780773527034</v>
      </c>
      <c r="D3723" t="str">
        <f>"9780773574410"</f>
        <v>9780773574410</v>
      </c>
      <c r="E3723" t="s">
        <v>12863</v>
      </c>
      <c r="F3723" t="s">
        <v>12863</v>
      </c>
      <c r="G3723" s="1">
        <v>38105</v>
      </c>
      <c r="J3723" t="s">
        <v>19188</v>
      </c>
      <c r="K3723" t="s">
        <v>291</v>
      </c>
      <c r="L3723" t="s">
        <v>19189</v>
      </c>
      <c r="M3723" t="s">
        <v>19190</v>
      </c>
      <c r="N3723" t="s">
        <v>19191</v>
      </c>
      <c r="O3723" t="s">
        <v>26</v>
      </c>
      <c r="P3723">
        <v>59.93</v>
      </c>
      <c r="Q3723">
        <v>49.94</v>
      </c>
      <c r="R3723">
        <v>39.950000000000003</v>
      </c>
      <c r="S3723">
        <v>59.93</v>
      </c>
      <c r="T3723" t="s">
        <v>19192</v>
      </c>
    </row>
    <row r="3724" spans="1:20">
      <c r="A3724">
        <v>3331784</v>
      </c>
      <c r="B3724" t="s">
        <v>19193</v>
      </c>
      <c r="C3724" t="str">
        <f>"9780773529052"</f>
        <v>9780773529052</v>
      </c>
      <c r="D3724" t="str">
        <f>"9780773574465"</f>
        <v>9780773574465</v>
      </c>
      <c r="E3724" t="s">
        <v>12863</v>
      </c>
      <c r="F3724" t="s">
        <v>12863</v>
      </c>
      <c r="G3724" s="1">
        <v>38705</v>
      </c>
      <c r="I3724" t="s">
        <v>12886</v>
      </c>
      <c r="J3724" t="s">
        <v>19194</v>
      </c>
      <c r="K3724" t="s">
        <v>1892</v>
      </c>
      <c r="L3724" t="s">
        <v>19195</v>
      </c>
      <c r="M3724" t="s">
        <v>19196</v>
      </c>
      <c r="N3724" t="s">
        <v>19197</v>
      </c>
      <c r="O3724" t="s">
        <v>26</v>
      </c>
      <c r="P3724">
        <v>112.5</v>
      </c>
      <c r="Q3724">
        <v>93.75</v>
      </c>
      <c r="R3724">
        <v>75</v>
      </c>
      <c r="S3724">
        <v>112.5</v>
      </c>
      <c r="T3724" t="s">
        <v>19198</v>
      </c>
    </row>
    <row r="3725" spans="1:20">
      <c r="A3725">
        <v>3331785</v>
      </c>
      <c r="B3725" t="s">
        <v>19199</v>
      </c>
      <c r="C3725" t="str">
        <f>"9780773519077"</f>
        <v>9780773519077</v>
      </c>
      <c r="D3725" t="str">
        <f>"9780773574373"</f>
        <v>9780773574373</v>
      </c>
      <c r="E3725" t="s">
        <v>12863</v>
      </c>
      <c r="F3725" t="s">
        <v>12863</v>
      </c>
      <c r="G3725" s="1">
        <v>36832</v>
      </c>
      <c r="I3725" t="s">
        <v>19169</v>
      </c>
      <c r="J3725" t="s">
        <v>19200</v>
      </c>
      <c r="K3725" t="s">
        <v>1464</v>
      </c>
      <c r="L3725" t="s">
        <v>19201</v>
      </c>
      <c r="M3725" t="s">
        <v>1545</v>
      </c>
      <c r="N3725" t="s">
        <v>1546</v>
      </c>
      <c r="O3725" t="s">
        <v>26</v>
      </c>
      <c r="P3725">
        <v>25.43</v>
      </c>
      <c r="Q3725">
        <v>21.19</v>
      </c>
      <c r="R3725">
        <v>16.95</v>
      </c>
      <c r="S3725">
        <v>25.43</v>
      </c>
      <c r="T3725" t="s">
        <v>19202</v>
      </c>
    </row>
    <row r="3726" spans="1:20">
      <c r="A3726">
        <v>3331786</v>
      </c>
      <c r="B3726" t="s">
        <v>19203</v>
      </c>
      <c r="C3726" t="str">
        <f>"9780773526839"</f>
        <v>9780773526839</v>
      </c>
      <c r="D3726" t="str">
        <f>"9780773574403"</f>
        <v>9780773574403</v>
      </c>
      <c r="E3726" t="s">
        <v>12863</v>
      </c>
      <c r="F3726" t="s">
        <v>12863</v>
      </c>
      <c r="G3726" s="1">
        <v>37928</v>
      </c>
      <c r="I3726" t="s">
        <v>19169</v>
      </c>
      <c r="J3726" t="s">
        <v>14534</v>
      </c>
      <c r="K3726" t="s">
        <v>1464</v>
      </c>
      <c r="L3726" t="s">
        <v>19204</v>
      </c>
      <c r="M3726" t="s">
        <v>1545</v>
      </c>
      <c r="N3726" t="s">
        <v>19205</v>
      </c>
      <c r="O3726" t="s">
        <v>26</v>
      </c>
      <c r="P3726">
        <v>25.43</v>
      </c>
      <c r="Q3726">
        <v>21.19</v>
      </c>
      <c r="R3726">
        <v>16.95</v>
      </c>
      <c r="S3726">
        <v>25.43</v>
      </c>
      <c r="T3726" t="s">
        <v>19206</v>
      </c>
    </row>
    <row r="3727" spans="1:20">
      <c r="A3727">
        <v>3331787</v>
      </c>
      <c r="B3727" t="s">
        <v>19207</v>
      </c>
      <c r="C3727" t="str">
        <f>"9780773529984"</f>
        <v>9780773529984</v>
      </c>
      <c r="D3727" t="str">
        <f>"9780773574519"</f>
        <v>9780773574519</v>
      </c>
      <c r="E3727" t="s">
        <v>12863</v>
      </c>
      <c r="F3727" t="s">
        <v>12863</v>
      </c>
      <c r="G3727" s="1">
        <v>38566</v>
      </c>
      <c r="I3727" t="s">
        <v>19169</v>
      </c>
      <c r="J3727" t="s">
        <v>19208</v>
      </c>
      <c r="K3727" t="s">
        <v>1464</v>
      </c>
      <c r="L3727" t="s">
        <v>19209</v>
      </c>
      <c r="M3727" t="s">
        <v>1497</v>
      </c>
      <c r="O3727" t="s">
        <v>26</v>
      </c>
      <c r="P3727">
        <v>25.43</v>
      </c>
      <c r="Q3727">
        <v>21.19</v>
      </c>
      <c r="R3727">
        <v>16.95</v>
      </c>
      <c r="S3727">
        <v>25.43</v>
      </c>
      <c r="T3727" t="s">
        <v>19210</v>
      </c>
    </row>
    <row r="3728" spans="1:20">
      <c r="A3728">
        <v>3331788</v>
      </c>
      <c r="B3728" t="s">
        <v>19211</v>
      </c>
      <c r="C3728" t="str">
        <f>"9780773524491"</f>
        <v>9780773524491</v>
      </c>
      <c r="D3728" t="str">
        <f>"9780773574366"</f>
        <v>9780773574366</v>
      </c>
      <c r="E3728" t="s">
        <v>12863</v>
      </c>
      <c r="F3728" t="s">
        <v>12863</v>
      </c>
      <c r="G3728" s="1">
        <v>37461</v>
      </c>
      <c r="I3728" t="s">
        <v>19169</v>
      </c>
      <c r="J3728" t="s">
        <v>19212</v>
      </c>
      <c r="K3728" t="s">
        <v>1464</v>
      </c>
      <c r="L3728" t="s">
        <v>19213</v>
      </c>
      <c r="M3728" t="s">
        <v>1545</v>
      </c>
      <c r="O3728" t="s">
        <v>26</v>
      </c>
      <c r="P3728">
        <v>25.43</v>
      </c>
      <c r="Q3728">
        <v>21.19</v>
      </c>
      <c r="R3728">
        <v>16.95</v>
      </c>
      <c r="S3728">
        <v>25.43</v>
      </c>
      <c r="T3728" t="s">
        <v>19214</v>
      </c>
    </row>
    <row r="3729" spans="1:20">
      <c r="A3729">
        <v>3331789</v>
      </c>
      <c r="B3729" t="s">
        <v>19215</v>
      </c>
      <c r="C3729" t="str">
        <f>"9780773519091"</f>
        <v>9780773519091</v>
      </c>
      <c r="D3729" t="str">
        <f>"9780773574427"</f>
        <v>9780773574427</v>
      </c>
      <c r="E3729" t="s">
        <v>12863</v>
      </c>
      <c r="F3729" t="s">
        <v>12863</v>
      </c>
      <c r="G3729" s="1">
        <v>37222</v>
      </c>
      <c r="I3729" t="s">
        <v>19169</v>
      </c>
      <c r="J3729" t="s">
        <v>19216</v>
      </c>
      <c r="K3729" t="s">
        <v>1464</v>
      </c>
      <c r="L3729" t="s">
        <v>19217</v>
      </c>
      <c r="M3729" t="s">
        <v>1545</v>
      </c>
      <c r="N3729" t="s">
        <v>1546</v>
      </c>
      <c r="O3729" t="s">
        <v>26</v>
      </c>
      <c r="P3729">
        <v>25.43</v>
      </c>
      <c r="Q3729">
        <v>21.19</v>
      </c>
      <c r="R3729">
        <v>16.95</v>
      </c>
      <c r="S3729">
        <v>25.43</v>
      </c>
      <c r="T3729" t="s">
        <v>19218</v>
      </c>
    </row>
    <row r="3730" spans="1:20">
      <c r="A3730">
        <v>3331790</v>
      </c>
      <c r="B3730" t="s">
        <v>19219</v>
      </c>
      <c r="C3730" t="str">
        <f>"9780773520905"</f>
        <v>9780773520905</v>
      </c>
      <c r="D3730" t="str">
        <f>"9780773574472"</f>
        <v>9780773574472</v>
      </c>
      <c r="E3730" t="s">
        <v>12863</v>
      </c>
      <c r="F3730" t="s">
        <v>12863</v>
      </c>
      <c r="G3730" s="1">
        <v>36755</v>
      </c>
      <c r="J3730" t="s">
        <v>14307</v>
      </c>
      <c r="K3730" t="s">
        <v>1892</v>
      </c>
      <c r="L3730" t="s">
        <v>19220</v>
      </c>
      <c r="M3730" t="s">
        <v>19221</v>
      </c>
      <c r="N3730" t="s">
        <v>19222</v>
      </c>
      <c r="O3730" t="s">
        <v>26</v>
      </c>
      <c r="P3730">
        <v>44.93</v>
      </c>
      <c r="Q3730">
        <v>37.44</v>
      </c>
      <c r="R3730">
        <v>29.95</v>
      </c>
      <c r="S3730">
        <v>44.93</v>
      </c>
      <c r="T3730" t="s">
        <v>19223</v>
      </c>
    </row>
    <row r="3731" spans="1:20">
      <c r="A3731">
        <v>3331791</v>
      </c>
      <c r="B3731" t="s">
        <v>19224</v>
      </c>
      <c r="C3731" t="str">
        <f>"9780773529434"</f>
        <v>9780773529434</v>
      </c>
      <c r="D3731" t="str">
        <f>"9780773574380"</f>
        <v>9780773574380</v>
      </c>
      <c r="E3731" t="s">
        <v>12863</v>
      </c>
      <c r="F3731" t="s">
        <v>12863</v>
      </c>
      <c r="G3731" s="1">
        <v>38397</v>
      </c>
      <c r="J3731" t="s">
        <v>18331</v>
      </c>
      <c r="K3731" t="s">
        <v>1471</v>
      </c>
      <c r="L3731" t="s">
        <v>19225</v>
      </c>
      <c r="N3731" t="s">
        <v>19226</v>
      </c>
      <c r="O3731" t="s">
        <v>94</v>
      </c>
      <c r="P3731">
        <v>74.930000000000007</v>
      </c>
      <c r="Q3731">
        <v>62.44</v>
      </c>
      <c r="R3731">
        <v>49.95</v>
      </c>
      <c r="S3731">
        <v>74.930000000000007</v>
      </c>
      <c r="T3731" t="s">
        <v>19227</v>
      </c>
    </row>
    <row r="3732" spans="1:20">
      <c r="A3732">
        <v>3331792</v>
      </c>
      <c r="B3732" t="s">
        <v>19228</v>
      </c>
      <c r="C3732" t="str">
        <f>"9780773523357"</f>
        <v>9780773523357</v>
      </c>
      <c r="D3732" t="str">
        <f>"9780773570016"</f>
        <v>9780773570016</v>
      </c>
      <c r="E3732" t="s">
        <v>12863</v>
      </c>
      <c r="F3732" t="s">
        <v>12863</v>
      </c>
      <c r="G3732" s="1">
        <v>37294</v>
      </c>
      <c r="J3732" t="s">
        <v>19229</v>
      </c>
      <c r="K3732" t="s">
        <v>1471</v>
      </c>
      <c r="L3732" t="s">
        <v>19230</v>
      </c>
      <c r="M3732">
        <v>746.39719500000001</v>
      </c>
      <c r="N3732" t="s">
        <v>19231</v>
      </c>
      <c r="O3732" t="s">
        <v>26</v>
      </c>
      <c r="P3732">
        <v>74.930000000000007</v>
      </c>
      <c r="Q3732">
        <v>62.44</v>
      </c>
      <c r="R3732">
        <v>49.95</v>
      </c>
      <c r="S3732">
        <v>74.930000000000007</v>
      </c>
      <c r="T3732" t="s">
        <v>19232</v>
      </c>
    </row>
    <row r="3733" spans="1:20">
      <c r="A3733">
        <v>3331793</v>
      </c>
      <c r="B3733" t="s">
        <v>19233</v>
      </c>
      <c r="C3733" t="str">
        <f>"9780773525573"</f>
        <v>9780773525573</v>
      </c>
      <c r="D3733" t="str">
        <f>"9780773571150"</f>
        <v>9780773571150</v>
      </c>
      <c r="E3733" t="s">
        <v>12863</v>
      </c>
      <c r="F3733" t="s">
        <v>12863</v>
      </c>
      <c r="G3733" s="1">
        <v>37715</v>
      </c>
      <c r="J3733" t="s">
        <v>19234</v>
      </c>
      <c r="K3733" t="s">
        <v>291</v>
      </c>
      <c r="L3733" t="s">
        <v>19235</v>
      </c>
      <c r="N3733" t="s">
        <v>19236</v>
      </c>
      <c r="O3733" t="s">
        <v>26</v>
      </c>
      <c r="P3733">
        <v>262.5</v>
      </c>
      <c r="Q3733">
        <v>218.75</v>
      </c>
      <c r="R3733">
        <v>175</v>
      </c>
      <c r="S3733">
        <v>262.5</v>
      </c>
      <c r="T3733" t="s">
        <v>19237</v>
      </c>
    </row>
    <row r="3734" spans="1:20">
      <c r="A3734">
        <v>3331794</v>
      </c>
      <c r="B3734" t="s">
        <v>19238</v>
      </c>
      <c r="C3734" t="str">
        <f>"9780773522824"</f>
        <v>9780773522824</v>
      </c>
      <c r="D3734" t="str">
        <f>"9780773569737"</f>
        <v>9780773569737</v>
      </c>
      <c r="E3734" t="s">
        <v>12863</v>
      </c>
      <c r="F3734" t="s">
        <v>12863</v>
      </c>
      <c r="G3734" s="1">
        <v>37183</v>
      </c>
      <c r="J3734" t="s">
        <v>19239</v>
      </c>
      <c r="K3734" t="s">
        <v>291</v>
      </c>
      <c r="L3734" t="s">
        <v>19240</v>
      </c>
      <c r="M3734">
        <v>971.4</v>
      </c>
      <c r="N3734" t="s">
        <v>19241</v>
      </c>
      <c r="O3734" t="s">
        <v>26</v>
      </c>
      <c r="P3734">
        <v>49.43</v>
      </c>
      <c r="Q3734">
        <v>41.19</v>
      </c>
      <c r="R3734">
        <v>32.950000000000003</v>
      </c>
      <c r="S3734">
        <v>49.43</v>
      </c>
      <c r="T3734" t="s">
        <v>19242</v>
      </c>
    </row>
    <row r="3735" spans="1:20">
      <c r="A3735">
        <v>3331795</v>
      </c>
      <c r="B3735" t="s">
        <v>19243</v>
      </c>
      <c r="C3735" t="str">
        <f>"9780773517813"</f>
        <v>9780773517813</v>
      </c>
      <c r="D3735" t="str">
        <f>"9780773568419"</f>
        <v>9780773568419</v>
      </c>
      <c r="E3735" t="s">
        <v>12863</v>
      </c>
      <c r="F3735" t="s">
        <v>12863</v>
      </c>
      <c r="G3735" s="1">
        <v>37081</v>
      </c>
      <c r="J3735" t="s">
        <v>14307</v>
      </c>
      <c r="K3735" t="s">
        <v>1892</v>
      </c>
      <c r="L3735" t="s">
        <v>19244</v>
      </c>
      <c r="M3735">
        <v>220.6</v>
      </c>
      <c r="N3735" t="s">
        <v>19245</v>
      </c>
      <c r="O3735" t="s">
        <v>26</v>
      </c>
      <c r="P3735">
        <v>49.43</v>
      </c>
      <c r="Q3735">
        <v>41.19</v>
      </c>
      <c r="R3735">
        <v>32.950000000000003</v>
      </c>
      <c r="S3735">
        <v>49.43</v>
      </c>
      <c r="T3735" t="s">
        <v>19246</v>
      </c>
    </row>
    <row r="3736" spans="1:20">
      <c r="A3736">
        <v>3331796</v>
      </c>
      <c r="B3736" t="s">
        <v>19247</v>
      </c>
      <c r="C3736" t="str">
        <f>"9780773525580"</f>
        <v>9780773525580</v>
      </c>
      <c r="D3736" t="str">
        <f>"9780773571167"</f>
        <v>9780773571167</v>
      </c>
      <c r="E3736" t="s">
        <v>12863</v>
      </c>
      <c r="F3736" t="s">
        <v>12863</v>
      </c>
      <c r="G3736" s="1">
        <v>37715</v>
      </c>
      <c r="J3736" t="s">
        <v>19234</v>
      </c>
      <c r="K3736" t="s">
        <v>291</v>
      </c>
      <c r="L3736" t="s">
        <v>19248</v>
      </c>
      <c r="N3736" t="s">
        <v>19236</v>
      </c>
      <c r="O3736" t="s">
        <v>26</v>
      </c>
      <c r="P3736">
        <v>262.5</v>
      </c>
      <c r="Q3736">
        <v>218.75</v>
      </c>
      <c r="R3736">
        <v>175</v>
      </c>
      <c r="S3736">
        <v>262.5</v>
      </c>
      <c r="T3736" t="s">
        <v>19249</v>
      </c>
    </row>
    <row r="3737" spans="1:20">
      <c r="A3737">
        <v>3331797</v>
      </c>
      <c r="B3737" t="s">
        <v>19250</v>
      </c>
      <c r="C3737" t="str">
        <f>"9780773519060"</f>
        <v>9780773519060</v>
      </c>
      <c r="D3737" t="str">
        <f>"9780773568105"</f>
        <v>9780773568105</v>
      </c>
      <c r="E3737" t="s">
        <v>12863</v>
      </c>
      <c r="F3737" t="s">
        <v>12863</v>
      </c>
      <c r="G3737" s="1">
        <v>36616</v>
      </c>
      <c r="I3737" t="s">
        <v>19169</v>
      </c>
      <c r="J3737" t="s">
        <v>19251</v>
      </c>
      <c r="K3737" t="s">
        <v>1464</v>
      </c>
      <c r="L3737" t="s">
        <v>19252</v>
      </c>
      <c r="M3737">
        <v>811.6</v>
      </c>
      <c r="N3737" t="s">
        <v>19253</v>
      </c>
      <c r="O3737" t="s">
        <v>26</v>
      </c>
      <c r="P3737">
        <v>25.43</v>
      </c>
      <c r="Q3737">
        <v>21.19</v>
      </c>
      <c r="R3737">
        <v>16.95</v>
      </c>
      <c r="S3737">
        <v>25.43</v>
      </c>
      <c r="T3737" t="s">
        <v>19254</v>
      </c>
    </row>
    <row r="3738" spans="1:20">
      <c r="A3738">
        <v>3331798</v>
      </c>
      <c r="B3738" t="s">
        <v>19255</v>
      </c>
      <c r="C3738" t="str">
        <f>"9780773528253"</f>
        <v>9780773528253</v>
      </c>
      <c r="D3738" t="str">
        <f>"9780773572454"</f>
        <v>9780773572454</v>
      </c>
      <c r="E3738" t="s">
        <v>12863</v>
      </c>
      <c r="F3738" t="s">
        <v>12863</v>
      </c>
      <c r="G3738" s="1">
        <v>38216</v>
      </c>
      <c r="J3738" t="s">
        <v>19256</v>
      </c>
      <c r="K3738" t="s">
        <v>3230</v>
      </c>
      <c r="L3738" t="s">
        <v>19257</v>
      </c>
      <c r="M3738">
        <v>919.8904</v>
      </c>
      <c r="N3738" t="s">
        <v>19258</v>
      </c>
      <c r="O3738" t="s">
        <v>26</v>
      </c>
      <c r="P3738">
        <v>90</v>
      </c>
      <c r="Q3738">
        <v>75</v>
      </c>
      <c r="R3738">
        <v>60</v>
      </c>
      <c r="S3738">
        <v>90</v>
      </c>
      <c r="T3738" t="s">
        <v>19259</v>
      </c>
    </row>
    <row r="3739" spans="1:20">
      <c r="A3739">
        <v>3331799</v>
      </c>
      <c r="B3739" t="s">
        <v>19260</v>
      </c>
      <c r="C3739" t="str">
        <f>"9780773529496"</f>
        <v>9780773529496</v>
      </c>
      <c r="D3739" t="str">
        <f>"9780773573116"</f>
        <v>9780773573116</v>
      </c>
      <c r="E3739" t="s">
        <v>12907</v>
      </c>
      <c r="F3739" t="s">
        <v>12907</v>
      </c>
      <c r="G3739" s="1">
        <v>38540</v>
      </c>
      <c r="J3739" t="s">
        <v>19261</v>
      </c>
      <c r="K3739" t="s">
        <v>291</v>
      </c>
      <c r="L3739" t="s">
        <v>19262</v>
      </c>
      <c r="M3739" t="s">
        <v>19263</v>
      </c>
      <c r="N3739" t="s">
        <v>19264</v>
      </c>
      <c r="O3739" t="s">
        <v>26</v>
      </c>
      <c r="P3739">
        <v>90</v>
      </c>
      <c r="Q3739">
        <v>75</v>
      </c>
      <c r="R3739">
        <v>60</v>
      </c>
      <c r="S3739">
        <v>90</v>
      </c>
      <c r="T3739" t="s">
        <v>19265</v>
      </c>
    </row>
    <row r="3740" spans="1:20">
      <c r="A3740">
        <v>3331800</v>
      </c>
      <c r="B3740" t="s">
        <v>19266</v>
      </c>
      <c r="C3740" t="str">
        <f>"9780773519053"</f>
        <v>9780773519053</v>
      </c>
      <c r="D3740" t="str">
        <f>"9780773568099"</f>
        <v>9780773568099</v>
      </c>
      <c r="E3740" t="s">
        <v>12863</v>
      </c>
      <c r="F3740" t="s">
        <v>12863</v>
      </c>
      <c r="G3740" s="1">
        <v>36601</v>
      </c>
      <c r="I3740" t="s">
        <v>19169</v>
      </c>
      <c r="J3740" t="s">
        <v>19267</v>
      </c>
      <c r="K3740" t="s">
        <v>1464</v>
      </c>
      <c r="L3740" t="s">
        <v>19268</v>
      </c>
      <c r="M3740">
        <v>811.54</v>
      </c>
      <c r="N3740" t="s">
        <v>19253</v>
      </c>
      <c r="O3740" t="s">
        <v>26</v>
      </c>
      <c r="P3740">
        <v>25.43</v>
      </c>
      <c r="Q3740">
        <v>21.19</v>
      </c>
      <c r="R3740">
        <v>16.95</v>
      </c>
      <c r="S3740">
        <v>25.43</v>
      </c>
      <c r="T3740" t="s">
        <v>19269</v>
      </c>
    </row>
    <row r="3741" spans="1:20">
      <c r="A3741">
        <v>3331801</v>
      </c>
      <c r="B3741" t="s">
        <v>19270</v>
      </c>
      <c r="C3741" t="str">
        <f>"9780773525979"</f>
        <v>9780773525979</v>
      </c>
      <c r="D3741" t="str">
        <f>"9780773571365"</f>
        <v>9780773571365</v>
      </c>
      <c r="E3741" t="s">
        <v>12863</v>
      </c>
      <c r="F3741" t="s">
        <v>12863</v>
      </c>
      <c r="G3741" s="1">
        <v>37839</v>
      </c>
      <c r="H3741">
        <v>2</v>
      </c>
      <c r="J3741" t="s">
        <v>19271</v>
      </c>
      <c r="K3741" t="s">
        <v>1464</v>
      </c>
      <c r="L3741" t="s">
        <v>19272</v>
      </c>
      <c r="M3741" t="s">
        <v>19273</v>
      </c>
      <c r="N3741" t="s">
        <v>19274</v>
      </c>
      <c r="O3741" t="s">
        <v>26</v>
      </c>
      <c r="P3741">
        <v>49.43</v>
      </c>
      <c r="Q3741">
        <v>41.19</v>
      </c>
      <c r="R3741">
        <v>32.950000000000003</v>
      </c>
      <c r="S3741">
        <v>49.43</v>
      </c>
      <c r="T3741" t="s">
        <v>19275</v>
      </c>
    </row>
    <row r="3742" spans="1:20">
      <c r="A3742">
        <v>3331802</v>
      </c>
      <c r="B3742" t="s">
        <v>19276</v>
      </c>
      <c r="C3742" t="str">
        <f>"9780773519107"</f>
        <v>9780773519107</v>
      </c>
      <c r="D3742" t="str">
        <f>"9780773568129"</f>
        <v>9780773568129</v>
      </c>
      <c r="E3742" t="s">
        <v>12863</v>
      </c>
      <c r="F3742" t="s">
        <v>12863</v>
      </c>
      <c r="G3742" s="1">
        <v>37342</v>
      </c>
      <c r="I3742" t="s">
        <v>19169</v>
      </c>
      <c r="J3742" t="s">
        <v>19277</v>
      </c>
      <c r="K3742" t="s">
        <v>1464</v>
      </c>
      <c r="L3742" t="s">
        <v>19278</v>
      </c>
      <c r="M3742">
        <v>811.54</v>
      </c>
      <c r="N3742" t="s">
        <v>19279</v>
      </c>
      <c r="O3742" t="s">
        <v>26</v>
      </c>
      <c r="P3742">
        <v>25.43</v>
      </c>
      <c r="Q3742">
        <v>21.19</v>
      </c>
      <c r="R3742">
        <v>16.95</v>
      </c>
      <c r="S3742">
        <v>25.43</v>
      </c>
      <c r="T3742" t="s">
        <v>19280</v>
      </c>
    </row>
    <row r="3743" spans="1:20">
      <c r="A3743">
        <v>3331803</v>
      </c>
      <c r="B3743" t="s">
        <v>19281</v>
      </c>
      <c r="C3743" t="str">
        <f>"9780773525221"</f>
        <v>9780773525221</v>
      </c>
      <c r="D3743" t="str">
        <f>"9780773570924"</f>
        <v>9780773570924</v>
      </c>
      <c r="E3743" t="s">
        <v>12863</v>
      </c>
      <c r="F3743" t="s">
        <v>12863</v>
      </c>
      <c r="G3743" s="1">
        <v>37538</v>
      </c>
      <c r="J3743" t="s">
        <v>19282</v>
      </c>
      <c r="K3743" t="s">
        <v>291</v>
      </c>
      <c r="L3743" t="s">
        <v>19283</v>
      </c>
      <c r="M3743">
        <v>949.71019999999999</v>
      </c>
      <c r="N3743" t="s">
        <v>19284</v>
      </c>
      <c r="O3743" t="s">
        <v>26</v>
      </c>
      <c r="P3743">
        <v>127.5</v>
      </c>
      <c r="Q3743">
        <v>106.25</v>
      </c>
      <c r="R3743">
        <v>85</v>
      </c>
      <c r="S3743">
        <v>127.5</v>
      </c>
      <c r="T3743" t="s">
        <v>19285</v>
      </c>
    </row>
    <row r="3744" spans="1:20">
      <c r="A3744">
        <v>3331804</v>
      </c>
      <c r="B3744" t="s">
        <v>19286</v>
      </c>
      <c r="C3744" t="str">
        <f>"9780773525566"</f>
        <v>9780773525566</v>
      </c>
      <c r="D3744" t="str">
        <f>"9780773571143"</f>
        <v>9780773571143</v>
      </c>
      <c r="E3744" t="s">
        <v>12907</v>
      </c>
      <c r="F3744" t="s">
        <v>12907</v>
      </c>
      <c r="G3744" s="1">
        <v>37591</v>
      </c>
      <c r="J3744" t="s">
        <v>19234</v>
      </c>
      <c r="K3744" t="s">
        <v>291</v>
      </c>
      <c r="L3744" t="s">
        <v>19287</v>
      </c>
      <c r="N3744" t="s">
        <v>19236</v>
      </c>
      <c r="O3744" t="s">
        <v>26</v>
      </c>
      <c r="P3744">
        <v>262.5</v>
      </c>
      <c r="Q3744">
        <v>218.75</v>
      </c>
      <c r="R3744">
        <v>175</v>
      </c>
      <c r="S3744">
        <v>262.5</v>
      </c>
      <c r="T3744" t="s">
        <v>19288</v>
      </c>
    </row>
    <row r="3745" spans="1:20">
      <c r="A3745">
        <v>3331805</v>
      </c>
      <c r="B3745" t="s">
        <v>19289</v>
      </c>
      <c r="C3745" t="str">
        <f>"9780773524583"</f>
        <v>9780773524583</v>
      </c>
      <c r="D3745" t="str">
        <f>"9780773574328"</f>
        <v>9780773574328</v>
      </c>
      <c r="E3745" t="s">
        <v>12863</v>
      </c>
      <c r="F3745" t="s">
        <v>12863</v>
      </c>
      <c r="G3745" s="1">
        <v>37538</v>
      </c>
      <c r="J3745" t="s">
        <v>19290</v>
      </c>
      <c r="K3745" t="s">
        <v>291</v>
      </c>
      <c r="L3745" t="s">
        <v>19291</v>
      </c>
      <c r="M3745">
        <v>979.5</v>
      </c>
      <c r="N3745" t="s">
        <v>19292</v>
      </c>
      <c r="O3745" t="s">
        <v>26</v>
      </c>
      <c r="P3745">
        <v>127.5</v>
      </c>
      <c r="Q3745">
        <v>106.25</v>
      </c>
      <c r="R3745">
        <v>85</v>
      </c>
      <c r="S3745">
        <v>127.5</v>
      </c>
      <c r="T3745" t="s">
        <v>19293</v>
      </c>
    </row>
    <row r="3746" spans="1:20">
      <c r="A3746">
        <v>3331806</v>
      </c>
      <c r="B3746" t="s">
        <v>19294</v>
      </c>
      <c r="C3746" t="str">
        <f>"9780773525429"</f>
        <v>9780773525429</v>
      </c>
      <c r="D3746" t="str">
        <f>"9780773571051"</f>
        <v>9780773571051</v>
      </c>
      <c r="E3746" t="s">
        <v>12863</v>
      </c>
      <c r="F3746" t="s">
        <v>12863</v>
      </c>
      <c r="G3746" s="1">
        <v>37532</v>
      </c>
      <c r="J3746" t="s">
        <v>19295</v>
      </c>
      <c r="K3746" t="s">
        <v>291</v>
      </c>
      <c r="L3746" t="s">
        <v>19296</v>
      </c>
      <c r="M3746">
        <v>941.50810920000004</v>
      </c>
      <c r="N3746" t="s">
        <v>19297</v>
      </c>
      <c r="O3746" t="s">
        <v>26</v>
      </c>
      <c r="P3746">
        <v>142.5</v>
      </c>
      <c r="Q3746">
        <v>118.75</v>
      </c>
      <c r="R3746">
        <v>95</v>
      </c>
      <c r="S3746">
        <v>142.5</v>
      </c>
      <c r="T3746" t="s">
        <v>19298</v>
      </c>
    </row>
    <row r="3747" spans="1:20">
      <c r="A3747">
        <v>3331807</v>
      </c>
      <c r="B3747" t="s">
        <v>19299</v>
      </c>
      <c r="C3747" t="str">
        <f>"9780773524200"</f>
        <v>9780773524200</v>
      </c>
      <c r="D3747" t="str">
        <f>"9780773570481"</f>
        <v>9780773570481</v>
      </c>
      <c r="E3747" t="s">
        <v>12863</v>
      </c>
      <c r="F3747" t="s">
        <v>12863</v>
      </c>
      <c r="G3747" s="1">
        <v>37712</v>
      </c>
      <c r="J3747" t="s">
        <v>10265</v>
      </c>
      <c r="K3747" t="s">
        <v>1464</v>
      </c>
      <c r="L3747" t="s">
        <v>19300</v>
      </c>
      <c r="N3747" t="s">
        <v>19301</v>
      </c>
      <c r="O3747" t="s">
        <v>26</v>
      </c>
      <c r="P3747">
        <v>127.5</v>
      </c>
      <c r="Q3747">
        <v>106.25</v>
      </c>
      <c r="R3747">
        <v>85</v>
      </c>
      <c r="S3747">
        <v>127.5</v>
      </c>
      <c r="T3747" t="s">
        <v>19302</v>
      </c>
    </row>
    <row r="3748" spans="1:20">
      <c r="A3748">
        <v>3331808</v>
      </c>
      <c r="B3748" t="s">
        <v>19303</v>
      </c>
      <c r="C3748" t="str">
        <f>"9780773523852"</f>
        <v>9780773523852</v>
      </c>
      <c r="D3748" t="str">
        <f>"9780773570306"</f>
        <v>9780773570306</v>
      </c>
      <c r="E3748" t="s">
        <v>12863</v>
      </c>
      <c r="F3748" t="s">
        <v>12863</v>
      </c>
      <c r="G3748" s="1">
        <v>37838</v>
      </c>
      <c r="J3748" t="s">
        <v>19304</v>
      </c>
      <c r="K3748" t="s">
        <v>291</v>
      </c>
      <c r="L3748" t="s">
        <v>19305</v>
      </c>
      <c r="M3748">
        <v>949.70299999999997</v>
      </c>
      <c r="N3748" t="s">
        <v>19306</v>
      </c>
      <c r="O3748" t="s">
        <v>26</v>
      </c>
      <c r="P3748">
        <v>127.5</v>
      </c>
      <c r="Q3748">
        <v>106.25</v>
      </c>
      <c r="R3748">
        <v>85</v>
      </c>
      <c r="S3748">
        <v>127.5</v>
      </c>
      <c r="T3748" t="s">
        <v>19307</v>
      </c>
    </row>
    <row r="3749" spans="1:20">
      <c r="A3749">
        <v>3331809</v>
      </c>
      <c r="B3749" t="s">
        <v>19308</v>
      </c>
      <c r="C3749" t="str">
        <f>"9780773524989"</f>
        <v>9780773524989</v>
      </c>
      <c r="D3749" t="str">
        <f>"9780773570764"</f>
        <v>9780773570764</v>
      </c>
      <c r="E3749" t="s">
        <v>12863</v>
      </c>
      <c r="F3749" t="s">
        <v>12863</v>
      </c>
      <c r="G3749" s="1">
        <v>37580</v>
      </c>
      <c r="J3749" t="s">
        <v>19309</v>
      </c>
      <c r="K3749" t="s">
        <v>291</v>
      </c>
      <c r="L3749" t="s">
        <v>19310</v>
      </c>
      <c r="M3749" t="s">
        <v>19311</v>
      </c>
      <c r="N3749" t="s">
        <v>19312</v>
      </c>
      <c r="O3749" t="s">
        <v>26</v>
      </c>
      <c r="P3749">
        <v>90</v>
      </c>
      <c r="Q3749">
        <v>75</v>
      </c>
      <c r="R3749">
        <v>60</v>
      </c>
      <c r="S3749">
        <v>90</v>
      </c>
      <c r="T3749" t="s">
        <v>19313</v>
      </c>
    </row>
    <row r="3750" spans="1:20">
      <c r="A3750">
        <v>3331810</v>
      </c>
      <c r="B3750" t="s">
        <v>19314</v>
      </c>
      <c r="C3750" t="str">
        <f>"9780773527751"</f>
        <v>9780773527751</v>
      </c>
      <c r="D3750" t="str">
        <f>"9780773567580"</f>
        <v>9780773567580</v>
      </c>
      <c r="E3750" t="s">
        <v>12863</v>
      </c>
      <c r="F3750" t="s">
        <v>12863</v>
      </c>
      <c r="G3750" s="1">
        <v>36028</v>
      </c>
      <c r="I3750" t="s">
        <v>12942</v>
      </c>
      <c r="J3750" t="s">
        <v>19315</v>
      </c>
      <c r="K3750" t="s">
        <v>291</v>
      </c>
      <c r="L3750" t="s">
        <v>19316</v>
      </c>
      <c r="M3750">
        <v>971.46004916000004</v>
      </c>
      <c r="N3750" t="s">
        <v>19317</v>
      </c>
      <c r="O3750" t="s">
        <v>26</v>
      </c>
      <c r="P3750">
        <v>120</v>
      </c>
      <c r="Q3750">
        <v>100</v>
      </c>
      <c r="R3750">
        <v>80</v>
      </c>
      <c r="S3750">
        <v>120</v>
      </c>
      <c r="T3750" t="s">
        <v>19318</v>
      </c>
    </row>
    <row r="3751" spans="1:20">
      <c r="A3751">
        <v>3331811</v>
      </c>
      <c r="B3751" t="s">
        <v>19319</v>
      </c>
      <c r="C3751" t="str">
        <f>"9780773530072"</f>
        <v>9780773530072</v>
      </c>
      <c r="D3751" t="str">
        <f>"9780773573277"</f>
        <v>9780773573277</v>
      </c>
      <c r="E3751" t="s">
        <v>12863</v>
      </c>
      <c r="F3751" t="s">
        <v>12863</v>
      </c>
      <c r="G3751" s="1">
        <v>38630</v>
      </c>
      <c r="J3751" t="s">
        <v>19320</v>
      </c>
      <c r="K3751" t="s">
        <v>1464</v>
      </c>
      <c r="L3751" t="s">
        <v>19321</v>
      </c>
      <c r="M3751">
        <v>810.98951</v>
      </c>
      <c r="N3751" t="s">
        <v>19322</v>
      </c>
      <c r="O3751" t="s">
        <v>26</v>
      </c>
      <c r="P3751">
        <v>120</v>
      </c>
      <c r="Q3751">
        <v>100</v>
      </c>
      <c r="R3751">
        <v>80</v>
      </c>
      <c r="S3751">
        <v>120</v>
      </c>
      <c r="T3751" t="s">
        <v>19323</v>
      </c>
    </row>
    <row r="3752" spans="1:20">
      <c r="A3752">
        <v>3331812</v>
      </c>
      <c r="B3752" t="s">
        <v>19324</v>
      </c>
      <c r="C3752" t="str">
        <f>"9780773525511"</f>
        <v>9780773525511</v>
      </c>
      <c r="D3752" t="str">
        <f>"9780773571105"</f>
        <v>9780773571105</v>
      </c>
      <c r="E3752" t="s">
        <v>12863</v>
      </c>
      <c r="F3752" t="s">
        <v>12863</v>
      </c>
      <c r="G3752" s="1">
        <v>37826</v>
      </c>
      <c r="K3752" t="s">
        <v>1464</v>
      </c>
      <c r="L3752" t="s">
        <v>19325</v>
      </c>
      <c r="M3752">
        <v>810.98950000000002</v>
      </c>
      <c r="N3752" t="s">
        <v>19326</v>
      </c>
      <c r="O3752" t="s">
        <v>26</v>
      </c>
      <c r="P3752">
        <v>127.5</v>
      </c>
      <c r="Q3752">
        <v>106.25</v>
      </c>
      <c r="R3752">
        <v>85</v>
      </c>
      <c r="S3752">
        <v>127.5</v>
      </c>
      <c r="T3752" t="s">
        <v>19327</v>
      </c>
    </row>
    <row r="3753" spans="1:20">
      <c r="A3753">
        <v>3331813</v>
      </c>
      <c r="B3753" t="s">
        <v>19328</v>
      </c>
      <c r="C3753" t="str">
        <f>"9780773523340"</f>
        <v>9780773523340</v>
      </c>
      <c r="D3753" t="str">
        <f>"9780773570009"</f>
        <v>9780773570009</v>
      </c>
      <c r="E3753" t="s">
        <v>12863</v>
      </c>
      <c r="F3753" t="s">
        <v>12863</v>
      </c>
      <c r="G3753" s="1">
        <v>37174</v>
      </c>
      <c r="J3753" t="s">
        <v>19329</v>
      </c>
      <c r="K3753" t="s">
        <v>291</v>
      </c>
      <c r="L3753" t="s">
        <v>19330</v>
      </c>
      <c r="M3753" t="s">
        <v>19331</v>
      </c>
      <c r="N3753" t="s">
        <v>19332</v>
      </c>
      <c r="O3753" t="s">
        <v>26</v>
      </c>
      <c r="P3753">
        <v>97.5</v>
      </c>
      <c r="Q3753">
        <v>81.25</v>
      </c>
      <c r="R3753">
        <v>65</v>
      </c>
      <c r="S3753">
        <v>97.5</v>
      </c>
      <c r="T3753" t="s">
        <v>19333</v>
      </c>
    </row>
    <row r="3754" spans="1:20">
      <c r="A3754">
        <v>3331814</v>
      </c>
      <c r="B3754" t="s">
        <v>19334</v>
      </c>
      <c r="C3754" t="str">
        <f>"9780773522237"</f>
        <v>9780773522237</v>
      </c>
      <c r="D3754" t="str">
        <f>"9780773569423"</f>
        <v>9780773569423</v>
      </c>
      <c r="E3754" t="s">
        <v>12863</v>
      </c>
      <c r="F3754" t="s">
        <v>12863</v>
      </c>
      <c r="G3754" s="1">
        <v>36951</v>
      </c>
      <c r="J3754" t="s">
        <v>19335</v>
      </c>
      <c r="K3754" t="s">
        <v>4347</v>
      </c>
      <c r="L3754" t="s">
        <v>19336</v>
      </c>
      <c r="N3754" t="s">
        <v>19337</v>
      </c>
      <c r="O3754" t="s">
        <v>26</v>
      </c>
      <c r="P3754">
        <v>127.5</v>
      </c>
      <c r="Q3754">
        <v>106.25</v>
      </c>
      <c r="R3754">
        <v>85</v>
      </c>
      <c r="S3754">
        <v>127.5</v>
      </c>
      <c r="T3754" t="s">
        <v>19338</v>
      </c>
    </row>
    <row r="3755" spans="1:20">
      <c r="A3755">
        <v>3331815</v>
      </c>
      <c r="B3755" t="s">
        <v>19339</v>
      </c>
      <c r="C3755" t="str">
        <f>"9780773520202"</f>
        <v>9780773520202</v>
      </c>
      <c r="D3755" t="str">
        <f>"9780773568235"</f>
        <v>9780773568235</v>
      </c>
      <c r="E3755" t="s">
        <v>12907</v>
      </c>
      <c r="F3755" t="s">
        <v>12907</v>
      </c>
      <c r="G3755" s="1">
        <v>36495</v>
      </c>
      <c r="J3755" t="s">
        <v>19340</v>
      </c>
      <c r="K3755" t="s">
        <v>4081</v>
      </c>
      <c r="L3755" t="s">
        <v>19341</v>
      </c>
      <c r="N3755" t="s">
        <v>19342</v>
      </c>
      <c r="O3755" t="s">
        <v>26</v>
      </c>
      <c r="P3755">
        <v>112.5</v>
      </c>
      <c r="Q3755">
        <v>93.75</v>
      </c>
      <c r="R3755">
        <v>75</v>
      </c>
      <c r="S3755">
        <v>112.5</v>
      </c>
      <c r="T3755" t="s">
        <v>19343</v>
      </c>
    </row>
    <row r="3756" spans="1:20">
      <c r="A3756">
        <v>3331816</v>
      </c>
      <c r="B3756" t="s">
        <v>19344</v>
      </c>
      <c r="C3756" t="str">
        <f>"9780773526709"</f>
        <v>9780773526709</v>
      </c>
      <c r="D3756" t="str">
        <f>"9780773571747"</f>
        <v>9780773571747</v>
      </c>
      <c r="E3756" t="s">
        <v>12863</v>
      </c>
      <c r="F3756" t="s">
        <v>12863</v>
      </c>
      <c r="G3756" s="1">
        <v>37881</v>
      </c>
      <c r="J3756" t="s">
        <v>19345</v>
      </c>
      <c r="K3756" t="s">
        <v>291</v>
      </c>
      <c r="L3756" t="s">
        <v>19346</v>
      </c>
      <c r="M3756">
        <v>941.70809999999994</v>
      </c>
      <c r="N3756" t="s">
        <v>19347</v>
      </c>
      <c r="O3756" t="s">
        <v>26</v>
      </c>
      <c r="P3756">
        <v>34.43</v>
      </c>
      <c r="Q3756">
        <v>28.69</v>
      </c>
      <c r="R3756">
        <v>22.95</v>
      </c>
      <c r="S3756">
        <v>34.43</v>
      </c>
      <c r="T3756" t="s">
        <v>19348</v>
      </c>
    </row>
    <row r="3757" spans="1:20">
      <c r="A3757">
        <v>3331817</v>
      </c>
      <c r="B3757" t="s">
        <v>19349</v>
      </c>
      <c r="C3757" t="str">
        <f>"9780773519084"</f>
        <v>9780773519084</v>
      </c>
      <c r="D3757" t="str">
        <f>"9780773568112"</f>
        <v>9780773568112</v>
      </c>
      <c r="E3757" t="s">
        <v>12863</v>
      </c>
      <c r="F3757" t="s">
        <v>12863</v>
      </c>
      <c r="G3757" s="1">
        <v>36858</v>
      </c>
      <c r="I3757" t="s">
        <v>19169</v>
      </c>
      <c r="J3757" t="s">
        <v>19350</v>
      </c>
      <c r="K3757" t="s">
        <v>1464</v>
      </c>
      <c r="L3757" t="s">
        <v>19351</v>
      </c>
      <c r="M3757">
        <v>811.6</v>
      </c>
      <c r="N3757" t="s">
        <v>19253</v>
      </c>
      <c r="O3757" t="s">
        <v>26</v>
      </c>
      <c r="P3757">
        <v>25.43</v>
      </c>
      <c r="Q3757">
        <v>21.19</v>
      </c>
      <c r="R3757">
        <v>16.95</v>
      </c>
      <c r="S3757">
        <v>25.43</v>
      </c>
      <c r="T3757" t="s">
        <v>19352</v>
      </c>
    </row>
    <row r="3758" spans="1:20">
      <c r="A3758">
        <v>3331818</v>
      </c>
      <c r="B3758" t="s">
        <v>19353</v>
      </c>
      <c r="C3758" t="str">
        <f>"9780773526815"</f>
        <v>9780773526815</v>
      </c>
      <c r="D3758" t="str">
        <f>"9780773571761"</f>
        <v>9780773571761</v>
      </c>
      <c r="E3758" t="s">
        <v>12863</v>
      </c>
      <c r="F3758" t="s">
        <v>12863</v>
      </c>
      <c r="G3758" s="1">
        <v>37987</v>
      </c>
      <c r="I3758" t="s">
        <v>19093</v>
      </c>
      <c r="J3758" t="s">
        <v>19354</v>
      </c>
      <c r="K3758" t="s">
        <v>1859</v>
      </c>
      <c r="L3758" t="s">
        <v>19355</v>
      </c>
      <c r="M3758" t="s">
        <v>19356</v>
      </c>
      <c r="N3758" t="s">
        <v>19357</v>
      </c>
      <c r="O3758" t="s">
        <v>26</v>
      </c>
      <c r="P3758">
        <v>150</v>
      </c>
      <c r="R3758">
        <v>100</v>
      </c>
      <c r="T3758" t="s">
        <v>19358</v>
      </c>
    </row>
    <row r="3759" spans="1:20">
      <c r="A3759">
        <v>3331819</v>
      </c>
      <c r="B3759" t="s">
        <v>19359</v>
      </c>
      <c r="C3759" t="str">
        <f>"9780773521438"</f>
        <v>9780773521438</v>
      </c>
      <c r="D3759" t="str">
        <f>"9780773568938"</f>
        <v>9780773568938</v>
      </c>
      <c r="E3759" t="s">
        <v>12863</v>
      </c>
      <c r="F3759" t="s">
        <v>12863</v>
      </c>
      <c r="G3759" s="1">
        <v>36936</v>
      </c>
      <c r="J3759" t="s">
        <v>19360</v>
      </c>
      <c r="K3759" t="s">
        <v>19361</v>
      </c>
      <c r="L3759" t="s">
        <v>19362</v>
      </c>
      <c r="M3759">
        <v>303.483</v>
      </c>
      <c r="N3759" t="s">
        <v>19363</v>
      </c>
      <c r="O3759" t="s">
        <v>26</v>
      </c>
      <c r="P3759">
        <v>127.5</v>
      </c>
      <c r="Q3759">
        <v>106.25</v>
      </c>
      <c r="R3759">
        <v>85</v>
      </c>
      <c r="S3759">
        <v>127.5</v>
      </c>
      <c r="T3759" t="s">
        <v>19364</v>
      </c>
    </row>
    <row r="3760" spans="1:20">
      <c r="A3760">
        <v>3331820</v>
      </c>
      <c r="B3760" t="s">
        <v>19365</v>
      </c>
      <c r="C3760" t="str">
        <f>"9780773530089"</f>
        <v>9780773530089</v>
      </c>
      <c r="D3760" t="str">
        <f>"9780773573284"</f>
        <v>9780773573284</v>
      </c>
      <c r="E3760" t="s">
        <v>12863</v>
      </c>
      <c r="F3760" t="s">
        <v>12863</v>
      </c>
      <c r="G3760" s="1">
        <v>38649</v>
      </c>
      <c r="J3760" t="s">
        <v>19366</v>
      </c>
      <c r="K3760" t="s">
        <v>263</v>
      </c>
      <c r="L3760" t="s">
        <v>19367</v>
      </c>
      <c r="M3760">
        <v>391.00899700999997</v>
      </c>
      <c r="N3760" t="s">
        <v>19368</v>
      </c>
      <c r="O3760" t="s">
        <v>26</v>
      </c>
      <c r="P3760">
        <v>74.930000000000007</v>
      </c>
      <c r="Q3760">
        <v>62.44</v>
      </c>
      <c r="R3760">
        <v>49.95</v>
      </c>
      <c r="S3760">
        <v>74.930000000000007</v>
      </c>
      <c r="T3760" t="s">
        <v>19369</v>
      </c>
    </row>
    <row r="3761" spans="1:20">
      <c r="A3761">
        <v>3331821</v>
      </c>
      <c r="B3761" t="s">
        <v>19370</v>
      </c>
      <c r="C3761" t="str">
        <f>"9780773522121"</f>
        <v>9780773522121</v>
      </c>
      <c r="D3761" t="str">
        <f>"9780773569362"</f>
        <v>9780773569362</v>
      </c>
      <c r="E3761" t="s">
        <v>12863</v>
      </c>
      <c r="F3761" t="s">
        <v>12863</v>
      </c>
      <c r="G3761" s="1">
        <v>36851</v>
      </c>
      <c r="I3761" t="s">
        <v>12942</v>
      </c>
      <c r="J3761" t="s">
        <v>19371</v>
      </c>
      <c r="K3761" t="s">
        <v>550</v>
      </c>
      <c r="L3761" t="s">
        <v>19372</v>
      </c>
      <c r="M3761" t="s">
        <v>19373</v>
      </c>
      <c r="N3761" t="s">
        <v>19374</v>
      </c>
      <c r="O3761" t="s">
        <v>26</v>
      </c>
      <c r="P3761">
        <v>127.5</v>
      </c>
      <c r="Q3761">
        <v>106.25</v>
      </c>
      <c r="R3761">
        <v>85</v>
      </c>
      <c r="S3761">
        <v>127.5</v>
      </c>
      <c r="T3761" t="s">
        <v>19375</v>
      </c>
    </row>
    <row r="3762" spans="1:20">
      <c r="A3762">
        <v>3331822</v>
      </c>
      <c r="B3762" t="s">
        <v>19376</v>
      </c>
      <c r="C3762" t="str">
        <f>"9780773522336"</f>
        <v>9780773522336</v>
      </c>
      <c r="D3762" t="str">
        <f>"9780773572799"</f>
        <v>9780773572799</v>
      </c>
      <c r="E3762" t="s">
        <v>12907</v>
      </c>
      <c r="F3762" t="s">
        <v>12907</v>
      </c>
      <c r="G3762" s="1">
        <v>36861</v>
      </c>
      <c r="J3762" t="s">
        <v>19377</v>
      </c>
      <c r="K3762" t="s">
        <v>263</v>
      </c>
      <c r="L3762" t="s">
        <v>19378</v>
      </c>
      <c r="N3762" t="s">
        <v>19379</v>
      </c>
      <c r="O3762" t="s">
        <v>26</v>
      </c>
      <c r="P3762">
        <v>112.5</v>
      </c>
      <c r="Q3762">
        <v>93.75</v>
      </c>
      <c r="R3762">
        <v>75</v>
      </c>
      <c r="S3762">
        <v>112.5</v>
      </c>
      <c r="T3762" t="s">
        <v>19380</v>
      </c>
    </row>
    <row r="3763" spans="1:20">
      <c r="A3763">
        <v>3331823</v>
      </c>
      <c r="B3763" t="s">
        <v>19381</v>
      </c>
      <c r="C3763" t="str">
        <f>"9780773526570"</f>
        <v>9780773526570</v>
      </c>
      <c r="D3763" t="str">
        <f>"9780773571679"</f>
        <v>9780773571679</v>
      </c>
      <c r="E3763" t="s">
        <v>12863</v>
      </c>
      <c r="F3763" t="s">
        <v>12863</v>
      </c>
      <c r="G3763" s="1">
        <v>37887</v>
      </c>
      <c r="J3763" t="s">
        <v>19382</v>
      </c>
      <c r="K3763" t="s">
        <v>263</v>
      </c>
      <c r="L3763" t="s">
        <v>19383</v>
      </c>
      <c r="M3763">
        <v>303.39999999999998</v>
      </c>
      <c r="N3763" t="s">
        <v>19384</v>
      </c>
      <c r="O3763" t="s">
        <v>26</v>
      </c>
      <c r="P3763">
        <v>41.93</v>
      </c>
      <c r="Q3763">
        <v>34.94</v>
      </c>
      <c r="R3763">
        <v>27.95</v>
      </c>
      <c r="S3763">
        <v>41.93</v>
      </c>
      <c r="T3763" t="s">
        <v>19385</v>
      </c>
    </row>
    <row r="3764" spans="1:20">
      <c r="A3764">
        <v>3331824</v>
      </c>
      <c r="B3764" t="s">
        <v>19386</v>
      </c>
      <c r="C3764" t="str">
        <f>"9780773526556"</f>
        <v>9780773526556</v>
      </c>
      <c r="D3764" t="str">
        <f>"9780773571662"</f>
        <v>9780773571662</v>
      </c>
      <c r="E3764" t="s">
        <v>12863</v>
      </c>
      <c r="F3764" t="s">
        <v>12863</v>
      </c>
      <c r="G3764" s="1">
        <v>37847</v>
      </c>
      <c r="J3764" t="s">
        <v>19387</v>
      </c>
      <c r="K3764" t="s">
        <v>1394</v>
      </c>
      <c r="L3764" t="s">
        <v>19388</v>
      </c>
      <c r="M3764" t="s">
        <v>19389</v>
      </c>
      <c r="N3764" t="s">
        <v>19390</v>
      </c>
      <c r="O3764" t="s">
        <v>26</v>
      </c>
      <c r="P3764">
        <v>127.5</v>
      </c>
      <c r="Q3764">
        <v>106.25</v>
      </c>
      <c r="R3764">
        <v>85</v>
      </c>
      <c r="S3764">
        <v>127.5</v>
      </c>
      <c r="T3764" t="s">
        <v>19391</v>
      </c>
    </row>
    <row r="3765" spans="1:20">
      <c r="A3765">
        <v>3331825</v>
      </c>
      <c r="B3765" t="s">
        <v>19392</v>
      </c>
      <c r="C3765" t="str">
        <f>"9780773526716"</f>
        <v>9780773526716</v>
      </c>
      <c r="D3765" t="str">
        <f>"9780773571754"</f>
        <v>9780773571754</v>
      </c>
      <c r="E3765" t="s">
        <v>12863</v>
      </c>
      <c r="F3765" t="s">
        <v>12863</v>
      </c>
      <c r="G3765" s="1">
        <v>37890</v>
      </c>
      <c r="K3765" t="s">
        <v>1530</v>
      </c>
      <c r="L3765" t="s">
        <v>19393</v>
      </c>
      <c r="M3765">
        <v>303.49</v>
      </c>
      <c r="N3765" t="s">
        <v>19394</v>
      </c>
      <c r="O3765" t="s">
        <v>26</v>
      </c>
      <c r="P3765">
        <v>127.5</v>
      </c>
      <c r="Q3765">
        <v>106.25</v>
      </c>
      <c r="R3765">
        <v>85</v>
      </c>
      <c r="S3765">
        <v>127.5</v>
      </c>
      <c r="T3765" t="s">
        <v>19395</v>
      </c>
    </row>
    <row r="3766" spans="1:20">
      <c r="A3766">
        <v>3331826</v>
      </c>
      <c r="B3766" t="s">
        <v>19396</v>
      </c>
      <c r="C3766" t="str">
        <f>"9780773527348"</f>
        <v>9780773527348</v>
      </c>
      <c r="D3766" t="str">
        <f>"9780773572034"</f>
        <v>9780773572034</v>
      </c>
      <c r="E3766" t="s">
        <v>12863</v>
      </c>
      <c r="F3766" t="s">
        <v>12863</v>
      </c>
      <c r="G3766" s="1">
        <v>38001</v>
      </c>
      <c r="H3766" t="s">
        <v>10026</v>
      </c>
      <c r="J3766" t="s">
        <v>19397</v>
      </c>
      <c r="K3766" t="s">
        <v>263</v>
      </c>
      <c r="L3766" t="s">
        <v>19398</v>
      </c>
      <c r="N3766" t="s">
        <v>19399</v>
      </c>
      <c r="O3766" t="s">
        <v>26</v>
      </c>
      <c r="P3766">
        <v>41.93</v>
      </c>
      <c r="Q3766">
        <v>34.94</v>
      </c>
      <c r="R3766">
        <v>27.95</v>
      </c>
      <c r="S3766">
        <v>41.93</v>
      </c>
      <c r="T3766" t="s">
        <v>19400</v>
      </c>
    </row>
    <row r="3767" spans="1:20">
      <c r="A3767">
        <v>3331827</v>
      </c>
      <c r="B3767" t="s">
        <v>19401</v>
      </c>
      <c r="C3767" t="str">
        <f>"9780773521452"</f>
        <v>9780773521452</v>
      </c>
      <c r="D3767" t="str">
        <f>"9780773568945"</f>
        <v>9780773568945</v>
      </c>
      <c r="E3767" t="s">
        <v>12863</v>
      </c>
      <c r="F3767" t="s">
        <v>12863</v>
      </c>
      <c r="G3767" s="1">
        <v>36861</v>
      </c>
      <c r="I3767" t="s">
        <v>12871</v>
      </c>
      <c r="J3767" t="s">
        <v>19402</v>
      </c>
      <c r="K3767" t="s">
        <v>291</v>
      </c>
      <c r="L3767" t="s">
        <v>19403</v>
      </c>
      <c r="N3767" t="s">
        <v>19404</v>
      </c>
      <c r="O3767" t="s">
        <v>26</v>
      </c>
      <c r="P3767">
        <v>127.5</v>
      </c>
      <c r="Q3767">
        <v>106.25</v>
      </c>
      <c r="R3767">
        <v>85</v>
      </c>
      <c r="S3767">
        <v>127.5</v>
      </c>
      <c r="T3767" t="s">
        <v>19405</v>
      </c>
    </row>
    <row r="3768" spans="1:20">
      <c r="A3768">
        <v>3331828</v>
      </c>
      <c r="B3768" t="s">
        <v>19406</v>
      </c>
      <c r="C3768" t="str">
        <f>"9780773521353"</f>
        <v>9780773521353</v>
      </c>
      <c r="D3768" t="str">
        <f>"9780773574502"</f>
        <v>9780773574502</v>
      </c>
      <c r="E3768" t="s">
        <v>12907</v>
      </c>
      <c r="F3768" t="s">
        <v>12907</v>
      </c>
      <c r="G3768" s="1">
        <v>36533</v>
      </c>
      <c r="J3768" t="s">
        <v>19407</v>
      </c>
      <c r="K3768" t="s">
        <v>1464</v>
      </c>
      <c r="L3768" t="s">
        <v>19408</v>
      </c>
      <c r="M3768">
        <v>811.00997099999995</v>
      </c>
      <c r="N3768" t="s">
        <v>19409</v>
      </c>
      <c r="O3768" t="s">
        <v>26</v>
      </c>
      <c r="P3768">
        <v>49.43</v>
      </c>
      <c r="Q3768">
        <v>41.19</v>
      </c>
      <c r="R3768">
        <v>32.950000000000003</v>
      </c>
      <c r="S3768">
        <v>49.43</v>
      </c>
      <c r="T3768" t="s">
        <v>19410</v>
      </c>
    </row>
    <row r="3769" spans="1:20">
      <c r="A3769">
        <v>3331829</v>
      </c>
      <c r="B3769" t="s">
        <v>19411</v>
      </c>
      <c r="C3769" t="str">
        <f>"9780773530096"</f>
        <v>9780773530096</v>
      </c>
      <c r="D3769" t="str">
        <f>"9780773573291"</f>
        <v>9780773573291</v>
      </c>
      <c r="E3769" t="s">
        <v>12863</v>
      </c>
      <c r="F3769" t="s">
        <v>12863</v>
      </c>
      <c r="G3769" s="1">
        <v>38693</v>
      </c>
      <c r="J3769" t="s">
        <v>19412</v>
      </c>
      <c r="K3769" t="s">
        <v>13493</v>
      </c>
      <c r="L3769" t="s">
        <v>19413</v>
      </c>
      <c r="M3769" t="s">
        <v>19414</v>
      </c>
      <c r="N3769" t="s">
        <v>19415</v>
      </c>
      <c r="O3769" t="s">
        <v>26</v>
      </c>
      <c r="P3769">
        <v>74.930000000000007</v>
      </c>
      <c r="Q3769">
        <v>62.44</v>
      </c>
      <c r="R3769">
        <v>49.95</v>
      </c>
      <c r="S3769">
        <v>74.930000000000007</v>
      </c>
      <c r="T3769" t="s">
        <v>19416</v>
      </c>
    </row>
    <row r="3770" spans="1:20">
      <c r="A3770">
        <v>3331830</v>
      </c>
      <c r="B3770" t="s">
        <v>19417</v>
      </c>
      <c r="C3770" t="str">
        <f>"9782980802000"</f>
        <v>9782980802000</v>
      </c>
      <c r="D3770" t="str">
        <f>"9780773574304"</f>
        <v>9780773574304</v>
      </c>
      <c r="E3770" t="s">
        <v>12863</v>
      </c>
      <c r="F3770" t="s">
        <v>12863</v>
      </c>
      <c r="G3770" s="1">
        <v>37622</v>
      </c>
      <c r="J3770" t="s">
        <v>19418</v>
      </c>
      <c r="K3770" t="s">
        <v>1471</v>
      </c>
      <c r="L3770" t="s">
        <v>19419</v>
      </c>
      <c r="M3770">
        <v>779.07471427999997</v>
      </c>
      <c r="N3770" t="s">
        <v>19420</v>
      </c>
      <c r="O3770" t="s">
        <v>26</v>
      </c>
      <c r="P3770">
        <v>59.93</v>
      </c>
      <c r="Q3770">
        <v>49.94</v>
      </c>
      <c r="R3770">
        <v>39.950000000000003</v>
      </c>
      <c r="S3770">
        <v>59.93</v>
      </c>
      <c r="T3770" t="s">
        <v>19421</v>
      </c>
    </row>
    <row r="3771" spans="1:20">
      <c r="A3771">
        <v>3331831</v>
      </c>
      <c r="B3771" t="s">
        <v>19422</v>
      </c>
      <c r="C3771" t="str">
        <f>"9780773526204"</f>
        <v>9780773526204</v>
      </c>
      <c r="D3771" t="str">
        <f>"9780773574335"</f>
        <v>9780773574335</v>
      </c>
      <c r="E3771" t="s">
        <v>12863</v>
      </c>
      <c r="F3771" t="s">
        <v>12863</v>
      </c>
      <c r="G3771" s="1">
        <v>37866</v>
      </c>
      <c r="J3771" t="s">
        <v>19423</v>
      </c>
      <c r="K3771" t="s">
        <v>7838</v>
      </c>
      <c r="L3771" t="s">
        <v>19424</v>
      </c>
      <c r="M3771">
        <v>720.98299999999995</v>
      </c>
      <c r="N3771" t="s">
        <v>19425</v>
      </c>
      <c r="O3771" t="s">
        <v>26</v>
      </c>
      <c r="P3771">
        <v>142.5</v>
      </c>
      <c r="Q3771">
        <v>118.75</v>
      </c>
      <c r="R3771">
        <v>95</v>
      </c>
      <c r="S3771">
        <v>142.5</v>
      </c>
      <c r="T3771" t="s">
        <v>19426</v>
      </c>
    </row>
    <row r="3772" spans="1:20">
      <c r="A3772">
        <v>3331832</v>
      </c>
      <c r="B3772" t="s">
        <v>19427</v>
      </c>
      <c r="C3772" t="str">
        <f>"9780773531253"</f>
        <v>9780773531253</v>
      </c>
      <c r="D3772" t="str">
        <f>"9780773560192"</f>
        <v>9780773560192</v>
      </c>
      <c r="E3772" t="s">
        <v>12863</v>
      </c>
      <c r="F3772" t="s">
        <v>12863</v>
      </c>
      <c r="G3772" s="1">
        <v>39024</v>
      </c>
      <c r="I3772" t="s">
        <v>18279</v>
      </c>
      <c r="J3772" t="s">
        <v>19428</v>
      </c>
      <c r="K3772" t="s">
        <v>568</v>
      </c>
      <c r="L3772" t="s">
        <v>19429</v>
      </c>
      <c r="M3772">
        <v>324.27109750919999</v>
      </c>
      <c r="N3772" t="s">
        <v>19430</v>
      </c>
      <c r="O3772" t="s">
        <v>26</v>
      </c>
      <c r="P3772">
        <v>52.43</v>
      </c>
      <c r="Q3772">
        <v>43.69</v>
      </c>
      <c r="R3772">
        <v>34.950000000000003</v>
      </c>
      <c r="S3772">
        <v>52.43</v>
      </c>
      <c r="T3772" t="s">
        <v>19431</v>
      </c>
    </row>
    <row r="3773" spans="1:20">
      <c r="A3773">
        <v>3331833</v>
      </c>
      <c r="B3773" t="s">
        <v>19432</v>
      </c>
      <c r="C3773" t="str">
        <f>"9780773530225"</f>
        <v>9780773530225</v>
      </c>
      <c r="D3773" t="str">
        <f>"9780773560093"</f>
        <v>9780773560093</v>
      </c>
      <c r="E3773" t="s">
        <v>12863</v>
      </c>
      <c r="F3773" t="s">
        <v>12863</v>
      </c>
      <c r="G3773" s="1">
        <v>38894</v>
      </c>
      <c r="I3773" t="s">
        <v>12886</v>
      </c>
      <c r="J3773" t="s">
        <v>19433</v>
      </c>
      <c r="K3773" t="s">
        <v>1892</v>
      </c>
      <c r="L3773" t="s">
        <v>19434</v>
      </c>
      <c r="M3773">
        <v>269.20922710000002</v>
      </c>
      <c r="N3773" t="s">
        <v>19435</v>
      </c>
      <c r="O3773" t="s">
        <v>26</v>
      </c>
      <c r="P3773">
        <v>142.5</v>
      </c>
      <c r="Q3773">
        <v>118.75</v>
      </c>
      <c r="R3773">
        <v>95</v>
      </c>
      <c r="S3773">
        <v>142.5</v>
      </c>
      <c r="T3773" t="s">
        <v>19436</v>
      </c>
    </row>
    <row r="3774" spans="1:20">
      <c r="A3774">
        <v>3331834</v>
      </c>
      <c r="B3774" t="s">
        <v>19437</v>
      </c>
      <c r="C3774" t="str">
        <f>"9780773523456"</f>
        <v>9780773523456</v>
      </c>
      <c r="D3774" t="str">
        <f>"9780773560048"</f>
        <v>9780773560048</v>
      </c>
      <c r="E3774" t="s">
        <v>12863</v>
      </c>
      <c r="F3774" t="s">
        <v>12863</v>
      </c>
      <c r="G3774" s="1">
        <v>37901</v>
      </c>
      <c r="J3774" t="s">
        <v>19438</v>
      </c>
      <c r="K3774" t="s">
        <v>1464</v>
      </c>
      <c r="L3774" t="s">
        <v>19439</v>
      </c>
      <c r="M3774">
        <v>813.54</v>
      </c>
      <c r="N3774" t="s">
        <v>19440</v>
      </c>
      <c r="O3774" t="s">
        <v>26</v>
      </c>
      <c r="P3774">
        <v>37.43</v>
      </c>
      <c r="Q3774">
        <v>31.19</v>
      </c>
      <c r="R3774">
        <v>24.95</v>
      </c>
      <c r="S3774">
        <v>37.43</v>
      </c>
      <c r="T3774" t="s">
        <v>19441</v>
      </c>
    </row>
    <row r="3775" spans="1:20">
      <c r="A3775">
        <v>3331835</v>
      </c>
      <c r="B3775" t="s">
        <v>19442</v>
      </c>
      <c r="C3775" t="str">
        <f>"9780773530546"</f>
        <v>9780773530546</v>
      </c>
      <c r="D3775" t="str">
        <f>"9780773560017"</f>
        <v>9780773560017</v>
      </c>
      <c r="E3775" t="s">
        <v>12863</v>
      </c>
      <c r="F3775" t="s">
        <v>12863</v>
      </c>
      <c r="G3775" s="1">
        <v>38812</v>
      </c>
      <c r="J3775" t="s">
        <v>19443</v>
      </c>
      <c r="K3775" t="s">
        <v>525</v>
      </c>
      <c r="L3775" t="s">
        <v>13026</v>
      </c>
      <c r="M3775">
        <v>347.71012000000002</v>
      </c>
      <c r="N3775" t="s">
        <v>19444</v>
      </c>
      <c r="O3775" t="s">
        <v>26</v>
      </c>
      <c r="P3775">
        <v>67.430000000000007</v>
      </c>
      <c r="Q3775">
        <v>56.19</v>
      </c>
      <c r="R3775">
        <v>44.95</v>
      </c>
      <c r="S3775">
        <v>67.430000000000007</v>
      </c>
      <c r="T3775" t="s">
        <v>19445</v>
      </c>
    </row>
    <row r="3776" spans="1:20">
      <c r="A3776">
        <v>3331836</v>
      </c>
      <c r="B3776" t="s">
        <v>19446</v>
      </c>
      <c r="C3776" t="str">
        <f>"9780773531109"</f>
        <v>9780773531109</v>
      </c>
      <c r="D3776" t="str">
        <f>"9780773560185"</f>
        <v>9780773560185</v>
      </c>
      <c r="E3776" t="s">
        <v>12863</v>
      </c>
      <c r="F3776" t="s">
        <v>12863</v>
      </c>
      <c r="G3776" s="1">
        <v>39016</v>
      </c>
      <c r="J3776" t="s">
        <v>19447</v>
      </c>
      <c r="K3776" t="s">
        <v>263</v>
      </c>
      <c r="L3776" t="s">
        <v>19448</v>
      </c>
      <c r="M3776">
        <v>303.39999999999998</v>
      </c>
      <c r="N3776" t="s">
        <v>19449</v>
      </c>
      <c r="O3776" t="s">
        <v>26</v>
      </c>
      <c r="P3776">
        <v>142.5</v>
      </c>
      <c r="Q3776">
        <v>118.75</v>
      </c>
      <c r="R3776">
        <v>95</v>
      </c>
      <c r="S3776">
        <v>142.5</v>
      </c>
      <c r="T3776" t="s">
        <v>19450</v>
      </c>
    </row>
    <row r="3777" spans="1:20">
      <c r="A3777">
        <v>3331837</v>
      </c>
      <c r="B3777" t="s">
        <v>19451</v>
      </c>
      <c r="C3777" t="str">
        <f>"9780773531208"</f>
        <v>9780773531208</v>
      </c>
      <c r="D3777" t="str">
        <f>"9780773560161"</f>
        <v>9780773560161</v>
      </c>
      <c r="E3777" t="s">
        <v>12863</v>
      </c>
      <c r="F3777" t="s">
        <v>12863</v>
      </c>
      <c r="G3777" s="1">
        <v>39015</v>
      </c>
      <c r="I3777" t="s">
        <v>12963</v>
      </c>
      <c r="J3777" t="s">
        <v>13771</v>
      </c>
      <c r="K3777" t="s">
        <v>467</v>
      </c>
      <c r="L3777" t="s">
        <v>16386</v>
      </c>
      <c r="M3777">
        <v>321.8</v>
      </c>
      <c r="N3777" t="s">
        <v>19452</v>
      </c>
      <c r="O3777" t="s">
        <v>26</v>
      </c>
      <c r="P3777">
        <v>142.5</v>
      </c>
      <c r="Q3777">
        <v>118.75</v>
      </c>
      <c r="R3777">
        <v>95</v>
      </c>
      <c r="S3777">
        <v>142.5</v>
      </c>
      <c r="T3777" t="s">
        <v>19453</v>
      </c>
    </row>
    <row r="3778" spans="1:20">
      <c r="A3778">
        <v>3331838</v>
      </c>
      <c r="B3778" t="s">
        <v>19454</v>
      </c>
      <c r="C3778" t="str">
        <f>"9780773532427"</f>
        <v>9780773532427</v>
      </c>
      <c r="D3778" t="str">
        <f>"9780773560369"</f>
        <v>9780773560369</v>
      </c>
      <c r="E3778" t="s">
        <v>12863</v>
      </c>
      <c r="F3778" t="s">
        <v>12863</v>
      </c>
      <c r="G3778" s="1">
        <v>39230</v>
      </c>
      <c r="J3778" t="s">
        <v>19455</v>
      </c>
      <c r="K3778" t="s">
        <v>291</v>
      </c>
      <c r="L3778" t="s">
        <v>19456</v>
      </c>
      <c r="M3778">
        <v>940.5318092</v>
      </c>
      <c r="N3778" t="s">
        <v>19457</v>
      </c>
      <c r="O3778" t="s">
        <v>26</v>
      </c>
      <c r="P3778">
        <v>37.43</v>
      </c>
      <c r="Q3778">
        <v>31.19</v>
      </c>
      <c r="R3778">
        <v>24.95</v>
      </c>
      <c r="S3778">
        <v>37.43</v>
      </c>
      <c r="T3778" t="s">
        <v>19458</v>
      </c>
    </row>
    <row r="3779" spans="1:20">
      <c r="A3779">
        <v>3331839</v>
      </c>
      <c r="B3779" t="s">
        <v>19459</v>
      </c>
      <c r="C3779" t="str">
        <f>"9780773528789"</f>
        <v>9780773528789</v>
      </c>
      <c r="D3779" t="str">
        <f>"9780773560024"</f>
        <v>9780773560024</v>
      </c>
      <c r="E3779" t="s">
        <v>12863</v>
      </c>
      <c r="F3779" t="s">
        <v>12863</v>
      </c>
      <c r="G3779" s="1">
        <v>38825</v>
      </c>
      <c r="J3779" t="s">
        <v>19460</v>
      </c>
      <c r="K3779" t="s">
        <v>525</v>
      </c>
      <c r="L3779" t="s">
        <v>19461</v>
      </c>
      <c r="M3779">
        <v>340.14</v>
      </c>
      <c r="N3779" t="s">
        <v>19462</v>
      </c>
      <c r="O3779" t="s">
        <v>26</v>
      </c>
      <c r="P3779">
        <v>150</v>
      </c>
      <c r="Q3779">
        <v>125</v>
      </c>
      <c r="R3779">
        <v>100</v>
      </c>
      <c r="S3779">
        <v>150</v>
      </c>
      <c r="T3779" t="s">
        <v>19463</v>
      </c>
    </row>
    <row r="3780" spans="1:20">
      <c r="A3780">
        <v>3331840</v>
      </c>
      <c r="B3780" t="s">
        <v>19464</v>
      </c>
      <c r="C3780" t="str">
        <f>"9780773532045"</f>
        <v>9780773532045</v>
      </c>
      <c r="D3780" t="str">
        <f>"9780773560291"</f>
        <v>9780773560291</v>
      </c>
      <c r="E3780" t="s">
        <v>12863</v>
      </c>
      <c r="F3780" t="s">
        <v>12863</v>
      </c>
      <c r="G3780" s="1">
        <v>39188</v>
      </c>
      <c r="J3780" t="s">
        <v>19465</v>
      </c>
      <c r="K3780" t="s">
        <v>1471</v>
      </c>
      <c r="L3780" t="s">
        <v>19466</v>
      </c>
      <c r="M3780">
        <v>792.09199999999998</v>
      </c>
      <c r="N3780" t="s">
        <v>19467</v>
      </c>
      <c r="O3780" t="s">
        <v>26</v>
      </c>
      <c r="P3780">
        <v>82.5</v>
      </c>
      <c r="Q3780">
        <v>68.75</v>
      </c>
      <c r="R3780">
        <v>55</v>
      </c>
      <c r="S3780">
        <v>82.5</v>
      </c>
      <c r="T3780" t="s">
        <v>19468</v>
      </c>
    </row>
    <row r="3781" spans="1:20">
      <c r="A3781">
        <v>3331841</v>
      </c>
      <c r="B3781" t="s">
        <v>19469</v>
      </c>
      <c r="C3781" t="str">
        <f>"9780773532328"</f>
        <v>9780773532328</v>
      </c>
      <c r="D3781" t="str">
        <f>"9780773560451"</f>
        <v>9780773560451</v>
      </c>
      <c r="E3781" t="s">
        <v>12863</v>
      </c>
      <c r="F3781" t="s">
        <v>12863</v>
      </c>
      <c r="G3781" s="1">
        <v>39372</v>
      </c>
      <c r="J3781" t="s">
        <v>19470</v>
      </c>
      <c r="K3781" t="s">
        <v>1464</v>
      </c>
      <c r="L3781" t="s">
        <v>19471</v>
      </c>
      <c r="M3781">
        <v>843.91200000000003</v>
      </c>
      <c r="N3781" t="s">
        <v>19472</v>
      </c>
      <c r="O3781" t="s">
        <v>26</v>
      </c>
      <c r="P3781">
        <v>142.5</v>
      </c>
      <c r="Q3781">
        <v>118.75</v>
      </c>
      <c r="R3781">
        <v>95</v>
      </c>
      <c r="S3781">
        <v>142.5</v>
      </c>
      <c r="T3781" t="s">
        <v>19473</v>
      </c>
    </row>
    <row r="3782" spans="1:20">
      <c r="A3782">
        <v>3331842</v>
      </c>
      <c r="B3782" t="s">
        <v>19474</v>
      </c>
      <c r="C3782" t="str">
        <f>"9780773531345"</f>
        <v>9780773531345</v>
      </c>
      <c r="D3782" t="str">
        <f>"9780773560147"</f>
        <v>9780773560147</v>
      </c>
      <c r="E3782" t="s">
        <v>12863</v>
      </c>
      <c r="F3782" t="s">
        <v>12863</v>
      </c>
      <c r="G3782" s="1">
        <v>38979</v>
      </c>
      <c r="I3782" t="s">
        <v>18583</v>
      </c>
      <c r="J3782" t="s">
        <v>19475</v>
      </c>
      <c r="K3782" t="s">
        <v>467</v>
      </c>
      <c r="L3782" t="s">
        <v>13579</v>
      </c>
      <c r="M3782">
        <v>321.02</v>
      </c>
      <c r="N3782" t="s">
        <v>19476</v>
      </c>
      <c r="O3782" t="s">
        <v>26</v>
      </c>
      <c r="P3782">
        <v>142.5</v>
      </c>
      <c r="Q3782">
        <v>118.75</v>
      </c>
      <c r="R3782">
        <v>95</v>
      </c>
      <c r="S3782">
        <v>142.5</v>
      </c>
      <c r="T3782" t="s">
        <v>19477</v>
      </c>
    </row>
    <row r="3783" spans="1:20">
      <c r="A3783">
        <v>3331843</v>
      </c>
      <c r="B3783" t="s">
        <v>19478</v>
      </c>
      <c r="C3783" t="str">
        <f>"9780773531352"</f>
        <v>9780773531352</v>
      </c>
      <c r="D3783" t="str">
        <f>"9780773560222"</f>
        <v>9780773560222</v>
      </c>
      <c r="E3783" t="s">
        <v>12863</v>
      </c>
      <c r="F3783" t="s">
        <v>12863</v>
      </c>
      <c r="G3783" s="1">
        <v>39066</v>
      </c>
      <c r="J3783" t="s">
        <v>19479</v>
      </c>
      <c r="K3783" t="s">
        <v>1464</v>
      </c>
      <c r="L3783" t="s">
        <v>19480</v>
      </c>
      <c r="M3783">
        <v>810.99287000000004</v>
      </c>
      <c r="N3783" t="s">
        <v>19481</v>
      </c>
      <c r="O3783" t="s">
        <v>26</v>
      </c>
      <c r="P3783">
        <v>142.5</v>
      </c>
      <c r="Q3783">
        <v>118.75</v>
      </c>
      <c r="R3783">
        <v>95</v>
      </c>
      <c r="S3783">
        <v>142.5</v>
      </c>
      <c r="T3783" t="s">
        <v>19482</v>
      </c>
    </row>
    <row r="3784" spans="1:20">
      <c r="A3784">
        <v>3331844</v>
      </c>
      <c r="B3784" t="s">
        <v>19483</v>
      </c>
      <c r="C3784" t="str">
        <f>"9780773531888"</f>
        <v>9780773531888</v>
      </c>
      <c r="D3784" t="str">
        <f>"9780773560239"</f>
        <v>9780773560239</v>
      </c>
      <c r="E3784" t="s">
        <v>12863</v>
      </c>
      <c r="F3784" t="s">
        <v>12863</v>
      </c>
      <c r="G3784" s="1">
        <v>39122</v>
      </c>
      <c r="J3784" t="s">
        <v>19484</v>
      </c>
      <c r="K3784" t="s">
        <v>1550</v>
      </c>
      <c r="L3784" t="s">
        <v>13906</v>
      </c>
      <c r="M3784">
        <v>303.66000000000003</v>
      </c>
      <c r="N3784" t="s">
        <v>19485</v>
      </c>
      <c r="O3784" t="s">
        <v>26</v>
      </c>
      <c r="P3784">
        <v>52.43</v>
      </c>
      <c r="Q3784">
        <v>43.69</v>
      </c>
      <c r="R3784">
        <v>34.950000000000003</v>
      </c>
      <c r="S3784">
        <v>52.43</v>
      </c>
      <c r="T3784" t="s">
        <v>19486</v>
      </c>
    </row>
    <row r="3785" spans="1:20">
      <c r="A3785">
        <v>3331845</v>
      </c>
      <c r="B3785" t="s">
        <v>19487</v>
      </c>
      <c r="C3785" t="str">
        <f>"9780773532311"</f>
        <v>9780773532311</v>
      </c>
      <c r="D3785" t="str">
        <f>"9780773560321"</f>
        <v>9780773560321</v>
      </c>
      <c r="E3785" t="s">
        <v>12863</v>
      </c>
      <c r="F3785" t="s">
        <v>12863</v>
      </c>
      <c r="G3785" s="1">
        <v>39203</v>
      </c>
      <c r="I3785" t="s">
        <v>12864</v>
      </c>
      <c r="J3785" t="s">
        <v>19488</v>
      </c>
      <c r="K3785" t="s">
        <v>2260</v>
      </c>
      <c r="L3785" t="s">
        <v>19489</v>
      </c>
      <c r="M3785">
        <v>610.71171242499997</v>
      </c>
      <c r="N3785" t="s">
        <v>19490</v>
      </c>
      <c r="O3785" t="s">
        <v>26</v>
      </c>
      <c r="P3785">
        <v>52.43</v>
      </c>
      <c r="Q3785">
        <v>43.69</v>
      </c>
      <c r="R3785">
        <v>34.950000000000003</v>
      </c>
      <c r="S3785">
        <v>52.43</v>
      </c>
      <c r="T3785" t="s">
        <v>19491</v>
      </c>
    </row>
    <row r="3786" spans="1:20">
      <c r="A3786">
        <v>3331846</v>
      </c>
      <c r="B3786" t="s">
        <v>19492</v>
      </c>
      <c r="C3786" t="str">
        <f>"9780773532649"</f>
        <v>9780773532649</v>
      </c>
      <c r="D3786" t="str">
        <f>"9780773560482"</f>
        <v>9780773560482</v>
      </c>
      <c r="E3786" t="s">
        <v>12863</v>
      </c>
      <c r="F3786" t="s">
        <v>12863</v>
      </c>
      <c r="G3786" s="1">
        <v>39392</v>
      </c>
      <c r="J3786" t="s">
        <v>19493</v>
      </c>
      <c r="K3786" t="s">
        <v>1471</v>
      </c>
      <c r="L3786" t="s">
        <v>19494</v>
      </c>
      <c r="M3786">
        <v>780.92</v>
      </c>
      <c r="N3786" t="s">
        <v>19495</v>
      </c>
      <c r="O3786" t="s">
        <v>26</v>
      </c>
      <c r="P3786">
        <v>142.5</v>
      </c>
      <c r="Q3786">
        <v>118.75</v>
      </c>
      <c r="R3786">
        <v>95</v>
      </c>
      <c r="S3786">
        <v>142.5</v>
      </c>
      <c r="T3786" t="s">
        <v>19496</v>
      </c>
    </row>
    <row r="3787" spans="1:20">
      <c r="A3787">
        <v>3331847</v>
      </c>
      <c r="B3787" t="s">
        <v>19497</v>
      </c>
      <c r="C3787" t="str">
        <f>"9780773533011"</f>
        <v>9780773533011</v>
      </c>
      <c r="D3787" t="str">
        <f>"9780773560444"</f>
        <v>9780773560444</v>
      </c>
      <c r="E3787" t="s">
        <v>12863</v>
      </c>
      <c r="F3787" t="s">
        <v>12863</v>
      </c>
      <c r="G3787" s="1">
        <v>39330</v>
      </c>
      <c r="I3787" t="s">
        <v>18583</v>
      </c>
      <c r="J3787" t="s">
        <v>19498</v>
      </c>
      <c r="K3787" t="s">
        <v>2312</v>
      </c>
      <c r="L3787" t="s">
        <v>18121</v>
      </c>
      <c r="M3787">
        <v>321.02</v>
      </c>
      <c r="N3787" t="s">
        <v>19499</v>
      </c>
      <c r="O3787" t="s">
        <v>26</v>
      </c>
      <c r="P3787">
        <v>142.5</v>
      </c>
      <c r="Q3787">
        <v>118.75</v>
      </c>
      <c r="R3787">
        <v>95</v>
      </c>
      <c r="S3787">
        <v>142.5</v>
      </c>
      <c r="T3787" t="s">
        <v>19500</v>
      </c>
    </row>
    <row r="3788" spans="1:20">
      <c r="A3788">
        <v>3331848</v>
      </c>
      <c r="B3788" t="s">
        <v>19501</v>
      </c>
      <c r="C3788" t="str">
        <f>"9780773532861"</f>
        <v>9780773532861</v>
      </c>
      <c r="D3788" t="str">
        <f>"9780773560529"</f>
        <v>9780773560529</v>
      </c>
      <c r="E3788" t="s">
        <v>12863</v>
      </c>
      <c r="F3788" t="s">
        <v>12863</v>
      </c>
      <c r="G3788" s="1">
        <v>39434</v>
      </c>
      <c r="J3788" t="s">
        <v>19502</v>
      </c>
      <c r="K3788" t="s">
        <v>1464</v>
      </c>
      <c r="L3788" t="s">
        <v>19503</v>
      </c>
      <c r="M3788">
        <v>830.99436082</v>
      </c>
      <c r="N3788" t="s">
        <v>19504</v>
      </c>
      <c r="O3788" t="s">
        <v>26</v>
      </c>
      <c r="P3788">
        <v>142.5</v>
      </c>
      <c r="Q3788">
        <v>118.75</v>
      </c>
      <c r="R3788">
        <v>95</v>
      </c>
      <c r="S3788">
        <v>142.5</v>
      </c>
      <c r="T3788" t="s">
        <v>19505</v>
      </c>
    </row>
    <row r="3789" spans="1:20">
      <c r="A3789">
        <v>3331849</v>
      </c>
      <c r="B3789" t="s">
        <v>19506</v>
      </c>
      <c r="C3789" t="str">
        <f>"9780773531093"</f>
        <v>9780773531093</v>
      </c>
      <c r="D3789" t="str">
        <f>"9780773560130"</f>
        <v>9780773560130</v>
      </c>
      <c r="E3789" t="s">
        <v>12863</v>
      </c>
      <c r="F3789" t="s">
        <v>12863</v>
      </c>
      <c r="G3789" s="1">
        <v>38936</v>
      </c>
      <c r="J3789" t="s">
        <v>19507</v>
      </c>
      <c r="K3789" t="s">
        <v>1464</v>
      </c>
      <c r="L3789" t="s">
        <v>19508</v>
      </c>
      <c r="M3789">
        <v>823.91093551999995</v>
      </c>
      <c r="N3789" t="s">
        <v>19509</v>
      </c>
      <c r="O3789" t="s">
        <v>26</v>
      </c>
      <c r="P3789">
        <v>142.5</v>
      </c>
      <c r="Q3789">
        <v>118.75</v>
      </c>
      <c r="R3789">
        <v>95</v>
      </c>
      <c r="S3789">
        <v>142.5</v>
      </c>
      <c r="T3789" t="s">
        <v>19510</v>
      </c>
    </row>
    <row r="3790" spans="1:20">
      <c r="A3790">
        <v>3331850</v>
      </c>
      <c r="B3790" t="s">
        <v>19511</v>
      </c>
      <c r="C3790" t="str">
        <f>"9780773532670"</f>
        <v>9780773532670</v>
      </c>
      <c r="D3790" t="str">
        <f>"9780773560468"</f>
        <v>9780773560468</v>
      </c>
      <c r="E3790" t="s">
        <v>12863</v>
      </c>
      <c r="F3790" t="s">
        <v>12863</v>
      </c>
      <c r="G3790" s="1">
        <v>39373</v>
      </c>
      <c r="I3790" t="s">
        <v>12942</v>
      </c>
      <c r="J3790" t="s">
        <v>19512</v>
      </c>
      <c r="K3790" t="s">
        <v>1550</v>
      </c>
      <c r="L3790" t="s">
        <v>19513</v>
      </c>
      <c r="M3790">
        <v>304.87104770000002</v>
      </c>
      <c r="N3790" t="s">
        <v>19514</v>
      </c>
      <c r="O3790" t="s">
        <v>26</v>
      </c>
      <c r="P3790">
        <v>142.5</v>
      </c>
      <c r="Q3790">
        <v>118.75</v>
      </c>
      <c r="R3790">
        <v>95</v>
      </c>
      <c r="S3790">
        <v>142.5</v>
      </c>
      <c r="T3790" t="s">
        <v>19515</v>
      </c>
    </row>
    <row r="3791" spans="1:20">
      <c r="A3791">
        <v>3331851</v>
      </c>
      <c r="B3791" t="s">
        <v>19516</v>
      </c>
      <c r="C3791" t="str">
        <f>"9780773530959"</f>
        <v>9780773530959</v>
      </c>
      <c r="D3791" t="str">
        <f>"9780773560116"</f>
        <v>9780773560116</v>
      </c>
      <c r="E3791" t="s">
        <v>12863</v>
      </c>
      <c r="F3791" t="s">
        <v>12863</v>
      </c>
      <c r="G3791" s="1">
        <v>38911</v>
      </c>
      <c r="J3791" t="s">
        <v>19517</v>
      </c>
      <c r="K3791" t="s">
        <v>291</v>
      </c>
      <c r="L3791" t="s">
        <v>19518</v>
      </c>
      <c r="M3791">
        <v>971.06479999999999</v>
      </c>
      <c r="N3791" t="s">
        <v>19519</v>
      </c>
      <c r="O3791" t="s">
        <v>26</v>
      </c>
      <c r="P3791">
        <v>44.93</v>
      </c>
      <c r="Q3791">
        <v>37.44</v>
      </c>
      <c r="R3791">
        <v>29.95</v>
      </c>
      <c r="S3791">
        <v>44.93</v>
      </c>
      <c r="T3791" t="s">
        <v>19520</v>
      </c>
    </row>
    <row r="3792" spans="1:20">
      <c r="A3792">
        <v>3331852</v>
      </c>
      <c r="B3792" t="s">
        <v>19521</v>
      </c>
      <c r="C3792" t="str">
        <f>"9780773530447"</f>
        <v>9780773530447</v>
      </c>
      <c r="D3792" t="str">
        <f>"9780773560086"</f>
        <v>9780773560086</v>
      </c>
      <c r="E3792" t="s">
        <v>12863</v>
      </c>
      <c r="F3792" t="s">
        <v>12863</v>
      </c>
      <c r="G3792" s="1">
        <v>38888</v>
      </c>
      <c r="J3792" t="s">
        <v>19522</v>
      </c>
      <c r="K3792" t="s">
        <v>1464</v>
      </c>
      <c r="L3792" t="s">
        <v>19523</v>
      </c>
      <c r="M3792">
        <v>891.73299999999995</v>
      </c>
      <c r="N3792" t="s">
        <v>19524</v>
      </c>
      <c r="O3792" t="s">
        <v>26</v>
      </c>
      <c r="P3792">
        <v>142.5</v>
      </c>
      <c r="Q3792">
        <v>118.75</v>
      </c>
      <c r="R3792">
        <v>95</v>
      </c>
      <c r="S3792">
        <v>142.5</v>
      </c>
      <c r="T3792" t="s">
        <v>19525</v>
      </c>
    </row>
    <row r="3793" spans="1:20">
      <c r="A3793">
        <v>3331853</v>
      </c>
      <c r="B3793" t="s">
        <v>19526</v>
      </c>
      <c r="C3793" t="str">
        <f>"9780773531369"</f>
        <v>9780773531369</v>
      </c>
      <c r="D3793" t="str">
        <f>"9780773560178"</f>
        <v>9780773560178</v>
      </c>
      <c r="E3793" t="s">
        <v>12907</v>
      </c>
      <c r="F3793" t="s">
        <v>12907</v>
      </c>
      <c r="G3793" s="1">
        <v>39015</v>
      </c>
      <c r="I3793" t="s">
        <v>19527</v>
      </c>
      <c r="J3793" t="s">
        <v>19528</v>
      </c>
      <c r="K3793" t="s">
        <v>1892</v>
      </c>
      <c r="L3793" t="s">
        <v>19529</v>
      </c>
      <c r="M3793">
        <v>289.67135469999999</v>
      </c>
      <c r="N3793" t="s">
        <v>19530</v>
      </c>
      <c r="O3793" t="s">
        <v>26</v>
      </c>
      <c r="P3793">
        <v>142.5</v>
      </c>
      <c r="Q3793">
        <v>118.75</v>
      </c>
      <c r="R3793">
        <v>95</v>
      </c>
      <c r="S3793">
        <v>142.5</v>
      </c>
      <c r="T3793" t="s">
        <v>19531</v>
      </c>
    </row>
    <row r="3794" spans="1:20">
      <c r="A3794">
        <v>3331854</v>
      </c>
      <c r="B3794" t="s">
        <v>19532</v>
      </c>
      <c r="C3794" t="str">
        <f>"9780773532205"</f>
        <v>9780773532205</v>
      </c>
      <c r="D3794" t="str">
        <f>"9780773560307"</f>
        <v>9780773560307</v>
      </c>
      <c r="E3794" t="s">
        <v>12863</v>
      </c>
      <c r="F3794" t="s">
        <v>12863</v>
      </c>
      <c r="G3794" s="1">
        <v>39191</v>
      </c>
      <c r="J3794" t="s">
        <v>19533</v>
      </c>
      <c r="K3794" t="s">
        <v>1464</v>
      </c>
      <c r="L3794" t="s">
        <v>19534</v>
      </c>
      <c r="M3794">
        <v>813.54</v>
      </c>
      <c r="N3794" t="s">
        <v>19535</v>
      </c>
      <c r="O3794" t="s">
        <v>26</v>
      </c>
      <c r="P3794">
        <v>142.5</v>
      </c>
      <c r="Q3794">
        <v>118.75</v>
      </c>
      <c r="R3794">
        <v>95</v>
      </c>
      <c r="S3794">
        <v>142.5</v>
      </c>
      <c r="T3794" t="s">
        <v>19536</v>
      </c>
    </row>
    <row r="3795" spans="1:20">
      <c r="A3795">
        <v>3331855</v>
      </c>
      <c r="B3795" t="s">
        <v>19537</v>
      </c>
      <c r="C3795" t="str">
        <f>"9780773533042"</f>
        <v>9780773533042</v>
      </c>
      <c r="D3795" t="str">
        <f>"9780773560437"</f>
        <v>9780773560437</v>
      </c>
      <c r="E3795" t="s">
        <v>12863</v>
      </c>
      <c r="F3795" t="s">
        <v>12863</v>
      </c>
      <c r="G3795" s="1">
        <v>39318</v>
      </c>
      <c r="J3795" t="s">
        <v>19538</v>
      </c>
      <c r="K3795" t="s">
        <v>278</v>
      </c>
      <c r="L3795" t="s">
        <v>19539</v>
      </c>
      <c r="M3795">
        <v>338.76797091999998</v>
      </c>
      <c r="N3795" t="s">
        <v>19540</v>
      </c>
      <c r="O3795" t="s">
        <v>26</v>
      </c>
      <c r="P3795">
        <v>52.43</v>
      </c>
      <c r="Q3795">
        <v>43.69</v>
      </c>
      <c r="R3795">
        <v>34.950000000000003</v>
      </c>
      <c r="S3795">
        <v>52.43</v>
      </c>
      <c r="T3795" t="s">
        <v>19541</v>
      </c>
    </row>
    <row r="3796" spans="1:20">
      <c r="A3796">
        <v>3331856</v>
      </c>
      <c r="B3796" t="s">
        <v>19542</v>
      </c>
      <c r="C3796" t="str">
        <f>"9780773532793"</f>
        <v>9780773532793</v>
      </c>
      <c r="D3796" t="str">
        <f>"9780773560420"</f>
        <v>9780773560420</v>
      </c>
      <c r="E3796" t="s">
        <v>12863</v>
      </c>
      <c r="F3796" t="s">
        <v>12863</v>
      </c>
      <c r="G3796" s="1">
        <v>39307</v>
      </c>
      <c r="J3796" t="s">
        <v>19543</v>
      </c>
      <c r="K3796" t="s">
        <v>257</v>
      </c>
      <c r="L3796" t="s">
        <v>19544</v>
      </c>
      <c r="M3796">
        <v>371.33409710000001</v>
      </c>
      <c r="N3796" t="s">
        <v>19545</v>
      </c>
      <c r="O3796" t="s">
        <v>26</v>
      </c>
      <c r="P3796">
        <v>142.5</v>
      </c>
      <c r="Q3796">
        <v>118.75</v>
      </c>
      <c r="R3796">
        <v>95</v>
      </c>
      <c r="S3796">
        <v>142.5</v>
      </c>
      <c r="T3796" t="s">
        <v>19546</v>
      </c>
    </row>
    <row r="3797" spans="1:20">
      <c r="A3797">
        <v>3331857</v>
      </c>
      <c r="B3797" t="s">
        <v>19547</v>
      </c>
      <c r="C3797" t="str">
        <f>"9780773528642"</f>
        <v>9780773528642</v>
      </c>
      <c r="D3797" t="str">
        <f>"9780773559974"</f>
        <v>9780773559974</v>
      </c>
      <c r="E3797" t="s">
        <v>12863</v>
      </c>
      <c r="F3797" t="s">
        <v>12863</v>
      </c>
      <c r="G3797" s="1">
        <v>38768</v>
      </c>
      <c r="J3797" t="s">
        <v>19548</v>
      </c>
      <c r="K3797" t="s">
        <v>1082</v>
      </c>
      <c r="L3797" t="s">
        <v>19549</v>
      </c>
      <c r="M3797">
        <v>362.292609710904</v>
      </c>
      <c r="N3797" t="s">
        <v>19550</v>
      </c>
      <c r="O3797" t="s">
        <v>26</v>
      </c>
      <c r="P3797">
        <v>142.5</v>
      </c>
      <c r="Q3797">
        <v>118.75</v>
      </c>
      <c r="R3797">
        <v>95</v>
      </c>
      <c r="S3797">
        <v>142.5</v>
      </c>
      <c r="T3797" t="s">
        <v>19551</v>
      </c>
    </row>
    <row r="3798" spans="1:20">
      <c r="A3798">
        <v>3331858</v>
      </c>
      <c r="B3798" t="s">
        <v>19552</v>
      </c>
      <c r="C3798" t="str">
        <f>"9780773532601"</f>
        <v>9780773532601</v>
      </c>
      <c r="D3798" t="str">
        <f>"9780773560383"</f>
        <v>9780773560383</v>
      </c>
      <c r="E3798" t="s">
        <v>12863</v>
      </c>
      <c r="F3798" t="s">
        <v>12863</v>
      </c>
      <c r="G3798" s="1">
        <v>39273</v>
      </c>
      <c r="I3798" t="s">
        <v>13540</v>
      </c>
      <c r="J3798" t="s">
        <v>13541</v>
      </c>
      <c r="K3798" t="s">
        <v>7838</v>
      </c>
      <c r="L3798" t="s">
        <v>14124</v>
      </c>
      <c r="M3798">
        <v>720.1</v>
      </c>
      <c r="N3798" t="s">
        <v>19553</v>
      </c>
      <c r="O3798" t="s">
        <v>26</v>
      </c>
      <c r="P3798">
        <v>142.5</v>
      </c>
      <c r="Q3798">
        <v>118.75</v>
      </c>
      <c r="R3798">
        <v>95</v>
      </c>
      <c r="S3798">
        <v>142.5</v>
      </c>
      <c r="T3798" t="s">
        <v>19554</v>
      </c>
    </row>
    <row r="3799" spans="1:20">
      <c r="A3799">
        <v>3331859</v>
      </c>
      <c r="B3799" t="s">
        <v>19555</v>
      </c>
      <c r="C3799" t="str">
        <f>"9780773531116"</f>
        <v>9780773531116</v>
      </c>
      <c r="D3799" t="str">
        <f>"9780773560253"</f>
        <v>9780773560253</v>
      </c>
      <c r="E3799" t="s">
        <v>12863</v>
      </c>
      <c r="F3799" t="s">
        <v>12863</v>
      </c>
      <c r="G3799" s="1">
        <v>39160</v>
      </c>
      <c r="J3799" t="s">
        <v>19556</v>
      </c>
      <c r="K3799" t="s">
        <v>1859</v>
      </c>
      <c r="L3799" t="s">
        <v>19557</v>
      </c>
      <c r="M3799">
        <v>171.7</v>
      </c>
      <c r="N3799" t="s">
        <v>19558</v>
      </c>
      <c r="O3799" t="s">
        <v>26</v>
      </c>
      <c r="P3799">
        <v>142.5</v>
      </c>
      <c r="Q3799">
        <v>118.75</v>
      </c>
      <c r="R3799">
        <v>95</v>
      </c>
      <c r="S3799">
        <v>142.5</v>
      </c>
      <c r="T3799" t="s">
        <v>19559</v>
      </c>
    </row>
    <row r="3800" spans="1:20">
      <c r="A3800">
        <v>3331860</v>
      </c>
      <c r="B3800" t="s">
        <v>19560</v>
      </c>
      <c r="C3800" t="str">
        <f>"9780773531178"</f>
        <v>9780773531178</v>
      </c>
      <c r="D3800" t="str">
        <f>"9780773560260"</f>
        <v>9780773560260</v>
      </c>
      <c r="E3800" t="s">
        <v>12863</v>
      </c>
      <c r="F3800" t="s">
        <v>12863</v>
      </c>
      <c r="G3800" s="1">
        <v>39160</v>
      </c>
      <c r="I3800" t="s">
        <v>13288</v>
      </c>
      <c r="J3800" t="s">
        <v>19561</v>
      </c>
      <c r="K3800" t="s">
        <v>1445</v>
      </c>
      <c r="L3800" t="s">
        <v>19562</v>
      </c>
      <c r="M3800">
        <v>362.20971428090297</v>
      </c>
      <c r="N3800" t="s">
        <v>19563</v>
      </c>
      <c r="O3800" t="s">
        <v>94</v>
      </c>
      <c r="P3800">
        <v>165</v>
      </c>
      <c r="Q3800">
        <v>137.5</v>
      </c>
      <c r="R3800">
        <v>110</v>
      </c>
      <c r="S3800">
        <v>165</v>
      </c>
      <c r="T3800" t="s">
        <v>19564</v>
      </c>
    </row>
    <row r="3801" spans="1:20">
      <c r="A3801">
        <v>3331861</v>
      </c>
      <c r="B3801" t="s">
        <v>19565</v>
      </c>
      <c r="C3801" t="str">
        <f>"9780773530300"</f>
        <v>9780773530300</v>
      </c>
      <c r="D3801" t="str">
        <f>"9780773560062"</f>
        <v>9780773560062</v>
      </c>
      <c r="E3801" t="s">
        <v>12863</v>
      </c>
      <c r="F3801" t="s">
        <v>12863</v>
      </c>
      <c r="G3801" s="1">
        <v>38863</v>
      </c>
      <c r="J3801" t="s">
        <v>19566</v>
      </c>
      <c r="K3801" t="s">
        <v>1464</v>
      </c>
      <c r="L3801" t="s">
        <v>19567</v>
      </c>
      <c r="M3801">
        <v>818.54089999999997</v>
      </c>
      <c r="N3801" t="s">
        <v>19568</v>
      </c>
      <c r="O3801" t="s">
        <v>26</v>
      </c>
      <c r="P3801">
        <v>142.5</v>
      </c>
      <c r="Q3801">
        <v>118.75</v>
      </c>
      <c r="R3801">
        <v>95</v>
      </c>
      <c r="S3801">
        <v>142.5</v>
      </c>
      <c r="T3801" t="s">
        <v>19569</v>
      </c>
    </row>
    <row r="3802" spans="1:20">
      <c r="A3802">
        <v>3331862</v>
      </c>
      <c r="B3802" t="s">
        <v>19570</v>
      </c>
      <c r="C3802" t="str">
        <f>"9780773528628"</f>
        <v>9780773528628</v>
      </c>
      <c r="D3802" t="str">
        <f>"9780773559998"</f>
        <v>9780773559998</v>
      </c>
      <c r="E3802" t="s">
        <v>12907</v>
      </c>
      <c r="F3802" t="s">
        <v>12907</v>
      </c>
      <c r="G3802" s="1">
        <v>38797</v>
      </c>
      <c r="J3802" t="s">
        <v>19571</v>
      </c>
      <c r="K3802" t="s">
        <v>263</v>
      </c>
      <c r="L3802" t="s">
        <v>19572</v>
      </c>
      <c r="M3802">
        <v>305.32097099999999</v>
      </c>
      <c r="N3802" t="s">
        <v>19573</v>
      </c>
      <c r="O3802" t="s">
        <v>26</v>
      </c>
      <c r="P3802">
        <v>44.93</v>
      </c>
      <c r="Q3802">
        <v>37.44</v>
      </c>
      <c r="R3802">
        <v>29.95</v>
      </c>
      <c r="S3802">
        <v>44.93</v>
      </c>
      <c r="T3802" t="s">
        <v>19574</v>
      </c>
    </row>
    <row r="3803" spans="1:20">
      <c r="A3803">
        <v>3331863</v>
      </c>
      <c r="B3803" t="s">
        <v>19575</v>
      </c>
      <c r="C3803" t="str">
        <f>"9780773531987"</f>
        <v>9780773531987</v>
      </c>
      <c r="D3803" t="str">
        <f>"9780773560277"</f>
        <v>9780773560277</v>
      </c>
      <c r="E3803" t="s">
        <v>12863</v>
      </c>
      <c r="F3803" t="s">
        <v>12863</v>
      </c>
      <c r="G3803" s="1">
        <v>39160</v>
      </c>
      <c r="J3803" t="s">
        <v>19576</v>
      </c>
      <c r="K3803" t="s">
        <v>4081</v>
      </c>
      <c r="L3803" t="s">
        <v>19577</v>
      </c>
      <c r="M3803">
        <v>425.6</v>
      </c>
      <c r="N3803" t="s">
        <v>19578</v>
      </c>
      <c r="O3803" t="s">
        <v>26</v>
      </c>
      <c r="P3803">
        <v>142.5</v>
      </c>
      <c r="Q3803">
        <v>118.75</v>
      </c>
      <c r="R3803">
        <v>95</v>
      </c>
      <c r="S3803">
        <v>142.5</v>
      </c>
      <c r="T3803" t="s">
        <v>19579</v>
      </c>
    </row>
    <row r="3804" spans="1:20">
      <c r="A3804">
        <v>3331864</v>
      </c>
      <c r="B3804" t="s">
        <v>19580</v>
      </c>
      <c r="C3804" t="str">
        <f>"9780773530393"</f>
        <v>9780773530393</v>
      </c>
      <c r="D3804" t="str">
        <f>"9780773560109"</f>
        <v>9780773560109</v>
      </c>
      <c r="E3804" t="s">
        <v>12863</v>
      </c>
      <c r="F3804" t="s">
        <v>12863</v>
      </c>
      <c r="G3804" s="1">
        <v>38904</v>
      </c>
      <c r="J3804" t="s">
        <v>19581</v>
      </c>
      <c r="K3804" t="s">
        <v>210</v>
      </c>
      <c r="L3804" t="s">
        <v>19582</v>
      </c>
      <c r="M3804">
        <v>333.76097099999998</v>
      </c>
      <c r="N3804" t="s">
        <v>19583</v>
      </c>
      <c r="O3804" t="s">
        <v>26</v>
      </c>
      <c r="P3804">
        <v>142.5</v>
      </c>
      <c r="Q3804">
        <v>118.75</v>
      </c>
      <c r="R3804">
        <v>95</v>
      </c>
      <c r="S3804">
        <v>142.5</v>
      </c>
      <c r="T3804" t="s">
        <v>19584</v>
      </c>
    </row>
    <row r="3805" spans="1:20">
      <c r="A3805">
        <v>3331865</v>
      </c>
      <c r="B3805" t="s">
        <v>19585</v>
      </c>
      <c r="C3805" t="str">
        <f>"9780773530119"</f>
        <v>9780773530119</v>
      </c>
      <c r="D3805" t="str">
        <f>"9780773559981"</f>
        <v>9780773559981</v>
      </c>
      <c r="E3805" t="s">
        <v>12907</v>
      </c>
      <c r="F3805" t="s">
        <v>12907</v>
      </c>
      <c r="G3805" s="1">
        <v>38770</v>
      </c>
      <c r="J3805" t="s">
        <v>19586</v>
      </c>
      <c r="K3805" t="s">
        <v>2260</v>
      </c>
      <c r="L3805" t="s">
        <v>19587</v>
      </c>
      <c r="M3805" t="s">
        <v>19588</v>
      </c>
      <c r="N3805" t="s">
        <v>19589</v>
      </c>
      <c r="O3805" t="s">
        <v>26</v>
      </c>
      <c r="P3805">
        <v>59.93</v>
      </c>
      <c r="Q3805">
        <v>49.94</v>
      </c>
      <c r="R3805">
        <v>39.950000000000003</v>
      </c>
      <c r="S3805">
        <v>59.93</v>
      </c>
      <c r="T3805" t="s">
        <v>19590</v>
      </c>
    </row>
    <row r="3806" spans="1:20">
      <c r="A3806">
        <v>3331866</v>
      </c>
      <c r="B3806" t="s">
        <v>19591</v>
      </c>
      <c r="C3806" t="str">
        <f>"9780773532212"</f>
        <v>9780773532212</v>
      </c>
      <c r="D3806" t="str">
        <f>"9780773560376"</f>
        <v>9780773560376</v>
      </c>
      <c r="E3806" t="s">
        <v>12863</v>
      </c>
      <c r="F3806" t="s">
        <v>12863</v>
      </c>
      <c r="G3806" s="1">
        <v>39273</v>
      </c>
      <c r="I3806" t="s">
        <v>12942</v>
      </c>
      <c r="J3806" t="s">
        <v>19592</v>
      </c>
      <c r="K3806" t="s">
        <v>1550</v>
      </c>
      <c r="L3806" t="s">
        <v>13404</v>
      </c>
      <c r="M3806">
        <v>305.89270714280002</v>
      </c>
      <c r="N3806" t="s">
        <v>19593</v>
      </c>
      <c r="O3806" t="s">
        <v>26</v>
      </c>
      <c r="P3806">
        <v>44.93</v>
      </c>
      <c r="Q3806">
        <v>37.44</v>
      </c>
      <c r="R3806">
        <v>29.95</v>
      </c>
      <c r="S3806">
        <v>44.93</v>
      </c>
      <c r="T3806" t="s">
        <v>19594</v>
      </c>
    </row>
    <row r="3807" spans="1:20">
      <c r="A3807">
        <v>3331867</v>
      </c>
      <c r="B3807" t="s">
        <v>19595</v>
      </c>
      <c r="C3807" t="str">
        <f>"9780773532199"</f>
        <v>9780773532199</v>
      </c>
      <c r="D3807" t="str">
        <f>"9780773560406"</f>
        <v>9780773560406</v>
      </c>
      <c r="E3807" t="s">
        <v>12863</v>
      </c>
      <c r="F3807" t="s">
        <v>12863</v>
      </c>
      <c r="G3807" s="1">
        <v>39303</v>
      </c>
      <c r="J3807" t="s">
        <v>19596</v>
      </c>
      <c r="K3807" t="s">
        <v>291</v>
      </c>
      <c r="L3807" t="s">
        <v>19597</v>
      </c>
      <c r="M3807">
        <v>970.02</v>
      </c>
      <c r="N3807" t="s">
        <v>19598</v>
      </c>
      <c r="O3807" t="s">
        <v>26</v>
      </c>
      <c r="P3807">
        <v>142.5</v>
      </c>
      <c r="Q3807">
        <v>118.75</v>
      </c>
      <c r="R3807">
        <v>95</v>
      </c>
      <c r="S3807">
        <v>142.5</v>
      </c>
      <c r="T3807" t="s">
        <v>19599</v>
      </c>
    </row>
    <row r="3808" spans="1:20">
      <c r="A3808">
        <v>3331868</v>
      </c>
      <c r="B3808" t="s">
        <v>19600</v>
      </c>
      <c r="C3808" t="str">
        <f>"9780773532564"</f>
        <v>9780773532564</v>
      </c>
      <c r="D3808" t="str">
        <f>"9780773560338"</f>
        <v>9780773560338</v>
      </c>
      <c r="E3808" t="s">
        <v>12863</v>
      </c>
      <c r="F3808" t="s">
        <v>12863</v>
      </c>
      <c r="G3808" s="1">
        <v>39209</v>
      </c>
      <c r="J3808" t="s">
        <v>19601</v>
      </c>
      <c r="K3808" t="s">
        <v>263</v>
      </c>
      <c r="L3808" t="s">
        <v>19602</v>
      </c>
      <c r="M3808">
        <v>398.20899163071601</v>
      </c>
      <c r="N3808" t="s">
        <v>19603</v>
      </c>
      <c r="O3808" t="s">
        <v>26</v>
      </c>
      <c r="P3808">
        <v>44.93</v>
      </c>
      <c r="Q3808">
        <v>37.44</v>
      </c>
      <c r="R3808">
        <v>29.95</v>
      </c>
      <c r="S3808">
        <v>44.93</v>
      </c>
      <c r="T3808" t="s">
        <v>19604</v>
      </c>
    </row>
    <row r="3809" spans="1:20">
      <c r="A3809">
        <v>3331869</v>
      </c>
      <c r="B3809" t="s">
        <v>19605</v>
      </c>
      <c r="C3809" t="str">
        <f>"9780773530423"</f>
        <v>9780773530423</v>
      </c>
      <c r="D3809" t="str">
        <f>"9780773560000"</f>
        <v>9780773560000</v>
      </c>
      <c r="E3809" t="s">
        <v>12863</v>
      </c>
      <c r="F3809" t="s">
        <v>12863</v>
      </c>
      <c r="G3809" s="1">
        <v>38798</v>
      </c>
      <c r="J3809" t="s">
        <v>19606</v>
      </c>
      <c r="K3809" t="s">
        <v>4347</v>
      </c>
      <c r="L3809" t="s">
        <v>19607</v>
      </c>
      <c r="M3809">
        <v>355.03109182109</v>
      </c>
      <c r="N3809" t="s">
        <v>19608</v>
      </c>
      <c r="O3809" t="s">
        <v>26</v>
      </c>
      <c r="P3809">
        <v>142.5</v>
      </c>
      <c r="Q3809">
        <v>118.75</v>
      </c>
      <c r="R3809">
        <v>95</v>
      </c>
      <c r="S3809">
        <v>142.5</v>
      </c>
      <c r="T3809" t="s">
        <v>19609</v>
      </c>
    </row>
    <row r="3810" spans="1:20">
      <c r="A3810">
        <v>3331870</v>
      </c>
      <c r="B3810" t="s">
        <v>19610</v>
      </c>
      <c r="C3810" t="str">
        <f>"9780773530584"</f>
        <v>9780773530584</v>
      </c>
      <c r="D3810" t="str">
        <f>"9780773560079"</f>
        <v>9780773560079</v>
      </c>
      <c r="E3810" t="s">
        <v>12863</v>
      </c>
      <c r="F3810" t="s">
        <v>12863</v>
      </c>
      <c r="G3810" s="1">
        <v>38869</v>
      </c>
      <c r="J3810" t="s">
        <v>19611</v>
      </c>
      <c r="K3810" t="s">
        <v>1892</v>
      </c>
      <c r="L3810" t="s">
        <v>19612</v>
      </c>
      <c r="M3810">
        <v>264.02</v>
      </c>
      <c r="N3810" t="s">
        <v>19613</v>
      </c>
      <c r="O3810" t="s">
        <v>26</v>
      </c>
      <c r="P3810">
        <v>142.5</v>
      </c>
      <c r="Q3810">
        <v>118.75</v>
      </c>
      <c r="R3810">
        <v>95</v>
      </c>
      <c r="S3810">
        <v>142.5</v>
      </c>
      <c r="T3810" t="s">
        <v>19614</v>
      </c>
    </row>
    <row r="3811" spans="1:20">
      <c r="A3811">
        <v>3331871</v>
      </c>
      <c r="B3811" t="s">
        <v>19615</v>
      </c>
      <c r="C3811" t="str">
        <f>"9780773532083"</f>
        <v>9780773532083</v>
      </c>
      <c r="D3811" t="str">
        <f>"9780773560284"</f>
        <v>9780773560284</v>
      </c>
      <c r="E3811" t="s">
        <v>12863</v>
      </c>
      <c r="F3811" t="s">
        <v>12863</v>
      </c>
      <c r="G3811" s="1">
        <v>39170</v>
      </c>
      <c r="I3811" t="s">
        <v>12963</v>
      </c>
      <c r="J3811" t="s">
        <v>16793</v>
      </c>
      <c r="K3811" t="s">
        <v>467</v>
      </c>
      <c r="L3811" t="s">
        <v>19616</v>
      </c>
      <c r="M3811">
        <v>320.0940903</v>
      </c>
      <c r="N3811" t="s">
        <v>19617</v>
      </c>
      <c r="O3811" t="s">
        <v>26</v>
      </c>
      <c r="P3811">
        <v>142.5</v>
      </c>
      <c r="Q3811">
        <v>118.75</v>
      </c>
      <c r="R3811">
        <v>95</v>
      </c>
      <c r="S3811">
        <v>142.5</v>
      </c>
      <c r="T3811" t="s">
        <v>19618</v>
      </c>
    </row>
    <row r="3812" spans="1:20">
      <c r="A3812">
        <v>3331872</v>
      </c>
      <c r="B3812" t="s">
        <v>19619</v>
      </c>
      <c r="C3812" t="str">
        <f>"9780773532915"</f>
        <v>9780773532915</v>
      </c>
      <c r="D3812" t="str">
        <f>"9780773560499"</f>
        <v>9780773560499</v>
      </c>
      <c r="E3812" t="s">
        <v>12863</v>
      </c>
      <c r="F3812" t="s">
        <v>12863</v>
      </c>
      <c r="G3812" s="1">
        <v>39401</v>
      </c>
      <c r="J3812" t="s">
        <v>19620</v>
      </c>
      <c r="K3812" t="s">
        <v>839</v>
      </c>
      <c r="L3812" t="s">
        <v>19621</v>
      </c>
      <c r="M3812">
        <v>26.971</v>
      </c>
      <c r="N3812" t="s">
        <v>19622</v>
      </c>
      <c r="O3812" t="s">
        <v>26</v>
      </c>
      <c r="P3812">
        <v>52.43</v>
      </c>
      <c r="Q3812">
        <v>43.69</v>
      </c>
      <c r="R3812">
        <v>34.950000000000003</v>
      </c>
      <c r="S3812">
        <v>52.43</v>
      </c>
      <c r="T3812" t="s">
        <v>19623</v>
      </c>
    </row>
    <row r="3813" spans="1:20">
      <c r="A3813">
        <v>3331873</v>
      </c>
      <c r="B3813" t="s">
        <v>19624</v>
      </c>
      <c r="C3813" t="str">
        <f>"9780773530331"</f>
        <v>9780773530331</v>
      </c>
      <c r="D3813" t="str">
        <f>"9780773560031"</f>
        <v>9780773560031</v>
      </c>
      <c r="E3813" t="s">
        <v>12863</v>
      </c>
      <c r="F3813" t="s">
        <v>12863</v>
      </c>
      <c r="G3813" s="1">
        <v>38825</v>
      </c>
      <c r="I3813" t="s">
        <v>13282</v>
      </c>
      <c r="J3813" t="s">
        <v>19625</v>
      </c>
      <c r="K3813" t="s">
        <v>6444</v>
      </c>
      <c r="L3813" t="s">
        <v>15642</v>
      </c>
      <c r="M3813">
        <v>327.71060175410901</v>
      </c>
      <c r="N3813" t="s">
        <v>19626</v>
      </c>
      <c r="O3813" t="s">
        <v>26</v>
      </c>
      <c r="P3813">
        <v>120</v>
      </c>
      <c r="Q3813">
        <v>100</v>
      </c>
      <c r="R3813">
        <v>80</v>
      </c>
      <c r="S3813">
        <v>120</v>
      </c>
      <c r="T3813" t="s">
        <v>19627</v>
      </c>
    </row>
    <row r="3814" spans="1:20">
      <c r="A3814">
        <v>3331874</v>
      </c>
      <c r="B3814" t="s">
        <v>19628</v>
      </c>
      <c r="C3814" t="str">
        <f>"9780773532007"</f>
        <v>9780773532007</v>
      </c>
      <c r="D3814" t="str">
        <f>"9780773560314"</f>
        <v>9780773560314</v>
      </c>
      <c r="E3814" t="s">
        <v>12863</v>
      </c>
      <c r="F3814" t="s">
        <v>12863</v>
      </c>
      <c r="G3814" s="1">
        <v>39203</v>
      </c>
      <c r="J3814" t="s">
        <v>19629</v>
      </c>
      <c r="K3814" t="s">
        <v>263</v>
      </c>
      <c r="L3814" t="s">
        <v>19630</v>
      </c>
      <c r="M3814">
        <v>305.89711999999997</v>
      </c>
      <c r="N3814" t="s">
        <v>19631</v>
      </c>
      <c r="O3814" t="s">
        <v>26</v>
      </c>
      <c r="P3814">
        <v>74.930000000000007</v>
      </c>
      <c r="Q3814">
        <v>62.44</v>
      </c>
      <c r="R3814">
        <v>49.95</v>
      </c>
      <c r="S3814">
        <v>74.930000000000007</v>
      </c>
      <c r="T3814" t="s">
        <v>19632</v>
      </c>
    </row>
    <row r="3815" spans="1:20">
      <c r="A3815">
        <v>3331875</v>
      </c>
      <c r="B3815" t="s">
        <v>19633</v>
      </c>
      <c r="C3815" t="str">
        <f>"9780773532076"</f>
        <v>9780773532076</v>
      </c>
      <c r="D3815" t="str">
        <f>"9780773560352"</f>
        <v>9780773560352</v>
      </c>
      <c r="E3815" t="s">
        <v>12863</v>
      </c>
      <c r="F3815" t="s">
        <v>12863</v>
      </c>
      <c r="G3815" s="1">
        <v>39224</v>
      </c>
      <c r="J3815" t="s">
        <v>19634</v>
      </c>
      <c r="K3815" t="s">
        <v>1464</v>
      </c>
      <c r="L3815" t="s">
        <v>19635</v>
      </c>
      <c r="M3815">
        <v>860.9</v>
      </c>
      <c r="N3815" t="s">
        <v>19636</v>
      </c>
      <c r="O3815" t="s">
        <v>26</v>
      </c>
      <c r="P3815">
        <v>142.5</v>
      </c>
      <c r="Q3815">
        <v>118.75</v>
      </c>
      <c r="R3815">
        <v>95</v>
      </c>
      <c r="S3815">
        <v>142.5</v>
      </c>
      <c r="T3815" t="s">
        <v>19637</v>
      </c>
    </row>
    <row r="3816" spans="1:20">
      <c r="A3816">
        <v>3331876</v>
      </c>
      <c r="B3816" t="s">
        <v>19638</v>
      </c>
      <c r="C3816" t="str">
        <f>"9780773529601"</f>
        <v>9780773529601</v>
      </c>
      <c r="D3816" t="str">
        <f>"9780773559967"</f>
        <v>9780773559967</v>
      </c>
      <c r="E3816" t="s">
        <v>12863</v>
      </c>
      <c r="F3816" t="s">
        <v>12863</v>
      </c>
      <c r="G3816" s="1">
        <v>38706</v>
      </c>
      <c r="J3816" t="s">
        <v>19639</v>
      </c>
      <c r="K3816" t="s">
        <v>2951</v>
      </c>
      <c r="L3816" t="s">
        <v>13383</v>
      </c>
      <c r="M3816">
        <v>306.44970999999998</v>
      </c>
      <c r="N3816" t="s">
        <v>19640</v>
      </c>
      <c r="O3816" t="s">
        <v>26</v>
      </c>
      <c r="P3816">
        <v>142.5</v>
      </c>
      <c r="Q3816">
        <v>118.75</v>
      </c>
      <c r="R3816">
        <v>95</v>
      </c>
      <c r="S3816">
        <v>142.5</v>
      </c>
      <c r="T3816" t="s">
        <v>19641</v>
      </c>
    </row>
    <row r="3817" spans="1:20">
      <c r="A3817">
        <v>3331877</v>
      </c>
      <c r="B3817" t="s">
        <v>19642</v>
      </c>
      <c r="C3817" t="str">
        <f>"9780773532854"</f>
        <v>9780773532854</v>
      </c>
      <c r="D3817" t="str">
        <f>"9780773560505"</f>
        <v>9780773560505</v>
      </c>
      <c r="E3817" t="s">
        <v>12863</v>
      </c>
      <c r="F3817" t="s">
        <v>12863</v>
      </c>
      <c r="G3817" s="1">
        <v>39416</v>
      </c>
      <c r="J3817" t="s">
        <v>19643</v>
      </c>
      <c r="K3817" t="s">
        <v>4347</v>
      </c>
      <c r="L3817" t="s">
        <v>19644</v>
      </c>
      <c r="M3817">
        <v>355.47171300000002</v>
      </c>
      <c r="N3817" t="s">
        <v>19645</v>
      </c>
      <c r="O3817" t="s">
        <v>26</v>
      </c>
      <c r="P3817">
        <v>142.5</v>
      </c>
      <c r="Q3817">
        <v>118.75</v>
      </c>
      <c r="R3817">
        <v>95</v>
      </c>
      <c r="S3817">
        <v>142.5</v>
      </c>
      <c r="T3817" t="s">
        <v>19646</v>
      </c>
    </row>
    <row r="3818" spans="1:20">
      <c r="A3818">
        <v>3331878</v>
      </c>
      <c r="B3818" t="s">
        <v>19647</v>
      </c>
      <c r="C3818" t="str">
        <f>"9780773532687"</f>
        <v>9780773532687</v>
      </c>
      <c r="D3818" t="str">
        <f>"9780773560475"</f>
        <v>9780773560475</v>
      </c>
      <c r="E3818" t="s">
        <v>12863</v>
      </c>
      <c r="F3818" t="s">
        <v>12863</v>
      </c>
      <c r="G3818" s="1">
        <v>39388</v>
      </c>
      <c r="J3818" t="s">
        <v>19648</v>
      </c>
      <c r="K3818" t="s">
        <v>473</v>
      </c>
      <c r="L3818" t="s">
        <v>19649</v>
      </c>
      <c r="M3818">
        <v>306.20971400000002</v>
      </c>
      <c r="N3818" t="s">
        <v>19650</v>
      </c>
      <c r="O3818" t="s">
        <v>26</v>
      </c>
      <c r="P3818">
        <v>142.5</v>
      </c>
      <c r="Q3818">
        <v>118.75</v>
      </c>
      <c r="R3818">
        <v>95</v>
      </c>
      <c r="S3818">
        <v>142.5</v>
      </c>
      <c r="T3818" t="s">
        <v>19651</v>
      </c>
    </row>
    <row r="3819" spans="1:20">
      <c r="A3819">
        <v>3331879</v>
      </c>
      <c r="B3819" t="s">
        <v>19652</v>
      </c>
      <c r="C3819" t="str">
        <f>"9780773529717"</f>
        <v>9780773529717</v>
      </c>
      <c r="D3819" t="str">
        <f>"9780773560055"</f>
        <v>9780773560055</v>
      </c>
      <c r="E3819" t="s">
        <v>12863</v>
      </c>
      <c r="F3819" t="s">
        <v>12863</v>
      </c>
      <c r="G3819" s="1">
        <v>38849</v>
      </c>
      <c r="J3819" t="s">
        <v>18510</v>
      </c>
      <c r="K3819" t="s">
        <v>291</v>
      </c>
      <c r="L3819" t="s">
        <v>19653</v>
      </c>
      <c r="M3819">
        <v>941.50810000000001</v>
      </c>
      <c r="N3819" t="s">
        <v>19654</v>
      </c>
      <c r="O3819" t="s">
        <v>26</v>
      </c>
      <c r="P3819">
        <v>142.5</v>
      </c>
      <c r="Q3819">
        <v>118.75</v>
      </c>
      <c r="R3819">
        <v>95</v>
      </c>
      <c r="S3819">
        <v>142.5</v>
      </c>
      <c r="T3819" t="s">
        <v>19655</v>
      </c>
    </row>
    <row r="3820" spans="1:20">
      <c r="A3820">
        <v>3331880</v>
      </c>
      <c r="B3820" t="s">
        <v>19656</v>
      </c>
      <c r="C3820" t="str">
        <f>"9780773533004"</f>
        <v>9780773533004</v>
      </c>
      <c r="D3820" t="str">
        <f>"9780773560390"</f>
        <v>9780773560390</v>
      </c>
      <c r="E3820" t="s">
        <v>12863</v>
      </c>
      <c r="F3820" t="s">
        <v>12863</v>
      </c>
      <c r="G3820" s="1">
        <v>39302</v>
      </c>
      <c r="J3820" t="s">
        <v>19006</v>
      </c>
      <c r="K3820" t="s">
        <v>263</v>
      </c>
      <c r="L3820" t="s">
        <v>19657</v>
      </c>
      <c r="M3820">
        <v>364.37409200000002</v>
      </c>
      <c r="N3820" t="s">
        <v>19658</v>
      </c>
      <c r="O3820" t="s">
        <v>26</v>
      </c>
      <c r="P3820">
        <v>52.43</v>
      </c>
      <c r="Q3820">
        <v>43.69</v>
      </c>
      <c r="R3820">
        <v>34.950000000000003</v>
      </c>
      <c r="S3820">
        <v>52.43</v>
      </c>
      <c r="T3820" t="s">
        <v>19659</v>
      </c>
    </row>
    <row r="3821" spans="1:20">
      <c r="A3821">
        <v>3331881</v>
      </c>
      <c r="B3821" t="s">
        <v>19660</v>
      </c>
      <c r="C3821" t="str">
        <f>"9780773530362"</f>
        <v>9780773530362</v>
      </c>
      <c r="D3821" t="str">
        <f>"9780773560123"</f>
        <v>9780773560123</v>
      </c>
      <c r="E3821" t="s">
        <v>12863</v>
      </c>
      <c r="F3821" t="s">
        <v>12863</v>
      </c>
      <c r="G3821" s="1">
        <v>38925</v>
      </c>
      <c r="J3821" t="s">
        <v>19661</v>
      </c>
      <c r="K3821" t="s">
        <v>6444</v>
      </c>
      <c r="L3821" t="s">
        <v>19662</v>
      </c>
      <c r="M3821">
        <v>327.71041000000002</v>
      </c>
      <c r="N3821" t="s">
        <v>19663</v>
      </c>
      <c r="O3821" t="s">
        <v>26</v>
      </c>
      <c r="P3821">
        <v>44.93</v>
      </c>
      <c r="Q3821">
        <v>37.44</v>
      </c>
      <c r="R3821">
        <v>29.95</v>
      </c>
      <c r="S3821">
        <v>44.93</v>
      </c>
      <c r="T3821" t="s">
        <v>19664</v>
      </c>
    </row>
    <row r="3822" spans="1:20">
      <c r="A3822">
        <v>3331882</v>
      </c>
      <c r="B3822" t="s">
        <v>19665</v>
      </c>
      <c r="C3822" t="str">
        <f>"9780773532632"</f>
        <v>9780773532632</v>
      </c>
      <c r="D3822" t="str">
        <f>"9780773560413"</f>
        <v>9780773560413</v>
      </c>
      <c r="E3822" t="s">
        <v>12863</v>
      </c>
      <c r="F3822" t="s">
        <v>12863</v>
      </c>
      <c r="G3822" s="1">
        <v>39307</v>
      </c>
      <c r="J3822" t="s">
        <v>19576</v>
      </c>
      <c r="K3822" t="s">
        <v>4081</v>
      </c>
      <c r="L3822" t="s">
        <v>19666</v>
      </c>
      <c r="M3822">
        <v>425.01</v>
      </c>
      <c r="N3822" t="s">
        <v>19667</v>
      </c>
      <c r="O3822" t="s">
        <v>26</v>
      </c>
      <c r="P3822">
        <v>142.5</v>
      </c>
      <c r="Q3822">
        <v>118.75</v>
      </c>
      <c r="R3822">
        <v>95</v>
      </c>
      <c r="S3822">
        <v>142.5</v>
      </c>
      <c r="T3822" t="s">
        <v>19668</v>
      </c>
    </row>
    <row r="3823" spans="1:20">
      <c r="A3823">
        <v>3331883</v>
      </c>
      <c r="B3823" t="s">
        <v>19669</v>
      </c>
      <c r="C3823" t="str">
        <f>"9780773530706"</f>
        <v>9780773530706</v>
      </c>
      <c r="D3823" t="str">
        <f>"9780773560215"</f>
        <v>9780773560215</v>
      </c>
      <c r="E3823" t="s">
        <v>12863</v>
      </c>
      <c r="F3823" t="s">
        <v>12863</v>
      </c>
      <c r="G3823" s="1">
        <v>39065</v>
      </c>
      <c r="J3823" t="s">
        <v>19670</v>
      </c>
      <c r="K3823" t="s">
        <v>1471</v>
      </c>
      <c r="L3823" t="s">
        <v>19671</v>
      </c>
      <c r="M3823">
        <v>707.10709999999995</v>
      </c>
      <c r="N3823" t="s">
        <v>19672</v>
      </c>
      <c r="O3823" t="s">
        <v>26</v>
      </c>
      <c r="P3823">
        <v>142.5</v>
      </c>
      <c r="Q3823">
        <v>118.75</v>
      </c>
      <c r="R3823">
        <v>95</v>
      </c>
      <c r="S3823">
        <v>142.5</v>
      </c>
      <c r="T3823" t="s">
        <v>19673</v>
      </c>
    </row>
    <row r="3824" spans="1:20">
      <c r="A3824">
        <v>3331884</v>
      </c>
      <c r="B3824" t="s">
        <v>19674</v>
      </c>
      <c r="C3824" t="str">
        <f>"9780773532052"</f>
        <v>9780773532052</v>
      </c>
      <c r="D3824" t="str">
        <f>"9780773560246"</f>
        <v>9780773560246</v>
      </c>
      <c r="E3824" t="s">
        <v>12863</v>
      </c>
      <c r="F3824" t="s">
        <v>12863</v>
      </c>
      <c r="G3824" s="1">
        <v>39140</v>
      </c>
      <c r="J3824" t="s">
        <v>19675</v>
      </c>
      <c r="K3824" t="s">
        <v>291</v>
      </c>
      <c r="L3824" t="s">
        <v>19676</v>
      </c>
      <c r="M3824">
        <v>944.08150000000001</v>
      </c>
      <c r="N3824" t="s">
        <v>19677</v>
      </c>
      <c r="O3824" t="s">
        <v>26</v>
      </c>
      <c r="P3824">
        <v>142.5</v>
      </c>
      <c r="Q3824">
        <v>118.75</v>
      </c>
      <c r="R3824">
        <v>95</v>
      </c>
      <c r="S3824">
        <v>142.5</v>
      </c>
      <c r="T3824" t="s">
        <v>19678</v>
      </c>
    </row>
    <row r="3825" spans="1:20">
      <c r="A3825">
        <v>3331885</v>
      </c>
      <c r="B3825" t="s">
        <v>19679</v>
      </c>
      <c r="C3825" t="str">
        <f>"9780773531376"</f>
        <v>9780773531376</v>
      </c>
      <c r="D3825" t="str">
        <f>"9780773560208"</f>
        <v>9780773560208</v>
      </c>
      <c r="E3825" t="s">
        <v>12863</v>
      </c>
      <c r="F3825" t="s">
        <v>12863</v>
      </c>
      <c r="G3825" s="1">
        <v>39045</v>
      </c>
      <c r="J3825" t="s">
        <v>19680</v>
      </c>
      <c r="K3825" t="s">
        <v>6813</v>
      </c>
      <c r="L3825" t="s">
        <v>19681</v>
      </c>
      <c r="M3825">
        <v>305.9262147792</v>
      </c>
      <c r="N3825" t="s">
        <v>19682</v>
      </c>
      <c r="O3825" t="s">
        <v>26</v>
      </c>
      <c r="P3825">
        <v>142.5</v>
      </c>
      <c r="Q3825">
        <v>118.75</v>
      </c>
      <c r="R3825">
        <v>95</v>
      </c>
      <c r="S3825">
        <v>142.5</v>
      </c>
      <c r="T3825" t="s">
        <v>19683</v>
      </c>
    </row>
    <row r="3826" spans="1:20">
      <c r="A3826">
        <v>3331886</v>
      </c>
      <c r="B3826" t="s">
        <v>19684</v>
      </c>
      <c r="C3826" t="str">
        <f>"9780773532021"</f>
        <v>9780773532021</v>
      </c>
      <c r="D3826" t="str">
        <f>"9780773560345"</f>
        <v>9780773560345</v>
      </c>
      <c r="E3826" t="s">
        <v>12863</v>
      </c>
      <c r="F3826" t="s">
        <v>12863</v>
      </c>
      <c r="G3826" s="1">
        <v>39211</v>
      </c>
      <c r="J3826" t="s">
        <v>18887</v>
      </c>
      <c r="K3826" t="s">
        <v>1464</v>
      </c>
      <c r="L3826" t="s">
        <v>19685</v>
      </c>
      <c r="M3826">
        <v>821.80899999999997</v>
      </c>
      <c r="N3826" t="s">
        <v>19686</v>
      </c>
      <c r="O3826" t="s">
        <v>26</v>
      </c>
      <c r="P3826">
        <v>142.5</v>
      </c>
      <c r="Q3826">
        <v>118.75</v>
      </c>
      <c r="R3826">
        <v>95</v>
      </c>
      <c r="S3826">
        <v>142.5</v>
      </c>
      <c r="T3826" t="s">
        <v>19687</v>
      </c>
    </row>
    <row r="3827" spans="1:20">
      <c r="A3827">
        <v>3331887</v>
      </c>
      <c r="B3827" t="s">
        <v>19688</v>
      </c>
      <c r="C3827" t="str">
        <f>"9780773533370"</f>
        <v>9780773533370</v>
      </c>
      <c r="D3827" t="str">
        <f>"9780773560512"</f>
        <v>9780773560512</v>
      </c>
      <c r="E3827" t="s">
        <v>12863</v>
      </c>
      <c r="F3827" t="s">
        <v>12863</v>
      </c>
      <c r="G3827" s="1">
        <v>39434</v>
      </c>
      <c r="J3827" t="s">
        <v>19689</v>
      </c>
      <c r="K3827" t="s">
        <v>9086</v>
      </c>
      <c r="L3827" t="s">
        <v>19690</v>
      </c>
      <c r="M3827">
        <v>629.13082091712397</v>
      </c>
      <c r="N3827" t="s">
        <v>19691</v>
      </c>
      <c r="O3827" t="s">
        <v>26</v>
      </c>
      <c r="P3827">
        <v>142.5</v>
      </c>
      <c r="Q3827">
        <v>118.75</v>
      </c>
      <c r="R3827">
        <v>95</v>
      </c>
      <c r="S3827">
        <v>142.5</v>
      </c>
      <c r="T3827" t="s">
        <v>19692</v>
      </c>
    </row>
    <row r="3828" spans="1:20">
      <c r="A3828">
        <v>3331888</v>
      </c>
      <c r="B3828" t="s">
        <v>19693</v>
      </c>
      <c r="C3828" t="str">
        <f>"9780773513143"</f>
        <v>9780773513143</v>
      </c>
      <c r="D3828" t="str">
        <f>"9780773565463"</f>
        <v>9780773565463</v>
      </c>
      <c r="E3828" t="s">
        <v>12863</v>
      </c>
      <c r="F3828" t="s">
        <v>12863</v>
      </c>
      <c r="G3828" s="1">
        <v>34864</v>
      </c>
      <c r="J3828" t="s">
        <v>19694</v>
      </c>
      <c r="K3828" t="s">
        <v>291</v>
      </c>
      <c r="L3828" t="s">
        <v>13100</v>
      </c>
      <c r="M3828">
        <v>971.06479999999999</v>
      </c>
      <c r="N3828" t="s">
        <v>19695</v>
      </c>
      <c r="O3828" t="s">
        <v>26</v>
      </c>
      <c r="P3828">
        <v>142.5</v>
      </c>
      <c r="Q3828">
        <v>118.75</v>
      </c>
      <c r="R3828">
        <v>95</v>
      </c>
      <c r="S3828">
        <v>142.5</v>
      </c>
      <c r="T3828" t="s">
        <v>19696</v>
      </c>
    </row>
    <row r="3829" spans="1:20">
      <c r="A3829">
        <v>3331889</v>
      </c>
      <c r="B3829" t="s">
        <v>19697</v>
      </c>
      <c r="C3829" t="str">
        <f>"9780773526037"</f>
        <v>9780773526037</v>
      </c>
      <c r="D3829" t="str">
        <f>"9780773571402"</f>
        <v>9780773571402</v>
      </c>
      <c r="E3829" t="s">
        <v>12907</v>
      </c>
      <c r="F3829" t="s">
        <v>12907</v>
      </c>
      <c r="G3829" s="1">
        <v>37734</v>
      </c>
      <c r="J3829" t="s">
        <v>19698</v>
      </c>
      <c r="K3829" t="s">
        <v>467</v>
      </c>
      <c r="L3829" t="s">
        <v>19699</v>
      </c>
      <c r="M3829">
        <v>321.02</v>
      </c>
      <c r="N3829" t="s">
        <v>19700</v>
      </c>
      <c r="O3829" t="s">
        <v>26</v>
      </c>
      <c r="P3829">
        <v>165</v>
      </c>
      <c r="Q3829">
        <v>137.5</v>
      </c>
      <c r="R3829">
        <v>110</v>
      </c>
      <c r="S3829">
        <v>165</v>
      </c>
      <c r="T3829" t="s">
        <v>19701</v>
      </c>
    </row>
    <row r="3830" spans="1:20">
      <c r="A3830">
        <v>3331890</v>
      </c>
      <c r="B3830" t="s">
        <v>19702</v>
      </c>
      <c r="C3830" t="str">
        <f>"9780773528512"</f>
        <v>9780773528512</v>
      </c>
      <c r="D3830" t="str">
        <f>"9780773572577"</f>
        <v>9780773572577</v>
      </c>
      <c r="E3830" t="s">
        <v>12863</v>
      </c>
      <c r="F3830" t="s">
        <v>12863</v>
      </c>
      <c r="G3830" s="1">
        <v>38411</v>
      </c>
      <c r="I3830" t="s">
        <v>13288</v>
      </c>
      <c r="J3830" t="s">
        <v>19703</v>
      </c>
      <c r="K3830" t="s">
        <v>263</v>
      </c>
      <c r="L3830" t="s">
        <v>19704</v>
      </c>
      <c r="N3830" t="s">
        <v>19705</v>
      </c>
      <c r="O3830" t="s">
        <v>94</v>
      </c>
      <c r="P3830">
        <v>142.5</v>
      </c>
      <c r="Q3830">
        <v>118.75</v>
      </c>
      <c r="R3830">
        <v>95</v>
      </c>
      <c r="S3830">
        <v>142.5</v>
      </c>
      <c r="T3830" t="s">
        <v>19706</v>
      </c>
    </row>
    <row r="3831" spans="1:20">
      <c r="A3831">
        <v>3331891</v>
      </c>
      <c r="B3831" t="s">
        <v>19707</v>
      </c>
      <c r="C3831" t="str">
        <f>"9780773533837"</f>
        <v>9780773533837</v>
      </c>
      <c r="D3831" t="str">
        <f>"9780773574632"</f>
        <v>9780773574632</v>
      </c>
      <c r="E3831" t="s">
        <v>12863</v>
      </c>
      <c r="F3831" t="s">
        <v>12863</v>
      </c>
      <c r="G3831" s="1">
        <v>39503</v>
      </c>
      <c r="I3831" t="s">
        <v>19169</v>
      </c>
      <c r="J3831" t="s">
        <v>19708</v>
      </c>
      <c r="K3831" t="s">
        <v>1464</v>
      </c>
      <c r="L3831" t="s">
        <v>19709</v>
      </c>
      <c r="M3831">
        <v>811.54</v>
      </c>
      <c r="N3831" t="s">
        <v>19710</v>
      </c>
      <c r="O3831" t="s">
        <v>26</v>
      </c>
      <c r="P3831">
        <v>25.43</v>
      </c>
      <c r="Q3831">
        <v>21.19</v>
      </c>
      <c r="R3831">
        <v>16.95</v>
      </c>
      <c r="S3831">
        <v>25.43</v>
      </c>
      <c r="T3831" t="s">
        <v>19711</v>
      </c>
    </row>
    <row r="3832" spans="1:20">
      <c r="A3832">
        <v>3331892</v>
      </c>
      <c r="B3832" t="s">
        <v>19712</v>
      </c>
      <c r="C3832" t="str">
        <f>"9780773535060"</f>
        <v>9780773535060</v>
      </c>
      <c r="D3832" t="str">
        <f>"9780773575240"</f>
        <v>9780773575240</v>
      </c>
      <c r="E3832" t="s">
        <v>12863</v>
      </c>
      <c r="F3832" t="s">
        <v>12863</v>
      </c>
      <c r="G3832" s="1">
        <v>39904</v>
      </c>
      <c r="I3832" t="s">
        <v>19169</v>
      </c>
      <c r="J3832" t="s">
        <v>19713</v>
      </c>
      <c r="K3832" t="s">
        <v>1464</v>
      </c>
      <c r="L3832" t="s">
        <v>19714</v>
      </c>
      <c r="M3832">
        <v>811.54</v>
      </c>
      <c r="N3832" t="s">
        <v>19715</v>
      </c>
      <c r="O3832" t="s">
        <v>26</v>
      </c>
      <c r="P3832">
        <v>25.43</v>
      </c>
      <c r="Q3832">
        <v>21.19</v>
      </c>
      <c r="R3832">
        <v>16.95</v>
      </c>
      <c r="S3832">
        <v>25.43</v>
      </c>
      <c r="T3832" t="s">
        <v>19716</v>
      </c>
    </row>
    <row r="3833" spans="1:20">
      <c r="A3833">
        <v>3331893</v>
      </c>
      <c r="B3833" t="s">
        <v>19717</v>
      </c>
      <c r="C3833" t="str">
        <f>"9780773533776"</f>
        <v>9780773533776</v>
      </c>
      <c r="D3833" t="str">
        <f>"9780773574595"</f>
        <v>9780773574595</v>
      </c>
      <c r="E3833" t="s">
        <v>12863</v>
      </c>
      <c r="F3833" t="s">
        <v>12863</v>
      </c>
      <c r="G3833" s="1">
        <v>39505</v>
      </c>
      <c r="J3833" t="s">
        <v>19718</v>
      </c>
      <c r="K3833" t="s">
        <v>13493</v>
      </c>
      <c r="L3833" t="s">
        <v>19719</v>
      </c>
      <c r="M3833">
        <v>810.80354999999997</v>
      </c>
      <c r="N3833" t="s">
        <v>19720</v>
      </c>
      <c r="O3833" t="s">
        <v>26</v>
      </c>
      <c r="P3833">
        <v>34.43</v>
      </c>
      <c r="Q3833">
        <v>28.69</v>
      </c>
      <c r="R3833">
        <v>22.95</v>
      </c>
      <c r="S3833">
        <v>34.43</v>
      </c>
      <c r="T3833" t="s">
        <v>19721</v>
      </c>
    </row>
    <row r="3834" spans="1:20">
      <c r="A3834">
        <v>3331894</v>
      </c>
      <c r="B3834" t="s">
        <v>19722</v>
      </c>
      <c r="C3834" t="str">
        <f>"9780773534476"</f>
        <v>9780773534476</v>
      </c>
      <c r="D3834" t="str">
        <f>"9780773574731"</f>
        <v>9780773574731</v>
      </c>
      <c r="E3834" t="s">
        <v>12863</v>
      </c>
      <c r="F3834" t="s">
        <v>12863</v>
      </c>
      <c r="G3834" s="1">
        <v>39678</v>
      </c>
      <c r="J3834" t="s">
        <v>19723</v>
      </c>
      <c r="K3834" t="s">
        <v>1892</v>
      </c>
      <c r="L3834" t="s">
        <v>19724</v>
      </c>
      <c r="M3834">
        <v>220.6</v>
      </c>
      <c r="N3834" t="s">
        <v>19725</v>
      </c>
      <c r="O3834" t="s">
        <v>26</v>
      </c>
      <c r="P3834">
        <v>37.43</v>
      </c>
      <c r="Q3834">
        <v>31.19</v>
      </c>
      <c r="R3834">
        <v>24.95</v>
      </c>
      <c r="S3834">
        <v>37.43</v>
      </c>
      <c r="T3834" t="s">
        <v>19726</v>
      </c>
    </row>
    <row r="3835" spans="1:20">
      <c r="A3835">
        <v>3331895</v>
      </c>
      <c r="B3835" t="s">
        <v>19727</v>
      </c>
      <c r="C3835" t="str">
        <f>"9780773534902"</f>
        <v>9780773534902</v>
      </c>
      <c r="D3835" t="str">
        <f>"9780773575158"</f>
        <v>9780773575158</v>
      </c>
      <c r="E3835" t="s">
        <v>12863</v>
      </c>
      <c r="F3835" t="s">
        <v>12863</v>
      </c>
      <c r="G3835" s="1">
        <v>39727</v>
      </c>
      <c r="J3835" t="s">
        <v>19728</v>
      </c>
      <c r="K3835" t="s">
        <v>1464</v>
      </c>
      <c r="L3835" t="s">
        <v>19729</v>
      </c>
      <c r="M3835">
        <v>813.54</v>
      </c>
      <c r="N3835" t="s">
        <v>19730</v>
      </c>
      <c r="O3835" t="s">
        <v>26</v>
      </c>
      <c r="P3835">
        <v>37.43</v>
      </c>
      <c r="Q3835">
        <v>31.19</v>
      </c>
      <c r="R3835">
        <v>24.95</v>
      </c>
      <c r="S3835">
        <v>37.43</v>
      </c>
      <c r="T3835" t="s">
        <v>19731</v>
      </c>
    </row>
    <row r="3836" spans="1:20">
      <c r="A3836">
        <v>3331896</v>
      </c>
      <c r="B3836" t="s">
        <v>19732</v>
      </c>
      <c r="C3836" t="str">
        <f>"9780773534322"</f>
        <v>9780773534322</v>
      </c>
      <c r="D3836" t="str">
        <f>"9780773575172"</f>
        <v>9780773575172</v>
      </c>
      <c r="E3836" t="s">
        <v>12863</v>
      </c>
      <c r="F3836" t="s">
        <v>12863</v>
      </c>
      <c r="G3836" s="1">
        <v>39804</v>
      </c>
      <c r="I3836" t="s">
        <v>18279</v>
      </c>
      <c r="J3836" t="s">
        <v>19733</v>
      </c>
      <c r="K3836" t="s">
        <v>291</v>
      </c>
      <c r="L3836" t="s">
        <v>19734</v>
      </c>
      <c r="M3836">
        <v>954.03509220000001</v>
      </c>
      <c r="N3836" t="s">
        <v>19735</v>
      </c>
      <c r="O3836" t="s">
        <v>26</v>
      </c>
      <c r="P3836">
        <v>41.93</v>
      </c>
      <c r="Q3836">
        <v>34.94</v>
      </c>
      <c r="R3836">
        <v>27.95</v>
      </c>
      <c r="S3836">
        <v>41.93</v>
      </c>
      <c r="T3836" t="s">
        <v>19736</v>
      </c>
    </row>
    <row r="3837" spans="1:20">
      <c r="A3837">
        <v>3331897</v>
      </c>
      <c r="B3837" t="s">
        <v>19737</v>
      </c>
      <c r="C3837" t="str">
        <f>"9780773535442"</f>
        <v>9780773535442</v>
      </c>
      <c r="D3837" t="str">
        <f>"9780773575295"</f>
        <v>9780773575295</v>
      </c>
      <c r="E3837" t="s">
        <v>12863</v>
      </c>
      <c r="F3837" t="s">
        <v>12863</v>
      </c>
      <c r="G3837" s="1">
        <v>39787</v>
      </c>
      <c r="H3837">
        <v>3</v>
      </c>
      <c r="J3837" t="s">
        <v>19738</v>
      </c>
      <c r="K3837" t="s">
        <v>291</v>
      </c>
      <c r="L3837" t="s">
        <v>19739</v>
      </c>
      <c r="M3837">
        <v>943.08609200000001</v>
      </c>
      <c r="N3837" t="s">
        <v>19740</v>
      </c>
      <c r="O3837" t="s">
        <v>26</v>
      </c>
      <c r="P3837">
        <v>41.93</v>
      </c>
      <c r="Q3837">
        <v>34.94</v>
      </c>
      <c r="R3837">
        <v>27.95</v>
      </c>
      <c r="S3837">
        <v>41.93</v>
      </c>
      <c r="T3837" t="s">
        <v>19741</v>
      </c>
    </row>
    <row r="3838" spans="1:20">
      <c r="A3838">
        <v>3331898</v>
      </c>
      <c r="B3838" t="s">
        <v>19742</v>
      </c>
      <c r="C3838" t="str">
        <f>"9780773534742"</f>
        <v>9780773534742</v>
      </c>
      <c r="D3838" t="str">
        <f>"9780773574892"</f>
        <v>9780773574892</v>
      </c>
      <c r="E3838" t="s">
        <v>12863</v>
      </c>
      <c r="F3838" t="s">
        <v>12863</v>
      </c>
      <c r="G3838" s="1">
        <v>39737</v>
      </c>
      <c r="J3838" t="s">
        <v>18859</v>
      </c>
      <c r="K3838" t="s">
        <v>2312</v>
      </c>
      <c r="L3838" t="s">
        <v>19743</v>
      </c>
      <c r="M3838">
        <v>327.11700000000002</v>
      </c>
      <c r="N3838" t="s">
        <v>19744</v>
      </c>
      <c r="O3838" t="s">
        <v>26</v>
      </c>
      <c r="P3838">
        <v>41.93</v>
      </c>
      <c r="Q3838">
        <v>34.94</v>
      </c>
      <c r="R3838">
        <v>27.95</v>
      </c>
      <c r="S3838">
        <v>41.93</v>
      </c>
      <c r="T3838" t="s">
        <v>19745</v>
      </c>
    </row>
    <row r="3839" spans="1:20">
      <c r="A3839">
        <v>3331899</v>
      </c>
      <c r="B3839" t="s">
        <v>19746</v>
      </c>
      <c r="C3839" t="str">
        <f>"9780773533653"</f>
        <v>9780773533653</v>
      </c>
      <c r="D3839" t="str">
        <f>"9780773568426"</f>
        <v>9780773568426</v>
      </c>
      <c r="E3839" t="s">
        <v>12863</v>
      </c>
      <c r="F3839" t="s">
        <v>12863</v>
      </c>
      <c r="G3839" s="1">
        <v>39506</v>
      </c>
      <c r="J3839" t="s">
        <v>19747</v>
      </c>
      <c r="K3839" t="s">
        <v>1464</v>
      </c>
      <c r="L3839" t="s">
        <v>19748</v>
      </c>
      <c r="M3839">
        <v>823.8</v>
      </c>
      <c r="N3839" t="s">
        <v>19749</v>
      </c>
      <c r="O3839" t="s">
        <v>26</v>
      </c>
      <c r="P3839">
        <v>52.43</v>
      </c>
      <c r="Q3839">
        <v>43.69</v>
      </c>
      <c r="R3839">
        <v>34.950000000000003</v>
      </c>
      <c r="S3839">
        <v>52.43</v>
      </c>
      <c r="T3839" t="s">
        <v>19750</v>
      </c>
    </row>
    <row r="3840" spans="1:20">
      <c r="A3840">
        <v>3331900</v>
      </c>
      <c r="B3840" t="s">
        <v>19751</v>
      </c>
      <c r="C3840" t="str">
        <f>"9780773534339"</f>
        <v>9780773534339</v>
      </c>
      <c r="D3840" t="str">
        <f>"9780773574816"</f>
        <v>9780773574816</v>
      </c>
      <c r="E3840" t="s">
        <v>12863</v>
      </c>
      <c r="F3840" t="s">
        <v>12863</v>
      </c>
      <c r="G3840" s="1">
        <v>39604</v>
      </c>
      <c r="J3840" t="s">
        <v>19752</v>
      </c>
      <c r="K3840" t="s">
        <v>467</v>
      </c>
      <c r="L3840" t="s">
        <v>19753</v>
      </c>
      <c r="M3840">
        <v>354.71007220000001</v>
      </c>
      <c r="N3840" t="s">
        <v>19754</v>
      </c>
      <c r="O3840" t="s">
        <v>26</v>
      </c>
      <c r="P3840">
        <v>49.43</v>
      </c>
      <c r="Q3840">
        <v>41.19</v>
      </c>
      <c r="R3840">
        <v>32.950000000000003</v>
      </c>
      <c r="S3840">
        <v>49.43</v>
      </c>
      <c r="T3840" t="s">
        <v>19755</v>
      </c>
    </row>
    <row r="3841" spans="1:20">
      <c r="A3841">
        <v>3331901</v>
      </c>
      <c r="B3841" t="s">
        <v>19756</v>
      </c>
      <c r="C3841" t="str">
        <f>"9780773535312"</f>
        <v>9780773535312</v>
      </c>
      <c r="D3841" t="str">
        <f>"9780773575196"</f>
        <v>9780773575196</v>
      </c>
      <c r="E3841" t="s">
        <v>12863</v>
      </c>
      <c r="F3841" t="s">
        <v>12863</v>
      </c>
      <c r="G3841" s="1">
        <v>39927</v>
      </c>
      <c r="J3841" t="s">
        <v>12865</v>
      </c>
      <c r="K3841" t="s">
        <v>19757</v>
      </c>
      <c r="L3841" t="s">
        <v>19758</v>
      </c>
      <c r="M3841">
        <v>610.69509200000005</v>
      </c>
      <c r="N3841" t="s">
        <v>19759</v>
      </c>
      <c r="O3841" t="s">
        <v>26</v>
      </c>
      <c r="P3841">
        <v>44.93</v>
      </c>
      <c r="Q3841">
        <v>37.44</v>
      </c>
      <c r="R3841">
        <v>29.95</v>
      </c>
      <c r="S3841">
        <v>44.93</v>
      </c>
      <c r="T3841" t="s">
        <v>19760</v>
      </c>
    </row>
    <row r="3842" spans="1:20">
      <c r="A3842">
        <v>3331902</v>
      </c>
      <c r="B3842" t="s">
        <v>19761</v>
      </c>
      <c r="C3842" t="str">
        <f>"9780773534971"</f>
        <v>9780773534971</v>
      </c>
      <c r="D3842" t="str">
        <f>"9780773575219"</f>
        <v>9780773575219</v>
      </c>
      <c r="E3842" t="s">
        <v>12863</v>
      </c>
      <c r="F3842" t="s">
        <v>12863</v>
      </c>
      <c r="G3842" s="1">
        <v>39873</v>
      </c>
      <c r="I3842" t="s">
        <v>18279</v>
      </c>
      <c r="J3842" t="s">
        <v>19762</v>
      </c>
      <c r="K3842" t="s">
        <v>291</v>
      </c>
      <c r="L3842" t="s">
        <v>19763</v>
      </c>
      <c r="M3842">
        <v>952.03309220000006</v>
      </c>
      <c r="N3842" t="s">
        <v>19764</v>
      </c>
      <c r="O3842" t="s">
        <v>26</v>
      </c>
      <c r="P3842">
        <v>44.93</v>
      </c>
      <c r="Q3842">
        <v>37.44</v>
      </c>
      <c r="R3842">
        <v>29.95</v>
      </c>
      <c r="S3842">
        <v>44.93</v>
      </c>
      <c r="T3842" t="s">
        <v>19765</v>
      </c>
    </row>
    <row r="3843" spans="1:20">
      <c r="A3843">
        <v>3331903</v>
      </c>
      <c r="B3843" t="s">
        <v>19766</v>
      </c>
      <c r="C3843" t="str">
        <f>"9780773535350"</f>
        <v>9780773535350</v>
      </c>
      <c r="D3843" t="str">
        <f>"9780773575288"</f>
        <v>9780773575288</v>
      </c>
      <c r="E3843" t="s">
        <v>12907</v>
      </c>
      <c r="F3843" t="s">
        <v>12907</v>
      </c>
      <c r="G3843" s="1">
        <v>39904</v>
      </c>
      <c r="I3843" t="s">
        <v>19767</v>
      </c>
      <c r="J3843" t="s">
        <v>19768</v>
      </c>
      <c r="K3843" t="s">
        <v>291</v>
      </c>
      <c r="L3843" t="s">
        <v>19769</v>
      </c>
      <c r="M3843">
        <v>962.40430000000003</v>
      </c>
      <c r="N3843" t="s">
        <v>19770</v>
      </c>
      <c r="O3843" t="s">
        <v>26</v>
      </c>
      <c r="P3843">
        <v>44.93</v>
      </c>
      <c r="Q3843">
        <v>37.44</v>
      </c>
      <c r="R3843">
        <v>29.95</v>
      </c>
      <c r="S3843">
        <v>44.93</v>
      </c>
      <c r="T3843" t="s">
        <v>19771</v>
      </c>
    </row>
    <row r="3844" spans="1:20">
      <c r="A3844">
        <v>3331904</v>
      </c>
      <c r="B3844" t="s">
        <v>19772</v>
      </c>
      <c r="C3844" t="str">
        <f>"9780773534315"</f>
        <v>9780773534315</v>
      </c>
      <c r="D3844" t="str">
        <f>"9780773574533"</f>
        <v>9780773574533</v>
      </c>
      <c r="E3844" t="s">
        <v>12863</v>
      </c>
      <c r="F3844" t="s">
        <v>12863</v>
      </c>
      <c r="G3844" s="1">
        <v>39722</v>
      </c>
      <c r="I3844" t="s">
        <v>18279</v>
      </c>
      <c r="J3844" t="s">
        <v>19773</v>
      </c>
      <c r="K3844" t="s">
        <v>2260</v>
      </c>
      <c r="L3844" t="s">
        <v>19774</v>
      </c>
      <c r="M3844">
        <v>616.120092</v>
      </c>
      <c r="N3844" t="s">
        <v>19775</v>
      </c>
      <c r="O3844" t="s">
        <v>26</v>
      </c>
      <c r="P3844">
        <v>52.43</v>
      </c>
      <c r="Q3844">
        <v>43.69</v>
      </c>
      <c r="R3844">
        <v>34.950000000000003</v>
      </c>
      <c r="S3844">
        <v>52.43</v>
      </c>
      <c r="T3844" t="s">
        <v>19776</v>
      </c>
    </row>
    <row r="3845" spans="1:20">
      <c r="A3845">
        <v>3331905</v>
      </c>
      <c r="B3845" t="s">
        <v>19777</v>
      </c>
      <c r="C3845" t="str">
        <f>"9780773533684"</f>
        <v>9780773533684</v>
      </c>
      <c r="D3845" t="str">
        <f>"9780773574809"</f>
        <v>9780773574809</v>
      </c>
      <c r="E3845" t="s">
        <v>12863</v>
      </c>
      <c r="F3845" t="s">
        <v>12863</v>
      </c>
      <c r="G3845" s="1">
        <v>39533</v>
      </c>
      <c r="I3845" t="s">
        <v>18213</v>
      </c>
      <c r="J3845" t="s">
        <v>14403</v>
      </c>
      <c r="K3845" t="s">
        <v>1214</v>
      </c>
      <c r="L3845" t="s">
        <v>19778</v>
      </c>
      <c r="M3845">
        <v>341.584</v>
      </c>
      <c r="N3845" t="s">
        <v>19779</v>
      </c>
      <c r="O3845" t="s">
        <v>26</v>
      </c>
      <c r="P3845">
        <v>52.43</v>
      </c>
      <c r="Q3845">
        <v>43.69</v>
      </c>
      <c r="R3845">
        <v>34.950000000000003</v>
      </c>
      <c r="S3845">
        <v>52.43</v>
      </c>
      <c r="T3845" t="s">
        <v>19780</v>
      </c>
    </row>
    <row r="3846" spans="1:20">
      <c r="A3846">
        <v>3331907</v>
      </c>
      <c r="B3846" t="s">
        <v>19781</v>
      </c>
      <c r="C3846" t="str">
        <f>"9780773533608"</f>
        <v>9780773533608</v>
      </c>
      <c r="D3846" t="str">
        <f>"9780773574939"</f>
        <v>9780773574939</v>
      </c>
      <c r="E3846" t="s">
        <v>12863</v>
      </c>
      <c r="F3846" t="s">
        <v>12863</v>
      </c>
      <c r="G3846" s="1">
        <v>39553</v>
      </c>
      <c r="J3846" t="s">
        <v>19782</v>
      </c>
      <c r="K3846" t="s">
        <v>1859</v>
      </c>
      <c r="L3846" t="s">
        <v>19783</v>
      </c>
      <c r="M3846">
        <v>133.43097180000001</v>
      </c>
      <c r="N3846" t="s">
        <v>19784</v>
      </c>
      <c r="O3846" t="s">
        <v>26</v>
      </c>
      <c r="P3846">
        <v>52.43</v>
      </c>
      <c r="Q3846">
        <v>43.69</v>
      </c>
      <c r="R3846">
        <v>34.950000000000003</v>
      </c>
      <c r="S3846">
        <v>52.43</v>
      </c>
      <c r="T3846" t="s">
        <v>19785</v>
      </c>
    </row>
    <row r="3847" spans="1:20">
      <c r="A3847">
        <v>3331908</v>
      </c>
      <c r="B3847" t="s">
        <v>19786</v>
      </c>
      <c r="C3847" t="str">
        <f>"9780773533813"</f>
        <v>9780773533813</v>
      </c>
      <c r="D3847" t="str">
        <f>"9780773575110"</f>
        <v>9780773575110</v>
      </c>
      <c r="E3847" t="s">
        <v>12863</v>
      </c>
      <c r="F3847" t="s">
        <v>12863</v>
      </c>
      <c r="G3847" s="1">
        <v>39553</v>
      </c>
      <c r="I3847" t="s">
        <v>12864</v>
      </c>
      <c r="J3847" t="s">
        <v>19787</v>
      </c>
      <c r="K3847" t="s">
        <v>14600</v>
      </c>
      <c r="L3847" t="s">
        <v>19788</v>
      </c>
      <c r="M3847">
        <v>973.77509199999997</v>
      </c>
      <c r="N3847" t="s">
        <v>19789</v>
      </c>
      <c r="O3847" t="s">
        <v>26</v>
      </c>
      <c r="P3847">
        <v>52.43</v>
      </c>
      <c r="Q3847">
        <v>43.69</v>
      </c>
      <c r="R3847">
        <v>34.950000000000003</v>
      </c>
      <c r="S3847">
        <v>52.43</v>
      </c>
      <c r="T3847" t="s">
        <v>19790</v>
      </c>
    </row>
    <row r="3848" spans="1:20">
      <c r="A3848">
        <v>3331909</v>
      </c>
      <c r="B3848" t="s">
        <v>19791</v>
      </c>
      <c r="C3848" t="str">
        <f>"9780773533400"</f>
        <v>9780773533400</v>
      </c>
      <c r="D3848" t="str">
        <f>"9780773574656"</f>
        <v>9780773574656</v>
      </c>
      <c r="E3848" t="s">
        <v>12863</v>
      </c>
      <c r="F3848" t="s">
        <v>12863</v>
      </c>
      <c r="G3848" s="1">
        <v>39549</v>
      </c>
      <c r="I3848" t="s">
        <v>12864</v>
      </c>
      <c r="J3848" t="s">
        <v>19792</v>
      </c>
      <c r="K3848" t="s">
        <v>376</v>
      </c>
      <c r="L3848" t="s">
        <v>13767</v>
      </c>
      <c r="M3848">
        <v>362.10971000000001</v>
      </c>
      <c r="N3848" t="s">
        <v>19793</v>
      </c>
      <c r="O3848" t="s">
        <v>26</v>
      </c>
      <c r="P3848">
        <v>59.93</v>
      </c>
      <c r="Q3848">
        <v>49.94</v>
      </c>
      <c r="R3848">
        <v>39.950000000000003</v>
      </c>
      <c r="S3848">
        <v>59.93</v>
      </c>
      <c r="T3848" t="s">
        <v>19794</v>
      </c>
    </row>
    <row r="3849" spans="1:20">
      <c r="A3849">
        <v>3331910</v>
      </c>
      <c r="B3849" t="s">
        <v>19795</v>
      </c>
      <c r="C3849" t="str">
        <f>"9780773532700"</f>
        <v>9780773532700</v>
      </c>
      <c r="D3849" t="str">
        <f>"9780773574687"</f>
        <v>9780773574687</v>
      </c>
      <c r="E3849" t="s">
        <v>12863</v>
      </c>
      <c r="F3849" t="s">
        <v>12863</v>
      </c>
      <c r="G3849" s="1">
        <v>39745</v>
      </c>
      <c r="J3849" t="s">
        <v>19538</v>
      </c>
      <c r="K3849" t="s">
        <v>1550</v>
      </c>
      <c r="L3849" t="s">
        <v>19796</v>
      </c>
      <c r="M3849">
        <v>971.06092000000001</v>
      </c>
      <c r="N3849" t="s">
        <v>19797</v>
      </c>
      <c r="O3849" t="s">
        <v>26</v>
      </c>
      <c r="P3849">
        <v>59.93</v>
      </c>
      <c r="Q3849">
        <v>49.94</v>
      </c>
      <c r="R3849">
        <v>39.950000000000003</v>
      </c>
      <c r="S3849">
        <v>59.93</v>
      </c>
      <c r="T3849" t="s">
        <v>19798</v>
      </c>
    </row>
    <row r="3850" spans="1:20">
      <c r="A3850">
        <v>3331911</v>
      </c>
      <c r="B3850" t="s">
        <v>19799</v>
      </c>
      <c r="C3850" t="str">
        <f>"9780773534131"</f>
        <v>9780773534131</v>
      </c>
      <c r="D3850" t="str">
        <f>"9780773574694"</f>
        <v>9780773574694</v>
      </c>
      <c r="E3850" t="s">
        <v>12863</v>
      </c>
      <c r="F3850" t="s">
        <v>12863</v>
      </c>
      <c r="G3850" s="1">
        <v>39681</v>
      </c>
      <c r="J3850" t="s">
        <v>19800</v>
      </c>
      <c r="K3850" t="s">
        <v>1859</v>
      </c>
      <c r="L3850" t="s">
        <v>19801</v>
      </c>
      <c r="M3850">
        <v>111.2</v>
      </c>
      <c r="N3850" t="s">
        <v>19802</v>
      </c>
      <c r="O3850" t="s">
        <v>26</v>
      </c>
      <c r="P3850">
        <v>44.93</v>
      </c>
      <c r="Q3850">
        <v>37.44</v>
      </c>
      <c r="R3850">
        <v>29.95</v>
      </c>
      <c r="S3850">
        <v>44.93</v>
      </c>
      <c r="T3850" t="s">
        <v>19803</v>
      </c>
    </row>
    <row r="3851" spans="1:20">
      <c r="A3851">
        <v>3331912</v>
      </c>
      <c r="B3851" t="s">
        <v>19804</v>
      </c>
      <c r="C3851" t="str">
        <f>"9780773533554"</f>
        <v>9780773533554</v>
      </c>
      <c r="D3851" t="str">
        <f>"9780773574779"</f>
        <v>9780773574779</v>
      </c>
      <c r="E3851" t="s">
        <v>12863</v>
      </c>
      <c r="F3851" t="s">
        <v>12863</v>
      </c>
      <c r="G3851" s="1">
        <v>39527</v>
      </c>
      <c r="J3851" t="s">
        <v>19805</v>
      </c>
      <c r="K3851" t="s">
        <v>1464</v>
      </c>
      <c r="L3851" t="s">
        <v>19806</v>
      </c>
      <c r="M3851">
        <v>813.54</v>
      </c>
      <c r="N3851" t="s">
        <v>19807</v>
      </c>
      <c r="O3851" t="s">
        <v>26</v>
      </c>
      <c r="P3851">
        <v>44.93</v>
      </c>
      <c r="Q3851">
        <v>37.44</v>
      </c>
      <c r="R3851">
        <v>29.95</v>
      </c>
      <c r="S3851">
        <v>44.93</v>
      </c>
      <c r="T3851" t="s">
        <v>19808</v>
      </c>
    </row>
    <row r="3852" spans="1:20">
      <c r="A3852">
        <v>3331913</v>
      </c>
      <c r="B3852" t="s">
        <v>19809</v>
      </c>
      <c r="C3852" t="str">
        <f>"9780773534506"</f>
        <v>9780773534506</v>
      </c>
      <c r="D3852" t="str">
        <f>"9780773575202"</f>
        <v>9780773575202</v>
      </c>
      <c r="E3852" t="s">
        <v>12863</v>
      </c>
      <c r="F3852" t="s">
        <v>12863</v>
      </c>
      <c r="G3852" s="1">
        <v>39776</v>
      </c>
      <c r="J3852" t="s">
        <v>19810</v>
      </c>
      <c r="K3852" t="s">
        <v>3230</v>
      </c>
      <c r="L3852" t="s">
        <v>19811</v>
      </c>
      <c r="M3852">
        <v>919.80409220000001</v>
      </c>
      <c r="N3852" t="s">
        <v>19812</v>
      </c>
      <c r="O3852" t="s">
        <v>26</v>
      </c>
      <c r="P3852">
        <v>59.93</v>
      </c>
      <c r="Q3852">
        <v>49.94</v>
      </c>
      <c r="R3852">
        <v>39.950000000000003</v>
      </c>
      <c r="S3852">
        <v>59.93</v>
      </c>
      <c r="T3852" t="s">
        <v>19813</v>
      </c>
    </row>
    <row r="3853" spans="1:20">
      <c r="A3853">
        <v>3331914</v>
      </c>
      <c r="B3853" t="s">
        <v>19814</v>
      </c>
      <c r="C3853" t="str">
        <f>"9780773533561"</f>
        <v>9780773533561</v>
      </c>
      <c r="D3853" t="str">
        <f>"9780773575028"</f>
        <v>9780773575028</v>
      </c>
      <c r="E3853" t="s">
        <v>12863</v>
      </c>
      <c r="F3853" t="s">
        <v>12863</v>
      </c>
      <c r="G3853" s="1">
        <v>39527</v>
      </c>
      <c r="I3853" t="s">
        <v>19815</v>
      </c>
      <c r="J3853" t="s">
        <v>18481</v>
      </c>
      <c r="K3853" t="s">
        <v>1550</v>
      </c>
      <c r="L3853" t="s">
        <v>19816</v>
      </c>
      <c r="M3853">
        <v>303.34082000000001</v>
      </c>
      <c r="N3853" t="s">
        <v>19817</v>
      </c>
      <c r="O3853" t="s">
        <v>26</v>
      </c>
      <c r="P3853">
        <v>59.93</v>
      </c>
      <c r="Q3853">
        <v>49.94</v>
      </c>
      <c r="R3853">
        <v>39.950000000000003</v>
      </c>
      <c r="S3853">
        <v>59.93</v>
      </c>
      <c r="T3853" t="s">
        <v>19818</v>
      </c>
    </row>
    <row r="3854" spans="1:20">
      <c r="A3854">
        <v>3331915</v>
      </c>
      <c r="B3854" t="s">
        <v>19819</v>
      </c>
      <c r="C3854" t="str">
        <f>"9780773533592"</f>
        <v>9780773533592</v>
      </c>
      <c r="D3854" t="str">
        <f>"9780773575097"</f>
        <v>9780773575097</v>
      </c>
      <c r="E3854" t="s">
        <v>12863</v>
      </c>
      <c r="F3854" t="s">
        <v>12863</v>
      </c>
      <c r="G3854" s="1">
        <v>39527</v>
      </c>
      <c r="J3854" t="s">
        <v>19820</v>
      </c>
      <c r="K3854" t="s">
        <v>1471</v>
      </c>
      <c r="L3854" t="s">
        <v>19821</v>
      </c>
      <c r="M3854">
        <v>709.2</v>
      </c>
      <c r="N3854" t="s">
        <v>19822</v>
      </c>
      <c r="O3854" t="s">
        <v>26</v>
      </c>
      <c r="P3854">
        <v>59.93</v>
      </c>
      <c r="Q3854">
        <v>49.94</v>
      </c>
      <c r="R3854">
        <v>39.950000000000003</v>
      </c>
      <c r="S3854">
        <v>59.93</v>
      </c>
      <c r="T3854" t="s">
        <v>19823</v>
      </c>
    </row>
    <row r="3855" spans="1:20">
      <c r="A3855">
        <v>3331916</v>
      </c>
      <c r="B3855" t="s">
        <v>19824</v>
      </c>
      <c r="C3855" t="str">
        <f>"9780773533578"</f>
        <v>9780773533578</v>
      </c>
      <c r="D3855" t="str">
        <f>"9780773575141"</f>
        <v>9780773575141</v>
      </c>
      <c r="E3855" t="s">
        <v>12907</v>
      </c>
      <c r="F3855" t="s">
        <v>12907</v>
      </c>
      <c r="G3855" s="1">
        <v>39533</v>
      </c>
      <c r="J3855" t="s">
        <v>19825</v>
      </c>
      <c r="K3855" t="s">
        <v>291</v>
      </c>
      <c r="L3855" t="s">
        <v>19826</v>
      </c>
      <c r="M3855">
        <v>971.04092000000003</v>
      </c>
      <c r="N3855" t="s">
        <v>19827</v>
      </c>
      <c r="O3855" t="s">
        <v>26</v>
      </c>
      <c r="P3855">
        <v>59.93</v>
      </c>
      <c r="Q3855">
        <v>49.94</v>
      </c>
      <c r="R3855">
        <v>39.950000000000003</v>
      </c>
      <c r="S3855">
        <v>59.93</v>
      </c>
      <c r="T3855" t="s">
        <v>19828</v>
      </c>
    </row>
    <row r="3856" spans="1:20">
      <c r="A3856">
        <v>3331917</v>
      </c>
      <c r="B3856" t="s">
        <v>19829</v>
      </c>
      <c r="C3856" t="str">
        <f>"9780773534797"</f>
        <v>9780773534797</v>
      </c>
      <c r="D3856" t="str">
        <f>"9780773575165"</f>
        <v>9780773575165</v>
      </c>
      <c r="E3856" t="s">
        <v>12863</v>
      </c>
      <c r="F3856" t="s">
        <v>12863</v>
      </c>
      <c r="G3856" s="1">
        <v>39873</v>
      </c>
      <c r="I3856" t="s">
        <v>12871</v>
      </c>
      <c r="J3856" t="s">
        <v>19830</v>
      </c>
      <c r="K3856" t="s">
        <v>3230</v>
      </c>
      <c r="L3856" t="s">
        <v>19831</v>
      </c>
      <c r="M3856">
        <v>919.80399999999997</v>
      </c>
      <c r="N3856" t="s">
        <v>19832</v>
      </c>
      <c r="O3856" t="s">
        <v>26</v>
      </c>
      <c r="P3856">
        <v>59.93</v>
      </c>
      <c r="Q3856">
        <v>49.94</v>
      </c>
      <c r="R3856">
        <v>39.950000000000003</v>
      </c>
      <c r="S3856">
        <v>59.93</v>
      </c>
      <c r="T3856" t="s">
        <v>19833</v>
      </c>
    </row>
    <row r="3857" spans="1:20">
      <c r="A3857">
        <v>3331918</v>
      </c>
      <c r="B3857" t="s">
        <v>19834</v>
      </c>
      <c r="C3857" t="str">
        <f>"9780773533820"</f>
        <v>9780773533820</v>
      </c>
      <c r="D3857" t="str">
        <f>"9780773574564"</f>
        <v>9780773574564</v>
      </c>
      <c r="E3857" t="s">
        <v>12863</v>
      </c>
      <c r="F3857" t="s">
        <v>12863</v>
      </c>
      <c r="G3857" s="1">
        <v>39608</v>
      </c>
      <c r="J3857" t="s">
        <v>19835</v>
      </c>
      <c r="K3857" t="s">
        <v>291</v>
      </c>
      <c r="L3857" t="s">
        <v>19836</v>
      </c>
      <c r="M3857">
        <v>971.82020920000002</v>
      </c>
      <c r="N3857" t="s">
        <v>19837</v>
      </c>
      <c r="O3857" t="s">
        <v>26</v>
      </c>
      <c r="P3857">
        <v>59.93</v>
      </c>
      <c r="Q3857">
        <v>49.94</v>
      </c>
      <c r="R3857">
        <v>39.950000000000003</v>
      </c>
      <c r="S3857">
        <v>59.93</v>
      </c>
      <c r="T3857" t="s">
        <v>19838</v>
      </c>
    </row>
    <row r="3858" spans="1:20">
      <c r="A3858">
        <v>3331919</v>
      </c>
      <c r="B3858" t="s">
        <v>19839</v>
      </c>
      <c r="C3858" t="str">
        <f>"9780773533585"</f>
        <v>9780773533585</v>
      </c>
      <c r="D3858" t="str">
        <f>"9780773574540"</f>
        <v>9780773574540</v>
      </c>
      <c r="E3858" t="s">
        <v>12863</v>
      </c>
      <c r="F3858" t="s">
        <v>12863</v>
      </c>
      <c r="G3858" s="1">
        <v>39484</v>
      </c>
      <c r="J3858" t="s">
        <v>19840</v>
      </c>
      <c r="K3858" t="s">
        <v>1892</v>
      </c>
      <c r="L3858" t="s">
        <v>19841</v>
      </c>
      <c r="M3858">
        <v>285.27162249999998</v>
      </c>
      <c r="N3858" t="s">
        <v>19842</v>
      </c>
      <c r="O3858" t="s">
        <v>26</v>
      </c>
      <c r="P3858">
        <v>67.430000000000007</v>
      </c>
      <c r="Q3858">
        <v>56.19</v>
      </c>
      <c r="R3858">
        <v>44.95</v>
      </c>
      <c r="S3858">
        <v>67.430000000000007</v>
      </c>
      <c r="T3858" t="s">
        <v>19843</v>
      </c>
    </row>
    <row r="3859" spans="1:20">
      <c r="A3859">
        <v>3331920</v>
      </c>
      <c r="B3859" t="s">
        <v>19844</v>
      </c>
      <c r="C3859" t="str">
        <f>"9780773535244"</f>
        <v>9780773535244</v>
      </c>
      <c r="D3859" t="str">
        <f>"9780773575233"</f>
        <v>9780773575233</v>
      </c>
      <c r="E3859" t="s">
        <v>12863</v>
      </c>
      <c r="F3859" t="s">
        <v>12863</v>
      </c>
      <c r="G3859" s="1">
        <v>39904</v>
      </c>
      <c r="J3859" t="s">
        <v>19845</v>
      </c>
      <c r="K3859" t="s">
        <v>9647</v>
      </c>
      <c r="L3859" t="s">
        <v>19846</v>
      </c>
      <c r="M3859">
        <v>363.3492609713</v>
      </c>
      <c r="N3859" t="s">
        <v>19847</v>
      </c>
      <c r="O3859" t="s">
        <v>26</v>
      </c>
      <c r="P3859">
        <v>67.430000000000007</v>
      </c>
      <c r="Q3859">
        <v>56.19</v>
      </c>
      <c r="R3859">
        <v>44.95</v>
      </c>
      <c r="S3859">
        <v>67.430000000000007</v>
      </c>
      <c r="T3859" t="s">
        <v>19848</v>
      </c>
    </row>
    <row r="3860" spans="1:20">
      <c r="A3860">
        <v>3331921</v>
      </c>
      <c r="B3860" t="s">
        <v>19849</v>
      </c>
      <c r="C3860" t="str">
        <f>"9780773533745"</f>
        <v>9780773533745</v>
      </c>
      <c r="D3860" t="str">
        <f>"9780773574915"</f>
        <v>9780773574915</v>
      </c>
      <c r="E3860" t="s">
        <v>12863</v>
      </c>
      <c r="F3860" t="s">
        <v>12863</v>
      </c>
      <c r="G3860" s="1">
        <v>39472</v>
      </c>
      <c r="J3860" t="s">
        <v>19006</v>
      </c>
      <c r="K3860" t="s">
        <v>1715</v>
      </c>
      <c r="L3860" t="s">
        <v>19850</v>
      </c>
      <c r="M3860">
        <v>378.71428092000002</v>
      </c>
      <c r="N3860" t="s">
        <v>19851</v>
      </c>
      <c r="O3860" t="s">
        <v>26</v>
      </c>
      <c r="P3860">
        <v>44.93</v>
      </c>
      <c r="Q3860">
        <v>37.44</v>
      </c>
      <c r="R3860">
        <v>29.95</v>
      </c>
      <c r="S3860">
        <v>44.93</v>
      </c>
      <c r="T3860" t="s">
        <v>19852</v>
      </c>
    </row>
    <row r="3861" spans="1:20">
      <c r="A3861">
        <v>3331922</v>
      </c>
      <c r="B3861" t="s">
        <v>19853</v>
      </c>
      <c r="C3861" t="str">
        <f>"9780773532465"</f>
        <v>9780773532465</v>
      </c>
      <c r="D3861" t="str">
        <f>"9780773574908"</f>
        <v>9780773574908</v>
      </c>
      <c r="E3861" t="s">
        <v>12863</v>
      </c>
      <c r="F3861" t="s">
        <v>12863</v>
      </c>
      <c r="G3861" s="1">
        <v>39671</v>
      </c>
      <c r="J3861" t="s">
        <v>19854</v>
      </c>
      <c r="K3861" t="s">
        <v>1471</v>
      </c>
      <c r="L3861" t="s">
        <v>19855</v>
      </c>
      <c r="M3861">
        <v>704.94308999999998</v>
      </c>
      <c r="N3861" t="s">
        <v>19856</v>
      </c>
      <c r="O3861" t="s">
        <v>26</v>
      </c>
      <c r="P3861">
        <v>67.5</v>
      </c>
      <c r="Q3861">
        <v>56.25</v>
      </c>
      <c r="R3861">
        <v>45</v>
      </c>
      <c r="S3861">
        <v>67.5</v>
      </c>
      <c r="T3861" t="s">
        <v>19857</v>
      </c>
    </row>
    <row r="3862" spans="1:20">
      <c r="A3862">
        <v>3331923</v>
      </c>
      <c r="B3862" t="s">
        <v>19858</v>
      </c>
      <c r="C3862" t="str">
        <f>"9780773535091"</f>
        <v>9780773535091</v>
      </c>
      <c r="D3862" t="str">
        <f>"9780773575257"</f>
        <v>9780773575257</v>
      </c>
      <c r="E3862" t="s">
        <v>12863</v>
      </c>
      <c r="F3862" t="s">
        <v>12863</v>
      </c>
      <c r="G3862" s="1">
        <v>39873</v>
      </c>
      <c r="I3862" t="s">
        <v>19859</v>
      </c>
      <c r="J3862" t="s">
        <v>19860</v>
      </c>
      <c r="K3862" t="s">
        <v>1471</v>
      </c>
      <c r="L3862" t="s">
        <v>19861</v>
      </c>
      <c r="M3862">
        <v>759.11</v>
      </c>
      <c r="N3862" t="s">
        <v>19862</v>
      </c>
      <c r="O3862" t="s">
        <v>26</v>
      </c>
      <c r="P3862">
        <v>74.930000000000007</v>
      </c>
      <c r="Q3862">
        <v>62.44</v>
      </c>
      <c r="R3862">
        <v>49.95</v>
      </c>
      <c r="S3862">
        <v>74.930000000000007</v>
      </c>
      <c r="T3862" t="s">
        <v>19863</v>
      </c>
    </row>
    <row r="3863" spans="1:20">
      <c r="A3863">
        <v>3331924</v>
      </c>
      <c r="B3863" t="s">
        <v>19864</v>
      </c>
      <c r="C3863" t="str">
        <f>"9780773534124"</f>
        <v>9780773534124</v>
      </c>
      <c r="D3863" t="str">
        <f>"9780773574649"</f>
        <v>9780773574649</v>
      </c>
      <c r="E3863" t="s">
        <v>12863</v>
      </c>
      <c r="F3863" t="s">
        <v>12863</v>
      </c>
      <c r="G3863" s="1">
        <v>39745</v>
      </c>
      <c r="J3863" t="s">
        <v>19865</v>
      </c>
      <c r="K3863" t="s">
        <v>416</v>
      </c>
      <c r="L3863" t="s">
        <v>19866</v>
      </c>
      <c r="M3863">
        <v>330.09199999999998</v>
      </c>
      <c r="N3863" t="s">
        <v>19867</v>
      </c>
      <c r="O3863" t="s">
        <v>26</v>
      </c>
      <c r="P3863">
        <v>52.43</v>
      </c>
      <c r="Q3863">
        <v>43.69</v>
      </c>
      <c r="R3863">
        <v>34.950000000000003</v>
      </c>
      <c r="S3863">
        <v>52.43</v>
      </c>
      <c r="T3863" t="s">
        <v>19868</v>
      </c>
    </row>
    <row r="3864" spans="1:20">
      <c r="A3864">
        <v>3331925</v>
      </c>
      <c r="B3864" t="s">
        <v>19869</v>
      </c>
      <c r="C3864" t="str">
        <f>"9780773534155"</f>
        <v>9780773534155</v>
      </c>
      <c r="D3864" t="str">
        <f>"9780773566934"</f>
        <v>9780773566934</v>
      </c>
      <c r="E3864" t="s">
        <v>12863</v>
      </c>
      <c r="F3864" t="s">
        <v>12863</v>
      </c>
      <c r="G3864" s="1">
        <v>35699</v>
      </c>
      <c r="I3864" t="s">
        <v>12871</v>
      </c>
      <c r="J3864" t="s">
        <v>14821</v>
      </c>
      <c r="K3864" t="s">
        <v>525</v>
      </c>
      <c r="L3864" t="s">
        <v>19870</v>
      </c>
      <c r="M3864">
        <v>347.71920089712</v>
      </c>
      <c r="N3864" t="s">
        <v>19871</v>
      </c>
      <c r="O3864" t="s">
        <v>26</v>
      </c>
      <c r="P3864">
        <v>49.43</v>
      </c>
      <c r="Q3864">
        <v>41.19</v>
      </c>
      <c r="R3864">
        <v>32.950000000000003</v>
      </c>
      <c r="S3864">
        <v>49.43</v>
      </c>
      <c r="T3864" t="s">
        <v>19872</v>
      </c>
    </row>
    <row r="3865" spans="1:20">
      <c r="A3865">
        <v>3331926</v>
      </c>
      <c r="B3865" t="s">
        <v>19873</v>
      </c>
      <c r="C3865" t="str">
        <f>"9780773534360"</f>
        <v>9780773534360</v>
      </c>
      <c r="D3865" t="str">
        <f>"9780773574748"</f>
        <v>9780773574748</v>
      </c>
      <c r="E3865" t="s">
        <v>12863</v>
      </c>
      <c r="F3865" t="s">
        <v>12863</v>
      </c>
      <c r="G3865" s="1">
        <v>39710</v>
      </c>
      <c r="J3865" t="s">
        <v>19874</v>
      </c>
      <c r="K3865" t="s">
        <v>257</v>
      </c>
      <c r="L3865" t="s">
        <v>19875</v>
      </c>
      <c r="M3865">
        <v>378.71127999999999</v>
      </c>
      <c r="N3865" t="s">
        <v>19876</v>
      </c>
      <c r="O3865" t="s">
        <v>26</v>
      </c>
      <c r="P3865">
        <v>74.930000000000007</v>
      </c>
      <c r="Q3865">
        <v>62.44</v>
      </c>
      <c r="R3865">
        <v>49.95</v>
      </c>
      <c r="S3865">
        <v>74.930000000000007</v>
      </c>
      <c r="T3865" t="s">
        <v>19877</v>
      </c>
    </row>
    <row r="3866" spans="1:20">
      <c r="A3866">
        <v>3331927</v>
      </c>
      <c r="B3866" t="s">
        <v>19878</v>
      </c>
      <c r="C3866" t="str">
        <f>"9780773532885"</f>
        <v>9780773532885</v>
      </c>
      <c r="D3866" t="str">
        <f>"9780773574830"</f>
        <v>9780773574830</v>
      </c>
      <c r="E3866" t="s">
        <v>12863</v>
      </c>
      <c r="F3866" t="s">
        <v>12863</v>
      </c>
      <c r="G3866" s="1">
        <v>39600</v>
      </c>
      <c r="K3866" t="s">
        <v>416</v>
      </c>
      <c r="L3866" t="s">
        <v>14580</v>
      </c>
      <c r="M3866">
        <v>339.37108999999998</v>
      </c>
      <c r="N3866" t="s">
        <v>19879</v>
      </c>
      <c r="O3866" t="s">
        <v>26</v>
      </c>
      <c r="P3866">
        <v>59.93</v>
      </c>
      <c r="Q3866">
        <v>49.94</v>
      </c>
      <c r="R3866">
        <v>39.950000000000003</v>
      </c>
      <c r="S3866">
        <v>59.93</v>
      </c>
      <c r="T3866" t="s">
        <v>19880</v>
      </c>
    </row>
    <row r="3867" spans="1:20">
      <c r="A3867">
        <v>3331928</v>
      </c>
      <c r="B3867" t="s">
        <v>19881</v>
      </c>
      <c r="C3867" t="str">
        <f>"9780773534193"</f>
        <v>9780773534193</v>
      </c>
      <c r="D3867" t="str">
        <f>"9780773574953"</f>
        <v>9780773574953</v>
      </c>
      <c r="E3867" t="s">
        <v>12863</v>
      </c>
      <c r="F3867" t="s">
        <v>12863</v>
      </c>
      <c r="G3867" s="1">
        <v>39738</v>
      </c>
      <c r="J3867" t="s">
        <v>19882</v>
      </c>
      <c r="K3867" t="s">
        <v>8812</v>
      </c>
      <c r="L3867" t="s">
        <v>19883</v>
      </c>
      <c r="M3867">
        <v>814.52</v>
      </c>
      <c r="N3867" t="s">
        <v>19884</v>
      </c>
      <c r="O3867" t="s">
        <v>26</v>
      </c>
      <c r="P3867">
        <v>74.930000000000007</v>
      </c>
      <c r="Q3867">
        <v>62.44</v>
      </c>
      <c r="R3867">
        <v>49.95</v>
      </c>
      <c r="S3867">
        <v>74.930000000000007</v>
      </c>
      <c r="T3867" t="s">
        <v>19885</v>
      </c>
    </row>
    <row r="3868" spans="1:20">
      <c r="A3868">
        <v>3331929</v>
      </c>
      <c r="B3868" t="s">
        <v>19886</v>
      </c>
      <c r="C3868" t="str">
        <f>"9780773534148"</f>
        <v>9780773534148</v>
      </c>
      <c r="D3868" t="str">
        <f>"9780773575066"</f>
        <v>9780773575066</v>
      </c>
      <c r="E3868" t="s">
        <v>12863</v>
      </c>
      <c r="F3868" t="s">
        <v>12863</v>
      </c>
      <c r="G3868" s="1">
        <v>39738</v>
      </c>
      <c r="J3868" t="s">
        <v>19887</v>
      </c>
      <c r="K3868" t="s">
        <v>3219</v>
      </c>
      <c r="L3868" t="s">
        <v>19888</v>
      </c>
      <c r="M3868">
        <v>917.30451000000005</v>
      </c>
      <c r="N3868" t="s">
        <v>19889</v>
      </c>
      <c r="O3868" t="s">
        <v>26</v>
      </c>
      <c r="P3868">
        <v>44.93</v>
      </c>
      <c r="Q3868">
        <v>37.44</v>
      </c>
      <c r="R3868">
        <v>29.95</v>
      </c>
      <c r="S3868">
        <v>44.93</v>
      </c>
      <c r="T3868" t="s">
        <v>19890</v>
      </c>
    </row>
    <row r="3869" spans="1:20">
      <c r="A3869">
        <v>3331930</v>
      </c>
      <c r="B3869" t="s">
        <v>19891</v>
      </c>
      <c r="C3869" t="str">
        <f>"9780773533912"</f>
        <v>9780773533912</v>
      </c>
      <c r="D3869" t="str">
        <f>"9780773574762"</f>
        <v>9780773574762</v>
      </c>
      <c r="E3869" t="s">
        <v>12863</v>
      </c>
      <c r="F3869" t="s">
        <v>12863</v>
      </c>
      <c r="G3869" s="1">
        <v>39525</v>
      </c>
      <c r="J3869" t="s">
        <v>19892</v>
      </c>
      <c r="K3869" t="s">
        <v>1471</v>
      </c>
      <c r="L3869" t="s">
        <v>19893</v>
      </c>
      <c r="M3869">
        <v>780.971</v>
      </c>
      <c r="N3869" t="s">
        <v>19894</v>
      </c>
      <c r="O3869" t="s">
        <v>26</v>
      </c>
      <c r="P3869">
        <v>74.930000000000007</v>
      </c>
      <c r="Q3869">
        <v>62.44</v>
      </c>
      <c r="R3869">
        <v>49.95</v>
      </c>
      <c r="S3869">
        <v>74.930000000000007</v>
      </c>
      <c r="T3869" t="s">
        <v>19895</v>
      </c>
    </row>
    <row r="3870" spans="1:20">
      <c r="A3870">
        <v>3331931</v>
      </c>
      <c r="B3870" t="s">
        <v>19896</v>
      </c>
      <c r="C3870" t="str">
        <f>"9780773533639"</f>
        <v>9780773533639</v>
      </c>
      <c r="D3870" t="str">
        <f>"9780773575059"</f>
        <v>9780773575059</v>
      </c>
      <c r="E3870" t="s">
        <v>12863</v>
      </c>
      <c r="F3870" t="s">
        <v>12863</v>
      </c>
      <c r="G3870" s="1">
        <v>39618</v>
      </c>
      <c r="J3870" t="s">
        <v>16371</v>
      </c>
      <c r="K3870" t="s">
        <v>1464</v>
      </c>
      <c r="L3870" t="s">
        <v>19897</v>
      </c>
      <c r="M3870">
        <v>811.52</v>
      </c>
      <c r="N3870" t="s">
        <v>19898</v>
      </c>
      <c r="O3870" t="s">
        <v>26</v>
      </c>
      <c r="P3870">
        <v>89.93</v>
      </c>
      <c r="Q3870">
        <v>74.94</v>
      </c>
      <c r="R3870">
        <v>59.95</v>
      </c>
      <c r="S3870">
        <v>89.93</v>
      </c>
      <c r="T3870" t="s">
        <v>19899</v>
      </c>
    </row>
    <row r="3871" spans="1:20">
      <c r="A3871">
        <v>3331932</v>
      </c>
      <c r="B3871" t="s">
        <v>19900</v>
      </c>
      <c r="C3871" t="str">
        <f>"9780773534032"</f>
        <v>9780773534032</v>
      </c>
      <c r="D3871" t="str">
        <f>"9780773574700"</f>
        <v>9780773574700</v>
      </c>
      <c r="E3871" t="s">
        <v>12907</v>
      </c>
      <c r="F3871" t="s">
        <v>12907</v>
      </c>
      <c r="G3871" s="1">
        <v>39630</v>
      </c>
      <c r="J3871" t="s">
        <v>15856</v>
      </c>
      <c r="K3871" t="s">
        <v>16322</v>
      </c>
      <c r="L3871" t="s">
        <v>19901</v>
      </c>
      <c r="M3871">
        <v>234.23</v>
      </c>
      <c r="N3871" t="s">
        <v>19902</v>
      </c>
      <c r="O3871" t="s">
        <v>26</v>
      </c>
      <c r="P3871">
        <v>26.93</v>
      </c>
      <c r="Q3871">
        <v>22.44</v>
      </c>
      <c r="R3871">
        <v>17.95</v>
      </c>
      <c r="S3871">
        <v>26.93</v>
      </c>
      <c r="T3871" t="s">
        <v>19903</v>
      </c>
    </row>
    <row r="3872" spans="1:20">
      <c r="A3872">
        <v>3331935</v>
      </c>
      <c r="B3872" t="s">
        <v>19904</v>
      </c>
      <c r="C3872" t="str">
        <f>"9780773532168"</f>
        <v>9780773532168</v>
      </c>
      <c r="D3872" t="str">
        <f>"9780773575103"</f>
        <v>9780773575103</v>
      </c>
      <c r="E3872" t="s">
        <v>12863</v>
      </c>
      <c r="F3872" t="s">
        <v>12863</v>
      </c>
      <c r="G3872" s="1">
        <v>39535</v>
      </c>
      <c r="I3872" t="s">
        <v>12871</v>
      </c>
      <c r="J3872" t="s">
        <v>19905</v>
      </c>
      <c r="K3872" t="s">
        <v>291</v>
      </c>
      <c r="L3872" t="s">
        <v>19906</v>
      </c>
      <c r="M3872">
        <v>971.00496999999996</v>
      </c>
      <c r="N3872" t="s">
        <v>19907</v>
      </c>
      <c r="O3872" t="s">
        <v>26</v>
      </c>
      <c r="P3872">
        <v>142.5</v>
      </c>
      <c r="Q3872">
        <v>118.75</v>
      </c>
      <c r="R3872">
        <v>95</v>
      </c>
      <c r="S3872">
        <v>142.5</v>
      </c>
      <c r="T3872" t="s">
        <v>19908</v>
      </c>
    </row>
    <row r="3873" spans="1:20">
      <c r="A3873">
        <v>3331936</v>
      </c>
      <c r="B3873" t="s">
        <v>19909</v>
      </c>
      <c r="C3873" t="str">
        <f>"9780773533219"</f>
        <v>9780773533219</v>
      </c>
      <c r="D3873" t="str">
        <f>"9780773574342"</f>
        <v>9780773574342</v>
      </c>
      <c r="E3873" t="s">
        <v>12863</v>
      </c>
      <c r="F3873" t="s">
        <v>12863</v>
      </c>
      <c r="G3873" s="1">
        <v>39479</v>
      </c>
      <c r="J3873" t="s">
        <v>19910</v>
      </c>
      <c r="K3873" t="s">
        <v>291</v>
      </c>
      <c r="L3873" t="s">
        <v>14144</v>
      </c>
      <c r="M3873">
        <v>971.0643</v>
      </c>
      <c r="N3873" t="s">
        <v>19911</v>
      </c>
      <c r="O3873" t="s">
        <v>26</v>
      </c>
      <c r="P3873">
        <v>44.93</v>
      </c>
      <c r="Q3873">
        <v>37.44</v>
      </c>
      <c r="R3873">
        <v>29.95</v>
      </c>
      <c r="S3873">
        <v>44.93</v>
      </c>
      <c r="T3873" t="s">
        <v>19912</v>
      </c>
    </row>
    <row r="3874" spans="1:20">
      <c r="A3874">
        <v>3331937</v>
      </c>
      <c r="B3874" t="s">
        <v>19913</v>
      </c>
      <c r="C3874" t="str">
        <f>"9780773533233"</f>
        <v>9780773533233</v>
      </c>
      <c r="D3874" t="str">
        <f>"9780773574618"</f>
        <v>9780773574618</v>
      </c>
      <c r="E3874" t="s">
        <v>12863</v>
      </c>
      <c r="F3874" t="s">
        <v>12863</v>
      </c>
      <c r="G3874" s="1">
        <v>39526</v>
      </c>
      <c r="J3874" t="s">
        <v>19914</v>
      </c>
      <c r="K3874" t="s">
        <v>263</v>
      </c>
      <c r="L3874" t="s">
        <v>19915</v>
      </c>
      <c r="M3874">
        <v>305.26097099999998</v>
      </c>
      <c r="N3874" t="s">
        <v>19916</v>
      </c>
      <c r="O3874" t="s">
        <v>26</v>
      </c>
      <c r="P3874">
        <v>142.5</v>
      </c>
      <c r="Q3874">
        <v>118.75</v>
      </c>
      <c r="R3874">
        <v>95</v>
      </c>
      <c r="S3874">
        <v>142.5</v>
      </c>
      <c r="T3874" t="s">
        <v>19917</v>
      </c>
    </row>
    <row r="3875" spans="1:20">
      <c r="A3875">
        <v>3331938</v>
      </c>
      <c r="B3875" t="s">
        <v>19918</v>
      </c>
      <c r="C3875" t="str">
        <f>"9780773533646"</f>
        <v>9780773533646</v>
      </c>
      <c r="D3875" t="str">
        <f>"9780773574625"</f>
        <v>9780773574625</v>
      </c>
      <c r="E3875" t="s">
        <v>12863</v>
      </c>
      <c r="F3875" t="s">
        <v>12863</v>
      </c>
      <c r="G3875" s="1">
        <v>39526</v>
      </c>
      <c r="J3875" t="s">
        <v>19919</v>
      </c>
      <c r="K3875" t="s">
        <v>1464</v>
      </c>
      <c r="L3875" t="s">
        <v>19920</v>
      </c>
      <c r="M3875">
        <v>891.4320093522</v>
      </c>
      <c r="N3875" t="s">
        <v>19921</v>
      </c>
      <c r="O3875" t="s">
        <v>26</v>
      </c>
      <c r="P3875">
        <v>142.5</v>
      </c>
      <c r="Q3875">
        <v>118.75</v>
      </c>
      <c r="R3875">
        <v>95</v>
      </c>
      <c r="S3875">
        <v>142.5</v>
      </c>
      <c r="T3875" t="s">
        <v>19922</v>
      </c>
    </row>
    <row r="3876" spans="1:20">
      <c r="A3876">
        <v>3331939</v>
      </c>
      <c r="B3876" t="s">
        <v>19923</v>
      </c>
      <c r="C3876" t="str">
        <f>"9780773533752"</f>
        <v>9780773533752</v>
      </c>
      <c r="D3876" t="str">
        <f>"9780773574793"</f>
        <v>9780773574793</v>
      </c>
      <c r="E3876" t="s">
        <v>12863</v>
      </c>
      <c r="F3876" t="s">
        <v>12863</v>
      </c>
      <c r="G3876" s="1">
        <v>39583</v>
      </c>
      <c r="I3876" t="s">
        <v>12963</v>
      </c>
      <c r="J3876" t="s">
        <v>19924</v>
      </c>
      <c r="K3876" t="s">
        <v>2432</v>
      </c>
      <c r="L3876" t="s">
        <v>19925</v>
      </c>
      <c r="M3876">
        <v>305.42009999999999</v>
      </c>
      <c r="N3876" t="s">
        <v>19926</v>
      </c>
      <c r="O3876" t="s">
        <v>26</v>
      </c>
      <c r="P3876">
        <v>142.5</v>
      </c>
      <c r="Q3876">
        <v>118.75</v>
      </c>
      <c r="R3876">
        <v>95</v>
      </c>
      <c r="S3876">
        <v>142.5</v>
      </c>
      <c r="T3876" t="s">
        <v>19927</v>
      </c>
    </row>
    <row r="3877" spans="1:20">
      <c r="A3877">
        <v>3331940</v>
      </c>
      <c r="B3877" t="s">
        <v>19928</v>
      </c>
      <c r="C3877" t="str">
        <f>"9780773534643"</f>
        <v>9780773534643</v>
      </c>
      <c r="D3877" t="str">
        <f>"9780773574977"</f>
        <v>9780773574977</v>
      </c>
      <c r="E3877" t="s">
        <v>12863</v>
      </c>
      <c r="F3877" t="s">
        <v>12863</v>
      </c>
      <c r="G3877" s="1">
        <v>39729</v>
      </c>
      <c r="J3877" t="s">
        <v>15706</v>
      </c>
      <c r="K3877" t="s">
        <v>467</v>
      </c>
      <c r="L3877" t="s">
        <v>19929</v>
      </c>
      <c r="M3877">
        <v>320.85000000000002</v>
      </c>
      <c r="N3877" t="s">
        <v>19930</v>
      </c>
      <c r="O3877" t="s">
        <v>26</v>
      </c>
      <c r="P3877">
        <v>44.93</v>
      </c>
      <c r="Q3877">
        <v>37.44</v>
      </c>
      <c r="R3877">
        <v>29.95</v>
      </c>
      <c r="S3877">
        <v>44.93</v>
      </c>
      <c r="T3877" t="s">
        <v>19931</v>
      </c>
    </row>
    <row r="3878" spans="1:20">
      <c r="A3878">
        <v>3331941</v>
      </c>
      <c r="B3878" t="s">
        <v>19932</v>
      </c>
      <c r="C3878" t="str">
        <f>"9780773534285"</f>
        <v>9780773534285</v>
      </c>
      <c r="D3878" t="str">
        <f>"9780773575011"</f>
        <v>9780773575011</v>
      </c>
      <c r="E3878" t="s">
        <v>12863</v>
      </c>
      <c r="F3878" t="s">
        <v>12863</v>
      </c>
      <c r="G3878" s="1">
        <v>39724</v>
      </c>
      <c r="I3878" t="s">
        <v>12942</v>
      </c>
      <c r="J3878" t="s">
        <v>19933</v>
      </c>
      <c r="K3878" t="s">
        <v>1387</v>
      </c>
      <c r="L3878" t="s">
        <v>19934</v>
      </c>
      <c r="M3878">
        <v>335.43089924071</v>
      </c>
      <c r="N3878" t="s">
        <v>19935</v>
      </c>
      <c r="O3878" t="s">
        <v>26</v>
      </c>
      <c r="P3878">
        <v>142.5</v>
      </c>
      <c r="Q3878">
        <v>118.75</v>
      </c>
      <c r="R3878">
        <v>95</v>
      </c>
      <c r="S3878">
        <v>142.5</v>
      </c>
      <c r="T3878" t="s">
        <v>19936</v>
      </c>
    </row>
    <row r="3879" spans="1:20">
      <c r="A3879">
        <v>3331942</v>
      </c>
      <c r="B3879" t="s">
        <v>19937</v>
      </c>
      <c r="C3879" t="str">
        <f>"9780773533899"</f>
        <v>9780773533899</v>
      </c>
      <c r="D3879" t="str">
        <f>"9780773574489"</f>
        <v>9780773574489</v>
      </c>
      <c r="E3879" t="s">
        <v>12863</v>
      </c>
      <c r="F3879" t="s">
        <v>12863</v>
      </c>
      <c r="G3879" s="1">
        <v>39618</v>
      </c>
      <c r="J3879" t="s">
        <v>19938</v>
      </c>
      <c r="K3879" t="s">
        <v>416</v>
      </c>
      <c r="L3879" t="s">
        <v>19939</v>
      </c>
      <c r="M3879">
        <v>333.30971699999998</v>
      </c>
      <c r="N3879" t="s">
        <v>19940</v>
      </c>
      <c r="O3879" t="s">
        <v>26</v>
      </c>
      <c r="P3879">
        <v>142.5</v>
      </c>
      <c r="Q3879">
        <v>118.75</v>
      </c>
      <c r="R3879">
        <v>95</v>
      </c>
      <c r="S3879">
        <v>142.5</v>
      </c>
      <c r="T3879" t="s">
        <v>19941</v>
      </c>
    </row>
    <row r="3880" spans="1:20">
      <c r="A3880">
        <v>3331943</v>
      </c>
      <c r="B3880" t="s">
        <v>19942</v>
      </c>
      <c r="C3880" t="str">
        <f>"9780773533967"</f>
        <v>9780773533967</v>
      </c>
      <c r="D3880" t="str">
        <f>"9780773574601"</f>
        <v>9780773574601</v>
      </c>
      <c r="E3880" t="s">
        <v>12863</v>
      </c>
      <c r="F3880" t="s">
        <v>12863</v>
      </c>
      <c r="G3880" s="1">
        <v>39533</v>
      </c>
      <c r="I3880" t="s">
        <v>13811</v>
      </c>
      <c r="J3880" t="s">
        <v>19943</v>
      </c>
      <c r="K3880" t="s">
        <v>6444</v>
      </c>
      <c r="L3880" t="s">
        <v>19944</v>
      </c>
      <c r="M3880">
        <v>327.71</v>
      </c>
      <c r="N3880" t="s">
        <v>19945</v>
      </c>
      <c r="O3880" t="s">
        <v>26</v>
      </c>
      <c r="P3880">
        <v>142.5</v>
      </c>
      <c r="Q3880">
        <v>118.75</v>
      </c>
      <c r="R3880">
        <v>95</v>
      </c>
      <c r="S3880">
        <v>142.5</v>
      </c>
      <c r="T3880" t="s">
        <v>19946</v>
      </c>
    </row>
    <row r="3881" spans="1:20">
      <c r="A3881">
        <v>3331944</v>
      </c>
      <c r="B3881" t="s">
        <v>19947</v>
      </c>
      <c r="C3881" t="str">
        <f>"9780773533691"</f>
        <v>9780773533691</v>
      </c>
      <c r="D3881" t="str">
        <f>"9780773574663"</f>
        <v>9780773574663</v>
      </c>
      <c r="E3881" t="s">
        <v>12863</v>
      </c>
      <c r="F3881" t="s">
        <v>12863</v>
      </c>
      <c r="G3881" s="1">
        <v>39541</v>
      </c>
      <c r="I3881" t="s">
        <v>12871</v>
      </c>
      <c r="J3881" t="s">
        <v>19948</v>
      </c>
      <c r="K3881" t="s">
        <v>1471</v>
      </c>
      <c r="L3881" t="s">
        <v>19949</v>
      </c>
      <c r="M3881">
        <v>778.5909719</v>
      </c>
      <c r="N3881" t="s">
        <v>19950</v>
      </c>
      <c r="O3881" t="s">
        <v>26</v>
      </c>
      <c r="P3881">
        <v>142.5</v>
      </c>
      <c r="Q3881">
        <v>118.75</v>
      </c>
      <c r="R3881">
        <v>95</v>
      </c>
      <c r="S3881">
        <v>142.5</v>
      </c>
      <c r="T3881" t="s">
        <v>19951</v>
      </c>
    </row>
    <row r="3882" spans="1:20">
      <c r="A3882">
        <v>3331946</v>
      </c>
      <c r="B3882" t="s">
        <v>19952</v>
      </c>
      <c r="C3882" t="str">
        <f>"9780773533844"</f>
        <v>9780773533844</v>
      </c>
      <c r="D3882" t="str">
        <f>"9780773574861"</f>
        <v>9780773574861</v>
      </c>
      <c r="E3882" t="s">
        <v>12863</v>
      </c>
      <c r="F3882" t="s">
        <v>12863</v>
      </c>
      <c r="G3882" s="1">
        <v>39745</v>
      </c>
      <c r="J3882" t="s">
        <v>19953</v>
      </c>
      <c r="K3882" t="s">
        <v>6444</v>
      </c>
      <c r="L3882" t="s">
        <v>15806</v>
      </c>
      <c r="M3882">
        <v>320.54097100000001</v>
      </c>
      <c r="N3882" t="s">
        <v>19954</v>
      </c>
      <c r="O3882" t="s">
        <v>26</v>
      </c>
      <c r="P3882">
        <v>142.5</v>
      </c>
      <c r="Q3882">
        <v>118.75</v>
      </c>
      <c r="R3882">
        <v>95</v>
      </c>
      <c r="S3882">
        <v>142.5</v>
      </c>
      <c r="T3882" t="s">
        <v>19955</v>
      </c>
    </row>
    <row r="3883" spans="1:20">
      <c r="A3883">
        <v>3331947</v>
      </c>
      <c r="B3883" t="s">
        <v>19956</v>
      </c>
      <c r="C3883" t="str">
        <f>"9780773534056"</f>
        <v>9780773534056</v>
      </c>
      <c r="D3883" t="str">
        <f>"9780773575004"</f>
        <v>9780773575004</v>
      </c>
      <c r="E3883" t="s">
        <v>12863</v>
      </c>
      <c r="F3883" t="s">
        <v>12863</v>
      </c>
      <c r="G3883" s="1">
        <v>39645</v>
      </c>
      <c r="J3883" t="s">
        <v>19957</v>
      </c>
      <c r="K3883" t="s">
        <v>6038</v>
      </c>
      <c r="L3883" t="s">
        <v>19958</v>
      </c>
      <c r="M3883">
        <v>971.04899999999998</v>
      </c>
      <c r="N3883" t="s">
        <v>19959</v>
      </c>
      <c r="O3883" t="s">
        <v>26</v>
      </c>
      <c r="P3883">
        <v>142.5</v>
      </c>
      <c r="Q3883">
        <v>118.75</v>
      </c>
      <c r="R3883">
        <v>95</v>
      </c>
      <c r="S3883">
        <v>142.5</v>
      </c>
      <c r="T3883" t="s">
        <v>19960</v>
      </c>
    </row>
    <row r="3884" spans="1:20">
      <c r="A3884">
        <v>3331948</v>
      </c>
      <c r="B3884" t="s">
        <v>19961</v>
      </c>
      <c r="C3884" t="str">
        <f>"9780773533943"</f>
        <v>9780773533943</v>
      </c>
      <c r="D3884" t="str">
        <f>"9780773575080"</f>
        <v>9780773575080</v>
      </c>
      <c r="E3884" t="s">
        <v>12863</v>
      </c>
      <c r="F3884" t="s">
        <v>12863</v>
      </c>
      <c r="G3884" s="1">
        <v>39591</v>
      </c>
      <c r="I3884" t="s">
        <v>19962</v>
      </c>
      <c r="J3884" t="s">
        <v>19963</v>
      </c>
      <c r="K3884" t="s">
        <v>330</v>
      </c>
      <c r="L3884" t="s">
        <v>19964</v>
      </c>
      <c r="M3884">
        <v>363.70560970999998</v>
      </c>
      <c r="N3884" t="s">
        <v>19965</v>
      </c>
      <c r="O3884" t="s">
        <v>26</v>
      </c>
      <c r="P3884">
        <v>142.5</v>
      </c>
      <c r="Q3884">
        <v>118.75</v>
      </c>
      <c r="R3884">
        <v>95</v>
      </c>
      <c r="S3884">
        <v>142.5</v>
      </c>
      <c r="T3884" t="s">
        <v>19966</v>
      </c>
    </row>
    <row r="3885" spans="1:20">
      <c r="A3885">
        <v>3331950</v>
      </c>
      <c r="B3885" t="s">
        <v>19967</v>
      </c>
      <c r="C3885" t="str">
        <f>"9780773534117"</f>
        <v>9780773534117</v>
      </c>
      <c r="D3885" t="str">
        <f>"9780773574458"</f>
        <v>9780773574458</v>
      </c>
      <c r="E3885" t="s">
        <v>12863</v>
      </c>
      <c r="F3885" t="s">
        <v>12863</v>
      </c>
      <c r="G3885" s="1">
        <v>39650</v>
      </c>
      <c r="J3885" t="s">
        <v>19968</v>
      </c>
      <c r="K3885" t="s">
        <v>284</v>
      </c>
      <c r="L3885" t="s">
        <v>14409</v>
      </c>
      <c r="M3885">
        <v>331.40971090340003</v>
      </c>
      <c r="N3885" t="s">
        <v>19969</v>
      </c>
      <c r="O3885" t="s">
        <v>26</v>
      </c>
      <c r="P3885">
        <v>142.5</v>
      </c>
      <c r="Q3885">
        <v>118.75</v>
      </c>
      <c r="R3885">
        <v>95</v>
      </c>
      <c r="S3885">
        <v>142.5</v>
      </c>
      <c r="T3885" t="s">
        <v>19970</v>
      </c>
    </row>
    <row r="3886" spans="1:20">
      <c r="A3886">
        <v>3331952</v>
      </c>
      <c r="B3886" t="s">
        <v>19971</v>
      </c>
      <c r="C3886" t="str">
        <f>"9780773533349"</f>
        <v>9780773533349</v>
      </c>
      <c r="D3886" t="str">
        <f>"9780773574571"</f>
        <v>9780773574571</v>
      </c>
      <c r="E3886" t="s">
        <v>12863</v>
      </c>
      <c r="F3886" t="s">
        <v>12863</v>
      </c>
      <c r="G3886" s="1">
        <v>39486</v>
      </c>
      <c r="J3886" t="s">
        <v>13355</v>
      </c>
      <c r="K3886" t="s">
        <v>291</v>
      </c>
      <c r="L3886" t="s">
        <v>15196</v>
      </c>
      <c r="M3886">
        <v>971.03</v>
      </c>
      <c r="N3886" t="s">
        <v>19972</v>
      </c>
      <c r="O3886" t="s">
        <v>26</v>
      </c>
      <c r="P3886">
        <v>142.5</v>
      </c>
      <c r="Q3886">
        <v>118.75</v>
      </c>
      <c r="R3886">
        <v>95</v>
      </c>
      <c r="S3886">
        <v>142.5</v>
      </c>
      <c r="T3886" t="s">
        <v>19973</v>
      </c>
    </row>
    <row r="3887" spans="1:20">
      <c r="A3887">
        <v>3331953</v>
      </c>
      <c r="B3887" t="s">
        <v>19974</v>
      </c>
      <c r="C3887" t="str">
        <f>"9780773535411"</f>
        <v>9780773535411</v>
      </c>
      <c r="D3887" t="str">
        <f>"9780773575264"</f>
        <v>9780773575264</v>
      </c>
      <c r="E3887" t="s">
        <v>12863</v>
      </c>
      <c r="F3887" t="s">
        <v>12863</v>
      </c>
      <c r="G3887" s="1">
        <v>39904</v>
      </c>
      <c r="J3887" t="s">
        <v>19975</v>
      </c>
      <c r="K3887" t="s">
        <v>1530</v>
      </c>
      <c r="L3887" t="s">
        <v>19976</v>
      </c>
      <c r="M3887">
        <v>974.71043999999995</v>
      </c>
      <c r="N3887" t="s">
        <v>19977</v>
      </c>
      <c r="O3887" t="s">
        <v>26</v>
      </c>
      <c r="P3887">
        <v>44.93</v>
      </c>
      <c r="Q3887">
        <v>37.44</v>
      </c>
      <c r="R3887">
        <v>29.95</v>
      </c>
      <c r="S3887">
        <v>44.93</v>
      </c>
      <c r="T3887" t="s">
        <v>19978</v>
      </c>
    </row>
    <row r="3888" spans="1:20">
      <c r="A3888">
        <v>3331954</v>
      </c>
      <c r="B3888" t="s">
        <v>19979</v>
      </c>
      <c r="C3888" t="str">
        <f>"9780773534230"</f>
        <v>9780773534230</v>
      </c>
      <c r="D3888" t="str">
        <f>"9780773574670"</f>
        <v>9780773574670</v>
      </c>
      <c r="E3888" t="s">
        <v>12863</v>
      </c>
      <c r="F3888" t="s">
        <v>12863</v>
      </c>
      <c r="G3888" s="1">
        <v>39750</v>
      </c>
      <c r="J3888" t="s">
        <v>19980</v>
      </c>
      <c r="K3888" t="s">
        <v>263</v>
      </c>
      <c r="L3888" t="s">
        <v>19981</v>
      </c>
      <c r="M3888">
        <v>366.00971299999998</v>
      </c>
      <c r="N3888" t="s">
        <v>19982</v>
      </c>
      <c r="O3888" t="s">
        <v>26</v>
      </c>
      <c r="P3888">
        <v>142.5</v>
      </c>
      <c r="Q3888">
        <v>118.75</v>
      </c>
      <c r="R3888">
        <v>95</v>
      </c>
      <c r="S3888">
        <v>142.5</v>
      </c>
      <c r="T3888" t="s">
        <v>19983</v>
      </c>
    </row>
    <row r="3889" spans="1:20">
      <c r="A3889">
        <v>3331955</v>
      </c>
      <c r="B3889" t="s">
        <v>19984</v>
      </c>
      <c r="C3889" t="str">
        <f>"9780773535688"</f>
        <v>9780773535688</v>
      </c>
      <c r="D3889" t="str">
        <f>"9780773575271"</f>
        <v>9780773575271</v>
      </c>
      <c r="E3889" t="s">
        <v>12863</v>
      </c>
      <c r="F3889" t="s">
        <v>12863</v>
      </c>
      <c r="G3889" s="1">
        <v>39934</v>
      </c>
      <c r="J3889" t="s">
        <v>19985</v>
      </c>
      <c r="K3889" t="s">
        <v>467</v>
      </c>
      <c r="L3889" t="s">
        <v>19986</v>
      </c>
      <c r="M3889">
        <v>324.27109400000001</v>
      </c>
      <c r="N3889" t="s">
        <v>19987</v>
      </c>
      <c r="O3889" t="s">
        <v>26</v>
      </c>
      <c r="P3889">
        <v>41.93</v>
      </c>
      <c r="Q3889">
        <v>34.94</v>
      </c>
      <c r="R3889">
        <v>27.95</v>
      </c>
      <c r="S3889">
        <v>41.93</v>
      </c>
      <c r="T3889" t="s">
        <v>19988</v>
      </c>
    </row>
    <row r="3890" spans="1:20">
      <c r="A3890">
        <v>3331956</v>
      </c>
      <c r="B3890" t="s">
        <v>19989</v>
      </c>
      <c r="C3890" t="str">
        <f>"9780773532847"</f>
        <v>9780773532847</v>
      </c>
      <c r="D3890" t="str">
        <f>"9780773574724"</f>
        <v>9780773574724</v>
      </c>
      <c r="E3890" t="s">
        <v>12907</v>
      </c>
      <c r="F3890" t="s">
        <v>12907</v>
      </c>
      <c r="G3890" s="1">
        <v>39661</v>
      </c>
      <c r="I3890" t="s">
        <v>12886</v>
      </c>
      <c r="J3890" t="s">
        <v>19990</v>
      </c>
      <c r="K3890" t="s">
        <v>1892</v>
      </c>
      <c r="L3890" t="s">
        <v>19991</v>
      </c>
      <c r="M3890" t="s">
        <v>19992</v>
      </c>
      <c r="N3890" t="s">
        <v>19993</v>
      </c>
      <c r="O3890" t="s">
        <v>26</v>
      </c>
      <c r="P3890">
        <v>142.5</v>
      </c>
      <c r="Q3890">
        <v>118.75</v>
      </c>
      <c r="R3890">
        <v>95</v>
      </c>
      <c r="S3890">
        <v>142.5</v>
      </c>
      <c r="T3890" t="s">
        <v>19994</v>
      </c>
    </row>
    <row r="3891" spans="1:20">
      <c r="A3891">
        <v>3331957</v>
      </c>
      <c r="B3891" t="s">
        <v>19995</v>
      </c>
      <c r="C3891" t="str">
        <f>"9780773534292"</f>
        <v>9780773534292</v>
      </c>
      <c r="D3891" t="str">
        <f>"9780773574755"</f>
        <v>9780773574755</v>
      </c>
      <c r="E3891" t="s">
        <v>12863</v>
      </c>
      <c r="F3891" t="s">
        <v>12863</v>
      </c>
      <c r="G3891" s="1">
        <v>39681</v>
      </c>
      <c r="J3891" t="s">
        <v>19996</v>
      </c>
      <c r="K3891" t="s">
        <v>263</v>
      </c>
      <c r="L3891" t="s">
        <v>19915</v>
      </c>
      <c r="M3891">
        <v>307.08460971</v>
      </c>
      <c r="N3891" t="s">
        <v>19997</v>
      </c>
      <c r="O3891" t="s">
        <v>26</v>
      </c>
      <c r="P3891">
        <v>44.93</v>
      </c>
      <c r="Q3891">
        <v>37.44</v>
      </c>
      <c r="R3891">
        <v>29.95</v>
      </c>
      <c r="S3891">
        <v>44.93</v>
      </c>
      <c r="T3891" t="s">
        <v>19998</v>
      </c>
    </row>
    <row r="3892" spans="1:20">
      <c r="A3892">
        <v>3331958</v>
      </c>
      <c r="B3892" t="s">
        <v>19999</v>
      </c>
      <c r="C3892" t="str">
        <f>"9780773534223"</f>
        <v>9780773534223</v>
      </c>
      <c r="D3892" t="str">
        <f>"9780773574823"</f>
        <v>9780773574823</v>
      </c>
      <c r="E3892" t="s">
        <v>12863</v>
      </c>
      <c r="F3892" t="s">
        <v>12863</v>
      </c>
      <c r="G3892" s="1">
        <v>39653</v>
      </c>
      <c r="J3892" t="s">
        <v>20000</v>
      </c>
      <c r="K3892" t="s">
        <v>473</v>
      </c>
      <c r="L3892" t="s">
        <v>20001</v>
      </c>
      <c r="M3892">
        <v>323.49</v>
      </c>
      <c r="N3892" t="s">
        <v>20002</v>
      </c>
      <c r="O3892" t="s">
        <v>26</v>
      </c>
      <c r="P3892">
        <v>142.5</v>
      </c>
      <c r="Q3892">
        <v>118.75</v>
      </c>
      <c r="R3892">
        <v>95</v>
      </c>
      <c r="S3892">
        <v>142.5</v>
      </c>
      <c r="T3892" t="s">
        <v>20003</v>
      </c>
    </row>
    <row r="3893" spans="1:20">
      <c r="A3893">
        <v>3331959</v>
      </c>
      <c r="B3893" t="s">
        <v>20004</v>
      </c>
      <c r="C3893" t="str">
        <f>"9780773533523"</f>
        <v>9780773533523</v>
      </c>
      <c r="D3893" t="str">
        <f>"9780773574854"</f>
        <v>9780773574854</v>
      </c>
      <c r="E3893" t="s">
        <v>12863</v>
      </c>
      <c r="F3893" t="s">
        <v>12863</v>
      </c>
      <c r="G3893" s="1">
        <v>39600</v>
      </c>
      <c r="J3893" t="s">
        <v>20005</v>
      </c>
      <c r="K3893" t="s">
        <v>16027</v>
      </c>
      <c r="L3893" t="s">
        <v>20006</v>
      </c>
      <c r="M3893">
        <v>363.70097099999998</v>
      </c>
      <c r="N3893" t="s">
        <v>20007</v>
      </c>
      <c r="O3893" t="s">
        <v>26</v>
      </c>
      <c r="P3893">
        <v>142.5</v>
      </c>
      <c r="Q3893">
        <v>118.75</v>
      </c>
      <c r="R3893">
        <v>95</v>
      </c>
      <c r="S3893">
        <v>142.5</v>
      </c>
      <c r="T3893" t="s">
        <v>20008</v>
      </c>
    </row>
    <row r="3894" spans="1:20">
      <c r="A3894">
        <v>3331960</v>
      </c>
      <c r="B3894" t="s">
        <v>20009</v>
      </c>
      <c r="C3894" t="str">
        <f>"9780773533660"</f>
        <v>9780773533660</v>
      </c>
      <c r="D3894" t="str">
        <f>"9780773574878"</f>
        <v>9780773574878</v>
      </c>
      <c r="E3894" t="s">
        <v>12863</v>
      </c>
      <c r="F3894" t="s">
        <v>12863</v>
      </c>
      <c r="G3894" s="1">
        <v>39608</v>
      </c>
      <c r="I3894" t="s">
        <v>12871</v>
      </c>
      <c r="J3894" t="s">
        <v>15866</v>
      </c>
      <c r="K3894" t="s">
        <v>1471</v>
      </c>
      <c r="L3894" t="s">
        <v>20010</v>
      </c>
      <c r="M3894">
        <v>791.45652997000002</v>
      </c>
      <c r="N3894" t="s">
        <v>20011</v>
      </c>
      <c r="O3894" t="s">
        <v>26</v>
      </c>
      <c r="P3894">
        <v>142.5</v>
      </c>
      <c r="Q3894">
        <v>118.75</v>
      </c>
      <c r="R3894">
        <v>95</v>
      </c>
      <c r="S3894">
        <v>142.5</v>
      </c>
      <c r="T3894" t="s">
        <v>20012</v>
      </c>
    </row>
    <row r="3895" spans="1:20">
      <c r="A3895">
        <v>3331961</v>
      </c>
      <c r="B3895" t="s">
        <v>20013</v>
      </c>
      <c r="C3895" t="str">
        <f>"9780773532762"</f>
        <v>9780773532762</v>
      </c>
      <c r="D3895" t="str">
        <f>"9780773574922"</f>
        <v>9780773574922</v>
      </c>
      <c r="E3895" t="s">
        <v>12863</v>
      </c>
      <c r="F3895" t="s">
        <v>12863</v>
      </c>
      <c r="G3895" s="1">
        <v>39533</v>
      </c>
      <c r="J3895" t="s">
        <v>20014</v>
      </c>
      <c r="K3895" t="s">
        <v>1464</v>
      </c>
      <c r="L3895" t="s">
        <v>13140</v>
      </c>
      <c r="M3895">
        <v>813.54091100000005</v>
      </c>
      <c r="N3895" t="s">
        <v>20015</v>
      </c>
      <c r="O3895" t="s">
        <v>26</v>
      </c>
      <c r="P3895">
        <v>142.5</v>
      </c>
      <c r="Q3895">
        <v>118.75</v>
      </c>
      <c r="R3895">
        <v>95</v>
      </c>
      <c r="S3895">
        <v>142.5</v>
      </c>
      <c r="T3895" t="s">
        <v>20016</v>
      </c>
    </row>
    <row r="3896" spans="1:20">
      <c r="A3896">
        <v>3331962</v>
      </c>
      <c r="B3896" t="s">
        <v>20017</v>
      </c>
      <c r="C3896" t="str">
        <f>"9780773533615"</f>
        <v>9780773533615</v>
      </c>
      <c r="D3896" t="str">
        <f>"9780773574946"</f>
        <v>9780773574946</v>
      </c>
      <c r="E3896" t="s">
        <v>12863</v>
      </c>
      <c r="F3896" t="s">
        <v>12863</v>
      </c>
      <c r="G3896" s="1">
        <v>39525</v>
      </c>
      <c r="J3896" t="s">
        <v>20018</v>
      </c>
      <c r="K3896" t="s">
        <v>20019</v>
      </c>
      <c r="L3896" t="s">
        <v>20020</v>
      </c>
      <c r="M3896">
        <v>302.33</v>
      </c>
      <c r="N3896" t="s">
        <v>20021</v>
      </c>
      <c r="O3896" t="s">
        <v>26</v>
      </c>
      <c r="P3896">
        <v>49.43</v>
      </c>
      <c r="Q3896">
        <v>41.19</v>
      </c>
      <c r="R3896">
        <v>32.950000000000003</v>
      </c>
      <c r="S3896">
        <v>49.43</v>
      </c>
      <c r="T3896" t="s">
        <v>20022</v>
      </c>
    </row>
    <row r="3897" spans="1:20">
      <c r="A3897">
        <v>3331963</v>
      </c>
      <c r="B3897" t="s">
        <v>20023</v>
      </c>
      <c r="C3897" t="str">
        <f>"9780773533530"</f>
        <v>9780773533530</v>
      </c>
      <c r="D3897" t="str">
        <f>"9780773574960"</f>
        <v>9780773574960</v>
      </c>
      <c r="E3897" t="s">
        <v>12863</v>
      </c>
      <c r="F3897" t="s">
        <v>12863</v>
      </c>
      <c r="G3897" s="1">
        <v>39555</v>
      </c>
      <c r="J3897" t="s">
        <v>20024</v>
      </c>
      <c r="K3897" t="s">
        <v>899</v>
      </c>
      <c r="L3897" t="s">
        <v>20025</v>
      </c>
      <c r="M3897">
        <v>306.30971609033998</v>
      </c>
      <c r="N3897" t="s">
        <v>20026</v>
      </c>
      <c r="O3897" t="s">
        <v>26</v>
      </c>
      <c r="P3897">
        <v>142.5</v>
      </c>
      <c r="Q3897">
        <v>118.75</v>
      </c>
      <c r="R3897">
        <v>95</v>
      </c>
      <c r="S3897">
        <v>142.5</v>
      </c>
      <c r="T3897" t="s">
        <v>20027</v>
      </c>
    </row>
    <row r="3898" spans="1:20">
      <c r="A3898">
        <v>3331964</v>
      </c>
      <c r="B3898" t="s">
        <v>20028</v>
      </c>
      <c r="C3898" t="str">
        <f>"9780773532694"</f>
        <v>9780773532694</v>
      </c>
      <c r="D3898" t="str">
        <f>"9780773574991"</f>
        <v>9780773574991</v>
      </c>
      <c r="E3898" t="s">
        <v>12863</v>
      </c>
      <c r="F3898" t="s">
        <v>12863</v>
      </c>
      <c r="G3898" s="1">
        <v>39486</v>
      </c>
      <c r="J3898" t="s">
        <v>20029</v>
      </c>
      <c r="K3898" t="s">
        <v>7175</v>
      </c>
      <c r="L3898" t="s">
        <v>20030</v>
      </c>
      <c r="M3898">
        <v>320.09710000000001</v>
      </c>
      <c r="N3898" t="s">
        <v>20031</v>
      </c>
      <c r="O3898" t="s">
        <v>26</v>
      </c>
      <c r="P3898">
        <v>44.93</v>
      </c>
      <c r="Q3898">
        <v>37.44</v>
      </c>
      <c r="R3898">
        <v>29.95</v>
      </c>
      <c r="S3898">
        <v>44.93</v>
      </c>
      <c r="T3898" t="s">
        <v>20032</v>
      </c>
    </row>
    <row r="3899" spans="1:20">
      <c r="A3899">
        <v>3331965</v>
      </c>
      <c r="B3899" t="s">
        <v>20033</v>
      </c>
      <c r="C3899" t="str">
        <f>"9780773533769"</f>
        <v>9780773533769</v>
      </c>
      <c r="D3899" t="str">
        <f>"9780773575035"</f>
        <v>9780773575035</v>
      </c>
      <c r="E3899" t="s">
        <v>12863</v>
      </c>
      <c r="F3899" t="s">
        <v>12863</v>
      </c>
      <c r="G3899" s="1">
        <v>39679</v>
      </c>
      <c r="J3899" t="s">
        <v>20034</v>
      </c>
      <c r="K3899" t="s">
        <v>1464</v>
      </c>
      <c r="L3899" t="s">
        <v>20035</v>
      </c>
      <c r="M3899">
        <v>813.54</v>
      </c>
      <c r="N3899" t="s">
        <v>20036</v>
      </c>
      <c r="O3899" t="s">
        <v>26</v>
      </c>
      <c r="P3899">
        <v>142.5</v>
      </c>
      <c r="Q3899">
        <v>118.75</v>
      </c>
      <c r="R3899">
        <v>95</v>
      </c>
      <c r="S3899">
        <v>142.5</v>
      </c>
      <c r="T3899" t="s">
        <v>20037</v>
      </c>
    </row>
    <row r="3900" spans="1:20">
      <c r="A3900">
        <v>3331966</v>
      </c>
      <c r="B3900" t="s">
        <v>20038</v>
      </c>
      <c r="C3900" t="str">
        <f>"9780773532779"</f>
        <v>9780773532779</v>
      </c>
      <c r="D3900" t="str">
        <f>"9780773575042"</f>
        <v>9780773575042</v>
      </c>
      <c r="E3900" t="s">
        <v>12863</v>
      </c>
      <c r="F3900" t="s">
        <v>12863</v>
      </c>
      <c r="G3900" s="1">
        <v>39490</v>
      </c>
      <c r="J3900" t="s">
        <v>20039</v>
      </c>
      <c r="K3900" t="s">
        <v>1471</v>
      </c>
      <c r="L3900" t="s">
        <v>20040</v>
      </c>
      <c r="M3900">
        <v>780.71171428000002</v>
      </c>
      <c r="N3900" t="s">
        <v>20041</v>
      </c>
      <c r="O3900" t="s">
        <v>26</v>
      </c>
      <c r="P3900">
        <v>142.5</v>
      </c>
      <c r="Q3900">
        <v>118.75</v>
      </c>
      <c r="R3900">
        <v>95</v>
      </c>
      <c r="S3900">
        <v>142.5</v>
      </c>
      <c r="T3900" t="s">
        <v>20042</v>
      </c>
    </row>
    <row r="3901" spans="1:20">
      <c r="A3901">
        <v>3331968</v>
      </c>
      <c r="B3901" t="s">
        <v>20043</v>
      </c>
      <c r="C3901" t="str">
        <f>"9780773535008"</f>
        <v>9780773535008</v>
      </c>
      <c r="D3901" t="str">
        <f>"9780773575226"</f>
        <v>9780773575226</v>
      </c>
      <c r="E3901" t="s">
        <v>12863</v>
      </c>
      <c r="F3901" t="s">
        <v>12863</v>
      </c>
      <c r="G3901" s="1">
        <v>39873</v>
      </c>
      <c r="I3901" t="s">
        <v>12871</v>
      </c>
      <c r="J3901" t="s">
        <v>13671</v>
      </c>
      <c r="K3901" t="s">
        <v>1550</v>
      </c>
      <c r="L3901" t="s">
        <v>16573</v>
      </c>
      <c r="M3901">
        <v>398.20899711999999</v>
      </c>
      <c r="N3901" t="s">
        <v>20044</v>
      </c>
      <c r="O3901" t="s">
        <v>26</v>
      </c>
      <c r="P3901">
        <v>44.93</v>
      </c>
      <c r="Q3901">
        <v>37.44</v>
      </c>
      <c r="R3901">
        <v>29.95</v>
      </c>
      <c r="S3901">
        <v>44.93</v>
      </c>
      <c r="T3901" t="s">
        <v>20045</v>
      </c>
    </row>
    <row r="3902" spans="1:20">
      <c r="A3902">
        <v>3331969</v>
      </c>
      <c r="B3902" t="s">
        <v>20046</v>
      </c>
      <c r="C3902" t="str">
        <f>"9780773534254"</f>
        <v>9780773534254</v>
      </c>
      <c r="D3902" t="str">
        <f>"9780773575134"</f>
        <v>9780773575134</v>
      </c>
      <c r="E3902" t="s">
        <v>12863</v>
      </c>
      <c r="F3902" t="s">
        <v>12863</v>
      </c>
      <c r="G3902" s="1">
        <v>39756</v>
      </c>
      <c r="J3902" t="s">
        <v>20047</v>
      </c>
      <c r="K3902" t="s">
        <v>550</v>
      </c>
      <c r="L3902" t="s">
        <v>13272</v>
      </c>
      <c r="M3902">
        <v>306.36309713090299</v>
      </c>
      <c r="N3902" t="s">
        <v>20048</v>
      </c>
      <c r="O3902" t="s">
        <v>26</v>
      </c>
      <c r="P3902">
        <v>142.5</v>
      </c>
      <c r="Q3902">
        <v>118.75</v>
      </c>
      <c r="R3902">
        <v>95</v>
      </c>
      <c r="S3902">
        <v>142.5</v>
      </c>
      <c r="T3902" t="s">
        <v>20049</v>
      </c>
    </row>
    <row r="3903" spans="1:20">
      <c r="A3903">
        <v>3331970</v>
      </c>
      <c r="B3903" t="s">
        <v>20050</v>
      </c>
      <c r="C3903" t="str">
        <f>"9780773534209"</f>
        <v>9780773534209</v>
      </c>
      <c r="D3903" t="str">
        <f>"9780773575127"</f>
        <v>9780773575127</v>
      </c>
      <c r="E3903" t="s">
        <v>12863</v>
      </c>
      <c r="F3903" t="s">
        <v>12863</v>
      </c>
      <c r="G3903" s="1">
        <v>39745</v>
      </c>
      <c r="J3903" t="s">
        <v>20051</v>
      </c>
      <c r="K3903" t="s">
        <v>1550</v>
      </c>
      <c r="L3903" t="s">
        <v>16533</v>
      </c>
      <c r="M3903">
        <v>305.89707099999998</v>
      </c>
      <c r="N3903" t="s">
        <v>20052</v>
      </c>
      <c r="O3903" t="s">
        <v>26</v>
      </c>
      <c r="P3903">
        <v>49.43</v>
      </c>
      <c r="Q3903">
        <v>41.19</v>
      </c>
      <c r="R3903">
        <v>32.950000000000003</v>
      </c>
      <c r="S3903">
        <v>49.43</v>
      </c>
      <c r="T3903" t="s">
        <v>20053</v>
      </c>
    </row>
    <row r="3904" spans="1:20">
      <c r="A3904">
        <v>3331972</v>
      </c>
      <c r="B3904" t="s">
        <v>20054</v>
      </c>
      <c r="C3904" t="str">
        <f>"9780773532960"</f>
        <v>9780773532960</v>
      </c>
      <c r="D3904" t="str">
        <f>"9780773574557"</f>
        <v>9780773574557</v>
      </c>
      <c r="E3904" t="s">
        <v>12863</v>
      </c>
      <c r="F3904" t="s">
        <v>12863</v>
      </c>
      <c r="G3904" s="1">
        <v>39485</v>
      </c>
      <c r="J3904" t="s">
        <v>20055</v>
      </c>
      <c r="K3904" t="s">
        <v>568</v>
      </c>
      <c r="L3904" t="s">
        <v>20056</v>
      </c>
      <c r="M3904">
        <v>327.71009049000003</v>
      </c>
      <c r="N3904" t="s">
        <v>20057</v>
      </c>
      <c r="O3904" t="s">
        <v>26</v>
      </c>
      <c r="P3904">
        <v>142.5</v>
      </c>
      <c r="Q3904">
        <v>118.75</v>
      </c>
      <c r="R3904">
        <v>95</v>
      </c>
      <c r="S3904">
        <v>142.5</v>
      </c>
      <c r="T3904" t="s">
        <v>20058</v>
      </c>
    </row>
    <row r="3905" spans="1:20">
      <c r="A3905">
        <v>3331973</v>
      </c>
      <c r="B3905" t="s">
        <v>20059</v>
      </c>
      <c r="C3905" t="str">
        <f>"9780773533738"</f>
        <v>9780773533738</v>
      </c>
      <c r="D3905" t="str">
        <f>"9780773574786"</f>
        <v>9780773574786</v>
      </c>
      <c r="E3905" t="s">
        <v>12863</v>
      </c>
      <c r="F3905" t="s">
        <v>12863</v>
      </c>
      <c r="G3905" s="1">
        <v>39638</v>
      </c>
      <c r="J3905" t="s">
        <v>20060</v>
      </c>
      <c r="K3905" t="s">
        <v>263</v>
      </c>
      <c r="L3905" t="s">
        <v>20061</v>
      </c>
      <c r="M3905">
        <v>306.42</v>
      </c>
      <c r="N3905" t="s">
        <v>20062</v>
      </c>
      <c r="O3905" t="s">
        <v>26</v>
      </c>
      <c r="P3905">
        <v>142.5</v>
      </c>
      <c r="Q3905">
        <v>118.75</v>
      </c>
      <c r="R3905">
        <v>95</v>
      </c>
      <c r="S3905">
        <v>142.5</v>
      </c>
      <c r="T3905" t="s">
        <v>20063</v>
      </c>
    </row>
    <row r="3906" spans="1:20">
      <c r="A3906">
        <v>3331974</v>
      </c>
      <c r="B3906" t="s">
        <v>20064</v>
      </c>
      <c r="C3906" t="str">
        <f>"9780773532816"</f>
        <v>9780773532816</v>
      </c>
      <c r="D3906" t="str">
        <f>"9780773574496"</f>
        <v>9780773574496</v>
      </c>
      <c r="E3906" t="s">
        <v>12863</v>
      </c>
      <c r="F3906" t="s">
        <v>12863</v>
      </c>
      <c r="G3906" s="1">
        <v>39468</v>
      </c>
      <c r="J3906" t="s">
        <v>20065</v>
      </c>
      <c r="K3906" t="s">
        <v>20066</v>
      </c>
      <c r="L3906" t="s">
        <v>20067</v>
      </c>
      <c r="M3906">
        <v>382.453621</v>
      </c>
      <c r="N3906" t="s">
        <v>20068</v>
      </c>
      <c r="O3906" t="s">
        <v>26</v>
      </c>
      <c r="P3906">
        <v>142.5</v>
      </c>
      <c r="Q3906">
        <v>118.75</v>
      </c>
      <c r="R3906">
        <v>95</v>
      </c>
      <c r="S3906">
        <v>142.5</v>
      </c>
      <c r="T3906" t="s">
        <v>20069</v>
      </c>
    </row>
    <row r="3907" spans="1:20">
      <c r="A3907">
        <v>3331975</v>
      </c>
      <c r="B3907" t="s">
        <v>20070</v>
      </c>
      <c r="C3907" t="str">
        <f>"9780773533851"</f>
        <v>9780773533851</v>
      </c>
      <c r="D3907" t="str">
        <f>"9780773574397"</f>
        <v>9780773574397</v>
      </c>
      <c r="E3907" t="s">
        <v>12863</v>
      </c>
      <c r="F3907" t="s">
        <v>12863</v>
      </c>
      <c r="G3907" s="1">
        <v>39650</v>
      </c>
      <c r="J3907" t="s">
        <v>20071</v>
      </c>
      <c r="K3907" t="s">
        <v>1471</v>
      </c>
      <c r="L3907" t="s">
        <v>20072</v>
      </c>
      <c r="M3907">
        <v>700.9049</v>
      </c>
      <c r="N3907" t="s">
        <v>20073</v>
      </c>
      <c r="O3907" t="s">
        <v>26</v>
      </c>
      <c r="P3907">
        <v>142.5</v>
      </c>
      <c r="Q3907">
        <v>118.75</v>
      </c>
      <c r="R3907">
        <v>95</v>
      </c>
      <c r="S3907">
        <v>142.5</v>
      </c>
      <c r="T3907" t="s">
        <v>20074</v>
      </c>
    </row>
    <row r="3908" spans="1:20">
      <c r="A3908">
        <v>3331976</v>
      </c>
      <c r="B3908" t="s">
        <v>20075</v>
      </c>
      <c r="C3908" t="str">
        <f>"9780773533998"</f>
        <v>9780773533998</v>
      </c>
      <c r="D3908" t="str">
        <f>"9780773574588"</f>
        <v>9780773574588</v>
      </c>
      <c r="E3908" t="s">
        <v>12863</v>
      </c>
      <c r="F3908" t="s">
        <v>12863</v>
      </c>
      <c r="G3908" s="1">
        <v>39625</v>
      </c>
      <c r="I3908" t="s">
        <v>12864</v>
      </c>
      <c r="J3908" t="s">
        <v>20076</v>
      </c>
      <c r="K3908" t="s">
        <v>12989</v>
      </c>
      <c r="L3908" t="s">
        <v>20077</v>
      </c>
      <c r="M3908">
        <v>613.04319999999996</v>
      </c>
      <c r="N3908" t="s">
        <v>20078</v>
      </c>
      <c r="O3908" t="s">
        <v>26</v>
      </c>
      <c r="P3908">
        <v>142.5</v>
      </c>
      <c r="Q3908">
        <v>118.75</v>
      </c>
      <c r="R3908">
        <v>95</v>
      </c>
      <c r="S3908">
        <v>142.5</v>
      </c>
      <c r="T3908" t="s">
        <v>20079</v>
      </c>
    </row>
    <row r="3909" spans="1:20">
      <c r="A3909">
        <v>3331977</v>
      </c>
      <c r="B3909" t="s">
        <v>20080</v>
      </c>
      <c r="C3909" t="str">
        <f>"9780773532991"</f>
        <v>9780773532991</v>
      </c>
      <c r="D3909" t="str">
        <f>"9780773574847"</f>
        <v>9780773574847</v>
      </c>
      <c r="E3909" t="s">
        <v>12863</v>
      </c>
      <c r="F3909" t="s">
        <v>12863</v>
      </c>
      <c r="G3909" s="1">
        <v>39600</v>
      </c>
      <c r="K3909" t="s">
        <v>416</v>
      </c>
      <c r="L3909" t="s">
        <v>14580</v>
      </c>
      <c r="M3909">
        <v>339.37108999999998</v>
      </c>
      <c r="N3909" t="s">
        <v>19879</v>
      </c>
      <c r="O3909" t="s">
        <v>94</v>
      </c>
      <c r="P3909">
        <v>142.5</v>
      </c>
      <c r="Q3909">
        <v>118.75</v>
      </c>
      <c r="R3909">
        <v>95</v>
      </c>
      <c r="S3909">
        <v>142.5</v>
      </c>
      <c r="T3909" t="s">
        <v>20081</v>
      </c>
    </row>
    <row r="3910" spans="1:20">
      <c r="A3910">
        <v>3331978</v>
      </c>
      <c r="B3910" t="s">
        <v>20082</v>
      </c>
      <c r="C3910" t="str">
        <f>"9780773515512"</f>
        <v>9780773515512</v>
      </c>
      <c r="D3910" t="str">
        <f>"9780773566514"</f>
        <v>9780773566514</v>
      </c>
      <c r="E3910" t="s">
        <v>12863</v>
      </c>
      <c r="F3910" t="s">
        <v>12863</v>
      </c>
      <c r="G3910" s="1">
        <v>35500</v>
      </c>
      <c r="I3910" t="s">
        <v>15409</v>
      </c>
      <c r="J3910" t="s">
        <v>20083</v>
      </c>
      <c r="K3910" t="s">
        <v>7075</v>
      </c>
      <c r="L3910" t="s">
        <v>20084</v>
      </c>
      <c r="M3910">
        <v>16</v>
      </c>
      <c r="N3910" t="s">
        <v>20085</v>
      </c>
      <c r="O3910" t="s">
        <v>26</v>
      </c>
      <c r="P3910">
        <v>180</v>
      </c>
      <c r="Q3910">
        <v>150</v>
      </c>
      <c r="R3910">
        <v>120</v>
      </c>
      <c r="S3910">
        <v>180</v>
      </c>
      <c r="T3910" t="s">
        <v>20086</v>
      </c>
    </row>
    <row r="3911" spans="1:20">
      <c r="A3911">
        <v>3331979</v>
      </c>
      <c r="B3911" t="s">
        <v>20087</v>
      </c>
      <c r="C3911" t="str">
        <f>"9780773525306"</f>
        <v>9780773525306</v>
      </c>
      <c r="D3911" t="str">
        <f>"9780773570993"</f>
        <v>9780773570993</v>
      </c>
      <c r="E3911" t="s">
        <v>12863</v>
      </c>
      <c r="F3911" t="s">
        <v>12863</v>
      </c>
      <c r="G3911" s="1">
        <v>37683</v>
      </c>
      <c r="J3911" t="s">
        <v>20088</v>
      </c>
      <c r="K3911" t="s">
        <v>10089</v>
      </c>
      <c r="L3911" t="s">
        <v>20089</v>
      </c>
      <c r="M3911">
        <v>971.06479999999999</v>
      </c>
      <c r="N3911" t="s">
        <v>20090</v>
      </c>
      <c r="O3911" t="s">
        <v>26</v>
      </c>
      <c r="P3911">
        <v>142.5</v>
      </c>
      <c r="Q3911">
        <v>118.75</v>
      </c>
      <c r="R3911">
        <v>95</v>
      </c>
      <c r="S3911">
        <v>142.5</v>
      </c>
      <c r="T3911" t="s">
        <v>20091</v>
      </c>
    </row>
    <row r="3912" spans="1:20">
      <c r="A3912">
        <v>3331980</v>
      </c>
      <c r="B3912" t="s">
        <v>20092</v>
      </c>
      <c r="C3912" t="str">
        <f>"9780773535664"</f>
        <v>9780773535664</v>
      </c>
      <c r="D3912" t="str">
        <f>"9780773575332"</f>
        <v>9780773575332</v>
      </c>
      <c r="E3912" t="s">
        <v>12907</v>
      </c>
      <c r="F3912" t="s">
        <v>12907</v>
      </c>
      <c r="G3912" s="1">
        <v>39904</v>
      </c>
      <c r="I3912" t="s">
        <v>14112</v>
      </c>
      <c r="J3912" t="s">
        <v>20093</v>
      </c>
      <c r="K3912" t="s">
        <v>550</v>
      </c>
      <c r="L3912" t="s">
        <v>20094</v>
      </c>
      <c r="M3912" t="s">
        <v>20095</v>
      </c>
      <c r="N3912" t="s">
        <v>20096</v>
      </c>
      <c r="O3912" t="s">
        <v>26</v>
      </c>
      <c r="P3912">
        <v>52.43</v>
      </c>
      <c r="Q3912">
        <v>43.69</v>
      </c>
      <c r="R3912">
        <v>34.950000000000003</v>
      </c>
      <c r="S3912">
        <v>52.43</v>
      </c>
      <c r="T3912" t="s">
        <v>20097</v>
      </c>
    </row>
    <row r="3913" spans="1:20">
      <c r="A3913">
        <v>3331981</v>
      </c>
      <c r="B3913" t="s">
        <v>20098</v>
      </c>
      <c r="C3913" t="str">
        <f>"9780773516021"</f>
        <v>9780773516021</v>
      </c>
      <c r="D3913" t="str">
        <f>"9780773570467"</f>
        <v>9780773570467</v>
      </c>
      <c r="E3913" t="s">
        <v>12863</v>
      </c>
      <c r="F3913" t="s">
        <v>12863</v>
      </c>
      <c r="G3913" s="1">
        <v>35514</v>
      </c>
      <c r="J3913" t="s">
        <v>20099</v>
      </c>
      <c r="K3913" t="s">
        <v>291</v>
      </c>
      <c r="L3913" t="s">
        <v>20100</v>
      </c>
      <c r="M3913">
        <v>967.41050919999998</v>
      </c>
      <c r="N3913" t="s">
        <v>20101</v>
      </c>
      <c r="O3913" t="s">
        <v>26</v>
      </c>
      <c r="P3913">
        <v>142.5</v>
      </c>
      <c r="Q3913">
        <v>118.75</v>
      </c>
      <c r="R3913">
        <v>95</v>
      </c>
      <c r="S3913">
        <v>142.5</v>
      </c>
      <c r="T3913" t="s">
        <v>20102</v>
      </c>
    </row>
    <row r="3914" spans="1:20">
      <c r="A3914">
        <v>3331982</v>
      </c>
      <c r="B3914" t="s">
        <v>20103</v>
      </c>
      <c r="C3914" t="str">
        <f>"9780886290009"</f>
        <v>9780886290009</v>
      </c>
      <c r="D3914" t="str">
        <f>"9780773575486"</f>
        <v>9780773575486</v>
      </c>
      <c r="E3914" t="s">
        <v>12907</v>
      </c>
      <c r="F3914" t="s">
        <v>12907</v>
      </c>
      <c r="G3914" s="1">
        <v>41773</v>
      </c>
      <c r="H3914" t="s">
        <v>18238</v>
      </c>
      <c r="I3914" t="s">
        <v>13270</v>
      </c>
      <c r="J3914" t="s">
        <v>20104</v>
      </c>
      <c r="K3914" t="s">
        <v>291</v>
      </c>
      <c r="L3914" t="s">
        <v>20105</v>
      </c>
      <c r="M3914">
        <v>971.03899999999999</v>
      </c>
      <c r="N3914" t="s">
        <v>20106</v>
      </c>
      <c r="O3914" t="s">
        <v>26</v>
      </c>
      <c r="P3914">
        <v>29.93</v>
      </c>
      <c r="Q3914">
        <v>24.94</v>
      </c>
      <c r="R3914">
        <v>19.95</v>
      </c>
      <c r="S3914">
        <v>29.93</v>
      </c>
      <c r="T3914" t="s">
        <v>20107</v>
      </c>
    </row>
    <row r="3915" spans="1:20">
      <c r="A3915">
        <v>3331983</v>
      </c>
      <c r="B3915" t="s">
        <v>20108</v>
      </c>
      <c r="C3915" t="str">
        <f>"9780773530928"</f>
        <v>9780773530928</v>
      </c>
      <c r="D3915" t="str">
        <f>"9780773576032"</f>
        <v>9780773576032</v>
      </c>
      <c r="E3915" t="s">
        <v>12863</v>
      </c>
      <c r="F3915" t="s">
        <v>12863</v>
      </c>
      <c r="G3915" s="1">
        <v>38869</v>
      </c>
      <c r="I3915" t="s">
        <v>13270</v>
      </c>
      <c r="J3915" t="s">
        <v>20109</v>
      </c>
      <c r="K3915" t="s">
        <v>7063</v>
      </c>
      <c r="L3915" t="s">
        <v>20110</v>
      </c>
      <c r="M3915">
        <v>971.07899999999995</v>
      </c>
      <c r="N3915" t="s">
        <v>20111</v>
      </c>
      <c r="O3915" t="s">
        <v>26</v>
      </c>
      <c r="P3915">
        <v>142.5</v>
      </c>
      <c r="Q3915">
        <v>118.75</v>
      </c>
      <c r="R3915">
        <v>95</v>
      </c>
      <c r="S3915">
        <v>142.5</v>
      </c>
      <c r="T3915" t="s">
        <v>20112</v>
      </c>
    </row>
    <row r="3916" spans="1:20">
      <c r="A3916">
        <v>3331984</v>
      </c>
      <c r="B3916" t="s">
        <v>20113</v>
      </c>
      <c r="C3916" t="str">
        <f>"9780773530942"</f>
        <v>9780773530942</v>
      </c>
      <c r="D3916" t="str">
        <f>"9780773576759"</f>
        <v>9780773576759</v>
      </c>
      <c r="E3916" t="s">
        <v>12863</v>
      </c>
      <c r="F3916" t="s">
        <v>12863</v>
      </c>
      <c r="G3916" s="1">
        <v>38807</v>
      </c>
      <c r="J3916" t="s">
        <v>20114</v>
      </c>
      <c r="K3916" t="s">
        <v>473</v>
      </c>
      <c r="L3916" t="s">
        <v>15461</v>
      </c>
      <c r="M3916">
        <v>325.21097099999997</v>
      </c>
      <c r="N3916" t="s">
        <v>20115</v>
      </c>
      <c r="O3916" t="s">
        <v>26</v>
      </c>
      <c r="P3916">
        <v>44.93</v>
      </c>
      <c r="Q3916">
        <v>37.44</v>
      </c>
      <c r="R3916">
        <v>29.95</v>
      </c>
      <c r="S3916">
        <v>44.93</v>
      </c>
      <c r="T3916" t="s">
        <v>20116</v>
      </c>
    </row>
    <row r="3917" spans="1:20">
      <c r="A3917">
        <v>3331985</v>
      </c>
      <c r="B3917" t="s">
        <v>20117</v>
      </c>
      <c r="C3917" t="str">
        <f>"9780773530775"</f>
        <v>9780773530775</v>
      </c>
      <c r="D3917" t="str">
        <f>"9780773577022"</f>
        <v>9780773577022</v>
      </c>
      <c r="E3917" t="s">
        <v>12863</v>
      </c>
      <c r="F3917" t="s">
        <v>12863</v>
      </c>
      <c r="G3917" s="1">
        <v>39000</v>
      </c>
      <c r="J3917" t="s">
        <v>20118</v>
      </c>
      <c r="K3917" t="s">
        <v>3939</v>
      </c>
      <c r="L3917" t="s">
        <v>20119</v>
      </c>
      <c r="M3917">
        <v>809.89714279999998</v>
      </c>
      <c r="N3917" t="s">
        <v>20120</v>
      </c>
      <c r="O3917" t="s">
        <v>26</v>
      </c>
      <c r="P3917">
        <v>41.93</v>
      </c>
      <c r="Q3917">
        <v>34.94</v>
      </c>
      <c r="R3917">
        <v>27.95</v>
      </c>
      <c r="S3917">
        <v>41.93</v>
      </c>
      <c r="T3917" t="s">
        <v>20121</v>
      </c>
    </row>
    <row r="3918" spans="1:20">
      <c r="A3918">
        <v>3331986</v>
      </c>
      <c r="B3918" t="s">
        <v>20122</v>
      </c>
      <c r="C3918" t="str">
        <f>"9780773529892"</f>
        <v>9780773529892</v>
      </c>
      <c r="D3918" t="str">
        <f>"9780773576414"</f>
        <v>9780773576414</v>
      </c>
      <c r="E3918" t="s">
        <v>12863</v>
      </c>
      <c r="F3918" t="s">
        <v>12863</v>
      </c>
      <c r="G3918" s="1">
        <v>38812</v>
      </c>
      <c r="I3918" t="s">
        <v>12942</v>
      </c>
      <c r="J3918" t="s">
        <v>20123</v>
      </c>
      <c r="K3918" t="s">
        <v>291</v>
      </c>
      <c r="L3918" t="s">
        <v>20124</v>
      </c>
      <c r="M3918">
        <v>971.00491629999999</v>
      </c>
      <c r="N3918" t="s">
        <v>20125</v>
      </c>
      <c r="O3918" t="s">
        <v>26</v>
      </c>
      <c r="P3918">
        <v>44.93</v>
      </c>
      <c r="Q3918">
        <v>37.44</v>
      </c>
      <c r="R3918">
        <v>29.95</v>
      </c>
      <c r="S3918">
        <v>44.93</v>
      </c>
      <c r="T3918" t="s">
        <v>20126</v>
      </c>
    </row>
    <row r="3919" spans="1:20">
      <c r="A3919">
        <v>3331987</v>
      </c>
      <c r="B3919" t="s">
        <v>20127</v>
      </c>
      <c r="C3919" t="str">
        <f>"9780773531499"</f>
        <v>9780773531499</v>
      </c>
      <c r="D3919" t="str">
        <f>"9780773576964"</f>
        <v>9780773576964</v>
      </c>
      <c r="E3919" t="s">
        <v>12863</v>
      </c>
      <c r="F3919" t="s">
        <v>12863</v>
      </c>
      <c r="G3919" s="1">
        <v>38939</v>
      </c>
      <c r="I3919" t="s">
        <v>18279</v>
      </c>
      <c r="J3919" t="s">
        <v>18086</v>
      </c>
      <c r="K3919" t="s">
        <v>291</v>
      </c>
      <c r="L3919" t="s">
        <v>20128</v>
      </c>
      <c r="M3919">
        <v>971.0644092</v>
      </c>
      <c r="N3919" t="s">
        <v>20129</v>
      </c>
      <c r="O3919" t="s">
        <v>26</v>
      </c>
      <c r="P3919">
        <v>44.93</v>
      </c>
      <c r="Q3919">
        <v>37.44</v>
      </c>
      <c r="R3919">
        <v>29.95</v>
      </c>
      <c r="S3919">
        <v>44.93</v>
      </c>
      <c r="T3919" t="s">
        <v>20130</v>
      </c>
    </row>
    <row r="3920" spans="1:20">
      <c r="A3920">
        <v>3331988</v>
      </c>
      <c r="B3920" t="s">
        <v>20131</v>
      </c>
      <c r="C3920" t="str">
        <f>"9780773529779"</f>
        <v>9780773529779</v>
      </c>
      <c r="D3920" t="str">
        <f>"9780773576704"</f>
        <v>9780773576704</v>
      </c>
      <c r="E3920" t="s">
        <v>12863</v>
      </c>
      <c r="F3920" t="s">
        <v>12863</v>
      </c>
      <c r="G3920" s="1">
        <v>38807</v>
      </c>
      <c r="I3920" t="s">
        <v>12864</v>
      </c>
      <c r="J3920" t="s">
        <v>20132</v>
      </c>
      <c r="K3920" t="s">
        <v>2260</v>
      </c>
      <c r="L3920" t="s">
        <v>13155</v>
      </c>
      <c r="M3920">
        <v>618.20097129999999</v>
      </c>
      <c r="N3920" t="s">
        <v>20133</v>
      </c>
      <c r="O3920" t="s">
        <v>26</v>
      </c>
      <c r="P3920">
        <v>142.5</v>
      </c>
      <c r="Q3920">
        <v>118.75</v>
      </c>
      <c r="R3920">
        <v>95</v>
      </c>
      <c r="S3920">
        <v>142.5</v>
      </c>
      <c r="T3920" t="s">
        <v>20134</v>
      </c>
    </row>
    <row r="3921" spans="1:20">
      <c r="A3921">
        <v>3331989</v>
      </c>
      <c r="B3921" t="s">
        <v>20135</v>
      </c>
      <c r="C3921" t="str">
        <f>"9780773531314"</f>
        <v>9780773531314</v>
      </c>
      <c r="D3921" t="str">
        <f>"9780773576544"</f>
        <v>9780773576544</v>
      </c>
      <c r="E3921" t="s">
        <v>12863</v>
      </c>
      <c r="F3921" t="s">
        <v>12863</v>
      </c>
      <c r="G3921" s="1">
        <v>38943</v>
      </c>
      <c r="I3921" t="s">
        <v>12864</v>
      </c>
      <c r="J3921" t="s">
        <v>15269</v>
      </c>
      <c r="K3921" t="s">
        <v>1082</v>
      </c>
      <c r="L3921" t="s">
        <v>20136</v>
      </c>
      <c r="M3921">
        <v>362.2097109</v>
      </c>
      <c r="N3921" t="s">
        <v>20137</v>
      </c>
      <c r="O3921" t="s">
        <v>26</v>
      </c>
      <c r="P3921">
        <v>142.5</v>
      </c>
      <c r="Q3921">
        <v>118.75</v>
      </c>
      <c r="R3921">
        <v>95</v>
      </c>
      <c r="S3921">
        <v>142.5</v>
      </c>
      <c r="T3921" t="s">
        <v>20138</v>
      </c>
    </row>
    <row r="3922" spans="1:20">
      <c r="A3922">
        <v>3331990</v>
      </c>
      <c r="B3922" t="s">
        <v>20139</v>
      </c>
      <c r="C3922" t="str">
        <f>"9780773531932"</f>
        <v>9780773531932</v>
      </c>
      <c r="D3922" t="str">
        <f>"9780773576841"</f>
        <v>9780773576841</v>
      </c>
      <c r="E3922" t="s">
        <v>12863</v>
      </c>
      <c r="F3922" t="s">
        <v>12863</v>
      </c>
      <c r="G3922" s="1">
        <v>39002</v>
      </c>
      <c r="I3922" t="s">
        <v>12864</v>
      </c>
      <c r="J3922" t="s">
        <v>20140</v>
      </c>
      <c r="K3922" t="s">
        <v>1322</v>
      </c>
      <c r="L3922" t="s">
        <v>20141</v>
      </c>
      <c r="M3922">
        <v>614.59199999999998</v>
      </c>
      <c r="N3922" t="s">
        <v>20142</v>
      </c>
      <c r="O3922" t="s">
        <v>26</v>
      </c>
      <c r="P3922">
        <v>44.93</v>
      </c>
      <c r="Q3922">
        <v>37.44</v>
      </c>
      <c r="R3922">
        <v>29.95</v>
      </c>
      <c r="S3922">
        <v>44.93</v>
      </c>
      <c r="T3922" t="s">
        <v>20143</v>
      </c>
    </row>
    <row r="3923" spans="1:20">
      <c r="A3923">
        <v>3331991</v>
      </c>
      <c r="B3923" t="s">
        <v>20144</v>
      </c>
      <c r="C3923" t="str">
        <f>"9780773528192"</f>
        <v>9780773528192</v>
      </c>
      <c r="D3923" t="str">
        <f>"9780773576056"</f>
        <v>9780773576056</v>
      </c>
      <c r="E3923" t="s">
        <v>12863</v>
      </c>
      <c r="F3923" t="s">
        <v>12863</v>
      </c>
      <c r="G3923" s="1">
        <v>38734</v>
      </c>
      <c r="I3923" t="s">
        <v>12871</v>
      </c>
      <c r="J3923" t="s">
        <v>20145</v>
      </c>
      <c r="K3923" t="s">
        <v>2975</v>
      </c>
      <c r="L3923" t="s">
        <v>20146</v>
      </c>
      <c r="M3923">
        <v>371.82997071</v>
      </c>
      <c r="N3923" t="s">
        <v>20147</v>
      </c>
      <c r="O3923" t="s">
        <v>26</v>
      </c>
      <c r="P3923">
        <v>44.93</v>
      </c>
      <c r="Q3923">
        <v>37.44</v>
      </c>
      <c r="R3923">
        <v>29.95</v>
      </c>
      <c r="S3923">
        <v>44.93</v>
      </c>
      <c r="T3923" t="s">
        <v>20148</v>
      </c>
    </row>
    <row r="3924" spans="1:20">
      <c r="A3924">
        <v>3331992</v>
      </c>
      <c r="B3924" t="s">
        <v>20149</v>
      </c>
      <c r="C3924" t="str">
        <f>"9780773530577"</f>
        <v>9780773530577</v>
      </c>
      <c r="D3924" t="str">
        <f>"9780773576001"</f>
        <v>9780773576001</v>
      </c>
      <c r="E3924" t="s">
        <v>12863</v>
      </c>
      <c r="F3924" t="s">
        <v>12863</v>
      </c>
      <c r="G3924" s="1">
        <v>38936</v>
      </c>
      <c r="I3924" t="s">
        <v>12886</v>
      </c>
      <c r="J3924" t="s">
        <v>20150</v>
      </c>
      <c r="K3924" t="s">
        <v>1892</v>
      </c>
      <c r="L3924" t="s">
        <v>20151</v>
      </c>
      <c r="M3924">
        <v>277.108</v>
      </c>
      <c r="N3924" t="s">
        <v>20152</v>
      </c>
      <c r="O3924" t="s">
        <v>26</v>
      </c>
      <c r="P3924">
        <v>49.43</v>
      </c>
      <c r="Q3924">
        <v>41.19</v>
      </c>
      <c r="R3924">
        <v>32.950000000000003</v>
      </c>
      <c r="S3924">
        <v>49.43</v>
      </c>
      <c r="T3924" t="s">
        <v>20153</v>
      </c>
    </row>
    <row r="3925" spans="1:20">
      <c r="A3925">
        <v>3331993</v>
      </c>
      <c r="B3925" t="s">
        <v>20154</v>
      </c>
      <c r="C3925" t="str">
        <f>"9780773531642"</f>
        <v>9780773531642</v>
      </c>
      <c r="D3925" t="str">
        <f>"9780773575875"</f>
        <v>9780773575875</v>
      </c>
      <c r="E3925" t="s">
        <v>12863</v>
      </c>
      <c r="F3925" t="s">
        <v>12863</v>
      </c>
      <c r="G3925" s="1">
        <v>39042</v>
      </c>
      <c r="I3925" t="s">
        <v>13811</v>
      </c>
      <c r="J3925" t="s">
        <v>18500</v>
      </c>
      <c r="K3925" t="s">
        <v>6444</v>
      </c>
      <c r="L3925" t="s">
        <v>13100</v>
      </c>
      <c r="M3925">
        <v>327.71</v>
      </c>
      <c r="N3925" t="s">
        <v>20155</v>
      </c>
      <c r="O3925" t="s">
        <v>26</v>
      </c>
      <c r="P3925">
        <v>142.5</v>
      </c>
      <c r="Q3925">
        <v>118.75</v>
      </c>
      <c r="R3925">
        <v>95</v>
      </c>
      <c r="S3925">
        <v>142.5</v>
      </c>
      <c r="T3925" t="s">
        <v>20156</v>
      </c>
    </row>
    <row r="3926" spans="1:20">
      <c r="A3926">
        <v>3331994</v>
      </c>
      <c r="B3926" t="s">
        <v>20157</v>
      </c>
      <c r="C3926" t="str">
        <f>"9780773529755"</f>
        <v>9780773529755</v>
      </c>
      <c r="D3926" t="str">
        <f>"9780773576209"</f>
        <v>9780773576209</v>
      </c>
      <c r="E3926" t="s">
        <v>12863</v>
      </c>
      <c r="F3926" t="s">
        <v>12863</v>
      </c>
      <c r="G3926" s="1">
        <v>38768</v>
      </c>
      <c r="J3926" t="s">
        <v>20158</v>
      </c>
      <c r="K3926" t="s">
        <v>467</v>
      </c>
      <c r="L3926" t="s">
        <v>20159</v>
      </c>
      <c r="M3926">
        <v>320.01</v>
      </c>
      <c r="N3926" t="s">
        <v>20160</v>
      </c>
      <c r="O3926" t="s">
        <v>26</v>
      </c>
      <c r="P3926">
        <v>142.5</v>
      </c>
      <c r="Q3926">
        <v>118.75</v>
      </c>
      <c r="R3926">
        <v>95</v>
      </c>
      <c r="S3926">
        <v>142.5</v>
      </c>
      <c r="T3926" t="s">
        <v>20161</v>
      </c>
    </row>
    <row r="3927" spans="1:20">
      <c r="A3927">
        <v>3331995</v>
      </c>
      <c r="B3927" t="s">
        <v>20162</v>
      </c>
      <c r="C3927" t="str">
        <f>"9780773530782"</f>
        <v>9780773530782</v>
      </c>
      <c r="D3927" t="str">
        <f>"9780773576339"</f>
        <v>9780773576339</v>
      </c>
      <c r="E3927" t="s">
        <v>12863</v>
      </c>
      <c r="F3927" t="s">
        <v>12863</v>
      </c>
      <c r="G3927" s="1">
        <v>38909</v>
      </c>
      <c r="J3927" t="s">
        <v>20163</v>
      </c>
      <c r="K3927" t="s">
        <v>263</v>
      </c>
      <c r="L3927" t="s">
        <v>20164</v>
      </c>
      <c r="M3927">
        <v>365.430971</v>
      </c>
      <c r="N3927" t="s">
        <v>20165</v>
      </c>
      <c r="O3927" t="s">
        <v>26</v>
      </c>
      <c r="P3927">
        <v>44.93</v>
      </c>
      <c r="Q3927">
        <v>37.44</v>
      </c>
      <c r="R3927">
        <v>29.95</v>
      </c>
      <c r="S3927">
        <v>44.93</v>
      </c>
      <c r="T3927" t="s">
        <v>20166</v>
      </c>
    </row>
    <row r="3928" spans="1:20">
      <c r="A3928">
        <v>3331996</v>
      </c>
      <c r="B3928" t="s">
        <v>20167</v>
      </c>
      <c r="C3928" t="str">
        <f>"9780773531031"</f>
        <v>9780773531031</v>
      </c>
      <c r="D3928" t="str">
        <f>"9780773576902"</f>
        <v>9780773576902</v>
      </c>
      <c r="E3928" t="s">
        <v>12863</v>
      </c>
      <c r="F3928" t="s">
        <v>12863</v>
      </c>
      <c r="G3928" s="1">
        <v>38992</v>
      </c>
      <c r="J3928" t="s">
        <v>20168</v>
      </c>
      <c r="K3928" t="s">
        <v>263</v>
      </c>
      <c r="L3928" t="s">
        <v>17096</v>
      </c>
      <c r="M3928">
        <v>305.42097100000001</v>
      </c>
      <c r="N3928" t="s">
        <v>20169</v>
      </c>
      <c r="O3928" t="s">
        <v>26</v>
      </c>
      <c r="P3928">
        <v>142.5</v>
      </c>
      <c r="Q3928">
        <v>118.75</v>
      </c>
      <c r="R3928">
        <v>95</v>
      </c>
      <c r="S3928">
        <v>142.5</v>
      </c>
      <c r="T3928" t="s">
        <v>20170</v>
      </c>
    </row>
    <row r="3929" spans="1:20">
      <c r="A3929">
        <v>3331997</v>
      </c>
      <c r="B3929" t="s">
        <v>20171</v>
      </c>
      <c r="C3929" t="str">
        <f>"9780773530294"</f>
        <v>9780773530294</v>
      </c>
      <c r="D3929" t="str">
        <f>"9780773576629"</f>
        <v>9780773576629</v>
      </c>
      <c r="E3929" t="s">
        <v>12863</v>
      </c>
      <c r="F3929" t="s">
        <v>12863</v>
      </c>
      <c r="G3929" s="1">
        <v>38842</v>
      </c>
      <c r="I3929" t="s">
        <v>18213</v>
      </c>
      <c r="J3929" t="s">
        <v>16060</v>
      </c>
      <c r="K3929" t="s">
        <v>6444</v>
      </c>
      <c r="L3929" t="s">
        <v>15806</v>
      </c>
      <c r="M3929">
        <v>320.54097139999999</v>
      </c>
      <c r="N3929" t="s">
        <v>20172</v>
      </c>
      <c r="O3929" t="s">
        <v>26</v>
      </c>
      <c r="P3929">
        <v>142.5</v>
      </c>
      <c r="Q3929">
        <v>118.75</v>
      </c>
      <c r="R3929">
        <v>95</v>
      </c>
      <c r="S3929">
        <v>142.5</v>
      </c>
      <c r="T3929" t="s">
        <v>20173</v>
      </c>
    </row>
    <row r="3930" spans="1:20">
      <c r="A3930">
        <v>3331998</v>
      </c>
      <c r="B3930" t="s">
        <v>20174</v>
      </c>
      <c r="C3930" t="str">
        <f>"9780773530386"</f>
        <v>9780773530386</v>
      </c>
      <c r="D3930" t="str">
        <f>"9780773575981"</f>
        <v>9780773575981</v>
      </c>
      <c r="E3930" t="s">
        <v>12863</v>
      </c>
      <c r="F3930" t="s">
        <v>12863</v>
      </c>
      <c r="G3930" s="1">
        <v>38842</v>
      </c>
      <c r="J3930" t="s">
        <v>20175</v>
      </c>
      <c r="K3930" t="s">
        <v>1550</v>
      </c>
      <c r="L3930" t="s">
        <v>20176</v>
      </c>
      <c r="M3930">
        <v>971.31420000000003</v>
      </c>
      <c r="N3930" t="s">
        <v>20177</v>
      </c>
      <c r="O3930" t="s">
        <v>26</v>
      </c>
      <c r="P3930">
        <v>142.5</v>
      </c>
      <c r="Q3930">
        <v>118.75</v>
      </c>
      <c r="R3930">
        <v>95</v>
      </c>
      <c r="S3930">
        <v>142.5</v>
      </c>
      <c r="T3930" t="s">
        <v>20178</v>
      </c>
    </row>
    <row r="3931" spans="1:20">
      <c r="A3931">
        <v>3331999</v>
      </c>
      <c r="B3931" t="s">
        <v>20179</v>
      </c>
      <c r="C3931" t="str">
        <f>"9780773530690"</f>
        <v>9780773530690</v>
      </c>
      <c r="D3931" t="str">
        <f>"9780773576803"</f>
        <v>9780773576803</v>
      </c>
      <c r="E3931" t="s">
        <v>12863</v>
      </c>
      <c r="F3931" t="s">
        <v>12863</v>
      </c>
      <c r="G3931" s="1">
        <v>38916</v>
      </c>
      <c r="J3931" t="s">
        <v>20180</v>
      </c>
      <c r="K3931" t="s">
        <v>1471</v>
      </c>
      <c r="L3931" t="s">
        <v>20181</v>
      </c>
      <c r="M3931">
        <v>791.43652999999995</v>
      </c>
      <c r="N3931" t="s">
        <v>20182</v>
      </c>
      <c r="O3931" t="s">
        <v>26</v>
      </c>
      <c r="P3931">
        <v>52.43</v>
      </c>
      <c r="Q3931">
        <v>43.69</v>
      </c>
      <c r="R3931">
        <v>34.950000000000003</v>
      </c>
      <c r="S3931">
        <v>52.43</v>
      </c>
      <c r="T3931" t="s">
        <v>20183</v>
      </c>
    </row>
    <row r="3932" spans="1:20">
      <c r="A3932">
        <v>3332000</v>
      </c>
      <c r="B3932" t="s">
        <v>20184</v>
      </c>
      <c r="C3932" t="str">
        <f>"9780773530904"</f>
        <v>9780773530904</v>
      </c>
      <c r="D3932" t="str">
        <f>"9780773575462"</f>
        <v>9780773575462</v>
      </c>
      <c r="E3932" t="s">
        <v>12907</v>
      </c>
      <c r="F3932" t="s">
        <v>12907</v>
      </c>
      <c r="G3932" s="1">
        <v>38908</v>
      </c>
      <c r="H3932" t="s">
        <v>18238</v>
      </c>
      <c r="J3932" t="s">
        <v>18859</v>
      </c>
      <c r="K3932" t="s">
        <v>6038</v>
      </c>
      <c r="L3932" t="s">
        <v>20185</v>
      </c>
      <c r="M3932">
        <v>971</v>
      </c>
      <c r="N3932" t="s">
        <v>20186</v>
      </c>
      <c r="O3932" t="s">
        <v>26</v>
      </c>
      <c r="P3932">
        <v>44.93</v>
      </c>
      <c r="Q3932">
        <v>37.44</v>
      </c>
      <c r="R3932">
        <v>29.95</v>
      </c>
      <c r="S3932">
        <v>44.93</v>
      </c>
      <c r="T3932" t="s">
        <v>20187</v>
      </c>
    </row>
    <row r="3933" spans="1:20">
      <c r="A3933">
        <v>3332001</v>
      </c>
      <c r="B3933" t="s">
        <v>20188</v>
      </c>
      <c r="C3933" t="str">
        <f>"9780773531185"</f>
        <v>9780773531185</v>
      </c>
      <c r="D3933" t="str">
        <f>"9780773576605"</f>
        <v>9780773576605</v>
      </c>
      <c r="E3933" t="s">
        <v>12863</v>
      </c>
      <c r="F3933" t="s">
        <v>12863</v>
      </c>
      <c r="G3933" s="1">
        <v>39016</v>
      </c>
      <c r="J3933" t="s">
        <v>20189</v>
      </c>
      <c r="K3933" t="s">
        <v>291</v>
      </c>
      <c r="L3933" t="s">
        <v>15806</v>
      </c>
      <c r="M3933">
        <v>971.40409199999999</v>
      </c>
      <c r="N3933" t="s">
        <v>20190</v>
      </c>
      <c r="O3933" t="s">
        <v>26</v>
      </c>
      <c r="P3933">
        <v>41.93</v>
      </c>
      <c r="Q3933">
        <v>34.94</v>
      </c>
      <c r="R3933">
        <v>27.95</v>
      </c>
      <c r="S3933">
        <v>41.93</v>
      </c>
      <c r="T3933" t="s">
        <v>20191</v>
      </c>
    </row>
    <row r="3934" spans="1:20">
      <c r="A3934">
        <v>3332002</v>
      </c>
      <c r="B3934" t="s">
        <v>20192</v>
      </c>
      <c r="C3934" t="str">
        <f>"9780773531321"</f>
        <v>9780773531321</v>
      </c>
      <c r="D3934" t="str">
        <f>"9780773576254"</f>
        <v>9780773576254</v>
      </c>
      <c r="E3934" t="s">
        <v>12863</v>
      </c>
      <c r="F3934" t="s">
        <v>12863</v>
      </c>
      <c r="G3934" s="1">
        <v>38937</v>
      </c>
      <c r="I3934" t="s">
        <v>12871</v>
      </c>
      <c r="J3934" t="s">
        <v>20193</v>
      </c>
      <c r="K3934" t="s">
        <v>20194</v>
      </c>
      <c r="L3934" t="s">
        <v>16533</v>
      </c>
      <c r="M3934">
        <v>362.29208997070998</v>
      </c>
      <c r="N3934" t="s">
        <v>20195</v>
      </c>
      <c r="O3934" t="s">
        <v>26</v>
      </c>
      <c r="P3934">
        <v>26.93</v>
      </c>
      <c r="Q3934">
        <v>22.44</v>
      </c>
      <c r="R3934">
        <v>17.95</v>
      </c>
      <c r="S3934">
        <v>26.93</v>
      </c>
      <c r="T3934" t="s">
        <v>20196</v>
      </c>
    </row>
    <row r="3935" spans="1:20">
      <c r="A3935">
        <v>3332003</v>
      </c>
      <c r="B3935" t="s">
        <v>20197</v>
      </c>
      <c r="C3935" t="str">
        <f>"9780773531475"</f>
        <v>9780773531475</v>
      </c>
      <c r="D3935" t="str">
        <f>"9780773576407"</f>
        <v>9780773576407</v>
      </c>
      <c r="E3935" t="s">
        <v>12863</v>
      </c>
      <c r="F3935" t="s">
        <v>12863</v>
      </c>
      <c r="G3935" s="1">
        <v>39002</v>
      </c>
      <c r="J3935" t="s">
        <v>15856</v>
      </c>
      <c r="K3935" t="s">
        <v>1892</v>
      </c>
      <c r="L3935" t="s">
        <v>20198</v>
      </c>
      <c r="M3935">
        <v>267.18200000000002</v>
      </c>
      <c r="N3935" t="s">
        <v>20199</v>
      </c>
      <c r="O3935" t="s">
        <v>26</v>
      </c>
      <c r="P3935">
        <v>29.93</v>
      </c>
      <c r="Q3935">
        <v>24.94</v>
      </c>
      <c r="R3935">
        <v>19.95</v>
      </c>
      <c r="S3935">
        <v>29.93</v>
      </c>
      <c r="T3935" t="s">
        <v>20200</v>
      </c>
    </row>
    <row r="3936" spans="1:20">
      <c r="A3936">
        <v>3332004</v>
      </c>
      <c r="B3936" t="s">
        <v>20201</v>
      </c>
      <c r="C3936" t="str">
        <f>"9780773529663"</f>
        <v>9780773529663</v>
      </c>
      <c r="D3936" t="str">
        <f>"9780773575844"</f>
        <v>9780773575844</v>
      </c>
      <c r="E3936" t="s">
        <v>12863</v>
      </c>
      <c r="F3936" t="s">
        <v>12863</v>
      </c>
      <c r="G3936" s="1">
        <v>38798</v>
      </c>
      <c r="I3936" t="s">
        <v>18213</v>
      </c>
      <c r="J3936" t="s">
        <v>20202</v>
      </c>
      <c r="K3936" t="s">
        <v>525</v>
      </c>
      <c r="L3936" t="s">
        <v>20203</v>
      </c>
      <c r="M3936">
        <v>345.01</v>
      </c>
      <c r="N3936" t="s">
        <v>20204</v>
      </c>
      <c r="O3936" t="s">
        <v>26</v>
      </c>
      <c r="P3936">
        <v>44.93</v>
      </c>
      <c r="Q3936">
        <v>37.44</v>
      </c>
      <c r="R3936">
        <v>29.95</v>
      </c>
      <c r="S3936">
        <v>44.93</v>
      </c>
      <c r="T3936" t="s">
        <v>20205</v>
      </c>
    </row>
    <row r="3937" spans="1:20">
      <c r="A3937">
        <v>3332005</v>
      </c>
      <c r="B3937" t="s">
        <v>20206</v>
      </c>
      <c r="C3937" t="str">
        <f>"9780773528116"</f>
        <v>9780773528116</v>
      </c>
      <c r="D3937" t="str">
        <f>"9780773576384"</f>
        <v>9780773576384</v>
      </c>
      <c r="E3937" t="s">
        <v>12863</v>
      </c>
      <c r="F3937" t="s">
        <v>12863</v>
      </c>
      <c r="G3937" s="1">
        <v>38391</v>
      </c>
      <c r="I3937" t="s">
        <v>12963</v>
      </c>
      <c r="J3937" t="s">
        <v>20207</v>
      </c>
      <c r="K3937" t="s">
        <v>20208</v>
      </c>
      <c r="L3937" t="s">
        <v>20209</v>
      </c>
      <c r="M3937">
        <v>174.90703999999999</v>
      </c>
      <c r="N3937" t="s">
        <v>20210</v>
      </c>
      <c r="O3937" t="s">
        <v>26</v>
      </c>
      <c r="P3937">
        <v>97.5</v>
      </c>
      <c r="Q3937">
        <v>81.25</v>
      </c>
      <c r="R3937">
        <v>65</v>
      </c>
      <c r="S3937">
        <v>97.5</v>
      </c>
      <c r="T3937" t="s">
        <v>20211</v>
      </c>
    </row>
    <row r="3938" spans="1:20">
      <c r="A3938">
        <v>3332006</v>
      </c>
      <c r="B3938" t="s">
        <v>20212</v>
      </c>
      <c r="C3938" t="str">
        <f>"9780773530133"</f>
        <v>9780773530133</v>
      </c>
      <c r="D3938" t="str">
        <f>"9780773576162"</f>
        <v>9780773576162</v>
      </c>
      <c r="E3938" t="s">
        <v>12863</v>
      </c>
      <c r="F3938" t="s">
        <v>12863</v>
      </c>
      <c r="G3938" s="1">
        <v>38799</v>
      </c>
      <c r="J3938" t="s">
        <v>20213</v>
      </c>
      <c r="K3938" t="s">
        <v>263</v>
      </c>
      <c r="L3938" t="s">
        <v>20214</v>
      </c>
      <c r="M3938">
        <v>306.10000000000002</v>
      </c>
      <c r="N3938" t="s">
        <v>20215</v>
      </c>
      <c r="O3938" t="s">
        <v>26</v>
      </c>
      <c r="P3938">
        <v>44.93</v>
      </c>
      <c r="Q3938">
        <v>37.44</v>
      </c>
      <c r="R3938">
        <v>29.95</v>
      </c>
      <c r="S3938">
        <v>44.93</v>
      </c>
      <c r="T3938" t="s">
        <v>20216</v>
      </c>
    </row>
    <row r="3939" spans="1:20">
      <c r="A3939">
        <v>3332007</v>
      </c>
      <c r="B3939" t="s">
        <v>20217</v>
      </c>
      <c r="C3939" t="str">
        <f>"9780773531420"</f>
        <v>9780773531420</v>
      </c>
      <c r="D3939" t="str">
        <f>"9780773577145"</f>
        <v>9780773577145</v>
      </c>
      <c r="E3939" t="s">
        <v>12863</v>
      </c>
      <c r="F3939" t="s">
        <v>12863</v>
      </c>
      <c r="G3939" s="1">
        <v>39063</v>
      </c>
      <c r="J3939" t="s">
        <v>20218</v>
      </c>
      <c r="K3939" t="s">
        <v>1859</v>
      </c>
      <c r="L3939" t="s">
        <v>20219</v>
      </c>
      <c r="M3939">
        <v>195</v>
      </c>
      <c r="N3939" t="s">
        <v>20220</v>
      </c>
      <c r="O3939" t="s">
        <v>26</v>
      </c>
      <c r="P3939">
        <v>142.5</v>
      </c>
      <c r="Q3939">
        <v>118.75</v>
      </c>
      <c r="R3939">
        <v>95</v>
      </c>
      <c r="S3939">
        <v>142.5</v>
      </c>
      <c r="T3939" t="s">
        <v>20221</v>
      </c>
    </row>
    <row r="3940" spans="1:20">
      <c r="A3940">
        <v>3332008</v>
      </c>
      <c r="B3940" t="s">
        <v>20222</v>
      </c>
      <c r="C3940" t="str">
        <f>"9780773529564"</f>
        <v>9780773529564</v>
      </c>
      <c r="D3940" t="str">
        <f>"9780773576711"</f>
        <v>9780773576711</v>
      </c>
      <c r="E3940" t="s">
        <v>12863</v>
      </c>
      <c r="F3940" t="s">
        <v>12863</v>
      </c>
      <c r="G3940" s="1">
        <v>38943</v>
      </c>
      <c r="J3940" t="s">
        <v>20223</v>
      </c>
      <c r="K3940" t="s">
        <v>1471</v>
      </c>
      <c r="L3940" t="s">
        <v>20224</v>
      </c>
      <c r="M3940">
        <v>700.82097109045003</v>
      </c>
      <c r="N3940" t="s">
        <v>20225</v>
      </c>
      <c r="O3940" t="s">
        <v>26</v>
      </c>
      <c r="P3940">
        <v>49.43</v>
      </c>
      <c r="Q3940">
        <v>41.19</v>
      </c>
      <c r="R3940">
        <v>32.950000000000003</v>
      </c>
      <c r="S3940">
        <v>49.43</v>
      </c>
      <c r="T3940" t="s">
        <v>20226</v>
      </c>
    </row>
    <row r="3941" spans="1:20">
      <c r="A3941">
        <v>3332009</v>
      </c>
      <c r="B3941" t="s">
        <v>20227</v>
      </c>
      <c r="C3941" t="str">
        <f>"9780773530881"</f>
        <v>9780773530881</v>
      </c>
      <c r="D3941" t="str">
        <f>"9780773575479"</f>
        <v>9780773575479</v>
      </c>
      <c r="E3941" t="s">
        <v>12907</v>
      </c>
      <c r="F3941" t="s">
        <v>12907</v>
      </c>
      <c r="G3941" s="1">
        <v>38882</v>
      </c>
      <c r="H3941" t="s">
        <v>18238</v>
      </c>
      <c r="I3941" t="s">
        <v>13270</v>
      </c>
      <c r="J3941" t="s">
        <v>20228</v>
      </c>
      <c r="K3941" t="s">
        <v>416</v>
      </c>
      <c r="L3941" t="s">
        <v>20229</v>
      </c>
      <c r="M3941" t="s">
        <v>20230</v>
      </c>
      <c r="N3941" t="s">
        <v>20231</v>
      </c>
      <c r="O3941" t="s">
        <v>26</v>
      </c>
      <c r="P3941">
        <v>44.93</v>
      </c>
      <c r="Q3941">
        <v>37.44</v>
      </c>
      <c r="R3941">
        <v>29.95</v>
      </c>
      <c r="S3941">
        <v>44.93</v>
      </c>
      <c r="T3941" t="s">
        <v>20232</v>
      </c>
    </row>
    <row r="3942" spans="1:20">
      <c r="A3942">
        <v>3332010</v>
      </c>
      <c r="B3942" t="s">
        <v>20233</v>
      </c>
      <c r="C3942" t="str">
        <f>"9780773531154"</f>
        <v>9780773531154</v>
      </c>
      <c r="D3942" t="str">
        <f>"9780773575974"</f>
        <v>9780773575974</v>
      </c>
      <c r="E3942" t="s">
        <v>12863</v>
      </c>
      <c r="F3942" t="s">
        <v>12863</v>
      </c>
      <c r="G3942" s="1">
        <v>38943</v>
      </c>
      <c r="J3942" t="s">
        <v>13014</v>
      </c>
      <c r="K3942" t="s">
        <v>6444</v>
      </c>
      <c r="L3942" t="s">
        <v>20234</v>
      </c>
      <c r="M3942">
        <v>327.73</v>
      </c>
      <c r="N3942" t="s">
        <v>20235</v>
      </c>
      <c r="O3942" t="s">
        <v>26</v>
      </c>
      <c r="P3942">
        <v>44.93</v>
      </c>
      <c r="Q3942">
        <v>37.44</v>
      </c>
      <c r="R3942">
        <v>29.95</v>
      </c>
      <c r="S3942">
        <v>44.93</v>
      </c>
      <c r="T3942" t="s">
        <v>20236</v>
      </c>
    </row>
    <row r="3943" spans="1:20">
      <c r="A3943">
        <v>3332011</v>
      </c>
      <c r="B3943" t="s">
        <v>20237</v>
      </c>
      <c r="C3943" t="str">
        <f>"9780773529724"</f>
        <v>9780773529724</v>
      </c>
      <c r="D3943" t="str">
        <f>"9780773576117"</f>
        <v>9780773576117</v>
      </c>
      <c r="E3943" t="s">
        <v>12863</v>
      </c>
      <c r="F3943" t="s">
        <v>12863</v>
      </c>
      <c r="G3943" s="1">
        <v>38812</v>
      </c>
      <c r="J3943" t="s">
        <v>20238</v>
      </c>
      <c r="K3943" t="s">
        <v>18145</v>
      </c>
      <c r="L3943" t="s">
        <v>20239</v>
      </c>
      <c r="M3943">
        <v>155.45670000000001</v>
      </c>
      <c r="N3943" t="s">
        <v>20240</v>
      </c>
      <c r="O3943" t="s">
        <v>26</v>
      </c>
      <c r="P3943">
        <v>67.430000000000007</v>
      </c>
      <c r="Q3943">
        <v>56.19</v>
      </c>
      <c r="R3943">
        <v>44.95</v>
      </c>
      <c r="S3943">
        <v>67.430000000000007</v>
      </c>
      <c r="T3943" t="s">
        <v>20241</v>
      </c>
    </row>
    <row r="3944" spans="1:20">
      <c r="A3944">
        <v>3332012</v>
      </c>
      <c r="B3944" t="s">
        <v>20242</v>
      </c>
      <c r="C3944" t="str">
        <f>"9780773532281"</f>
        <v>9780773532281</v>
      </c>
      <c r="D3944" t="str">
        <f>"9780773575561"</f>
        <v>9780773575561</v>
      </c>
      <c r="E3944" t="s">
        <v>12907</v>
      </c>
      <c r="F3944" t="s">
        <v>12907</v>
      </c>
      <c r="G3944" s="1">
        <v>39142</v>
      </c>
      <c r="H3944">
        <v>20072008</v>
      </c>
      <c r="I3944" t="s">
        <v>19962</v>
      </c>
      <c r="J3944" t="s">
        <v>18660</v>
      </c>
      <c r="K3944" t="s">
        <v>416</v>
      </c>
      <c r="L3944" t="s">
        <v>20243</v>
      </c>
      <c r="M3944">
        <v>338.9</v>
      </c>
      <c r="N3944" t="s">
        <v>20244</v>
      </c>
      <c r="O3944" t="s">
        <v>26</v>
      </c>
      <c r="P3944">
        <v>142.5</v>
      </c>
      <c r="Q3944">
        <v>118.75</v>
      </c>
      <c r="R3944">
        <v>95</v>
      </c>
      <c r="S3944">
        <v>142.5</v>
      </c>
      <c r="T3944" t="s">
        <v>20245</v>
      </c>
    </row>
    <row r="3945" spans="1:20">
      <c r="A3945">
        <v>3332013</v>
      </c>
      <c r="B3945" t="s">
        <v>20246</v>
      </c>
      <c r="C3945" t="str">
        <f>"9780773533240"</f>
        <v>9780773533240</v>
      </c>
      <c r="D3945" t="str">
        <f>"9780773575684"</f>
        <v>9780773575684</v>
      </c>
      <c r="E3945" t="s">
        <v>12863</v>
      </c>
      <c r="F3945" t="s">
        <v>12863</v>
      </c>
      <c r="G3945" s="1">
        <v>39345</v>
      </c>
      <c r="J3945" t="s">
        <v>20247</v>
      </c>
      <c r="K3945" t="s">
        <v>1464</v>
      </c>
      <c r="L3945" t="s">
        <v>20248</v>
      </c>
      <c r="M3945">
        <v>813.54</v>
      </c>
      <c r="N3945" t="s">
        <v>20249</v>
      </c>
      <c r="O3945" t="s">
        <v>26</v>
      </c>
      <c r="P3945">
        <v>22.43</v>
      </c>
      <c r="Q3945">
        <v>18.690000000000001</v>
      </c>
      <c r="R3945">
        <v>14.95</v>
      </c>
      <c r="S3945">
        <v>22.43</v>
      </c>
      <c r="T3945" t="s">
        <v>20250</v>
      </c>
    </row>
    <row r="3946" spans="1:20">
      <c r="A3946">
        <v>3332014</v>
      </c>
      <c r="B3946" t="s">
        <v>20251</v>
      </c>
      <c r="C3946" t="str">
        <f>"9780773531857"</f>
        <v>9780773531857</v>
      </c>
      <c r="D3946" t="str">
        <f>"9780773576698"</f>
        <v>9780773576698</v>
      </c>
      <c r="E3946" t="s">
        <v>12863</v>
      </c>
      <c r="F3946" t="s">
        <v>12863</v>
      </c>
      <c r="G3946" s="1">
        <v>39135</v>
      </c>
      <c r="I3946" t="s">
        <v>19815</v>
      </c>
      <c r="J3946" t="s">
        <v>20252</v>
      </c>
      <c r="K3946" t="s">
        <v>13981</v>
      </c>
      <c r="L3946" t="s">
        <v>19949</v>
      </c>
      <c r="M3946">
        <v>70.180971</v>
      </c>
      <c r="N3946" t="s">
        <v>20253</v>
      </c>
      <c r="O3946" t="s">
        <v>26</v>
      </c>
      <c r="P3946">
        <v>41.93</v>
      </c>
      <c r="Q3946">
        <v>34.94</v>
      </c>
      <c r="R3946">
        <v>27.95</v>
      </c>
      <c r="S3946">
        <v>41.93</v>
      </c>
      <c r="T3946" t="s">
        <v>20254</v>
      </c>
    </row>
    <row r="3947" spans="1:20">
      <c r="A3947">
        <v>3332015</v>
      </c>
      <c r="B3947" t="s">
        <v>20255</v>
      </c>
      <c r="C3947" t="str">
        <f>"9780773532809"</f>
        <v>9780773532809</v>
      </c>
      <c r="D3947" t="str">
        <f>"9780773575608"</f>
        <v>9780773575608</v>
      </c>
      <c r="E3947" t="s">
        <v>12863</v>
      </c>
      <c r="F3947" t="s">
        <v>12863</v>
      </c>
      <c r="G3947" s="1">
        <v>39300</v>
      </c>
      <c r="J3947" t="s">
        <v>20256</v>
      </c>
      <c r="K3947" t="s">
        <v>20257</v>
      </c>
      <c r="L3947" t="s">
        <v>20258</v>
      </c>
      <c r="M3947">
        <v>331.70233094299999</v>
      </c>
      <c r="N3947" t="s">
        <v>20259</v>
      </c>
      <c r="O3947" t="s">
        <v>26</v>
      </c>
      <c r="P3947">
        <v>142.5</v>
      </c>
      <c r="Q3947">
        <v>118.75</v>
      </c>
      <c r="R3947">
        <v>95</v>
      </c>
      <c r="S3947">
        <v>142.5</v>
      </c>
      <c r="T3947" t="s">
        <v>20260</v>
      </c>
    </row>
    <row r="3948" spans="1:20">
      <c r="A3948">
        <v>3332016</v>
      </c>
      <c r="B3948" t="s">
        <v>20261</v>
      </c>
      <c r="C3948" t="str">
        <f>"9780773532090"</f>
        <v>9780773532090</v>
      </c>
      <c r="D3948" t="str">
        <f>"9780773576926"</f>
        <v>9780773576926</v>
      </c>
      <c r="E3948" t="s">
        <v>12863</v>
      </c>
      <c r="F3948" t="s">
        <v>12863</v>
      </c>
      <c r="G3948" s="1">
        <v>39122</v>
      </c>
      <c r="I3948" t="s">
        <v>14082</v>
      </c>
      <c r="J3948" t="s">
        <v>20262</v>
      </c>
      <c r="K3948" t="s">
        <v>1550</v>
      </c>
      <c r="L3948" t="s">
        <v>12975</v>
      </c>
      <c r="M3948">
        <v>398.20971411099998</v>
      </c>
      <c r="N3948" t="s">
        <v>20263</v>
      </c>
      <c r="O3948" t="s">
        <v>26</v>
      </c>
      <c r="P3948">
        <v>44.93</v>
      </c>
      <c r="Q3948">
        <v>37.44</v>
      </c>
      <c r="R3948">
        <v>29.95</v>
      </c>
      <c r="S3948">
        <v>44.93</v>
      </c>
      <c r="T3948" t="s">
        <v>20264</v>
      </c>
    </row>
    <row r="3949" spans="1:20">
      <c r="A3949">
        <v>3332017</v>
      </c>
      <c r="B3949" t="s">
        <v>20265</v>
      </c>
      <c r="C3949" t="str">
        <f>"9780773532656"</f>
        <v>9780773532656</v>
      </c>
      <c r="D3949" t="str">
        <f>"9780773575615"</f>
        <v>9780773575615</v>
      </c>
      <c r="E3949" t="s">
        <v>12863</v>
      </c>
      <c r="F3949" t="s">
        <v>12863</v>
      </c>
      <c r="G3949" s="1">
        <v>39371</v>
      </c>
      <c r="I3949" t="s">
        <v>12942</v>
      </c>
      <c r="J3949" t="s">
        <v>15657</v>
      </c>
      <c r="K3949" t="s">
        <v>291</v>
      </c>
      <c r="L3949" t="s">
        <v>15945</v>
      </c>
      <c r="M3949">
        <v>971.03089209999996</v>
      </c>
      <c r="N3949" t="s">
        <v>20266</v>
      </c>
      <c r="O3949" t="s">
        <v>26</v>
      </c>
      <c r="P3949">
        <v>142.5</v>
      </c>
      <c r="Q3949">
        <v>118.75</v>
      </c>
      <c r="R3949">
        <v>95</v>
      </c>
      <c r="S3949">
        <v>142.5</v>
      </c>
      <c r="T3949" t="s">
        <v>20267</v>
      </c>
    </row>
    <row r="3950" spans="1:20">
      <c r="A3950">
        <v>3332018</v>
      </c>
      <c r="B3950" t="s">
        <v>20268</v>
      </c>
      <c r="C3950" t="str">
        <f>"9780773532830"</f>
        <v>9780773532830</v>
      </c>
      <c r="D3950" t="str">
        <f>"9780773575622"</f>
        <v>9780773575622</v>
      </c>
      <c r="E3950" t="s">
        <v>12863</v>
      </c>
      <c r="F3950" t="s">
        <v>12863</v>
      </c>
      <c r="G3950" s="1">
        <v>39295</v>
      </c>
      <c r="I3950" t="s">
        <v>13068</v>
      </c>
      <c r="J3950" t="s">
        <v>18660</v>
      </c>
      <c r="K3950" t="s">
        <v>4433</v>
      </c>
      <c r="L3950" t="s">
        <v>18661</v>
      </c>
      <c r="M3950">
        <v>354.7</v>
      </c>
      <c r="N3950" t="s">
        <v>20269</v>
      </c>
      <c r="O3950" t="s">
        <v>26</v>
      </c>
      <c r="P3950">
        <v>49.43</v>
      </c>
      <c r="Q3950">
        <v>41.19</v>
      </c>
      <c r="R3950">
        <v>32.950000000000003</v>
      </c>
      <c r="S3950">
        <v>49.43</v>
      </c>
      <c r="T3950" t="s">
        <v>20270</v>
      </c>
    </row>
    <row r="3951" spans="1:20">
      <c r="A3951">
        <v>3332019</v>
      </c>
      <c r="B3951" t="s">
        <v>20271</v>
      </c>
      <c r="C3951" t="str">
        <f>"9780773530287"</f>
        <v>9780773530287</v>
      </c>
      <c r="D3951" t="str">
        <f>"9780773576773"</f>
        <v>9780773576773</v>
      </c>
      <c r="E3951" t="s">
        <v>12863</v>
      </c>
      <c r="F3951" t="s">
        <v>12863</v>
      </c>
      <c r="G3951" s="1">
        <v>38736</v>
      </c>
      <c r="I3951" t="s">
        <v>12886</v>
      </c>
      <c r="J3951" t="s">
        <v>14714</v>
      </c>
      <c r="K3951" t="s">
        <v>1892</v>
      </c>
      <c r="L3951" t="s">
        <v>20272</v>
      </c>
      <c r="M3951">
        <v>280.40971090340003</v>
      </c>
      <c r="N3951" t="s">
        <v>20273</v>
      </c>
      <c r="O3951" t="s">
        <v>26</v>
      </c>
      <c r="P3951">
        <v>142.5</v>
      </c>
      <c r="Q3951">
        <v>118.75</v>
      </c>
      <c r="R3951">
        <v>95</v>
      </c>
      <c r="S3951">
        <v>142.5</v>
      </c>
      <c r="T3951" t="s">
        <v>20274</v>
      </c>
    </row>
    <row r="3952" spans="1:20">
      <c r="A3952">
        <v>3332020</v>
      </c>
      <c r="B3952" t="s">
        <v>20275</v>
      </c>
      <c r="C3952" t="str">
        <f>"9780773531529"</f>
        <v>9780773531529</v>
      </c>
      <c r="D3952" t="str">
        <f>"9780773575936"</f>
        <v>9780773575936</v>
      </c>
      <c r="E3952" t="s">
        <v>12863</v>
      </c>
      <c r="F3952" t="s">
        <v>12863</v>
      </c>
      <c r="G3952" s="1">
        <v>39230</v>
      </c>
      <c r="I3952" t="s">
        <v>12963</v>
      </c>
      <c r="J3952" t="s">
        <v>13970</v>
      </c>
      <c r="K3952" t="s">
        <v>467</v>
      </c>
      <c r="L3952" t="s">
        <v>13482</v>
      </c>
      <c r="M3952">
        <v>320.471</v>
      </c>
      <c r="N3952" t="s">
        <v>20276</v>
      </c>
      <c r="O3952" t="s">
        <v>26</v>
      </c>
      <c r="P3952">
        <v>44.93</v>
      </c>
      <c r="Q3952">
        <v>37.44</v>
      </c>
      <c r="R3952">
        <v>29.95</v>
      </c>
      <c r="S3952">
        <v>44.93</v>
      </c>
      <c r="T3952" t="s">
        <v>20277</v>
      </c>
    </row>
    <row r="3953" spans="1:20">
      <c r="A3953">
        <v>3332021</v>
      </c>
      <c r="B3953" t="s">
        <v>20278</v>
      </c>
      <c r="C3953" t="str">
        <f>"9780773530560"</f>
        <v>9780773530560</v>
      </c>
      <c r="D3953" t="str">
        <f>"9780773575691"</f>
        <v>9780773575691</v>
      </c>
      <c r="E3953" t="s">
        <v>12863</v>
      </c>
      <c r="F3953" t="s">
        <v>12863</v>
      </c>
      <c r="G3953" s="1">
        <v>38847</v>
      </c>
      <c r="J3953" t="s">
        <v>20279</v>
      </c>
      <c r="K3953" t="s">
        <v>416</v>
      </c>
      <c r="L3953" t="s">
        <v>20280</v>
      </c>
      <c r="M3953">
        <v>332.45609710000002</v>
      </c>
      <c r="N3953" t="s">
        <v>20281</v>
      </c>
      <c r="O3953" t="s">
        <v>26</v>
      </c>
      <c r="P3953">
        <v>44.93</v>
      </c>
      <c r="Q3953">
        <v>37.44</v>
      </c>
      <c r="R3953">
        <v>29.95</v>
      </c>
      <c r="S3953">
        <v>44.93</v>
      </c>
      <c r="T3953" t="s">
        <v>20282</v>
      </c>
    </row>
    <row r="3954" spans="1:20">
      <c r="A3954">
        <v>3332022</v>
      </c>
      <c r="B3954" t="s">
        <v>20283</v>
      </c>
      <c r="C3954" t="str">
        <f>"9780773532144"</f>
        <v>9780773532144</v>
      </c>
      <c r="D3954" t="str">
        <f>"9780773575707"</f>
        <v>9780773575707</v>
      </c>
      <c r="E3954" t="s">
        <v>12863</v>
      </c>
      <c r="F3954" t="s">
        <v>12863</v>
      </c>
      <c r="G3954" s="1">
        <v>39314</v>
      </c>
      <c r="J3954" t="s">
        <v>20284</v>
      </c>
      <c r="K3954" t="s">
        <v>291</v>
      </c>
      <c r="L3954" t="s">
        <v>20285</v>
      </c>
      <c r="M3954">
        <v>971.06470000000002</v>
      </c>
      <c r="N3954" t="s">
        <v>20286</v>
      </c>
      <c r="O3954" t="s">
        <v>26</v>
      </c>
      <c r="P3954">
        <v>142.5</v>
      </c>
      <c r="Q3954">
        <v>118.75</v>
      </c>
      <c r="R3954">
        <v>95</v>
      </c>
      <c r="S3954">
        <v>142.5</v>
      </c>
      <c r="T3954" t="s">
        <v>20287</v>
      </c>
    </row>
    <row r="3955" spans="1:20">
      <c r="A3955">
        <v>3332023</v>
      </c>
      <c r="B3955" t="s">
        <v>20288</v>
      </c>
      <c r="C3955" t="str">
        <f>"9780773518018"</f>
        <v>9780773518018</v>
      </c>
      <c r="D3955" t="str">
        <f>"9780773575547"</f>
        <v>9780773575547</v>
      </c>
      <c r="E3955" t="s">
        <v>12907</v>
      </c>
      <c r="F3955" t="s">
        <v>12907</v>
      </c>
      <c r="G3955" s="1">
        <v>36173</v>
      </c>
      <c r="H3955">
        <v>5</v>
      </c>
      <c r="J3955" t="s">
        <v>20289</v>
      </c>
      <c r="K3955" t="s">
        <v>278</v>
      </c>
      <c r="L3955" t="s">
        <v>20290</v>
      </c>
      <c r="M3955">
        <v>331</v>
      </c>
      <c r="N3955" t="s">
        <v>20291</v>
      </c>
      <c r="O3955" t="s">
        <v>26</v>
      </c>
      <c r="P3955">
        <v>44.93</v>
      </c>
      <c r="Q3955">
        <v>37.44</v>
      </c>
      <c r="R3955">
        <v>29.95</v>
      </c>
      <c r="S3955">
        <v>44.93</v>
      </c>
      <c r="T3955" t="s">
        <v>20292</v>
      </c>
    </row>
    <row r="3956" spans="1:20">
      <c r="A3956">
        <v>3332024</v>
      </c>
      <c r="B3956" t="s">
        <v>20293</v>
      </c>
      <c r="C3956" t="str">
        <f>"9780773531055"</f>
        <v>9780773531055</v>
      </c>
      <c r="D3956" t="str">
        <f>"9780773575813"</f>
        <v>9780773575813</v>
      </c>
      <c r="E3956" t="s">
        <v>12863</v>
      </c>
      <c r="F3956" t="s">
        <v>12863</v>
      </c>
      <c r="G3956" s="1">
        <v>39230</v>
      </c>
      <c r="J3956" t="s">
        <v>20294</v>
      </c>
      <c r="K3956" t="s">
        <v>1550</v>
      </c>
      <c r="L3956" t="s">
        <v>20295</v>
      </c>
      <c r="M3956">
        <v>305.89607100000001</v>
      </c>
      <c r="N3956" t="s">
        <v>20296</v>
      </c>
      <c r="O3956" t="s">
        <v>26</v>
      </c>
      <c r="P3956">
        <v>142.5</v>
      </c>
      <c r="Q3956">
        <v>118.75</v>
      </c>
      <c r="R3956">
        <v>95</v>
      </c>
      <c r="S3956">
        <v>142.5</v>
      </c>
      <c r="T3956" t="s">
        <v>20297</v>
      </c>
    </row>
    <row r="3957" spans="1:20">
      <c r="A3957">
        <v>3332025</v>
      </c>
      <c r="B3957" t="s">
        <v>20298</v>
      </c>
      <c r="C3957" t="str">
        <f>"9780773531406"</f>
        <v>9780773531406</v>
      </c>
      <c r="D3957" t="str">
        <f>"9780773577220"</f>
        <v>9780773577220</v>
      </c>
      <c r="E3957" t="s">
        <v>12863</v>
      </c>
      <c r="F3957" t="s">
        <v>12863</v>
      </c>
      <c r="G3957" s="1">
        <v>39153</v>
      </c>
      <c r="J3957" t="s">
        <v>20299</v>
      </c>
      <c r="K3957" t="s">
        <v>416</v>
      </c>
      <c r="L3957" t="s">
        <v>20300</v>
      </c>
      <c r="M3957">
        <v>331.09710000000001</v>
      </c>
      <c r="N3957" t="s">
        <v>20301</v>
      </c>
      <c r="O3957" t="s">
        <v>26</v>
      </c>
      <c r="P3957">
        <v>142.5</v>
      </c>
      <c r="Q3957">
        <v>118.75</v>
      </c>
      <c r="R3957">
        <v>95</v>
      </c>
      <c r="S3957">
        <v>142.5</v>
      </c>
      <c r="T3957" t="s">
        <v>20302</v>
      </c>
    </row>
    <row r="3958" spans="1:20">
      <c r="A3958">
        <v>3332026</v>
      </c>
      <c r="B3958" t="s">
        <v>20303</v>
      </c>
      <c r="C3958" t="str">
        <f>"9780773531338"</f>
        <v>9780773531338</v>
      </c>
      <c r="D3958" t="str">
        <f>"9780773575448"</f>
        <v>9780773575448</v>
      </c>
      <c r="E3958" t="s">
        <v>12863</v>
      </c>
      <c r="F3958" t="s">
        <v>12863</v>
      </c>
      <c r="G3958" s="1">
        <v>39000</v>
      </c>
      <c r="I3958" t="s">
        <v>13270</v>
      </c>
      <c r="J3958" t="s">
        <v>20304</v>
      </c>
      <c r="K3958" t="s">
        <v>10339</v>
      </c>
      <c r="L3958" t="s">
        <v>20305</v>
      </c>
      <c r="M3958">
        <v>940.41271800000004</v>
      </c>
      <c r="N3958" t="s">
        <v>20306</v>
      </c>
      <c r="O3958" t="s">
        <v>26</v>
      </c>
      <c r="P3958">
        <v>44.93</v>
      </c>
      <c r="Q3958">
        <v>37.44</v>
      </c>
      <c r="R3958">
        <v>29.95</v>
      </c>
      <c r="S3958">
        <v>44.93</v>
      </c>
      <c r="T3958" t="s">
        <v>20307</v>
      </c>
    </row>
    <row r="3959" spans="1:20">
      <c r="A3959">
        <v>3332027</v>
      </c>
      <c r="B3959" t="s">
        <v>20308</v>
      </c>
      <c r="C3959" t="str">
        <f>"9780773532038"</f>
        <v>9780773532038</v>
      </c>
      <c r="D3959" t="str">
        <f>"9780773576018"</f>
        <v>9780773576018</v>
      </c>
      <c r="E3959" t="s">
        <v>12863</v>
      </c>
      <c r="F3959" t="s">
        <v>12863</v>
      </c>
      <c r="G3959" s="1">
        <v>39302</v>
      </c>
      <c r="J3959" t="s">
        <v>17792</v>
      </c>
      <c r="K3959" t="s">
        <v>263</v>
      </c>
      <c r="L3959" t="s">
        <v>20309</v>
      </c>
      <c r="M3959">
        <v>304.20971091460001</v>
      </c>
      <c r="N3959" t="s">
        <v>20310</v>
      </c>
      <c r="O3959" t="s">
        <v>26</v>
      </c>
      <c r="P3959">
        <v>142.5</v>
      </c>
      <c r="Q3959">
        <v>118.75</v>
      </c>
      <c r="R3959">
        <v>95</v>
      </c>
      <c r="S3959">
        <v>142.5</v>
      </c>
      <c r="T3959" t="s">
        <v>20311</v>
      </c>
    </row>
    <row r="3960" spans="1:20">
      <c r="A3960">
        <v>3332028</v>
      </c>
      <c r="B3960" t="s">
        <v>20312</v>
      </c>
      <c r="C3960" t="str">
        <f>"9780773532441"</f>
        <v>9780773532441</v>
      </c>
      <c r="D3960" t="str">
        <f>"9780773575585"</f>
        <v>9780773575585</v>
      </c>
      <c r="E3960" t="s">
        <v>12863</v>
      </c>
      <c r="F3960" t="s">
        <v>12863</v>
      </c>
      <c r="G3960" s="1">
        <v>39355</v>
      </c>
      <c r="J3960" t="s">
        <v>20313</v>
      </c>
      <c r="K3960" t="s">
        <v>1471</v>
      </c>
      <c r="L3960" t="s">
        <v>20314</v>
      </c>
      <c r="M3960">
        <v>758.17109040000003</v>
      </c>
      <c r="N3960" t="s">
        <v>20315</v>
      </c>
      <c r="O3960" t="s">
        <v>26</v>
      </c>
      <c r="P3960">
        <v>74.930000000000007</v>
      </c>
      <c r="Q3960">
        <v>62.44</v>
      </c>
      <c r="R3960">
        <v>49.95</v>
      </c>
      <c r="S3960">
        <v>74.930000000000007</v>
      </c>
      <c r="T3960" t="s">
        <v>20316</v>
      </c>
    </row>
    <row r="3961" spans="1:20">
      <c r="A3961">
        <v>3332029</v>
      </c>
      <c r="B3961" t="s">
        <v>20317</v>
      </c>
      <c r="C3961" t="str">
        <f>"9780773532458"</f>
        <v>9780773532458</v>
      </c>
      <c r="D3961" t="str">
        <f>"9780773577169"</f>
        <v>9780773577169</v>
      </c>
      <c r="E3961" t="s">
        <v>12863</v>
      </c>
      <c r="F3961" t="s">
        <v>12863</v>
      </c>
      <c r="G3961" s="1">
        <v>39147</v>
      </c>
      <c r="I3961" t="s">
        <v>19169</v>
      </c>
      <c r="J3961" t="s">
        <v>20318</v>
      </c>
      <c r="K3961" t="s">
        <v>1464</v>
      </c>
      <c r="L3961" t="s">
        <v>20319</v>
      </c>
      <c r="M3961">
        <v>811.54</v>
      </c>
      <c r="N3961" t="s">
        <v>20320</v>
      </c>
      <c r="O3961" t="s">
        <v>26</v>
      </c>
      <c r="P3961">
        <v>25.43</v>
      </c>
      <c r="Q3961">
        <v>21.19</v>
      </c>
      <c r="R3961">
        <v>16.95</v>
      </c>
      <c r="S3961">
        <v>25.43</v>
      </c>
      <c r="T3961" t="s">
        <v>20321</v>
      </c>
    </row>
    <row r="3962" spans="1:20">
      <c r="A3962">
        <v>3332030</v>
      </c>
      <c r="B3962" t="s">
        <v>20322</v>
      </c>
      <c r="C3962" t="str">
        <f>"9780773530379"</f>
        <v>9780773530379</v>
      </c>
      <c r="D3962" t="str">
        <f>"9780773575592"</f>
        <v>9780773575592</v>
      </c>
      <c r="E3962" t="s">
        <v>12863</v>
      </c>
      <c r="F3962" t="s">
        <v>12863</v>
      </c>
      <c r="G3962" s="1">
        <v>38770</v>
      </c>
      <c r="J3962" t="s">
        <v>20323</v>
      </c>
      <c r="K3962" t="s">
        <v>305</v>
      </c>
      <c r="L3962" t="s">
        <v>20324</v>
      </c>
      <c r="M3962">
        <v>658.45</v>
      </c>
      <c r="N3962" t="s">
        <v>20325</v>
      </c>
      <c r="O3962" t="s">
        <v>26</v>
      </c>
      <c r="P3962">
        <v>44.93</v>
      </c>
      <c r="Q3962">
        <v>37.44</v>
      </c>
      <c r="R3962">
        <v>29.95</v>
      </c>
      <c r="S3962">
        <v>44.93</v>
      </c>
      <c r="T3962" t="s">
        <v>20326</v>
      </c>
    </row>
    <row r="3963" spans="1:20">
      <c r="A3963">
        <v>3332031</v>
      </c>
      <c r="B3963" t="s">
        <v>20327</v>
      </c>
      <c r="C3963" t="str">
        <f>"9780773532304"</f>
        <v>9780773532304</v>
      </c>
      <c r="D3963" t="str">
        <f>"9780773576575"</f>
        <v>9780773576575</v>
      </c>
      <c r="E3963" t="s">
        <v>12907</v>
      </c>
      <c r="F3963" t="s">
        <v>12907</v>
      </c>
      <c r="G3963" s="1">
        <v>39188</v>
      </c>
      <c r="J3963" t="s">
        <v>20328</v>
      </c>
      <c r="K3963" t="s">
        <v>263</v>
      </c>
      <c r="L3963" t="s">
        <v>20329</v>
      </c>
      <c r="M3963">
        <v>302.22199999999998</v>
      </c>
      <c r="N3963" t="s">
        <v>20330</v>
      </c>
      <c r="O3963" t="s">
        <v>26</v>
      </c>
      <c r="P3963">
        <v>44.93</v>
      </c>
      <c r="Q3963">
        <v>37.44</v>
      </c>
      <c r="R3963">
        <v>29.95</v>
      </c>
      <c r="S3963">
        <v>44.93</v>
      </c>
      <c r="T3963" t="s">
        <v>20331</v>
      </c>
    </row>
    <row r="3964" spans="1:20">
      <c r="A3964">
        <v>3332032</v>
      </c>
      <c r="B3964" t="s">
        <v>20332</v>
      </c>
      <c r="C3964" t="str">
        <f>"9780773532236"</f>
        <v>9780773532236</v>
      </c>
      <c r="D3964" t="str">
        <f>"9780773576988"</f>
        <v>9780773576988</v>
      </c>
      <c r="E3964" t="s">
        <v>12863</v>
      </c>
      <c r="F3964" t="s">
        <v>12863</v>
      </c>
      <c r="G3964" s="1">
        <v>39318</v>
      </c>
      <c r="J3964" t="s">
        <v>20333</v>
      </c>
      <c r="K3964" t="s">
        <v>1471</v>
      </c>
      <c r="L3964" t="s">
        <v>20334</v>
      </c>
      <c r="M3964">
        <v>792.02330919999997</v>
      </c>
      <c r="N3964" t="s">
        <v>20335</v>
      </c>
      <c r="O3964" t="s">
        <v>26</v>
      </c>
      <c r="P3964">
        <v>49.43</v>
      </c>
      <c r="Q3964">
        <v>41.19</v>
      </c>
      <c r="R3964">
        <v>32.950000000000003</v>
      </c>
      <c r="S3964">
        <v>49.43</v>
      </c>
      <c r="T3964" t="s">
        <v>20336</v>
      </c>
    </row>
    <row r="3965" spans="1:20">
      <c r="A3965">
        <v>3332033</v>
      </c>
      <c r="B3965" t="s">
        <v>20337</v>
      </c>
      <c r="C3965" t="str">
        <f>"9780773531918"</f>
        <v>9780773531918</v>
      </c>
      <c r="D3965" t="str">
        <f>"9780773577190"</f>
        <v>9780773577190</v>
      </c>
      <c r="E3965" t="s">
        <v>12863</v>
      </c>
      <c r="F3965" t="s">
        <v>12863</v>
      </c>
      <c r="G3965" s="1">
        <v>39174</v>
      </c>
      <c r="J3965" t="s">
        <v>20338</v>
      </c>
      <c r="K3965" t="s">
        <v>278</v>
      </c>
      <c r="L3965" t="s">
        <v>20339</v>
      </c>
      <c r="M3965">
        <v>337.17</v>
      </c>
      <c r="N3965" t="s">
        <v>20340</v>
      </c>
      <c r="O3965" t="s">
        <v>26</v>
      </c>
      <c r="P3965">
        <v>142.5</v>
      </c>
      <c r="Q3965">
        <v>118.75</v>
      </c>
      <c r="R3965">
        <v>95</v>
      </c>
      <c r="S3965">
        <v>142.5</v>
      </c>
      <c r="T3965" t="s">
        <v>20341</v>
      </c>
    </row>
    <row r="3966" spans="1:20">
      <c r="A3966">
        <v>3332035</v>
      </c>
      <c r="B3966" t="s">
        <v>20342</v>
      </c>
      <c r="C3966" t="str">
        <f>"9780773532953"</f>
        <v>9780773532953</v>
      </c>
      <c r="D3966" t="str">
        <f>"9780773575677"</f>
        <v>9780773575677</v>
      </c>
      <c r="E3966" t="s">
        <v>12863</v>
      </c>
      <c r="F3966" t="s">
        <v>12863</v>
      </c>
      <c r="G3966" s="1">
        <v>39302</v>
      </c>
      <c r="J3966" t="s">
        <v>14307</v>
      </c>
      <c r="K3966" t="s">
        <v>291</v>
      </c>
      <c r="L3966" t="s">
        <v>20343</v>
      </c>
      <c r="M3966">
        <v>929.1</v>
      </c>
      <c r="N3966" t="s">
        <v>20344</v>
      </c>
      <c r="O3966" t="s">
        <v>26</v>
      </c>
      <c r="P3966">
        <v>37.43</v>
      </c>
      <c r="Q3966">
        <v>31.19</v>
      </c>
      <c r="R3966">
        <v>24.95</v>
      </c>
      <c r="S3966">
        <v>37.43</v>
      </c>
      <c r="T3966" t="s">
        <v>20345</v>
      </c>
    </row>
    <row r="3967" spans="1:20">
      <c r="A3967">
        <v>3332036</v>
      </c>
      <c r="B3967" t="s">
        <v>20346</v>
      </c>
      <c r="C3967" t="str">
        <f>"9780773531864"</f>
        <v>9780773531864</v>
      </c>
      <c r="D3967" t="str">
        <f>"9780773577206"</f>
        <v>9780773577206</v>
      </c>
      <c r="E3967" t="s">
        <v>12863</v>
      </c>
      <c r="F3967" t="s">
        <v>12863</v>
      </c>
      <c r="G3967" s="1">
        <v>39122</v>
      </c>
      <c r="J3967" t="s">
        <v>18403</v>
      </c>
      <c r="K3967" t="s">
        <v>467</v>
      </c>
      <c r="L3967" t="s">
        <v>16652</v>
      </c>
      <c r="M3967">
        <v>323.49</v>
      </c>
      <c r="N3967" t="s">
        <v>20347</v>
      </c>
      <c r="O3967" t="s">
        <v>26</v>
      </c>
      <c r="P3967">
        <v>52.43</v>
      </c>
      <c r="Q3967">
        <v>43.69</v>
      </c>
      <c r="R3967">
        <v>34.950000000000003</v>
      </c>
      <c r="S3967">
        <v>52.43</v>
      </c>
      <c r="T3967" t="s">
        <v>20348</v>
      </c>
    </row>
    <row r="3968" spans="1:20">
      <c r="A3968">
        <v>3332037</v>
      </c>
      <c r="B3968" t="s">
        <v>20349</v>
      </c>
      <c r="C3968" t="str">
        <f>"9780773532113"</f>
        <v>9780773532113</v>
      </c>
      <c r="D3968" t="str">
        <f>"9780773576865"</f>
        <v>9780773576865</v>
      </c>
      <c r="E3968" t="s">
        <v>12863</v>
      </c>
      <c r="F3968" t="s">
        <v>12863</v>
      </c>
      <c r="G3968" s="1">
        <v>39260</v>
      </c>
      <c r="J3968" t="s">
        <v>20350</v>
      </c>
      <c r="K3968" t="s">
        <v>1471</v>
      </c>
      <c r="L3968" t="s">
        <v>17579</v>
      </c>
      <c r="M3968">
        <v>700.10799999999995</v>
      </c>
      <c r="N3968" t="s">
        <v>20351</v>
      </c>
      <c r="O3968" t="s">
        <v>26</v>
      </c>
      <c r="P3968">
        <v>82.5</v>
      </c>
      <c r="Q3968">
        <v>68.75</v>
      </c>
      <c r="R3968">
        <v>55</v>
      </c>
      <c r="S3968">
        <v>82.5</v>
      </c>
      <c r="T3968" t="s">
        <v>20352</v>
      </c>
    </row>
    <row r="3969" spans="1:20">
      <c r="A3969">
        <v>3332038</v>
      </c>
      <c r="B3969" t="s">
        <v>20353</v>
      </c>
      <c r="C3969" t="str">
        <f>"9780773531994"</f>
        <v>9780773531994</v>
      </c>
      <c r="D3969" t="str">
        <f>"9780773576216"</f>
        <v>9780773576216</v>
      </c>
      <c r="E3969" t="s">
        <v>12863</v>
      </c>
      <c r="F3969" t="s">
        <v>12863</v>
      </c>
      <c r="G3969" s="1">
        <v>39216</v>
      </c>
      <c r="J3969" t="s">
        <v>20354</v>
      </c>
      <c r="K3969" t="s">
        <v>291</v>
      </c>
      <c r="L3969" t="s">
        <v>20355</v>
      </c>
      <c r="M3969">
        <v>944.08360000000005</v>
      </c>
      <c r="N3969" t="s">
        <v>20356</v>
      </c>
      <c r="O3969" t="s">
        <v>26</v>
      </c>
      <c r="P3969">
        <v>52.43</v>
      </c>
      <c r="Q3969">
        <v>43.69</v>
      </c>
      <c r="R3969">
        <v>34.950000000000003</v>
      </c>
      <c r="S3969">
        <v>52.43</v>
      </c>
      <c r="T3969" t="s">
        <v>20357</v>
      </c>
    </row>
    <row r="3970" spans="1:20">
      <c r="A3970">
        <v>3332039</v>
      </c>
      <c r="B3970" t="s">
        <v>20358</v>
      </c>
      <c r="C3970" t="str">
        <f>"9780773531819"</f>
        <v>9780773531819</v>
      </c>
      <c r="D3970" t="str">
        <f>"9780773577077"</f>
        <v>9780773577077</v>
      </c>
      <c r="E3970" t="s">
        <v>12907</v>
      </c>
      <c r="F3970" t="s">
        <v>12907</v>
      </c>
      <c r="G3970" s="1">
        <v>39125</v>
      </c>
      <c r="I3970" t="s">
        <v>20359</v>
      </c>
      <c r="J3970" t="s">
        <v>20360</v>
      </c>
      <c r="K3970" t="s">
        <v>263</v>
      </c>
      <c r="L3970" t="s">
        <v>20361</v>
      </c>
      <c r="M3970" t="s">
        <v>20362</v>
      </c>
      <c r="N3970" t="s">
        <v>20363</v>
      </c>
      <c r="O3970" t="s">
        <v>26</v>
      </c>
      <c r="P3970">
        <v>44.93</v>
      </c>
      <c r="Q3970">
        <v>37.44</v>
      </c>
      <c r="R3970">
        <v>29.95</v>
      </c>
      <c r="S3970">
        <v>44.93</v>
      </c>
      <c r="T3970" t="s">
        <v>20364</v>
      </c>
    </row>
    <row r="3971" spans="1:20">
      <c r="A3971">
        <v>3332040</v>
      </c>
      <c r="B3971" t="s">
        <v>20365</v>
      </c>
      <c r="C3971" t="str">
        <f>"9780773534681"</f>
        <v>9780773534681</v>
      </c>
      <c r="D3971" t="str">
        <f>"9780773575950"</f>
        <v>9780773575950</v>
      </c>
      <c r="E3971" t="s">
        <v>12863</v>
      </c>
      <c r="F3971" t="s">
        <v>12863</v>
      </c>
      <c r="G3971" s="1">
        <v>39772</v>
      </c>
      <c r="J3971" t="s">
        <v>20366</v>
      </c>
      <c r="K3971" t="s">
        <v>20367</v>
      </c>
      <c r="L3971" t="s">
        <v>20368</v>
      </c>
      <c r="M3971">
        <v>333.91009709999997</v>
      </c>
      <c r="N3971" t="s">
        <v>20369</v>
      </c>
      <c r="O3971" t="s">
        <v>26</v>
      </c>
      <c r="P3971">
        <v>142.5</v>
      </c>
      <c r="Q3971">
        <v>118.75</v>
      </c>
      <c r="R3971">
        <v>95</v>
      </c>
      <c r="S3971">
        <v>142.5</v>
      </c>
      <c r="T3971" t="s">
        <v>20370</v>
      </c>
    </row>
    <row r="3972" spans="1:20">
      <c r="A3972">
        <v>3332041</v>
      </c>
      <c r="B3972" t="s">
        <v>20371</v>
      </c>
      <c r="C3972" t="str">
        <f>"9780773534759"</f>
        <v>9780773534759</v>
      </c>
      <c r="D3972" t="str">
        <f>"9780773577008"</f>
        <v>9780773577008</v>
      </c>
      <c r="E3972" t="s">
        <v>12863</v>
      </c>
      <c r="F3972" t="s">
        <v>12863</v>
      </c>
      <c r="G3972" s="1">
        <v>39798</v>
      </c>
      <c r="J3972" t="s">
        <v>20372</v>
      </c>
      <c r="K3972" t="s">
        <v>1550</v>
      </c>
      <c r="L3972" t="s">
        <v>20373</v>
      </c>
      <c r="M3972">
        <v>971.53300000000002</v>
      </c>
      <c r="N3972" t="s">
        <v>20374</v>
      </c>
      <c r="O3972" t="s">
        <v>26</v>
      </c>
      <c r="P3972">
        <v>49.43</v>
      </c>
      <c r="Q3972">
        <v>41.19</v>
      </c>
      <c r="R3972">
        <v>32.950000000000003</v>
      </c>
      <c r="S3972">
        <v>49.43</v>
      </c>
      <c r="T3972" t="s">
        <v>20375</v>
      </c>
    </row>
    <row r="3973" spans="1:20">
      <c r="A3973">
        <v>3332042</v>
      </c>
      <c r="B3973" t="s">
        <v>20376</v>
      </c>
      <c r="C3973" t="str">
        <f>"9780773534353"</f>
        <v>9780773534353</v>
      </c>
      <c r="D3973" t="str">
        <f>"9780773575820"</f>
        <v>9780773575820</v>
      </c>
      <c r="E3973" t="s">
        <v>12863</v>
      </c>
      <c r="F3973" t="s">
        <v>12863</v>
      </c>
      <c r="G3973" s="1">
        <v>39753</v>
      </c>
      <c r="J3973" t="s">
        <v>13727</v>
      </c>
      <c r="K3973" t="s">
        <v>6444</v>
      </c>
      <c r="L3973" t="s">
        <v>13100</v>
      </c>
      <c r="M3973">
        <v>327.71009045</v>
      </c>
      <c r="N3973" t="s">
        <v>20377</v>
      </c>
      <c r="O3973" t="s">
        <v>26</v>
      </c>
      <c r="P3973">
        <v>49.43</v>
      </c>
      <c r="Q3973">
        <v>41.19</v>
      </c>
      <c r="R3973">
        <v>32.950000000000003</v>
      </c>
      <c r="S3973">
        <v>49.43</v>
      </c>
      <c r="T3973" t="s">
        <v>20378</v>
      </c>
    </row>
    <row r="3974" spans="1:20">
      <c r="A3974">
        <v>3332043</v>
      </c>
      <c r="B3974" t="s">
        <v>20379</v>
      </c>
      <c r="C3974" t="str">
        <f>"9780773534186"</f>
        <v>9780773534186</v>
      </c>
      <c r="D3974" t="str">
        <f>"9780773575493"</f>
        <v>9780773575493</v>
      </c>
      <c r="E3974" t="s">
        <v>12863</v>
      </c>
      <c r="F3974" t="s">
        <v>12863</v>
      </c>
      <c r="G3974" s="1">
        <v>39769</v>
      </c>
      <c r="I3974" t="s">
        <v>12886</v>
      </c>
      <c r="J3974" t="s">
        <v>19135</v>
      </c>
      <c r="K3974" t="s">
        <v>1892</v>
      </c>
      <c r="L3974" t="s">
        <v>20380</v>
      </c>
      <c r="M3974">
        <v>271.97000000000003</v>
      </c>
      <c r="N3974" t="s">
        <v>20381</v>
      </c>
      <c r="O3974" t="s">
        <v>26</v>
      </c>
      <c r="P3974">
        <v>142.5</v>
      </c>
      <c r="Q3974">
        <v>118.75</v>
      </c>
      <c r="R3974">
        <v>95</v>
      </c>
      <c r="S3974">
        <v>142.5</v>
      </c>
      <c r="T3974" t="s">
        <v>20382</v>
      </c>
    </row>
    <row r="3975" spans="1:20">
      <c r="A3975">
        <v>3332044</v>
      </c>
      <c r="B3975" t="s">
        <v>20383</v>
      </c>
      <c r="C3975" t="str">
        <f>"9780773534018"</f>
        <v>9780773534018</v>
      </c>
      <c r="D3975" t="str">
        <f>"9780773576650"</f>
        <v>9780773576650</v>
      </c>
      <c r="E3975" t="s">
        <v>12863</v>
      </c>
      <c r="F3975" t="s">
        <v>12863</v>
      </c>
      <c r="G3975" s="1">
        <v>39772</v>
      </c>
      <c r="J3975" t="s">
        <v>20384</v>
      </c>
      <c r="K3975" t="s">
        <v>2312</v>
      </c>
      <c r="L3975" t="s">
        <v>20385</v>
      </c>
      <c r="M3975">
        <v>354.86279999999999</v>
      </c>
      <c r="N3975" t="s">
        <v>20386</v>
      </c>
      <c r="O3975" t="s">
        <v>26</v>
      </c>
      <c r="P3975">
        <v>52.43</v>
      </c>
      <c r="Q3975">
        <v>43.69</v>
      </c>
      <c r="R3975">
        <v>34.950000000000003</v>
      </c>
      <c r="S3975">
        <v>52.43</v>
      </c>
      <c r="T3975" t="s">
        <v>20387</v>
      </c>
    </row>
    <row r="3976" spans="1:20">
      <c r="A3976">
        <v>3332045</v>
      </c>
      <c r="B3976" t="s">
        <v>20388</v>
      </c>
      <c r="C3976" t="str">
        <f>"9780773534483"</f>
        <v>9780773534483</v>
      </c>
      <c r="D3976" t="str">
        <f>"9780773577213"</f>
        <v>9780773577213</v>
      </c>
      <c r="E3976" t="s">
        <v>12863</v>
      </c>
      <c r="F3976" t="s">
        <v>12863</v>
      </c>
      <c r="G3976" s="1">
        <v>39797</v>
      </c>
      <c r="J3976" t="s">
        <v>15450</v>
      </c>
      <c r="K3976" t="s">
        <v>1464</v>
      </c>
      <c r="L3976" t="s">
        <v>20389</v>
      </c>
      <c r="M3976">
        <v>881.01080352199995</v>
      </c>
      <c r="N3976" t="s">
        <v>20390</v>
      </c>
      <c r="O3976" t="s">
        <v>26</v>
      </c>
      <c r="P3976">
        <v>142.5</v>
      </c>
      <c r="Q3976">
        <v>118.75</v>
      </c>
      <c r="R3976">
        <v>95</v>
      </c>
      <c r="S3976">
        <v>142.5</v>
      </c>
      <c r="T3976" t="s">
        <v>20391</v>
      </c>
    </row>
    <row r="3977" spans="1:20">
      <c r="A3977">
        <v>3332046</v>
      </c>
      <c r="B3977" t="s">
        <v>20392</v>
      </c>
      <c r="C3977" t="str">
        <f>"9780773534261"</f>
        <v>9780773534261</v>
      </c>
      <c r="D3977" t="str">
        <f>"9780773576155"</f>
        <v>9780773576155</v>
      </c>
      <c r="E3977" t="s">
        <v>12863</v>
      </c>
      <c r="F3977" t="s">
        <v>12863</v>
      </c>
      <c r="G3977" s="1">
        <v>39696</v>
      </c>
      <c r="J3977" t="s">
        <v>18510</v>
      </c>
      <c r="K3977" t="s">
        <v>291</v>
      </c>
      <c r="L3977" t="s">
        <v>20393</v>
      </c>
      <c r="M3977">
        <v>941.50810000000001</v>
      </c>
      <c r="N3977" t="s">
        <v>20394</v>
      </c>
      <c r="O3977" t="s">
        <v>26</v>
      </c>
      <c r="P3977">
        <v>142.5</v>
      </c>
      <c r="Q3977">
        <v>118.75</v>
      </c>
      <c r="R3977">
        <v>95</v>
      </c>
      <c r="S3977">
        <v>142.5</v>
      </c>
      <c r="T3977" t="s">
        <v>20395</v>
      </c>
    </row>
    <row r="3978" spans="1:20">
      <c r="A3978">
        <v>3332047</v>
      </c>
      <c r="B3978" t="s">
        <v>20396</v>
      </c>
      <c r="C3978" t="str">
        <f>"9780773524965"</f>
        <v>9780773524965</v>
      </c>
      <c r="D3978" t="str">
        <f>"9780773577121"</f>
        <v>9780773577121</v>
      </c>
      <c r="E3978" t="s">
        <v>12863</v>
      </c>
      <c r="F3978" t="s">
        <v>12863</v>
      </c>
      <c r="G3978" s="1">
        <v>39951</v>
      </c>
      <c r="J3978" t="s">
        <v>20397</v>
      </c>
      <c r="K3978" t="s">
        <v>1464</v>
      </c>
      <c r="L3978" t="s">
        <v>20398</v>
      </c>
      <c r="M3978">
        <v>813.54</v>
      </c>
      <c r="N3978" t="s">
        <v>20399</v>
      </c>
      <c r="O3978" t="s">
        <v>26</v>
      </c>
      <c r="P3978">
        <v>29.93</v>
      </c>
      <c r="Q3978">
        <v>24.94</v>
      </c>
      <c r="R3978">
        <v>19.95</v>
      </c>
      <c r="S3978">
        <v>29.93</v>
      </c>
      <c r="T3978" t="s">
        <v>20400</v>
      </c>
    </row>
    <row r="3979" spans="1:20">
      <c r="A3979">
        <v>3332048</v>
      </c>
      <c r="B3979" t="s">
        <v>20401</v>
      </c>
      <c r="C3979" t="str">
        <f>"9780773535459"</f>
        <v>9780773535459</v>
      </c>
      <c r="D3979" t="str">
        <f>"9780773575387"</f>
        <v>9780773575387</v>
      </c>
      <c r="E3979" t="s">
        <v>12907</v>
      </c>
      <c r="F3979" t="s">
        <v>12907</v>
      </c>
      <c r="G3979" s="1">
        <v>39934</v>
      </c>
      <c r="H3979">
        <v>2</v>
      </c>
      <c r="J3979" t="s">
        <v>19985</v>
      </c>
      <c r="K3979" t="s">
        <v>467</v>
      </c>
      <c r="L3979" t="s">
        <v>20402</v>
      </c>
      <c r="M3979">
        <v>324.27109400000001</v>
      </c>
      <c r="N3979" t="s">
        <v>20403</v>
      </c>
      <c r="O3979" t="s">
        <v>26</v>
      </c>
      <c r="P3979">
        <v>37.43</v>
      </c>
      <c r="Q3979">
        <v>31.19</v>
      </c>
      <c r="R3979">
        <v>24.95</v>
      </c>
      <c r="S3979">
        <v>37.43</v>
      </c>
      <c r="T3979" t="s">
        <v>20404</v>
      </c>
    </row>
    <row r="3980" spans="1:20">
      <c r="A3980">
        <v>3332049</v>
      </c>
      <c r="B3980" t="s">
        <v>20405</v>
      </c>
      <c r="C3980" t="str">
        <f>"9780773536364"</f>
        <v>9780773536364</v>
      </c>
      <c r="D3980" t="str">
        <f>"9780773576391"</f>
        <v>9780773576391</v>
      </c>
      <c r="E3980" t="s">
        <v>12863</v>
      </c>
      <c r="F3980" t="s">
        <v>12863</v>
      </c>
      <c r="G3980" s="1">
        <v>40118</v>
      </c>
      <c r="I3980" t="s">
        <v>12942</v>
      </c>
      <c r="J3980" t="s">
        <v>15029</v>
      </c>
      <c r="K3980" t="s">
        <v>6444</v>
      </c>
      <c r="L3980" t="s">
        <v>20406</v>
      </c>
      <c r="M3980">
        <v>325.24150971</v>
      </c>
      <c r="N3980" t="s">
        <v>20407</v>
      </c>
      <c r="O3980" t="s">
        <v>26</v>
      </c>
      <c r="P3980">
        <v>142.5</v>
      </c>
      <c r="Q3980">
        <v>118.75</v>
      </c>
      <c r="R3980">
        <v>95</v>
      </c>
      <c r="S3980">
        <v>142.5</v>
      </c>
      <c r="T3980" t="s">
        <v>20408</v>
      </c>
    </row>
    <row r="3981" spans="1:20">
      <c r="A3981">
        <v>3332050</v>
      </c>
      <c r="B3981" t="s">
        <v>20409</v>
      </c>
      <c r="C3981" t="str">
        <f>"9780773535329"</f>
        <v>9780773535329</v>
      </c>
      <c r="D3981" t="str">
        <f>"9780773576353"</f>
        <v>9780773576353</v>
      </c>
      <c r="E3981" t="s">
        <v>12863</v>
      </c>
      <c r="F3981" t="s">
        <v>12863</v>
      </c>
      <c r="G3981" s="1">
        <v>39965</v>
      </c>
      <c r="H3981" t="s">
        <v>20410</v>
      </c>
      <c r="I3981" t="s">
        <v>19962</v>
      </c>
      <c r="J3981" t="s">
        <v>19963</v>
      </c>
      <c r="K3981" t="s">
        <v>20411</v>
      </c>
      <c r="L3981" t="s">
        <v>20412</v>
      </c>
      <c r="M3981">
        <v>352.74509710000001</v>
      </c>
      <c r="N3981" t="s">
        <v>20413</v>
      </c>
      <c r="O3981" t="s">
        <v>26</v>
      </c>
      <c r="P3981">
        <v>142.5</v>
      </c>
      <c r="Q3981">
        <v>118.75</v>
      </c>
      <c r="R3981">
        <v>95</v>
      </c>
      <c r="S3981">
        <v>142.5</v>
      </c>
      <c r="T3981" t="s">
        <v>20414</v>
      </c>
    </row>
    <row r="3982" spans="1:20">
      <c r="A3982">
        <v>3332051</v>
      </c>
      <c r="B3982" t="s">
        <v>20415</v>
      </c>
      <c r="C3982" t="str">
        <f>"9780773535862"</f>
        <v>9780773535862</v>
      </c>
      <c r="D3982" t="str">
        <f>"9780773576537"</f>
        <v>9780773576537</v>
      </c>
      <c r="E3982" t="s">
        <v>12863</v>
      </c>
      <c r="F3982" t="s">
        <v>12863</v>
      </c>
      <c r="G3982" s="1">
        <v>40057</v>
      </c>
      <c r="I3982" t="s">
        <v>14082</v>
      </c>
      <c r="J3982" t="s">
        <v>20416</v>
      </c>
      <c r="K3982" t="s">
        <v>291</v>
      </c>
      <c r="L3982" t="s">
        <v>20417</v>
      </c>
      <c r="M3982">
        <v>971.27004973330895</v>
      </c>
      <c r="N3982" t="s">
        <v>20418</v>
      </c>
      <c r="O3982" t="s">
        <v>26</v>
      </c>
      <c r="P3982">
        <v>44.93</v>
      </c>
      <c r="Q3982">
        <v>37.44</v>
      </c>
      <c r="R3982">
        <v>29.95</v>
      </c>
      <c r="S3982">
        <v>44.93</v>
      </c>
      <c r="T3982" t="s">
        <v>20419</v>
      </c>
    </row>
    <row r="3983" spans="1:20">
      <c r="A3983">
        <v>3332052</v>
      </c>
      <c r="B3983" t="s">
        <v>20420</v>
      </c>
      <c r="C3983" t="str">
        <f>"9780773535213"</f>
        <v>9780773535213</v>
      </c>
      <c r="D3983" t="str">
        <f>"9780773576582"</f>
        <v>9780773576582</v>
      </c>
      <c r="E3983" t="s">
        <v>12863</v>
      </c>
      <c r="F3983" t="s">
        <v>12863</v>
      </c>
      <c r="G3983" s="1">
        <v>39934</v>
      </c>
      <c r="I3983" t="s">
        <v>12871</v>
      </c>
      <c r="J3983" t="s">
        <v>20421</v>
      </c>
      <c r="K3983" t="s">
        <v>525</v>
      </c>
      <c r="L3983" t="s">
        <v>20422</v>
      </c>
      <c r="M3983">
        <v>346.71046910089899</v>
      </c>
      <c r="N3983" t="s">
        <v>20423</v>
      </c>
      <c r="O3983" t="s">
        <v>26</v>
      </c>
      <c r="P3983">
        <v>44.93</v>
      </c>
      <c r="Q3983">
        <v>37.44</v>
      </c>
      <c r="R3983">
        <v>29.95</v>
      </c>
      <c r="S3983">
        <v>44.93</v>
      </c>
      <c r="T3983" t="s">
        <v>20424</v>
      </c>
    </row>
    <row r="3984" spans="1:20">
      <c r="A3984">
        <v>3332053</v>
      </c>
      <c r="B3984" t="s">
        <v>20425</v>
      </c>
      <c r="C3984" t="str">
        <f>"9780773535879"</f>
        <v>9780773535879</v>
      </c>
      <c r="D3984" t="str">
        <f>"9780773576599"</f>
        <v>9780773576599</v>
      </c>
      <c r="E3984" t="s">
        <v>12863</v>
      </c>
      <c r="F3984" t="s">
        <v>12863</v>
      </c>
      <c r="G3984" s="1">
        <v>40087</v>
      </c>
      <c r="I3984" t="s">
        <v>12871</v>
      </c>
      <c r="J3984" t="s">
        <v>20426</v>
      </c>
      <c r="K3984" t="s">
        <v>14458</v>
      </c>
      <c r="L3984" t="s">
        <v>15975</v>
      </c>
      <c r="M3984">
        <v>346.71304320899702</v>
      </c>
      <c r="N3984" t="s">
        <v>20427</v>
      </c>
      <c r="O3984" t="s">
        <v>26</v>
      </c>
      <c r="P3984">
        <v>44.93</v>
      </c>
      <c r="Q3984">
        <v>37.44</v>
      </c>
      <c r="R3984">
        <v>29.95</v>
      </c>
      <c r="S3984">
        <v>44.93</v>
      </c>
      <c r="T3984" t="s">
        <v>20428</v>
      </c>
    </row>
    <row r="3985" spans="1:20">
      <c r="A3985">
        <v>3332054</v>
      </c>
      <c r="B3985" t="s">
        <v>20429</v>
      </c>
      <c r="C3985" t="str">
        <f>"9780773535619"</f>
        <v>9780773535619</v>
      </c>
      <c r="D3985" t="str">
        <f>"9780773576377"</f>
        <v>9780773576377</v>
      </c>
      <c r="E3985" t="s">
        <v>12863</v>
      </c>
      <c r="F3985" t="s">
        <v>12863</v>
      </c>
      <c r="G3985" s="1">
        <v>39934</v>
      </c>
      <c r="I3985" t="s">
        <v>13270</v>
      </c>
      <c r="J3985" t="s">
        <v>20430</v>
      </c>
      <c r="K3985" t="s">
        <v>15517</v>
      </c>
      <c r="L3985" t="s">
        <v>20431</v>
      </c>
      <c r="M3985">
        <v>509.71</v>
      </c>
      <c r="N3985" t="s">
        <v>20432</v>
      </c>
      <c r="O3985" t="s">
        <v>26</v>
      </c>
      <c r="P3985">
        <v>142.5</v>
      </c>
      <c r="Q3985">
        <v>118.75</v>
      </c>
      <c r="R3985">
        <v>95</v>
      </c>
      <c r="S3985">
        <v>142.5</v>
      </c>
      <c r="T3985" t="s">
        <v>20433</v>
      </c>
    </row>
    <row r="3986" spans="1:20">
      <c r="A3986">
        <v>3332055</v>
      </c>
      <c r="B3986" t="s">
        <v>20434</v>
      </c>
      <c r="C3986" t="str">
        <f>"9780773536098"</f>
        <v>9780773536098</v>
      </c>
      <c r="D3986" t="str">
        <f>"9780773576094"</f>
        <v>9780773576094</v>
      </c>
      <c r="E3986" t="s">
        <v>12863</v>
      </c>
      <c r="F3986" t="s">
        <v>12863</v>
      </c>
      <c r="G3986" s="1">
        <v>40057</v>
      </c>
      <c r="I3986" t="s">
        <v>13270</v>
      </c>
      <c r="J3986" t="s">
        <v>20435</v>
      </c>
      <c r="K3986" t="s">
        <v>291</v>
      </c>
      <c r="L3986" t="s">
        <v>15196</v>
      </c>
      <c r="M3986">
        <v>971.04899999999998</v>
      </c>
      <c r="N3986" t="s">
        <v>20436</v>
      </c>
      <c r="O3986" t="s">
        <v>26</v>
      </c>
      <c r="P3986">
        <v>142.5</v>
      </c>
      <c r="Q3986">
        <v>118.75</v>
      </c>
      <c r="R3986">
        <v>95</v>
      </c>
      <c r="S3986">
        <v>142.5</v>
      </c>
      <c r="T3986" t="s">
        <v>20437</v>
      </c>
    </row>
    <row r="3987" spans="1:20">
      <c r="A3987">
        <v>3332056</v>
      </c>
      <c r="B3987" t="s">
        <v>20438</v>
      </c>
      <c r="C3987" t="str">
        <f>"9780773534346"</f>
        <v>9780773534346</v>
      </c>
      <c r="D3987" t="str">
        <f>"9780773575882"</f>
        <v>9780773575882</v>
      </c>
      <c r="E3987" t="s">
        <v>12863</v>
      </c>
      <c r="F3987" t="s">
        <v>12863</v>
      </c>
      <c r="G3987" s="1">
        <v>39889</v>
      </c>
      <c r="I3987" t="s">
        <v>13811</v>
      </c>
      <c r="J3987" t="s">
        <v>20439</v>
      </c>
      <c r="K3987" t="s">
        <v>6444</v>
      </c>
      <c r="L3987" t="s">
        <v>20440</v>
      </c>
      <c r="M3987">
        <v>327.71</v>
      </c>
      <c r="N3987" t="s">
        <v>20441</v>
      </c>
      <c r="O3987" t="s">
        <v>26</v>
      </c>
      <c r="P3987">
        <v>142.5</v>
      </c>
      <c r="Q3987">
        <v>118.75</v>
      </c>
      <c r="R3987">
        <v>95</v>
      </c>
      <c r="S3987">
        <v>142.5</v>
      </c>
      <c r="T3987" t="s">
        <v>20442</v>
      </c>
    </row>
    <row r="3988" spans="1:20">
      <c r="A3988">
        <v>3332057</v>
      </c>
      <c r="B3988" t="s">
        <v>20443</v>
      </c>
      <c r="C3988" t="str">
        <f>"9780773536289"</f>
        <v>9780773536289</v>
      </c>
      <c r="D3988" t="str">
        <f>"9780773575899"</f>
        <v>9780773575899</v>
      </c>
      <c r="E3988" t="s">
        <v>12863</v>
      </c>
      <c r="F3988" t="s">
        <v>12863</v>
      </c>
      <c r="G3988" s="1">
        <v>40189</v>
      </c>
      <c r="I3988" t="s">
        <v>13811</v>
      </c>
      <c r="J3988" t="s">
        <v>18380</v>
      </c>
      <c r="K3988" t="s">
        <v>6444</v>
      </c>
      <c r="L3988" t="s">
        <v>13100</v>
      </c>
      <c r="M3988">
        <v>327.71</v>
      </c>
      <c r="N3988" t="s">
        <v>20444</v>
      </c>
      <c r="O3988" t="s">
        <v>26</v>
      </c>
      <c r="P3988">
        <v>142.5</v>
      </c>
      <c r="Q3988">
        <v>118.75</v>
      </c>
      <c r="R3988">
        <v>95</v>
      </c>
      <c r="S3988">
        <v>142.5</v>
      </c>
      <c r="T3988" t="s">
        <v>20445</v>
      </c>
    </row>
    <row r="3989" spans="1:20">
      <c r="A3989">
        <v>3332058</v>
      </c>
      <c r="B3989" t="s">
        <v>20446</v>
      </c>
      <c r="C3989" t="str">
        <f>"9780773536128"</f>
        <v>9780773536128</v>
      </c>
      <c r="D3989" t="str">
        <f>"9780773576278"</f>
        <v>9780773576278</v>
      </c>
      <c r="E3989" t="s">
        <v>12863</v>
      </c>
      <c r="F3989" t="s">
        <v>12863</v>
      </c>
      <c r="G3989" s="1">
        <v>40087</v>
      </c>
      <c r="J3989" t="s">
        <v>20447</v>
      </c>
      <c r="K3989" t="s">
        <v>416</v>
      </c>
      <c r="L3989" t="s">
        <v>18661</v>
      </c>
      <c r="M3989">
        <v>336.39097099999998</v>
      </c>
      <c r="N3989" t="s">
        <v>20448</v>
      </c>
      <c r="O3989" t="s">
        <v>26</v>
      </c>
      <c r="P3989">
        <v>49.43</v>
      </c>
      <c r="Q3989">
        <v>41.19</v>
      </c>
      <c r="R3989">
        <v>32.950000000000003</v>
      </c>
      <c r="S3989">
        <v>49.43</v>
      </c>
      <c r="T3989" t="s">
        <v>20449</v>
      </c>
    </row>
    <row r="3990" spans="1:20">
      <c r="A3990">
        <v>3332059</v>
      </c>
      <c r="B3990" t="s">
        <v>20450</v>
      </c>
      <c r="C3990" t="str">
        <f>"9780773535039"</f>
        <v>9780773535039</v>
      </c>
      <c r="D3990" t="str">
        <f>"9780773576292"</f>
        <v>9780773576292</v>
      </c>
      <c r="E3990" t="s">
        <v>12863</v>
      </c>
      <c r="F3990" t="s">
        <v>12863</v>
      </c>
      <c r="G3990" s="1">
        <v>39873</v>
      </c>
      <c r="J3990" t="s">
        <v>20451</v>
      </c>
      <c r="K3990" t="s">
        <v>525</v>
      </c>
      <c r="L3990" t="s">
        <v>20452</v>
      </c>
      <c r="M3990">
        <v>342.71087299999999</v>
      </c>
      <c r="N3990" t="s">
        <v>20453</v>
      </c>
      <c r="O3990" t="s">
        <v>26</v>
      </c>
      <c r="P3990">
        <v>142.5</v>
      </c>
      <c r="Q3990">
        <v>118.75</v>
      </c>
      <c r="R3990">
        <v>95</v>
      </c>
      <c r="S3990">
        <v>142.5</v>
      </c>
      <c r="T3990" t="s">
        <v>20454</v>
      </c>
    </row>
    <row r="3991" spans="1:20">
      <c r="A3991">
        <v>3332061</v>
      </c>
      <c r="B3991" t="s">
        <v>20455</v>
      </c>
      <c r="C3991" t="str">
        <f>"9780773535176"</f>
        <v>9780773535176</v>
      </c>
      <c r="D3991" t="str">
        <f>"9780773576872"</f>
        <v>9780773576872</v>
      </c>
      <c r="E3991" t="s">
        <v>12863</v>
      </c>
      <c r="F3991" t="s">
        <v>12863</v>
      </c>
      <c r="G3991" s="1">
        <v>39934</v>
      </c>
      <c r="J3991" t="s">
        <v>20456</v>
      </c>
      <c r="K3991" t="s">
        <v>550</v>
      </c>
      <c r="L3991" t="s">
        <v>20457</v>
      </c>
      <c r="M3991">
        <v>304.80971</v>
      </c>
      <c r="N3991" t="s">
        <v>20458</v>
      </c>
      <c r="O3991" t="s">
        <v>26</v>
      </c>
      <c r="P3991">
        <v>150</v>
      </c>
      <c r="Q3991">
        <v>125</v>
      </c>
      <c r="R3991">
        <v>100</v>
      </c>
      <c r="S3991">
        <v>150</v>
      </c>
      <c r="T3991" t="s">
        <v>20459</v>
      </c>
    </row>
    <row r="3992" spans="1:20">
      <c r="A3992">
        <v>3332062</v>
      </c>
      <c r="B3992" t="s">
        <v>20460</v>
      </c>
      <c r="C3992" t="str">
        <f>"9780773535718"</f>
        <v>9780773535718</v>
      </c>
      <c r="D3992" t="str">
        <f>"9780773577176"</f>
        <v>9780773577176</v>
      </c>
      <c r="E3992" t="s">
        <v>12863</v>
      </c>
      <c r="F3992" t="s">
        <v>12863</v>
      </c>
      <c r="G3992" s="1">
        <v>40057</v>
      </c>
      <c r="J3992" t="s">
        <v>20461</v>
      </c>
      <c r="K3992" t="s">
        <v>2509</v>
      </c>
      <c r="L3992" t="s">
        <v>20462</v>
      </c>
      <c r="M3992">
        <v>641.300971</v>
      </c>
      <c r="N3992" t="s">
        <v>20463</v>
      </c>
      <c r="O3992" t="s">
        <v>26</v>
      </c>
      <c r="P3992">
        <v>44.93</v>
      </c>
      <c r="Q3992">
        <v>37.44</v>
      </c>
      <c r="R3992">
        <v>29.95</v>
      </c>
      <c r="S3992">
        <v>44.93</v>
      </c>
      <c r="T3992" t="s">
        <v>20464</v>
      </c>
    </row>
    <row r="3993" spans="1:20">
      <c r="A3993">
        <v>3332063</v>
      </c>
      <c r="B3993" t="s">
        <v>20465</v>
      </c>
      <c r="C3993" t="str">
        <f>"9780773535367"</f>
        <v>9780773535367</v>
      </c>
      <c r="D3993" t="str">
        <f>"9780773575431"</f>
        <v>9780773575431</v>
      </c>
      <c r="E3993" t="s">
        <v>12907</v>
      </c>
      <c r="F3993" t="s">
        <v>12907</v>
      </c>
      <c r="G3993" s="1">
        <v>39934</v>
      </c>
      <c r="H3993" t="s">
        <v>20466</v>
      </c>
      <c r="I3993" t="s">
        <v>13270</v>
      </c>
      <c r="J3993" t="s">
        <v>20467</v>
      </c>
      <c r="K3993" t="s">
        <v>1550</v>
      </c>
      <c r="L3993" t="s">
        <v>20468</v>
      </c>
      <c r="M3993">
        <v>306.409716</v>
      </c>
      <c r="N3993" t="s">
        <v>20469</v>
      </c>
      <c r="O3993" t="s">
        <v>26</v>
      </c>
      <c r="P3993">
        <v>49.43</v>
      </c>
      <c r="Q3993">
        <v>41.19</v>
      </c>
      <c r="R3993">
        <v>32.950000000000003</v>
      </c>
      <c r="S3993">
        <v>49.43</v>
      </c>
      <c r="T3993" t="s">
        <v>20470</v>
      </c>
    </row>
    <row r="3994" spans="1:20">
      <c r="A3994">
        <v>3332064</v>
      </c>
      <c r="B3994" t="s">
        <v>20471</v>
      </c>
      <c r="C3994" t="str">
        <f>"9780773535114"</f>
        <v>9780773535114</v>
      </c>
      <c r="D3994" t="str">
        <f>"9780773575738"</f>
        <v>9780773575738</v>
      </c>
      <c r="E3994" t="s">
        <v>12863</v>
      </c>
      <c r="F3994" t="s">
        <v>12863</v>
      </c>
      <c r="G3994" s="1">
        <v>39904</v>
      </c>
      <c r="J3994" t="s">
        <v>20472</v>
      </c>
      <c r="K3994" t="s">
        <v>1394</v>
      </c>
      <c r="L3994" t="s">
        <v>20473</v>
      </c>
      <c r="M3994">
        <v>362.10835097099999</v>
      </c>
      <c r="N3994" t="s">
        <v>20474</v>
      </c>
      <c r="O3994" t="s">
        <v>26</v>
      </c>
      <c r="P3994">
        <v>142.5</v>
      </c>
      <c r="Q3994">
        <v>118.75</v>
      </c>
      <c r="R3994">
        <v>95</v>
      </c>
      <c r="S3994">
        <v>142.5</v>
      </c>
      <c r="T3994" t="s">
        <v>20475</v>
      </c>
    </row>
    <row r="3995" spans="1:20">
      <c r="A3995">
        <v>3332065</v>
      </c>
      <c r="B3995" t="s">
        <v>20476</v>
      </c>
      <c r="C3995" t="str">
        <f>"9780773535916"</f>
        <v>9780773535916</v>
      </c>
      <c r="D3995" t="str">
        <f>"9780773576148"</f>
        <v>9780773576148</v>
      </c>
      <c r="E3995" t="s">
        <v>12863</v>
      </c>
      <c r="F3995" t="s">
        <v>12863</v>
      </c>
      <c r="G3995" s="1">
        <v>40057</v>
      </c>
      <c r="J3995" t="s">
        <v>16670</v>
      </c>
      <c r="K3995" t="s">
        <v>263</v>
      </c>
      <c r="L3995" t="s">
        <v>20477</v>
      </c>
      <c r="M3995">
        <v>306.850971313</v>
      </c>
      <c r="N3995" t="s">
        <v>20478</v>
      </c>
      <c r="O3995" t="s">
        <v>26</v>
      </c>
      <c r="P3995">
        <v>49.43</v>
      </c>
      <c r="Q3995">
        <v>41.19</v>
      </c>
      <c r="R3995">
        <v>32.950000000000003</v>
      </c>
      <c r="S3995">
        <v>49.43</v>
      </c>
      <c r="T3995" t="s">
        <v>20479</v>
      </c>
    </row>
    <row r="3996" spans="1:20">
      <c r="A3996">
        <v>3332066</v>
      </c>
      <c r="B3996" t="s">
        <v>20480</v>
      </c>
      <c r="C3996" t="str">
        <f>"9780773535169"</f>
        <v>9780773535169</v>
      </c>
      <c r="D3996" t="str">
        <f>"9780773576766"</f>
        <v>9780773576766</v>
      </c>
      <c r="E3996" t="s">
        <v>12863</v>
      </c>
      <c r="F3996" t="s">
        <v>12863</v>
      </c>
      <c r="G3996" s="1">
        <v>39927</v>
      </c>
      <c r="J3996" t="s">
        <v>20481</v>
      </c>
      <c r="K3996" t="s">
        <v>525</v>
      </c>
      <c r="L3996" t="s">
        <v>20482</v>
      </c>
      <c r="M3996">
        <v>344.71010000000001</v>
      </c>
      <c r="N3996" t="s">
        <v>20483</v>
      </c>
      <c r="O3996" t="s">
        <v>26</v>
      </c>
      <c r="P3996">
        <v>142.5</v>
      </c>
      <c r="Q3996">
        <v>118.75</v>
      </c>
      <c r="R3996">
        <v>95</v>
      </c>
      <c r="S3996">
        <v>142.5</v>
      </c>
      <c r="T3996" t="s">
        <v>20484</v>
      </c>
    </row>
    <row r="3997" spans="1:20">
      <c r="A3997">
        <v>3332067</v>
      </c>
      <c r="B3997" t="s">
        <v>20485</v>
      </c>
      <c r="C3997" t="str">
        <f>"9780773535015"</f>
        <v>9780773535015</v>
      </c>
      <c r="D3997" t="str">
        <f>"9780773576186"</f>
        <v>9780773576186</v>
      </c>
      <c r="E3997" t="s">
        <v>12863</v>
      </c>
      <c r="F3997" t="s">
        <v>12863</v>
      </c>
      <c r="G3997" s="1">
        <v>39841</v>
      </c>
      <c r="I3997" t="s">
        <v>18583</v>
      </c>
      <c r="J3997" t="s">
        <v>20486</v>
      </c>
      <c r="K3997" t="s">
        <v>1214</v>
      </c>
      <c r="L3997" t="s">
        <v>20487</v>
      </c>
      <c r="M3997">
        <v>327.11</v>
      </c>
      <c r="N3997" t="s">
        <v>20488</v>
      </c>
      <c r="O3997" t="s">
        <v>26</v>
      </c>
      <c r="P3997">
        <v>142.5</v>
      </c>
      <c r="Q3997">
        <v>118.75</v>
      </c>
      <c r="R3997">
        <v>95</v>
      </c>
      <c r="S3997">
        <v>142.5</v>
      </c>
      <c r="T3997" t="s">
        <v>20489</v>
      </c>
    </row>
    <row r="3998" spans="1:20">
      <c r="A3998">
        <v>3332068</v>
      </c>
      <c r="B3998" t="s">
        <v>20490</v>
      </c>
      <c r="C3998" t="str">
        <f>"9780773536265"</f>
        <v>9780773536265</v>
      </c>
      <c r="D3998" t="str">
        <f>"9780773575967"</f>
        <v>9780773575967</v>
      </c>
      <c r="E3998" t="s">
        <v>12863</v>
      </c>
      <c r="F3998" t="s">
        <v>12863</v>
      </c>
      <c r="G3998" s="1">
        <v>40079</v>
      </c>
      <c r="J3998" t="s">
        <v>20491</v>
      </c>
      <c r="K3998" t="s">
        <v>291</v>
      </c>
      <c r="L3998" t="s">
        <v>13399</v>
      </c>
      <c r="M3998">
        <v>940.54127100000005</v>
      </c>
      <c r="N3998" t="s">
        <v>20492</v>
      </c>
      <c r="O3998" t="s">
        <v>26</v>
      </c>
      <c r="P3998">
        <v>52.43</v>
      </c>
      <c r="Q3998">
        <v>43.69</v>
      </c>
      <c r="R3998">
        <v>34.950000000000003</v>
      </c>
      <c r="S3998">
        <v>52.43</v>
      </c>
      <c r="T3998" t="s">
        <v>20493</v>
      </c>
    </row>
    <row r="3999" spans="1:20">
      <c r="A3999">
        <v>3332069</v>
      </c>
      <c r="B3999" t="s">
        <v>20494</v>
      </c>
      <c r="C3999" t="str">
        <f>"9780773534575"</f>
        <v>9780773534575</v>
      </c>
      <c r="D3999" t="str">
        <f>"9780773575943"</f>
        <v>9780773575943</v>
      </c>
      <c r="E3999" t="s">
        <v>12863</v>
      </c>
      <c r="F3999" t="s">
        <v>12863</v>
      </c>
      <c r="G3999" s="1">
        <v>39845</v>
      </c>
      <c r="I3999" t="s">
        <v>12886</v>
      </c>
      <c r="J3999" t="s">
        <v>20495</v>
      </c>
      <c r="K3999" t="s">
        <v>1892</v>
      </c>
      <c r="L3999" t="s">
        <v>20496</v>
      </c>
      <c r="M3999">
        <v>280.40971000000002</v>
      </c>
      <c r="N3999" t="s">
        <v>20497</v>
      </c>
      <c r="O3999" t="s">
        <v>26</v>
      </c>
      <c r="P3999">
        <v>142.5</v>
      </c>
      <c r="Q3999">
        <v>118.75</v>
      </c>
      <c r="R3999">
        <v>95</v>
      </c>
      <c r="S3999">
        <v>142.5</v>
      </c>
      <c r="T3999" t="s">
        <v>20498</v>
      </c>
    </row>
    <row r="4000" spans="1:20">
      <c r="A4000">
        <v>3332070</v>
      </c>
      <c r="B4000" t="s">
        <v>20499</v>
      </c>
      <c r="C4000" t="str">
        <f>"9780773534049"</f>
        <v>9780773534049</v>
      </c>
      <c r="D4000" t="str">
        <f>"9780773575325"</f>
        <v>9780773575325</v>
      </c>
      <c r="E4000" t="s">
        <v>12907</v>
      </c>
      <c r="F4000" t="s">
        <v>12907</v>
      </c>
      <c r="G4000" s="1">
        <v>39630</v>
      </c>
      <c r="J4000" t="s">
        <v>15856</v>
      </c>
      <c r="K4000" t="s">
        <v>1892</v>
      </c>
      <c r="L4000" t="s">
        <v>20500</v>
      </c>
      <c r="M4000">
        <v>234</v>
      </c>
      <c r="N4000" t="s">
        <v>20501</v>
      </c>
      <c r="O4000" t="s">
        <v>26</v>
      </c>
      <c r="P4000">
        <v>26.93</v>
      </c>
      <c r="Q4000">
        <v>22.44</v>
      </c>
      <c r="R4000">
        <v>17.95</v>
      </c>
      <c r="S4000">
        <v>26.93</v>
      </c>
      <c r="T4000" t="s">
        <v>20502</v>
      </c>
    </row>
    <row r="4001" spans="1:20">
      <c r="A4001">
        <v>3332071</v>
      </c>
      <c r="B4001" t="s">
        <v>20503</v>
      </c>
      <c r="C4001" t="str">
        <f>"9780773535299"</f>
        <v>9780773535299</v>
      </c>
      <c r="D4001" t="str">
        <f>"9780773576742"</f>
        <v>9780773576742</v>
      </c>
      <c r="E4001" t="s">
        <v>12863</v>
      </c>
      <c r="F4001" t="s">
        <v>12863</v>
      </c>
      <c r="G4001" s="1">
        <v>39951</v>
      </c>
      <c r="I4001" t="s">
        <v>12871</v>
      </c>
      <c r="J4001" t="s">
        <v>20504</v>
      </c>
      <c r="K4001" t="s">
        <v>6444</v>
      </c>
      <c r="L4001" t="s">
        <v>16573</v>
      </c>
      <c r="M4001">
        <v>323.11970710000003</v>
      </c>
      <c r="N4001" t="s">
        <v>20505</v>
      </c>
      <c r="O4001" t="s">
        <v>26</v>
      </c>
      <c r="P4001">
        <v>37.43</v>
      </c>
      <c r="Q4001">
        <v>31.19</v>
      </c>
      <c r="R4001">
        <v>24.95</v>
      </c>
      <c r="S4001">
        <v>37.43</v>
      </c>
      <c r="T4001" t="s">
        <v>20506</v>
      </c>
    </row>
    <row r="4002" spans="1:20">
      <c r="A4002">
        <v>3332072</v>
      </c>
      <c r="B4002" t="s">
        <v>20507</v>
      </c>
      <c r="C4002" t="str">
        <f>"9780773535985"</f>
        <v>9780773535985</v>
      </c>
      <c r="D4002" t="str">
        <f>"9780773575912"</f>
        <v>9780773575912</v>
      </c>
      <c r="E4002" t="s">
        <v>12863</v>
      </c>
      <c r="F4002" t="s">
        <v>12863</v>
      </c>
      <c r="G4002" s="1">
        <v>40065</v>
      </c>
      <c r="J4002" t="s">
        <v>20508</v>
      </c>
      <c r="K4002" t="s">
        <v>1150</v>
      </c>
      <c r="L4002" t="s">
        <v>20509</v>
      </c>
      <c r="M4002">
        <v>796.96209710000005</v>
      </c>
      <c r="N4002" t="s">
        <v>20510</v>
      </c>
      <c r="O4002" t="s">
        <v>26</v>
      </c>
      <c r="P4002">
        <v>37.43</v>
      </c>
      <c r="Q4002">
        <v>31.19</v>
      </c>
      <c r="R4002">
        <v>24.95</v>
      </c>
      <c r="S4002">
        <v>37.43</v>
      </c>
      <c r="T4002" t="s">
        <v>20511</v>
      </c>
    </row>
    <row r="4003" spans="1:20">
      <c r="A4003">
        <v>3332073</v>
      </c>
      <c r="B4003" t="s">
        <v>20512</v>
      </c>
      <c r="C4003" t="str">
        <f>"9780773536036"</f>
        <v>9780773536036</v>
      </c>
      <c r="D4003" t="str">
        <f>"9780773576285"</f>
        <v>9780773576285</v>
      </c>
      <c r="E4003" t="s">
        <v>12863</v>
      </c>
      <c r="F4003" t="s">
        <v>12863</v>
      </c>
      <c r="G4003" s="1">
        <v>40057</v>
      </c>
      <c r="J4003" t="s">
        <v>12969</v>
      </c>
      <c r="K4003" t="s">
        <v>1464</v>
      </c>
      <c r="L4003" t="s">
        <v>20513</v>
      </c>
      <c r="M4003">
        <v>813.54093580000006</v>
      </c>
      <c r="N4003" t="s">
        <v>20514</v>
      </c>
      <c r="O4003" t="s">
        <v>26</v>
      </c>
      <c r="P4003">
        <v>37.43</v>
      </c>
      <c r="Q4003">
        <v>31.19</v>
      </c>
      <c r="R4003">
        <v>24.95</v>
      </c>
      <c r="S4003">
        <v>37.43</v>
      </c>
      <c r="T4003" t="s">
        <v>20515</v>
      </c>
    </row>
    <row r="4004" spans="1:20">
      <c r="A4004">
        <v>3332074</v>
      </c>
      <c r="B4004" t="s">
        <v>20516</v>
      </c>
      <c r="C4004" t="str">
        <f>"9780773534629"</f>
        <v>9780773534629</v>
      </c>
      <c r="D4004" t="str">
        <f>"9780773576735"</f>
        <v>9780773576735</v>
      </c>
      <c r="E4004" t="s">
        <v>12863</v>
      </c>
      <c r="F4004" t="s">
        <v>12863</v>
      </c>
      <c r="G4004" s="1">
        <v>39904</v>
      </c>
      <c r="J4004" t="s">
        <v>20517</v>
      </c>
      <c r="K4004" t="s">
        <v>467</v>
      </c>
      <c r="L4004" t="s">
        <v>16652</v>
      </c>
      <c r="M4004">
        <v>323.49</v>
      </c>
      <c r="N4004" t="s">
        <v>20518</v>
      </c>
      <c r="O4004" t="s">
        <v>26</v>
      </c>
      <c r="P4004">
        <v>142.5</v>
      </c>
      <c r="Q4004">
        <v>118.75</v>
      </c>
      <c r="R4004">
        <v>95</v>
      </c>
      <c r="S4004">
        <v>142.5</v>
      </c>
      <c r="T4004" t="s">
        <v>20519</v>
      </c>
    </row>
    <row r="4005" spans="1:20">
      <c r="A4005">
        <v>3332075</v>
      </c>
      <c r="B4005" t="s">
        <v>20520</v>
      </c>
      <c r="C4005" t="str">
        <f>"9780773523173"</f>
        <v>9780773523173</v>
      </c>
      <c r="D4005" t="str">
        <f>"9780773575417"</f>
        <v>9780773575417</v>
      </c>
      <c r="E4005" t="s">
        <v>12907</v>
      </c>
      <c r="F4005" t="s">
        <v>12907</v>
      </c>
      <c r="G4005" s="1">
        <v>37323</v>
      </c>
      <c r="H4005">
        <v>2</v>
      </c>
      <c r="J4005" t="s">
        <v>13014</v>
      </c>
      <c r="K4005" t="s">
        <v>473</v>
      </c>
      <c r="L4005" t="s">
        <v>13015</v>
      </c>
      <c r="M4005">
        <v>320.60971000000001</v>
      </c>
      <c r="N4005" t="s">
        <v>20521</v>
      </c>
      <c r="O4005" t="s">
        <v>26</v>
      </c>
      <c r="P4005">
        <v>44.93</v>
      </c>
      <c r="Q4005">
        <v>37.44</v>
      </c>
      <c r="R4005">
        <v>29.95</v>
      </c>
      <c r="S4005">
        <v>44.93</v>
      </c>
      <c r="T4005" t="s">
        <v>20522</v>
      </c>
    </row>
    <row r="4006" spans="1:20">
      <c r="A4006">
        <v>3332076</v>
      </c>
      <c r="B4006" t="s">
        <v>20523</v>
      </c>
      <c r="C4006" t="str">
        <f>"9780773536326"</f>
        <v>9780773536326</v>
      </c>
      <c r="D4006" t="str">
        <f>"9780773575530"</f>
        <v>9780773575530</v>
      </c>
      <c r="E4006" t="s">
        <v>12907</v>
      </c>
      <c r="F4006" t="s">
        <v>12907</v>
      </c>
      <c r="G4006" s="1">
        <v>40057</v>
      </c>
      <c r="H4006">
        <v>5</v>
      </c>
      <c r="J4006" t="s">
        <v>16060</v>
      </c>
      <c r="K4006" t="s">
        <v>467</v>
      </c>
      <c r="L4006" t="s">
        <v>20524</v>
      </c>
      <c r="M4006">
        <v>320.471</v>
      </c>
      <c r="N4006" t="s">
        <v>20525</v>
      </c>
      <c r="O4006" t="s">
        <v>26</v>
      </c>
      <c r="P4006">
        <v>49.43</v>
      </c>
      <c r="Q4006">
        <v>41.19</v>
      </c>
      <c r="R4006">
        <v>32.950000000000003</v>
      </c>
      <c r="S4006">
        <v>49.43</v>
      </c>
      <c r="T4006" t="s">
        <v>20526</v>
      </c>
    </row>
    <row r="4007" spans="1:20">
      <c r="A4007">
        <v>3332077</v>
      </c>
      <c r="B4007" t="s">
        <v>20527</v>
      </c>
      <c r="C4007" t="str">
        <f>"9780773535961"</f>
        <v>9780773535961</v>
      </c>
      <c r="D4007" t="str">
        <f>"9780773575769"</f>
        <v>9780773575769</v>
      </c>
      <c r="E4007" t="s">
        <v>12863</v>
      </c>
      <c r="F4007" t="s">
        <v>12863</v>
      </c>
      <c r="G4007" s="1">
        <v>40118</v>
      </c>
      <c r="I4007" t="s">
        <v>12963</v>
      </c>
      <c r="J4007" t="s">
        <v>20528</v>
      </c>
      <c r="K4007" t="s">
        <v>1859</v>
      </c>
      <c r="L4007" t="s">
        <v>20529</v>
      </c>
      <c r="M4007">
        <v>161</v>
      </c>
      <c r="N4007" t="s">
        <v>20530</v>
      </c>
      <c r="O4007" t="s">
        <v>26</v>
      </c>
      <c r="P4007">
        <v>142.5</v>
      </c>
      <c r="Q4007">
        <v>118.75</v>
      </c>
      <c r="R4007">
        <v>95</v>
      </c>
      <c r="S4007">
        <v>142.5</v>
      </c>
      <c r="T4007" t="s">
        <v>20531</v>
      </c>
    </row>
    <row r="4008" spans="1:20">
      <c r="A4008">
        <v>3332078</v>
      </c>
      <c r="B4008" t="s">
        <v>20532</v>
      </c>
      <c r="C4008" t="str">
        <f>"9780773536258"</f>
        <v>9780773536258</v>
      </c>
      <c r="D4008" t="str">
        <f>"9780773577152"</f>
        <v>9780773577152</v>
      </c>
      <c r="E4008" t="s">
        <v>12863</v>
      </c>
      <c r="F4008" t="s">
        <v>12863</v>
      </c>
      <c r="G4008" s="1">
        <v>40167</v>
      </c>
      <c r="J4008" t="s">
        <v>20533</v>
      </c>
      <c r="K4008" t="s">
        <v>2260</v>
      </c>
      <c r="L4008" t="s">
        <v>14736</v>
      </c>
      <c r="M4008">
        <v>616.85270000000003</v>
      </c>
      <c r="N4008" t="s">
        <v>20534</v>
      </c>
      <c r="O4008" t="s">
        <v>26</v>
      </c>
      <c r="P4008">
        <v>52.43</v>
      </c>
      <c r="Q4008">
        <v>43.69</v>
      </c>
      <c r="R4008">
        <v>34.950000000000003</v>
      </c>
      <c r="S4008">
        <v>52.43</v>
      </c>
      <c r="T4008" t="s">
        <v>20535</v>
      </c>
    </row>
    <row r="4009" spans="1:20">
      <c r="A4009">
        <v>3332079</v>
      </c>
      <c r="B4009" t="s">
        <v>20536</v>
      </c>
      <c r="C4009" t="str">
        <f>"9780773535800"</f>
        <v>9780773535800</v>
      </c>
      <c r="D4009" t="str">
        <f>"9780773576889"</f>
        <v>9780773576889</v>
      </c>
      <c r="E4009" t="s">
        <v>12863</v>
      </c>
      <c r="F4009" t="s">
        <v>12863</v>
      </c>
      <c r="G4009" s="1">
        <v>40057</v>
      </c>
      <c r="J4009" t="s">
        <v>20537</v>
      </c>
      <c r="K4009" t="s">
        <v>257</v>
      </c>
      <c r="L4009" t="s">
        <v>20538</v>
      </c>
      <c r="M4009">
        <v>378.12130970999999</v>
      </c>
      <c r="N4009" t="s">
        <v>20539</v>
      </c>
      <c r="O4009" t="s">
        <v>26</v>
      </c>
      <c r="P4009">
        <v>44.93</v>
      </c>
      <c r="Q4009">
        <v>37.44</v>
      </c>
      <c r="R4009">
        <v>29.95</v>
      </c>
      <c r="S4009">
        <v>44.93</v>
      </c>
      <c r="T4009" t="s">
        <v>20540</v>
      </c>
    </row>
    <row r="4010" spans="1:20">
      <c r="A4010">
        <v>3332080</v>
      </c>
      <c r="B4010" t="s">
        <v>20541</v>
      </c>
      <c r="C4010" t="str">
        <f>"9780773535077"</f>
        <v>9780773535077</v>
      </c>
      <c r="D4010" t="str">
        <f>"9780773576520"</f>
        <v>9780773576520</v>
      </c>
      <c r="E4010" t="s">
        <v>12863</v>
      </c>
      <c r="F4010" t="s">
        <v>12863</v>
      </c>
      <c r="G4010" s="1">
        <v>39904</v>
      </c>
      <c r="I4010" t="s">
        <v>12963</v>
      </c>
      <c r="J4010" t="s">
        <v>13821</v>
      </c>
      <c r="K4010" t="s">
        <v>7781</v>
      </c>
      <c r="L4010" t="s">
        <v>20542</v>
      </c>
      <c r="M4010">
        <v>791.43658000000005</v>
      </c>
      <c r="N4010" t="s">
        <v>20543</v>
      </c>
      <c r="O4010" t="s">
        <v>26</v>
      </c>
      <c r="P4010">
        <v>44.93</v>
      </c>
      <c r="Q4010">
        <v>37.44</v>
      </c>
      <c r="R4010">
        <v>29.95</v>
      </c>
      <c r="S4010">
        <v>44.93</v>
      </c>
      <c r="T4010" t="s">
        <v>20544</v>
      </c>
    </row>
    <row r="4011" spans="1:20">
      <c r="A4011">
        <v>3332081</v>
      </c>
      <c r="B4011" t="s">
        <v>20545</v>
      </c>
      <c r="C4011" t="str">
        <f>"9780773535589"</f>
        <v>9780773535589</v>
      </c>
      <c r="D4011" t="str">
        <f>"9780773577237"</f>
        <v>9780773577237</v>
      </c>
      <c r="E4011" t="s">
        <v>12863</v>
      </c>
      <c r="F4011" t="s">
        <v>12863</v>
      </c>
      <c r="G4011" s="1">
        <v>40057</v>
      </c>
      <c r="J4011" t="s">
        <v>20546</v>
      </c>
      <c r="K4011" t="s">
        <v>3219</v>
      </c>
      <c r="L4011" t="s">
        <v>20547</v>
      </c>
      <c r="M4011">
        <v>917.12040999999999</v>
      </c>
      <c r="N4011" t="s">
        <v>20548</v>
      </c>
      <c r="O4011" t="s">
        <v>26</v>
      </c>
      <c r="P4011">
        <v>67.430000000000007</v>
      </c>
      <c r="Q4011">
        <v>56.19</v>
      </c>
      <c r="R4011">
        <v>44.95</v>
      </c>
      <c r="S4011">
        <v>67.430000000000007</v>
      </c>
      <c r="T4011" t="s">
        <v>20549</v>
      </c>
    </row>
    <row r="4012" spans="1:20">
      <c r="A4012">
        <v>3332082</v>
      </c>
      <c r="B4012" t="s">
        <v>20550</v>
      </c>
      <c r="C4012" t="str">
        <f>"9780773536012"</f>
        <v>9780773536012</v>
      </c>
      <c r="D4012" t="str">
        <f>"9780773577046"</f>
        <v>9780773577046</v>
      </c>
      <c r="E4012" t="s">
        <v>12863</v>
      </c>
      <c r="F4012" t="s">
        <v>12863</v>
      </c>
      <c r="G4012" s="1">
        <v>40179</v>
      </c>
      <c r="I4012" t="s">
        <v>12864</v>
      </c>
      <c r="J4012" t="s">
        <v>20551</v>
      </c>
      <c r="K4012" t="s">
        <v>2260</v>
      </c>
      <c r="L4012" t="s">
        <v>20552</v>
      </c>
      <c r="M4012">
        <v>616.995</v>
      </c>
      <c r="N4012" t="s">
        <v>20553</v>
      </c>
      <c r="O4012" t="s">
        <v>26</v>
      </c>
      <c r="P4012">
        <v>142.5</v>
      </c>
      <c r="Q4012">
        <v>118.75</v>
      </c>
      <c r="R4012">
        <v>95</v>
      </c>
      <c r="S4012">
        <v>142.5</v>
      </c>
      <c r="T4012" t="s">
        <v>20554</v>
      </c>
    </row>
    <row r="4013" spans="1:20">
      <c r="A4013">
        <v>3332083</v>
      </c>
      <c r="B4013" t="s">
        <v>20555</v>
      </c>
      <c r="C4013" t="str">
        <f>"9780773536173"</f>
        <v>9780773536173</v>
      </c>
      <c r="D4013" t="str">
        <f>"9780773576858"</f>
        <v>9780773576858</v>
      </c>
      <c r="E4013" t="s">
        <v>12863</v>
      </c>
      <c r="F4013" t="s">
        <v>12863</v>
      </c>
      <c r="G4013" s="1">
        <v>40256</v>
      </c>
      <c r="I4013" t="s">
        <v>12864</v>
      </c>
      <c r="J4013" t="s">
        <v>20556</v>
      </c>
      <c r="K4013" t="s">
        <v>3308</v>
      </c>
      <c r="L4013" t="s">
        <v>20557</v>
      </c>
      <c r="M4013">
        <v>614.5</v>
      </c>
      <c r="N4013" t="s">
        <v>20558</v>
      </c>
      <c r="O4013" t="s">
        <v>26</v>
      </c>
      <c r="P4013">
        <v>135</v>
      </c>
      <c r="Q4013">
        <v>112.5</v>
      </c>
      <c r="R4013">
        <v>90</v>
      </c>
      <c r="S4013">
        <v>135</v>
      </c>
      <c r="T4013" t="s">
        <v>20559</v>
      </c>
    </row>
    <row r="4014" spans="1:20">
      <c r="A4014">
        <v>3332084</v>
      </c>
      <c r="B4014" t="s">
        <v>20560</v>
      </c>
      <c r="C4014" t="str">
        <f>"9780773536227"</f>
        <v>9780773536227</v>
      </c>
      <c r="D4014" t="str">
        <f>"9780773575721"</f>
        <v>9780773575721</v>
      </c>
      <c r="E4014" t="s">
        <v>12863</v>
      </c>
      <c r="F4014" t="s">
        <v>12863</v>
      </c>
      <c r="G4014" s="1">
        <v>40189</v>
      </c>
      <c r="J4014" t="s">
        <v>20561</v>
      </c>
      <c r="K4014" t="s">
        <v>257</v>
      </c>
      <c r="L4014" t="s">
        <v>20562</v>
      </c>
      <c r="M4014">
        <v>378.19409710000002</v>
      </c>
      <c r="N4014" t="s">
        <v>20563</v>
      </c>
      <c r="O4014" t="s">
        <v>26</v>
      </c>
      <c r="P4014">
        <v>59.93</v>
      </c>
      <c r="Q4014">
        <v>49.94</v>
      </c>
      <c r="R4014">
        <v>39.950000000000003</v>
      </c>
      <c r="S4014">
        <v>59.93</v>
      </c>
      <c r="T4014" t="s">
        <v>20564</v>
      </c>
    </row>
    <row r="4015" spans="1:20">
      <c r="A4015">
        <v>3332085</v>
      </c>
      <c r="B4015" t="s">
        <v>20565</v>
      </c>
      <c r="C4015" t="str">
        <f>"9780773535909"</f>
        <v>9780773535909</v>
      </c>
      <c r="D4015" t="str">
        <f>"9780773576360"</f>
        <v>9780773576360</v>
      </c>
      <c r="E4015" t="s">
        <v>12863</v>
      </c>
      <c r="F4015" t="s">
        <v>12863</v>
      </c>
      <c r="G4015" s="1">
        <v>40179</v>
      </c>
      <c r="I4015" t="s">
        <v>12871</v>
      </c>
      <c r="J4015" t="s">
        <v>20566</v>
      </c>
      <c r="K4015" t="s">
        <v>7621</v>
      </c>
      <c r="L4015" t="s">
        <v>20567</v>
      </c>
      <c r="M4015">
        <v>299.78120000000001</v>
      </c>
      <c r="N4015" t="s">
        <v>20568</v>
      </c>
      <c r="O4015" t="s">
        <v>26</v>
      </c>
      <c r="P4015">
        <v>142.5</v>
      </c>
      <c r="Q4015">
        <v>118.75</v>
      </c>
      <c r="R4015">
        <v>95</v>
      </c>
      <c r="S4015">
        <v>142.5</v>
      </c>
      <c r="T4015" t="s">
        <v>20569</v>
      </c>
    </row>
    <row r="4016" spans="1:20">
      <c r="A4016">
        <v>3332086</v>
      </c>
      <c r="B4016" t="s">
        <v>20570</v>
      </c>
      <c r="C4016" t="str">
        <f>"9780773525597"</f>
        <v>9780773525597</v>
      </c>
      <c r="D4016" t="str">
        <f>"9780773571174"</f>
        <v>9780773571174</v>
      </c>
      <c r="E4016" t="s">
        <v>12863</v>
      </c>
      <c r="F4016" t="s">
        <v>12863</v>
      </c>
      <c r="G4016" s="1">
        <v>37607</v>
      </c>
      <c r="J4016" t="s">
        <v>20571</v>
      </c>
      <c r="K4016" t="s">
        <v>467</v>
      </c>
      <c r="L4016" t="s">
        <v>20572</v>
      </c>
      <c r="N4016" t="s">
        <v>20573</v>
      </c>
      <c r="O4016" t="s">
        <v>26</v>
      </c>
      <c r="P4016">
        <v>142.5</v>
      </c>
      <c r="Q4016">
        <v>118.75</v>
      </c>
      <c r="R4016">
        <v>95</v>
      </c>
      <c r="S4016">
        <v>142.5</v>
      </c>
      <c r="T4016" t="s">
        <v>20574</v>
      </c>
    </row>
    <row r="4017" spans="1:20">
      <c r="A4017">
        <v>3332087</v>
      </c>
      <c r="B4017" t="s">
        <v>20575</v>
      </c>
      <c r="C4017" t="str">
        <f>"9780773520660"</f>
        <v>9780773520660</v>
      </c>
      <c r="D4017" t="str">
        <f>"9780773568549"</f>
        <v>9780773568549</v>
      </c>
      <c r="E4017" t="s">
        <v>12863</v>
      </c>
      <c r="F4017" t="s">
        <v>12863</v>
      </c>
      <c r="G4017" s="1">
        <v>36762</v>
      </c>
      <c r="J4017" t="s">
        <v>20576</v>
      </c>
      <c r="K4017" t="s">
        <v>1464</v>
      </c>
      <c r="L4017" t="s">
        <v>20577</v>
      </c>
      <c r="M4017">
        <v>823.7</v>
      </c>
      <c r="N4017" t="s">
        <v>20578</v>
      </c>
      <c r="O4017" t="s">
        <v>26</v>
      </c>
      <c r="P4017">
        <v>142.5</v>
      </c>
      <c r="Q4017">
        <v>118.75</v>
      </c>
      <c r="R4017">
        <v>95</v>
      </c>
      <c r="S4017">
        <v>142.5</v>
      </c>
      <c r="T4017" t="s">
        <v>20579</v>
      </c>
    </row>
    <row r="4018" spans="1:20">
      <c r="A4018">
        <v>3332088</v>
      </c>
      <c r="B4018" t="s">
        <v>20580</v>
      </c>
      <c r="C4018" t="str">
        <f>"9780773530621"</f>
        <v>9780773530621</v>
      </c>
      <c r="D4018" t="str">
        <f>"9780773575578"</f>
        <v>9780773575578</v>
      </c>
      <c r="E4018" t="s">
        <v>12907</v>
      </c>
      <c r="F4018" t="s">
        <v>12907</v>
      </c>
      <c r="G4018" s="1">
        <v>38762</v>
      </c>
      <c r="H4018">
        <v>20062007</v>
      </c>
      <c r="I4018" t="s">
        <v>19962</v>
      </c>
      <c r="J4018" t="s">
        <v>18660</v>
      </c>
      <c r="K4018" t="s">
        <v>20581</v>
      </c>
      <c r="L4018" t="s">
        <v>20582</v>
      </c>
      <c r="M4018">
        <v>352.74509710000001</v>
      </c>
      <c r="N4018" t="s">
        <v>20244</v>
      </c>
      <c r="O4018" t="s">
        <v>26</v>
      </c>
      <c r="P4018">
        <v>142.5</v>
      </c>
      <c r="Q4018">
        <v>118.75</v>
      </c>
      <c r="R4018">
        <v>95</v>
      </c>
      <c r="S4018">
        <v>142.5</v>
      </c>
      <c r="T4018" t="s">
        <v>20583</v>
      </c>
    </row>
    <row r="4019" spans="1:20">
      <c r="A4019">
        <v>3332089</v>
      </c>
      <c r="B4019" t="s">
        <v>20584</v>
      </c>
      <c r="C4019" t="str">
        <f>"9780773531260"</f>
        <v>9780773531260</v>
      </c>
      <c r="D4019" t="str">
        <f>"9780773576261"</f>
        <v>9780773576261</v>
      </c>
      <c r="E4019" t="s">
        <v>12863</v>
      </c>
      <c r="F4019" t="s">
        <v>12863</v>
      </c>
      <c r="G4019" s="1">
        <v>38883</v>
      </c>
      <c r="I4019" t="s">
        <v>13068</v>
      </c>
      <c r="J4019" t="s">
        <v>20585</v>
      </c>
      <c r="K4019" t="s">
        <v>2312</v>
      </c>
      <c r="L4019" t="s">
        <v>20586</v>
      </c>
      <c r="M4019">
        <v>320.971</v>
      </c>
      <c r="N4019" t="s">
        <v>20448</v>
      </c>
      <c r="O4019" t="s">
        <v>26</v>
      </c>
      <c r="P4019">
        <v>49.43</v>
      </c>
      <c r="Q4019">
        <v>41.19</v>
      </c>
      <c r="R4019">
        <v>32.950000000000003</v>
      </c>
      <c r="S4019">
        <v>49.43</v>
      </c>
      <c r="T4019" t="s">
        <v>20587</v>
      </c>
    </row>
    <row r="4020" spans="1:20">
      <c r="A4020">
        <v>3332090</v>
      </c>
      <c r="B4020" t="s">
        <v>20588</v>
      </c>
      <c r="C4020" t="str">
        <f>"9780773531277"</f>
        <v>9780773531277</v>
      </c>
      <c r="D4020" t="str">
        <f>"9780773575776"</f>
        <v>9780773575776</v>
      </c>
      <c r="E4020" t="s">
        <v>12863</v>
      </c>
      <c r="F4020" t="s">
        <v>12863</v>
      </c>
      <c r="G4020" s="1">
        <v>38953</v>
      </c>
      <c r="J4020" t="s">
        <v>20589</v>
      </c>
      <c r="K4020" t="s">
        <v>291</v>
      </c>
      <c r="L4020" t="s">
        <v>20590</v>
      </c>
      <c r="M4020">
        <v>930.10919999999999</v>
      </c>
      <c r="N4020" t="s">
        <v>20591</v>
      </c>
      <c r="O4020" t="s">
        <v>26</v>
      </c>
      <c r="P4020">
        <v>44.93</v>
      </c>
      <c r="Q4020">
        <v>37.44</v>
      </c>
      <c r="R4020">
        <v>29.95</v>
      </c>
      <c r="S4020">
        <v>44.93</v>
      </c>
      <c r="T4020" t="s">
        <v>20592</v>
      </c>
    </row>
    <row r="4021" spans="1:20">
      <c r="A4021">
        <v>3332091</v>
      </c>
      <c r="B4021" t="s">
        <v>20593</v>
      </c>
      <c r="C4021" t="str">
        <f>"9780773531444"</f>
        <v>9780773531444</v>
      </c>
      <c r="D4021" t="str">
        <f>"9780773576933"</f>
        <v>9780773576933</v>
      </c>
      <c r="E4021" t="s">
        <v>12863</v>
      </c>
      <c r="F4021" t="s">
        <v>12863</v>
      </c>
      <c r="G4021" s="1">
        <v>38996</v>
      </c>
      <c r="J4021" t="s">
        <v>20594</v>
      </c>
      <c r="K4021" t="s">
        <v>278</v>
      </c>
      <c r="L4021" t="s">
        <v>20595</v>
      </c>
      <c r="M4021">
        <v>338.971</v>
      </c>
      <c r="N4021" t="s">
        <v>20596</v>
      </c>
      <c r="O4021" t="s">
        <v>26</v>
      </c>
      <c r="P4021">
        <v>142.5</v>
      </c>
      <c r="Q4021">
        <v>118.75</v>
      </c>
      <c r="R4021">
        <v>95</v>
      </c>
      <c r="S4021">
        <v>142.5</v>
      </c>
      <c r="T4021" t="s">
        <v>20597</v>
      </c>
    </row>
    <row r="4022" spans="1:20">
      <c r="A4022">
        <v>3332092</v>
      </c>
      <c r="B4022" t="s">
        <v>20598</v>
      </c>
      <c r="C4022" t="str">
        <f>"9780773530355"</f>
        <v>9780773530355</v>
      </c>
      <c r="D4022" t="str">
        <f>"9780773576940"</f>
        <v>9780773576940</v>
      </c>
      <c r="E4022" t="s">
        <v>12863</v>
      </c>
      <c r="F4022" t="s">
        <v>12863</v>
      </c>
      <c r="G4022" s="1">
        <v>38902</v>
      </c>
      <c r="J4022" t="s">
        <v>20599</v>
      </c>
      <c r="K4022" t="s">
        <v>4347</v>
      </c>
      <c r="L4022" t="s">
        <v>19644</v>
      </c>
      <c r="M4022">
        <v>355.03100000000001</v>
      </c>
      <c r="N4022" t="s">
        <v>20600</v>
      </c>
      <c r="O4022" t="s">
        <v>26</v>
      </c>
      <c r="P4022">
        <v>142.5</v>
      </c>
      <c r="Q4022">
        <v>118.75</v>
      </c>
      <c r="R4022">
        <v>95</v>
      </c>
      <c r="S4022">
        <v>142.5</v>
      </c>
      <c r="T4022" t="s">
        <v>20601</v>
      </c>
    </row>
    <row r="4023" spans="1:20">
      <c r="A4023">
        <v>3332093</v>
      </c>
      <c r="B4023" t="s">
        <v>20602</v>
      </c>
      <c r="C4023" t="str">
        <f>"9780773530676"</f>
        <v>9780773530676</v>
      </c>
      <c r="D4023" t="str">
        <f>"9780773577084"</f>
        <v>9780773577084</v>
      </c>
      <c r="E4023" t="s">
        <v>12863</v>
      </c>
      <c r="F4023" t="s">
        <v>12863</v>
      </c>
      <c r="G4023" s="1">
        <v>39036</v>
      </c>
      <c r="I4023" t="s">
        <v>13288</v>
      </c>
      <c r="J4023" t="s">
        <v>20603</v>
      </c>
      <c r="K4023" t="s">
        <v>263</v>
      </c>
      <c r="L4023" t="s">
        <v>20604</v>
      </c>
      <c r="M4023">
        <v>306.80971090330002</v>
      </c>
      <c r="N4023" t="s">
        <v>20605</v>
      </c>
      <c r="O4023" t="s">
        <v>94</v>
      </c>
      <c r="P4023">
        <v>150</v>
      </c>
      <c r="Q4023">
        <v>125</v>
      </c>
      <c r="R4023">
        <v>100</v>
      </c>
      <c r="S4023">
        <v>150</v>
      </c>
      <c r="T4023" t="s">
        <v>20606</v>
      </c>
    </row>
    <row r="4024" spans="1:20">
      <c r="A4024">
        <v>3332094</v>
      </c>
      <c r="B4024" t="s">
        <v>20607</v>
      </c>
      <c r="C4024" t="str">
        <f>"9780773530652"</f>
        <v>9780773530652</v>
      </c>
      <c r="D4024" t="str">
        <f>"9780773575868"</f>
        <v>9780773575868</v>
      </c>
      <c r="E4024" t="s">
        <v>12863</v>
      </c>
      <c r="F4024" t="s">
        <v>12863</v>
      </c>
      <c r="G4024" s="1">
        <v>38939</v>
      </c>
      <c r="J4024" t="s">
        <v>20608</v>
      </c>
      <c r="K4024" t="s">
        <v>263</v>
      </c>
      <c r="L4024" t="s">
        <v>20609</v>
      </c>
      <c r="M4024">
        <v>305.24208992407301</v>
      </c>
      <c r="N4024" t="s">
        <v>20610</v>
      </c>
      <c r="O4024" t="s">
        <v>26</v>
      </c>
      <c r="P4024">
        <v>44.93</v>
      </c>
      <c r="Q4024">
        <v>37.44</v>
      </c>
      <c r="R4024">
        <v>29.95</v>
      </c>
      <c r="S4024">
        <v>44.93</v>
      </c>
      <c r="T4024" t="s">
        <v>20611</v>
      </c>
    </row>
    <row r="4025" spans="1:20">
      <c r="A4025">
        <v>3332095</v>
      </c>
      <c r="B4025" t="s">
        <v>20612</v>
      </c>
      <c r="C4025" t="str">
        <f>"9780773525481"</f>
        <v>9780773525481</v>
      </c>
      <c r="D4025" t="str">
        <f>"9780773576919"</f>
        <v>9780773576919</v>
      </c>
      <c r="E4025" t="s">
        <v>12863</v>
      </c>
      <c r="F4025" t="s">
        <v>12863</v>
      </c>
      <c r="G4025" s="1">
        <v>38812</v>
      </c>
      <c r="J4025" t="s">
        <v>20613</v>
      </c>
      <c r="K4025" t="s">
        <v>1127</v>
      </c>
      <c r="L4025" t="s">
        <v>20614</v>
      </c>
      <c r="M4025">
        <v>155.91149999999999</v>
      </c>
      <c r="N4025" t="s">
        <v>20615</v>
      </c>
      <c r="O4025" t="s">
        <v>26</v>
      </c>
      <c r="P4025">
        <v>49.43</v>
      </c>
      <c r="Q4025">
        <v>41.19</v>
      </c>
      <c r="R4025">
        <v>32.950000000000003</v>
      </c>
      <c r="S4025">
        <v>49.43</v>
      </c>
      <c r="T4025" t="s">
        <v>20616</v>
      </c>
    </row>
    <row r="4026" spans="1:20">
      <c r="A4026">
        <v>3332096</v>
      </c>
      <c r="B4026" t="s">
        <v>20617</v>
      </c>
      <c r="C4026" t="str">
        <f>"9780773529687"</f>
        <v>9780773529687</v>
      </c>
      <c r="D4026" t="str">
        <f>"9780773576223"</f>
        <v>9780773576223</v>
      </c>
      <c r="E4026" t="s">
        <v>12863</v>
      </c>
      <c r="F4026" t="s">
        <v>12863</v>
      </c>
      <c r="G4026" s="1">
        <v>38812</v>
      </c>
      <c r="J4026" t="s">
        <v>20618</v>
      </c>
      <c r="K4026" t="s">
        <v>3860</v>
      </c>
      <c r="L4026" t="s">
        <v>20619</v>
      </c>
      <c r="M4026">
        <v>971.06092000000001</v>
      </c>
      <c r="N4026" t="s">
        <v>20620</v>
      </c>
      <c r="O4026" t="s">
        <v>26</v>
      </c>
      <c r="P4026">
        <v>59.93</v>
      </c>
      <c r="Q4026">
        <v>49.94</v>
      </c>
      <c r="R4026">
        <v>39.950000000000003</v>
      </c>
      <c r="S4026">
        <v>59.93</v>
      </c>
      <c r="T4026" t="s">
        <v>20621</v>
      </c>
    </row>
    <row r="4027" spans="1:20">
      <c r="A4027">
        <v>3332097</v>
      </c>
      <c r="B4027" t="s">
        <v>20622</v>
      </c>
      <c r="C4027" t="str">
        <f>"9780773531512"</f>
        <v>9780773531512</v>
      </c>
      <c r="D4027" t="str">
        <f>"9780773576193"</f>
        <v>9780773576193</v>
      </c>
      <c r="E4027" t="s">
        <v>12863</v>
      </c>
      <c r="F4027" t="s">
        <v>12863</v>
      </c>
      <c r="G4027" s="1">
        <v>39036</v>
      </c>
      <c r="J4027" t="s">
        <v>20623</v>
      </c>
      <c r="K4027" t="s">
        <v>291</v>
      </c>
      <c r="L4027" t="s">
        <v>19836</v>
      </c>
      <c r="M4027">
        <v>971.82</v>
      </c>
      <c r="N4027" t="s">
        <v>20624</v>
      </c>
      <c r="O4027" t="s">
        <v>26</v>
      </c>
      <c r="P4027">
        <v>44.93</v>
      </c>
      <c r="Q4027">
        <v>37.44</v>
      </c>
      <c r="R4027">
        <v>29.95</v>
      </c>
      <c r="S4027">
        <v>44.93</v>
      </c>
      <c r="T4027" t="s">
        <v>20625</v>
      </c>
    </row>
    <row r="4028" spans="1:20">
      <c r="A4028">
        <v>3332098</v>
      </c>
      <c r="B4028" t="s">
        <v>20626</v>
      </c>
      <c r="C4028" t="str">
        <f>"9780773530553"</f>
        <v>9780773530553</v>
      </c>
      <c r="D4028" t="str">
        <f>"9780773575790"</f>
        <v>9780773575790</v>
      </c>
      <c r="E4028" t="s">
        <v>12863</v>
      </c>
      <c r="F4028" t="s">
        <v>12863</v>
      </c>
      <c r="G4028" s="1">
        <v>38811</v>
      </c>
      <c r="J4028" t="s">
        <v>20627</v>
      </c>
      <c r="K4028" t="s">
        <v>257</v>
      </c>
      <c r="L4028" t="s">
        <v>20628</v>
      </c>
      <c r="M4028">
        <v>378.712445</v>
      </c>
      <c r="N4028" t="s">
        <v>20629</v>
      </c>
      <c r="O4028" t="s">
        <v>26</v>
      </c>
      <c r="P4028">
        <v>90</v>
      </c>
      <c r="Q4028">
        <v>75</v>
      </c>
      <c r="R4028">
        <v>60</v>
      </c>
      <c r="S4028">
        <v>90</v>
      </c>
      <c r="T4028" t="s">
        <v>20630</v>
      </c>
    </row>
    <row r="4029" spans="1:20">
      <c r="A4029">
        <v>3332099</v>
      </c>
      <c r="B4029" t="s">
        <v>20631</v>
      </c>
      <c r="C4029" t="str">
        <f>"9780773531246"</f>
        <v>9780773531246</v>
      </c>
      <c r="D4029" t="str">
        <f>"9780773577091"</f>
        <v>9780773577091</v>
      </c>
      <c r="E4029" t="s">
        <v>12863</v>
      </c>
      <c r="F4029" t="s">
        <v>12863</v>
      </c>
      <c r="G4029" s="1">
        <v>38996</v>
      </c>
      <c r="I4029" t="s">
        <v>12942</v>
      </c>
      <c r="J4029" t="s">
        <v>20632</v>
      </c>
      <c r="K4029" t="s">
        <v>291</v>
      </c>
      <c r="L4029" t="s">
        <v>20633</v>
      </c>
      <c r="M4029">
        <v>971.800431</v>
      </c>
      <c r="N4029" t="s">
        <v>20634</v>
      </c>
      <c r="O4029" t="s">
        <v>26</v>
      </c>
      <c r="P4029">
        <v>44.93</v>
      </c>
      <c r="Q4029">
        <v>37.44</v>
      </c>
      <c r="R4029">
        <v>29.95</v>
      </c>
      <c r="S4029">
        <v>44.93</v>
      </c>
      <c r="T4029" t="s">
        <v>20635</v>
      </c>
    </row>
    <row r="4030" spans="1:20">
      <c r="A4030">
        <v>3332100</v>
      </c>
      <c r="B4030" t="s">
        <v>20636</v>
      </c>
      <c r="C4030" t="str">
        <f>"9780773530768"</f>
        <v>9780773530768</v>
      </c>
      <c r="D4030" t="str">
        <f>"9780773576667"</f>
        <v>9780773576667</v>
      </c>
      <c r="E4030" t="s">
        <v>12907</v>
      </c>
      <c r="F4030" t="s">
        <v>12907</v>
      </c>
      <c r="G4030" s="1">
        <v>39027</v>
      </c>
      <c r="I4030" t="s">
        <v>19527</v>
      </c>
      <c r="J4030" t="s">
        <v>6049</v>
      </c>
      <c r="K4030" t="s">
        <v>291</v>
      </c>
      <c r="L4030" t="s">
        <v>20637</v>
      </c>
      <c r="M4030">
        <v>944.08159999999998</v>
      </c>
      <c r="N4030" t="s">
        <v>20638</v>
      </c>
      <c r="O4030" t="s">
        <v>26</v>
      </c>
      <c r="P4030">
        <v>142.5</v>
      </c>
      <c r="Q4030">
        <v>118.75</v>
      </c>
      <c r="R4030">
        <v>95</v>
      </c>
      <c r="S4030">
        <v>142.5</v>
      </c>
      <c r="T4030" t="s">
        <v>20639</v>
      </c>
    </row>
    <row r="4031" spans="1:20">
      <c r="A4031">
        <v>3332101</v>
      </c>
      <c r="B4031" t="s">
        <v>20640</v>
      </c>
      <c r="C4031" t="str">
        <f>"9780773531123"</f>
        <v>9780773531123</v>
      </c>
      <c r="D4031" t="str">
        <f>"9780773575905"</f>
        <v>9780773575905</v>
      </c>
      <c r="E4031" t="s">
        <v>12863</v>
      </c>
      <c r="F4031" t="s">
        <v>12863</v>
      </c>
      <c r="G4031" s="1">
        <v>39001</v>
      </c>
      <c r="J4031" t="s">
        <v>20641</v>
      </c>
      <c r="K4031" t="s">
        <v>1530</v>
      </c>
      <c r="L4031" t="s">
        <v>20642</v>
      </c>
      <c r="M4031">
        <v>305.80097130000001</v>
      </c>
      <c r="N4031" t="s">
        <v>20643</v>
      </c>
      <c r="O4031" t="s">
        <v>26</v>
      </c>
      <c r="P4031">
        <v>142.5</v>
      </c>
      <c r="Q4031">
        <v>118.75</v>
      </c>
      <c r="R4031">
        <v>95</v>
      </c>
      <c r="S4031">
        <v>142.5</v>
      </c>
      <c r="T4031" t="s">
        <v>20644</v>
      </c>
    </row>
    <row r="4032" spans="1:20">
      <c r="A4032">
        <v>3332102</v>
      </c>
      <c r="B4032" t="s">
        <v>20645</v>
      </c>
      <c r="C4032" t="str">
        <f>"9780773531307"</f>
        <v>9780773531307</v>
      </c>
      <c r="D4032" t="str">
        <f>"9780773576643"</f>
        <v>9780773576643</v>
      </c>
      <c r="E4032" t="s">
        <v>12863</v>
      </c>
      <c r="F4032" t="s">
        <v>12863</v>
      </c>
      <c r="G4032" s="1">
        <v>38952</v>
      </c>
      <c r="J4032" t="s">
        <v>20646</v>
      </c>
      <c r="K4032" t="s">
        <v>291</v>
      </c>
      <c r="L4032" t="s">
        <v>20647</v>
      </c>
      <c r="M4032">
        <v>941.07</v>
      </c>
      <c r="N4032" t="s">
        <v>20648</v>
      </c>
      <c r="O4032" t="s">
        <v>26</v>
      </c>
      <c r="P4032">
        <v>142.5</v>
      </c>
      <c r="Q4032">
        <v>118.75</v>
      </c>
      <c r="R4032">
        <v>95</v>
      </c>
      <c r="S4032">
        <v>142.5</v>
      </c>
      <c r="T4032" t="s">
        <v>20649</v>
      </c>
    </row>
    <row r="4033" spans="1:20">
      <c r="A4033">
        <v>3332103</v>
      </c>
      <c r="B4033" t="s">
        <v>20650</v>
      </c>
      <c r="C4033" t="str">
        <f>"9780773530317"</f>
        <v>9780773530317</v>
      </c>
      <c r="D4033" t="str">
        <f>"9780773577107"</f>
        <v>9780773577107</v>
      </c>
      <c r="E4033" t="s">
        <v>12863</v>
      </c>
      <c r="F4033" t="s">
        <v>12863</v>
      </c>
      <c r="G4033" s="1">
        <v>38807</v>
      </c>
      <c r="J4033" t="s">
        <v>20651</v>
      </c>
      <c r="K4033" t="s">
        <v>1464</v>
      </c>
      <c r="L4033" t="s">
        <v>20652</v>
      </c>
      <c r="M4033">
        <v>843.54093552081997</v>
      </c>
      <c r="N4033" t="s">
        <v>20653</v>
      </c>
      <c r="O4033" t="s">
        <v>26</v>
      </c>
      <c r="P4033">
        <v>142.5</v>
      </c>
      <c r="Q4033">
        <v>118.75</v>
      </c>
      <c r="R4033">
        <v>95</v>
      </c>
      <c r="S4033">
        <v>142.5</v>
      </c>
      <c r="T4033" t="s">
        <v>20654</v>
      </c>
    </row>
    <row r="4034" spans="1:20">
      <c r="A4034">
        <v>3332104</v>
      </c>
      <c r="B4034" t="s">
        <v>20655</v>
      </c>
      <c r="C4034" t="str">
        <f>"9780773531284"</f>
        <v>9780773531284</v>
      </c>
      <c r="D4034" t="str">
        <f>"9780773575455"</f>
        <v>9780773575455</v>
      </c>
      <c r="E4034" t="s">
        <v>12863</v>
      </c>
      <c r="F4034" t="s">
        <v>12863</v>
      </c>
      <c r="G4034" s="1">
        <v>38938</v>
      </c>
      <c r="H4034" t="s">
        <v>18238</v>
      </c>
      <c r="J4034" t="s">
        <v>20656</v>
      </c>
      <c r="K4034" t="s">
        <v>2260</v>
      </c>
      <c r="L4034" t="s">
        <v>20657</v>
      </c>
      <c r="M4034">
        <v>616.12043022199998</v>
      </c>
      <c r="N4034" t="s">
        <v>20658</v>
      </c>
      <c r="O4034" t="s">
        <v>26</v>
      </c>
      <c r="P4034">
        <v>142.5</v>
      </c>
      <c r="Q4034">
        <v>118.75</v>
      </c>
      <c r="R4034">
        <v>95</v>
      </c>
      <c r="S4034">
        <v>142.5</v>
      </c>
      <c r="T4034" t="s">
        <v>20659</v>
      </c>
    </row>
    <row r="4035" spans="1:20">
      <c r="A4035">
        <v>3332105</v>
      </c>
      <c r="B4035" t="s">
        <v>20660</v>
      </c>
      <c r="C4035" t="str">
        <f>"9780773531024"</f>
        <v>9780773531024</v>
      </c>
      <c r="D4035" t="str">
        <f>"9780773575929"</f>
        <v>9780773575929</v>
      </c>
      <c r="E4035" t="s">
        <v>12863</v>
      </c>
      <c r="F4035" t="s">
        <v>12863</v>
      </c>
      <c r="G4035" s="1">
        <v>38887</v>
      </c>
      <c r="J4035" t="s">
        <v>20661</v>
      </c>
      <c r="K4035" t="s">
        <v>6304</v>
      </c>
      <c r="L4035" t="s">
        <v>13383</v>
      </c>
      <c r="M4035">
        <v>306.44970999999998</v>
      </c>
      <c r="N4035" t="s">
        <v>20662</v>
      </c>
      <c r="O4035" t="s">
        <v>26</v>
      </c>
      <c r="P4035">
        <v>142.5</v>
      </c>
      <c r="Q4035">
        <v>118.75</v>
      </c>
      <c r="R4035">
        <v>95</v>
      </c>
      <c r="S4035">
        <v>142.5</v>
      </c>
      <c r="T4035" t="s">
        <v>20663</v>
      </c>
    </row>
    <row r="4036" spans="1:20">
      <c r="A4036">
        <v>3332106</v>
      </c>
      <c r="B4036" t="s">
        <v>20664</v>
      </c>
      <c r="C4036" t="str">
        <f>"9780773529656"</f>
        <v>9780773529656</v>
      </c>
      <c r="D4036" t="str">
        <f>"9780773576728"</f>
        <v>9780773576728</v>
      </c>
      <c r="E4036" t="s">
        <v>12863</v>
      </c>
      <c r="F4036" t="s">
        <v>12863</v>
      </c>
      <c r="G4036" s="1">
        <v>38779</v>
      </c>
      <c r="I4036" t="s">
        <v>12963</v>
      </c>
      <c r="J4036" t="s">
        <v>20665</v>
      </c>
      <c r="K4036" t="s">
        <v>2963</v>
      </c>
      <c r="L4036" t="s">
        <v>14160</v>
      </c>
      <c r="M4036">
        <v>901</v>
      </c>
      <c r="N4036" t="s">
        <v>20666</v>
      </c>
      <c r="O4036" t="s">
        <v>26</v>
      </c>
      <c r="P4036">
        <v>142.5</v>
      </c>
      <c r="Q4036">
        <v>118.75</v>
      </c>
      <c r="R4036">
        <v>95</v>
      </c>
      <c r="S4036">
        <v>142.5</v>
      </c>
      <c r="T4036" t="s">
        <v>20667</v>
      </c>
    </row>
    <row r="4037" spans="1:20">
      <c r="A4037">
        <v>3332107</v>
      </c>
      <c r="B4037" t="s">
        <v>20668</v>
      </c>
      <c r="C4037" t="str">
        <f>"9780773532434"</f>
        <v>9780773532434</v>
      </c>
      <c r="D4037" t="str">
        <f>"9780773576230"</f>
        <v>9780773576230</v>
      </c>
      <c r="E4037" t="s">
        <v>12863</v>
      </c>
      <c r="F4037" t="s">
        <v>12863</v>
      </c>
      <c r="G4037" s="1">
        <v>39146</v>
      </c>
      <c r="I4037" t="s">
        <v>18279</v>
      </c>
      <c r="J4037" t="s">
        <v>20669</v>
      </c>
      <c r="K4037" t="s">
        <v>1892</v>
      </c>
      <c r="L4037" t="s">
        <v>20670</v>
      </c>
      <c r="M4037">
        <v>271.53019999999998</v>
      </c>
      <c r="N4037" t="s">
        <v>20671</v>
      </c>
      <c r="O4037" t="s">
        <v>26</v>
      </c>
      <c r="P4037">
        <v>52.43</v>
      </c>
      <c r="Q4037">
        <v>43.69</v>
      </c>
      <c r="R4037">
        <v>34.950000000000003</v>
      </c>
      <c r="S4037">
        <v>52.43</v>
      </c>
      <c r="T4037" t="s">
        <v>20672</v>
      </c>
    </row>
    <row r="4038" spans="1:20">
      <c r="A4038">
        <v>3332108</v>
      </c>
      <c r="B4038" t="s">
        <v>20673</v>
      </c>
      <c r="C4038" t="str">
        <f>"9780773531901"</f>
        <v>9780773531901</v>
      </c>
      <c r="D4038" t="str">
        <f>"9780773576063"</f>
        <v>9780773576063</v>
      </c>
      <c r="E4038" t="s">
        <v>12863</v>
      </c>
      <c r="F4038" t="s">
        <v>12863</v>
      </c>
      <c r="G4038" s="1">
        <v>39122</v>
      </c>
      <c r="J4038" t="s">
        <v>20674</v>
      </c>
      <c r="K4038" t="s">
        <v>1471</v>
      </c>
      <c r="L4038" t="s">
        <v>20675</v>
      </c>
      <c r="M4038">
        <v>780.92</v>
      </c>
      <c r="N4038" t="s">
        <v>20676</v>
      </c>
      <c r="O4038" t="s">
        <v>26</v>
      </c>
      <c r="P4038">
        <v>52.43</v>
      </c>
      <c r="Q4038">
        <v>43.69</v>
      </c>
      <c r="R4038">
        <v>34.950000000000003</v>
      </c>
      <c r="S4038">
        <v>52.43</v>
      </c>
      <c r="T4038" t="s">
        <v>20677</v>
      </c>
    </row>
    <row r="4039" spans="1:20">
      <c r="A4039">
        <v>3332109</v>
      </c>
      <c r="B4039" t="s">
        <v>20678</v>
      </c>
      <c r="C4039" t="str">
        <f>"9780773531017"</f>
        <v>9780773531017</v>
      </c>
      <c r="D4039" t="str">
        <f>"9780773575653"</f>
        <v>9780773575653</v>
      </c>
      <c r="E4039" t="s">
        <v>12863</v>
      </c>
      <c r="F4039" t="s">
        <v>12863</v>
      </c>
      <c r="G4039" s="1">
        <v>38866</v>
      </c>
      <c r="J4039" t="s">
        <v>20679</v>
      </c>
      <c r="K4039" t="s">
        <v>20680</v>
      </c>
      <c r="L4039" t="s">
        <v>20681</v>
      </c>
      <c r="M4039">
        <v>340.11200000000002</v>
      </c>
      <c r="N4039" t="s">
        <v>20682</v>
      </c>
      <c r="O4039" t="s">
        <v>26</v>
      </c>
      <c r="P4039">
        <v>142.5</v>
      </c>
      <c r="Q4039">
        <v>118.75</v>
      </c>
      <c r="R4039">
        <v>95</v>
      </c>
      <c r="S4039">
        <v>142.5</v>
      </c>
      <c r="T4039" t="s">
        <v>20683</v>
      </c>
    </row>
    <row r="4040" spans="1:20">
      <c r="A4040">
        <v>3332110</v>
      </c>
      <c r="B4040" t="s">
        <v>20684</v>
      </c>
      <c r="C4040" t="str">
        <f>"9780773532335"</f>
        <v>9780773532335</v>
      </c>
      <c r="D4040" t="str">
        <f>"9780773576780"</f>
        <v>9780773576780</v>
      </c>
      <c r="E4040" t="s">
        <v>12863</v>
      </c>
      <c r="F4040" t="s">
        <v>12863</v>
      </c>
      <c r="G4040" s="1">
        <v>39435</v>
      </c>
      <c r="I4040" t="s">
        <v>12871</v>
      </c>
      <c r="J4040" t="s">
        <v>20685</v>
      </c>
      <c r="K4040" t="s">
        <v>155</v>
      </c>
      <c r="L4040" t="s">
        <v>20686</v>
      </c>
      <c r="M4040">
        <v>599.65809714110003</v>
      </c>
      <c r="N4040" t="s">
        <v>20687</v>
      </c>
      <c r="O4040" t="s">
        <v>26</v>
      </c>
      <c r="P4040">
        <v>82.5</v>
      </c>
      <c r="Q4040">
        <v>68.75</v>
      </c>
      <c r="R4040">
        <v>55</v>
      </c>
      <c r="S4040">
        <v>82.5</v>
      </c>
      <c r="T4040" t="s">
        <v>20688</v>
      </c>
    </row>
    <row r="4041" spans="1:20">
      <c r="A4041">
        <v>3332111</v>
      </c>
      <c r="B4041" t="s">
        <v>20689</v>
      </c>
      <c r="C4041" t="str">
        <f>"9780773531192"</f>
        <v>9780773531192</v>
      </c>
      <c r="D4041" t="str">
        <f>"9780773575660"</f>
        <v>9780773575660</v>
      </c>
      <c r="E4041" t="s">
        <v>12863</v>
      </c>
      <c r="F4041" t="s">
        <v>12863</v>
      </c>
      <c r="G4041" s="1">
        <v>39293</v>
      </c>
      <c r="J4041" t="s">
        <v>20690</v>
      </c>
      <c r="K4041" t="s">
        <v>1471</v>
      </c>
      <c r="L4041" t="s">
        <v>20691</v>
      </c>
      <c r="M4041">
        <v>770.92</v>
      </c>
      <c r="N4041" t="s">
        <v>20692</v>
      </c>
      <c r="O4041" t="s">
        <v>26</v>
      </c>
      <c r="P4041">
        <v>74.930000000000007</v>
      </c>
      <c r="Q4041">
        <v>62.44</v>
      </c>
      <c r="R4041">
        <v>49.95</v>
      </c>
      <c r="S4041">
        <v>74.930000000000007</v>
      </c>
      <c r="T4041" t="s">
        <v>20693</v>
      </c>
    </row>
    <row r="4042" spans="1:20">
      <c r="A4042">
        <v>3332112</v>
      </c>
      <c r="B4042" t="s">
        <v>20694</v>
      </c>
      <c r="C4042" t="str">
        <f>"9780773532120"</f>
        <v>9780773532120</v>
      </c>
      <c r="D4042" t="str">
        <f>"9780773576476"</f>
        <v>9780773576476</v>
      </c>
      <c r="E4042" t="s">
        <v>12863</v>
      </c>
      <c r="F4042" t="s">
        <v>12863</v>
      </c>
      <c r="G4042" s="1">
        <v>39188</v>
      </c>
      <c r="I4042" t="s">
        <v>12864</v>
      </c>
      <c r="J4042" t="s">
        <v>20695</v>
      </c>
      <c r="K4042" t="s">
        <v>1082</v>
      </c>
      <c r="L4042" t="s">
        <v>20696</v>
      </c>
      <c r="M4042">
        <v>362.19748208609701</v>
      </c>
      <c r="N4042" t="s">
        <v>20697</v>
      </c>
      <c r="O4042" t="s">
        <v>26</v>
      </c>
      <c r="P4042">
        <v>44.93</v>
      </c>
      <c r="Q4042">
        <v>37.44</v>
      </c>
      <c r="R4042">
        <v>29.95</v>
      </c>
      <c r="S4042">
        <v>44.93</v>
      </c>
      <c r="T4042" t="s">
        <v>20698</v>
      </c>
    </row>
    <row r="4043" spans="1:20">
      <c r="A4043">
        <v>3332113</v>
      </c>
      <c r="B4043" t="s">
        <v>20699</v>
      </c>
      <c r="C4043" t="str">
        <f>"9780773531130"</f>
        <v>9780773531130</v>
      </c>
      <c r="D4043" t="str">
        <f>"9780773575851"</f>
        <v>9780773575851</v>
      </c>
      <c r="E4043" t="s">
        <v>12863</v>
      </c>
      <c r="F4043" t="s">
        <v>12863</v>
      </c>
      <c r="G4043" s="1">
        <v>39122</v>
      </c>
      <c r="J4043" t="s">
        <v>20700</v>
      </c>
      <c r="K4043" t="s">
        <v>1471</v>
      </c>
      <c r="L4043" t="s">
        <v>20701</v>
      </c>
      <c r="M4043">
        <v>758.99402744999998</v>
      </c>
      <c r="N4043" t="s">
        <v>20702</v>
      </c>
      <c r="O4043" t="s">
        <v>26</v>
      </c>
      <c r="P4043">
        <v>142.5</v>
      </c>
      <c r="Q4043">
        <v>118.75</v>
      </c>
      <c r="R4043">
        <v>95</v>
      </c>
      <c r="S4043">
        <v>142.5</v>
      </c>
      <c r="T4043" t="s">
        <v>20703</v>
      </c>
    </row>
    <row r="4044" spans="1:20">
      <c r="A4044">
        <v>3332114</v>
      </c>
      <c r="B4044" t="s">
        <v>20704</v>
      </c>
      <c r="C4044" t="str">
        <f>"9780773531970"</f>
        <v>9780773531970</v>
      </c>
      <c r="D4044" t="str">
        <f>"9780773575998"</f>
        <v>9780773575998</v>
      </c>
      <c r="E4044" t="s">
        <v>12863</v>
      </c>
      <c r="F4044" t="s">
        <v>12863</v>
      </c>
      <c r="G4044" s="1">
        <v>39254</v>
      </c>
      <c r="J4044" t="s">
        <v>20705</v>
      </c>
      <c r="K4044" t="s">
        <v>1471</v>
      </c>
      <c r="L4044" t="s">
        <v>20706</v>
      </c>
      <c r="M4044">
        <v>791.50950999999998</v>
      </c>
      <c r="N4044" t="s">
        <v>20707</v>
      </c>
      <c r="O4044" t="s">
        <v>26</v>
      </c>
      <c r="P4044">
        <v>142.5</v>
      </c>
      <c r="Q4044">
        <v>118.75</v>
      </c>
      <c r="R4044">
        <v>95</v>
      </c>
      <c r="S4044">
        <v>142.5</v>
      </c>
      <c r="T4044" t="s">
        <v>20708</v>
      </c>
    </row>
    <row r="4045" spans="1:20">
      <c r="A4045">
        <v>3332115</v>
      </c>
      <c r="B4045" t="s">
        <v>20709</v>
      </c>
      <c r="C4045" t="str">
        <f>"9780773531239"</f>
        <v>9780773531239</v>
      </c>
      <c r="D4045" t="str">
        <f>"9780773576506"</f>
        <v>9780773576506</v>
      </c>
      <c r="E4045" t="s">
        <v>12863</v>
      </c>
      <c r="F4045" t="s">
        <v>12863</v>
      </c>
      <c r="G4045" s="1">
        <v>39090</v>
      </c>
      <c r="J4045" t="s">
        <v>20710</v>
      </c>
      <c r="K4045" t="s">
        <v>1464</v>
      </c>
      <c r="L4045" t="s">
        <v>20711</v>
      </c>
      <c r="M4045">
        <v>891.70911309048995</v>
      </c>
      <c r="N4045" t="s">
        <v>20712</v>
      </c>
      <c r="O4045" t="s">
        <v>26</v>
      </c>
      <c r="P4045">
        <v>142.5</v>
      </c>
      <c r="Q4045">
        <v>118.75</v>
      </c>
      <c r="R4045">
        <v>95</v>
      </c>
      <c r="S4045">
        <v>142.5</v>
      </c>
      <c r="T4045" t="s">
        <v>20713</v>
      </c>
    </row>
    <row r="4046" spans="1:20">
      <c r="A4046">
        <v>3332116</v>
      </c>
      <c r="B4046" t="s">
        <v>20714</v>
      </c>
      <c r="C4046" t="str">
        <f>"9780773531871"</f>
        <v>9780773531871</v>
      </c>
      <c r="D4046" t="str">
        <f>"9780773576612"</f>
        <v>9780773576612</v>
      </c>
      <c r="E4046" t="s">
        <v>12863</v>
      </c>
      <c r="F4046" t="s">
        <v>12863</v>
      </c>
      <c r="G4046" s="1">
        <v>39148</v>
      </c>
      <c r="J4046" t="s">
        <v>20715</v>
      </c>
      <c r="K4046" t="s">
        <v>1464</v>
      </c>
      <c r="L4046" t="s">
        <v>20716</v>
      </c>
      <c r="M4046">
        <v>811.6</v>
      </c>
      <c r="N4046" t="s">
        <v>20717</v>
      </c>
      <c r="O4046" t="s">
        <v>26</v>
      </c>
      <c r="P4046">
        <v>142.5</v>
      </c>
      <c r="Q4046">
        <v>118.75</v>
      </c>
      <c r="R4046">
        <v>95</v>
      </c>
      <c r="S4046">
        <v>142.5</v>
      </c>
      <c r="T4046" t="s">
        <v>20718</v>
      </c>
    </row>
    <row r="4047" spans="1:20">
      <c r="A4047">
        <v>3332117</v>
      </c>
      <c r="B4047" t="s">
        <v>20719</v>
      </c>
      <c r="C4047" t="str">
        <f>"9780773532892"</f>
        <v>9780773532892</v>
      </c>
      <c r="D4047" t="str">
        <f>"9780773575714"</f>
        <v>9780773575714</v>
      </c>
      <c r="E4047" t="s">
        <v>12863</v>
      </c>
      <c r="F4047" t="s">
        <v>12863</v>
      </c>
      <c r="G4047" s="1">
        <v>39381</v>
      </c>
      <c r="J4047" t="s">
        <v>20720</v>
      </c>
      <c r="K4047" t="s">
        <v>1464</v>
      </c>
      <c r="L4047" t="s">
        <v>20721</v>
      </c>
      <c r="M4047">
        <v>813.01090539999996</v>
      </c>
      <c r="N4047" t="s">
        <v>20722</v>
      </c>
      <c r="O4047" t="s">
        <v>26</v>
      </c>
      <c r="P4047">
        <v>142.5</v>
      </c>
      <c r="Q4047">
        <v>118.75</v>
      </c>
      <c r="R4047">
        <v>95</v>
      </c>
      <c r="S4047">
        <v>142.5</v>
      </c>
      <c r="T4047" t="s">
        <v>20723</v>
      </c>
    </row>
    <row r="4048" spans="1:20">
      <c r="A4048">
        <v>3332118</v>
      </c>
      <c r="B4048" t="s">
        <v>20724</v>
      </c>
      <c r="C4048" t="str">
        <f>"9780773532755"</f>
        <v>9780773532755</v>
      </c>
      <c r="D4048" t="str">
        <f>"9780773575646"</f>
        <v>9780773575646</v>
      </c>
      <c r="E4048" t="s">
        <v>12863</v>
      </c>
      <c r="F4048" t="s">
        <v>12863</v>
      </c>
      <c r="G4048" s="1">
        <v>39388</v>
      </c>
      <c r="J4048" t="s">
        <v>20725</v>
      </c>
      <c r="K4048" t="s">
        <v>1471</v>
      </c>
      <c r="L4048" t="s">
        <v>20726</v>
      </c>
      <c r="M4048">
        <v>759.94920000000002</v>
      </c>
      <c r="N4048" t="s">
        <v>20727</v>
      </c>
      <c r="O4048" t="s">
        <v>26</v>
      </c>
      <c r="P4048">
        <v>240</v>
      </c>
      <c r="Q4048">
        <v>200</v>
      </c>
      <c r="R4048">
        <v>160</v>
      </c>
      <c r="S4048">
        <v>240</v>
      </c>
      <c r="T4048" t="s">
        <v>20728</v>
      </c>
    </row>
    <row r="4049" spans="1:20">
      <c r="A4049">
        <v>3332119</v>
      </c>
      <c r="B4049" t="s">
        <v>20729</v>
      </c>
      <c r="C4049" t="str">
        <f>"9780773532748"</f>
        <v>9780773532748</v>
      </c>
      <c r="D4049" t="str">
        <f>"9780773575509"</f>
        <v>9780773575509</v>
      </c>
      <c r="E4049" t="s">
        <v>12863</v>
      </c>
      <c r="F4049" t="s">
        <v>12863</v>
      </c>
      <c r="G4049" s="1">
        <v>39374</v>
      </c>
      <c r="J4049" t="s">
        <v>17279</v>
      </c>
      <c r="K4049" t="s">
        <v>1892</v>
      </c>
      <c r="L4049" t="s">
        <v>20730</v>
      </c>
      <c r="M4049">
        <v>271.97000000000003</v>
      </c>
      <c r="N4049" t="s">
        <v>20731</v>
      </c>
      <c r="O4049" t="s">
        <v>26</v>
      </c>
      <c r="P4049">
        <v>142.5</v>
      </c>
      <c r="Q4049">
        <v>118.75</v>
      </c>
      <c r="R4049">
        <v>95</v>
      </c>
      <c r="S4049">
        <v>142.5</v>
      </c>
      <c r="T4049" t="s">
        <v>20732</v>
      </c>
    </row>
    <row r="4050" spans="1:20">
      <c r="A4050">
        <v>3332120</v>
      </c>
      <c r="B4050" t="s">
        <v>20733</v>
      </c>
      <c r="C4050" t="str">
        <f>"9780773535183"</f>
        <v>9780773535183</v>
      </c>
      <c r="D4050" t="str">
        <f>"9780773576568"</f>
        <v>9780773576568</v>
      </c>
      <c r="E4050" t="s">
        <v>12863</v>
      </c>
      <c r="F4050" t="s">
        <v>12863</v>
      </c>
      <c r="G4050" s="1">
        <v>39600</v>
      </c>
      <c r="J4050" t="s">
        <v>20734</v>
      </c>
      <c r="K4050" t="s">
        <v>1150</v>
      </c>
      <c r="L4050" t="s">
        <v>20735</v>
      </c>
      <c r="M4050">
        <v>796.48</v>
      </c>
      <c r="N4050" t="s">
        <v>20736</v>
      </c>
      <c r="O4050" t="s">
        <v>26</v>
      </c>
      <c r="P4050">
        <v>67.430000000000007</v>
      </c>
      <c r="Q4050">
        <v>56.19</v>
      </c>
      <c r="R4050">
        <v>44.95</v>
      </c>
      <c r="S4050">
        <v>67.430000000000007</v>
      </c>
      <c r="T4050" t="s">
        <v>20737</v>
      </c>
    </row>
    <row r="4051" spans="1:20">
      <c r="A4051">
        <v>3332121</v>
      </c>
      <c r="B4051" t="s">
        <v>20738</v>
      </c>
      <c r="C4051" t="str">
        <f>"9780773534162"</f>
        <v>9780773534162</v>
      </c>
      <c r="D4051" t="str">
        <f>"9780773577244"</f>
        <v>9780773577244</v>
      </c>
      <c r="E4051" t="s">
        <v>12863</v>
      </c>
      <c r="F4051" t="s">
        <v>12863</v>
      </c>
      <c r="G4051" s="1">
        <v>39793</v>
      </c>
      <c r="J4051" t="s">
        <v>20739</v>
      </c>
      <c r="K4051" t="s">
        <v>257</v>
      </c>
      <c r="L4051" t="s">
        <v>20740</v>
      </c>
      <c r="M4051">
        <v>378.71354100000002</v>
      </c>
      <c r="N4051" t="s">
        <v>20741</v>
      </c>
      <c r="O4051" t="s">
        <v>26</v>
      </c>
      <c r="P4051">
        <v>74.930000000000007</v>
      </c>
      <c r="Q4051">
        <v>62.44</v>
      </c>
      <c r="R4051">
        <v>49.95</v>
      </c>
      <c r="S4051">
        <v>74.930000000000007</v>
      </c>
      <c r="T4051" t="s">
        <v>20742</v>
      </c>
    </row>
    <row r="4052" spans="1:20">
      <c r="A4052">
        <v>3332122</v>
      </c>
      <c r="B4052" t="s">
        <v>20743</v>
      </c>
      <c r="C4052" t="str">
        <f>"9780773534568"</f>
        <v>9780773534568</v>
      </c>
      <c r="D4052" t="str">
        <f>"9780773577138"</f>
        <v>9780773577138</v>
      </c>
      <c r="E4052" t="s">
        <v>12863</v>
      </c>
      <c r="F4052" t="s">
        <v>12863</v>
      </c>
      <c r="G4052" s="1">
        <v>39772</v>
      </c>
      <c r="J4052" t="s">
        <v>20744</v>
      </c>
      <c r="K4052" t="s">
        <v>1464</v>
      </c>
      <c r="L4052" t="s">
        <v>20745</v>
      </c>
      <c r="M4052">
        <v>811.54093548000003</v>
      </c>
      <c r="N4052" t="s">
        <v>20746</v>
      </c>
      <c r="O4052" t="s">
        <v>26</v>
      </c>
      <c r="P4052">
        <v>142.5</v>
      </c>
      <c r="Q4052">
        <v>118.75</v>
      </c>
      <c r="R4052">
        <v>95</v>
      </c>
      <c r="S4052">
        <v>142.5</v>
      </c>
      <c r="T4052" t="s">
        <v>20747</v>
      </c>
    </row>
    <row r="4053" spans="1:20">
      <c r="A4053">
        <v>3332123</v>
      </c>
      <c r="B4053" t="s">
        <v>20748</v>
      </c>
      <c r="C4053" t="str">
        <f>"9780773535275"</f>
        <v>9780773535275</v>
      </c>
      <c r="D4053" t="str">
        <f>"9780773575356"</f>
        <v>9780773575356</v>
      </c>
      <c r="E4053" t="s">
        <v>12907</v>
      </c>
      <c r="F4053" t="s">
        <v>12907</v>
      </c>
      <c r="G4053" s="1">
        <v>39904</v>
      </c>
      <c r="H4053">
        <v>2</v>
      </c>
      <c r="J4053" t="s">
        <v>20749</v>
      </c>
      <c r="K4053" t="s">
        <v>467</v>
      </c>
      <c r="L4053" t="s">
        <v>20750</v>
      </c>
      <c r="M4053">
        <v>320</v>
      </c>
      <c r="N4053" t="s">
        <v>20751</v>
      </c>
      <c r="O4053" t="s">
        <v>26</v>
      </c>
      <c r="P4053">
        <v>142.5</v>
      </c>
      <c r="Q4053">
        <v>118.75</v>
      </c>
      <c r="R4053">
        <v>95</v>
      </c>
      <c r="S4053">
        <v>142.5</v>
      </c>
      <c r="T4053" t="s">
        <v>20752</v>
      </c>
    </row>
    <row r="4054" spans="1:20">
      <c r="A4054">
        <v>3332124</v>
      </c>
      <c r="B4054" t="s">
        <v>20753</v>
      </c>
      <c r="C4054" t="str">
        <f>"9780773535756"</f>
        <v>9780773535756</v>
      </c>
      <c r="D4054" t="str">
        <f>"9780773576308"</f>
        <v>9780773576308</v>
      </c>
      <c r="E4054" t="s">
        <v>12863</v>
      </c>
      <c r="F4054" t="s">
        <v>12863</v>
      </c>
      <c r="G4054" s="1">
        <v>40026</v>
      </c>
      <c r="I4054" t="s">
        <v>18279</v>
      </c>
      <c r="J4054" t="s">
        <v>17039</v>
      </c>
      <c r="K4054" t="s">
        <v>291</v>
      </c>
      <c r="L4054" t="s">
        <v>20754</v>
      </c>
      <c r="M4054">
        <v>971.51040920000003</v>
      </c>
      <c r="N4054" t="s">
        <v>20755</v>
      </c>
      <c r="O4054" t="s">
        <v>26</v>
      </c>
      <c r="P4054">
        <v>44.93</v>
      </c>
      <c r="Q4054">
        <v>37.44</v>
      </c>
      <c r="R4054">
        <v>29.95</v>
      </c>
      <c r="S4054">
        <v>44.93</v>
      </c>
      <c r="T4054" t="s">
        <v>20756</v>
      </c>
    </row>
    <row r="4055" spans="1:20">
      <c r="A4055">
        <v>3332125</v>
      </c>
      <c r="B4055" t="s">
        <v>20757</v>
      </c>
      <c r="C4055" t="str">
        <f>"9780773535763"</f>
        <v>9780773535763</v>
      </c>
      <c r="D4055" t="str">
        <f>"9780773576551"</f>
        <v>9780773576551</v>
      </c>
      <c r="E4055" t="s">
        <v>12863</v>
      </c>
      <c r="F4055" t="s">
        <v>12863</v>
      </c>
      <c r="G4055" s="1">
        <v>40057</v>
      </c>
      <c r="J4055" t="s">
        <v>20758</v>
      </c>
      <c r="K4055" t="s">
        <v>291</v>
      </c>
      <c r="L4055" t="s">
        <v>20759</v>
      </c>
      <c r="M4055">
        <v>971.51040920000003</v>
      </c>
      <c r="N4055" t="s">
        <v>20755</v>
      </c>
      <c r="O4055" t="s">
        <v>26</v>
      </c>
      <c r="P4055">
        <v>44.93</v>
      </c>
      <c r="Q4055">
        <v>37.44</v>
      </c>
      <c r="R4055">
        <v>29.95</v>
      </c>
      <c r="S4055">
        <v>44.93</v>
      </c>
      <c r="T4055" t="s">
        <v>20760</v>
      </c>
    </row>
    <row r="4056" spans="1:20">
      <c r="A4056">
        <v>3332126</v>
      </c>
      <c r="B4056" t="s">
        <v>20761</v>
      </c>
      <c r="C4056" t="str">
        <f>"9780773535640"</f>
        <v>9780773535640</v>
      </c>
      <c r="D4056" t="str">
        <f>"9780773576179"</f>
        <v>9780773576179</v>
      </c>
      <c r="E4056" t="s">
        <v>12863</v>
      </c>
      <c r="F4056" t="s">
        <v>12863</v>
      </c>
      <c r="G4056" s="1">
        <v>40138</v>
      </c>
      <c r="I4056" t="s">
        <v>20762</v>
      </c>
      <c r="J4056" t="s">
        <v>20763</v>
      </c>
      <c r="K4056" t="s">
        <v>2312</v>
      </c>
      <c r="L4056" t="s">
        <v>20764</v>
      </c>
      <c r="M4056">
        <v>320.8</v>
      </c>
      <c r="N4056" t="s">
        <v>20765</v>
      </c>
      <c r="O4056" t="s">
        <v>26</v>
      </c>
      <c r="P4056">
        <v>142.5</v>
      </c>
      <c r="Q4056">
        <v>118.75</v>
      </c>
      <c r="R4056">
        <v>95</v>
      </c>
      <c r="S4056">
        <v>142.5</v>
      </c>
      <c r="T4056" t="s">
        <v>20766</v>
      </c>
    </row>
    <row r="4057" spans="1:20">
      <c r="A4057">
        <v>3332127</v>
      </c>
      <c r="B4057" t="s">
        <v>20767</v>
      </c>
      <c r="C4057" t="str">
        <f>"9780773535084"</f>
        <v>9780773535084</v>
      </c>
      <c r="D4057" t="str">
        <f>"9780773575783"</f>
        <v>9780773575783</v>
      </c>
      <c r="E4057" t="s">
        <v>12863</v>
      </c>
      <c r="F4057" t="s">
        <v>12863</v>
      </c>
      <c r="G4057" s="1">
        <v>39904</v>
      </c>
      <c r="J4057" t="s">
        <v>20768</v>
      </c>
      <c r="K4057" t="s">
        <v>1471</v>
      </c>
      <c r="L4057" t="s">
        <v>20769</v>
      </c>
      <c r="M4057">
        <v>758.1</v>
      </c>
      <c r="N4057" t="s">
        <v>20770</v>
      </c>
      <c r="O4057" t="s">
        <v>26</v>
      </c>
      <c r="P4057">
        <v>142.5</v>
      </c>
      <c r="Q4057">
        <v>118.75</v>
      </c>
      <c r="R4057">
        <v>95</v>
      </c>
      <c r="S4057">
        <v>142.5</v>
      </c>
      <c r="T4057" t="s">
        <v>20771</v>
      </c>
    </row>
    <row r="4058" spans="1:20">
      <c r="A4058">
        <v>3332128</v>
      </c>
      <c r="B4058" t="s">
        <v>20772</v>
      </c>
      <c r="C4058" t="str">
        <f>"9780773535626"</f>
        <v>9780773535626</v>
      </c>
      <c r="D4058" t="str">
        <f>"9780773576452"</f>
        <v>9780773576452</v>
      </c>
      <c r="E4058" t="s">
        <v>12863</v>
      </c>
      <c r="F4058" t="s">
        <v>12863</v>
      </c>
      <c r="G4058" s="1">
        <v>39995</v>
      </c>
      <c r="I4058" t="s">
        <v>18583</v>
      </c>
      <c r="J4058" t="s">
        <v>20773</v>
      </c>
      <c r="K4058" t="s">
        <v>467</v>
      </c>
      <c r="L4058" t="s">
        <v>20774</v>
      </c>
      <c r="M4058">
        <v>352.16699999999997</v>
      </c>
      <c r="N4058" t="s">
        <v>20775</v>
      </c>
      <c r="O4058" t="s">
        <v>26</v>
      </c>
      <c r="P4058">
        <v>44.93</v>
      </c>
      <c r="Q4058">
        <v>37.44</v>
      </c>
      <c r="R4058">
        <v>29.95</v>
      </c>
      <c r="S4058">
        <v>44.93</v>
      </c>
      <c r="T4058" t="s">
        <v>20776</v>
      </c>
    </row>
    <row r="4059" spans="1:20">
      <c r="A4059">
        <v>3332129</v>
      </c>
      <c r="B4059" t="s">
        <v>20777</v>
      </c>
      <c r="C4059" t="str">
        <f>"9780773534919"</f>
        <v>9780773534919</v>
      </c>
      <c r="D4059" t="str">
        <f>"9780773576636"</f>
        <v>9780773576636</v>
      </c>
      <c r="E4059" t="s">
        <v>12863</v>
      </c>
      <c r="F4059" t="s">
        <v>12863</v>
      </c>
      <c r="G4059" s="1">
        <v>39873</v>
      </c>
      <c r="J4059" t="s">
        <v>13891</v>
      </c>
      <c r="K4059" t="s">
        <v>467</v>
      </c>
      <c r="L4059" t="s">
        <v>20778</v>
      </c>
      <c r="M4059">
        <v>320.01</v>
      </c>
      <c r="N4059" t="s">
        <v>20779</v>
      </c>
      <c r="O4059" t="s">
        <v>26</v>
      </c>
      <c r="P4059">
        <v>142.5</v>
      </c>
      <c r="Q4059">
        <v>118.75</v>
      </c>
      <c r="R4059">
        <v>95</v>
      </c>
      <c r="S4059">
        <v>142.5</v>
      </c>
      <c r="T4059" t="s">
        <v>20780</v>
      </c>
    </row>
    <row r="4060" spans="1:20">
      <c r="A4060">
        <v>3332130</v>
      </c>
      <c r="B4060" t="s">
        <v>20781</v>
      </c>
      <c r="C4060" t="str">
        <f>"9780773535824"</f>
        <v>9780773535824</v>
      </c>
      <c r="D4060" t="str">
        <f>"9780773576681"</f>
        <v>9780773576681</v>
      </c>
      <c r="E4060" t="s">
        <v>12863</v>
      </c>
      <c r="F4060" t="s">
        <v>12863</v>
      </c>
      <c r="G4060" s="1">
        <v>40087</v>
      </c>
      <c r="J4060" t="s">
        <v>20782</v>
      </c>
      <c r="K4060" t="s">
        <v>263</v>
      </c>
      <c r="L4060" t="s">
        <v>20783</v>
      </c>
      <c r="M4060">
        <v>305.90097100000003</v>
      </c>
      <c r="N4060" t="s">
        <v>20784</v>
      </c>
      <c r="O4060" t="s">
        <v>26</v>
      </c>
      <c r="P4060">
        <v>52.43</v>
      </c>
      <c r="Q4060">
        <v>43.69</v>
      </c>
      <c r="R4060">
        <v>34.950000000000003</v>
      </c>
      <c r="S4060">
        <v>52.43</v>
      </c>
      <c r="T4060" t="s">
        <v>20785</v>
      </c>
    </row>
    <row r="4061" spans="1:20">
      <c r="A4061">
        <v>3332131</v>
      </c>
      <c r="B4061" t="s">
        <v>20786</v>
      </c>
      <c r="C4061" t="str">
        <f>"9780773535770"</f>
        <v>9780773535770</v>
      </c>
      <c r="D4061" t="str">
        <f>"9780773577039"</f>
        <v>9780773577039</v>
      </c>
      <c r="E4061" t="s">
        <v>12863</v>
      </c>
      <c r="F4061" t="s">
        <v>12863</v>
      </c>
      <c r="G4061" s="1">
        <v>40057</v>
      </c>
      <c r="J4061" t="s">
        <v>20787</v>
      </c>
      <c r="K4061" t="s">
        <v>291</v>
      </c>
      <c r="L4061" t="s">
        <v>20788</v>
      </c>
      <c r="M4061">
        <v>940.54600000000005</v>
      </c>
      <c r="N4061" t="s">
        <v>20789</v>
      </c>
      <c r="O4061" t="s">
        <v>26</v>
      </c>
      <c r="P4061">
        <v>52.43</v>
      </c>
      <c r="Q4061">
        <v>43.69</v>
      </c>
      <c r="R4061">
        <v>34.950000000000003</v>
      </c>
      <c r="S4061">
        <v>52.43</v>
      </c>
      <c r="T4061" t="s">
        <v>20790</v>
      </c>
    </row>
    <row r="4062" spans="1:20">
      <c r="A4062">
        <v>3332132</v>
      </c>
      <c r="B4062" t="s">
        <v>20791</v>
      </c>
      <c r="C4062" t="str">
        <f>"9780773536241"</f>
        <v>9780773536241</v>
      </c>
      <c r="D4062" t="str">
        <f>"9780773576025"</f>
        <v>9780773576025</v>
      </c>
      <c r="E4062" t="s">
        <v>12863</v>
      </c>
      <c r="F4062" t="s">
        <v>12863</v>
      </c>
      <c r="G4062" s="1">
        <v>40148</v>
      </c>
      <c r="I4062" t="s">
        <v>13288</v>
      </c>
      <c r="J4062" t="s">
        <v>20792</v>
      </c>
      <c r="K4062" t="s">
        <v>291</v>
      </c>
      <c r="L4062" t="s">
        <v>15196</v>
      </c>
      <c r="M4062">
        <v>971.03</v>
      </c>
      <c r="N4062" t="s">
        <v>20793</v>
      </c>
      <c r="O4062" t="s">
        <v>26</v>
      </c>
      <c r="P4062">
        <v>142.5</v>
      </c>
      <c r="Q4062">
        <v>118.75</v>
      </c>
      <c r="R4062">
        <v>95</v>
      </c>
      <c r="S4062">
        <v>142.5</v>
      </c>
      <c r="T4062" t="s">
        <v>20794</v>
      </c>
    </row>
    <row r="4063" spans="1:20">
      <c r="A4063">
        <v>3332133</v>
      </c>
      <c r="B4063" t="s">
        <v>20795</v>
      </c>
      <c r="C4063" t="str">
        <f>"9780773535749"</f>
        <v>9780773535749</v>
      </c>
      <c r="D4063" t="str">
        <f>"9780773575837"</f>
        <v>9780773575837</v>
      </c>
      <c r="E4063" t="s">
        <v>12863</v>
      </c>
      <c r="F4063" t="s">
        <v>12863</v>
      </c>
      <c r="G4063" s="1">
        <v>40070</v>
      </c>
      <c r="I4063" t="s">
        <v>19859</v>
      </c>
      <c r="J4063" t="s">
        <v>20796</v>
      </c>
      <c r="K4063" t="s">
        <v>1471</v>
      </c>
      <c r="L4063" t="s">
        <v>20797</v>
      </c>
      <c r="M4063">
        <v>708.11383999999998</v>
      </c>
      <c r="N4063" t="s">
        <v>20798</v>
      </c>
      <c r="O4063" t="s">
        <v>26</v>
      </c>
      <c r="P4063">
        <v>59.93</v>
      </c>
      <c r="Q4063">
        <v>49.94</v>
      </c>
      <c r="R4063">
        <v>39.950000000000003</v>
      </c>
      <c r="S4063">
        <v>59.93</v>
      </c>
      <c r="T4063" t="s">
        <v>20799</v>
      </c>
    </row>
    <row r="4064" spans="1:20">
      <c r="A4064">
        <v>3332134</v>
      </c>
      <c r="B4064" t="s">
        <v>20800</v>
      </c>
      <c r="C4064" t="str">
        <f>"9780773535855"</f>
        <v>9780773535855</v>
      </c>
      <c r="D4064" t="str">
        <f>"9780773576049"</f>
        <v>9780773576049</v>
      </c>
      <c r="E4064" t="s">
        <v>12863</v>
      </c>
      <c r="F4064" t="s">
        <v>12863</v>
      </c>
      <c r="G4064" s="1">
        <v>40057</v>
      </c>
      <c r="J4064" t="s">
        <v>14446</v>
      </c>
      <c r="K4064" t="s">
        <v>6444</v>
      </c>
      <c r="L4064" t="s">
        <v>20801</v>
      </c>
      <c r="M4064">
        <v>327.71009199999997</v>
      </c>
      <c r="N4064" t="s">
        <v>20802</v>
      </c>
      <c r="O4064" t="s">
        <v>26</v>
      </c>
      <c r="P4064">
        <v>59.93</v>
      </c>
      <c r="Q4064">
        <v>49.94</v>
      </c>
      <c r="R4064">
        <v>39.950000000000003</v>
      </c>
      <c r="S4064">
        <v>59.93</v>
      </c>
      <c r="T4064" t="s">
        <v>20803</v>
      </c>
    </row>
    <row r="4065" spans="1:20">
      <c r="A4065">
        <v>3332135</v>
      </c>
      <c r="B4065" t="s">
        <v>20804</v>
      </c>
      <c r="C4065" t="str">
        <f>"9780773536494"</f>
        <v>9780773536494</v>
      </c>
      <c r="D4065" t="str">
        <f>"9780773576490"</f>
        <v>9780773576490</v>
      </c>
      <c r="E4065" t="s">
        <v>12863</v>
      </c>
      <c r="F4065" t="s">
        <v>12863</v>
      </c>
      <c r="G4065" s="1">
        <v>40057</v>
      </c>
      <c r="J4065" t="s">
        <v>20805</v>
      </c>
      <c r="K4065" t="s">
        <v>2260</v>
      </c>
      <c r="L4065" t="s">
        <v>20806</v>
      </c>
      <c r="M4065">
        <v>610.7117131</v>
      </c>
      <c r="N4065" t="s">
        <v>20807</v>
      </c>
      <c r="O4065" t="s">
        <v>26</v>
      </c>
      <c r="P4065">
        <v>67.430000000000007</v>
      </c>
      <c r="Q4065">
        <v>56.19</v>
      </c>
      <c r="R4065">
        <v>44.95</v>
      </c>
      <c r="S4065">
        <v>67.430000000000007</v>
      </c>
      <c r="T4065" t="s">
        <v>20808</v>
      </c>
    </row>
    <row r="4066" spans="1:20">
      <c r="A4066">
        <v>3332136</v>
      </c>
      <c r="B4066" t="s">
        <v>20809</v>
      </c>
      <c r="C4066" t="str">
        <f>"9780773535817"</f>
        <v>9780773535817</v>
      </c>
      <c r="D4066" t="str">
        <f>"9780773576247"</f>
        <v>9780773576247</v>
      </c>
      <c r="E4066" t="s">
        <v>12907</v>
      </c>
      <c r="F4066" t="s">
        <v>12907</v>
      </c>
      <c r="G4066" s="1">
        <v>41812</v>
      </c>
      <c r="I4066" t="s">
        <v>19767</v>
      </c>
      <c r="J4066" t="s">
        <v>20810</v>
      </c>
      <c r="K4066" t="s">
        <v>1471</v>
      </c>
      <c r="L4066" t="s">
        <v>20811</v>
      </c>
      <c r="M4066">
        <v>780</v>
      </c>
      <c r="N4066" t="s">
        <v>20812</v>
      </c>
      <c r="O4066" t="s">
        <v>26</v>
      </c>
      <c r="P4066">
        <v>74.930000000000007</v>
      </c>
      <c r="Q4066">
        <v>62.44</v>
      </c>
      <c r="R4066">
        <v>49.95</v>
      </c>
      <c r="S4066">
        <v>74.930000000000007</v>
      </c>
      <c r="T4066" t="s">
        <v>20813</v>
      </c>
    </row>
    <row r="4067" spans="1:20">
      <c r="A4067">
        <v>3332137</v>
      </c>
      <c r="B4067" t="s">
        <v>20814</v>
      </c>
      <c r="C4067" t="str">
        <f>"9780773535732"</f>
        <v>9780773535732</v>
      </c>
      <c r="D4067" t="str">
        <f>"9780773576445"</f>
        <v>9780773576445</v>
      </c>
      <c r="E4067" t="s">
        <v>12863</v>
      </c>
      <c r="F4067" t="s">
        <v>12863</v>
      </c>
      <c r="G4067" s="1">
        <v>40140</v>
      </c>
      <c r="I4067" t="s">
        <v>14082</v>
      </c>
      <c r="J4067" t="s">
        <v>20815</v>
      </c>
      <c r="K4067" t="s">
        <v>291</v>
      </c>
      <c r="L4067" t="s">
        <v>20816</v>
      </c>
      <c r="M4067">
        <v>971.20100000000002</v>
      </c>
      <c r="N4067" t="s">
        <v>20817</v>
      </c>
      <c r="O4067" t="s">
        <v>26</v>
      </c>
      <c r="P4067">
        <v>74.930000000000007</v>
      </c>
      <c r="Q4067">
        <v>62.44</v>
      </c>
      <c r="R4067">
        <v>49.95</v>
      </c>
      <c r="S4067">
        <v>74.930000000000007</v>
      </c>
      <c r="T4067" t="s">
        <v>20818</v>
      </c>
    </row>
    <row r="4068" spans="1:20">
      <c r="A4068">
        <v>3332138</v>
      </c>
      <c r="B4068" t="s">
        <v>20819</v>
      </c>
      <c r="C4068" t="str">
        <f>"9780773535190"</f>
        <v>9780773535190</v>
      </c>
      <c r="D4068" t="str">
        <f>"9780773576315"</f>
        <v>9780773576315</v>
      </c>
      <c r="E4068" t="s">
        <v>12863</v>
      </c>
      <c r="F4068" t="s">
        <v>12863</v>
      </c>
      <c r="G4068" s="1">
        <v>39965</v>
      </c>
      <c r="I4068" t="s">
        <v>20820</v>
      </c>
      <c r="J4068" t="s">
        <v>20821</v>
      </c>
      <c r="K4068" t="s">
        <v>1892</v>
      </c>
      <c r="L4068" t="s">
        <v>20822</v>
      </c>
      <c r="M4068" t="s">
        <v>20823</v>
      </c>
      <c r="N4068" t="s">
        <v>20824</v>
      </c>
      <c r="O4068" t="s">
        <v>26</v>
      </c>
      <c r="P4068">
        <v>44.93</v>
      </c>
      <c r="Q4068">
        <v>37.44</v>
      </c>
      <c r="R4068">
        <v>29.95</v>
      </c>
      <c r="S4068">
        <v>44.93</v>
      </c>
      <c r="T4068" t="s">
        <v>20825</v>
      </c>
    </row>
    <row r="4069" spans="1:20">
      <c r="A4069">
        <v>3332139</v>
      </c>
      <c r="B4069" t="s">
        <v>20826</v>
      </c>
      <c r="C4069" t="str">
        <f>"9780773535848"</f>
        <v>9780773535848</v>
      </c>
      <c r="D4069" t="str">
        <f>"9780773576797"</f>
        <v>9780773576797</v>
      </c>
      <c r="E4069" t="s">
        <v>12863</v>
      </c>
      <c r="F4069" t="s">
        <v>12863</v>
      </c>
      <c r="G4069" s="1">
        <v>40100</v>
      </c>
      <c r="J4069" t="s">
        <v>20827</v>
      </c>
      <c r="K4069" t="s">
        <v>291</v>
      </c>
      <c r="L4069" t="s">
        <v>20828</v>
      </c>
      <c r="M4069">
        <v>971.23299999999995</v>
      </c>
      <c r="N4069" t="s">
        <v>20829</v>
      </c>
      <c r="O4069" t="s">
        <v>26</v>
      </c>
      <c r="P4069">
        <v>44.93</v>
      </c>
      <c r="Q4069">
        <v>37.44</v>
      </c>
      <c r="R4069">
        <v>29.95</v>
      </c>
      <c r="S4069">
        <v>44.93</v>
      </c>
      <c r="T4069" t="s">
        <v>20830</v>
      </c>
    </row>
    <row r="4070" spans="1:20">
      <c r="A4070">
        <v>3332140</v>
      </c>
      <c r="B4070" t="s">
        <v>20831</v>
      </c>
      <c r="C4070" t="str">
        <f>"9780773535138"</f>
        <v>9780773535138</v>
      </c>
      <c r="D4070" t="str">
        <f>"9780773576827"</f>
        <v>9780773576827</v>
      </c>
      <c r="E4070" t="s">
        <v>12863</v>
      </c>
      <c r="F4070" t="s">
        <v>12863</v>
      </c>
      <c r="G4070" s="1">
        <v>39904</v>
      </c>
      <c r="I4070" t="s">
        <v>12864</v>
      </c>
      <c r="J4070" t="s">
        <v>13649</v>
      </c>
      <c r="K4070" t="s">
        <v>376</v>
      </c>
      <c r="L4070" t="s">
        <v>20832</v>
      </c>
      <c r="M4070">
        <v>362.28099300000002</v>
      </c>
      <c r="N4070" t="s">
        <v>20833</v>
      </c>
      <c r="O4070" t="s">
        <v>26</v>
      </c>
      <c r="P4070">
        <v>142.5</v>
      </c>
      <c r="Q4070">
        <v>118.75</v>
      </c>
      <c r="R4070">
        <v>95</v>
      </c>
      <c r="S4070">
        <v>142.5</v>
      </c>
      <c r="T4070" t="s">
        <v>20834</v>
      </c>
    </row>
    <row r="4071" spans="1:20">
      <c r="A4071">
        <v>3332141</v>
      </c>
      <c r="B4071" t="s">
        <v>20835</v>
      </c>
      <c r="C4071" t="str">
        <f>"9780773535725"</f>
        <v>9780773535725</v>
      </c>
      <c r="D4071" t="str">
        <f>"9780773575752"</f>
        <v>9780773575752</v>
      </c>
      <c r="E4071" t="s">
        <v>12863</v>
      </c>
      <c r="F4071" t="s">
        <v>12863</v>
      </c>
      <c r="G4071" s="1">
        <v>40087</v>
      </c>
      <c r="J4071" t="s">
        <v>17522</v>
      </c>
      <c r="K4071" t="s">
        <v>7063</v>
      </c>
      <c r="L4071" t="s">
        <v>20836</v>
      </c>
      <c r="M4071">
        <v>327.44092000000001</v>
      </c>
      <c r="N4071" t="s">
        <v>20837</v>
      </c>
      <c r="O4071" t="s">
        <v>26</v>
      </c>
      <c r="P4071">
        <v>89.93</v>
      </c>
      <c r="Q4071">
        <v>74.94</v>
      </c>
      <c r="R4071">
        <v>59.95</v>
      </c>
      <c r="S4071">
        <v>89.93</v>
      </c>
      <c r="T4071" t="s">
        <v>20838</v>
      </c>
    </row>
    <row r="4072" spans="1:20">
      <c r="A4072">
        <v>3332142</v>
      </c>
      <c r="B4072" t="s">
        <v>20839</v>
      </c>
      <c r="C4072" t="str">
        <f>"9780773535206"</f>
        <v>9780773535206</v>
      </c>
      <c r="D4072" t="str">
        <f>"9780773576346"</f>
        <v>9780773576346</v>
      </c>
      <c r="E4072" t="s">
        <v>12863</v>
      </c>
      <c r="F4072" t="s">
        <v>12863</v>
      </c>
      <c r="G4072" s="1">
        <v>39904</v>
      </c>
      <c r="I4072" t="s">
        <v>12886</v>
      </c>
      <c r="J4072" t="s">
        <v>14267</v>
      </c>
      <c r="K4072" t="s">
        <v>1892</v>
      </c>
      <c r="L4072" t="s">
        <v>20840</v>
      </c>
      <c r="M4072">
        <v>296.09014999999999</v>
      </c>
      <c r="N4072" t="s">
        <v>20841</v>
      </c>
      <c r="O4072" t="s">
        <v>26</v>
      </c>
      <c r="P4072">
        <v>142.5</v>
      </c>
      <c r="Q4072">
        <v>118.75</v>
      </c>
      <c r="R4072">
        <v>95</v>
      </c>
      <c r="S4072">
        <v>142.5</v>
      </c>
      <c r="T4072" t="s">
        <v>20842</v>
      </c>
    </row>
    <row r="4073" spans="1:20">
      <c r="A4073">
        <v>3332143</v>
      </c>
      <c r="B4073" t="s">
        <v>20843</v>
      </c>
      <c r="C4073" t="str">
        <f>"9780773535794"</f>
        <v>9780773535794</v>
      </c>
      <c r="D4073" t="str">
        <f>"9780773576810"</f>
        <v>9780773576810</v>
      </c>
      <c r="E4073" t="s">
        <v>12863</v>
      </c>
      <c r="F4073" t="s">
        <v>12863</v>
      </c>
      <c r="G4073" s="1">
        <v>40026</v>
      </c>
      <c r="J4073" t="s">
        <v>14012</v>
      </c>
      <c r="K4073" t="s">
        <v>1464</v>
      </c>
      <c r="L4073" t="s">
        <v>20844</v>
      </c>
      <c r="M4073">
        <v>820.90070000000003</v>
      </c>
      <c r="N4073" t="s">
        <v>20845</v>
      </c>
      <c r="O4073" t="s">
        <v>26</v>
      </c>
      <c r="P4073">
        <v>142.5</v>
      </c>
      <c r="Q4073">
        <v>118.75</v>
      </c>
      <c r="R4073">
        <v>95</v>
      </c>
      <c r="S4073">
        <v>142.5</v>
      </c>
      <c r="T4073" t="s">
        <v>20846</v>
      </c>
    </row>
    <row r="4074" spans="1:20">
      <c r="A4074">
        <v>3332144</v>
      </c>
      <c r="B4074" t="s">
        <v>20847</v>
      </c>
      <c r="C4074" t="str">
        <f>"9780773535930"</f>
        <v>9780773535930</v>
      </c>
      <c r="D4074" t="str">
        <f>"9780773576483"</f>
        <v>9780773576483</v>
      </c>
      <c r="E4074" t="s">
        <v>12863</v>
      </c>
      <c r="F4074" t="s">
        <v>12863</v>
      </c>
      <c r="G4074" s="1">
        <v>40127</v>
      </c>
      <c r="J4074" t="s">
        <v>20848</v>
      </c>
      <c r="K4074" t="s">
        <v>1892</v>
      </c>
      <c r="L4074" t="s">
        <v>20849</v>
      </c>
      <c r="M4074">
        <v>261.2</v>
      </c>
      <c r="N4074" t="s">
        <v>20850</v>
      </c>
      <c r="O4074" t="s">
        <v>26</v>
      </c>
      <c r="P4074">
        <v>127.5</v>
      </c>
      <c r="Q4074">
        <v>106.25</v>
      </c>
      <c r="R4074">
        <v>85</v>
      </c>
      <c r="S4074">
        <v>127.5</v>
      </c>
      <c r="T4074" t="s">
        <v>20851</v>
      </c>
    </row>
    <row r="4075" spans="1:20">
      <c r="A4075">
        <v>3332145</v>
      </c>
      <c r="B4075" t="s">
        <v>20852</v>
      </c>
      <c r="C4075" t="str">
        <f>"9780773536067"</f>
        <v>9780773536067</v>
      </c>
      <c r="D4075" t="str">
        <f>"9780773576995"</f>
        <v>9780773576995</v>
      </c>
      <c r="E4075" t="s">
        <v>12863</v>
      </c>
      <c r="F4075" t="s">
        <v>12863</v>
      </c>
      <c r="G4075" s="1">
        <v>40121</v>
      </c>
      <c r="J4075" t="s">
        <v>20853</v>
      </c>
      <c r="K4075" t="s">
        <v>1464</v>
      </c>
      <c r="L4075" t="s">
        <v>20854</v>
      </c>
      <c r="M4075">
        <v>823.80938230000004</v>
      </c>
      <c r="N4075" t="s">
        <v>20855</v>
      </c>
      <c r="O4075" t="s">
        <v>26</v>
      </c>
      <c r="P4075">
        <v>142.5</v>
      </c>
      <c r="Q4075">
        <v>118.75</v>
      </c>
      <c r="R4075">
        <v>95</v>
      </c>
      <c r="S4075">
        <v>142.5</v>
      </c>
      <c r="T4075" t="s">
        <v>20856</v>
      </c>
    </row>
    <row r="4076" spans="1:20">
      <c r="A4076">
        <v>3332146</v>
      </c>
      <c r="B4076" t="s">
        <v>20857</v>
      </c>
      <c r="C4076" t="str">
        <f>"9780773535121"</f>
        <v>9780773535121</v>
      </c>
      <c r="D4076" t="str">
        <f>"9780773577183"</f>
        <v>9780773577183</v>
      </c>
      <c r="E4076" t="s">
        <v>12863</v>
      </c>
      <c r="F4076" t="s">
        <v>12863</v>
      </c>
      <c r="G4076" s="1">
        <v>39934</v>
      </c>
      <c r="I4076" t="s">
        <v>12963</v>
      </c>
      <c r="J4076" t="s">
        <v>20858</v>
      </c>
      <c r="K4076" t="s">
        <v>467</v>
      </c>
      <c r="L4076" t="s">
        <v>20859</v>
      </c>
      <c r="M4076">
        <v>320.94409034</v>
      </c>
      <c r="N4076" t="s">
        <v>20860</v>
      </c>
      <c r="O4076" t="s">
        <v>26</v>
      </c>
      <c r="P4076">
        <v>142.5</v>
      </c>
      <c r="Q4076">
        <v>118.75</v>
      </c>
      <c r="R4076">
        <v>95</v>
      </c>
      <c r="S4076">
        <v>142.5</v>
      </c>
      <c r="T4076" t="s">
        <v>20861</v>
      </c>
    </row>
    <row r="4077" spans="1:20">
      <c r="A4077">
        <v>3332147</v>
      </c>
      <c r="B4077" t="s">
        <v>20862</v>
      </c>
      <c r="C4077" t="str">
        <f>"9780773535107"</f>
        <v>9780773535107</v>
      </c>
      <c r="D4077" t="str">
        <f>"9780773577060"</f>
        <v>9780773577060</v>
      </c>
      <c r="E4077" t="s">
        <v>12863</v>
      </c>
      <c r="F4077" t="s">
        <v>12863</v>
      </c>
      <c r="G4077" s="1">
        <v>39904</v>
      </c>
      <c r="I4077" t="s">
        <v>12963</v>
      </c>
      <c r="J4077" t="s">
        <v>20863</v>
      </c>
      <c r="K4077" t="s">
        <v>1464</v>
      </c>
      <c r="L4077" t="s">
        <v>14829</v>
      </c>
      <c r="M4077">
        <v>823.91200000000003</v>
      </c>
      <c r="N4077" t="s">
        <v>20864</v>
      </c>
      <c r="O4077" t="s">
        <v>26</v>
      </c>
      <c r="P4077">
        <v>142.5</v>
      </c>
      <c r="Q4077">
        <v>118.75</v>
      </c>
      <c r="R4077">
        <v>95</v>
      </c>
      <c r="S4077">
        <v>142.5</v>
      </c>
      <c r="T4077" t="s">
        <v>20865</v>
      </c>
    </row>
    <row r="4078" spans="1:20">
      <c r="A4078">
        <v>3332148</v>
      </c>
      <c r="B4078" t="s">
        <v>20866</v>
      </c>
      <c r="C4078" t="str">
        <f>"9780773534803"</f>
        <v>9780773534803</v>
      </c>
      <c r="D4078" t="str">
        <f>"9780773577114"</f>
        <v>9780773577114</v>
      </c>
      <c r="E4078" t="s">
        <v>12863</v>
      </c>
      <c r="F4078" t="s">
        <v>12863</v>
      </c>
      <c r="G4078" s="1">
        <v>39873</v>
      </c>
      <c r="I4078" t="s">
        <v>12886</v>
      </c>
      <c r="J4078" t="s">
        <v>12858</v>
      </c>
      <c r="K4078" t="s">
        <v>6055</v>
      </c>
      <c r="L4078" t="s">
        <v>20867</v>
      </c>
      <c r="M4078">
        <v>280.40971090340003</v>
      </c>
      <c r="N4078" t="s">
        <v>20868</v>
      </c>
      <c r="O4078" t="s">
        <v>26</v>
      </c>
      <c r="P4078">
        <v>142.5</v>
      </c>
      <c r="Q4078">
        <v>118.75</v>
      </c>
      <c r="R4078">
        <v>95</v>
      </c>
      <c r="S4078">
        <v>142.5</v>
      </c>
      <c r="T4078" t="s">
        <v>20869</v>
      </c>
    </row>
    <row r="4079" spans="1:20">
      <c r="A4079">
        <v>3332149</v>
      </c>
      <c r="B4079" t="s">
        <v>20870</v>
      </c>
      <c r="C4079" t="str">
        <f>"9780773534926"</f>
        <v>9780773534926</v>
      </c>
      <c r="D4079" t="str">
        <f>"9780773575745"</f>
        <v>9780773575745</v>
      </c>
      <c r="E4079" t="s">
        <v>12863</v>
      </c>
      <c r="F4079" t="s">
        <v>12863</v>
      </c>
      <c r="G4079" s="1">
        <v>39927</v>
      </c>
      <c r="J4079" t="s">
        <v>20871</v>
      </c>
      <c r="K4079" t="s">
        <v>1550</v>
      </c>
      <c r="L4079" t="s">
        <v>20872</v>
      </c>
      <c r="M4079">
        <v>944.5823034</v>
      </c>
      <c r="N4079" t="s">
        <v>20873</v>
      </c>
      <c r="O4079" t="s">
        <v>26</v>
      </c>
      <c r="P4079">
        <v>142.5</v>
      </c>
      <c r="Q4079">
        <v>118.75</v>
      </c>
      <c r="R4079">
        <v>95</v>
      </c>
      <c r="S4079">
        <v>142.5</v>
      </c>
      <c r="T4079" t="s">
        <v>20874</v>
      </c>
    </row>
    <row r="4080" spans="1:20">
      <c r="A4080">
        <v>3332150</v>
      </c>
      <c r="B4080" t="s">
        <v>20875</v>
      </c>
      <c r="C4080" t="str">
        <f>"9780773534964"</f>
        <v>9780773534964</v>
      </c>
      <c r="D4080" t="str">
        <f>"9780773575806"</f>
        <v>9780773575806</v>
      </c>
      <c r="E4080" t="s">
        <v>12863</v>
      </c>
      <c r="F4080" t="s">
        <v>12863</v>
      </c>
      <c r="G4080" s="1">
        <v>39904</v>
      </c>
      <c r="J4080" t="s">
        <v>20876</v>
      </c>
      <c r="K4080" t="s">
        <v>1464</v>
      </c>
      <c r="L4080" t="s">
        <v>20877</v>
      </c>
      <c r="M4080">
        <v>843.54</v>
      </c>
      <c r="N4080" t="s">
        <v>20878</v>
      </c>
      <c r="O4080" t="s">
        <v>26</v>
      </c>
      <c r="P4080">
        <v>142.5</v>
      </c>
      <c r="Q4080">
        <v>118.75</v>
      </c>
      <c r="R4080">
        <v>95</v>
      </c>
      <c r="S4080">
        <v>142.5</v>
      </c>
      <c r="T4080" t="s">
        <v>20879</v>
      </c>
    </row>
    <row r="4081" spans="1:20">
      <c r="A4081">
        <v>3332151</v>
      </c>
      <c r="B4081" t="s">
        <v>20880</v>
      </c>
      <c r="C4081" t="str">
        <f>"9780773535053"</f>
        <v>9780773535053</v>
      </c>
      <c r="D4081" t="str">
        <f>"9780773576100"</f>
        <v>9780773576100</v>
      </c>
      <c r="E4081" t="s">
        <v>12863</v>
      </c>
      <c r="F4081" t="s">
        <v>12863</v>
      </c>
      <c r="G4081" s="1">
        <v>39889</v>
      </c>
      <c r="J4081" t="s">
        <v>20881</v>
      </c>
      <c r="K4081" t="s">
        <v>1464</v>
      </c>
      <c r="L4081" t="s">
        <v>20882</v>
      </c>
      <c r="M4081">
        <v>811.54</v>
      </c>
      <c r="N4081" t="s">
        <v>20883</v>
      </c>
      <c r="O4081" t="s">
        <v>26</v>
      </c>
      <c r="P4081">
        <v>142.5</v>
      </c>
      <c r="Q4081">
        <v>118.75</v>
      </c>
      <c r="R4081">
        <v>95</v>
      </c>
      <c r="S4081">
        <v>142.5</v>
      </c>
      <c r="T4081" t="s">
        <v>20884</v>
      </c>
    </row>
    <row r="4082" spans="1:20">
      <c r="A4082">
        <v>3332152</v>
      </c>
      <c r="B4082" t="s">
        <v>20885</v>
      </c>
      <c r="C4082" t="str">
        <f>"9780773534988"</f>
        <v>9780773534988</v>
      </c>
      <c r="D4082" t="str">
        <f>"9780773576124"</f>
        <v>9780773576124</v>
      </c>
      <c r="E4082" t="s">
        <v>12863</v>
      </c>
      <c r="F4082" t="s">
        <v>12863</v>
      </c>
      <c r="G4082" s="1">
        <v>39904</v>
      </c>
      <c r="J4082" t="s">
        <v>20886</v>
      </c>
      <c r="K4082" t="s">
        <v>291</v>
      </c>
      <c r="L4082" t="s">
        <v>13100</v>
      </c>
      <c r="M4082">
        <v>971.06420000000003</v>
      </c>
      <c r="N4082" t="s">
        <v>20887</v>
      </c>
      <c r="O4082" t="s">
        <v>26</v>
      </c>
      <c r="P4082">
        <v>142.5</v>
      </c>
      <c r="Q4082">
        <v>118.75</v>
      </c>
      <c r="R4082">
        <v>95</v>
      </c>
      <c r="S4082">
        <v>142.5</v>
      </c>
      <c r="T4082" t="s">
        <v>20888</v>
      </c>
    </row>
    <row r="4083" spans="1:20">
      <c r="A4083">
        <v>3332153</v>
      </c>
      <c r="B4083" t="s">
        <v>20889</v>
      </c>
      <c r="C4083" t="str">
        <f>"9780773534582"</f>
        <v>9780773534582</v>
      </c>
      <c r="D4083" t="str">
        <f>"9780773576322"</f>
        <v>9780773576322</v>
      </c>
      <c r="E4083" t="s">
        <v>12863</v>
      </c>
      <c r="F4083" t="s">
        <v>12863</v>
      </c>
      <c r="G4083" s="1">
        <v>39873</v>
      </c>
      <c r="J4083" t="s">
        <v>20890</v>
      </c>
      <c r="K4083" t="s">
        <v>1464</v>
      </c>
      <c r="L4083" t="s">
        <v>20891</v>
      </c>
      <c r="M4083">
        <v>820.93529999999998</v>
      </c>
      <c r="N4083" t="s">
        <v>20892</v>
      </c>
      <c r="O4083" t="s">
        <v>26</v>
      </c>
      <c r="P4083">
        <v>142.5</v>
      </c>
      <c r="Q4083">
        <v>118.75</v>
      </c>
      <c r="R4083">
        <v>95</v>
      </c>
      <c r="S4083">
        <v>142.5</v>
      </c>
      <c r="T4083" t="s">
        <v>20893</v>
      </c>
    </row>
    <row r="4084" spans="1:20">
      <c r="A4084">
        <v>3332154</v>
      </c>
      <c r="B4084" t="s">
        <v>20894</v>
      </c>
      <c r="C4084" t="str">
        <f>"9780773536043"</f>
        <v>9780773536043</v>
      </c>
      <c r="D4084" t="str">
        <f>"9780773576438"</f>
        <v>9780773576438</v>
      </c>
      <c r="E4084" t="s">
        <v>12863</v>
      </c>
      <c r="F4084" t="s">
        <v>12863</v>
      </c>
      <c r="G4084" s="1">
        <v>40072</v>
      </c>
      <c r="J4084" t="s">
        <v>19576</v>
      </c>
      <c r="K4084" t="s">
        <v>4081</v>
      </c>
      <c r="L4084" t="s">
        <v>20895</v>
      </c>
      <c r="M4084">
        <v>425.5</v>
      </c>
      <c r="N4084" t="s">
        <v>20896</v>
      </c>
      <c r="O4084" t="s">
        <v>26</v>
      </c>
      <c r="P4084">
        <v>142.5</v>
      </c>
      <c r="Q4084">
        <v>118.75</v>
      </c>
      <c r="R4084">
        <v>95</v>
      </c>
      <c r="S4084">
        <v>142.5</v>
      </c>
      <c r="T4084" t="s">
        <v>20897</v>
      </c>
    </row>
    <row r="4085" spans="1:20">
      <c r="A4085">
        <v>3332155</v>
      </c>
      <c r="B4085" t="s">
        <v>20898</v>
      </c>
      <c r="C4085" t="str">
        <f>"9780773534551"</f>
        <v>9780773534551</v>
      </c>
      <c r="D4085" t="str">
        <f>"9780773576896"</f>
        <v>9780773576896</v>
      </c>
      <c r="E4085" t="s">
        <v>12863</v>
      </c>
      <c r="F4085" t="s">
        <v>12863</v>
      </c>
      <c r="G4085" s="1">
        <v>39889</v>
      </c>
      <c r="J4085" t="s">
        <v>20899</v>
      </c>
      <c r="K4085" t="s">
        <v>1464</v>
      </c>
      <c r="L4085" t="s">
        <v>20900</v>
      </c>
      <c r="M4085">
        <v>809.89287000000002</v>
      </c>
      <c r="N4085" t="s">
        <v>20901</v>
      </c>
      <c r="O4085" t="s">
        <v>26</v>
      </c>
      <c r="P4085">
        <v>142.5</v>
      </c>
      <c r="Q4085">
        <v>118.75</v>
      </c>
      <c r="R4085">
        <v>95</v>
      </c>
      <c r="S4085">
        <v>142.5</v>
      </c>
      <c r="T4085" t="s">
        <v>20902</v>
      </c>
    </row>
    <row r="4086" spans="1:20">
      <c r="A4086">
        <v>3332156</v>
      </c>
      <c r="B4086" t="s">
        <v>20903</v>
      </c>
      <c r="C4086" t="str">
        <f>"9780773535220"</f>
        <v>9780773535220</v>
      </c>
      <c r="D4086" t="str">
        <f>"9780773576957"</f>
        <v>9780773576957</v>
      </c>
      <c r="E4086" t="s">
        <v>12863</v>
      </c>
      <c r="F4086" t="s">
        <v>12863</v>
      </c>
      <c r="G4086" s="1">
        <v>39965</v>
      </c>
      <c r="J4086" t="s">
        <v>20904</v>
      </c>
      <c r="K4086" t="s">
        <v>291</v>
      </c>
      <c r="L4086" t="s">
        <v>20905</v>
      </c>
      <c r="M4086">
        <v>940.33199999999999</v>
      </c>
      <c r="N4086" t="s">
        <v>20906</v>
      </c>
      <c r="O4086" t="s">
        <v>26</v>
      </c>
      <c r="P4086">
        <v>142.5</v>
      </c>
      <c r="Q4086">
        <v>118.75</v>
      </c>
      <c r="R4086">
        <v>95</v>
      </c>
      <c r="S4086">
        <v>142.5</v>
      </c>
      <c r="T4086" t="s">
        <v>20907</v>
      </c>
    </row>
    <row r="4087" spans="1:20">
      <c r="A4087">
        <v>3332157</v>
      </c>
      <c r="B4087" t="s">
        <v>20908</v>
      </c>
      <c r="C4087" t="str">
        <f>"9780773535398"</f>
        <v>9780773535398</v>
      </c>
      <c r="D4087" t="str">
        <f>"9780773577015"</f>
        <v>9780773577015</v>
      </c>
      <c r="E4087" t="s">
        <v>12863</v>
      </c>
      <c r="F4087" t="s">
        <v>12863</v>
      </c>
      <c r="G4087" s="1">
        <v>40068</v>
      </c>
      <c r="J4087" t="s">
        <v>20909</v>
      </c>
      <c r="K4087" t="s">
        <v>263</v>
      </c>
      <c r="L4087" t="s">
        <v>20910</v>
      </c>
      <c r="M4087">
        <v>314.50904000000003</v>
      </c>
      <c r="N4087" t="s">
        <v>20911</v>
      </c>
      <c r="O4087" t="s">
        <v>26</v>
      </c>
      <c r="P4087">
        <v>142.5</v>
      </c>
      <c r="Q4087">
        <v>118.75</v>
      </c>
      <c r="R4087">
        <v>95</v>
      </c>
      <c r="S4087">
        <v>142.5</v>
      </c>
      <c r="T4087" t="s">
        <v>20912</v>
      </c>
    </row>
    <row r="4088" spans="1:20">
      <c r="A4088">
        <v>3332158</v>
      </c>
      <c r="B4088" t="s">
        <v>20913</v>
      </c>
      <c r="C4088" t="str">
        <f>"9780773534063"</f>
        <v>9780773534063</v>
      </c>
      <c r="D4088" t="str">
        <f>"9780773576070"</f>
        <v>9780773576070</v>
      </c>
      <c r="E4088" t="s">
        <v>12863</v>
      </c>
      <c r="F4088" t="s">
        <v>12863</v>
      </c>
      <c r="G4088" s="1">
        <v>39829</v>
      </c>
      <c r="J4088" t="s">
        <v>20914</v>
      </c>
      <c r="K4088" t="s">
        <v>4081</v>
      </c>
      <c r="L4088" t="s">
        <v>20915</v>
      </c>
      <c r="M4088">
        <v>427.972983</v>
      </c>
      <c r="N4088" t="s">
        <v>20916</v>
      </c>
      <c r="O4088" t="s">
        <v>26</v>
      </c>
      <c r="P4088">
        <v>202.5</v>
      </c>
      <c r="Q4088">
        <v>168.75</v>
      </c>
      <c r="R4088">
        <v>135</v>
      </c>
      <c r="S4088">
        <v>202.5</v>
      </c>
      <c r="T4088" t="s">
        <v>20917</v>
      </c>
    </row>
    <row r="4089" spans="1:20">
      <c r="A4089">
        <v>3332159</v>
      </c>
      <c r="B4089" t="s">
        <v>20918</v>
      </c>
      <c r="C4089" t="str">
        <f>"9780773536234"</f>
        <v>9780773536234</v>
      </c>
      <c r="D4089" t="str">
        <f>"9780773576469"</f>
        <v>9780773576469</v>
      </c>
      <c r="E4089" t="s">
        <v>12863</v>
      </c>
      <c r="F4089" t="s">
        <v>12863</v>
      </c>
      <c r="G4089" s="1">
        <v>40179</v>
      </c>
      <c r="J4089" t="s">
        <v>20919</v>
      </c>
      <c r="K4089" t="s">
        <v>467</v>
      </c>
      <c r="L4089" t="s">
        <v>20920</v>
      </c>
      <c r="M4089">
        <v>320.80946</v>
      </c>
      <c r="N4089" t="s">
        <v>20921</v>
      </c>
      <c r="O4089" t="s">
        <v>26</v>
      </c>
      <c r="P4089">
        <v>142.5</v>
      </c>
      <c r="Q4089">
        <v>118.75</v>
      </c>
      <c r="R4089">
        <v>95</v>
      </c>
      <c r="S4089">
        <v>142.5</v>
      </c>
      <c r="T4089" t="s">
        <v>20922</v>
      </c>
    </row>
    <row r="4090" spans="1:20">
      <c r="A4090">
        <v>3332160</v>
      </c>
      <c r="B4090" t="s">
        <v>20923</v>
      </c>
      <c r="C4090" t="str">
        <f>"9780773536159"</f>
        <v>9780773536159</v>
      </c>
      <c r="D4090" t="str">
        <f>"9780773576834"</f>
        <v>9780773576834</v>
      </c>
      <c r="E4090" t="s">
        <v>12863</v>
      </c>
      <c r="F4090" t="s">
        <v>12863</v>
      </c>
      <c r="G4090" s="1">
        <v>40179</v>
      </c>
      <c r="J4090" t="s">
        <v>20924</v>
      </c>
      <c r="K4090" t="s">
        <v>1892</v>
      </c>
      <c r="L4090" t="s">
        <v>20925</v>
      </c>
      <c r="M4090">
        <v>202.114</v>
      </c>
      <c r="N4090" t="s">
        <v>20926</v>
      </c>
      <c r="O4090" t="s">
        <v>26</v>
      </c>
      <c r="P4090">
        <v>44.93</v>
      </c>
      <c r="Q4090">
        <v>37.44</v>
      </c>
      <c r="R4090">
        <v>29.95</v>
      </c>
      <c r="S4090">
        <v>44.93</v>
      </c>
      <c r="T4090" t="s">
        <v>20927</v>
      </c>
    </row>
    <row r="4091" spans="1:20">
      <c r="A4091">
        <v>3332161</v>
      </c>
      <c r="B4091" t="s">
        <v>20928</v>
      </c>
      <c r="C4091" t="str">
        <f>"9780773536340"</f>
        <v>9780773536340</v>
      </c>
      <c r="D4091" t="str">
        <f>"9780773576513"</f>
        <v>9780773576513</v>
      </c>
      <c r="E4091" t="s">
        <v>12863</v>
      </c>
      <c r="F4091" t="s">
        <v>12863</v>
      </c>
      <c r="G4091" s="1">
        <v>40238</v>
      </c>
      <c r="J4091" t="s">
        <v>20929</v>
      </c>
      <c r="K4091" t="s">
        <v>1464</v>
      </c>
      <c r="L4091" t="s">
        <v>20930</v>
      </c>
      <c r="M4091">
        <v>813.54</v>
      </c>
      <c r="N4091" t="s">
        <v>20931</v>
      </c>
      <c r="O4091" t="s">
        <v>26</v>
      </c>
      <c r="P4091">
        <v>142.5</v>
      </c>
      <c r="Q4091">
        <v>118.75</v>
      </c>
      <c r="R4091">
        <v>95</v>
      </c>
      <c r="S4091">
        <v>142.5</v>
      </c>
      <c r="T4091" t="s">
        <v>20932</v>
      </c>
    </row>
    <row r="4092" spans="1:20">
      <c r="A4092">
        <v>3332162</v>
      </c>
      <c r="B4092" t="s">
        <v>20933</v>
      </c>
      <c r="C4092" t="str">
        <f>"9780773539792"</f>
        <v>9780773539792</v>
      </c>
      <c r="D4092" t="str">
        <f>"9780773586888"</f>
        <v>9780773586888</v>
      </c>
      <c r="E4092" t="s">
        <v>12863</v>
      </c>
      <c r="F4092" t="s">
        <v>12863</v>
      </c>
      <c r="G4092" s="1">
        <v>40990</v>
      </c>
      <c r="J4092" t="s">
        <v>20934</v>
      </c>
      <c r="K4092" t="s">
        <v>263</v>
      </c>
      <c r="L4092" t="s">
        <v>20935</v>
      </c>
      <c r="M4092" t="s">
        <v>20936</v>
      </c>
      <c r="N4092" t="s">
        <v>20937</v>
      </c>
      <c r="O4092" t="s">
        <v>26</v>
      </c>
      <c r="P4092">
        <v>142.5</v>
      </c>
      <c r="Q4092">
        <v>118.75</v>
      </c>
      <c r="R4092">
        <v>95</v>
      </c>
      <c r="S4092">
        <v>142.5</v>
      </c>
      <c r="T4092" t="s">
        <v>20938</v>
      </c>
    </row>
    <row r="4093" spans="1:20">
      <c r="A4093">
        <v>3332163</v>
      </c>
      <c r="B4093" t="s">
        <v>20939</v>
      </c>
      <c r="C4093" t="str">
        <f>"9780773505421"</f>
        <v>9780773505421</v>
      </c>
      <c r="D4093" t="str">
        <f>"9780773586765"</f>
        <v>9780773586765</v>
      </c>
      <c r="E4093" t="s">
        <v>12863</v>
      </c>
      <c r="F4093" t="s">
        <v>12863</v>
      </c>
      <c r="G4093" s="1">
        <v>40987</v>
      </c>
      <c r="J4093" t="s">
        <v>20940</v>
      </c>
      <c r="K4093" t="s">
        <v>1464</v>
      </c>
      <c r="L4093" t="s">
        <v>20941</v>
      </c>
      <c r="M4093">
        <v>823.6</v>
      </c>
      <c r="N4093" t="s">
        <v>20942</v>
      </c>
      <c r="O4093" t="s">
        <v>26</v>
      </c>
      <c r="P4093">
        <v>202.5</v>
      </c>
      <c r="Q4093">
        <v>168.75</v>
      </c>
      <c r="R4093">
        <v>135</v>
      </c>
      <c r="S4093">
        <v>202.5</v>
      </c>
      <c r="T4093" t="s">
        <v>20943</v>
      </c>
    </row>
    <row r="4094" spans="1:20">
      <c r="A4094">
        <v>3332164</v>
      </c>
      <c r="B4094" t="s">
        <v>20944</v>
      </c>
      <c r="C4094" t="str">
        <f>"9780773540316"</f>
        <v>9780773540316</v>
      </c>
      <c r="D4094" t="str">
        <f>"9780773586796"</f>
        <v>9780773586796</v>
      </c>
      <c r="E4094" t="s">
        <v>12863</v>
      </c>
      <c r="F4094" t="s">
        <v>12863</v>
      </c>
      <c r="G4094" s="1">
        <v>40988</v>
      </c>
      <c r="J4094" t="s">
        <v>20945</v>
      </c>
      <c r="K4094" t="s">
        <v>1127</v>
      </c>
      <c r="L4094" t="s">
        <v>20946</v>
      </c>
      <c r="M4094">
        <v>158</v>
      </c>
      <c r="N4094" t="s">
        <v>20947</v>
      </c>
      <c r="O4094" t="s">
        <v>26</v>
      </c>
      <c r="P4094">
        <v>22.43</v>
      </c>
      <c r="Q4094">
        <v>18.690000000000001</v>
      </c>
      <c r="R4094">
        <v>14.95</v>
      </c>
      <c r="S4094">
        <v>22.43</v>
      </c>
      <c r="T4094" t="s">
        <v>20948</v>
      </c>
    </row>
    <row r="4095" spans="1:20">
      <c r="A4095">
        <v>3332165</v>
      </c>
      <c r="B4095" t="s">
        <v>20949</v>
      </c>
      <c r="C4095" t="str">
        <f>"9780773539631"</f>
        <v>9780773539631</v>
      </c>
      <c r="D4095" t="str">
        <f>"9780773587069"</f>
        <v>9780773587069</v>
      </c>
      <c r="E4095" t="s">
        <v>12863</v>
      </c>
      <c r="F4095" t="s">
        <v>12863</v>
      </c>
      <c r="G4095" s="1">
        <v>41010</v>
      </c>
      <c r="J4095" t="s">
        <v>20950</v>
      </c>
      <c r="K4095" t="s">
        <v>263</v>
      </c>
      <c r="L4095" t="s">
        <v>20951</v>
      </c>
      <c r="M4095" t="s">
        <v>20952</v>
      </c>
      <c r="N4095" t="s">
        <v>20953</v>
      </c>
      <c r="O4095" t="s">
        <v>26</v>
      </c>
      <c r="P4095">
        <v>142.5</v>
      </c>
      <c r="Q4095">
        <v>118.75</v>
      </c>
      <c r="R4095">
        <v>95</v>
      </c>
      <c r="S4095">
        <v>142.5</v>
      </c>
      <c r="T4095" t="s">
        <v>20954</v>
      </c>
    </row>
    <row r="4096" spans="1:20">
      <c r="A4096">
        <v>3332166</v>
      </c>
      <c r="B4096" t="s">
        <v>20955</v>
      </c>
      <c r="C4096" t="str">
        <f>"9780773538054"</f>
        <v>9780773538054</v>
      </c>
      <c r="D4096" t="str">
        <f>"9780773586536"</f>
        <v>9780773586536</v>
      </c>
      <c r="E4096" t="s">
        <v>12863</v>
      </c>
      <c r="F4096" t="s">
        <v>12863</v>
      </c>
      <c r="G4096" s="1">
        <v>40616</v>
      </c>
      <c r="J4096" t="s">
        <v>20956</v>
      </c>
      <c r="K4096" t="s">
        <v>550</v>
      </c>
      <c r="L4096" t="s">
        <v>20957</v>
      </c>
      <c r="M4096" t="s">
        <v>20958</v>
      </c>
      <c r="N4096" t="s">
        <v>20959</v>
      </c>
      <c r="O4096" t="s">
        <v>26</v>
      </c>
      <c r="P4096">
        <v>142.5</v>
      </c>
      <c r="Q4096">
        <v>118.75</v>
      </c>
      <c r="R4096">
        <v>95</v>
      </c>
      <c r="S4096">
        <v>142.5</v>
      </c>
      <c r="T4096" t="s">
        <v>20960</v>
      </c>
    </row>
    <row r="4097" spans="1:20">
      <c r="A4097">
        <v>3332167</v>
      </c>
      <c r="B4097" t="s">
        <v>20961</v>
      </c>
      <c r="C4097" t="str">
        <f>"9780886292751"</f>
        <v>9780886292751</v>
      </c>
      <c r="D4097" t="str">
        <f>"9780773581661"</f>
        <v>9780773581661</v>
      </c>
      <c r="E4097" t="s">
        <v>12863</v>
      </c>
      <c r="F4097" t="s">
        <v>12863</v>
      </c>
      <c r="G4097" s="1">
        <v>35018</v>
      </c>
      <c r="J4097" t="s">
        <v>20962</v>
      </c>
      <c r="K4097" t="s">
        <v>2387</v>
      </c>
      <c r="L4097" t="s">
        <v>20963</v>
      </c>
      <c r="M4097">
        <v>641</v>
      </c>
      <c r="N4097" t="s">
        <v>20964</v>
      </c>
      <c r="O4097" t="s">
        <v>26</v>
      </c>
      <c r="P4097">
        <v>142.5</v>
      </c>
      <c r="Q4097">
        <v>118.75</v>
      </c>
      <c r="R4097">
        <v>95</v>
      </c>
      <c r="S4097">
        <v>142.5</v>
      </c>
      <c r="T4097" t="s">
        <v>20965</v>
      </c>
    </row>
    <row r="4098" spans="1:20">
      <c r="A4098">
        <v>3332168</v>
      </c>
      <c r="B4098" t="s">
        <v>20966</v>
      </c>
      <c r="C4098" t="str">
        <f>"9780773529823"</f>
        <v>9780773529823</v>
      </c>
      <c r="D4098" t="str">
        <f>"9780773582620"</f>
        <v>9780773582620</v>
      </c>
      <c r="E4098" t="s">
        <v>12863</v>
      </c>
      <c r="F4098" t="s">
        <v>12863</v>
      </c>
      <c r="G4098" s="1">
        <v>38519</v>
      </c>
      <c r="J4098" t="s">
        <v>20967</v>
      </c>
      <c r="K4098" t="s">
        <v>1859</v>
      </c>
      <c r="L4098" t="s">
        <v>20968</v>
      </c>
      <c r="M4098">
        <v>194</v>
      </c>
      <c r="N4098" t="s">
        <v>20969</v>
      </c>
      <c r="O4098" t="s">
        <v>26</v>
      </c>
      <c r="P4098">
        <v>44.93</v>
      </c>
      <c r="Q4098">
        <v>37.44</v>
      </c>
      <c r="R4098">
        <v>29.95</v>
      </c>
      <c r="S4098">
        <v>44.93</v>
      </c>
      <c r="T4098" t="s">
        <v>20970</v>
      </c>
    </row>
    <row r="4099" spans="1:20">
      <c r="A4099">
        <v>3332169</v>
      </c>
      <c r="B4099" t="s">
        <v>20971</v>
      </c>
      <c r="C4099" t="str">
        <f>"9780886293178"</f>
        <v>9780886293178</v>
      </c>
      <c r="D4099" t="str">
        <f>"9780773583641"</f>
        <v>9780773583641</v>
      </c>
      <c r="E4099" t="s">
        <v>12863</v>
      </c>
      <c r="F4099" t="s">
        <v>12863</v>
      </c>
      <c r="G4099" s="1">
        <v>35139</v>
      </c>
      <c r="I4099" t="s">
        <v>20972</v>
      </c>
      <c r="J4099" t="s">
        <v>20973</v>
      </c>
      <c r="K4099" t="s">
        <v>1464</v>
      </c>
      <c r="L4099" t="s">
        <v>20974</v>
      </c>
      <c r="M4099">
        <v>810.98396100000002</v>
      </c>
      <c r="N4099" t="s">
        <v>20975</v>
      </c>
      <c r="O4099" t="s">
        <v>26</v>
      </c>
      <c r="P4099">
        <v>142.5</v>
      </c>
      <c r="Q4099">
        <v>118.75</v>
      </c>
      <c r="R4099">
        <v>95</v>
      </c>
      <c r="S4099">
        <v>142.5</v>
      </c>
      <c r="T4099" t="s">
        <v>20976</v>
      </c>
    </row>
    <row r="4100" spans="1:20">
      <c r="A4100">
        <v>3332170</v>
      </c>
      <c r="B4100" t="s">
        <v>20977</v>
      </c>
      <c r="C4100" t="str">
        <f>"9780773537262"</f>
        <v>9780773537262</v>
      </c>
      <c r="D4100" t="str">
        <f>"9780773581159"</f>
        <v>9780773581159</v>
      </c>
      <c r="E4100" t="s">
        <v>12863</v>
      </c>
      <c r="F4100" t="s">
        <v>12863</v>
      </c>
      <c r="G4100" s="1">
        <v>40360</v>
      </c>
      <c r="J4100" t="s">
        <v>20758</v>
      </c>
      <c r="K4100" t="s">
        <v>473</v>
      </c>
      <c r="L4100" t="s">
        <v>20978</v>
      </c>
      <c r="M4100">
        <v>303.33</v>
      </c>
      <c r="N4100" t="s">
        <v>20979</v>
      </c>
      <c r="O4100" t="s">
        <v>26</v>
      </c>
      <c r="P4100">
        <v>44.93</v>
      </c>
      <c r="Q4100">
        <v>37.44</v>
      </c>
      <c r="R4100">
        <v>29.95</v>
      </c>
      <c r="S4100">
        <v>44.93</v>
      </c>
      <c r="T4100" t="s">
        <v>20980</v>
      </c>
    </row>
    <row r="4101" spans="1:20">
      <c r="A4101">
        <v>3332171</v>
      </c>
      <c r="B4101" t="s">
        <v>20981</v>
      </c>
      <c r="C4101" t="str">
        <f>"9780773521988"</f>
        <v>9780773521988</v>
      </c>
      <c r="D4101" t="str">
        <f>"9780773583856"</f>
        <v>9780773583856</v>
      </c>
      <c r="E4101" t="s">
        <v>12863</v>
      </c>
      <c r="F4101" t="s">
        <v>12863</v>
      </c>
      <c r="G4101" s="1">
        <v>36847</v>
      </c>
      <c r="J4101" t="s">
        <v>20982</v>
      </c>
      <c r="K4101" t="s">
        <v>284</v>
      </c>
      <c r="L4101" t="s">
        <v>20983</v>
      </c>
      <c r="M4101">
        <v>335</v>
      </c>
      <c r="N4101" t="s">
        <v>20984</v>
      </c>
      <c r="O4101" t="s">
        <v>26</v>
      </c>
      <c r="P4101">
        <v>142.5</v>
      </c>
      <c r="Q4101">
        <v>118.75</v>
      </c>
      <c r="R4101">
        <v>95</v>
      </c>
      <c r="S4101">
        <v>142.5</v>
      </c>
      <c r="T4101" t="s">
        <v>20985</v>
      </c>
    </row>
    <row r="4102" spans="1:20">
      <c r="A4102">
        <v>3332172</v>
      </c>
      <c r="B4102" t="s">
        <v>20986</v>
      </c>
      <c r="C4102" t="str">
        <f>"9780773524903"</f>
        <v>9780773524903</v>
      </c>
      <c r="D4102" t="str">
        <f>"9780773583139"</f>
        <v>9780773583139</v>
      </c>
      <c r="E4102" t="s">
        <v>12863</v>
      </c>
      <c r="F4102" t="s">
        <v>12863</v>
      </c>
      <c r="G4102" s="1">
        <v>39934</v>
      </c>
      <c r="J4102" t="s">
        <v>20397</v>
      </c>
      <c r="K4102" t="s">
        <v>1464</v>
      </c>
      <c r="L4102" t="s">
        <v>20987</v>
      </c>
      <c r="M4102" t="s">
        <v>1460</v>
      </c>
      <c r="N4102" t="s">
        <v>20988</v>
      </c>
      <c r="O4102" t="s">
        <v>26</v>
      </c>
      <c r="P4102">
        <v>29.93</v>
      </c>
      <c r="Q4102">
        <v>24.94</v>
      </c>
      <c r="R4102">
        <v>19.95</v>
      </c>
      <c r="S4102">
        <v>29.93</v>
      </c>
      <c r="T4102" t="s">
        <v>20989</v>
      </c>
    </row>
    <row r="4103" spans="1:20">
      <c r="A4103">
        <v>3332173</v>
      </c>
      <c r="B4103" t="s">
        <v>20990</v>
      </c>
      <c r="C4103" t="str">
        <f>"9780773537538"</f>
        <v>9780773537538</v>
      </c>
      <c r="D4103" t="str">
        <f>"9780773580961"</f>
        <v>9780773580961</v>
      </c>
      <c r="E4103" t="s">
        <v>12863</v>
      </c>
      <c r="F4103" t="s">
        <v>12863</v>
      </c>
      <c r="G4103" s="1">
        <v>40451</v>
      </c>
      <c r="J4103" t="s">
        <v>20991</v>
      </c>
      <c r="K4103" t="s">
        <v>525</v>
      </c>
      <c r="L4103" t="s">
        <v>20992</v>
      </c>
      <c r="M4103">
        <v>341.09710000000001</v>
      </c>
      <c r="N4103" t="s">
        <v>20993</v>
      </c>
      <c r="O4103" t="s">
        <v>26</v>
      </c>
      <c r="P4103">
        <v>142.5</v>
      </c>
      <c r="Q4103">
        <v>118.75</v>
      </c>
      <c r="R4103">
        <v>95</v>
      </c>
      <c r="S4103">
        <v>142.5</v>
      </c>
      <c r="T4103" t="s">
        <v>20994</v>
      </c>
    </row>
    <row r="4104" spans="1:20">
      <c r="A4104">
        <v>3332174</v>
      </c>
      <c r="B4104" t="s">
        <v>20995</v>
      </c>
      <c r="C4104" t="str">
        <f>"9780773527850"</f>
        <v>9780773527850</v>
      </c>
      <c r="D4104" t="str">
        <f>"9780773580459"</f>
        <v>9780773580459</v>
      </c>
      <c r="E4104" t="s">
        <v>12863</v>
      </c>
      <c r="F4104" t="s">
        <v>12863</v>
      </c>
      <c r="G4104" s="1">
        <v>38244</v>
      </c>
      <c r="I4104" t="s">
        <v>20996</v>
      </c>
      <c r="J4104" t="s">
        <v>20997</v>
      </c>
      <c r="K4104" t="s">
        <v>4081</v>
      </c>
      <c r="L4104" t="s">
        <v>20998</v>
      </c>
      <c r="M4104">
        <v>491.43982420999998</v>
      </c>
      <c r="N4104" t="s">
        <v>20999</v>
      </c>
      <c r="O4104" t="s">
        <v>26</v>
      </c>
      <c r="P4104">
        <v>37.5</v>
      </c>
      <c r="Q4104">
        <v>31.25</v>
      </c>
      <c r="R4104">
        <v>25</v>
      </c>
      <c r="S4104">
        <v>37.5</v>
      </c>
      <c r="T4104" t="s">
        <v>21000</v>
      </c>
    </row>
    <row r="4105" spans="1:20">
      <c r="A4105">
        <v>3332175</v>
      </c>
      <c r="B4105" t="s">
        <v>21001</v>
      </c>
      <c r="C4105" t="str">
        <f>"9780773527805"</f>
        <v>9780773527805</v>
      </c>
      <c r="D4105" t="str">
        <f>"9780773582736"</f>
        <v>9780773582736</v>
      </c>
      <c r="E4105" t="s">
        <v>12863</v>
      </c>
      <c r="F4105" t="s">
        <v>12863</v>
      </c>
      <c r="G4105" s="1">
        <v>38082</v>
      </c>
      <c r="I4105" t="s">
        <v>21002</v>
      </c>
      <c r="J4105" t="s">
        <v>21003</v>
      </c>
      <c r="K4105" t="s">
        <v>1859</v>
      </c>
      <c r="L4105" t="s">
        <v>21004</v>
      </c>
      <c r="M4105">
        <v>191</v>
      </c>
      <c r="N4105" t="s">
        <v>21005</v>
      </c>
      <c r="O4105" t="s">
        <v>26</v>
      </c>
      <c r="P4105">
        <v>142.5</v>
      </c>
      <c r="Q4105">
        <v>118.75</v>
      </c>
      <c r="R4105">
        <v>95</v>
      </c>
      <c r="S4105">
        <v>142.5</v>
      </c>
      <c r="T4105" t="s">
        <v>21006</v>
      </c>
    </row>
    <row r="4106" spans="1:20">
      <c r="A4106">
        <v>3332176</v>
      </c>
      <c r="B4106" t="s">
        <v>21007</v>
      </c>
      <c r="C4106" t="str">
        <f>"9780773536739"</f>
        <v>9780773536739</v>
      </c>
      <c r="D4106" t="str">
        <f>"9780773581050"</f>
        <v>9780773581050</v>
      </c>
      <c r="E4106" t="s">
        <v>12863</v>
      </c>
      <c r="F4106" t="s">
        <v>12863</v>
      </c>
      <c r="G4106" s="1">
        <v>40256</v>
      </c>
      <c r="J4106" t="s">
        <v>21008</v>
      </c>
      <c r="K4106" t="s">
        <v>467</v>
      </c>
      <c r="L4106" t="s">
        <v>21009</v>
      </c>
      <c r="M4106">
        <v>320.51</v>
      </c>
      <c r="N4106" t="s">
        <v>21010</v>
      </c>
      <c r="O4106" t="s">
        <v>26</v>
      </c>
      <c r="P4106">
        <v>142.5</v>
      </c>
      <c r="Q4106">
        <v>118.75</v>
      </c>
      <c r="R4106">
        <v>95</v>
      </c>
      <c r="S4106">
        <v>142.5</v>
      </c>
      <c r="T4106" t="s">
        <v>21011</v>
      </c>
    </row>
    <row r="4107" spans="1:20">
      <c r="A4107">
        <v>3332177</v>
      </c>
      <c r="B4107" t="s">
        <v>21012</v>
      </c>
      <c r="C4107" t="str">
        <f>"9780773538207"</f>
        <v>9780773538207</v>
      </c>
      <c r="D4107" t="str">
        <f>"9780773586499"</f>
        <v>9780773586499</v>
      </c>
      <c r="E4107" t="s">
        <v>12863</v>
      </c>
      <c r="F4107" t="s">
        <v>12863</v>
      </c>
      <c r="G4107" s="1">
        <v>40556</v>
      </c>
      <c r="I4107" t="s">
        <v>18279</v>
      </c>
      <c r="J4107" t="s">
        <v>21013</v>
      </c>
      <c r="K4107" t="s">
        <v>416</v>
      </c>
      <c r="L4107" t="s">
        <v>21014</v>
      </c>
      <c r="M4107">
        <v>330.09199999999998</v>
      </c>
      <c r="N4107" t="s">
        <v>21015</v>
      </c>
      <c r="O4107" t="s">
        <v>26</v>
      </c>
      <c r="P4107">
        <v>52.43</v>
      </c>
      <c r="Q4107">
        <v>43.69</v>
      </c>
      <c r="R4107">
        <v>34.950000000000003</v>
      </c>
      <c r="S4107">
        <v>52.43</v>
      </c>
      <c r="T4107" t="s">
        <v>21016</v>
      </c>
    </row>
    <row r="4108" spans="1:20">
      <c r="A4108">
        <v>3332178</v>
      </c>
      <c r="B4108" t="s">
        <v>21017</v>
      </c>
      <c r="C4108" t="str">
        <f>"9780773522688"</f>
        <v>9780773522688</v>
      </c>
      <c r="D4108" t="str">
        <f>"9780773583542"</f>
        <v>9780773583542</v>
      </c>
      <c r="E4108" t="s">
        <v>12863</v>
      </c>
      <c r="F4108" t="s">
        <v>12863</v>
      </c>
      <c r="G4108" s="1">
        <v>36991</v>
      </c>
      <c r="I4108" t="s">
        <v>21018</v>
      </c>
      <c r="J4108" t="s">
        <v>21019</v>
      </c>
      <c r="K4108" t="s">
        <v>1859</v>
      </c>
      <c r="L4108" t="s">
        <v>21020</v>
      </c>
      <c r="M4108" t="s">
        <v>21021</v>
      </c>
      <c r="N4108" t="s">
        <v>21022</v>
      </c>
      <c r="O4108" t="s">
        <v>26</v>
      </c>
      <c r="P4108">
        <v>44.93</v>
      </c>
      <c r="Q4108">
        <v>37.44</v>
      </c>
      <c r="R4108">
        <v>29.95</v>
      </c>
      <c r="S4108">
        <v>44.93</v>
      </c>
      <c r="T4108" t="s">
        <v>21023</v>
      </c>
    </row>
    <row r="4109" spans="1:20">
      <c r="A4109">
        <v>3332179</v>
      </c>
      <c r="B4109" t="s">
        <v>21024</v>
      </c>
      <c r="C4109" t="str">
        <f>"9780771097959"</f>
        <v>9780771097959</v>
      </c>
      <c r="D4109" t="str">
        <f>"9780773582019"</f>
        <v>9780773582019</v>
      </c>
      <c r="E4109" t="s">
        <v>12863</v>
      </c>
      <c r="F4109" t="s">
        <v>12863</v>
      </c>
      <c r="G4109" s="1">
        <v>27774</v>
      </c>
      <c r="I4109" t="s">
        <v>13270</v>
      </c>
      <c r="J4109" t="s">
        <v>21025</v>
      </c>
      <c r="K4109" t="s">
        <v>467</v>
      </c>
      <c r="L4109" t="s">
        <v>21026</v>
      </c>
      <c r="M4109" t="s">
        <v>21027</v>
      </c>
      <c r="N4109" t="s">
        <v>21028</v>
      </c>
      <c r="O4109" t="s">
        <v>26</v>
      </c>
      <c r="P4109">
        <v>142.5</v>
      </c>
      <c r="Q4109">
        <v>118.75</v>
      </c>
      <c r="R4109">
        <v>95</v>
      </c>
      <c r="S4109">
        <v>142.5</v>
      </c>
      <c r="T4109" t="s">
        <v>21029</v>
      </c>
    </row>
    <row r="4110" spans="1:20">
      <c r="A4110">
        <v>3332180</v>
      </c>
      <c r="B4110" t="s">
        <v>21030</v>
      </c>
      <c r="C4110" t="str">
        <f>"9780773538443"</f>
        <v>9780773538443</v>
      </c>
      <c r="D4110" t="str">
        <f>"9780773585522"</f>
        <v>9780773585522</v>
      </c>
      <c r="E4110" t="s">
        <v>12863</v>
      </c>
      <c r="F4110" t="s">
        <v>12863</v>
      </c>
      <c r="G4110" s="1">
        <v>40596</v>
      </c>
      <c r="J4110" t="s">
        <v>21031</v>
      </c>
      <c r="K4110" t="s">
        <v>1127</v>
      </c>
      <c r="L4110" t="s">
        <v>21032</v>
      </c>
      <c r="M4110" t="s">
        <v>21033</v>
      </c>
      <c r="N4110" t="s">
        <v>21034</v>
      </c>
      <c r="O4110" t="s">
        <v>26</v>
      </c>
      <c r="P4110">
        <v>37.43</v>
      </c>
      <c r="Q4110">
        <v>31.19</v>
      </c>
      <c r="R4110">
        <v>24.95</v>
      </c>
      <c r="S4110">
        <v>37.43</v>
      </c>
      <c r="T4110" t="s">
        <v>21035</v>
      </c>
    </row>
    <row r="4111" spans="1:20">
      <c r="A4111">
        <v>3332181</v>
      </c>
      <c r="B4111" t="s">
        <v>21036</v>
      </c>
      <c r="C4111" t="str">
        <f>"9780773528840"</f>
        <v>9780773528840</v>
      </c>
      <c r="D4111" t="str">
        <f>"9780773581821"</f>
        <v>9780773581821</v>
      </c>
      <c r="E4111" t="s">
        <v>12863</v>
      </c>
      <c r="F4111" t="s">
        <v>12863</v>
      </c>
      <c r="G4111" s="1">
        <v>38232</v>
      </c>
      <c r="I4111" t="s">
        <v>21002</v>
      </c>
      <c r="J4111" t="s">
        <v>21037</v>
      </c>
      <c r="K4111" t="s">
        <v>1859</v>
      </c>
      <c r="L4111" t="s">
        <v>21038</v>
      </c>
      <c r="M4111">
        <v>191</v>
      </c>
      <c r="N4111" t="s">
        <v>21039</v>
      </c>
      <c r="O4111" t="s">
        <v>26</v>
      </c>
      <c r="P4111">
        <v>44.93</v>
      </c>
      <c r="Q4111">
        <v>37.44</v>
      </c>
      <c r="R4111">
        <v>29.95</v>
      </c>
      <c r="S4111">
        <v>44.93</v>
      </c>
      <c r="T4111" t="s">
        <v>21040</v>
      </c>
    </row>
    <row r="4112" spans="1:20">
      <c r="A4112">
        <v>3332182</v>
      </c>
      <c r="B4112" t="s">
        <v>21041</v>
      </c>
      <c r="C4112" t="str">
        <f>"9780773531796"</f>
        <v>9780773531796</v>
      </c>
      <c r="D4112" t="str">
        <f>"9780773585584"</f>
        <v>9780773585584</v>
      </c>
      <c r="E4112" t="s">
        <v>12863</v>
      </c>
      <c r="F4112" t="s">
        <v>12863</v>
      </c>
      <c r="G4112" s="1">
        <v>38929</v>
      </c>
      <c r="I4112" t="s">
        <v>21002</v>
      </c>
      <c r="J4112" t="s">
        <v>21042</v>
      </c>
      <c r="K4112" t="s">
        <v>1859</v>
      </c>
      <c r="L4112" t="s">
        <v>21043</v>
      </c>
      <c r="M4112">
        <v>192</v>
      </c>
      <c r="N4112" t="s">
        <v>21044</v>
      </c>
      <c r="O4112" t="s">
        <v>26</v>
      </c>
      <c r="P4112">
        <v>142.5</v>
      </c>
      <c r="Q4112">
        <v>118.75</v>
      </c>
      <c r="R4112">
        <v>95</v>
      </c>
      <c r="S4112">
        <v>142.5</v>
      </c>
      <c r="T4112" t="s">
        <v>21045</v>
      </c>
    </row>
    <row r="4113" spans="1:20">
      <c r="A4113">
        <v>3332183</v>
      </c>
      <c r="B4113" t="s">
        <v>21046</v>
      </c>
      <c r="C4113" t="str">
        <f>"9780773537804"</f>
        <v>9780773537804</v>
      </c>
      <c r="D4113" t="str">
        <f>"9780773586543"</f>
        <v>9780773586543</v>
      </c>
      <c r="E4113" t="s">
        <v>12863</v>
      </c>
      <c r="F4113" t="s">
        <v>12863</v>
      </c>
      <c r="G4113" s="1">
        <v>40778</v>
      </c>
      <c r="J4113" t="s">
        <v>21047</v>
      </c>
      <c r="K4113" t="s">
        <v>791</v>
      </c>
      <c r="L4113" t="s">
        <v>21048</v>
      </c>
      <c r="M4113" t="s">
        <v>21049</v>
      </c>
      <c r="N4113" t="s">
        <v>21050</v>
      </c>
      <c r="O4113" t="s">
        <v>26</v>
      </c>
      <c r="P4113">
        <v>142.5</v>
      </c>
      <c r="Q4113">
        <v>118.75</v>
      </c>
      <c r="R4113">
        <v>95</v>
      </c>
      <c r="S4113">
        <v>142.5</v>
      </c>
      <c r="T4113" t="s">
        <v>21051</v>
      </c>
    </row>
    <row r="4114" spans="1:20">
      <c r="A4114">
        <v>3332184</v>
      </c>
      <c r="B4114" t="s">
        <v>21052</v>
      </c>
      <c r="C4114" t="str">
        <f>"9780773538832"</f>
        <v>9780773538832</v>
      </c>
      <c r="D4114" t="str">
        <f>"9780773585799"</f>
        <v>9780773585799</v>
      </c>
      <c r="E4114" t="s">
        <v>12863</v>
      </c>
      <c r="F4114" t="s">
        <v>12863</v>
      </c>
      <c r="G4114" s="1">
        <v>40749</v>
      </c>
      <c r="I4114" t="s">
        <v>18279</v>
      </c>
      <c r="J4114" t="s">
        <v>21053</v>
      </c>
      <c r="K4114" t="s">
        <v>291</v>
      </c>
      <c r="L4114" t="s">
        <v>21054</v>
      </c>
      <c r="M4114" t="s">
        <v>21055</v>
      </c>
      <c r="N4114" t="s">
        <v>21056</v>
      </c>
      <c r="O4114" t="s">
        <v>26</v>
      </c>
      <c r="P4114">
        <v>52.43</v>
      </c>
      <c r="Q4114">
        <v>43.69</v>
      </c>
      <c r="R4114">
        <v>34.950000000000003</v>
      </c>
      <c r="S4114">
        <v>52.43</v>
      </c>
      <c r="T4114" t="s">
        <v>21057</v>
      </c>
    </row>
    <row r="4115" spans="1:20">
      <c r="A4115">
        <v>3332185</v>
      </c>
      <c r="B4115" t="s">
        <v>21058</v>
      </c>
      <c r="C4115" t="str">
        <f>"9780773539846"</f>
        <v>9780773539846</v>
      </c>
      <c r="D4115" t="str">
        <f>"9780773586758"</f>
        <v>9780773586758</v>
      </c>
      <c r="E4115" t="s">
        <v>12863</v>
      </c>
      <c r="F4115" t="s">
        <v>12863</v>
      </c>
      <c r="G4115" s="1">
        <v>40960</v>
      </c>
      <c r="I4115" t="s">
        <v>19169</v>
      </c>
      <c r="J4115" t="s">
        <v>21059</v>
      </c>
      <c r="K4115" t="s">
        <v>1464</v>
      </c>
      <c r="L4115" t="s">
        <v>21060</v>
      </c>
      <c r="M4115">
        <v>811.6</v>
      </c>
      <c r="N4115" t="s">
        <v>19279</v>
      </c>
      <c r="O4115" t="s">
        <v>26</v>
      </c>
      <c r="P4115">
        <v>22.43</v>
      </c>
      <c r="Q4115">
        <v>18.690000000000001</v>
      </c>
      <c r="R4115">
        <v>14.95</v>
      </c>
      <c r="S4115">
        <v>22.43</v>
      </c>
      <c r="T4115" t="s">
        <v>21061</v>
      </c>
    </row>
    <row r="4116" spans="1:20">
      <c r="A4116">
        <v>3332186</v>
      </c>
      <c r="B4116" t="s">
        <v>21062</v>
      </c>
      <c r="C4116" t="str">
        <f>"9780773533257"</f>
        <v>9780773533257</v>
      </c>
      <c r="D4116" t="str">
        <f>"9780773575554"</f>
        <v>9780773575554</v>
      </c>
      <c r="E4116" t="s">
        <v>12863</v>
      </c>
      <c r="F4116" t="s">
        <v>12863</v>
      </c>
      <c r="G4116" s="1">
        <v>39300</v>
      </c>
      <c r="J4116" t="s">
        <v>21063</v>
      </c>
      <c r="K4116" t="s">
        <v>291</v>
      </c>
      <c r="L4116" t="s">
        <v>21064</v>
      </c>
      <c r="M4116" t="s">
        <v>21065</v>
      </c>
      <c r="N4116" t="s">
        <v>16509</v>
      </c>
      <c r="O4116" t="s">
        <v>26</v>
      </c>
      <c r="P4116">
        <v>44.93</v>
      </c>
      <c r="Q4116">
        <v>37.44</v>
      </c>
      <c r="R4116">
        <v>29.95</v>
      </c>
      <c r="S4116">
        <v>44.93</v>
      </c>
      <c r="T4116" t="s">
        <v>21066</v>
      </c>
    </row>
    <row r="4117" spans="1:20">
      <c r="A4117">
        <v>3332187</v>
      </c>
      <c r="B4117" t="s">
        <v>21067</v>
      </c>
      <c r="C4117" t="str">
        <f>"9780773537507"</f>
        <v>9780773537507</v>
      </c>
      <c r="D4117" t="str">
        <f>"9780773581104"</f>
        <v>9780773581104</v>
      </c>
      <c r="E4117" t="s">
        <v>12863</v>
      </c>
      <c r="F4117" t="s">
        <v>12863</v>
      </c>
      <c r="G4117" s="1">
        <v>40463</v>
      </c>
      <c r="J4117" t="s">
        <v>21068</v>
      </c>
      <c r="K4117" t="s">
        <v>291</v>
      </c>
      <c r="L4117" t="s">
        <v>21069</v>
      </c>
      <c r="M4117" t="s">
        <v>21070</v>
      </c>
      <c r="N4117" t="s">
        <v>21071</v>
      </c>
      <c r="O4117" t="s">
        <v>26</v>
      </c>
      <c r="P4117">
        <v>74.930000000000007</v>
      </c>
      <c r="Q4117">
        <v>62.44</v>
      </c>
      <c r="R4117">
        <v>49.95</v>
      </c>
      <c r="S4117">
        <v>74.930000000000007</v>
      </c>
      <c r="T4117" t="s">
        <v>21072</v>
      </c>
    </row>
    <row r="4118" spans="1:20">
      <c r="A4118">
        <v>3332188</v>
      </c>
      <c r="B4118" t="s">
        <v>21073</v>
      </c>
      <c r="C4118" t="str">
        <f>"9780886293215"</f>
        <v>9780886293215</v>
      </c>
      <c r="D4118" t="str">
        <f>"9780773581883"</f>
        <v>9780773581883</v>
      </c>
      <c r="E4118" t="s">
        <v>12863</v>
      </c>
      <c r="F4118" t="s">
        <v>12863</v>
      </c>
      <c r="G4118" s="1">
        <v>35565</v>
      </c>
      <c r="I4118" t="s">
        <v>21074</v>
      </c>
      <c r="J4118" t="s">
        <v>21075</v>
      </c>
      <c r="K4118" t="s">
        <v>550</v>
      </c>
      <c r="L4118" t="s">
        <v>21076</v>
      </c>
      <c r="M4118">
        <v>363</v>
      </c>
      <c r="N4118" t="s">
        <v>21077</v>
      </c>
      <c r="O4118" t="s">
        <v>26</v>
      </c>
      <c r="P4118">
        <v>142.5</v>
      </c>
      <c r="Q4118">
        <v>118.75</v>
      </c>
      <c r="R4118">
        <v>95</v>
      </c>
      <c r="S4118">
        <v>142.5</v>
      </c>
      <c r="T4118" t="s">
        <v>21078</v>
      </c>
    </row>
    <row r="4119" spans="1:20">
      <c r="A4119">
        <v>3332189</v>
      </c>
      <c r="B4119" t="s">
        <v>21079</v>
      </c>
      <c r="C4119" t="str">
        <f>"9780773537644"</f>
        <v>9780773537644</v>
      </c>
      <c r="D4119" t="str">
        <f>"9780773581166"</f>
        <v>9780773581166</v>
      </c>
      <c r="E4119" t="s">
        <v>12863</v>
      </c>
      <c r="F4119" t="s">
        <v>12863</v>
      </c>
      <c r="G4119" s="1">
        <v>40484</v>
      </c>
      <c r="J4119" t="s">
        <v>17550</v>
      </c>
      <c r="K4119" t="s">
        <v>263</v>
      </c>
      <c r="L4119" t="s">
        <v>21080</v>
      </c>
      <c r="M4119">
        <v>305.42092000000002</v>
      </c>
      <c r="N4119" t="s">
        <v>21081</v>
      </c>
      <c r="O4119" t="s">
        <v>26</v>
      </c>
      <c r="P4119">
        <v>67.430000000000007</v>
      </c>
      <c r="Q4119">
        <v>56.19</v>
      </c>
      <c r="R4119">
        <v>44.95</v>
      </c>
      <c r="S4119">
        <v>67.430000000000007</v>
      </c>
      <c r="T4119" t="s">
        <v>21082</v>
      </c>
    </row>
    <row r="4120" spans="1:20">
      <c r="A4120">
        <v>3332190</v>
      </c>
      <c r="B4120" t="s">
        <v>21083</v>
      </c>
      <c r="C4120" t="str">
        <f>"9780886291495"</f>
        <v>9780886291495</v>
      </c>
      <c r="D4120" t="str">
        <f>"9780773582187"</f>
        <v>9780773582187</v>
      </c>
      <c r="E4120" t="s">
        <v>12863</v>
      </c>
      <c r="F4120" t="s">
        <v>12863</v>
      </c>
      <c r="G4120" s="1">
        <v>41773</v>
      </c>
      <c r="I4120" t="s">
        <v>13270</v>
      </c>
      <c r="J4120" t="s">
        <v>18905</v>
      </c>
      <c r="K4120" t="s">
        <v>291</v>
      </c>
      <c r="L4120" t="s">
        <v>21084</v>
      </c>
      <c r="M4120">
        <v>971.4</v>
      </c>
      <c r="N4120" t="s">
        <v>21085</v>
      </c>
      <c r="O4120" t="s">
        <v>26</v>
      </c>
      <c r="P4120">
        <v>142.5</v>
      </c>
      <c r="Q4120">
        <v>118.75</v>
      </c>
      <c r="R4120">
        <v>95</v>
      </c>
      <c r="S4120">
        <v>142.5</v>
      </c>
      <c r="T4120" t="s">
        <v>21086</v>
      </c>
    </row>
    <row r="4121" spans="1:20">
      <c r="A4121">
        <v>3332191</v>
      </c>
      <c r="B4121" t="s">
        <v>21087</v>
      </c>
      <c r="C4121" t="str">
        <f>"9780773538115"</f>
        <v>9780773538115</v>
      </c>
      <c r="D4121" t="str">
        <f>"9780773586659"</f>
        <v>9780773586659</v>
      </c>
      <c r="E4121" t="s">
        <v>12863</v>
      </c>
      <c r="F4121" t="s">
        <v>12863</v>
      </c>
      <c r="G4121" s="1">
        <v>40749</v>
      </c>
      <c r="J4121" t="s">
        <v>16371</v>
      </c>
      <c r="K4121" t="s">
        <v>1464</v>
      </c>
      <c r="L4121" t="s">
        <v>21088</v>
      </c>
      <c r="M4121">
        <v>821.91209000000003</v>
      </c>
      <c r="N4121" t="s">
        <v>21089</v>
      </c>
      <c r="O4121" t="s">
        <v>26</v>
      </c>
      <c r="P4121">
        <v>142.5</v>
      </c>
      <c r="Q4121">
        <v>118.75</v>
      </c>
      <c r="R4121">
        <v>95</v>
      </c>
      <c r="S4121">
        <v>142.5</v>
      </c>
      <c r="T4121" t="s">
        <v>21090</v>
      </c>
    </row>
    <row r="4122" spans="1:20">
      <c r="A4122">
        <v>3332192</v>
      </c>
      <c r="B4122" t="s">
        <v>21091</v>
      </c>
      <c r="C4122" t="str">
        <f>"9780773527867"</f>
        <v>9780773527867</v>
      </c>
      <c r="D4122" t="str">
        <f>"9780773580466"</f>
        <v>9780773580466</v>
      </c>
      <c r="E4122" t="s">
        <v>12863</v>
      </c>
      <c r="F4122" t="s">
        <v>12863</v>
      </c>
      <c r="G4122" s="1">
        <v>38244</v>
      </c>
      <c r="I4122" t="s">
        <v>20996</v>
      </c>
      <c r="J4122" t="s">
        <v>20997</v>
      </c>
      <c r="K4122" t="s">
        <v>4081</v>
      </c>
      <c r="L4122" t="s">
        <v>20998</v>
      </c>
      <c r="M4122">
        <v>491</v>
      </c>
      <c r="N4122" t="s">
        <v>20999</v>
      </c>
      <c r="O4122" t="s">
        <v>26</v>
      </c>
      <c r="P4122">
        <v>37.5</v>
      </c>
      <c r="Q4122">
        <v>31.25</v>
      </c>
      <c r="R4122">
        <v>25</v>
      </c>
      <c r="S4122">
        <v>37.5</v>
      </c>
      <c r="T4122" t="s">
        <v>21092</v>
      </c>
    </row>
    <row r="4123" spans="1:20">
      <c r="A4123">
        <v>3332193</v>
      </c>
      <c r="B4123" t="s">
        <v>21093</v>
      </c>
      <c r="C4123" t="str">
        <f>"9780773536883"</f>
        <v>9780773536883</v>
      </c>
      <c r="D4123" t="str">
        <f>"9780773582743"</f>
        <v>9780773582743</v>
      </c>
      <c r="E4123" t="s">
        <v>12863</v>
      </c>
      <c r="F4123" t="s">
        <v>12863</v>
      </c>
      <c r="G4123" s="1">
        <v>40316</v>
      </c>
      <c r="J4123" t="s">
        <v>21094</v>
      </c>
      <c r="K4123" t="s">
        <v>1892</v>
      </c>
      <c r="L4123" t="s">
        <v>21095</v>
      </c>
      <c r="M4123" t="s">
        <v>21096</v>
      </c>
      <c r="N4123" t="s">
        <v>21097</v>
      </c>
      <c r="O4123" t="s">
        <v>26</v>
      </c>
      <c r="P4123">
        <v>74.930000000000007</v>
      </c>
      <c r="Q4123">
        <v>62.44</v>
      </c>
      <c r="R4123">
        <v>49.95</v>
      </c>
      <c r="S4123">
        <v>74.930000000000007</v>
      </c>
      <c r="T4123" t="s">
        <v>21098</v>
      </c>
    </row>
    <row r="4124" spans="1:20">
      <c r="A4124">
        <v>3332194</v>
      </c>
      <c r="B4124" t="s">
        <v>21099</v>
      </c>
      <c r="C4124" t="str">
        <f>"9780773508293"</f>
        <v>9780773508293</v>
      </c>
      <c r="D4124" t="str">
        <f>"9780773582026"</f>
        <v>9780773582026</v>
      </c>
      <c r="E4124" t="s">
        <v>12863</v>
      </c>
      <c r="F4124" t="s">
        <v>12863</v>
      </c>
      <c r="G4124" s="1">
        <v>33617</v>
      </c>
      <c r="I4124" t="s">
        <v>12871</v>
      </c>
      <c r="J4124" t="s">
        <v>21100</v>
      </c>
      <c r="K4124" t="s">
        <v>305</v>
      </c>
      <c r="L4124" t="s">
        <v>21101</v>
      </c>
      <c r="M4124">
        <v>382</v>
      </c>
      <c r="N4124" t="s">
        <v>21102</v>
      </c>
      <c r="O4124" t="s">
        <v>26</v>
      </c>
      <c r="P4124">
        <v>142.5</v>
      </c>
      <c r="Q4124">
        <v>118.75</v>
      </c>
      <c r="R4124">
        <v>95</v>
      </c>
      <c r="S4124">
        <v>142.5</v>
      </c>
      <c r="T4124" t="s">
        <v>21103</v>
      </c>
    </row>
    <row r="4125" spans="1:20">
      <c r="A4125">
        <v>3332195</v>
      </c>
      <c r="B4125" t="s">
        <v>21104</v>
      </c>
      <c r="C4125" t="str">
        <f>"9780886293604"</f>
        <v>9780886293604</v>
      </c>
      <c r="D4125" t="str">
        <f>"9780773583764"</f>
        <v>9780773583764</v>
      </c>
      <c r="E4125" t="s">
        <v>12863</v>
      </c>
      <c r="F4125" t="s">
        <v>12863</v>
      </c>
      <c r="G4125" s="1">
        <v>36420</v>
      </c>
      <c r="I4125" t="s">
        <v>21105</v>
      </c>
      <c r="J4125" t="s">
        <v>21106</v>
      </c>
      <c r="K4125" t="s">
        <v>1464</v>
      </c>
      <c r="L4125" t="s">
        <v>21107</v>
      </c>
      <c r="M4125" t="s">
        <v>1497</v>
      </c>
      <c r="N4125" t="s">
        <v>7851</v>
      </c>
      <c r="O4125" t="s">
        <v>26</v>
      </c>
      <c r="P4125">
        <v>26.93</v>
      </c>
      <c r="Q4125">
        <v>22.44</v>
      </c>
      <c r="R4125">
        <v>17.95</v>
      </c>
      <c r="S4125">
        <v>26.93</v>
      </c>
      <c r="T4125" t="s">
        <v>21108</v>
      </c>
    </row>
    <row r="4126" spans="1:20">
      <c r="A4126">
        <v>3332196</v>
      </c>
      <c r="B4126" t="s">
        <v>21109</v>
      </c>
      <c r="C4126" t="str">
        <f>"9780773530157"</f>
        <v>9780773530157</v>
      </c>
      <c r="D4126" t="str">
        <f>"9780773584570"</f>
        <v>9780773584570</v>
      </c>
      <c r="E4126" t="s">
        <v>12863</v>
      </c>
      <c r="F4126" t="s">
        <v>12863</v>
      </c>
      <c r="G4126" s="1">
        <v>38596</v>
      </c>
      <c r="I4126" t="s">
        <v>21110</v>
      </c>
      <c r="J4126" t="s">
        <v>21111</v>
      </c>
      <c r="K4126" t="s">
        <v>1859</v>
      </c>
      <c r="L4126" t="s">
        <v>21112</v>
      </c>
      <c r="M4126">
        <v>100</v>
      </c>
      <c r="N4126" t="s">
        <v>21113</v>
      </c>
      <c r="O4126" t="s">
        <v>26</v>
      </c>
      <c r="P4126">
        <v>44.93</v>
      </c>
      <c r="Q4126">
        <v>37.44</v>
      </c>
      <c r="R4126">
        <v>29.95</v>
      </c>
      <c r="S4126">
        <v>44.93</v>
      </c>
      <c r="T4126" t="s">
        <v>21114</v>
      </c>
    </row>
    <row r="4127" spans="1:20">
      <c r="A4127">
        <v>3332197</v>
      </c>
      <c r="B4127" t="s">
        <v>21115</v>
      </c>
      <c r="C4127" t="str">
        <f>"9780773539358"</f>
        <v>9780773539358</v>
      </c>
      <c r="D4127" t="str">
        <f>"9780773585744"</f>
        <v>9780773585744</v>
      </c>
      <c r="E4127" t="s">
        <v>12863</v>
      </c>
      <c r="F4127" t="s">
        <v>12863</v>
      </c>
      <c r="G4127" s="1">
        <v>40756</v>
      </c>
      <c r="J4127" t="s">
        <v>15676</v>
      </c>
      <c r="K4127" t="s">
        <v>473</v>
      </c>
      <c r="L4127" t="s">
        <v>21116</v>
      </c>
      <c r="M4127" t="s">
        <v>21117</v>
      </c>
      <c r="N4127" t="s">
        <v>21118</v>
      </c>
      <c r="O4127" t="s">
        <v>26</v>
      </c>
      <c r="P4127">
        <v>142.5</v>
      </c>
      <c r="Q4127">
        <v>118.75</v>
      </c>
      <c r="R4127">
        <v>95</v>
      </c>
      <c r="S4127">
        <v>142.5</v>
      </c>
      <c r="T4127" t="s">
        <v>21119</v>
      </c>
    </row>
    <row r="4128" spans="1:20">
      <c r="A4128">
        <v>3332198</v>
      </c>
      <c r="B4128" t="s">
        <v>21120</v>
      </c>
      <c r="C4128" t="str">
        <f>"9780773530843"</f>
        <v>9780773530843</v>
      </c>
      <c r="D4128" t="str">
        <f>"9780773585959"</f>
        <v>9780773585959</v>
      </c>
      <c r="E4128" t="s">
        <v>12863</v>
      </c>
      <c r="F4128" t="s">
        <v>12863</v>
      </c>
      <c r="G4128" s="1">
        <v>38768</v>
      </c>
      <c r="I4128" t="s">
        <v>21002</v>
      </c>
      <c r="J4128" t="s">
        <v>21121</v>
      </c>
      <c r="K4128" t="s">
        <v>1859</v>
      </c>
      <c r="L4128" t="s">
        <v>21122</v>
      </c>
      <c r="M4128">
        <v>191</v>
      </c>
      <c r="N4128" t="s">
        <v>21123</v>
      </c>
      <c r="O4128" t="s">
        <v>26</v>
      </c>
      <c r="P4128">
        <v>44.93</v>
      </c>
      <c r="Q4128">
        <v>37.44</v>
      </c>
      <c r="R4128">
        <v>29.95</v>
      </c>
      <c r="S4128">
        <v>44.93</v>
      </c>
      <c r="T4128" t="s">
        <v>21124</v>
      </c>
    </row>
    <row r="4129" spans="1:20">
      <c r="A4129">
        <v>3332199</v>
      </c>
      <c r="B4129" t="s">
        <v>21125</v>
      </c>
      <c r="C4129" t="str">
        <f>"9780773538863"</f>
        <v>9780773538863</v>
      </c>
      <c r="D4129" t="str">
        <f>"9780773585591"</f>
        <v>9780773585591</v>
      </c>
      <c r="E4129" t="s">
        <v>12863</v>
      </c>
      <c r="F4129" t="s">
        <v>12863</v>
      </c>
      <c r="G4129" s="1">
        <v>40744</v>
      </c>
      <c r="I4129" t="s">
        <v>12963</v>
      </c>
      <c r="J4129" t="s">
        <v>21126</v>
      </c>
      <c r="K4129" t="s">
        <v>263</v>
      </c>
      <c r="L4129" t="s">
        <v>21127</v>
      </c>
      <c r="M4129">
        <v>305.42092000000002</v>
      </c>
      <c r="N4129" t="s">
        <v>21128</v>
      </c>
      <c r="O4129" t="s">
        <v>26</v>
      </c>
      <c r="P4129">
        <v>142.5</v>
      </c>
      <c r="Q4129">
        <v>118.75</v>
      </c>
      <c r="R4129">
        <v>95</v>
      </c>
      <c r="S4129">
        <v>142.5</v>
      </c>
      <c r="T4129" t="s">
        <v>21129</v>
      </c>
    </row>
    <row r="4130" spans="1:20">
      <c r="A4130">
        <v>3332200</v>
      </c>
      <c r="B4130" t="s">
        <v>21130</v>
      </c>
      <c r="C4130" t="str">
        <f>"9780773538535"</f>
        <v>9780773538535</v>
      </c>
      <c r="D4130" t="str">
        <f>"9780773586550"</f>
        <v>9780773586550</v>
      </c>
      <c r="E4130" t="s">
        <v>12863</v>
      </c>
      <c r="F4130" t="s">
        <v>12863</v>
      </c>
      <c r="G4130" s="1">
        <v>40787</v>
      </c>
      <c r="J4130" t="s">
        <v>21131</v>
      </c>
      <c r="K4130" t="s">
        <v>291</v>
      </c>
      <c r="L4130" t="s">
        <v>21132</v>
      </c>
      <c r="M4130">
        <v>975.90086959999996</v>
      </c>
      <c r="N4130" t="s">
        <v>21133</v>
      </c>
      <c r="O4130" t="s">
        <v>26</v>
      </c>
      <c r="P4130">
        <v>142.5</v>
      </c>
      <c r="Q4130">
        <v>118.75</v>
      </c>
      <c r="R4130">
        <v>95</v>
      </c>
      <c r="S4130">
        <v>142.5</v>
      </c>
      <c r="T4130" t="s">
        <v>21134</v>
      </c>
    </row>
    <row r="4131" spans="1:20">
      <c r="A4131">
        <v>3332201</v>
      </c>
      <c r="B4131" t="s">
        <v>21135</v>
      </c>
      <c r="C4131" t="str">
        <f>"9780886290269"</f>
        <v>9780886290269</v>
      </c>
      <c r="D4131" t="str">
        <f>"9780773584068"</f>
        <v>9780773584068</v>
      </c>
      <c r="E4131" t="s">
        <v>12863</v>
      </c>
      <c r="F4131" t="s">
        <v>12863</v>
      </c>
      <c r="G4131" s="1">
        <v>31305</v>
      </c>
      <c r="I4131" t="s">
        <v>13270</v>
      </c>
      <c r="J4131" t="s">
        <v>21136</v>
      </c>
      <c r="K4131" t="s">
        <v>291</v>
      </c>
      <c r="L4131" t="s">
        <v>21137</v>
      </c>
      <c r="M4131" t="s">
        <v>21138</v>
      </c>
      <c r="N4131" t="s">
        <v>21139</v>
      </c>
      <c r="O4131" t="s">
        <v>26</v>
      </c>
      <c r="P4131">
        <v>142.5</v>
      </c>
      <c r="Q4131">
        <v>118.75</v>
      </c>
      <c r="R4131">
        <v>95</v>
      </c>
      <c r="S4131">
        <v>142.5</v>
      </c>
      <c r="T4131" t="s">
        <v>21140</v>
      </c>
    </row>
    <row r="4132" spans="1:20">
      <c r="A4132">
        <v>3332202</v>
      </c>
      <c r="B4132" t="s">
        <v>21141</v>
      </c>
      <c r="C4132" t="str">
        <f>"9780886292799"</f>
        <v>9780886292799</v>
      </c>
      <c r="D4132" t="str">
        <f>"9780773581890"</f>
        <v>9780773581890</v>
      </c>
      <c r="E4132" t="s">
        <v>12863</v>
      </c>
      <c r="F4132" t="s">
        <v>12863</v>
      </c>
      <c r="G4132" s="1">
        <v>35200</v>
      </c>
      <c r="I4132" t="s">
        <v>21074</v>
      </c>
      <c r="J4132" t="s">
        <v>21142</v>
      </c>
      <c r="K4132" t="s">
        <v>263</v>
      </c>
      <c r="L4132" t="s">
        <v>21143</v>
      </c>
      <c r="M4132">
        <v>305.09710000000001</v>
      </c>
      <c r="N4132" t="s">
        <v>21144</v>
      </c>
      <c r="O4132" t="s">
        <v>26</v>
      </c>
      <c r="P4132">
        <v>142.5</v>
      </c>
      <c r="Q4132">
        <v>118.75</v>
      </c>
      <c r="R4132">
        <v>95</v>
      </c>
      <c r="S4132">
        <v>142.5</v>
      </c>
      <c r="T4132" t="s">
        <v>21145</v>
      </c>
    </row>
    <row r="4133" spans="1:20">
      <c r="A4133">
        <v>3332203</v>
      </c>
      <c r="B4133" t="s">
        <v>21146</v>
      </c>
      <c r="C4133" t="str">
        <f>"9780886292485"</f>
        <v>9780886292485</v>
      </c>
      <c r="D4133" t="str">
        <f>"9780773581326"</f>
        <v>9780773581326</v>
      </c>
      <c r="E4133" t="s">
        <v>12863</v>
      </c>
      <c r="F4133" t="s">
        <v>12863</v>
      </c>
      <c r="G4133" s="1">
        <v>34834</v>
      </c>
      <c r="I4133" t="s">
        <v>15076</v>
      </c>
      <c r="J4133" t="s">
        <v>21147</v>
      </c>
      <c r="K4133" t="s">
        <v>263</v>
      </c>
      <c r="L4133" t="s">
        <v>21148</v>
      </c>
      <c r="M4133">
        <v>305</v>
      </c>
      <c r="N4133" t="s">
        <v>21149</v>
      </c>
      <c r="O4133" t="s">
        <v>26</v>
      </c>
      <c r="P4133">
        <v>142.5</v>
      </c>
      <c r="Q4133">
        <v>118.75</v>
      </c>
      <c r="R4133">
        <v>95</v>
      </c>
      <c r="S4133">
        <v>142.5</v>
      </c>
      <c r="T4133" t="s">
        <v>21150</v>
      </c>
    </row>
    <row r="4134" spans="1:20">
      <c r="A4134">
        <v>3332204</v>
      </c>
      <c r="B4134" t="s">
        <v>21151</v>
      </c>
      <c r="C4134" t="str">
        <f>"9780773522367"</f>
        <v>9780773522367</v>
      </c>
      <c r="D4134" t="str">
        <f>"9780773586048"</f>
        <v>9780773586048</v>
      </c>
      <c r="E4134" t="s">
        <v>12863</v>
      </c>
      <c r="F4134" t="s">
        <v>12863</v>
      </c>
      <c r="G4134" s="1">
        <v>37082</v>
      </c>
      <c r="I4134" t="s">
        <v>19093</v>
      </c>
      <c r="J4134" t="s">
        <v>21152</v>
      </c>
      <c r="K4134" t="s">
        <v>467</v>
      </c>
      <c r="L4134" t="s">
        <v>21153</v>
      </c>
      <c r="M4134">
        <v>320</v>
      </c>
      <c r="N4134" t="s">
        <v>21154</v>
      </c>
      <c r="O4134" t="s">
        <v>26</v>
      </c>
      <c r="P4134">
        <v>142.5</v>
      </c>
      <c r="Q4134">
        <v>118.75</v>
      </c>
      <c r="R4134">
        <v>95</v>
      </c>
      <c r="S4134">
        <v>142.5</v>
      </c>
      <c r="T4134" t="s">
        <v>21155</v>
      </c>
    </row>
    <row r="4135" spans="1:20">
      <c r="A4135">
        <v>3332205</v>
      </c>
      <c r="B4135" t="s">
        <v>21156</v>
      </c>
      <c r="C4135" t="str">
        <f>"9780773537736"</f>
        <v>9780773537736</v>
      </c>
      <c r="D4135" t="str">
        <f>"9780773581173"</f>
        <v>9780773581173</v>
      </c>
      <c r="E4135" t="s">
        <v>12863</v>
      </c>
      <c r="F4135" t="s">
        <v>12863</v>
      </c>
      <c r="G4135" s="1">
        <v>40501</v>
      </c>
      <c r="J4135" t="s">
        <v>21157</v>
      </c>
      <c r="K4135" t="s">
        <v>291</v>
      </c>
      <c r="L4135" t="s">
        <v>21158</v>
      </c>
      <c r="M4135" t="s">
        <v>21159</v>
      </c>
      <c r="N4135" t="s">
        <v>21160</v>
      </c>
      <c r="O4135" t="s">
        <v>26</v>
      </c>
      <c r="P4135">
        <v>142.5</v>
      </c>
      <c r="Q4135">
        <v>118.75</v>
      </c>
      <c r="R4135">
        <v>95</v>
      </c>
      <c r="S4135">
        <v>142.5</v>
      </c>
      <c r="T4135" t="s">
        <v>21161</v>
      </c>
    </row>
    <row r="4136" spans="1:20">
      <c r="A4136">
        <v>3332206</v>
      </c>
      <c r="B4136" t="s">
        <v>21162</v>
      </c>
      <c r="C4136" t="str">
        <f>"9780886291938"</f>
        <v>9780886291938</v>
      </c>
      <c r="D4136" t="str">
        <f>"9780773584174"</f>
        <v>9780773584174</v>
      </c>
      <c r="E4136" t="s">
        <v>12863</v>
      </c>
      <c r="F4136" t="s">
        <v>12863</v>
      </c>
      <c r="G4136" s="1">
        <v>33923</v>
      </c>
      <c r="J4136" t="s">
        <v>21163</v>
      </c>
      <c r="K4136" t="s">
        <v>467</v>
      </c>
      <c r="L4136" t="s">
        <v>21164</v>
      </c>
      <c r="M4136">
        <v>327</v>
      </c>
      <c r="N4136" t="s">
        <v>21165</v>
      </c>
      <c r="O4136" t="s">
        <v>26</v>
      </c>
      <c r="P4136">
        <v>142.5</v>
      </c>
      <c r="Q4136">
        <v>118.75</v>
      </c>
      <c r="R4136">
        <v>95</v>
      </c>
      <c r="S4136">
        <v>142.5</v>
      </c>
      <c r="T4136" t="s">
        <v>21166</v>
      </c>
    </row>
    <row r="4137" spans="1:20">
      <c r="A4137">
        <v>3332207</v>
      </c>
      <c r="B4137" t="s">
        <v>21167</v>
      </c>
      <c r="C4137" t="str">
        <f>"9780773527638"</f>
        <v>9780773527638</v>
      </c>
      <c r="D4137" t="str">
        <f>"9780773580473"</f>
        <v>9780773580473</v>
      </c>
      <c r="E4137" t="s">
        <v>12863</v>
      </c>
      <c r="F4137" t="s">
        <v>12863</v>
      </c>
      <c r="G4137" s="1">
        <v>38244</v>
      </c>
      <c r="I4137" t="s">
        <v>20996</v>
      </c>
      <c r="J4137" t="s">
        <v>20997</v>
      </c>
      <c r="K4137" t="s">
        <v>4081</v>
      </c>
      <c r="L4137" t="s">
        <v>20998</v>
      </c>
      <c r="M4137">
        <v>491.43982420999998</v>
      </c>
      <c r="N4137" t="s">
        <v>20999</v>
      </c>
      <c r="O4137" t="s">
        <v>26</v>
      </c>
      <c r="P4137">
        <v>19.43</v>
      </c>
      <c r="Q4137">
        <v>16.190000000000001</v>
      </c>
      <c r="R4137">
        <v>12.95</v>
      </c>
      <c r="S4137">
        <v>19.43</v>
      </c>
      <c r="T4137" t="s">
        <v>21168</v>
      </c>
    </row>
    <row r="4138" spans="1:20">
      <c r="A4138">
        <v>3332208</v>
      </c>
      <c r="B4138" t="s">
        <v>21169</v>
      </c>
      <c r="C4138" t="str">
        <f>"9780886292591"</f>
        <v>9780886292591</v>
      </c>
      <c r="D4138" t="str">
        <f>"9780773582750"</f>
        <v>9780773582750</v>
      </c>
      <c r="E4138" t="s">
        <v>12863</v>
      </c>
      <c r="F4138" t="s">
        <v>12863</v>
      </c>
      <c r="G4138" s="1">
        <v>34926</v>
      </c>
      <c r="J4138" t="s">
        <v>21170</v>
      </c>
      <c r="K4138" t="s">
        <v>10956</v>
      </c>
      <c r="L4138" t="s">
        <v>21171</v>
      </c>
      <c r="M4138">
        <v>71.099999999999994</v>
      </c>
      <c r="N4138" t="s">
        <v>21172</v>
      </c>
      <c r="O4138" t="s">
        <v>26</v>
      </c>
      <c r="P4138">
        <v>142.5</v>
      </c>
      <c r="Q4138">
        <v>118.75</v>
      </c>
      <c r="R4138">
        <v>95</v>
      </c>
      <c r="S4138">
        <v>142.5</v>
      </c>
      <c r="T4138" t="s">
        <v>21173</v>
      </c>
    </row>
    <row r="4139" spans="1:20">
      <c r="A4139">
        <v>3332209</v>
      </c>
      <c r="B4139" t="s">
        <v>21174</v>
      </c>
      <c r="C4139" t="str">
        <f>"9780886293239"</f>
        <v>9780886293239</v>
      </c>
      <c r="D4139" t="str">
        <f>"9780773582965"</f>
        <v>9780773582965</v>
      </c>
      <c r="E4139" t="s">
        <v>12863</v>
      </c>
      <c r="F4139" t="s">
        <v>12863</v>
      </c>
      <c r="G4139" s="1">
        <v>35504</v>
      </c>
      <c r="I4139" t="s">
        <v>21105</v>
      </c>
      <c r="J4139" t="s">
        <v>21175</v>
      </c>
      <c r="K4139" t="s">
        <v>1464</v>
      </c>
      <c r="L4139" t="s">
        <v>21176</v>
      </c>
      <c r="M4139">
        <v>811.54</v>
      </c>
      <c r="N4139" t="s">
        <v>21177</v>
      </c>
      <c r="O4139" t="s">
        <v>26</v>
      </c>
      <c r="P4139">
        <v>142.5</v>
      </c>
      <c r="Q4139">
        <v>118.75</v>
      </c>
      <c r="R4139">
        <v>95</v>
      </c>
      <c r="S4139">
        <v>142.5</v>
      </c>
      <c r="T4139" t="s">
        <v>21178</v>
      </c>
    </row>
    <row r="4140" spans="1:20">
      <c r="A4140">
        <v>3332210</v>
      </c>
      <c r="B4140" t="s">
        <v>21179</v>
      </c>
      <c r="C4140" t="str">
        <f>"9780773526679"</f>
        <v>9780773526679</v>
      </c>
      <c r="D4140" t="str">
        <f>"9780773582033"</f>
        <v>9780773582033</v>
      </c>
      <c r="E4140" t="s">
        <v>12863</v>
      </c>
      <c r="F4140" t="s">
        <v>12863</v>
      </c>
      <c r="G4140" s="1">
        <v>37817</v>
      </c>
      <c r="J4140" t="s">
        <v>21180</v>
      </c>
      <c r="K4140" t="s">
        <v>1859</v>
      </c>
      <c r="L4140" t="s">
        <v>21181</v>
      </c>
      <c r="M4140">
        <v>110</v>
      </c>
      <c r="N4140" t="s">
        <v>21182</v>
      </c>
      <c r="O4140" t="s">
        <v>26</v>
      </c>
      <c r="P4140">
        <v>142.5</v>
      </c>
      <c r="Q4140">
        <v>118.75</v>
      </c>
      <c r="R4140">
        <v>95</v>
      </c>
      <c r="S4140">
        <v>142.5</v>
      </c>
      <c r="T4140" t="s">
        <v>21183</v>
      </c>
    </row>
    <row r="4141" spans="1:20">
      <c r="A4141">
        <v>3332211</v>
      </c>
      <c r="B4141" t="s">
        <v>21184</v>
      </c>
      <c r="C4141" t="str">
        <f>"9780886292812"</f>
        <v>9780886292812</v>
      </c>
      <c r="D4141" t="str">
        <f>"9780773584945"</f>
        <v>9780773584945</v>
      </c>
      <c r="E4141" t="s">
        <v>12863</v>
      </c>
      <c r="F4141" t="s">
        <v>12863</v>
      </c>
      <c r="G4141" s="1">
        <v>35170</v>
      </c>
      <c r="J4141" t="s">
        <v>21185</v>
      </c>
      <c r="K4141" t="s">
        <v>291</v>
      </c>
      <c r="L4141" t="s">
        <v>21186</v>
      </c>
      <c r="M4141">
        <v>971.00436000000002</v>
      </c>
      <c r="N4141" t="s">
        <v>21187</v>
      </c>
      <c r="O4141" t="s">
        <v>26</v>
      </c>
      <c r="P4141">
        <v>142.5</v>
      </c>
      <c r="Q4141">
        <v>118.75</v>
      </c>
      <c r="R4141">
        <v>95</v>
      </c>
      <c r="S4141">
        <v>142.5</v>
      </c>
      <c r="T4141" t="s">
        <v>21188</v>
      </c>
    </row>
    <row r="4142" spans="1:20">
      <c r="A4142">
        <v>3332212</v>
      </c>
      <c r="B4142" t="s">
        <v>21189</v>
      </c>
      <c r="C4142" t="str">
        <f>"9780773531062"</f>
        <v>9780773531062</v>
      </c>
      <c r="D4142" t="str">
        <f>"9780773585751"</f>
        <v>9780773585751</v>
      </c>
      <c r="E4142" t="s">
        <v>12863</v>
      </c>
      <c r="F4142" t="s">
        <v>12863</v>
      </c>
      <c r="G4142" s="1">
        <v>39000</v>
      </c>
      <c r="J4142" t="s">
        <v>21190</v>
      </c>
      <c r="K4142" t="s">
        <v>1859</v>
      </c>
      <c r="L4142" t="s">
        <v>21191</v>
      </c>
      <c r="M4142" t="s">
        <v>21192</v>
      </c>
      <c r="N4142" t="s">
        <v>21193</v>
      </c>
      <c r="O4142" t="s">
        <v>26</v>
      </c>
      <c r="P4142">
        <v>142.5</v>
      </c>
      <c r="Q4142">
        <v>118.75</v>
      </c>
      <c r="R4142">
        <v>95</v>
      </c>
      <c r="S4142">
        <v>142.5</v>
      </c>
      <c r="T4142" t="s">
        <v>21194</v>
      </c>
    </row>
    <row r="4143" spans="1:20">
      <c r="A4143">
        <v>3332213</v>
      </c>
      <c r="B4143" t="s">
        <v>21195</v>
      </c>
      <c r="C4143" t="str">
        <f>"9780773539686"</f>
        <v>9780773539686</v>
      </c>
      <c r="D4143" t="str">
        <f>"9780773586710"</f>
        <v>9780773586710</v>
      </c>
      <c r="E4143" t="s">
        <v>12863</v>
      </c>
      <c r="F4143" t="s">
        <v>12863</v>
      </c>
      <c r="G4143" s="1">
        <v>40977</v>
      </c>
      <c r="J4143" t="s">
        <v>19084</v>
      </c>
      <c r="K4143" t="s">
        <v>1892</v>
      </c>
      <c r="L4143" t="s">
        <v>21196</v>
      </c>
      <c r="M4143">
        <v>200.89009709999999</v>
      </c>
      <c r="N4143" t="s">
        <v>21197</v>
      </c>
      <c r="O4143" t="s">
        <v>26</v>
      </c>
      <c r="P4143">
        <v>127.5</v>
      </c>
      <c r="Q4143">
        <v>106.25</v>
      </c>
      <c r="R4143">
        <v>85</v>
      </c>
      <c r="S4143">
        <v>127.5</v>
      </c>
      <c r="T4143" t="s">
        <v>21198</v>
      </c>
    </row>
    <row r="4144" spans="1:20">
      <c r="A4144">
        <v>3332214</v>
      </c>
      <c r="B4144" t="s">
        <v>21199</v>
      </c>
      <c r="C4144" t="str">
        <f>"9780773536821"</f>
        <v>9780773536821</v>
      </c>
      <c r="D4144" t="str">
        <f>"9780773584075"</f>
        <v>9780773584075</v>
      </c>
      <c r="E4144" t="s">
        <v>12863</v>
      </c>
      <c r="F4144" t="s">
        <v>12863</v>
      </c>
      <c r="G4144" s="1">
        <v>40284</v>
      </c>
      <c r="I4144" t="s">
        <v>12871</v>
      </c>
      <c r="J4144" t="s">
        <v>21200</v>
      </c>
      <c r="K4144" t="s">
        <v>1530</v>
      </c>
      <c r="L4144" t="s">
        <v>21201</v>
      </c>
      <c r="M4144">
        <v>305.89710797999999</v>
      </c>
      <c r="N4144" t="s">
        <v>21202</v>
      </c>
      <c r="O4144" t="s">
        <v>26</v>
      </c>
      <c r="P4144">
        <v>142.5</v>
      </c>
      <c r="Q4144">
        <v>118.75</v>
      </c>
      <c r="R4144">
        <v>95</v>
      </c>
      <c r="S4144">
        <v>142.5</v>
      </c>
      <c r="T4144" t="s">
        <v>21203</v>
      </c>
    </row>
    <row r="4145" spans="1:20">
      <c r="A4145">
        <v>3332215</v>
      </c>
      <c r="B4145" t="s">
        <v>21204</v>
      </c>
      <c r="C4145" t="str">
        <f>"9780773503946"</f>
        <v>9780773503946</v>
      </c>
      <c r="D4145" t="str">
        <f>"9780773585034"</f>
        <v>9780773585034</v>
      </c>
      <c r="E4145" t="s">
        <v>12863</v>
      </c>
      <c r="F4145" t="s">
        <v>12863</v>
      </c>
      <c r="G4145" s="1">
        <v>30560</v>
      </c>
      <c r="J4145" t="s">
        <v>21205</v>
      </c>
      <c r="K4145" t="s">
        <v>257</v>
      </c>
      <c r="L4145" t="s">
        <v>21206</v>
      </c>
      <c r="M4145" t="s">
        <v>21207</v>
      </c>
      <c r="N4145" t="s">
        <v>21208</v>
      </c>
      <c r="O4145" t="s">
        <v>26</v>
      </c>
      <c r="P4145">
        <v>142.5</v>
      </c>
      <c r="Q4145">
        <v>118.75</v>
      </c>
      <c r="R4145">
        <v>95</v>
      </c>
      <c r="S4145">
        <v>142.5</v>
      </c>
      <c r="T4145" t="s">
        <v>21209</v>
      </c>
    </row>
    <row r="4146" spans="1:20">
      <c r="A4146">
        <v>3332216</v>
      </c>
      <c r="B4146" t="s">
        <v>21210</v>
      </c>
      <c r="C4146" t="str">
        <f>"9780773527669"</f>
        <v>9780773527669</v>
      </c>
      <c r="D4146" t="str">
        <f>"9780773580527"</f>
        <v>9780773580527</v>
      </c>
      <c r="E4146" t="s">
        <v>12863</v>
      </c>
      <c r="F4146" t="s">
        <v>12863</v>
      </c>
      <c r="G4146" s="1">
        <v>38244</v>
      </c>
      <c r="I4146" t="s">
        <v>20996</v>
      </c>
      <c r="J4146" t="s">
        <v>20997</v>
      </c>
      <c r="K4146" t="s">
        <v>4081</v>
      </c>
      <c r="L4146" t="s">
        <v>21211</v>
      </c>
      <c r="M4146">
        <v>491.43982420999998</v>
      </c>
      <c r="N4146" t="s">
        <v>21212</v>
      </c>
      <c r="O4146" t="s">
        <v>26</v>
      </c>
      <c r="P4146">
        <v>19.43</v>
      </c>
      <c r="Q4146">
        <v>16.190000000000001</v>
      </c>
      <c r="R4146">
        <v>12.95</v>
      </c>
      <c r="S4146">
        <v>19.43</v>
      </c>
      <c r="T4146" t="s">
        <v>21213</v>
      </c>
    </row>
    <row r="4147" spans="1:20">
      <c r="A4147">
        <v>3332217</v>
      </c>
      <c r="B4147" t="s">
        <v>21214</v>
      </c>
      <c r="C4147" t="str">
        <f>"9780773539877"</f>
        <v>9780773539877</v>
      </c>
      <c r="D4147" t="str">
        <f>"9780773586987"</f>
        <v>9780773586987</v>
      </c>
      <c r="E4147" t="s">
        <v>12863</v>
      </c>
      <c r="F4147" t="s">
        <v>12863</v>
      </c>
      <c r="G4147" s="1">
        <v>40977</v>
      </c>
      <c r="J4147" t="s">
        <v>21215</v>
      </c>
      <c r="K4147" t="s">
        <v>1464</v>
      </c>
      <c r="L4147" t="s">
        <v>21216</v>
      </c>
      <c r="M4147">
        <v>813.54089999999997</v>
      </c>
      <c r="N4147" t="s">
        <v>21217</v>
      </c>
      <c r="O4147" t="s">
        <v>26</v>
      </c>
      <c r="P4147">
        <v>142.5</v>
      </c>
      <c r="Q4147">
        <v>118.75</v>
      </c>
      <c r="R4147">
        <v>95</v>
      </c>
      <c r="S4147">
        <v>142.5</v>
      </c>
      <c r="T4147" t="s">
        <v>21218</v>
      </c>
    </row>
    <row r="4148" spans="1:20">
      <c r="A4148">
        <v>3332218</v>
      </c>
      <c r="B4148" t="s">
        <v>21219</v>
      </c>
      <c r="C4148" t="str">
        <f>"9780773537620"</f>
        <v>9780773537620</v>
      </c>
      <c r="D4148" t="str">
        <f>"9780773581333"</f>
        <v>9780773581333</v>
      </c>
      <c r="E4148" t="s">
        <v>12863</v>
      </c>
      <c r="F4148" t="s">
        <v>12863</v>
      </c>
      <c r="G4148" s="1">
        <v>40471</v>
      </c>
      <c r="J4148" t="s">
        <v>21220</v>
      </c>
      <c r="K4148" t="s">
        <v>1530</v>
      </c>
      <c r="L4148" t="s">
        <v>21221</v>
      </c>
      <c r="M4148" t="s">
        <v>3873</v>
      </c>
      <c r="N4148" t="s">
        <v>21222</v>
      </c>
      <c r="O4148" t="s">
        <v>26</v>
      </c>
      <c r="P4148">
        <v>142.5</v>
      </c>
      <c r="Q4148">
        <v>118.75</v>
      </c>
      <c r="R4148">
        <v>95</v>
      </c>
      <c r="S4148">
        <v>142.5</v>
      </c>
      <c r="T4148" t="s">
        <v>21223</v>
      </c>
    </row>
    <row r="4149" spans="1:20">
      <c r="A4149">
        <v>3332219</v>
      </c>
      <c r="B4149" t="s">
        <v>21224</v>
      </c>
      <c r="C4149" t="str">
        <f>"9780773539549"</f>
        <v>9780773539549</v>
      </c>
      <c r="D4149" t="str">
        <f>"9780773587014"</f>
        <v>9780773587014</v>
      </c>
      <c r="E4149" t="s">
        <v>12863</v>
      </c>
      <c r="F4149" t="s">
        <v>12863</v>
      </c>
      <c r="G4149" s="1">
        <v>40977</v>
      </c>
      <c r="J4149" t="s">
        <v>21225</v>
      </c>
      <c r="K4149" t="s">
        <v>467</v>
      </c>
      <c r="L4149" t="s">
        <v>21226</v>
      </c>
      <c r="M4149">
        <v>321.02</v>
      </c>
      <c r="N4149" t="s">
        <v>21227</v>
      </c>
      <c r="O4149" t="s">
        <v>26</v>
      </c>
      <c r="P4149">
        <v>142.5</v>
      </c>
      <c r="Q4149">
        <v>118.75</v>
      </c>
      <c r="R4149">
        <v>95</v>
      </c>
      <c r="S4149">
        <v>142.5</v>
      </c>
      <c r="T4149" t="s">
        <v>21228</v>
      </c>
    </row>
    <row r="4150" spans="1:20">
      <c r="A4150">
        <v>3332220</v>
      </c>
      <c r="B4150" t="s">
        <v>21229</v>
      </c>
      <c r="C4150" t="str">
        <f>"9780773505384"</f>
        <v>9780773505384</v>
      </c>
      <c r="D4150" t="str">
        <f>"9780773585096"</f>
        <v>9780773585096</v>
      </c>
      <c r="E4150" t="s">
        <v>12863</v>
      </c>
      <c r="F4150" t="s">
        <v>12863</v>
      </c>
      <c r="G4150" s="1">
        <v>32264</v>
      </c>
      <c r="J4150" t="s">
        <v>21230</v>
      </c>
      <c r="K4150" t="s">
        <v>1464</v>
      </c>
      <c r="L4150" t="s">
        <v>21231</v>
      </c>
      <c r="M4150">
        <v>828</v>
      </c>
      <c r="N4150" t="s">
        <v>21232</v>
      </c>
      <c r="O4150" t="s">
        <v>26</v>
      </c>
      <c r="P4150">
        <v>202.5</v>
      </c>
      <c r="Q4150">
        <v>168.75</v>
      </c>
      <c r="R4150">
        <v>135</v>
      </c>
      <c r="S4150">
        <v>202.5</v>
      </c>
      <c r="T4150" t="s">
        <v>21233</v>
      </c>
    </row>
    <row r="4151" spans="1:20">
      <c r="A4151">
        <v>3332221</v>
      </c>
      <c r="B4151" t="s">
        <v>21234</v>
      </c>
      <c r="C4151" t="str">
        <f>"9780773531758"</f>
        <v>9780773531758</v>
      </c>
      <c r="D4151" t="str">
        <f>"9780773586055"</f>
        <v>9780773586055</v>
      </c>
      <c r="E4151" t="s">
        <v>12863</v>
      </c>
      <c r="F4151" t="s">
        <v>12863</v>
      </c>
      <c r="G4151" s="1">
        <v>39022</v>
      </c>
      <c r="J4151" t="s">
        <v>21235</v>
      </c>
      <c r="K4151" t="s">
        <v>1859</v>
      </c>
      <c r="L4151" t="s">
        <v>21236</v>
      </c>
      <c r="M4151">
        <v>192</v>
      </c>
      <c r="N4151" t="s">
        <v>21237</v>
      </c>
      <c r="O4151" t="s">
        <v>26</v>
      </c>
      <c r="P4151">
        <v>142.5</v>
      </c>
      <c r="Q4151">
        <v>118.75</v>
      </c>
      <c r="R4151">
        <v>95</v>
      </c>
      <c r="S4151">
        <v>142.5</v>
      </c>
      <c r="T4151" t="s">
        <v>21238</v>
      </c>
    </row>
    <row r="4152" spans="1:20">
      <c r="A4152">
        <v>3332222</v>
      </c>
      <c r="B4152" t="s">
        <v>21239</v>
      </c>
      <c r="C4152" t="str">
        <f>"9780773537767"</f>
        <v>9780773537767</v>
      </c>
      <c r="D4152" t="str">
        <f>"9780773580589"</f>
        <v>9780773580589</v>
      </c>
      <c r="E4152" t="s">
        <v>12863</v>
      </c>
      <c r="F4152" t="s">
        <v>12863</v>
      </c>
      <c r="G4152" s="1">
        <v>40520</v>
      </c>
      <c r="I4152" t="s">
        <v>12963</v>
      </c>
      <c r="J4152" t="s">
        <v>21240</v>
      </c>
      <c r="K4152" t="s">
        <v>1892</v>
      </c>
      <c r="L4152" t="s">
        <v>21241</v>
      </c>
      <c r="M4152">
        <v>210.1</v>
      </c>
      <c r="N4152" t="s">
        <v>21242</v>
      </c>
      <c r="O4152" t="s">
        <v>26</v>
      </c>
      <c r="P4152">
        <v>142.5</v>
      </c>
      <c r="Q4152">
        <v>118.75</v>
      </c>
      <c r="R4152">
        <v>95</v>
      </c>
      <c r="S4152">
        <v>142.5</v>
      </c>
      <c r="T4152" t="s">
        <v>21243</v>
      </c>
    </row>
    <row r="4153" spans="1:20">
      <c r="A4153">
        <v>3332223</v>
      </c>
      <c r="B4153" t="s">
        <v>21244</v>
      </c>
      <c r="C4153" t="str">
        <f>"9780773525672"</f>
        <v>9780773525672</v>
      </c>
      <c r="D4153" t="str">
        <f>"9780773581395"</f>
        <v>9780773581395</v>
      </c>
      <c r="E4153" t="s">
        <v>12863</v>
      </c>
      <c r="F4153" t="s">
        <v>12863</v>
      </c>
      <c r="G4153" s="1">
        <v>37727</v>
      </c>
      <c r="I4153" t="s">
        <v>21018</v>
      </c>
      <c r="J4153" t="s">
        <v>21245</v>
      </c>
      <c r="K4153" t="s">
        <v>1859</v>
      </c>
      <c r="L4153" t="s">
        <v>21246</v>
      </c>
      <c r="M4153">
        <v>121.68</v>
      </c>
      <c r="N4153" t="s">
        <v>21247</v>
      </c>
      <c r="O4153" t="s">
        <v>26</v>
      </c>
      <c r="P4153">
        <v>41.93</v>
      </c>
      <c r="Q4153">
        <v>34.94</v>
      </c>
      <c r="R4153">
        <v>27.95</v>
      </c>
      <c r="S4153">
        <v>41.93</v>
      </c>
      <c r="T4153" t="s">
        <v>21248</v>
      </c>
    </row>
    <row r="4154" spans="1:20">
      <c r="A4154">
        <v>3332224</v>
      </c>
      <c r="B4154" t="s">
        <v>21249</v>
      </c>
      <c r="C4154" t="str">
        <f>"9780773521278"</f>
        <v>9780773521278</v>
      </c>
      <c r="D4154" t="str">
        <f>"9780773582354"</f>
        <v>9780773582354</v>
      </c>
      <c r="E4154" t="s">
        <v>12863</v>
      </c>
      <c r="F4154" t="s">
        <v>12863</v>
      </c>
      <c r="G4154" s="1">
        <v>33358</v>
      </c>
      <c r="I4154" t="s">
        <v>13270</v>
      </c>
      <c r="J4154" t="s">
        <v>17969</v>
      </c>
      <c r="K4154" t="s">
        <v>2963</v>
      </c>
      <c r="L4154" t="s">
        <v>21250</v>
      </c>
      <c r="M4154">
        <v>911</v>
      </c>
      <c r="N4154" t="s">
        <v>21251</v>
      </c>
      <c r="O4154" t="s">
        <v>26</v>
      </c>
      <c r="P4154">
        <v>142.5</v>
      </c>
      <c r="Q4154">
        <v>118.75</v>
      </c>
      <c r="R4154">
        <v>95</v>
      </c>
      <c r="S4154">
        <v>142.5</v>
      </c>
      <c r="T4154" t="s">
        <v>21252</v>
      </c>
    </row>
    <row r="4155" spans="1:20">
      <c r="A4155">
        <v>3332225</v>
      </c>
      <c r="B4155" t="s">
        <v>21253</v>
      </c>
      <c r="C4155" t="str">
        <f>"9780773536555"</f>
        <v>9780773536555</v>
      </c>
      <c r="D4155" t="str">
        <f>"9780773582569"</f>
        <v>9780773582569</v>
      </c>
      <c r="E4155" t="s">
        <v>12863</v>
      </c>
      <c r="F4155" t="s">
        <v>12863</v>
      </c>
      <c r="G4155" s="1">
        <v>40217</v>
      </c>
      <c r="J4155" t="s">
        <v>21254</v>
      </c>
      <c r="K4155" t="s">
        <v>1464</v>
      </c>
      <c r="L4155" t="s">
        <v>21255</v>
      </c>
      <c r="M4155" t="s">
        <v>7053</v>
      </c>
      <c r="N4155" t="s">
        <v>21256</v>
      </c>
      <c r="O4155" t="s">
        <v>26</v>
      </c>
      <c r="P4155">
        <v>142.5</v>
      </c>
      <c r="Q4155">
        <v>118.75</v>
      </c>
      <c r="R4155">
        <v>95</v>
      </c>
      <c r="S4155">
        <v>142.5</v>
      </c>
      <c r="T4155" t="s">
        <v>21257</v>
      </c>
    </row>
    <row r="4156" spans="1:20">
      <c r="A4156">
        <v>3332226</v>
      </c>
      <c r="B4156" t="s">
        <v>21258</v>
      </c>
      <c r="C4156" t="str">
        <f>"9780773538894"</f>
        <v>9780773538894</v>
      </c>
      <c r="D4156" t="str">
        <f>"9780773585805"</f>
        <v>9780773585805</v>
      </c>
      <c r="E4156" t="s">
        <v>12863</v>
      </c>
      <c r="F4156" t="s">
        <v>12863</v>
      </c>
      <c r="G4156" s="1">
        <v>40806</v>
      </c>
      <c r="J4156" t="s">
        <v>12386</v>
      </c>
      <c r="K4156" t="s">
        <v>1892</v>
      </c>
      <c r="L4156" t="s">
        <v>21259</v>
      </c>
      <c r="M4156" t="s">
        <v>21260</v>
      </c>
      <c r="N4156" t="s">
        <v>21261</v>
      </c>
      <c r="O4156" t="s">
        <v>26</v>
      </c>
      <c r="P4156">
        <v>142.5</v>
      </c>
      <c r="Q4156">
        <v>118.75</v>
      </c>
      <c r="R4156">
        <v>95</v>
      </c>
      <c r="S4156">
        <v>142.5</v>
      </c>
      <c r="T4156" t="s">
        <v>21262</v>
      </c>
    </row>
    <row r="4157" spans="1:20">
      <c r="A4157">
        <v>3332227</v>
      </c>
      <c r="B4157" t="s">
        <v>21263</v>
      </c>
      <c r="C4157" t="str">
        <f>"9780886290078"</f>
        <v>9780886290078</v>
      </c>
      <c r="D4157" t="str">
        <f>"9780773583160"</f>
        <v>9780773583160</v>
      </c>
      <c r="E4157" t="s">
        <v>12863</v>
      </c>
      <c r="F4157" t="s">
        <v>12863</v>
      </c>
      <c r="G4157" s="1">
        <v>30787</v>
      </c>
      <c r="I4157" t="s">
        <v>13270</v>
      </c>
      <c r="J4157" t="s">
        <v>21264</v>
      </c>
      <c r="K4157" t="s">
        <v>257</v>
      </c>
      <c r="L4157" t="s">
        <v>21265</v>
      </c>
      <c r="M4157" t="s">
        <v>21266</v>
      </c>
      <c r="N4157" t="s">
        <v>21267</v>
      </c>
      <c r="O4157" t="s">
        <v>26</v>
      </c>
      <c r="P4157">
        <v>142.5</v>
      </c>
      <c r="Q4157">
        <v>118.75</v>
      </c>
      <c r="R4157">
        <v>95</v>
      </c>
      <c r="S4157">
        <v>142.5</v>
      </c>
      <c r="T4157" t="s">
        <v>21268</v>
      </c>
    </row>
    <row r="4158" spans="1:20">
      <c r="A4158">
        <v>3332228</v>
      </c>
      <c r="B4158" t="s">
        <v>21269</v>
      </c>
      <c r="C4158" t="str">
        <f>"9780773538450"</f>
        <v>9780773538450</v>
      </c>
      <c r="D4158" t="str">
        <f>"9780773585867"</f>
        <v>9780773585867</v>
      </c>
      <c r="E4158" t="s">
        <v>12863</v>
      </c>
      <c r="F4158" t="s">
        <v>12863</v>
      </c>
      <c r="G4158" s="1">
        <v>40709</v>
      </c>
      <c r="I4158" t="s">
        <v>12942</v>
      </c>
      <c r="J4158" t="s">
        <v>21270</v>
      </c>
      <c r="K4158" t="s">
        <v>263</v>
      </c>
      <c r="L4158" t="s">
        <v>21271</v>
      </c>
      <c r="M4158" t="s">
        <v>21272</v>
      </c>
      <c r="N4158" t="s">
        <v>21273</v>
      </c>
      <c r="O4158" t="s">
        <v>26</v>
      </c>
      <c r="P4158">
        <v>142.5</v>
      </c>
      <c r="Q4158">
        <v>118.75</v>
      </c>
      <c r="R4158">
        <v>95</v>
      </c>
      <c r="S4158">
        <v>142.5</v>
      </c>
      <c r="T4158" t="s">
        <v>21274</v>
      </c>
    </row>
    <row r="4159" spans="1:20">
      <c r="A4159">
        <v>3332229</v>
      </c>
      <c r="B4159" t="s">
        <v>21275</v>
      </c>
      <c r="C4159" t="str">
        <f>"9780886292881"</f>
        <v>9780886292881</v>
      </c>
      <c r="D4159" t="str">
        <f>"9780773582910"</f>
        <v>9780773582910</v>
      </c>
      <c r="E4159" t="s">
        <v>12863</v>
      </c>
      <c r="F4159" t="s">
        <v>12863</v>
      </c>
      <c r="G4159" s="1">
        <v>35353</v>
      </c>
      <c r="I4159" t="s">
        <v>13270</v>
      </c>
      <c r="J4159" t="s">
        <v>21276</v>
      </c>
      <c r="K4159" t="s">
        <v>291</v>
      </c>
      <c r="L4159" t="s">
        <v>21277</v>
      </c>
      <c r="M4159">
        <v>971.00720000000001</v>
      </c>
      <c r="N4159" t="s">
        <v>21278</v>
      </c>
      <c r="O4159" t="s">
        <v>26</v>
      </c>
      <c r="P4159">
        <v>142.5</v>
      </c>
      <c r="Q4159">
        <v>118.75</v>
      </c>
      <c r="R4159">
        <v>95</v>
      </c>
      <c r="S4159">
        <v>142.5</v>
      </c>
      <c r="T4159" t="s">
        <v>21279</v>
      </c>
    </row>
    <row r="4160" spans="1:20">
      <c r="A4160">
        <v>3332230</v>
      </c>
      <c r="B4160" t="s">
        <v>21280</v>
      </c>
      <c r="C4160" t="str">
        <f>"9780773539006"</f>
        <v>9780773539006</v>
      </c>
      <c r="D4160" t="str">
        <f>"9780773586673"</f>
        <v>9780773586673</v>
      </c>
      <c r="E4160" t="s">
        <v>12863</v>
      </c>
      <c r="F4160" t="s">
        <v>12863</v>
      </c>
      <c r="G4160" s="1">
        <v>40896</v>
      </c>
      <c r="I4160" t="s">
        <v>12963</v>
      </c>
      <c r="J4160" t="s">
        <v>21281</v>
      </c>
      <c r="K4160" t="s">
        <v>263</v>
      </c>
      <c r="L4160" t="s">
        <v>21282</v>
      </c>
      <c r="M4160">
        <v>301.09440000000001</v>
      </c>
      <c r="N4160" t="s">
        <v>21283</v>
      </c>
      <c r="O4160" t="s">
        <v>26</v>
      </c>
      <c r="P4160">
        <v>142.5</v>
      </c>
      <c r="Q4160">
        <v>118.75</v>
      </c>
      <c r="R4160">
        <v>95</v>
      </c>
      <c r="S4160">
        <v>142.5</v>
      </c>
      <c r="T4160" t="s">
        <v>21284</v>
      </c>
    </row>
    <row r="4161" spans="1:20">
      <c r="A4161">
        <v>3332231</v>
      </c>
      <c r="B4161" t="s">
        <v>21285</v>
      </c>
      <c r="C4161" t="str">
        <f>"9780886292744"</f>
        <v>9780886292744</v>
      </c>
      <c r="D4161" t="str">
        <f>"9780773580428"</f>
        <v>9780773580428</v>
      </c>
      <c r="E4161" t="s">
        <v>12863</v>
      </c>
      <c r="F4161" t="s">
        <v>12863</v>
      </c>
      <c r="G4161" s="1">
        <v>35018</v>
      </c>
      <c r="I4161" t="s">
        <v>13270</v>
      </c>
      <c r="J4161" t="s">
        <v>13970</v>
      </c>
      <c r="K4161" t="s">
        <v>6444</v>
      </c>
      <c r="L4161" t="s">
        <v>21286</v>
      </c>
      <c r="M4161">
        <v>320</v>
      </c>
      <c r="N4161" t="s">
        <v>21287</v>
      </c>
      <c r="O4161" t="s">
        <v>26</v>
      </c>
      <c r="P4161">
        <v>142.5</v>
      </c>
      <c r="Q4161">
        <v>118.75</v>
      </c>
      <c r="R4161">
        <v>95</v>
      </c>
      <c r="S4161">
        <v>142.5</v>
      </c>
      <c r="T4161" t="s">
        <v>21288</v>
      </c>
    </row>
    <row r="4162" spans="1:20">
      <c r="A4162">
        <v>3332232</v>
      </c>
      <c r="B4162" t="s">
        <v>21289</v>
      </c>
      <c r="C4162" t="str">
        <f>"9780773538511"</f>
        <v>9780773538511</v>
      </c>
      <c r="D4162" t="str">
        <f>"9780773586109"</f>
        <v>9780773586109</v>
      </c>
      <c r="E4162" t="s">
        <v>12863</v>
      </c>
      <c r="F4162" t="s">
        <v>12863</v>
      </c>
      <c r="G4162" s="1">
        <v>40759</v>
      </c>
      <c r="J4162" t="s">
        <v>21290</v>
      </c>
      <c r="K4162" t="s">
        <v>467</v>
      </c>
      <c r="L4162" t="s">
        <v>21291</v>
      </c>
      <c r="M4162" t="s">
        <v>21292</v>
      </c>
      <c r="N4162" t="s">
        <v>21293</v>
      </c>
      <c r="O4162" t="s">
        <v>26</v>
      </c>
      <c r="P4162">
        <v>165</v>
      </c>
      <c r="Q4162">
        <v>137.5</v>
      </c>
      <c r="R4162">
        <v>110</v>
      </c>
      <c r="S4162">
        <v>165</v>
      </c>
      <c r="T4162" t="s">
        <v>21294</v>
      </c>
    </row>
    <row r="4163" spans="1:20">
      <c r="A4163">
        <v>3332233</v>
      </c>
      <c r="B4163" t="s">
        <v>21295</v>
      </c>
      <c r="C4163" t="str">
        <f>"9780773527645"</f>
        <v>9780773527645</v>
      </c>
      <c r="D4163" t="str">
        <f>"9780773580480"</f>
        <v>9780773580480</v>
      </c>
      <c r="E4163" t="s">
        <v>12863</v>
      </c>
      <c r="F4163" t="s">
        <v>12863</v>
      </c>
      <c r="G4163" s="1">
        <v>38244</v>
      </c>
      <c r="I4163" t="s">
        <v>20996</v>
      </c>
      <c r="J4163" t="s">
        <v>20997</v>
      </c>
      <c r="K4163" t="s">
        <v>4081</v>
      </c>
      <c r="L4163" t="s">
        <v>21296</v>
      </c>
      <c r="M4163">
        <v>491.43982420999998</v>
      </c>
      <c r="N4163" t="s">
        <v>21212</v>
      </c>
      <c r="O4163" t="s">
        <v>26</v>
      </c>
      <c r="P4163">
        <v>19.43</v>
      </c>
      <c r="Q4163">
        <v>16.190000000000001</v>
      </c>
      <c r="R4163">
        <v>12.95</v>
      </c>
      <c r="S4163">
        <v>19.43</v>
      </c>
      <c r="T4163" t="s">
        <v>21297</v>
      </c>
    </row>
    <row r="4164" spans="1:20">
      <c r="A4164">
        <v>3332234</v>
      </c>
      <c r="B4164" t="s">
        <v>21298</v>
      </c>
      <c r="C4164" t="str">
        <f>"9780773501706"</f>
        <v>9780773501706</v>
      </c>
      <c r="D4164" t="str">
        <f>"9780773582255"</f>
        <v>9780773582255</v>
      </c>
      <c r="E4164" t="s">
        <v>12863</v>
      </c>
      <c r="F4164" t="s">
        <v>12863</v>
      </c>
      <c r="G4164" s="1">
        <v>27150</v>
      </c>
      <c r="J4164" t="s">
        <v>21299</v>
      </c>
      <c r="K4164" t="s">
        <v>278</v>
      </c>
      <c r="L4164" t="s">
        <v>21300</v>
      </c>
      <c r="M4164" t="s">
        <v>21301</v>
      </c>
      <c r="N4164" t="s">
        <v>21302</v>
      </c>
      <c r="O4164" t="s">
        <v>26</v>
      </c>
      <c r="P4164">
        <v>142.5</v>
      </c>
      <c r="Q4164">
        <v>118.75</v>
      </c>
      <c r="R4164">
        <v>95</v>
      </c>
      <c r="S4164">
        <v>142.5</v>
      </c>
      <c r="T4164" t="s">
        <v>21303</v>
      </c>
    </row>
    <row r="4165" spans="1:20">
      <c r="A4165">
        <v>3332235</v>
      </c>
      <c r="B4165" t="s">
        <v>21304</v>
      </c>
      <c r="C4165" t="str">
        <f>"9780773538870"</f>
        <v>9780773538870</v>
      </c>
      <c r="D4165" t="str">
        <f>"9780773585911"</f>
        <v>9780773585911</v>
      </c>
      <c r="E4165" t="s">
        <v>12863</v>
      </c>
      <c r="F4165" t="s">
        <v>12863</v>
      </c>
      <c r="G4165" s="1">
        <v>40785</v>
      </c>
      <c r="J4165" t="s">
        <v>21305</v>
      </c>
      <c r="K4165" t="s">
        <v>257</v>
      </c>
      <c r="L4165" t="s">
        <v>21306</v>
      </c>
      <c r="M4165" t="s">
        <v>21307</v>
      </c>
      <c r="N4165" t="s">
        <v>21308</v>
      </c>
      <c r="O4165" t="s">
        <v>26</v>
      </c>
      <c r="P4165">
        <v>74.930000000000007</v>
      </c>
      <c r="Q4165">
        <v>62.44</v>
      </c>
      <c r="R4165">
        <v>49.95</v>
      </c>
      <c r="S4165">
        <v>74.930000000000007</v>
      </c>
      <c r="T4165" t="s">
        <v>21309</v>
      </c>
    </row>
    <row r="4166" spans="1:20">
      <c r="A4166">
        <v>3332236</v>
      </c>
      <c r="B4166" t="s">
        <v>21310</v>
      </c>
      <c r="C4166" t="str">
        <f>"9780773538160"</f>
        <v>9780773538160</v>
      </c>
      <c r="D4166" t="str">
        <f>"9780773585973"</f>
        <v>9780773585973</v>
      </c>
      <c r="E4166" t="s">
        <v>12863</v>
      </c>
      <c r="F4166" t="s">
        <v>12863</v>
      </c>
      <c r="G4166" s="1">
        <v>40669</v>
      </c>
      <c r="J4166" t="s">
        <v>21311</v>
      </c>
      <c r="K4166" t="s">
        <v>1464</v>
      </c>
      <c r="L4166" t="s">
        <v>21312</v>
      </c>
      <c r="M4166" t="s">
        <v>7511</v>
      </c>
      <c r="N4166" t="s">
        <v>21313</v>
      </c>
      <c r="O4166" t="s">
        <v>26</v>
      </c>
      <c r="P4166">
        <v>142.5</v>
      </c>
      <c r="Q4166">
        <v>118.75</v>
      </c>
      <c r="R4166">
        <v>95</v>
      </c>
      <c r="S4166">
        <v>142.5</v>
      </c>
      <c r="T4166" t="s">
        <v>21314</v>
      </c>
    </row>
    <row r="4167" spans="1:20">
      <c r="A4167">
        <v>3332237</v>
      </c>
      <c r="B4167" t="s">
        <v>21315</v>
      </c>
      <c r="C4167" t="str">
        <f>"9780773508484"</f>
        <v>9780773508484</v>
      </c>
      <c r="D4167" t="str">
        <f>"9780773585041"</f>
        <v>9780773585041</v>
      </c>
      <c r="E4167" t="s">
        <v>12863</v>
      </c>
      <c r="F4167" t="s">
        <v>12863</v>
      </c>
      <c r="G4167" s="1">
        <v>33359</v>
      </c>
      <c r="J4167" t="s">
        <v>21316</v>
      </c>
      <c r="K4167" t="s">
        <v>7838</v>
      </c>
      <c r="L4167" t="s">
        <v>21317</v>
      </c>
      <c r="M4167">
        <v>726</v>
      </c>
      <c r="N4167" t="s">
        <v>21318</v>
      </c>
      <c r="O4167" t="s">
        <v>26</v>
      </c>
      <c r="P4167">
        <v>142.5</v>
      </c>
      <c r="Q4167">
        <v>118.75</v>
      </c>
      <c r="R4167">
        <v>95</v>
      </c>
      <c r="S4167">
        <v>142.5</v>
      </c>
      <c r="T4167" t="s">
        <v>21319</v>
      </c>
    </row>
    <row r="4168" spans="1:20">
      <c r="A4168">
        <v>3332238</v>
      </c>
      <c r="B4168" t="s">
        <v>21320</v>
      </c>
      <c r="C4168" t="str">
        <f>"9780773538306"</f>
        <v>9780773538306</v>
      </c>
      <c r="D4168" t="str">
        <f>"9780773586000"</f>
        <v>9780773586000</v>
      </c>
      <c r="E4168" t="s">
        <v>12863</v>
      </c>
      <c r="F4168" t="s">
        <v>12863</v>
      </c>
      <c r="G4168" s="1">
        <v>40716</v>
      </c>
      <c r="I4168" t="s">
        <v>13270</v>
      </c>
      <c r="J4168" t="s">
        <v>21321</v>
      </c>
      <c r="K4168" t="s">
        <v>1530</v>
      </c>
      <c r="L4168" t="s">
        <v>21322</v>
      </c>
      <c r="M4168" t="s">
        <v>21323</v>
      </c>
      <c r="N4168" t="s">
        <v>21324</v>
      </c>
      <c r="O4168" t="s">
        <v>26</v>
      </c>
      <c r="P4168">
        <v>142.5</v>
      </c>
      <c r="Q4168">
        <v>118.75</v>
      </c>
      <c r="R4168">
        <v>95</v>
      </c>
      <c r="S4168">
        <v>142.5</v>
      </c>
      <c r="T4168" t="s">
        <v>21325</v>
      </c>
    </row>
    <row r="4169" spans="1:20">
      <c r="A4169">
        <v>3332239</v>
      </c>
      <c r="B4169" t="s">
        <v>21326</v>
      </c>
      <c r="C4169" t="str">
        <f>"9780773527607"</f>
        <v>9780773527607</v>
      </c>
      <c r="D4169" t="str">
        <f>"9780773580534"</f>
        <v>9780773580534</v>
      </c>
      <c r="E4169" t="s">
        <v>12863</v>
      </c>
      <c r="F4169" t="s">
        <v>12863</v>
      </c>
      <c r="G4169" s="1">
        <v>38244</v>
      </c>
      <c r="I4169" t="s">
        <v>20996</v>
      </c>
      <c r="J4169" t="s">
        <v>20997</v>
      </c>
      <c r="K4169" t="s">
        <v>4081</v>
      </c>
      <c r="L4169" t="s">
        <v>21327</v>
      </c>
      <c r="M4169">
        <v>491.43982420999998</v>
      </c>
      <c r="N4169" t="s">
        <v>21328</v>
      </c>
      <c r="O4169" t="s">
        <v>26</v>
      </c>
      <c r="P4169">
        <v>37.43</v>
      </c>
      <c r="Q4169">
        <v>31.19</v>
      </c>
      <c r="R4169">
        <v>24.95</v>
      </c>
      <c r="S4169">
        <v>37.43</v>
      </c>
      <c r="T4169" t="s">
        <v>21329</v>
      </c>
    </row>
    <row r="4170" spans="1:20">
      <c r="A4170">
        <v>3332240</v>
      </c>
      <c r="B4170" t="s">
        <v>21330</v>
      </c>
      <c r="C4170" t="str">
        <f>"9780773525450"</f>
        <v>9780773525450</v>
      </c>
      <c r="D4170" t="str">
        <f>"9780773586215"</f>
        <v>9780773586215</v>
      </c>
      <c r="E4170" t="s">
        <v>12863</v>
      </c>
      <c r="F4170" t="s">
        <v>12863</v>
      </c>
      <c r="G4170" s="1">
        <v>37599</v>
      </c>
      <c r="J4170" t="s">
        <v>21331</v>
      </c>
      <c r="K4170" t="s">
        <v>2432</v>
      </c>
      <c r="L4170" t="s">
        <v>21332</v>
      </c>
      <c r="M4170">
        <v>300</v>
      </c>
      <c r="N4170" t="s">
        <v>21333</v>
      </c>
      <c r="O4170" t="s">
        <v>26</v>
      </c>
      <c r="P4170">
        <v>142.5</v>
      </c>
      <c r="Q4170">
        <v>118.75</v>
      </c>
      <c r="R4170">
        <v>95</v>
      </c>
      <c r="S4170">
        <v>142.5</v>
      </c>
      <c r="T4170" t="s">
        <v>21334</v>
      </c>
    </row>
    <row r="4171" spans="1:20">
      <c r="A4171">
        <v>3332241</v>
      </c>
      <c r="B4171" t="s">
        <v>21335</v>
      </c>
      <c r="C4171" t="str">
        <f>"9780886291815"</f>
        <v>9780886291815</v>
      </c>
      <c r="D4171" t="str">
        <f>"9780773585256"</f>
        <v>9780773585256</v>
      </c>
      <c r="E4171" t="s">
        <v>12863</v>
      </c>
      <c r="F4171" t="s">
        <v>12863</v>
      </c>
      <c r="G4171" s="1">
        <v>36573</v>
      </c>
      <c r="I4171" t="s">
        <v>13270</v>
      </c>
      <c r="J4171" t="s">
        <v>21336</v>
      </c>
      <c r="K4171" t="s">
        <v>416</v>
      </c>
      <c r="L4171" t="s">
        <v>21337</v>
      </c>
      <c r="M4171">
        <v>330</v>
      </c>
      <c r="N4171" t="s">
        <v>21338</v>
      </c>
      <c r="O4171" t="s">
        <v>26</v>
      </c>
      <c r="P4171">
        <v>142.5</v>
      </c>
      <c r="Q4171">
        <v>118.75</v>
      </c>
      <c r="R4171">
        <v>95</v>
      </c>
      <c r="S4171">
        <v>142.5</v>
      </c>
      <c r="T4171" t="s">
        <v>21339</v>
      </c>
    </row>
    <row r="4172" spans="1:20">
      <c r="A4172">
        <v>3332242</v>
      </c>
      <c r="B4172" t="s">
        <v>21340</v>
      </c>
      <c r="C4172" t="str">
        <f>"9780773537927"</f>
        <v>9780773537927</v>
      </c>
      <c r="D4172" t="str">
        <f>"9780773580749"</f>
        <v>9780773580749</v>
      </c>
      <c r="E4172" t="s">
        <v>12863</v>
      </c>
      <c r="F4172" t="s">
        <v>12863</v>
      </c>
      <c r="G4172" s="1">
        <v>40477</v>
      </c>
      <c r="J4172" t="s">
        <v>21341</v>
      </c>
      <c r="K4172" t="s">
        <v>257</v>
      </c>
      <c r="L4172" t="s">
        <v>21342</v>
      </c>
      <c r="M4172">
        <v>370.1</v>
      </c>
      <c r="N4172" t="s">
        <v>21343</v>
      </c>
      <c r="O4172" t="s">
        <v>26</v>
      </c>
      <c r="P4172">
        <v>142.5</v>
      </c>
      <c r="Q4172">
        <v>118.75</v>
      </c>
      <c r="R4172">
        <v>95</v>
      </c>
      <c r="S4172">
        <v>142.5</v>
      </c>
      <c r="T4172" t="s">
        <v>21344</v>
      </c>
    </row>
    <row r="4173" spans="1:20">
      <c r="A4173">
        <v>3332243</v>
      </c>
      <c r="B4173" t="s">
        <v>21345</v>
      </c>
      <c r="C4173" t="str">
        <f>"9780773528444"</f>
        <v>9780773528444</v>
      </c>
      <c r="D4173" t="str">
        <f>"9780773581708"</f>
        <v>9780773581708</v>
      </c>
      <c r="E4173" t="s">
        <v>12863</v>
      </c>
      <c r="F4173" t="s">
        <v>12863</v>
      </c>
      <c r="G4173" s="1">
        <v>38397</v>
      </c>
      <c r="J4173" t="s">
        <v>21346</v>
      </c>
      <c r="K4173" t="s">
        <v>467</v>
      </c>
      <c r="L4173" t="s">
        <v>21347</v>
      </c>
      <c r="M4173">
        <v>351</v>
      </c>
      <c r="N4173" t="s">
        <v>21348</v>
      </c>
      <c r="O4173" t="s">
        <v>26</v>
      </c>
      <c r="P4173">
        <v>142.5</v>
      </c>
      <c r="Q4173">
        <v>118.75</v>
      </c>
      <c r="R4173">
        <v>95</v>
      </c>
      <c r="S4173">
        <v>142.5</v>
      </c>
      <c r="T4173" t="s">
        <v>21349</v>
      </c>
    </row>
    <row r="4174" spans="1:20">
      <c r="A4174">
        <v>3332244</v>
      </c>
      <c r="B4174" t="s">
        <v>21350</v>
      </c>
      <c r="C4174" t="str">
        <f>"9780773538788"</f>
        <v>9780773538788</v>
      </c>
      <c r="D4174" t="str">
        <f>"9780773586062"</f>
        <v>9780773586062</v>
      </c>
      <c r="E4174" t="s">
        <v>12863</v>
      </c>
      <c r="F4174" t="s">
        <v>12863</v>
      </c>
      <c r="G4174" s="1">
        <v>40799</v>
      </c>
      <c r="I4174" t="s">
        <v>12963</v>
      </c>
      <c r="J4174" t="s">
        <v>21351</v>
      </c>
      <c r="K4174" t="s">
        <v>467</v>
      </c>
      <c r="L4174" t="s">
        <v>21352</v>
      </c>
      <c r="M4174">
        <v>320.01900000000001</v>
      </c>
      <c r="N4174" t="s">
        <v>21353</v>
      </c>
      <c r="O4174" t="s">
        <v>26</v>
      </c>
      <c r="P4174">
        <v>142.5</v>
      </c>
      <c r="Q4174">
        <v>118.75</v>
      </c>
      <c r="R4174">
        <v>95</v>
      </c>
      <c r="S4174">
        <v>142.5</v>
      </c>
      <c r="T4174" t="s">
        <v>21354</v>
      </c>
    </row>
    <row r="4175" spans="1:20">
      <c r="A4175">
        <v>3332245</v>
      </c>
      <c r="B4175" t="s">
        <v>21355</v>
      </c>
      <c r="C4175" t="str">
        <f>"9780773537651"</f>
        <v>9780773537651</v>
      </c>
      <c r="D4175" t="str">
        <f>"9780773580596"</f>
        <v>9780773580596</v>
      </c>
      <c r="E4175" t="s">
        <v>12863</v>
      </c>
      <c r="F4175" t="s">
        <v>12863</v>
      </c>
      <c r="G4175" s="1">
        <v>40400</v>
      </c>
      <c r="J4175" t="s">
        <v>12969</v>
      </c>
      <c r="K4175" t="s">
        <v>1464</v>
      </c>
      <c r="L4175" t="s">
        <v>21356</v>
      </c>
      <c r="M4175">
        <v>810.9</v>
      </c>
      <c r="N4175" t="s">
        <v>21357</v>
      </c>
      <c r="O4175" t="s">
        <v>26</v>
      </c>
      <c r="P4175">
        <v>142.5</v>
      </c>
      <c r="Q4175">
        <v>118.75</v>
      </c>
      <c r="R4175">
        <v>95</v>
      </c>
      <c r="S4175">
        <v>142.5</v>
      </c>
      <c r="T4175" t="s">
        <v>21358</v>
      </c>
    </row>
    <row r="4176" spans="1:20">
      <c r="A4176">
        <v>3332246</v>
      </c>
      <c r="B4176" t="s">
        <v>21359</v>
      </c>
      <c r="C4176" t="str">
        <f>"9780886292584"</f>
        <v>9780886292584</v>
      </c>
      <c r="D4176" t="str">
        <f>"9780773583320"</f>
        <v>9780773583320</v>
      </c>
      <c r="E4176" t="s">
        <v>12863</v>
      </c>
      <c r="F4176" t="s">
        <v>12863</v>
      </c>
      <c r="G4176" s="1">
        <v>34834</v>
      </c>
      <c r="J4176" t="s">
        <v>21360</v>
      </c>
      <c r="K4176" t="s">
        <v>7063</v>
      </c>
      <c r="L4176" t="s">
        <v>21361</v>
      </c>
      <c r="M4176">
        <v>327.71080000000001</v>
      </c>
      <c r="N4176" t="s">
        <v>21362</v>
      </c>
      <c r="O4176" t="s">
        <v>26</v>
      </c>
      <c r="P4176">
        <v>142.5</v>
      </c>
      <c r="Q4176">
        <v>118.75</v>
      </c>
      <c r="R4176">
        <v>95</v>
      </c>
      <c r="S4176">
        <v>142.5</v>
      </c>
      <c r="T4176" t="s">
        <v>21363</v>
      </c>
    </row>
    <row r="4177" spans="1:20">
      <c r="A4177">
        <v>3332247</v>
      </c>
      <c r="B4177" t="s">
        <v>21364</v>
      </c>
      <c r="C4177" t="str">
        <f>"9780886290900"</f>
        <v>9780886290900</v>
      </c>
      <c r="D4177" t="str">
        <f>"9780773582361"</f>
        <v>9780773582361</v>
      </c>
      <c r="E4177" t="s">
        <v>12863</v>
      </c>
      <c r="F4177" t="s">
        <v>12863</v>
      </c>
      <c r="G4177" s="1">
        <v>32796</v>
      </c>
      <c r="I4177" t="s">
        <v>16476</v>
      </c>
      <c r="J4177" t="s">
        <v>21365</v>
      </c>
      <c r="K4177" t="s">
        <v>6444</v>
      </c>
      <c r="L4177" t="s">
        <v>21366</v>
      </c>
      <c r="M4177">
        <v>323.11970000000002</v>
      </c>
      <c r="N4177" t="s">
        <v>21367</v>
      </c>
      <c r="O4177" t="s">
        <v>26</v>
      </c>
      <c r="P4177">
        <v>142.5</v>
      </c>
      <c r="Q4177">
        <v>118.75</v>
      </c>
      <c r="R4177">
        <v>95</v>
      </c>
      <c r="S4177">
        <v>142.5</v>
      </c>
      <c r="T4177" t="s">
        <v>21368</v>
      </c>
    </row>
    <row r="4178" spans="1:20">
      <c r="A4178">
        <v>3332248</v>
      </c>
      <c r="B4178" t="s">
        <v>21369</v>
      </c>
      <c r="C4178" t="str">
        <f>"9780886290498"</f>
        <v>9780886290498</v>
      </c>
      <c r="D4178" t="str">
        <f>"9780773582576"</f>
        <v>9780773582576</v>
      </c>
      <c r="E4178" t="s">
        <v>12863</v>
      </c>
      <c r="F4178" t="s">
        <v>12863</v>
      </c>
      <c r="G4178" s="1">
        <v>41773</v>
      </c>
      <c r="I4178" t="s">
        <v>13270</v>
      </c>
      <c r="J4178" t="s">
        <v>21370</v>
      </c>
      <c r="K4178" t="s">
        <v>291</v>
      </c>
      <c r="L4178" t="s">
        <v>21371</v>
      </c>
      <c r="M4178">
        <v>946.08100000000002</v>
      </c>
      <c r="N4178" t="s">
        <v>21372</v>
      </c>
      <c r="O4178" t="s">
        <v>26</v>
      </c>
      <c r="P4178">
        <v>127.5</v>
      </c>
      <c r="Q4178">
        <v>106.25</v>
      </c>
      <c r="R4178">
        <v>85</v>
      </c>
      <c r="S4178">
        <v>127.5</v>
      </c>
      <c r="T4178" t="s">
        <v>21373</v>
      </c>
    </row>
    <row r="4179" spans="1:20">
      <c r="A4179">
        <v>3332249</v>
      </c>
      <c r="B4179" t="s">
        <v>21374</v>
      </c>
      <c r="C4179" t="str">
        <f>"9780886290184"</f>
        <v>9780886290184</v>
      </c>
      <c r="D4179" t="str">
        <f>"9780773584853"</f>
        <v>9780773584853</v>
      </c>
      <c r="E4179" t="s">
        <v>12863</v>
      </c>
      <c r="F4179" t="s">
        <v>12863</v>
      </c>
      <c r="G4179" s="1">
        <v>31031</v>
      </c>
      <c r="I4179" t="s">
        <v>13270</v>
      </c>
      <c r="J4179" t="s">
        <v>21375</v>
      </c>
      <c r="K4179" t="s">
        <v>263</v>
      </c>
      <c r="L4179" t="s">
        <v>21376</v>
      </c>
      <c r="M4179">
        <v>307.76089999999999</v>
      </c>
      <c r="N4179" t="s">
        <v>21377</v>
      </c>
      <c r="O4179" t="s">
        <v>26</v>
      </c>
      <c r="P4179">
        <v>142.5</v>
      </c>
      <c r="Q4179">
        <v>118.75</v>
      </c>
      <c r="R4179">
        <v>95</v>
      </c>
      <c r="S4179">
        <v>142.5</v>
      </c>
      <c r="T4179" t="s">
        <v>21378</v>
      </c>
    </row>
    <row r="4180" spans="1:20">
      <c r="A4180">
        <v>3332250</v>
      </c>
      <c r="B4180" t="s">
        <v>21379</v>
      </c>
      <c r="C4180" t="str">
        <f>"9780773530751"</f>
        <v>9780773530751</v>
      </c>
      <c r="D4180" t="str">
        <f>"9780773585812"</f>
        <v>9780773585812</v>
      </c>
      <c r="E4180" t="s">
        <v>12863</v>
      </c>
      <c r="F4180" t="s">
        <v>12863</v>
      </c>
      <c r="G4180" s="1">
        <v>38848</v>
      </c>
      <c r="J4180" t="s">
        <v>21380</v>
      </c>
      <c r="K4180" t="s">
        <v>2963</v>
      </c>
      <c r="L4180" t="s">
        <v>21381</v>
      </c>
      <c r="M4180" t="s">
        <v>21382</v>
      </c>
      <c r="N4180" t="s">
        <v>21383</v>
      </c>
      <c r="O4180" t="s">
        <v>26</v>
      </c>
      <c r="P4180">
        <v>29.93</v>
      </c>
      <c r="Q4180">
        <v>24.94</v>
      </c>
      <c r="R4180">
        <v>19.95</v>
      </c>
      <c r="S4180">
        <v>29.93</v>
      </c>
      <c r="T4180" t="s">
        <v>21384</v>
      </c>
    </row>
    <row r="4181" spans="1:20">
      <c r="A4181">
        <v>3332251</v>
      </c>
      <c r="B4181" t="s">
        <v>21385</v>
      </c>
      <c r="C4181" t="str">
        <f>"9780773524804"</f>
        <v>9780773524804</v>
      </c>
      <c r="D4181" t="str">
        <f>"9780773583382"</f>
        <v>9780773583382</v>
      </c>
      <c r="E4181" t="s">
        <v>12863</v>
      </c>
      <c r="F4181" t="s">
        <v>12863</v>
      </c>
      <c r="G4181" s="1">
        <v>37956</v>
      </c>
      <c r="I4181" t="s">
        <v>21018</v>
      </c>
      <c r="J4181" t="s">
        <v>21386</v>
      </c>
      <c r="K4181" t="s">
        <v>1859</v>
      </c>
      <c r="L4181" t="s">
        <v>21387</v>
      </c>
      <c r="M4181">
        <v>160</v>
      </c>
      <c r="N4181" t="s">
        <v>21388</v>
      </c>
      <c r="O4181" t="s">
        <v>26</v>
      </c>
      <c r="P4181">
        <v>44.93</v>
      </c>
      <c r="Q4181">
        <v>37.44</v>
      </c>
      <c r="R4181">
        <v>29.95</v>
      </c>
      <c r="S4181">
        <v>44.93</v>
      </c>
      <c r="T4181" t="s">
        <v>21389</v>
      </c>
    </row>
    <row r="4182" spans="1:20">
      <c r="A4182">
        <v>3332252</v>
      </c>
      <c r="B4182" t="s">
        <v>21390</v>
      </c>
      <c r="C4182" t="str">
        <f>"9780773538573"</f>
        <v>9780773538573</v>
      </c>
      <c r="D4182" t="str">
        <f>"9780773585874"</f>
        <v>9780773585874</v>
      </c>
      <c r="E4182" t="s">
        <v>12863</v>
      </c>
      <c r="F4182" t="s">
        <v>12863</v>
      </c>
      <c r="G4182" s="1">
        <v>40759</v>
      </c>
      <c r="I4182" t="s">
        <v>18279</v>
      </c>
      <c r="J4182" t="s">
        <v>21391</v>
      </c>
      <c r="K4182" t="s">
        <v>291</v>
      </c>
      <c r="L4182" t="s">
        <v>21392</v>
      </c>
      <c r="M4182" t="s">
        <v>21393</v>
      </c>
      <c r="N4182" t="s">
        <v>21394</v>
      </c>
      <c r="O4182" t="s">
        <v>26</v>
      </c>
      <c r="P4182">
        <v>59.93</v>
      </c>
      <c r="Q4182">
        <v>49.94</v>
      </c>
      <c r="R4182">
        <v>39.950000000000003</v>
      </c>
      <c r="S4182">
        <v>59.93</v>
      </c>
      <c r="T4182" t="s">
        <v>21395</v>
      </c>
    </row>
    <row r="4183" spans="1:20">
      <c r="A4183">
        <v>3332253</v>
      </c>
      <c r="B4183" t="s">
        <v>21396</v>
      </c>
      <c r="C4183" t="str">
        <f>"9780773539129"</f>
        <v>9780773539129</v>
      </c>
      <c r="D4183" t="str">
        <f>"9780773586116"</f>
        <v>9780773586116</v>
      </c>
      <c r="E4183" t="s">
        <v>12863</v>
      </c>
      <c r="F4183" t="s">
        <v>12863</v>
      </c>
      <c r="G4183" s="1">
        <v>40779</v>
      </c>
      <c r="J4183" t="s">
        <v>21397</v>
      </c>
      <c r="K4183" t="s">
        <v>2260</v>
      </c>
      <c r="L4183" t="s">
        <v>21398</v>
      </c>
      <c r="M4183" t="s">
        <v>21399</v>
      </c>
      <c r="N4183" t="s">
        <v>21400</v>
      </c>
      <c r="O4183" t="s">
        <v>26</v>
      </c>
      <c r="P4183">
        <v>142.5</v>
      </c>
      <c r="Q4183">
        <v>118.75</v>
      </c>
      <c r="R4183">
        <v>95</v>
      </c>
      <c r="S4183">
        <v>142.5</v>
      </c>
      <c r="T4183" t="s">
        <v>21401</v>
      </c>
    </row>
    <row r="4184" spans="1:20">
      <c r="A4184">
        <v>3332254</v>
      </c>
      <c r="B4184" t="s">
        <v>21402</v>
      </c>
      <c r="C4184" t="str">
        <f>"9780773536548"</f>
        <v>9780773536548</v>
      </c>
      <c r="D4184" t="str">
        <f>"9780773585157"</f>
        <v>9780773585157</v>
      </c>
      <c r="E4184" t="s">
        <v>12863</v>
      </c>
      <c r="F4184" t="s">
        <v>12863</v>
      </c>
      <c r="G4184" s="1">
        <v>36916</v>
      </c>
      <c r="I4184" t="s">
        <v>18279</v>
      </c>
      <c r="J4184" t="s">
        <v>21403</v>
      </c>
      <c r="K4184" t="s">
        <v>2260</v>
      </c>
      <c r="L4184" t="s">
        <v>21404</v>
      </c>
      <c r="M4184" t="s">
        <v>21405</v>
      </c>
      <c r="N4184" t="s">
        <v>21406</v>
      </c>
      <c r="O4184" t="s">
        <v>26</v>
      </c>
      <c r="P4184">
        <v>49.43</v>
      </c>
      <c r="Q4184">
        <v>41.19</v>
      </c>
      <c r="R4184">
        <v>32.950000000000003</v>
      </c>
      <c r="S4184">
        <v>49.43</v>
      </c>
      <c r="T4184" t="s">
        <v>21407</v>
      </c>
    </row>
    <row r="4185" spans="1:20">
      <c r="A4185">
        <v>3332255</v>
      </c>
      <c r="B4185" t="s">
        <v>21408</v>
      </c>
      <c r="C4185" t="str">
        <f>"9780886292478"</f>
        <v>9780886292478</v>
      </c>
      <c r="D4185" t="str">
        <f>"9780773581456"</f>
        <v>9780773581456</v>
      </c>
      <c r="E4185" t="s">
        <v>12863</v>
      </c>
      <c r="F4185" t="s">
        <v>12863</v>
      </c>
      <c r="G4185" s="1">
        <v>41773</v>
      </c>
      <c r="J4185" t="s">
        <v>21409</v>
      </c>
      <c r="K4185" t="s">
        <v>7651</v>
      </c>
      <c r="L4185" t="s">
        <v>21410</v>
      </c>
      <c r="M4185">
        <v>174.93090000000001</v>
      </c>
      <c r="N4185" t="s">
        <v>21411</v>
      </c>
      <c r="O4185" t="s">
        <v>26</v>
      </c>
      <c r="P4185">
        <v>142.5</v>
      </c>
      <c r="Q4185">
        <v>118.75</v>
      </c>
      <c r="R4185">
        <v>95</v>
      </c>
      <c r="S4185">
        <v>142.5</v>
      </c>
      <c r="T4185" t="s">
        <v>21412</v>
      </c>
    </row>
    <row r="4186" spans="1:20">
      <c r="A4186">
        <v>3332256</v>
      </c>
      <c r="B4186" t="s">
        <v>21413</v>
      </c>
      <c r="C4186" t="str">
        <f>"9780773527737"</f>
        <v>9780773527737</v>
      </c>
      <c r="D4186" t="str">
        <f>"9780773582262"</f>
        <v>9780773582262</v>
      </c>
      <c r="E4186" t="s">
        <v>12863</v>
      </c>
      <c r="F4186" t="s">
        <v>12863</v>
      </c>
      <c r="G4186" s="1">
        <v>38027</v>
      </c>
      <c r="J4186" t="s">
        <v>21414</v>
      </c>
      <c r="K4186" t="s">
        <v>467</v>
      </c>
      <c r="L4186" t="s">
        <v>21415</v>
      </c>
      <c r="M4186">
        <v>320.51010000000002</v>
      </c>
      <c r="N4186" t="s">
        <v>21416</v>
      </c>
      <c r="O4186" t="s">
        <v>26</v>
      </c>
      <c r="P4186">
        <v>142.5</v>
      </c>
      <c r="Q4186">
        <v>118.75</v>
      </c>
      <c r="R4186">
        <v>95</v>
      </c>
      <c r="S4186">
        <v>142.5</v>
      </c>
      <c r="T4186" t="s">
        <v>21417</v>
      </c>
    </row>
    <row r="4187" spans="1:20">
      <c r="A4187">
        <v>3332257</v>
      </c>
      <c r="B4187" t="s">
        <v>21418</v>
      </c>
      <c r="C4187" t="str">
        <f>"9780773521322"</f>
        <v>9780773521322</v>
      </c>
      <c r="D4187" t="str">
        <f>"9780773583283"</f>
        <v>9780773583283</v>
      </c>
      <c r="E4187" t="s">
        <v>12863</v>
      </c>
      <c r="F4187" t="s">
        <v>12863</v>
      </c>
      <c r="G4187" s="1">
        <v>36840</v>
      </c>
      <c r="I4187" t="s">
        <v>21018</v>
      </c>
      <c r="J4187" t="s">
        <v>21419</v>
      </c>
      <c r="K4187" t="s">
        <v>1859</v>
      </c>
      <c r="L4187" t="s">
        <v>21420</v>
      </c>
      <c r="M4187" t="s">
        <v>21421</v>
      </c>
      <c r="N4187" t="s">
        <v>21422</v>
      </c>
      <c r="O4187" t="s">
        <v>26</v>
      </c>
      <c r="P4187">
        <v>44.93</v>
      </c>
      <c r="Q4187">
        <v>37.44</v>
      </c>
      <c r="R4187">
        <v>29.95</v>
      </c>
      <c r="S4187">
        <v>44.93</v>
      </c>
      <c r="T4187" t="s">
        <v>21423</v>
      </c>
    </row>
    <row r="4188" spans="1:20">
      <c r="A4188">
        <v>3332258</v>
      </c>
      <c r="B4188" t="s">
        <v>21424</v>
      </c>
      <c r="C4188" t="str">
        <f>"9780773539112"</f>
        <v>9780773539112</v>
      </c>
      <c r="D4188" t="str">
        <f>"9780773585980"</f>
        <v>9780773585980</v>
      </c>
      <c r="E4188" t="s">
        <v>12863</v>
      </c>
      <c r="F4188" t="s">
        <v>12863</v>
      </c>
      <c r="G4188" s="1">
        <v>40773</v>
      </c>
      <c r="J4188" t="s">
        <v>21425</v>
      </c>
      <c r="K4188" t="s">
        <v>1464</v>
      </c>
      <c r="L4188" t="s">
        <v>21426</v>
      </c>
      <c r="M4188" t="s">
        <v>21427</v>
      </c>
      <c r="N4188" t="s">
        <v>21428</v>
      </c>
      <c r="O4188" t="s">
        <v>26</v>
      </c>
      <c r="P4188">
        <v>52.43</v>
      </c>
      <c r="Q4188">
        <v>43.69</v>
      </c>
      <c r="R4188">
        <v>34.950000000000003</v>
      </c>
      <c r="S4188">
        <v>52.43</v>
      </c>
      <c r="T4188" t="s">
        <v>21429</v>
      </c>
    </row>
    <row r="4189" spans="1:20">
      <c r="A4189">
        <v>3332259</v>
      </c>
      <c r="B4189" t="s">
        <v>21430</v>
      </c>
      <c r="C4189" t="str">
        <f>"9780773516229"</f>
        <v>9780773516229</v>
      </c>
      <c r="D4189" t="str">
        <f>"9780773580541"</f>
        <v>9780773580541</v>
      </c>
      <c r="E4189" t="s">
        <v>12863</v>
      </c>
      <c r="F4189" t="s">
        <v>12863</v>
      </c>
      <c r="G4189" s="1">
        <v>41773</v>
      </c>
      <c r="I4189" t="s">
        <v>20996</v>
      </c>
      <c r="J4189" t="s">
        <v>20997</v>
      </c>
      <c r="K4189" t="s">
        <v>4081</v>
      </c>
      <c r="L4189" t="s">
        <v>21431</v>
      </c>
      <c r="M4189">
        <v>491.43900000000002</v>
      </c>
      <c r="N4189" t="s">
        <v>21432</v>
      </c>
      <c r="O4189" t="s">
        <v>26</v>
      </c>
      <c r="P4189">
        <v>41.93</v>
      </c>
      <c r="Q4189">
        <v>34.94</v>
      </c>
      <c r="R4189">
        <v>27.95</v>
      </c>
      <c r="S4189">
        <v>41.93</v>
      </c>
      <c r="T4189" t="s">
        <v>21433</v>
      </c>
    </row>
    <row r="4190" spans="1:20">
      <c r="A4190">
        <v>3332260</v>
      </c>
      <c r="B4190" t="s">
        <v>21434</v>
      </c>
      <c r="C4190" t="str">
        <f>"9780773536623"</f>
        <v>9780773536623</v>
      </c>
      <c r="D4190" t="str">
        <f>"9780773585263"</f>
        <v>9780773585263</v>
      </c>
      <c r="E4190" t="s">
        <v>12863</v>
      </c>
      <c r="F4190" t="s">
        <v>12863</v>
      </c>
      <c r="G4190" s="1">
        <v>40210</v>
      </c>
      <c r="J4190" t="s">
        <v>21435</v>
      </c>
      <c r="K4190" t="s">
        <v>21436</v>
      </c>
      <c r="L4190" t="s">
        <v>21437</v>
      </c>
      <c r="M4190">
        <v>70.180000000000007</v>
      </c>
      <c r="N4190" t="s">
        <v>21438</v>
      </c>
      <c r="O4190" t="s">
        <v>26</v>
      </c>
      <c r="P4190">
        <v>52.43</v>
      </c>
      <c r="Q4190">
        <v>43.69</v>
      </c>
      <c r="R4190">
        <v>34.950000000000003</v>
      </c>
      <c r="S4190">
        <v>52.43</v>
      </c>
      <c r="T4190" t="s">
        <v>21439</v>
      </c>
    </row>
    <row r="4191" spans="1:20">
      <c r="A4191">
        <v>3332261</v>
      </c>
      <c r="B4191" t="s">
        <v>21440</v>
      </c>
      <c r="C4191" t="str">
        <f>"9780773536470"</f>
        <v>9780773536470</v>
      </c>
      <c r="D4191" t="str">
        <f>"9780773580756"</f>
        <v>9780773580756</v>
      </c>
      <c r="E4191" t="s">
        <v>12863</v>
      </c>
      <c r="F4191" t="s">
        <v>12863</v>
      </c>
      <c r="G4191" s="1">
        <v>40230</v>
      </c>
      <c r="I4191" t="s">
        <v>12963</v>
      </c>
      <c r="J4191" t="s">
        <v>21441</v>
      </c>
      <c r="K4191" t="s">
        <v>473</v>
      </c>
      <c r="L4191" t="s">
        <v>21442</v>
      </c>
      <c r="M4191">
        <v>306.2</v>
      </c>
      <c r="N4191" t="s">
        <v>21443</v>
      </c>
      <c r="O4191" t="s">
        <v>26</v>
      </c>
      <c r="P4191">
        <v>142.5</v>
      </c>
      <c r="Q4191">
        <v>118.75</v>
      </c>
      <c r="R4191">
        <v>95</v>
      </c>
      <c r="S4191">
        <v>142.5</v>
      </c>
      <c r="T4191" t="s">
        <v>21444</v>
      </c>
    </row>
    <row r="4192" spans="1:20">
      <c r="A4192">
        <v>3332262</v>
      </c>
      <c r="B4192" t="s">
        <v>21445</v>
      </c>
      <c r="C4192" t="str">
        <f>"9780773524736"</f>
        <v>9780773524736</v>
      </c>
      <c r="D4192" t="str">
        <f>"9780773581715"</f>
        <v>9780773581715</v>
      </c>
      <c r="E4192" t="s">
        <v>12863</v>
      </c>
      <c r="F4192" t="s">
        <v>12863</v>
      </c>
      <c r="G4192" s="1">
        <v>37424</v>
      </c>
      <c r="J4192" t="s">
        <v>21446</v>
      </c>
      <c r="K4192" t="s">
        <v>1859</v>
      </c>
      <c r="L4192" t="s">
        <v>21447</v>
      </c>
      <c r="M4192">
        <v>113</v>
      </c>
      <c r="N4192" t="s">
        <v>21448</v>
      </c>
      <c r="O4192" t="s">
        <v>26</v>
      </c>
      <c r="P4192">
        <v>41.93</v>
      </c>
      <c r="Q4192">
        <v>34.94</v>
      </c>
      <c r="R4192">
        <v>27.95</v>
      </c>
      <c r="S4192">
        <v>41.93</v>
      </c>
      <c r="T4192" t="s">
        <v>21449</v>
      </c>
    </row>
    <row r="4193" spans="1:20">
      <c r="A4193">
        <v>3332263</v>
      </c>
      <c r="B4193" t="s">
        <v>21450</v>
      </c>
      <c r="C4193" t="str">
        <f>"9780886291853"</f>
        <v>9780886291853</v>
      </c>
      <c r="D4193" t="str">
        <f>"9780773585478"</f>
        <v>9780773585478</v>
      </c>
      <c r="E4193" t="s">
        <v>12863</v>
      </c>
      <c r="F4193" t="s">
        <v>12863</v>
      </c>
      <c r="G4193" s="1">
        <v>33862</v>
      </c>
      <c r="J4193" t="s">
        <v>3322</v>
      </c>
      <c r="K4193" t="s">
        <v>21451</v>
      </c>
      <c r="L4193" t="s">
        <v>21452</v>
      </c>
      <c r="M4193">
        <v>808</v>
      </c>
      <c r="N4193" t="s">
        <v>21453</v>
      </c>
      <c r="O4193" t="s">
        <v>26</v>
      </c>
      <c r="P4193">
        <v>142.5</v>
      </c>
      <c r="Q4193">
        <v>118.75</v>
      </c>
      <c r="R4193">
        <v>95</v>
      </c>
      <c r="S4193">
        <v>142.5</v>
      </c>
      <c r="T4193" t="s">
        <v>21454</v>
      </c>
    </row>
    <row r="4194" spans="1:20">
      <c r="A4194">
        <v>3332264</v>
      </c>
      <c r="B4194" t="s">
        <v>21455</v>
      </c>
      <c r="C4194" t="str">
        <f>"9780886293475"</f>
        <v>9780886293475</v>
      </c>
      <c r="D4194" t="str">
        <f>"9780773581562"</f>
        <v>9780773581562</v>
      </c>
      <c r="E4194" t="s">
        <v>12863</v>
      </c>
      <c r="F4194" t="s">
        <v>12863</v>
      </c>
      <c r="G4194" s="1">
        <v>36109</v>
      </c>
      <c r="I4194" t="s">
        <v>21105</v>
      </c>
      <c r="J4194" t="s">
        <v>21456</v>
      </c>
      <c r="K4194" t="s">
        <v>1464</v>
      </c>
      <c r="L4194" t="s">
        <v>21457</v>
      </c>
      <c r="M4194">
        <v>811.54</v>
      </c>
      <c r="N4194" t="s">
        <v>21458</v>
      </c>
      <c r="O4194" t="s">
        <v>26</v>
      </c>
      <c r="P4194">
        <v>142.5</v>
      </c>
      <c r="Q4194">
        <v>118.75</v>
      </c>
      <c r="R4194">
        <v>95</v>
      </c>
      <c r="S4194">
        <v>142.5</v>
      </c>
      <c r="T4194" t="s">
        <v>21459</v>
      </c>
    </row>
    <row r="4195" spans="1:20">
      <c r="A4195">
        <v>3332265</v>
      </c>
      <c r="B4195" t="s">
        <v>21460</v>
      </c>
      <c r="C4195" t="str">
        <f>"9780773536715"</f>
        <v>9780773536715</v>
      </c>
      <c r="D4195" t="str">
        <f>"9780773582521"</f>
        <v>9780773582521</v>
      </c>
      <c r="E4195" t="s">
        <v>12863</v>
      </c>
      <c r="F4195" t="s">
        <v>12863</v>
      </c>
      <c r="G4195" s="1">
        <v>40228</v>
      </c>
      <c r="I4195" t="s">
        <v>12886</v>
      </c>
      <c r="J4195" t="s">
        <v>21461</v>
      </c>
      <c r="K4195" t="s">
        <v>1892</v>
      </c>
      <c r="L4195" t="s">
        <v>21462</v>
      </c>
      <c r="M4195" t="s">
        <v>21463</v>
      </c>
      <c r="N4195" t="s">
        <v>21464</v>
      </c>
      <c r="O4195" t="s">
        <v>26</v>
      </c>
      <c r="P4195">
        <v>142.5</v>
      </c>
      <c r="Q4195">
        <v>118.75</v>
      </c>
      <c r="R4195">
        <v>95</v>
      </c>
      <c r="S4195">
        <v>142.5</v>
      </c>
      <c r="T4195" t="s">
        <v>21465</v>
      </c>
    </row>
    <row r="4196" spans="1:20">
      <c r="A4196">
        <v>3332266</v>
      </c>
      <c r="B4196" t="s">
        <v>21466</v>
      </c>
      <c r="C4196" t="str">
        <f>"9780773504165"</f>
        <v>9780773504165</v>
      </c>
      <c r="D4196" t="str">
        <f>"9780773581777"</f>
        <v>9780773581777</v>
      </c>
      <c r="E4196" t="s">
        <v>12863</v>
      </c>
      <c r="F4196" t="s">
        <v>12863</v>
      </c>
      <c r="G4196" s="1">
        <v>30895</v>
      </c>
      <c r="J4196" t="s">
        <v>21467</v>
      </c>
      <c r="K4196" t="s">
        <v>1835</v>
      </c>
      <c r="L4196" t="s">
        <v>21468</v>
      </c>
      <c r="M4196" t="s">
        <v>21469</v>
      </c>
      <c r="N4196" t="s">
        <v>21470</v>
      </c>
      <c r="O4196" t="s">
        <v>26</v>
      </c>
      <c r="P4196">
        <v>142.5</v>
      </c>
      <c r="Q4196">
        <v>118.75</v>
      </c>
      <c r="R4196">
        <v>95</v>
      </c>
      <c r="S4196">
        <v>142.5</v>
      </c>
      <c r="T4196" t="s">
        <v>21471</v>
      </c>
    </row>
    <row r="4197" spans="1:20">
      <c r="A4197">
        <v>3332267</v>
      </c>
      <c r="B4197" t="s">
        <v>21472</v>
      </c>
      <c r="C4197" t="str">
        <f>"9780886290023"</f>
        <v>9780886290023</v>
      </c>
      <c r="D4197" t="str">
        <f>"9780773584860"</f>
        <v>9780773584860</v>
      </c>
      <c r="E4197" t="s">
        <v>12863</v>
      </c>
      <c r="F4197" t="s">
        <v>12863</v>
      </c>
      <c r="G4197" s="1">
        <v>30209</v>
      </c>
      <c r="I4197" t="s">
        <v>13270</v>
      </c>
      <c r="J4197" t="s">
        <v>21375</v>
      </c>
      <c r="K4197" t="s">
        <v>263</v>
      </c>
      <c r="L4197" t="s">
        <v>21473</v>
      </c>
      <c r="M4197" t="s">
        <v>21474</v>
      </c>
      <c r="N4197" t="s">
        <v>21475</v>
      </c>
      <c r="O4197" t="s">
        <v>26</v>
      </c>
      <c r="P4197">
        <v>142.5</v>
      </c>
      <c r="Q4197">
        <v>118.75</v>
      </c>
      <c r="R4197">
        <v>95</v>
      </c>
      <c r="S4197">
        <v>142.5</v>
      </c>
      <c r="T4197" t="s">
        <v>21476</v>
      </c>
    </row>
    <row r="4198" spans="1:20">
      <c r="A4198">
        <v>3332268</v>
      </c>
      <c r="B4198" t="s">
        <v>21477</v>
      </c>
      <c r="C4198" t="str">
        <f>"9780773505391"</f>
        <v>9780773505391</v>
      </c>
      <c r="D4198" t="str">
        <f>"9780773585102"</f>
        <v>9780773585102</v>
      </c>
      <c r="E4198" t="s">
        <v>12863</v>
      </c>
      <c r="F4198" t="s">
        <v>12863</v>
      </c>
      <c r="G4198" s="1">
        <v>33270</v>
      </c>
      <c r="J4198" t="s">
        <v>21230</v>
      </c>
      <c r="K4198" t="s">
        <v>1464</v>
      </c>
      <c r="L4198" t="s">
        <v>21478</v>
      </c>
      <c r="M4198">
        <v>823</v>
      </c>
      <c r="N4198" t="s">
        <v>21232</v>
      </c>
      <c r="O4198" t="s">
        <v>26</v>
      </c>
      <c r="P4198">
        <v>202.5</v>
      </c>
      <c r="Q4198">
        <v>168.75</v>
      </c>
      <c r="R4198">
        <v>135</v>
      </c>
      <c r="S4198">
        <v>202.5</v>
      </c>
      <c r="T4198" t="s">
        <v>21479</v>
      </c>
    </row>
    <row r="4199" spans="1:20">
      <c r="A4199">
        <v>3332269</v>
      </c>
      <c r="B4199" t="s">
        <v>21480</v>
      </c>
      <c r="C4199" t="str">
        <f>"9780773537880"</f>
        <v>9780773537880</v>
      </c>
      <c r="D4199" t="str">
        <f>"9780773585881"</f>
        <v>9780773585881</v>
      </c>
      <c r="E4199" t="s">
        <v>12863</v>
      </c>
      <c r="F4199" t="s">
        <v>12863</v>
      </c>
      <c r="G4199" s="1">
        <v>40582</v>
      </c>
      <c r="I4199" t="s">
        <v>13270</v>
      </c>
      <c r="J4199" t="s">
        <v>21481</v>
      </c>
      <c r="K4199" t="s">
        <v>278</v>
      </c>
      <c r="L4199" t="s">
        <v>21482</v>
      </c>
      <c r="M4199">
        <v>338.971</v>
      </c>
      <c r="N4199" t="s">
        <v>21483</v>
      </c>
      <c r="O4199" t="s">
        <v>26</v>
      </c>
      <c r="P4199">
        <v>202.5</v>
      </c>
      <c r="Q4199">
        <v>168.75</v>
      </c>
      <c r="R4199">
        <v>135</v>
      </c>
      <c r="S4199">
        <v>202.5</v>
      </c>
      <c r="T4199" t="s">
        <v>21484</v>
      </c>
    </row>
    <row r="4200" spans="1:20">
      <c r="A4200">
        <v>3332270</v>
      </c>
      <c r="B4200" t="s">
        <v>21485</v>
      </c>
      <c r="C4200" t="str">
        <f>"9780773537026"</f>
        <v>9780773537026</v>
      </c>
      <c r="D4200" t="str">
        <f>"9780773584358"</f>
        <v>9780773584358</v>
      </c>
      <c r="E4200" t="s">
        <v>12863</v>
      </c>
      <c r="F4200" t="s">
        <v>12863</v>
      </c>
      <c r="G4200" s="1">
        <v>40130</v>
      </c>
      <c r="H4200">
        <v>3</v>
      </c>
      <c r="I4200" t="s">
        <v>13270</v>
      </c>
      <c r="J4200" t="s">
        <v>21486</v>
      </c>
      <c r="K4200" t="s">
        <v>278</v>
      </c>
      <c r="L4200" t="s">
        <v>21487</v>
      </c>
      <c r="M4200" t="s">
        <v>21488</v>
      </c>
      <c r="N4200" t="s">
        <v>21489</v>
      </c>
      <c r="O4200" t="s">
        <v>26</v>
      </c>
      <c r="P4200">
        <v>142.5</v>
      </c>
      <c r="Q4200">
        <v>118.75</v>
      </c>
      <c r="R4200">
        <v>95</v>
      </c>
      <c r="S4200">
        <v>142.5</v>
      </c>
      <c r="T4200" t="s">
        <v>21490</v>
      </c>
    </row>
    <row r="4201" spans="1:20">
      <c r="A4201">
        <v>3332271</v>
      </c>
      <c r="B4201" t="s">
        <v>21491</v>
      </c>
      <c r="C4201" t="str">
        <f>"9780773537545"</f>
        <v>9780773537545</v>
      </c>
      <c r="D4201" t="str">
        <f>"9780773580657"</f>
        <v>9780773580657</v>
      </c>
      <c r="E4201" t="s">
        <v>12863</v>
      </c>
      <c r="F4201" t="s">
        <v>12863</v>
      </c>
      <c r="G4201" s="1">
        <v>40443</v>
      </c>
      <c r="I4201" t="s">
        <v>12871</v>
      </c>
      <c r="J4201" t="s">
        <v>21492</v>
      </c>
      <c r="K4201" t="s">
        <v>291</v>
      </c>
      <c r="L4201" t="s">
        <v>21493</v>
      </c>
      <c r="M4201">
        <v>971.3</v>
      </c>
      <c r="N4201" t="s">
        <v>21494</v>
      </c>
      <c r="O4201" t="s">
        <v>26</v>
      </c>
      <c r="P4201">
        <v>142.5</v>
      </c>
      <c r="Q4201">
        <v>118.75</v>
      </c>
      <c r="R4201">
        <v>95</v>
      </c>
      <c r="S4201">
        <v>142.5</v>
      </c>
      <c r="T4201" t="s">
        <v>21495</v>
      </c>
    </row>
    <row r="4202" spans="1:20">
      <c r="A4202">
        <v>3332272</v>
      </c>
      <c r="B4202" t="s">
        <v>21496</v>
      </c>
      <c r="C4202" t="str">
        <f>"9780773519008"</f>
        <v>9780773519008</v>
      </c>
      <c r="D4202" t="str">
        <f>"9780773581616"</f>
        <v>9780773581616</v>
      </c>
      <c r="E4202" t="s">
        <v>12863</v>
      </c>
      <c r="F4202" t="s">
        <v>12863</v>
      </c>
      <c r="G4202" s="1">
        <v>36249</v>
      </c>
      <c r="I4202" t="s">
        <v>19169</v>
      </c>
      <c r="J4202" t="s">
        <v>19708</v>
      </c>
      <c r="K4202" t="s">
        <v>1464</v>
      </c>
      <c r="L4202" t="s">
        <v>21497</v>
      </c>
      <c r="M4202" t="s">
        <v>1497</v>
      </c>
      <c r="N4202" t="s">
        <v>21498</v>
      </c>
      <c r="O4202" t="s">
        <v>26</v>
      </c>
      <c r="P4202">
        <v>25.43</v>
      </c>
      <c r="Q4202">
        <v>21.19</v>
      </c>
      <c r="R4202">
        <v>16.95</v>
      </c>
      <c r="S4202">
        <v>25.43</v>
      </c>
      <c r="T4202" t="s">
        <v>21499</v>
      </c>
    </row>
    <row r="4203" spans="1:20">
      <c r="A4203">
        <v>3332273</v>
      </c>
      <c r="B4203" t="s">
        <v>21500</v>
      </c>
      <c r="C4203" t="str">
        <f>"9780773538528"</f>
        <v>9780773538528</v>
      </c>
      <c r="D4203" t="str">
        <f>"9780773581463"</f>
        <v>9780773581463</v>
      </c>
      <c r="E4203" t="s">
        <v>12863</v>
      </c>
      <c r="F4203" t="s">
        <v>12863</v>
      </c>
      <c r="G4203" s="1">
        <v>40673</v>
      </c>
      <c r="J4203" t="s">
        <v>21501</v>
      </c>
      <c r="K4203" t="s">
        <v>16707</v>
      </c>
      <c r="L4203" t="s">
        <v>21502</v>
      </c>
      <c r="M4203">
        <v>4.165</v>
      </c>
      <c r="N4203" t="s">
        <v>21503</v>
      </c>
      <c r="O4203" t="s">
        <v>26</v>
      </c>
      <c r="P4203">
        <v>59.93</v>
      </c>
      <c r="Q4203">
        <v>49.94</v>
      </c>
      <c r="R4203">
        <v>39.950000000000003</v>
      </c>
      <c r="S4203">
        <v>59.93</v>
      </c>
      <c r="T4203" t="s">
        <v>21504</v>
      </c>
    </row>
    <row r="4204" spans="1:20">
      <c r="A4204">
        <v>3332274</v>
      </c>
      <c r="B4204" t="s">
        <v>21505</v>
      </c>
      <c r="C4204" t="str">
        <f>"9780773539037"</f>
        <v>9780773539037</v>
      </c>
      <c r="D4204" t="str">
        <f>"9780773586185"</f>
        <v>9780773586185</v>
      </c>
      <c r="E4204" t="s">
        <v>12863</v>
      </c>
      <c r="F4204" t="s">
        <v>12863</v>
      </c>
      <c r="G4204" s="1">
        <v>40795</v>
      </c>
      <c r="J4204" t="s">
        <v>15029</v>
      </c>
      <c r="K4204" t="s">
        <v>291</v>
      </c>
      <c r="L4204" t="s">
        <v>21506</v>
      </c>
      <c r="M4204">
        <v>971.04</v>
      </c>
      <c r="N4204" t="s">
        <v>21507</v>
      </c>
      <c r="O4204" t="s">
        <v>26</v>
      </c>
      <c r="P4204">
        <v>59.93</v>
      </c>
      <c r="Q4204">
        <v>49.94</v>
      </c>
      <c r="R4204">
        <v>39.950000000000003</v>
      </c>
      <c r="S4204">
        <v>59.93</v>
      </c>
      <c r="T4204" t="s">
        <v>21508</v>
      </c>
    </row>
    <row r="4205" spans="1:20">
      <c r="A4205">
        <v>3332275</v>
      </c>
      <c r="B4205" t="s">
        <v>21509</v>
      </c>
      <c r="C4205" t="str">
        <f>"9780773536500"</f>
        <v>9780773536500</v>
      </c>
      <c r="D4205" t="str">
        <f>"9780773580701"</f>
        <v>9780773580701</v>
      </c>
      <c r="E4205" t="s">
        <v>12863</v>
      </c>
      <c r="F4205" t="s">
        <v>12863</v>
      </c>
      <c r="G4205" s="1">
        <v>40179</v>
      </c>
      <c r="J4205" t="s">
        <v>21510</v>
      </c>
      <c r="K4205" t="s">
        <v>525</v>
      </c>
      <c r="L4205" t="s">
        <v>21511</v>
      </c>
      <c r="M4205">
        <v>347.7</v>
      </c>
      <c r="N4205" t="s">
        <v>21512</v>
      </c>
      <c r="O4205" t="s">
        <v>26</v>
      </c>
      <c r="P4205">
        <v>44.93</v>
      </c>
      <c r="Q4205">
        <v>37.44</v>
      </c>
      <c r="R4205">
        <v>29.95</v>
      </c>
      <c r="S4205">
        <v>44.93</v>
      </c>
      <c r="T4205" t="s">
        <v>21513</v>
      </c>
    </row>
    <row r="4206" spans="1:20">
      <c r="A4206">
        <v>3332276</v>
      </c>
      <c r="B4206" t="s">
        <v>21514</v>
      </c>
      <c r="C4206" t="str">
        <f>"9780886293611"</f>
        <v>9780886293611</v>
      </c>
      <c r="D4206" t="str">
        <f>"9780773584464"</f>
        <v>9780773584464</v>
      </c>
      <c r="E4206" t="s">
        <v>12863</v>
      </c>
      <c r="F4206" t="s">
        <v>12863</v>
      </c>
      <c r="G4206" s="1">
        <v>36420</v>
      </c>
      <c r="I4206" t="s">
        <v>21105</v>
      </c>
      <c r="J4206" t="s">
        <v>21515</v>
      </c>
      <c r="K4206" t="s">
        <v>1464</v>
      </c>
      <c r="L4206" t="s">
        <v>21516</v>
      </c>
      <c r="M4206" t="s">
        <v>1497</v>
      </c>
      <c r="N4206" t="s">
        <v>21517</v>
      </c>
      <c r="O4206" t="s">
        <v>26</v>
      </c>
      <c r="P4206">
        <v>26.93</v>
      </c>
      <c r="Q4206">
        <v>22.44</v>
      </c>
      <c r="R4206">
        <v>17.95</v>
      </c>
      <c r="S4206">
        <v>26.93</v>
      </c>
      <c r="T4206" t="s">
        <v>21518</v>
      </c>
    </row>
    <row r="4207" spans="1:20">
      <c r="A4207">
        <v>3332277</v>
      </c>
      <c r="B4207" t="s">
        <v>21519</v>
      </c>
      <c r="C4207" t="str">
        <f>"9780773537415"</f>
        <v>9780773537415</v>
      </c>
      <c r="D4207" t="str">
        <f>"9780773580916"</f>
        <v>9780773580916</v>
      </c>
      <c r="E4207" t="s">
        <v>12863</v>
      </c>
      <c r="F4207" t="s">
        <v>12863</v>
      </c>
      <c r="G4207" s="1">
        <v>40430</v>
      </c>
      <c r="I4207" t="s">
        <v>12864</v>
      </c>
      <c r="J4207" t="s">
        <v>21520</v>
      </c>
      <c r="K4207" t="s">
        <v>12989</v>
      </c>
      <c r="L4207" t="s">
        <v>21521</v>
      </c>
      <c r="M4207">
        <v>614.5</v>
      </c>
      <c r="N4207" t="s">
        <v>21522</v>
      </c>
      <c r="O4207" t="s">
        <v>26</v>
      </c>
      <c r="P4207">
        <v>142.5</v>
      </c>
      <c r="Q4207">
        <v>118.75</v>
      </c>
      <c r="R4207">
        <v>95</v>
      </c>
      <c r="S4207">
        <v>142.5</v>
      </c>
      <c r="T4207" t="s">
        <v>21523</v>
      </c>
    </row>
    <row r="4208" spans="1:20">
      <c r="A4208">
        <v>3332278</v>
      </c>
      <c r="B4208" t="s">
        <v>21524</v>
      </c>
      <c r="C4208" t="str">
        <f>"9780773520080"</f>
        <v>9780773520080</v>
      </c>
      <c r="D4208" t="str">
        <f>"9780773584679"</f>
        <v>9780773584679</v>
      </c>
      <c r="E4208" t="s">
        <v>12863</v>
      </c>
      <c r="F4208" t="s">
        <v>12863</v>
      </c>
      <c r="G4208" s="1">
        <v>36404</v>
      </c>
      <c r="I4208" t="s">
        <v>12886</v>
      </c>
      <c r="J4208" t="s">
        <v>21525</v>
      </c>
      <c r="K4208" t="s">
        <v>1892</v>
      </c>
      <c r="L4208" t="s">
        <v>21526</v>
      </c>
      <c r="M4208">
        <v>282.09199999999998</v>
      </c>
      <c r="N4208" t="s">
        <v>21527</v>
      </c>
      <c r="O4208" t="s">
        <v>26</v>
      </c>
      <c r="P4208">
        <v>142.5</v>
      </c>
      <c r="Q4208">
        <v>118.75</v>
      </c>
      <c r="R4208">
        <v>95</v>
      </c>
      <c r="S4208">
        <v>142.5</v>
      </c>
      <c r="T4208" t="s">
        <v>21528</v>
      </c>
    </row>
    <row r="4209" spans="1:20">
      <c r="A4209">
        <v>3332279</v>
      </c>
      <c r="B4209" t="s">
        <v>21529</v>
      </c>
      <c r="C4209" t="str">
        <f>"9781553393139"</f>
        <v>9781553393139</v>
      </c>
      <c r="D4209" t="str">
        <f>"9781553393191"</f>
        <v>9781553393191</v>
      </c>
      <c r="E4209" t="s">
        <v>12863</v>
      </c>
      <c r="F4209" t="s">
        <v>21530</v>
      </c>
      <c r="G4209" s="1">
        <v>40812</v>
      </c>
      <c r="I4209" t="s">
        <v>21531</v>
      </c>
      <c r="J4209" t="s">
        <v>21532</v>
      </c>
      <c r="K4209" t="s">
        <v>467</v>
      </c>
      <c r="L4209" t="s">
        <v>21533</v>
      </c>
      <c r="M4209">
        <v>351.01</v>
      </c>
      <c r="N4209" t="s">
        <v>21534</v>
      </c>
      <c r="O4209" t="s">
        <v>26</v>
      </c>
      <c r="P4209">
        <v>59.93</v>
      </c>
      <c r="Q4209">
        <v>49.94</v>
      </c>
      <c r="R4209">
        <v>39.950000000000003</v>
      </c>
      <c r="S4209">
        <v>59.93</v>
      </c>
      <c r="T4209" t="s">
        <v>21535</v>
      </c>
    </row>
    <row r="4210" spans="1:20">
      <c r="A4210">
        <v>3332280</v>
      </c>
      <c r="B4210" t="s">
        <v>21536</v>
      </c>
      <c r="C4210" t="str">
        <f>"9780773524613"</f>
        <v>9780773524613</v>
      </c>
      <c r="D4210" t="str">
        <f>"9780773581722"</f>
        <v>9780773581722</v>
      </c>
      <c r="E4210" t="s">
        <v>12863</v>
      </c>
      <c r="F4210" t="s">
        <v>12863</v>
      </c>
      <c r="G4210" s="1">
        <v>37517</v>
      </c>
      <c r="I4210" t="s">
        <v>21018</v>
      </c>
      <c r="J4210" t="s">
        <v>21537</v>
      </c>
      <c r="K4210" t="s">
        <v>1859</v>
      </c>
      <c r="L4210" t="s">
        <v>21538</v>
      </c>
      <c r="M4210">
        <v>121</v>
      </c>
      <c r="N4210" t="s">
        <v>21539</v>
      </c>
      <c r="O4210" t="s">
        <v>26</v>
      </c>
      <c r="P4210">
        <v>44.93</v>
      </c>
      <c r="Q4210">
        <v>37.44</v>
      </c>
      <c r="R4210">
        <v>29.95</v>
      </c>
      <c r="S4210">
        <v>44.93</v>
      </c>
      <c r="T4210" t="s">
        <v>21540</v>
      </c>
    </row>
    <row r="4211" spans="1:20">
      <c r="A4211">
        <v>3332281</v>
      </c>
      <c r="B4211" t="s">
        <v>21541</v>
      </c>
      <c r="C4211" t="str">
        <f>"9780886293253"</f>
        <v>9780886293253</v>
      </c>
      <c r="D4211" t="str">
        <f>"9780773580602"</f>
        <v>9780773580602</v>
      </c>
      <c r="E4211" t="s">
        <v>12863</v>
      </c>
      <c r="F4211" t="s">
        <v>12863</v>
      </c>
      <c r="G4211" s="1">
        <v>41773</v>
      </c>
      <c r="J4211" t="s">
        <v>21542</v>
      </c>
      <c r="K4211" t="s">
        <v>1464</v>
      </c>
      <c r="L4211" t="s">
        <v>21543</v>
      </c>
      <c r="M4211" t="s">
        <v>21544</v>
      </c>
      <c r="N4211" t="s">
        <v>21545</v>
      </c>
      <c r="O4211" t="s">
        <v>26</v>
      </c>
      <c r="P4211">
        <v>37.43</v>
      </c>
      <c r="Q4211">
        <v>31.19</v>
      </c>
      <c r="R4211">
        <v>24.95</v>
      </c>
      <c r="S4211">
        <v>37.43</v>
      </c>
      <c r="T4211" t="s">
        <v>21546</v>
      </c>
    </row>
    <row r="4212" spans="1:20">
      <c r="A4212">
        <v>3332282</v>
      </c>
      <c r="B4212" t="s">
        <v>21547</v>
      </c>
      <c r="C4212" t="str">
        <f>"9780773530485"</f>
        <v>9780773530485</v>
      </c>
      <c r="D4212" t="str">
        <f>"9780773585539"</f>
        <v>9780773585539</v>
      </c>
      <c r="E4212" t="s">
        <v>12863</v>
      </c>
      <c r="F4212" t="s">
        <v>12863</v>
      </c>
      <c r="G4212" s="1">
        <v>38718</v>
      </c>
      <c r="I4212" t="s">
        <v>21018</v>
      </c>
      <c r="J4212" t="s">
        <v>21548</v>
      </c>
      <c r="K4212" t="s">
        <v>1859</v>
      </c>
      <c r="L4212" t="s">
        <v>21549</v>
      </c>
      <c r="M4212">
        <v>128.4</v>
      </c>
      <c r="N4212" t="s">
        <v>21550</v>
      </c>
      <c r="O4212" t="s">
        <v>26</v>
      </c>
      <c r="P4212">
        <v>44.93</v>
      </c>
      <c r="Q4212">
        <v>37.44</v>
      </c>
      <c r="R4212">
        <v>29.95</v>
      </c>
      <c r="S4212">
        <v>44.93</v>
      </c>
      <c r="T4212" t="s">
        <v>21551</v>
      </c>
    </row>
    <row r="4213" spans="1:20">
      <c r="A4213">
        <v>3332283</v>
      </c>
      <c r="B4213" t="s">
        <v>21552</v>
      </c>
      <c r="C4213" t="str">
        <f>"9780773538993"</f>
        <v>9780773538993</v>
      </c>
      <c r="D4213" t="str">
        <f>"9780773586130"</f>
        <v>9780773586130</v>
      </c>
      <c r="E4213" t="s">
        <v>12863</v>
      </c>
      <c r="F4213" t="s">
        <v>12863</v>
      </c>
      <c r="G4213" s="1">
        <v>40833</v>
      </c>
      <c r="I4213" t="s">
        <v>21553</v>
      </c>
      <c r="J4213" t="s">
        <v>21554</v>
      </c>
      <c r="K4213" t="s">
        <v>11854</v>
      </c>
      <c r="L4213" t="s">
        <v>21555</v>
      </c>
      <c r="M4213">
        <v>418.02091999999999</v>
      </c>
      <c r="N4213" t="s">
        <v>21556</v>
      </c>
      <c r="O4213" t="s">
        <v>26</v>
      </c>
      <c r="P4213">
        <v>97.5</v>
      </c>
      <c r="Q4213">
        <v>81.25</v>
      </c>
      <c r="R4213">
        <v>65</v>
      </c>
      <c r="S4213">
        <v>97.5</v>
      </c>
      <c r="T4213" t="s">
        <v>21557</v>
      </c>
    </row>
    <row r="4214" spans="1:20">
      <c r="A4214">
        <v>3332284</v>
      </c>
      <c r="B4214" t="s">
        <v>21558</v>
      </c>
      <c r="C4214" t="str">
        <f>"9780773536463"</f>
        <v>9780773536463</v>
      </c>
      <c r="D4214" t="str">
        <f>"9780773581623"</f>
        <v>9780773581623</v>
      </c>
      <c r="E4214" t="s">
        <v>12863</v>
      </c>
      <c r="F4214" t="s">
        <v>12863</v>
      </c>
      <c r="G4214" s="1">
        <v>40206</v>
      </c>
      <c r="I4214" t="s">
        <v>12871</v>
      </c>
      <c r="J4214" t="s">
        <v>21559</v>
      </c>
      <c r="K4214" t="s">
        <v>4081</v>
      </c>
      <c r="L4214" t="s">
        <v>21560</v>
      </c>
      <c r="M4214">
        <v>497.12400000000002</v>
      </c>
      <c r="N4214" t="s">
        <v>21561</v>
      </c>
      <c r="O4214" t="s">
        <v>26</v>
      </c>
      <c r="P4214">
        <v>67.5</v>
      </c>
      <c r="Q4214">
        <v>56.25</v>
      </c>
      <c r="R4214">
        <v>45</v>
      </c>
      <c r="S4214">
        <v>67.5</v>
      </c>
      <c r="T4214" t="s">
        <v>21562</v>
      </c>
    </row>
    <row r="4215" spans="1:20">
      <c r="A4215">
        <v>3332285</v>
      </c>
      <c r="B4215" t="s">
        <v>21563</v>
      </c>
      <c r="C4215" t="str">
        <f>"9780773504417"</f>
        <v>9780773504417</v>
      </c>
      <c r="D4215" t="str">
        <f>"9780773585386"</f>
        <v>9780773585386</v>
      </c>
      <c r="E4215" t="s">
        <v>12863</v>
      </c>
      <c r="F4215" t="s">
        <v>12863</v>
      </c>
      <c r="G4215" s="1">
        <v>31260</v>
      </c>
      <c r="J4215" t="s">
        <v>21564</v>
      </c>
      <c r="K4215" t="s">
        <v>257</v>
      </c>
      <c r="L4215" t="s">
        <v>21565</v>
      </c>
      <c r="M4215" t="s">
        <v>21566</v>
      </c>
      <c r="N4215" t="s">
        <v>21567</v>
      </c>
      <c r="O4215" t="s">
        <v>26</v>
      </c>
      <c r="P4215">
        <v>142.5</v>
      </c>
      <c r="Q4215">
        <v>118.75</v>
      </c>
      <c r="R4215">
        <v>95</v>
      </c>
      <c r="S4215">
        <v>142.5</v>
      </c>
      <c r="T4215" t="s">
        <v>21568</v>
      </c>
    </row>
    <row r="4216" spans="1:20">
      <c r="A4216">
        <v>3332286</v>
      </c>
      <c r="B4216" t="s">
        <v>21569</v>
      </c>
      <c r="C4216" t="str">
        <f>"9780773537835"</f>
        <v>9780773537835</v>
      </c>
      <c r="D4216" t="str">
        <f>"9780773580879"</f>
        <v>9780773580879</v>
      </c>
      <c r="E4216" t="s">
        <v>12863</v>
      </c>
      <c r="F4216" t="s">
        <v>12863</v>
      </c>
      <c r="G4216" s="1">
        <v>40473</v>
      </c>
      <c r="J4216" t="s">
        <v>21570</v>
      </c>
      <c r="K4216" t="s">
        <v>136</v>
      </c>
      <c r="L4216" t="s">
        <v>21571</v>
      </c>
      <c r="M4216">
        <v>553.4</v>
      </c>
      <c r="N4216" t="s">
        <v>21572</v>
      </c>
      <c r="O4216" t="s">
        <v>26</v>
      </c>
      <c r="P4216">
        <v>52.43</v>
      </c>
      <c r="Q4216">
        <v>43.69</v>
      </c>
      <c r="R4216">
        <v>34.950000000000003</v>
      </c>
      <c r="S4216">
        <v>52.43</v>
      </c>
      <c r="T4216" t="s">
        <v>21573</v>
      </c>
    </row>
    <row r="4217" spans="1:20">
      <c r="A4217">
        <v>3332287</v>
      </c>
      <c r="B4217" t="s">
        <v>21574</v>
      </c>
      <c r="C4217" t="str">
        <f>"9780773537149"</f>
        <v>9780773537149</v>
      </c>
      <c r="D4217" t="str">
        <f>"9780773582644"</f>
        <v>9780773582644</v>
      </c>
      <c r="E4217" t="s">
        <v>12863</v>
      </c>
      <c r="F4217" t="s">
        <v>12863</v>
      </c>
      <c r="G4217" s="1">
        <v>40252</v>
      </c>
      <c r="J4217" t="s">
        <v>13330</v>
      </c>
      <c r="K4217" t="s">
        <v>7732</v>
      </c>
      <c r="L4217" t="s">
        <v>21575</v>
      </c>
      <c r="M4217">
        <v>355.00866400000001</v>
      </c>
      <c r="N4217" t="s">
        <v>21576</v>
      </c>
      <c r="O4217" t="s">
        <v>26</v>
      </c>
      <c r="P4217">
        <v>44.93</v>
      </c>
      <c r="Q4217">
        <v>37.44</v>
      </c>
      <c r="R4217">
        <v>29.95</v>
      </c>
      <c r="S4217">
        <v>44.93</v>
      </c>
      <c r="T4217" t="s">
        <v>21577</v>
      </c>
    </row>
    <row r="4218" spans="1:20">
      <c r="A4218">
        <v>3332288</v>
      </c>
      <c r="B4218" t="s">
        <v>21578</v>
      </c>
      <c r="C4218" t="str">
        <f>"9780773528048"</f>
        <v>9780773528048</v>
      </c>
      <c r="D4218" t="str">
        <f>"9780773583603"</f>
        <v>9780773583603</v>
      </c>
      <c r="E4218" t="s">
        <v>12863</v>
      </c>
      <c r="F4218" t="s">
        <v>12863</v>
      </c>
      <c r="G4218" s="1">
        <v>38299</v>
      </c>
      <c r="J4218" t="s">
        <v>19016</v>
      </c>
      <c r="K4218" t="s">
        <v>1471</v>
      </c>
      <c r="L4218" t="s">
        <v>21579</v>
      </c>
      <c r="M4218">
        <v>759.11</v>
      </c>
      <c r="N4218" t="s">
        <v>21580</v>
      </c>
      <c r="O4218" t="s">
        <v>26</v>
      </c>
      <c r="P4218">
        <v>67.430000000000007</v>
      </c>
      <c r="Q4218">
        <v>56.19</v>
      </c>
      <c r="R4218">
        <v>44.95</v>
      </c>
      <c r="S4218">
        <v>67.430000000000007</v>
      </c>
      <c r="T4218" t="s">
        <v>21581</v>
      </c>
    </row>
    <row r="4219" spans="1:20">
      <c r="A4219">
        <v>3332289</v>
      </c>
      <c r="B4219" t="s">
        <v>21582</v>
      </c>
      <c r="C4219" t="str">
        <f>"9780773529861"</f>
        <v>9780773529861</v>
      </c>
      <c r="D4219" t="str">
        <f>"9780773583818"</f>
        <v>9780773583818</v>
      </c>
      <c r="E4219" t="s">
        <v>12863</v>
      </c>
      <c r="F4219" t="s">
        <v>12863</v>
      </c>
      <c r="G4219" s="1">
        <v>38603</v>
      </c>
      <c r="I4219" t="s">
        <v>21583</v>
      </c>
      <c r="J4219" t="s">
        <v>21584</v>
      </c>
      <c r="K4219" t="s">
        <v>1859</v>
      </c>
      <c r="L4219" t="s">
        <v>21585</v>
      </c>
      <c r="M4219">
        <v>198.9</v>
      </c>
      <c r="N4219" t="s">
        <v>21586</v>
      </c>
      <c r="O4219" t="s">
        <v>26</v>
      </c>
      <c r="P4219">
        <v>41.93</v>
      </c>
      <c r="Q4219">
        <v>34.94</v>
      </c>
      <c r="R4219">
        <v>27.95</v>
      </c>
      <c r="S4219">
        <v>41.93</v>
      </c>
      <c r="T4219" t="s">
        <v>21587</v>
      </c>
    </row>
    <row r="4220" spans="1:20">
      <c r="A4220">
        <v>3332290</v>
      </c>
      <c r="B4220" t="s">
        <v>21588</v>
      </c>
      <c r="C4220" t="str">
        <f>"9780773529274"</f>
        <v>9780773529274</v>
      </c>
      <c r="D4220" t="str">
        <f>"9780773584624"</f>
        <v>9780773584624</v>
      </c>
      <c r="E4220" t="s">
        <v>12863</v>
      </c>
      <c r="F4220" t="s">
        <v>12863</v>
      </c>
      <c r="G4220" s="1">
        <v>38309</v>
      </c>
      <c r="J4220" t="s">
        <v>21589</v>
      </c>
      <c r="K4220" t="s">
        <v>1471</v>
      </c>
      <c r="L4220" t="s">
        <v>21590</v>
      </c>
      <c r="M4220">
        <v>780.1</v>
      </c>
      <c r="N4220" t="s">
        <v>21591</v>
      </c>
      <c r="O4220" t="s">
        <v>26</v>
      </c>
      <c r="P4220">
        <v>44.93</v>
      </c>
      <c r="Q4220">
        <v>37.44</v>
      </c>
      <c r="R4220">
        <v>29.95</v>
      </c>
      <c r="S4220">
        <v>44.93</v>
      </c>
      <c r="T4220" t="s">
        <v>21592</v>
      </c>
    </row>
    <row r="4221" spans="1:20">
      <c r="A4221">
        <v>3332291</v>
      </c>
      <c r="B4221" t="s">
        <v>21593</v>
      </c>
      <c r="C4221" t="str">
        <f>"9780886292898"</f>
        <v>9780886292898</v>
      </c>
      <c r="D4221" t="str">
        <f>"9780773580923"</f>
        <v>9780773580923</v>
      </c>
      <c r="E4221" t="s">
        <v>12863</v>
      </c>
      <c r="F4221" t="s">
        <v>12863</v>
      </c>
      <c r="G4221" s="1">
        <v>35384</v>
      </c>
      <c r="I4221" t="s">
        <v>13270</v>
      </c>
      <c r="J4221" t="s">
        <v>21594</v>
      </c>
      <c r="K4221" t="s">
        <v>6444</v>
      </c>
      <c r="L4221" t="s">
        <v>21595</v>
      </c>
      <c r="M4221">
        <v>327.71044000000001</v>
      </c>
      <c r="N4221" t="s">
        <v>21596</v>
      </c>
      <c r="O4221" t="s">
        <v>26</v>
      </c>
      <c r="P4221">
        <v>142.5</v>
      </c>
      <c r="Q4221">
        <v>118.75</v>
      </c>
      <c r="R4221">
        <v>95</v>
      </c>
      <c r="S4221">
        <v>142.5</v>
      </c>
      <c r="T4221" t="s">
        <v>21597</v>
      </c>
    </row>
    <row r="4222" spans="1:20">
      <c r="A4222">
        <v>3332292</v>
      </c>
      <c r="B4222" t="s">
        <v>21598</v>
      </c>
      <c r="C4222" t="str">
        <f>"9780773539983"</f>
        <v>9780773539983</v>
      </c>
      <c r="D4222" t="str">
        <f>"9780773586963"</f>
        <v>9780773586963</v>
      </c>
      <c r="E4222" t="s">
        <v>12863</v>
      </c>
      <c r="F4222" t="s">
        <v>12863</v>
      </c>
      <c r="G4222" s="1">
        <v>41032</v>
      </c>
      <c r="I4222" t="s">
        <v>12886</v>
      </c>
      <c r="J4222" t="s">
        <v>21599</v>
      </c>
      <c r="K4222" t="s">
        <v>1892</v>
      </c>
      <c r="L4222" t="s">
        <v>21600</v>
      </c>
      <c r="M4222">
        <v>299.93400000000003</v>
      </c>
      <c r="N4222" t="s">
        <v>21601</v>
      </c>
      <c r="O4222" t="s">
        <v>26</v>
      </c>
      <c r="P4222">
        <v>52.43</v>
      </c>
      <c r="Q4222">
        <v>43.69</v>
      </c>
      <c r="R4222">
        <v>34.950000000000003</v>
      </c>
      <c r="S4222">
        <v>52.43</v>
      </c>
      <c r="T4222" t="s">
        <v>21602</v>
      </c>
    </row>
    <row r="4223" spans="1:20">
      <c r="A4223">
        <v>3332293</v>
      </c>
      <c r="B4223" t="s">
        <v>21603</v>
      </c>
      <c r="C4223" t="str">
        <f>"9780886291099"</f>
        <v>9780886291099</v>
      </c>
      <c r="D4223" t="str">
        <f>"9780773580985"</f>
        <v>9780773580985</v>
      </c>
      <c r="E4223" t="s">
        <v>12863</v>
      </c>
      <c r="F4223" t="s">
        <v>12863</v>
      </c>
      <c r="G4223" s="1">
        <v>32978</v>
      </c>
      <c r="I4223" t="s">
        <v>16551</v>
      </c>
      <c r="J4223" t="s">
        <v>21604</v>
      </c>
      <c r="K4223" t="s">
        <v>2312</v>
      </c>
      <c r="L4223" t="s">
        <v>21605</v>
      </c>
      <c r="M4223">
        <v>351</v>
      </c>
      <c r="N4223" t="s">
        <v>21606</v>
      </c>
      <c r="O4223" t="s">
        <v>26</v>
      </c>
      <c r="P4223">
        <v>142.5</v>
      </c>
      <c r="Q4223">
        <v>118.75</v>
      </c>
      <c r="R4223">
        <v>95</v>
      </c>
      <c r="S4223">
        <v>142.5</v>
      </c>
      <c r="T4223" t="s">
        <v>21607</v>
      </c>
    </row>
    <row r="4224" spans="1:20">
      <c r="A4224">
        <v>3332294</v>
      </c>
      <c r="B4224" t="s">
        <v>21608</v>
      </c>
      <c r="C4224" t="str">
        <f>"9780773536647"</f>
        <v>9780773536647</v>
      </c>
      <c r="D4224" t="str">
        <f>"9780773581012"</f>
        <v>9780773581012</v>
      </c>
      <c r="E4224" t="s">
        <v>12863</v>
      </c>
      <c r="F4224" t="s">
        <v>12863</v>
      </c>
      <c r="G4224" s="1">
        <v>40230</v>
      </c>
      <c r="I4224" t="s">
        <v>21609</v>
      </c>
      <c r="J4224" t="s">
        <v>21610</v>
      </c>
      <c r="K4224" t="s">
        <v>263</v>
      </c>
      <c r="L4224" t="s">
        <v>21611</v>
      </c>
      <c r="M4224">
        <v>307.76</v>
      </c>
      <c r="N4224" t="s">
        <v>21612</v>
      </c>
      <c r="O4224" t="s">
        <v>26</v>
      </c>
      <c r="P4224">
        <v>142.5</v>
      </c>
      <c r="Q4224">
        <v>118.75</v>
      </c>
      <c r="R4224">
        <v>95</v>
      </c>
      <c r="S4224">
        <v>142.5</v>
      </c>
      <c r="T4224" t="s">
        <v>21613</v>
      </c>
    </row>
    <row r="4225" spans="1:20">
      <c r="A4225">
        <v>3332295</v>
      </c>
      <c r="B4225" t="s">
        <v>21614</v>
      </c>
      <c r="C4225" t="str">
        <f>"9780773536616"</f>
        <v>9780773536616</v>
      </c>
      <c r="D4225" t="str">
        <f>"9780773581791"</f>
        <v>9780773581791</v>
      </c>
      <c r="E4225" t="s">
        <v>12863</v>
      </c>
      <c r="F4225" t="s">
        <v>12863</v>
      </c>
      <c r="G4225" s="1">
        <v>40147</v>
      </c>
      <c r="J4225" t="s">
        <v>21615</v>
      </c>
      <c r="K4225" t="s">
        <v>278</v>
      </c>
      <c r="L4225" t="s">
        <v>21616</v>
      </c>
      <c r="M4225" t="s">
        <v>21617</v>
      </c>
      <c r="N4225" t="s">
        <v>21618</v>
      </c>
      <c r="O4225" t="s">
        <v>26</v>
      </c>
      <c r="P4225">
        <v>52.43</v>
      </c>
      <c r="Q4225">
        <v>43.69</v>
      </c>
      <c r="R4225">
        <v>34.950000000000003</v>
      </c>
      <c r="S4225">
        <v>52.43</v>
      </c>
      <c r="T4225" t="s">
        <v>21619</v>
      </c>
    </row>
    <row r="4226" spans="1:20">
      <c r="A4226">
        <v>3332296</v>
      </c>
      <c r="B4226" t="s">
        <v>21620</v>
      </c>
      <c r="C4226" t="str">
        <f>"9780773502994"</f>
        <v>9780773502994</v>
      </c>
      <c r="D4226" t="str">
        <f>"9780773583504"</f>
        <v>9780773583504</v>
      </c>
      <c r="E4226" t="s">
        <v>12863</v>
      </c>
      <c r="F4226" t="s">
        <v>12863</v>
      </c>
      <c r="G4226" s="1">
        <v>28795</v>
      </c>
      <c r="J4226" t="s">
        <v>21621</v>
      </c>
      <c r="K4226" t="s">
        <v>305</v>
      </c>
      <c r="L4226" t="s">
        <v>21622</v>
      </c>
      <c r="M4226" t="s">
        <v>21623</v>
      </c>
      <c r="N4226" t="s">
        <v>21624</v>
      </c>
      <c r="O4226" t="s">
        <v>26</v>
      </c>
      <c r="P4226">
        <v>142.5</v>
      </c>
      <c r="Q4226">
        <v>118.75</v>
      </c>
      <c r="R4226">
        <v>95</v>
      </c>
      <c r="S4226">
        <v>142.5</v>
      </c>
      <c r="T4226" t="s">
        <v>21625</v>
      </c>
    </row>
    <row r="4227" spans="1:20">
      <c r="A4227">
        <v>3332297</v>
      </c>
      <c r="B4227" t="s">
        <v>21626</v>
      </c>
      <c r="C4227" t="str">
        <f>"9780773529304"</f>
        <v>9780773529304</v>
      </c>
      <c r="D4227" t="str">
        <f>"9780773583719"</f>
        <v>9780773583719</v>
      </c>
      <c r="E4227" t="s">
        <v>12863</v>
      </c>
      <c r="F4227" t="s">
        <v>12863</v>
      </c>
      <c r="G4227" s="1">
        <v>38475</v>
      </c>
      <c r="I4227" t="s">
        <v>21002</v>
      </c>
      <c r="J4227" t="s">
        <v>21627</v>
      </c>
      <c r="K4227" t="s">
        <v>1859</v>
      </c>
      <c r="L4227" t="s">
        <v>21628</v>
      </c>
      <c r="M4227">
        <v>191</v>
      </c>
      <c r="N4227" t="s">
        <v>21629</v>
      </c>
      <c r="O4227" t="s">
        <v>26</v>
      </c>
      <c r="P4227">
        <v>41.93</v>
      </c>
      <c r="Q4227">
        <v>34.94</v>
      </c>
      <c r="R4227">
        <v>27.95</v>
      </c>
      <c r="S4227">
        <v>41.93</v>
      </c>
      <c r="T4227" t="s">
        <v>21630</v>
      </c>
    </row>
    <row r="4228" spans="1:20">
      <c r="A4228">
        <v>3332298</v>
      </c>
      <c r="B4228" t="s">
        <v>21631</v>
      </c>
      <c r="C4228" t="str">
        <f>"9780886292980"</f>
        <v>9780886292980</v>
      </c>
      <c r="D4228" t="str">
        <f>"9780773584310"</f>
        <v>9780773584310</v>
      </c>
      <c r="E4228" t="s">
        <v>12863</v>
      </c>
      <c r="F4228" t="s">
        <v>12863</v>
      </c>
      <c r="G4228" s="1">
        <v>35504</v>
      </c>
      <c r="I4228" t="s">
        <v>16596</v>
      </c>
      <c r="J4228" t="s">
        <v>21632</v>
      </c>
      <c r="K4228" t="s">
        <v>1464</v>
      </c>
      <c r="L4228" t="s">
        <v>21633</v>
      </c>
      <c r="M4228">
        <v>809.923</v>
      </c>
      <c r="N4228" t="s">
        <v>21634</v>
      </c>
      <c r="O4228" t="s">
        <v>26</v>
      </c>
      <c r="P4228">
        <v>142.5</v>
      </c>
      <c r="Q4228">
        <v>118.75</v>
      </c>
      <c r="R4228">
        <v>95</v>
      </c>
      <c r="S4228">
        <v>142.5</v>
      </c>
      <c r="T4228" t="s">
        <v>21635</v>
      </c>
    </row>
    <row r="4229" spans="1:20">
      <c r="A4229">
        <v>3332299</v>
      </c>
      <c r="B4229" t="s">
        <v>21636</v>
      </c>
      <c r="C4229" t="str">
        <f>"9780773537873"</f>
        <v>9780773537873</v>
      </c>
      <c r="D4229" t="str">
        <f>"9780773581289"</f>
        <v>9780773581289</v>
      </c>
      <c r="E4229" t="s">
        <v>12863</v>
      </c>
      <c r="F4229" t="s">
        <v>12863</v>
      </c>
      <c r="G4229" s="1">
        <v>40471</v>
      </c>
      <c r="J4229" t="s">
        <v>21637</v>
      </c>
      <c r="K4229" t="s">
        <v>1550</v>
      </c>
      <c r="L4229" t="s">
        <v>21638</v>
      </c>
      <c r="M4229" t="s">
        <v>21639</v>
      </c>
      <c r="N4229" t="s">
        <v>21640</v>
      </c>
      <c r="O4229" t="s">
        <v>26</v>
      </c>
      <c r="P4229">
        <v>142.5</v>
      </c>
      <c r="Q4229">
        <v>118.75</v>
      </c>
      <c r="R4229">
        <v>95</v>
      </c>
      <c r="S4229">
        <v>142.5</v>
      </c>
      <c r="T4229" t="s">
        <v>21641</v>
      </c>
    </row>
    <row r="4230" spans="1:20">
      <c r="A4230">
        <v>3332300</v>
      </c>
      <c r="B4230" t="s">
        <v>21642</v>
      </c>
      <c r="C4230" t="str">
        <f>"9780773536685"</f>
        <v>9780773536685</v>
      </c>
      <c r="D4230" t="str">
        <f>"9780773582095"</f>
        <v>9780773582095</v>
      </c>
      <c r="E4230" t="s">
        <v>12863</v>
      </c>
      <c r="F4230" t="s">
        <v>12863</v>
      </c>
      <c r="G4230" s="1">
        <v>40234</v>
      </c>
      <c r="I4230" t="s">
        <v>12886</v>
      </c>
      <c r="J4230" t="s">
        <v>21643</v>
      </c>
      <c r="K4230" t="s">
        <v>1892</v>
      </c>
      <c r="L4230" t="s">
        <v>21644</v>
      </c>
      <c r="M4230" t="s">
        <v>21645</v>
      </c>
      <c r="N4230" t="s">
        <v>21646</v>
      </c>
      <c r="O4230" t="s">
        <v>26</v>
      </c>
      <c r="P4230">
        <v>142.5</v>
      </c>
      <c r="Q4230">
        <v>118.75</v>
      </c>
      <c r="R4230">
        <v>95</v>
      </c>
      <c r="S4230">
        <v>142.5</v>
      </c>
      <c r="T4230" t="s">
        <v>21647</v>
      </c>
    </row>
    <row r="4231" spans="1:20">
      <c r="A4231">
        <v>3332301</v>
      </c>
      <c r="B4231" t="s">
        <v>21648</v>
      </c>
      <c r="C4231" t="str">
        <f>"9780773505506"</f>
        <v>9780773505506</v>
      </c>
      <c r="D4231" t="str">
        <f>"9780773584372"</f>
        <v>9780773584372</v>
      </c>
      <c r="E4231" t="s">
        <v>12863</v>
      </c>
      <c r="F4231" t="s">
        <v>12863</v>
      </c>
      <c r="G4231" s="1">
        <v>31747</v>
      </c>
      <c r="J4231" t="s">
        <v>21649</v>
      </c>
      <c r="K4231" t="s">
        <v>291</v>
      </c>
      <c r="L4231" t="s">
        <v>21650</v>
      </c>
      <c r="M4231">
        <v>971.41004969999995</v>
      </c>
      <c r="N4231" t="s">
        <v>21651</v>
      </c>
      <c r="O4231" t="s">
        <v>26</v>
      </c>
      <c r="P4231">
        <v>142.5</v>
      </c>
      <c r="Q4231">
        <v>118.75</v>
      </c>
      <c r="R4231">
        <v>95</v>
      </c>
      <c r="S4231">
        <v>142.5</v>
      </c>
      <c r="T4231" t="s">
        <v>21652</v>
      </c>
    </row>
    <row r="4232" spans="1:20">
      <c r="A4232">
        <v>3332302</v>
      </c>
      <c r="B4232" t="s">
        <v>21653</v>
      </c>
      <c r="C4232" t="str">
        <f>"9780773538603"</f>
        <v>9780773538603</v>
      </c>
      <c r="D4232" t="str">
        <f>"9780773586505"</f>
        <v>9780773586505</v>
      </c>
      <c r="E4232" t="s">
        <v>12863</v>
      </c>
      <c r="F4232" t="s">
        <v>12863</v>
      </c>
      <c r="G4232" s="1">
        <v>40778</v>
      </c>
      <c r="J4232" t="s">
        <v>21654</v>
      </c>
      <c r="K4232" t="s">
        <v>1082</v>
      </c>
      <c r="L4232" t="s">
        <v>21655</v>
      </c>
      <c r="M4232">
        <v>362.10971000000001</v>
      </c>
      <c r="N4232" t="s">
        <v>21656</v>
      </c>
      <c r="O4232" t="s">
        <v>26</v>
      </c>
      <c r="P4232">
        <v>142.5</v>
      </c>
      <c r="Q4232">
        <v>118.75</v>
      </c>
      <c r="R4232">
        <v>95</v>
      </c>
      <c r="S4232">
        <v>142.5</v>
      </c>
      <c r="T4232" t="s">
        <v>21657</v>
      </c>
    </row>
    <row r="4233" spans="1:20">
      <c r="A4233">
        <v>3332303</v>
      </c>
      <c r="B4233" t="s">
        <v>21109</v>
      </c>
      <c r="C4233" t="str">
        <f>"9780773530171"</f>
        <v>9780773530171</v>
      </c>
      <c r="D4233" t="str">
        <f>"9780773584587"</f>
        <v>9780773584587</v>
      </c>
      <c r="E4233" t="s">
        <v>12863</v>
      </c>
      <c r="F4233" t="s">
        <v>12863</v>
      </c>
      <c r="G4233" s="1">
        <v>38596</v>
      </c>
      <c r="I4233" t="s">
        <v>21110</v>
      </c>
      <c r="J4233" t="s">
        <v>21111</v>
      </c>
      <c r="K4233" t="s">
        <v>1859</v>
      </c>
      <c r="L4233" t="s">
        <v>21658</v>
      </c>
      <c r="M4233">
        <v>100</v>
      </c>
      <c r="N4233" t="s">
        <v>21659</v>
      </c>
      <c r="O4233" t="s">
        <v>26</v>
      </c>
      <c r="P4233">
        <v>44.93</v>
      </c>
      <c r="Q4233">
        <v>37.44</v>
      </c>
      <c r="R4233">
        <v>29.95</v>
      </c>
      <c r="S4233">
        <v>44.93</v>
      </c>
      <c r="T4233" t="s">
        <v>21660</v>
      </c>
    </row>
    <row r="4234" spans="1:20">
      <c r="A4234">
        <v>3332304</v>
      </c>
      <c r="B4234" t="s">
        <v>21661</v>
      </c>
      <c r="C4234" t="str">
        <f>"9780773521537"</f>
        <v>9780773521537</v>
      </c>
      <c r="D4234" t="str">
        <f>"9780773585546"</f>
        <v>9780773585546</v>
      </c>
      <c r="E4234" t="s">
        <v>12863</v>
      </c>
      <c r="F4234" t="s">
        <v>12863</v>
      </c>
      <c r="G4234" s="1">
        <v>36811</v>
      </c>
      <c r="J4234" t="s">
        <v>21662</v>
      </c>
      <c r="K4234" t="s">
        <v>3230</v>
      </c>
      <c r="L4234" t="s">
        <v>21663</v>
      </c>
      <c r="M4234">
        <v>910</v>
      </c>
      <c r="N4234" t="s">
        <v>21664</v>
      </c>
      <c r="O4234" t="s">
        <v>26</v>
      </c>
      <c r="P4234">
        <v>74.930000000000007</v>
      </c>
      <c r="Q4234">
        <v>62.44</v>
      </c>
      <c r="R4234">
        <v>49.95</v>
      </c>
      <c r="S4234">
        <v>74.930000000000007</v>
      </c>
      <c r="T4234" t="s">
        <v>21665</v>
      </c>
    </row>
    <row r="4235" spans="1:20">
      <c r="A4235">
        <v>3332305</v>
      </c>
      <c r="B4235" t="s">
        <v>21666</v>
      </c>
      <c r="C4235" t="str">
        <f>"9780773503663"</f>
        <v>9780773503663</v>
      </c>
      <c r="D4235" t="str">
        <f>"9780773580671"</f>
        <v>9780773580671</v>
      </c>
      <c r="E4235" t="s">
        <v>12863</v>
      </c>
      <c r="F4235" t="s">
        <v>12863</v>
      </c>
      <c r="G4235" s="1">
        <v>29921</v>
      </c>
      <c r="J4235" t="s">
        <v>21667</v>
      </c>
      <c r="K4235" t="s">
        <v>568</v>
      </c>
      <c r="L4235" t="s">
        <v>21668</v>
      </c>
      <c r="M4235" t="s">
        <v>21669</v>
      </c>
      <c r="N4235" t="s">
        <v>21670</v>
      </c>
      <c r="O4235" t="s">
        <v>26</v>
      </c>
      <c r="P4235">
        <v>142.5</v>
      </c>
      <c r="Q4235">
        <v>118.75</v>
      </c>
      <c r="R4235">
        <v>95</v>
      </c>
      <c r="S4235">
        <v>142.5</v>
      </c>
      <c r="T4235" t="s">
        <v>21671</v>
      </c>
    </row>
    <row r="4236" spans="1:20">
      <c r="A4236">
        <v>3332306</v>
      </c>
      <c r="B4236" t="s">
        <v>21672</v>
      </c>
      <c r="C4236" t="str">
        <f>"9780773537521"</f>
        <v>9780773537521</v>
      </c>
      <c r="D4236" t="str">
        <f>"9780773582804"</f>
        <v>9780773582804</v>
      </c>
      <c r="E4236" t="s">
        <v>12863</v>
      </c>
      <c r="F4236" t="s">
        <v>12863</v>
      </c>
      <c r="G4236" s="1">
        <v>40221</v>
      </c>
      <c r="H4236">
        <v>2</v>
      </c>
      <c r="J4236" t="s">
        <v>21031</v>
      </c>
      <c r="K4236" t="s">
        <v>1859</v>
      </c>
      <c r="L4236" t="s">
        <v>21673</v>
      </c>
      <c r="M4236">
        <v>179.9</v>
      </c>
      <c r="N4236" t="s">
        <v>21674</v>
      </c>
      <c r="O4236" t="s">
        <v>26</v>
      </c>
      <c r="P4236">
        <v>37.43</v>
      </c>
      <c r="Q4236">
        <v>31.19</v>
      </c>
      <c r="R4236">
        <v>24.95</v>
      </c>
      <c r="S4236">
        <v>37.43</v>
      </c>
      <c r="T4236" t="s">
        <v>21675</v>
      </c>
    </row>
    <row r="4237" spans="1:20">
      <c r="A4237">
        <v>3332307</v>
      </c>
      <c r="B4237" t="s">
        <v>21676</v>
      </c>
      <c r="C4237" t="str">
        <f>"9780773537170"</f>
        <v>9780773537170</v>
      </c>
      <c r="D4237" t="str">
        <f>"9780773580886"</f>
        <v>9780773580886</v>
      </c>
      <c r="E4237" t="s">
        <v>12863</v>
      </c>
      <c r="F4237" t="s">
        <v>12863</v>
      </c>
      <c r="G4237" s="1">
        <v>40443</v>
      </c>
      <c r="J4237" t="s">
        <v>21677</v>
      </c>
      <c r="K4237" t="s">
        <v>525</v>
      </c>
      <c r="L4237" t="s">
        <v>21678</v>
      </c>
      <c r="M4237" t="s">
        <v>21679</v>
      </c>
      <c r="N4237" t="s">
        <v>21680</v>
      </c>
      <c r="O4237" t="s">
        <v>26</v>
      </c>
      <c r="P4237">
        <v>142.5</v>
      </c>
      <c r="Q4237">
        <v>118.75</v>
      </c>
      <c r="R4237">
        <v>95</v>
      </c>
      <c r="S4237">
        <v>142.5</v>
      </c>
      <c r="T4237" t="s">
        <v>21681</v>
      </c>
    </row>
    <row r="4238" spans="1:20">
      <c r="A4238">
        <v>3332308</v>
      </c>
      <c r="B4238" t="s">
        <v>21682</v>
      </c>
      <c r="C4238" t="str">
        <f>"9780773537958"</f>
        <v>9780773537958</v>
      </c>
      <c r="D4238" t="str">
        <f>"9780773586567"</f>
        <v>9780773586567</v>
      </c>
      <c r="E4238" t="s">
        <v>12863</v>
      </c>
      <c r="F4238" t="s">
        <v>12863</v>
      </c>
      <c r="G4238" s="1">
        <v>40584</v>
      </c>
      <c r="J4238" t="s">
        <v>21683</v>
      </c>
      <c r="K4238" t="s">
        <v>1082</v>
      </c>
      <c r="L4238" t="s">
        <v>21684</v>
      </c>
      <c r="M4238" t="s">
        <v>21685</v>
      </c>
      <c r="N4238" t="s">
        <v>21686</v>
      </c>
      <c r="O4238" t="s">
        <v>26</v>
      </c>
      <c r="P4238">
        <v>142.5</v>
      </c>
      <c r="Q4238">
        <v>118.75</v>
      </c>
      <c r="R4238">
        <v>95</v>
      </c>
      <c r="S4238">
        <v>142.5</v>
      </c>
      <c r="T4238" t="s">
        <v>21687</v>
      </c>
    </row>
    <row r="4239" spans="1:20">
      <c r="A4239">
        <v>3332309</v>
      </c>
      <c r="B4239" t="s">
        <v>21688</v>
      </c>
      <c r="C4239" t="str">
        <f>"9780773527829"</f>
        <v>9780773527829</v>
      </c>
      <c r="D4239" t="str">
        <f>"9780773581692"</f>
        <v>9780773581692</v>
      </c>
      <c r="E4239" t="s">
        <v>12863</v>
      </c>
      <c r="F4239" t="s">
        <v>12863</v>
      </c>
      <c r="G4239" s="1">
        <v>38532</v>
      </c>
      <c r="I4239" t="s">
        <v>21583</v>
      </c>
      <c r="J4239" t="s">
        <v>21689</v>
      </c>
      <c r="K4239" t="s">
        <v>1859</v>
      </c>
      <c r="L4239" t="s">
        <v>21690</v>
      </c>
      <c r="M4239">
        <v>193</v>
      </c>
      <c r="N4239" t="s">
        <v>21691</v>
      </c>
      <c r="O4239" t="s">
        <v>26</v>
      </c>
      <c r="P4239">
        <v>41.93</v>
      </c>
      <c r="Q4239">
        <v>34.94</v>
      </c>
      <c r="R4239">
        <v>27.95</v>
      </c>
      <c r="S4239">
        <v>41.93</v>
      </c>
      <c r="T4239" t="s">
        <v>21692</v>
      </c>
    </row>
    <row r="4240" spans="1:20">
      <c r="A4240">
        <v>3332310</v>
      </c>
      <c r="B4240" t="s">
        <v>21693</v>
      </c>
      <c r="C4240" t="str">
        <f>"9780771097775"</f>
        <v>9780771097775</v>
      </c>
      <c r="D4240" t="str">
        <f>"9780773581128"</f>
        <v>9780773581128</v>
      </c>
      <c r="E4240" t="s">
        <v>12863</v>
      </c>
      <c r="F4240" t="s">
        <v>12863</v>
      </c>
      <c r="G4240" s="1">
        <v>27044</v>
      </c>
      <c r="I4240" t="s">
        <v>13270</v>
      </c>
      <c r="J4240" t="s">
        <v>21694</v>
      </c>
      <c r="K4240" t="s">
        <v>416</v>
      </c>
      <c r="L4240" t="s">
        <v>21695</v>
      </c>
      <c r="M4240" t="s">
        <v>21696</v>
      </c>
      <c r="N4240" t="s">
        <v>21697</v>
      </c>
      <c r="O4240" t="s">
        <v>26</v>
      </c>
      <c r="P4240">
        <v>142.5</v>
      </c>
      <c r="Q4240">
        <v>118.75</v>
      </c>
      <c r="R4240">
        <v>95</v>
      </c>
      <c r="S4240">
        <v>142.5</v>
      </c>
      <c r="T4240" t="s">
        <v>21698</v>
      </c>
    </row>
    <row r="4241" spans="1:20">
      <c r="A4241">
        <v>3332311</v>
      </c>
      <c r="B4241" t="s">
        <v>21699</v>
      </c>
      <c r="C4241" t="str">
        <f>"9780773500891"</f>
        <v>9780773500891</v>
      </c>
      <c r="D4241" t="str">
        <f>"9780773582866"</f>
        <v>9780773582866</v>
      </c>
      <c r="E4241" t="s">
        <v>12863</v>
      </c>
      <c r="F4241" t="s">
        <v>12863</v>
      </c>
      <c r="G4241" s="1">
        <v>26420</v>
      </c>
      <c r="J4241" t="s">
        <v>21700</v>
      </c>
      <c r="K4241" t="s">
        <v>2312</v>
      </c>
      <c r="L4241" t="s">
        <v>21701</v>
      </c>
      <c r="M4241" t="s">
        <v>17869</v>
      </c>
      <c r="N4241" t="s">
        <v>21702</v>
      </c>
      <c r="O4241" t="s">
        <v>26</v>
      </c>
      <c r="P4241">
        <v>142.5</v>
      </c>
      <c r="Q4241">
        <v>118.75</v>
      </c>
      <c r="R4241">
        <v>95</v>
      </c>
      <c r="S4241">
        <v>142.5</v>
      </c>
      <c r="T4241" t="s">
        <v>21703</v>
      </c>
    </row>
    <row r="4242" spans="1:20">
      <c r="A4242">
        <v>3332312</v>
      </c>
      <c r="B4242" t="s">
        <v>21704</v>
      </c>
      <c r="C4242" t="str">
        <f>"9780886293390"</f>
        <v>9780886293390</v>
      </c>
      <c r="D4242" t="str">
        <f>"9780773580930"</f>
        <v>9780773580930</v>
      </c>
      <c r="E4242" t="s">
        <v>12863</v>
      </c>
      <c r="F4242" t="s">
        <v>12863</v>
      </c>
      <c r="G4242" s="1">
        <v>35900</v>
      </c>
      <c r="J4242" t="s">
        <v>21705</v>
      </c>
      <c r="K4242" t="s">
        <v>6444</v>
      </c>
      <c r="L4242" t="s">
        <v>21706</v>
      </c>
      <c r="M4242">
        <v>327.47071</v>
      </c>
      <c r="N4242" t="s">
        <v>21707</v>
      </c>
      <c r="O4242" t="s">
        <v>26</v>
      </c>
      <c r="P4242">
        <v>142.5</v>
      </c>
      <c r="Q4242">
        <v>118.75</v>
      </c>
      <c r="R4242">
        <v>95</v>
      </c>
      <c r="S4242">
        <v>142.5</v>
      </c>
      <c r="T4242" t="s">
        <v>21708</v>
      </c>
    </row>
    <row r="4243" spans="1:20">
      <c r="A4243">
        <v>3332313</v>
      </c>
      <c r="B4243" t="s">
        <v>21709</v>
      </c>
      <c r="C4243" t="str">
        <f>"9780773537910"</f>
        <v>9780773537910</v>
      </c>
      <c r="D4243" t="str">
        <f>"9780773580992"</f>
        <v>9780773580992</v>
      </c>
      <c r="E4243" t="s">
        <v>12863</v>
      </c>
      <c r="F4243" t="s">
        <v>12863</v>
      </c>
      <c r="G4243" s="1">
        <v>40451</v>
      </c>
      <c r="J4243" t="s">
        <v>21710</v>
      </c>
      <c r="K4243" t="s">
        <v>1464</v>
      </c>
      <c r="L4243" t="s">
        <v>21711</v>
      </c>
      <c r="M4243" t="s">
        <v>21712</v>
      </c>
      <c r="N4243" t="s">
        <v>21713</v>
      </c>
      <c r="O4243" t="s">
        <v>26</v>
      </c>
      <c r="P4243">
        <v>41.93</v>
      </c>
      <c r="Q4243">
        <v>34.94</v>
      </c>
      <c r="R4243">
        <v>27.95</v>
      </c>
      <c r="S4243">
        <v>41.93</v>
      </c>
      <c r="T4243" t="s">
        <v>21714</v>
      </c>
    </row>
    <row r="4244" spans="1:20">
      <c r="A4244">
        <v>3332314</v>
      </c>
      <c r="B4244" t="s">
        <v>21715</v>
      </c>
      <c r="C4244" t="str">
        <f>"9780773502130"</f>
        <v>9780773502130</v>
      </c>
      <c r="D4244" t="str">
        <f>"9780773582705"</f>
        <v>9780773582705</v>
      </c>
      <c r="E4244" t="s">
        <v>12863</v>
      </c>
      <c r="F4244" t="s">
        <v>12863</v>
      </c>
      <c r="G4244" s="1">
        <v>27150</v>
      </c>
      <c r="J4244" t="s">
        <v>21716</v>
      </c>
      <c r="K4244" t="s">
        <v>1464</v>
      </c>
      <c r="L4244" t="s">
        <v>21717</v>
      </c>
      <c r="M4244" t="s">
        <v>21718</v>
      </c>
      <c r="N4244" t="s">
        <v>21719</v>
      </c>
      <c r="O4244" t="s">
        <v>26</v>
      </c>
      <c r="P4244">
        <v>142.5</v>
      </c>
      <c r="Q4244">
        <v>118.75</v>
      </c>
      <c r="R4244">
        <v>95</v>
      </c>
      <c r="S4244">
        <v>142.5</v>
      </c>
      <c r="T4244" t="s">
        <v>21720</v>
      </c>
    </row>
    <row r="4245" spans="1:20">
      <c r="A4245">
        <v>3332315</v>
      </c>
      <c r="B4245" t="s">
        <v>21721</v>
      </c>
      <c r="C4245" t="str">
        <f>"9780773511217"</f>
        <v>9780773511217</v>
      </c>
      <c r="D4245" t="str">
        <f>"9780773583511"</f>
        <v>9780773583511</v>
      </c>
      <c r="E4245" t="s">
        <v>12863</v>
      </c>
      <c r="F4245" t="s">
        <v>12863</v>
      </c>
      <c r="G4245" s="1">
        <v>34436</v>
      </c>
      <c r="J4245" t="s">
        <v>21722</v>
      </c>
      <c r="K4245" t="s">
        <v>550</v>
      </c>
      <c r="L4245" t="s">
        <v>21723</v>
      </c>
      <c r="M4245">
        <v>363.5</v>
      </c>
      <c r="N4245" t="s">
        <v>21724</v>
      </c>
      <c r="O4245" t="s">
        <v>26</v>
      </c>
      <c r="P4245">
        <v>142.5</v>
      </c>
      <c r="Q4245">
        <v>118.75</v>
      </c>
      <c r="R4245">
        <v>95</v>
      </c>
      <c r="S4245">
        <v>142.5</v>
      </c>
      <c r="T4245" t="s">
        <v>21725</v>
      </c>
    </row>
    <row r="4246" spans="1:20">
      <c r="A4246">
        <v>3332316</v>
      </c>
      <c r="B4246" t="s">
        <v>21726</v>
      </c>
      <c r="C4246" t="str">
        <f>"9780773528635"</f>
        <v>9780773528635</v>
      </c>
      <c r="D4246" t="str">
        <f>"9780773581081"</f>
        <v>9780773581081</v>
      </c>
      <c r="E4246" t="s">
        <v>12863</v>
      </c>
      <c r="F4246" t="s">
        <v>12863</v>
      </c>
      <c r="G4246" s="1">
        <v>38386</v>
      </c>
      <c r="J4246" t="s">
        <v>21727</v>
      </c>
      <c r="K4246" t="s">
        <v>1471</v>
      </c>
      <c r="L4246" t="s">
        <v>21728</v>
      </c>
      <c r="M4246" t="s">
        <v>17091</v>
      </c>
      <c r="N4246" t="s">
        <v>21729</v>
      </c>
      <c r="O4246" t="s">
        <v>26</v>
      </c>
      <c r="P4246">
        <v>59.93</v>
      </c>
      <c r="Q4246">
        <v>49.94</v>
      </c>
      <c r="R4246">
        <v>39.950000000000003</v>
      </c>
      <c r="S4246">
        <v>59.93</v>
      </c>
      <c r="T4246" t="s">
        <v>21730</v>
      </c>
    </row>
    <row r="4247" spans="1:20">
      <c r="A4247">
        <v>3332317</v>
      </c>
      <c r="B4247" t="s">
        <v>21731</v>
      </c>
      <c r="C4247" t="str">
        <f>"9780773533264"</f>
        <v>9780773533264</v>
      </c>
      <c r="D4247" t="str">
        <f>"9780773581296"</f>
        <v>9780773581296</v>
      </c>
      <c r="E4247" t="s">
        <v>12863</v>
      </c>
      <c r="F4247" t="s">
        <v>12863</v>
      </c>
      <c r="G4247" s="1">
        <v>40116</v>
      </c>
      <c r="J4247" t="s">
        <v>21732</v>
      </c>
      <c r="K4247" t="s">
        <v>21733</v>
      </c>
      <c r="L4247" t="s">
        <v>21734</v>
      </c>
      <c r="M4247">
        <v>363.73874000000001</v>
      </c>
      <c r="N4247" t="s">
        <v>21735</v>
      </c>
      <c r="O4247" t="s">
        <v>26</v>
      </c>
      <c r="P4247">
        <v>49.43</v>
      </c>
      <c r="Q4247">
        <v>41.19</v>
      </c>
      <c r="R4247">
        <v>32.950000000000003</v>
      </c>
      <c r="S4247">
        <v>49.43</v>
      </c>
      <c r="T4247" t="s">
        <v>21736</v>
      </c>
    </row>
    <row r="4248" spans="1:20">
      <c r="A4248">
        <v>3332318</v>
      </c>
      <c r="B4248" t="s">
        <v>21737</v>
      </c>
      <c r="C4248" t="str">
        <f>"9780773539044"</f>
        <v>9780773539044</v>
      </c>
      <c r="D4248" t="str">
        <f>"9780773585706"</f>
        <v>9780773585706</v>
      </c>
      <c r="E4248" t="s">
        <v>12863</v>
      </c>
      <c r="F4248" t="s">
        <v>12863</v>
      </c>
      <c r="G4248" s="1">
        <v>40741</v>
      </c>
      <c r="J4248" t="s">
        <v>21738</v>
      </c>
      <c r="K4248" t="s">
        <v>3848</v>
      </c>
      <c r="L4248" t="s">
        <v>21739</v>
      </c>
      <c r="M4248">
        <v>967.51023999999995</v>
      </c>
      <c r="N4248" t="s">
        <v>21740</v>
      </c>
      <c r="O4248" t="s">
        <v>26</v>
      </c>
      <c r="P4248">
        <v>29.93</v>
      </c>
      <c r="Q4248">
        <v>24.94</v>
      </c>
      <c r="R4248">
        <v>19.95</v>
      </c>
      <c r="S4248">
        <v>29.93</v>
      </c>
      <c r="T4248" t="s">
        <v>21741</v>
      </c>
    </row>
    <row r="4249" spans="1:20">
      <c r="A4249">
        <v>3332319</v>
      </c>
      <c r="B4249" t="s">
        <v>21742</v>
      </c>
      <c r="C4249" t="str">
        <f>"9780773522961"</f>
        <v>9780773522961</v>
      </c>
      <c r="D4249" t="str">
        <f>"9780773580831"</f>
        <v>9780773580831</v>
      </c>
      <c r="E4249" t="s">
        <v>12863</v>
      </c>
      <c r="F4249" t="s">
        <v>12863</v>
      </c>
      <c r="G4249" s="1">
        <v>37165</v>
      </c>
      <c r="J4249" t="s">
        <v>21743</v>
      </c>
      <c r="K4249" t="s">
        <v>2154</v>
      </c>
      <c r="L4249" t="s">
        <v>21744</v>
      </c>
      <c r="M4249">
        <v>304</v>
      </c>
      <c r="N4249" t="s">
        <v>21745</v>
      </c>
      <c r="O4249" t="s">
        <v>26</v>
      </c>
      <c r="P4249">
        <v>44.93</v>
      </c>
      <c r="Q4249">
        <v>37.44</v>
      </c>
      <c r="R4249">
        <v>29.95</v>
      </c>
      <c r="S4249">
        <v>44.93</v>
      </c>
      <c r="T4249" t="s">
        <v>21746</v>
      </c>
    </row>
    <row r="4250" spans="1:20">
      <c r="A4250">
        <v>3332320</v>
      </c>
      <c r="B4250" t="s">
        <v>21747</v>
      </c>
      <c r="C4250" t="str">
        <f>"9780773539136"</f>
        <v>9780773539136</v>
      </c>
      <c r="D4250" t="str">
        <f>"9780773586512"</f>
        <v>9780773586512</v>
      </c>
      <c r="E4250" t="s">
        <v>12863</v>
      </c>
      <c r="F4250" t="s">
        <v>12863</v>
      </c>
      <c r="G4250" s="1">
        <v>40780</v>
      </c>
      <c r="J4250" t="s">
        <v>15259</v>
      </c>
      <c r="K4250" t="s">
        <v>13594</v>
      </c>
      <c r="L4250" t="s">
        <v>21748</v>
      </c>
      <c r="M4250">
        <v>362.86</v>
      </c>
      <c r="N4250" t="s">
        <v>21749</v>
      </c>
      <c r="O4250" t="s">
        <v>26</v>
      </c>
      <c r="P4250">
        <v>142.5</v>
      </c>
      <c r="Q4250">
        <v>118.75</v>
      </c>
      <c r="R4250">
        <v>95</v>
      </c>
      <c r="S4250">
        <v>142.5</v>
      </c>
      <c r="T4250" t="s">
        <v>21750</v>
      </c>
    </row>
    <row r="4251" spans="1:20">
      <c r="A4251">
        <v>3332321</v>
      </c>
      <c r="B4251" t="s">
        <v>21109</v>
      </c>
      <c r="C4251" t="str">
        <f>"9780773530522"</f>
        <v>9780773530522</v>
      </c>
      <c r="D4251" t="str">
        <f>"9780773584594"</f>
        <v>9780773584594</v>
      </c>
      <c r="E4251" t="s">
        <v>12863</v>
      </c>
      <c r="F4251" t="s">
        <v>12863</v>
      </c>
      <c r="G4251" s="1">
        <v>38684</v>
      </c>
      <c r="I4251" t="s">
        <v>21110</v>
      </c>
      <c r="J4251" t="s">
        <v>21111</v>
      </c>
      <c r="K4251" t="s">
        <v>1859</v>
      </c>
      <c r="L4251" t="s">
        <v>21658</v>
      </c>
      <c r="M4251">
        <v>100</v>
      </c>
      <c r="N4251" t="s">
        <v>21659</v>
      </c>
      <c r="O4251" t="s">
        <v>26</v>
      </c>
      <c r="P4251">
        <v>44.93</v>
      </c>
      <c r="Q4251">
        <v>37.44</v>
      </c>
      <c r="R4251">
        <v>29.95</v>
      </c>
      <c r="S4251">
        <v>44.93</v>
      </c>
      <c r="T4251" t="s">
        <v>21751</v>
      </c>
    </row>
    <row r="4252" spans="1:20">
      <c r="A4252">
        <v>3332322</v>
      </c>
      <c r="B4252" t="s">
        <v>21752</v>
      </c>
      <c r="C4252" t="str">
        <f>"9780773538849"</f>
        <v>9780773538849</v>
      </c>
      <c r="D4252" t="str">
        <f>"9780773585768"</f>
        <v>9780773585768</v>
      </c>
      <c r="E4252" t="s">
        <v>12863</v>
      </c>
      <c r="F4252" t="s">
        <v>12863</v>
      </c>
      <c r="G4252" s="1">
        <v>40793</v>
      </c>
      <c r="J4252" t="s">
        <v>21753</v>
      </c>
      <c r="K4252" t="s">
        <v>1471</v>
      </c>
      <c r="L4252" t="s">
        <v>21754</v>
      </c>
      <c r="M4252">
        <v>781.17</v>
      </c>
      <c r="N4252" t="s">
        <v>21755</v>
      </c>
      <c r="O4252" t="s">
        <v>26</v>
      </c>
      <c r="P4252">
        <v>142.5</v>
      </c>
      <c r="Q4252">
        <v>118.75</v>
      </c>
      <c r="R4252">
        <v>95</v>
      </c>
      <c r="S4252">
        <v>142.5</v>
      </c>
      <c r="T4252" t="s">
        <v>21756</v>
      </c>
    </row>
    <row r="4253" spans="1:20">
      <c r="A4253">
        <v>3332323</v>
      </c>
      <c r="B4253" t="s">
        <v>21757</v>
      </c>
      <c r="C4253" t="str">
        <f>"9780773538108"</f>
        <v>9780773538108</v>
      </c>
      <c r="D4253" t="str">
        <f>"9780773581135"</f>
        <v>9780773581135</v>
      </c>
      <c r="E4253" t="s">
        <v>12863</v>
      </c>
      <c r="F4253" t="s">
        <v>12863</v>
      </c>
      <c r="G4253" s="1">
        <v>40472</v>
      </c>
      <c r="J4253" t="s">
        <v>21758</v>
      </c>
      <c r="K4253" t="s">
        <v>1471</v>
      </c>
      <c r="L4253" t="s">
        <v>21759</v>
      </c>
      <c r="M4253">
        <v>786.20920000000001</v>
      </c>
      <c r="N4253" t="s">
        <v>21760</v>
      </c>
      <c r="O4253" t="s">
        <v>26</v>
      </c>
      <c r="P4253">
        <v>52.43</v>
      </c>
      <c r="Q4253">
        <v>43.69</v>
      </c>
      <c r="R4253">
        <v>34.950000000000003</v>
      </c>
      <c r="S4253">
        <v>52.43</v>
      </c>
      <c r="T4253" t="s">
        <v>21761</v>
      </c>
    </row>
    <row r="4254" spans="1:20">
      <c r="A4254">
        <v>3332324</v>
      </c>
      <c r="B4254" t="s">
        <v>21762</v>
      </c>
      <c r="C4254" t="str">
        <f>"9780773503410"</f>
        <v>9780773503410</v>
      </c>
      <c r="D4254" t="str">
        <f>"9780773582873"</f>
        <v>9780773582873</v>
      </c>
      <c r="E4254" t="s">
        <v>12863</v>
      </c>
      <c r="F4254" t="s">
        <v>12863</v>
      </c>
      <c r="G4254" s="1">
        <v>29160</v>
      </c>
      <c r="J4254" t="s">
        <v>21763</v>
      </c>
      <c r="K4254" t="s">
        <v>257</v>
      </c>
      <c r="L4254" t="s">
        <v>21764</v>
      </c>
      <c r="M4254" t="s">
        <v>21765</v>
      </c>
      <c r="N4254" t="s">
        <v>21766</v>
      </c>
      <c r="O4254" t="s">
        <v>26</v>
      </c>
      <c r="P4254">
        <v>142.5</v>
      </c>
      <c r="Q4254">
        <v>118.75</v>
      </c>
      <c r="R4254">
        <v>95</v>
      </c>
      <c r="S4254">
        <v>142.5</v>
      </c>
      <c r="T4254" t="s">
        <v>21767</v>
      </c>
    </row>
    <row r="4255" spans="1:20">
      <c r="A4255">
        <v>3332325</v>
      </c>
      <c r="B4255" t="s">
        <v>21768</v>
      </c>
      <c r="C4255" t="str">
        <f>"9780773535787"</f>
        <v>9780773535787</v>
      </c>
      <c r="D4255" t="str">
        <f>"9780773583115"</f>
        <v>9780773583115</v>
      </c>
      <c r="E4255" t="s">
        <v>12863</v>
      </c>
      <c r="F4255" t="s">
        <v>12863</v>
      </c>
      <c r="G4255" s="1">
        <v>40210</v>
      </c>
      <c r="I4255" t="s">
        <v>13288</v>
      </c>
      <c r="J4255" t="s">
        <v>16561</v>
      </c>
      <c r="K4255" t="s">
        <v>291</v>
      </c>
      <c r="L4255" t="s">
        <v>21769</v>
      </c>
      <c r="M4255" t="s">
        <v>21770</v>
      </c>
      <c r="N4255" t="s">
        <v>21771</v>
      </c>
      <c r="O4255" t="s">
        <v>26</v>
      </c>
      <c r="P4255">
        <v>74.930000000000007</v>
      </c>
      <c r="Q4255">
        <v>62.44</v>
      </c>
      <c r="R4255">
        <v>49.95</v>
      </c>
      <c r="S4255">
        <v>74.930000000000007</v>
      </c>
      <c r="T4255" t="s">
        <v>21772</v>
      </c>
    </row>
    <row r="4256" spans="1:20">
      <c r="A4256">
        <v>3332326</v>
      </c>
      <c r="B4256" t="s">
        <v>21773</v>
      </c>
      <c r="C4256" t="str">
        <f>"9780886293499"</f>
        <v>9780886293499</v>
      </c>
      <c r="D4256" t="str">
        <f>"9780773583894"</f>
        <v>9780773583894</v>
      </c>
      <c r="E4256" t="s">
        <v>12863</v>
      </c>
      <c r="F4256" t="s">
        <v>12863</v>
      </c>
      <c r="G4256" s="1">
        <v>36131</v>
      </c>
      <c r="I4256" t="s">
        <v>21105</v>
      </c>
      <c r="J4256" t="s">
        <v>21774</v>
      </c>
      <c r="K4256" t="s">
        <v>1464</v>
      </c>
      <c r="L4256" t="s">
        <v>21775</v>
      </c>
      <c r="M4256">
        <v>811.54</v>
      </c>
      <c r="N4256" t="s">
        <v>21776</v>
      </c>
      <c r="O4256" t="s">
        <v>26</v>
      </c>
      <c r="P4256">
        <v>26.93</v>
      </c>
      <c r="Q4256">
        <v>22.44</v>
      </c>
      <c r="R4256">
        <v>17.95</v>
      </c>
      <c r="S4256">
        <v>26.93</v>
      </c>
      <c r="T4256" t="s">
        <v>21777</v>
      </c>
    </row>
    <row r="4257" spans="1:20">
      <c r="A4257">
        <v>3332327</v>
      </c>
      <c r="B4257" t="s">
        <v>21778</v>
      </c>
      <c r="C4257" t="str">
        <f>"9780773538474"</f>
        <v>9780773538474</v>
      </c>
      <c r="D4257" t="str">
        <f>"9780773585607"</f>
        <v>9780773585607</v>
      </c>
      <c r="E4257" t="s">
        <v>12863</v>
      </c>
      <c r="F4257" t="s">
        <v>12863</v>
      </c>
      <c r="G4257" s="1">
        <v>40624</v>
      </c>
      <c r="I4257" t="s">
        <v>19169</v>
      </c>
      <c r="J4257" t="s">
        <v>21779</v>
      </c>
      <c r="K4257" t="s">
        <v>1464</v>
      </c>
      <c r="L4257" t="s">
        <v>21780</v>
      </c>
      <c r="M4257" t="s">
        <v>1545</v>
      </c>
      <c r="N4257" t="s">
        <v>21781</v>
      </c>
      <c r="O4257" t="s">
        <v>26</v>
      </c>
      <c r="P4257">
        <v>25.43</v>
      </c>
      <c r="Q4257">
        <v>21.19</v>
      </c>
      <c r="R4257">
        <v>16.95</v>
      </c>
      <c r="S4257">
        <v>25.43</v>
      </c>
      <c r="T4257" t="s">
        <v>21782</v>
      </c>
    </row>
    <row r="4258" spans="1:20">
      <c r="A4258">
        <v>3332328</v>
      </c>
      <c r="B4258" t="s">
        <v>21783</v>
      </c>
      <c r="C4258" t="str">
        <f>"9780773526488"</f>
        <v>9780773526488</v>
      </c>
      <c r="D4258" t="str">
        <f>"9780773581906"</f>
        <v>9780773581906</v>
      </c>
      <c r="E4258" t="s">
        <v>12863</v>
      </c>
      <c r="F4258" t="s">
        <v>12863</v>
      </c>
      <c r="G4258" s="1">
        <v>37742</v>
      </c>
      <c r="I4258" t="s">
        <v>21784</v>
      </c>
      <c r="J4258" t="s">
        <v>21785</v>
      </c>
      <c r="K4258" t="s">
        <v>1464</v>
      </c>
      <c r="L4258" t="s">
        <v>21786</v>
      </c>
      <c r="M4258">
        <v>811.54</v>
      </c>
      <c r="N4258" t="s">
        <v>21787</v>
      </c>
      <c r="O4258" t="s">
        <v>26</v>
      </c>
      <c r="P4258">
        <v>59.93</v>
      </c>
      <c r="Q4258">
        <v>49.94</v>
      </c>
      <c r="R4258">
        <v>39.950000000000003</v>
      </c>
      <c r="S4258">
        <v>59.93</v>
      </c>
      <c r="T4258" t="s">
        <v>21788</v>
      </c>
    </row>
    <row r="4259" spans="1:20">
      <c r="A4259">
        <v>3332329</v>
      </c>
      <c r="B4259" t="s">
        <v>21789</v>
      </c>
      <c r="C4259" t="str">
        <f>"9780773530829"</f>
        <v>9780773530829</v>
      </c>
      <c r="D4259" t="str">
        <f>"9780773585669"</f>
        <v>9780773585669</v>
      </c>
      <c r="E4259" t="s">
        <v>12863</v>
      </c>
      <c r="F4259" t="s">
        <v>12863</v>
      </c>
      <c r="G4259" s="1">
        <v>38880</v>
      </c>
      <c r="I4259" t="s">
        <v>21110</v>
      </c>
      <c r="J4259" t="s">
        <v>21111</v>
      </c>
      <c r="K4259" t="s">
        <v>1859</v>
      </c>
      <c r="L4259" t="s">
        <v>21790</v>
      </c>
      <c r="M4259">
        <v>100</v>
      </c>
      <c r="N4259" t="s">
        <v>21791</v>
      </c>
      <c r="O4259" t="s">
        <v>26</v>
      </c>
      <c r="P4259">
        <v>44.93</v>
      </c>
      <c r="Q4259">
        <v>37.44</v>
      </c>
      <c r="R4259">
        <v>29.95</v>
      </c>
      <c r="S4259">
        <v>44.93</v>
      </c>
      <c r="T4259" t="s">
        <v>21792</v>
      </c>
    </row>
    <row r="4260" spans="1:20">
      <c r="A4260">
        <v>3332330</v>
      </c>
      <c r="B4260" t="s">
        <v>21793</v>
      </c>
      <c r="C4260" t="str">
        <f>"9780773504271"</f>
        <v>9780773504271</v>
      </c>
      <c r="D4260" t="str">
        <f>"9780773582712"</f>
        <v>9780773582712</v>
      </c>
      <c r="E4260" t="s">
        <v>12863</v>
      </c>
      <c r="F4260" t="s">
        <v>12863</v>
      </c>
      <c r="G4260" s="1">
        <v>30895</v>
      </c>
      <c r="J4260" t="s">
        <v>18655</v>
      </c>
      <c r="K4260" t="s">
        <v>1892</v>
      </c>
      <c r="L4260" t="s">
        <v>21794</v>
      </c>
      <c r="M4260">
        <v>282.71695</v>
      </c>
      <c r="N4260" t="s">
        <v>21795</v>
      </c>
      <c r="O4260" t="s">
        <v>26</v>
      </c>
      <c r="P4260">
        <v>142.5</v>
      </c>
      <c r="Q4260">
        <v>118.75</v>
      </c>
      <c r="R4260">
        <v>95</v>
      </c>
      <c r="S4260">
        <v>142.5</v>
      </c>
      <c r="T4260" t="s">
        <v>21796</v>
      </c>
    </row>
    <row r="4261" spans="1:20">
      <c r="A4261">
        <v>3332331</v>
      </c>
      <c r="B4261" t="s">
        <v>21797</v>
      </c>
      <c r="C4261" t="str">
        <f>"9780773519046"</f>
        <v>9780773519046</v>
      </c>
      <c r="D4261" t="str">
        <f>"9780773584198"</f>
        <v>9780773584198</v>
      </c>
      <c r="E4261" t="s">
        <v>12863</v>
      </c>
      <c r="F4261" t="s">
        <v>12863</v>
      </c>
      <c r="G4261" s="1">
        <v>36446</v>
      </c>
      <c r="I4261" t="s">
        <v>19169</v>
      </c>
      <c r="J4261" t="s">
        <v>21798</v>
      </c>
      <c r="K4261" t="s">
        <v>1464</v>
      </c>
      <c r="L4261" t="s">
        <v>21799</v>
      </c>
      <c r="M4261" t="s">
        <v>1497</v>
      </c>
      <c r="N4261" t="s">
        <v>21800</v>
      </c>
      <c r="O4261" t="s">
        <v>26</v>
      </c>
      <c r="P4261">
        <v>25.43</v>
      </c>
      <c r="Q4261">
        <v>21.19</v>
      </c>
      <c r="R4261">
        <v>16.95</v>
      </c>
      <c r="S4261">
        <v>25.43</v>
      </c>
      <c r="T4261" t="s">
        <v>21801</v>
      </c>
    </row>
    <row r="4262" spans="1:20">
      <c r="A4262">
        <v>3332332</v>
      </c>
      <c r="B4262" t="s">
        <v>21802</v>
      </c>
      <c r="C4262" t="str">
        <f>"9780773539525"</f>
        <v>9780773539525</v>
      </c>
      <c r="D4262" t="str">
        <f>"9780773586475"</f>
        <v>9780773586475</v>
      </c>
      <c r="E4262" t="s">
        <v>12863</v>
      </c>
      <c r="F4262" t="s">
        <v>12863</v>
      </c>
      <c r="G4262" s="1">
        <v>40833</v>
      </c>
      <c r="I4262" t="s">
        <v>12871</v>
      </c>
      <c r="J4262" t="s">
        <v>21803</v>
      </c>
      <c r="K4262" t="s">
        <v>525</v>
      </c>
      <c r="L4262" t="s">
        <v>21804</v>
      </c>
      <c r="M4262" t="s">
        <v>10334</v>
      </c>
      <c r="N4262" t="s">
        <v>21805</v>
      </c>
      <c r="O4262" t="s">
        <v>26</v>
      </c>
      <c r="P4262">
        <v>52.43</v>
      </c>
      <c r="Q4262">
        <v>43.69</v>
      </c>
      <c r="R4262">
        <v>34.950000000000003</v>
      </c>
      <c r="S4262">
        <v>52.43</v>
      </c>
      <c r="T4262" t="s">
        <v>21806</v>
      </c>
    </row>
    <row r="4263" spans="1:20">
      <c r="A4263">
        <v>3332333</v>
      </c>
      <c r="B4263" t="s">
        <v>21807</v>
      </c>
      <c r="C4263" t="str">
        <f>"9780773525061"</f>
        <v>9780773525061</v>
      </c>
      <c r="D4263" t="str">
        <f>"9780773582927"</f>
        <v>9780773582927</v>
      </c>
      <c r="E4263" t="s">
        <v>12863</v>
      </c>
      <c r="F4263" t="s">
        <v>12863</v>
      </c>
      <c r="G4263" s="1">
        <v>38568</v>
      </c>
      <c r="J4263" t="s">
        <v>21808</v>
      </c>
      <c r="K4263" t="s">
        <v>1471</v>
      </c>
      <c r="L4263" t="s">
        <v>21809</v>
      </c>
      <c r="M4263" t="s">
        <v>21810</v>
      </c>
      <c r="N4263" t="s">
        <v>21811</v>
      </c>
      <c r="O4263" t="s">
        <v>26</v>
      </c>
      <c r="P4263">
        <v>74.930000000000007</v>
      </c>
      <c r="Q4263">
        <v>62.44</v>
      </c>
      <c r="R4263">
        <v>49.95</v>
      </c>
      <c r="S4263">
        <v>74.930000000000007</v>
      </c>
      <c r="T4263" t="s">
        <v>21812</v>
      </c>
    </row>
    <row r="4264" spans="1:20">
      <c r="A4264">
        <v>3332334</v>
      </c>
      <c r="B4264" t="s">
        <v>21813</v>
      </c>
      <c r="C4264" t="str">
        <f>"9780773527614"</f>
        <v>9780773527614</v>
      </c>
      <c r="D4264" t="str">
        <f>"9780773580497"</f>
        <v>9780773580497</v>
      </c>
      <c r="E4264" t="s">
        <v>12863</v>
      </c>
      <c r="F4264" t="s">
        <v>12863</v>
      </c>
      <c r="G4264" s="1">
        <v>38244</v>
      </c>
      <c r="I4264" t="s">
        <v>20996</v>
      </c>
      <c r="J4264" t="s">
        <v>20997</v>
      </c>
      <c r="K4264" t="s">
        <v>4081</v>
      </c>
      <c r="L4264" t="s">
        <v>20998</v>
      </c>
      <c r="M4264">
        <v>491.43982420999998</v>
      </c>
      <c r="N4264" t="s">
        <v>20999</v>
      </c>
      <c r="O4264" t="s">
        <v>26</v>
      </c>
      <c r="P4264">
        <v>19.43</v>
      </c>
      <c r="Q4264">
        <v>16.190000000000001</v>
      </c>
      <c r="R4264">
        <v>12.95</v>
      </c>
      <c r="S4264">
        <v>19.43</v>
      </c>
      <c r="T4264" t="s">
        <v>21814</v>
      </c>
    </row>
    <row r="4265" spans="1:20">
      <c r="A4265">
        <v>3332335</v>
      </c>
      <c r="B4265" t="s">
        <v>21815</v>
      </c>
      <c r="C4265" t="str">
        <f>"9780773523791"</f>
        <v>9780773523791</v>
      </c>
      <c r="D4265" t="str">
        <f>"9780773583733"</f>
        <v>9780773583733</v>
      </c>
      <c r="E4265" t="s">
        <v>12863</v>
      </c>
      <c r="F4265" t="s">
        <v>12863</v>
      </c>
      <c r="G4265" s="1">
        <v>37532</v>
      </c>
      <c r="I4265" t="s">
        <v>21018</v>
      </c>
      <c r="J4265" t="s">
        <v>21816</v>
      </c>
      <c r="K4265" t="s">
        <v>1859</v>
      </c>
      <c r="L4265" t="s">
        <v>21817</v>
      </c>
      <c r="M4265">
        <v>149</v>
      </c>
      <c r="N4265" t="s">
        <v>21818</v>
      </c>
      <c r="O4265" t="s">
        <v>26</v>
      </c>
      <c r="P4265">
        <v>41.93</v>
      </c>
      <c r="Q4265">
        <v>34.94</v>
      </c>
      <c r="R4265">
        <v>27.95</v>
      </c>
      <c r="S4265">
        <v>41.93</v>
      </c>
      <c r="T4265" t="s">
        <v>21819</v>
      </c>
    </row>
    <row r="4266" spans="1:20">
      <c r="A4266">
        <v>3332336</v>
      </c>
      <c r="B4266" t="s">
        <v>21820</v>
      </c>
      <c r="C4266" t="str">
        <f>"9780773502918"</f>
        <v>9780773502918</v>
      </c>
      <c r="D4266" t="str">
        <f>"9780773583948"</f>
        <v>9780773583948</v>
      </c>
      <c r="E4266" t="s">
        <v>12863</v>
      </c>
      <c r="F4266" t="s">
        <v>12863</v>
      </c>
      <c r="G4266" s="1">
        <v>28460</v>
      </c>
      <c r="J4266" t="s">
        <v>21821</v>
      </c>
      <c r="K4266" t="s">
        <v>6444</v>
      </c>
      <c r="L4266" t="s">
        <v>21822</v>
      </c>
      <c r="M4266" t="s">
        <v>21823</v>
      </c>
      <c r="N4266" t="s">
        <v>21824</v>
      </c>
      <c r="O4266" t="s">
        <v>26</v>
      </c>
      <c r="P4266">
        <v>142.5</v>
      </c>
      <c r="Q4266">
        <v>118.75</v>
      </c>
      <c r="R4266">
        <v>95</v>
      </c>
      <c r="S4266">
        <v>142.5</v>
      </c>
      <c r="T4266" t="s">
        <v>21825</v>
      </c>
    </row>
    <row r="4267" spans="1:20">
      <c r="A4267">
        <v>3332337</v>
      </c>
      <c r="B4267" t="s">
        <v>21826</v>
      </c>
      <c r="C4267" t="str">
        <f>"9780886292782"</f>
        <v>9780886292782</v>
      </c>
      <c r="D4267" t="str">
        <f>"9780773584907"</f>
        <v>9780773584907</v>
      </c>
      <c r="E4267" t="s">
        <v>12863</v>
      </c>
      <c r="F4267" t="s">
        <v>12863</v>
      </c>
      <c r="G4267" s="1">
        <v>35170</v>
      </c>
      <c r="I4267" t="s">
        <v>13270</v>
      </c>
      <c r="J4267" t="s">
        <v>21827</v>
      </c>
      <c r="K4267" t="s">
        <v>7838</v>
      </c>
      <c r="L4267" t="s">
        <v>21828</v>
      </c>
      <c r="M4267">
        <v>721.09109999999998</v>
      </c>
      <c r="N4267" t="s">
        <v>21829</v>
      </c>
      <c r="O4267" t="s">
        <v>26</v>
      </c>
      <c r="P4267">
        <v>142.5</v>
      </c>
      <c r="Q4267">
        <v>118.75</v>
      </c>
      <c r="R4267">
        <v>95</v>
      </c>
      <c r="S4267">
        <v>142.5</v>
      </c>
      <c r="T4267" t="s">
        <v>21830</v>
      </c>
    </row>
    <row r="4268" spans="1:20">
      <c r="A4268">
        <v>3332338</v>
      </c>
      <c r="B4268" t="s">
        <v>21831</v>
      </c>
      <c r="C4268" t="str">
        <f>"9780773528796"</f>
        <v>9780773528796</v>
      </c>
      <c r="D4268" t="str">
        <f>"9780773583580"</f>
        <v>9780773583580</v>
      </c>
      <c r="E4268" t="s">
        <v>12863</v>
      </c>
      <c r="F4268" t="s">
        <v>12863</v>
      </c>
      <c r="G4268" s="1">
        <v>38468</v>
      </c>
      <c r="J4268" t="s">
        <v>21832</v>
      </c>
      <c r="K4268" t="s">
        <v>2498</v>
      </c>
      <c r="L4268" t="s">
        <v>21833</v>
      </c>
      <c r="M4268" t="s">
        <v>21834</v>
      </c>
      <c r="N4268" t="s">
        <v>21835</v>
      </c>
      <c r="O4268" t="s">
        <v>26</v>
      </c>
      <c r="P4268">
        <v>150</v>
      </c>
      <c r="Q4268">
        <v>125</v>
      </c>
      <c r="R4268">
        <v>100</v>
      </c>
      <c r="S4268">
        <v>150</v>
      </c>
      <c r="T4268" t="s">
        <v>21836</v>
      </c>
    </row>
    <row r="4269" spans="1:20">
      <c r="A4269">
        <v>3332339</v>
      </c>
      <c r="B4269" t="s">
        <v>21837</v>
      </c>
      <c r="C4269" t="str">
        <f>"9780773519022"</f>
        <v>9780773519022</v>
      </c>
      <c r="D4269" t="str">
        <f>"9780773583016"</f>
        <v>9780773583016</v>
      </c>
      <c r="E4269" t="s">
        <v>12863</v>
      </c>
      <c r="F4269" t="s">
        <v>12863</v>
      </c>
      <c r="G4269" s="1">
        <v>36249</v>
      </c>
      <c r="I4269" t="s">
        <v>19169</v>
      </c>
      <c r="J4269" t="s">
        <v>21838</v>
      </c>
      <c r="K4269" t="s">
        <v>1464</v>
      </c>
      <c r="L4269" t="s">
        <v>21839</v>
      </c>
      <c r="M4269" t="s">
        <v>1497</v>
      </c>
      <c r="N4269" t="s">
        <v>21840</v>
      </c>
      <c r="O4269" t="s">
        <v>26</v>
      </c>
      <c r="P4269">
        <v>25.43</v>
      </c>
      <c r="Q4269">
        <v>21.19</v>
      </c>
      <c r="R4269">
        <v>16.95</v>
      </c>
      <c r="S4269">
        <v>25.43</v>
      </c>
      <c r="T4269" t="s">
        <v>21841</v>
      </c>
    </row>
    <row r="4270" spans="1:20">
      <c r="A4270">
        <v>3332340</v>
      </c>
      <c r="B4270" t="s">
        <v>21842</v>
      </c>
      <c r="C4270" t="str">
        <f>"9780773538252"</f>
        <v>9780773538252</v>
      </c>
      <c r="D4270" t="str">
        <f>"9780773585713"</f>
        <v>9780773585713</v>
      </c>
      <c r="E4270" t="s">
        <v>12863</v>
      </c>
      <c r="F4270" t="s">
        <v>12863</v>
      </c>
      <c r="G4270" s="1">
        <v>40709</v>
      </c>
      <c r="I4270" t="s">
        <v>18213</v>
      </c>
      <c r="J4270" t="s">
        <v>21843</v>
      </c>
      <c r="K4270" t="s">
        <v>263</v>
      </c>
      <c r="L4270" t="s">
        <v>21844</v>
      </c>
      <c r="M4270">
        <v>302.39999999999998</v>
      </c>
      <c r="N4270" t="s">
        <v>21845</v>
      </c>
      <c r="O4270" t="s">
        <v>26</v>
      </c>
      <c r="P4270">
        <v>142.5</v>
      </c>
      <c r="Q4270">
        <v>118.75</v>
      </c>
      <c r="R4270">
        <v>95</v>
      </c>
      <c r="S4270">
        <v>142.5</v>
      </c>
      <c r="T4270" t="s">
        <v>21846</v>
      </c>
    </row>
    <row r="4271" spans="1:20">
      <c r="A4271">
        <v>3332341</v>
      </c>
      <c r="B4271" t="s">
        <v>21847</v>
      </c>
      <c r="C4271" t="str">
        <f>"9780773524224"</f>
        <v>9780773524224</v>
      </c>
      <c r="D4271" t="str">
        <f>"9780773585928"</f>
        <v>9780773585928</v>
      </c>
      <c r="E4271" t="s">
        <v>12863</v>
      </c>
      <c r="F4271" t="s">
        <v>12863</v>
      </c>
      <c r="G4271" s="1">
        <v>38750</v>
      </c>
      <c r="I4271" t="s">
        <v>19093</v>
      </c>
      <c r="J4271" t="s">
        <v>21848</v>
      </c>
      <c r="K4271" t="s">
        <v>1859</v>
      </c>
      <c r="L4271" t="s">
        <v>21849</v>
      </c>
      <c r="M4271">
        <v>160</v>
      </c>
      <c r="N4271" t="s">
        <v>21850</v>
      </c>
      <c r="O4271" t="s">
        <v>26</v>
      </c>
      <c r="P4271">
        <v>142.5</v>
      </c>
      <c r="Q4271">
        <v>118.75</v>
      </c>
      <c r="R4271">
        <v>95</v>
      </c>
      <c r="S4271">
        <v>142.5</v>
      </c>
      <c r="T4271" t="s">
        <v>21851</v>
      </c>
    </row>
    <row r="4272" spans="1:20">
      <c r="A4272">
        <v>3332342</v>
      </c>
      <c r="B4272" t="s">
        <v>21852</v>
      </c>
      <c r="C4272" t="str">
        <f>"9780886291792"</f>
        <v>9780886291792</v>
      </c>
      <c r="D4272" t="str">
        <f>"9780773584969"</f>
        <v>9780773584969</v>
      </c>
      <c r="E4272" t="s">
        <v>12863</v>
      </c>
      <c r="F4272" t="s">
        <v>12863</v>
      </c>
      <c r="G4272" s="1">
        <v>34318</v>
      </c>
      <c r="J4272" t="s">
        <v>21853</v>
      </c>
      <c r="K4272" t="s">
        <v>21854</v>
      </c>
      <c r="L4272" t="s">
        <v>21855</v>
      </c>
      <c r="M4272">
        <v>307</v>
      </c>
      <c r="N4272" t="s">
        <v>21856</v>
      </c>
      <c r="O4272" t="s">
        <v>26</v>
      </c>
      <c r="P4272">
        <v>142.5</v>
      </c>
      <c r="Q4272">
        <v>118.75</v>
      </c>
      <c r="R4272">
        <v>95</v>
      </c>
      <c r="S4272">
        <v>142.5</v>
      </c>
      <c r="T4272" t="s">
        <v>21857</v>
      </c>
    </row>
    <row r="4273" spans="1:20">
      <c r="A4273">
        <v>3332343</v>
      </c>
      <c r="B4273" t="s">
        <v>21858</v>
      </c>
      <c r="C4273" t="str">
        <f>"9780773538559"</f>
        <v>9780773538559</v>
      </c>
      <c r="D4273" t="str">
        <f>"9780773585560"</f>
        <v>9780773585560</v>
      </c>
      <c r="E4273" t="s">
        <v>12863</v>
      </c>
      <c r="F4273" t="s">
        <v>12863</v>
      </c>
      <c r="G4273" s="1">
        <v>40709</v>
      </c>
      <c r="J4273" t="s">
        <v>21859</v>
      </c>
      <c r="K4273" t="s">
        <v>263</v>
      </c>
      <c r="L4273" t="s">
        <v>21860</v>
      </c>
      <c r="M4273" t="s">
        <v>21861</v>
      </c>
      <c r="N4273" t="s">
        <v>21862</v>
      </c>
      <c r="O4273" t="s">
        <v>26</v>
      </c>
      <c r="P4273">
        <v>142.5</v>
      </c>
      <c r="Q4273">
        <v>118.75</v>
      </c>
      <c r="R4273">
        <v>95</v>
      </c>
      <c r="S4273">
        <v>142.5</v>
      </c>
      <c r="T4273" t="s">
        <v>21863</v>
      </c>
    </row>
    <row r="4274" spans="1:20">
      <c r="A4274">
        <v>3332344</v>
      </c>
      <c r="B4274" t="s">
        <v>21864</v>
      </c>
      <c r="C4274" t="str">
        <f>"9780771099052"</f>
        <v>9780771099052</v>
      </c>
      <c r="D4274" t="str">
        <f>"9780773583078"</f>
        <v>9780773583078</v>
      </c>
      <c r="E4274" t="s">
        <v>12863</v>
      </c>
      <c r="F4274" t="s">
        <v>12863</v>
      </c>
      <c r="G4274" s="1">
        <v>27774</v>
      </c>
      <c r="I4274" t="s">
        <v>16476</v>
      </c>
      <c r="J4274" t="s">
        <v>16938</v>
      </c>
      <c r="K4274" t="s">
        <v>305</v>
      </c>
      <c r="L4274" t="s">
        <v>21865</v>
      </c>
      <c r="M4274" t="s">
        <v>21866</v>
      </c>
      <c r="N4274" t="s">
        <v>21867</v>
      </c>
      <c r="O4274" t="s">
        <v>26</v>
      </c>
      <c r="P4274">
        <v>142.5</v>
      </c>
      <c r="Q4274">
        <v>118.75</v>
      </c>
      <c r="R4274">
        <v>95</v>
      </c>
      <c r="S4274">
        <v>142.5</v>
      </c>
      <c r="T4274" t="s">
        <v>21868</v>
      </c>
    </row>
    <row r="4275" spans="1:20">
      <c r="A4275">
        <v>3332345</v>
      </c>
      <c r="B4275" t="s">
        <v>21869</v>
      </c>
      <c r="C4275" t="str">
        <f>"9780773540118"</f>
        <v>9780773540118</v>
      </c>
      <c r="D4275" t="str">
        <f>"9780773586734"</f>
        <v>9780773586734</v>
      </c>
      <c r="E4275" t="s">
        <v>12863</v>
      </c>
      <c r="F4275" t="s">
        <v>12863</v>
      </c>
      <c r="G4275" s="1">
        <v>41773</v>
      </c>
      <c r="I4275" t="s">
        <v>13811</v>
      </c>
      <c r="J4275" t="s">
        <v>21870</v>
      </c>
      <c r="K4275" t="s">
        <v>6444</v>
      </c>
      <c r="L4275" t="s">
        <v>21871</v>
      </c>
      <c r="M4275">
        <v>327.7</v>
      </c>
      <c r="N4275" t="s">
        <v>21872</v>
      </c>
      <c r="O4275" t="s">
        <v>26</v>
      </c>
      <c r="P4275">
        <v>142.5</v>
      </c>
      <c r="Q4275">
        <v>118.75</v>
      </c>
      <c r="R4275">
        <v>95</v>
      </c>
      <c r="S4275">
        <v>142.5</v>
      </c>
      <c r="T4275" t="s">
        <v>21873</v>
      </c>
    </row>
    <row r="4276" spans="1:20">
      <c r="A4276">
        <v>3332346</v>
      </c>
      <c r="B4276" t="s">
        <v>21874</v>
      </c>
      <c r="C4276" t="str">
        <f>"9780773538436"</f>
        <v>9780773538436</v>
      </c>
      <c r="D4276" t="str">
        <f>"9780773585775"</f>
        <v>9780773585775</v>
      </c>
      <c r="E4276" t="s">
        <v>12863</v>
      </c>
      <c r="F4276" t="s">
        <v>12863</v>
      </c>
      <c r="G4276" s="1">
        <v>40639</v>
      </c>
      <c r="J4276" t="s">
        <v>19661</v>
      </c>
      <c r="K4276" t="s">
        <v>291</v>
      </c>
      <c r="L4276" t="s">
        <v>21875</v>
      </c>
      <c r="M4276" t="s">
        <v>21876</v>
      </c>
      <c r="N4276" t="s">
        <v>21877</v>
      </c>
      <c r="O4276" t="s">
        <v>26</v>
      </c>
      <c r="P4276">
        <v>59.93</v>
      </c>
      <c r="Q4276">
        <v>49.94</v>
      </c>
      <c r="R4276">
        <v>39.950000000000003</v>
      </c>
      <c r="S4276">
        <v>59.93</v>
      </c>
      <c r="T4276" t="s">
        <v>21878</v>
      </c>
    </row>
    <row r="4277" spans="1:20">
      <c r="A4277">
        <v>3332347</v>
      </c>
      <c r="B4277" t="s">
        <v>21879</v>
      </c>
      <c r="C4277" t="str">
        <f>"9780773537439"</f>
        <v>9780773537439</v>
      </c>
      <c r="D4277" t="str">
        <f>"9780773586581"</f>
        <v>9780773586581</v>
      </c>
      <c r="E4277" t="s">
        <v>12863</v>
      </c>
      <c r="F4277" t="s">
        <v>12863</v>
      </c>
      <c r="G4277" s="1">
        <v>40386</v>
      </c>
      <c r="J4277" t="s">
        <v>21880</v>
      </c>
      <c r="K4277" t="s">
        <v>278</v>
      </c>
      <c r="L4277" t="s">
        <v>21881</v>
      </c>
      <c r="M4277" t="s">
        <v>21882</v>
      </c>
      <c r="N4277" t="s">
        <v>21883</v>
      </c>
      <c r="O4277" t="s">
        <v>26</v>
      </c>
      <c r="P4277">
        <v>142.5</v>
      </c>
      <c r="Q4277">
        <v>118.75</v>
      </c>
      <c r="R4277">
        <v>95</v>
      </c>
      <c r="S4277">
        <v>142.5</v>
      </c>
      <c r="T4277" t="s">
        <v>21884</v>
      </c>
    </row>
    <row r="4278" spans="1:20">
      <c r="A4278">
        <v>3332348</v>
      </c>
      <c r="B4278" t="s">
        <v>21885</v>
      </c>
      <c r="C4278" t="str">
        <f>"9780773537125"</f>
        <v>9780773537125</v>
      </c>
      <c r="D4278" t="str">
        <f>"9780773585058"</f>
        <v>9780773585058</v>
      </c>
      <c r="E4278" t="s">
        <v>12863</v>
      </c>
      <c r="F4278" t="s">
        <v>12863</v>
      </c>
      <c r="G4278" s="1">
        <v>40203</v>
      </c>
      <c r="J4278" t="s">
        <v>21886</v>
      </c>
      <c r="K4278" t="s">
        <v>467</v>
      </c>
      <c r="L4278" t="s">
        <v>21887</v>
      </c>
      <c r="M4278">
        <v>320.60971000000001</v>
      </c>
      <c r="N4278" t="s">
        <v>21888</v>
      </c>
      <c r="O4278" t="s">
        <v>26</v>
      </c>
      <c r="P4278">
        <v>52.43</v>
      </c>
      <c r="Q4278">
        <v>43.69</v>
      </c>
      <c r="R4278">
        <v>34.950000000000003</v>
      </c>
      <c r="S4278">
        <v>52.43</v>
      </c>
      <c r="T4278" t="s">
        <v>21889</v>
      </c>
    </row>
    <row r="4279" spans="1:20">
      <c r="A4279">
        <v>3332349</v>
      </c>
      <c r="B4279" t="s">
        <v>21890</v>
      </c>
      <c r="C4279" t="str">
        <f>"9780773531710"</f>
        <v>9780773531710</v>
      </c>
      <c r="D4279" t="str">
        <f>"9780773586017"</f>
        <v>9780773586017</v>
      </c>
      <c r="E4279" t="s">
        <v>12863</v>
      </c>
      <c r="F4279" t="s">
        <v>12863</v>
      </c>
      <c r="G4279" s="1">
        <v>38981</v>
      </c>
      <c r="I4279" t="s">
        <v>21002</v>
      </c>
      <c r="J4279" t="s">
        <v>21891</v>
      </c>
      <c r="K4279" t="s">
        <v>1859</v>
      </c>
      <c r="L4279" t="s">
        <v>21892</v>
      </c>
      <c r="M4279">
        <v>192</v>
      </c>
      <c r="N4279" t="s">
        <v>21893</v>
      </c>
      <c r="O4279" t="s">
        <v>26</v>
      </c>
      <c r="P4279">
        <v>142.5</v>
      </c>
      <c r="Q4279">
        <v>118.75</v>
      </c>
      <c r="R4279">
        <v>95</v>
      </c>
      <c r="S4279">
        <v>142.5</v>
      </c>
      <c r="T4279" t="s">
        <v>21894</v>
      </c>
    </row>
    <row r="4280" spans="1:20">
      <c r="A4280">
        <v>3332350</v>
      </c>
      <c r="B4280" t="s">
        <v>21895</v>
      </c>
      <c r="C4280" t="str">
        <f>"9780773526792"</f>
        <v>9780773526792</v>
      </c>
      <c r="D4280" t="str">
        <f>"9780773582101"</f>
        <v>9780773582101</v>
      </c>
      <c r="E4280" t="s">
        <v>12863</v>
      </c>
      <c r="F4280" t="s">
        <v>12863</v>
      </c>
      <c r="G4280" s="1">
        <v>37887</v>
      </c>
      <c r="J4280" t="s">
        <v>4228</v>
      </c>
      <c r="K4280" t="s">
        <v>467</v>
      </c>
      <c r="L4280" t="s">
        <v>21896</v>
      </c>
      <c r="M4280">
        <v>323.01</v>
      </c>
      <c r="N4280" t="s">
        <v>21897</v>
      </c>
      <c r="O4280" t="s">
        <v>26</v>
      </c>
      <c r="P4280">
        <v>142.5</v>
      </c>
      <c r="Q4280">
        <v>118.75</v>
      </c>
      <c r="R4280">
        <v>95</v>
      </c>
      <c r="S4280">
        <v>142.5</v>
      </c>
      <c r="T4280" t="s">
        <v>21898</v>
      </c>
    </row>
    <row r="4281" spans="1:20">
      <c r="A4281">
        <v>3332351</v>
      </c>
      <c r="B4281" t="s">
        <v>21899</v>
      </c>
      <c r="C4281" t="str">
        <f>"9780773537606"</f>
        <v>9780773537606</v>
      </c>
      <c r="D4281" t="str">
        <f>"9780773581357"</f>
        <v>9780773581357</v>
      </c>
      <c r="E4281" t="s">
        <v>12863</v>
      </c>
      <c r="F4281" t="s">
        <v>12863</v>
      </c>
      <c r="G4281" s="1">
        <v>40501</v>
      </c>
      <c r="I4281" t="s">
        <v>14082</v>
      </c>
      <c r="J4281" t="s">
        <v>21900</v>
      </c>
      <c r="K4281" t="s">
        <v>525</v>
      </c>
      <c r="L4281" t="s">
        <v>21901</v>
      </c>
      <c r="M4281" t="s">
        <v>21902</v>
      </c>
      <c r="N4281" t="s">
        <v>21903</v>
      </c>
      <c r="O4281" t="s">
        <v>26</v>
      </c>
      <c r="P4281">
        <v>142.5</v>
      </c>
      <c r="Q4281">
        <v>118.75</v>
      </c>
      <c r="R4281">
        <v>95</v>
      </c>
      <c r="S4281">
        <v>142.5</v>
      </c>
      <c r="T4281" t="s">
        <v>21904</v>
      </c>
    </row>
    <row r="4282" spans="1:20">
      <c r="A4282">
        <v>3332352</v>
      </c>
      <c r="B4282" t="s">
        <v>21905</v>
      </c>
      <c r="C4282" t="str">
        <f>"9780773539099"</f>
        <v>9780773539099</v>
      </c>
      <c r="D4282" t="str">
        <f>"9780773586079"</f>
        <v>9780773586079</v>
      </c>
      <c r="E4282" t="s">
        <v>12863</v>
      </c>
      <c r="F4282" t="s">
        <v>12863</v>
      </c>
      <c r="G4282" s="1">
        <v>40787</v>
      </c>
      <c r="J4282" t="s">
        <v>21906</v>
      </c>
      <c r="K4282" t="s">
        <v>21907</v>
      </c>
      <c r="L4282" t="s">
        <v>21908</v>
      </c>
      <c r="M4282">
        <v>28</v>
      </c>
      <c r="N4282" t="s">
        <v>21909</v>
      </c>
      <c r="O4282" t="s">
        <v>26</v>
      </c>
      <c r="P4282">
        <v>52.43</v>
      </c>
      <c r="Q4282">
        <v>43.69</v>
      </c>
      <c r="R4282">
        <v>34.950000000000003</v>
      </c>
      <c r="S4282">
        <v>52.43</v>
      </c>
      <c r="T4282" t="s">
        <v>21910</v>
      </c>
    </row>
    <row r="4283" spans="1:20">
      <c r="A4283">
        <v>3332353</v>
      </c>
      <c r="B4283" t="s">
        <v>21911</v>
      </c>
      <c r="C4283" t="str">
        <f>"9780773519015"</f>
        <v>9780773519015</v>
      </c>
      <c r="D4283" t="str">
        <f>"9780773584808"</f>
        <v>9780773584808</v>
      </c>
      <c r="E4283" t="s">
        <v>12863</v>
      </c>
      <c r="F4283" t="s">
        <v>12863</v>
      </c>
      <c r="G4283" s="1">
        <v>36249</v>
      </c>
      <c r="I4283" t="s">
        <v>19169</v>
      </c>
      <c r="J4283" t="s">
        <v>14534</v>
      </c>
      <c r="K4283" t="s">
        <v>1464</v>
      </c>
      <c r="L4283" t="s">
        <v>21912</v>
      </c>
      <c r="M4283" t="s">
        <v>1497</v>
      </c>
      <c r="N4283" t="s">
        <v>21913</v>
      </c>
      <c r="O4283" t="s">
        <v>26</v>
      </c>
      <c r="P4283">
        <v>25.43</v>
      </c>
      <c r="Q4283">
        <v>21.19</v>
      </c>
      <c r="R4283">
        <v>16.95</v>
      </c>
      <c r="S4283">
        <v>25.43</v>
      </c>
      <c r="T4283" t="s">
        <v>21914</v>
      </c>
    </row>
    <row r="4284" spans="1:20">
      <c r="A4284">
        <v>3332354</v>
      </c>
      <c r="B4284" t="s">
        <v>21915</v>
      </c>
      <c r="C4284" t="str">
        <f>"9780773530027"</f>
        <v>9780773530027</v>
      </c>
      <c r="D4284" t="str">
        <f>"9780773582163"</f>
        <v>9780773582163</v>
      </c>
      <c r="E4284" t="s">
        <v>12863</v>
      </c>
      <c r="F4284" t="s">
        <v>12863</v>
      </c>
      <c r="G4284" s="1">
        <v>38667</v>
      </c>
      <c r="I4284" t="s">
        <v>13270</v>
      </c>
      <c r="J4284" t="s">
        <v>21916</v>
      </c>
      <c r="K4284" t="s">
        <v>291</v>
      </c>
      <c r="L4284" t="s">
        <v>21917</v>
      </c>
      <c r="M4284">
        <v>971.06399999999996</v>
      </c>
      <c r="N4284" t="s">
        <v>21918</v>
      </c>
      <c r="O4284" t="s">
        <v>26</v>
      </c>
      <c r="P4284">
        <v>29.93</v>
      </c>
      <c r="Q4284">
        <v>24.94</v>
      </c>
      <c r="R4284">
        <v>19.95</v>
      </c>
      <c r="S4284">
        <v>29.93</v>
      </c>
      <c r="T4284" t="s">
        <v>21919</v>
      </c>
    </row>
    <row r="4285" spans="1:20">
      <c r="A4285">
        <v>3332355</v>
      </c>
      <c r="B4285" t="s">
        <v>21920</v>
      </c>
      <c r="C4285" t="str">
        <f>"9780773538245"</f>
        <v>9780773538245</v>
      </c>
      <c r="D4285" t="str">
        <f>"9780773585614"</f>
        <v>9780773585614</v>
      </c>
      <c r="E4285" t="s">
        <v>12863</v>
      </c>
      <c r="F4285" t="s">
        <v>12863</v>
      </c>
      <c r="G4285" s="1">
        <v>40683</v>
      </c>
      <c r="J4285" t="s">
        <v>15480</v>
      </c>
      <c r="K4285" t="s">
        <v>21921</v>
      </c>
      <c r="L4285" t="s">
        <v>21922</v>
      </c>
      <c r="M4285" t="s">
        <v>21923</v>
      </c>
      <c r="N4285" t="s">
        <v>21924</v>
      </c>
      <c r="O4285" t="s">
        <v>26</v>
      </c>
      <c r="P4285">
        <v>89.93</v>
      </c>
      <c r="Q4285">
        <v>74.94</v>
      </c>
      <c r="R4285">
        <v>59.95</v>
      </c>
      <c r="S4285">
        <v>89.93</v>
      </c>
      <c r="T4285" t="s">
        <v>21925</v>
      </c>
    </row>
    <row r="4286" spans="1:20">
      <c r="A4286">
        <v>3332356</v>
      </c>
      <c r="B4286" t="s">
        <v>21926</v>
      </c>
      <c r="C4286" t="str">
        <f>"9780773537101"</f>
        <v>9780773537101</v>
      </c>
      <c r="D4286" t="str">
        <f>"9780773583337"</f>
        <v>9780773583337</v>
      </c>
      <c r="E4286" t="s">
        <v>12863</v>
      </c>
      <c r="F4286" t="s">
        <v>12863</v>
      </c>
      <c r="G4286" s="1">
        <v>40284</v>
      </c>
      <c r="J4286" t="s">
        <v>21927</v>
      </c>
      <c r="K4286" t="s">
        <v>263</v>
      </c>
      <c r="L4286" t="s">
        <v>21928</v>
      </c>
      <c r="M4286" t="s">
        <v>21929</v>
      </c>
      <c r="N4286" t="s">
        <v>21930</v>
      </c>
      <c r="O4286" t="s">
        <v>26</v>
      </c>
      <c r="P4286">
        <v>74.930000000000007</v>
      </c>
      <c r="Q4286">
        <v>62.44</v>
      </c>
      <c r="R4286">
        <v>49.95</v>
      </c>
      <c r="S4286">
        <v>74.930000000000007</v>
      </c>
      <c r="T4286" t="s">
        <v>21931</v>
      </c>
    </row>
    <row r="4287" spans="1:20">
      <c r="A4287">
        <v>3332357</v>
      </c>
      <c r="B4287" t="s">
        <v>21932</v>
      </c>
      <c r="C4287" t="str">
        <f>"9780886293291"</f>
        <v>9780886293291</v>
      </c>
      <c r="D4287" t="str">
        <f>"9780773583184"</f>
        <v>9780773583184</v>
      </c>
      <c r="E4287" t="s">
        <v>12863</v>
      </c>
      <c r="F4287" t="s">
        <v>12863</v>
      </c>
      <c r="G4287" s="1">
        <v>41773</v>
      </c>
      <c r="J4287" t="s">
        <v>21933</v>
      </c>
      <c r="K4287" t="s">
        <v>21934</v>
      </c>
      <c r="L4287" t="s">
        <v>21935</v>
      </c>
      <c r="M4287">
        <v>808</v>
      </c>
      <c r="N4287" t="s">
        <v>21936</v>
      </c>
      <c r="O4287" t="s">
        <v>26</v>
      </c>
      <c r="P4287">
        <v>29.93</v>
      </c>
      <c r="Q4287">
        <v>24.94</v>
      </c>
      <c r="R4287">
        <v>19.95</v>
      </c>
      <c r="S4287">
        <v>29.93</v>
      </c>
      <c r="T4287" t="s">
        <v>21937</v>
      </c>
    </row>
    <row r="4288" spans="1:20">
      <c r="A4288">
        <v>3332358</v>
      </c>
      <c r="B4288" t="s">
        <v>21938</v>
      </c>
      <c r="C4288" t="str">
        <f>"9780773502161"</f>
        <v>9780773502161</v>
      </c>
      <c r="D4288" t="str">
        <f>"9780773583399"</f>
        <v>9780773583399</v>
      </c>
      <c r="E4288" t="s">
        <v>12863</v>
      </c>
      <c r="F4288" t="s">
        <v>12863</v>
      </c>
      <c r="G4288" s="1">
        <v>27515</v>
      </c>
      <c r="J4288" t="s">
        <v>21939</v>
      </c>
      <c r="K4288" t="s">
        <v>6359</v>
      </c>
      <c r="L4288" t="s">
        <v>21940</v>
      </c>
      <c r="M4288" t="s">
        <v>21941</v>
      </c>
      <c r="N4288" t="s">
        <v>21942</v>
      </c>
      <c r="O4288" t="s">
        <v>26</v>
      </c>
      <c r="P4288">
        <v>142.5</v>
      </c>
      <c r="Q4288">
        <v>118.75</v>
      </c>
      <c r="R4288">
        <v>95</v>
      </c>
      <c r="S4288">
        <v>142.5</v>
      </c>
      <c r="T4288" t="s">
        <v>21943</v>
      </c>
    </row>
    <row r="4289" spans="1:20">
      <c r="A4289">
        <v>3332359</v>
      </c>
      <c r="B4289" t="s">
        <v>21944</v>
      </c>
      <c r="C4289" t="str">
        <f>"9780773537989"</f>
        <v>9780773537989</v>
      </c>
      <c r="D4289" t="str">
        <f>"9780773586635"</f>
        <v>9780773586635</v>
      </c>
      <c r="E4289" t="s">
        <v>12863</v>
      </c>
      <c r="F4289" t="s">
        <v>12863</v>
      </c>
      <c r="G4289" s="1">
        <v>40681</v>
      </c>
      <c r="J4289" t="s">
        <v>21945</v>
      </c>
      <c r="K4289" t="s">
        <v>1859</v>
      </c>
      <c r="L4289" t="s">
        <v>21946</v>
      </c>
      <c r="M4289">
        <v>141</v>
      </c>
      <c r="N4289" t="s">
        <v>21947</v>
      </c>
      <c r="O4289" t="s">
        <v>26</v>
      </c>
      <c r="P4289">
        <v>142.5</v>
      </c>
      <c r="Q4289">
        <v>118.75</v>
      </c>
      <c r="R4289">
        <v>95</v>
      </c>
      <c r="S4289">
        <v>142.5</v>
      </c>
      <c r="T4289" t="s">
        <v>21948</v>
      </c>
    </row>
    <row r="4290" spans="1:20">
      <c r="A4290">
        <v>3332360</v>
      </c>
      <c r="B4290" t="s">
        <v>21949</v>
      </c>
      <c r="C4290" t="str">
        <f>"9780773516304"</f>
        <v>9780773516304</v>
      </c>
      <c r="D4290" t="str">
        <f>"9780773580442"</f>
        <v>9780773580442</v>
      </c>
      <c r="E4290" t="s">
        <v>12863</v>
      </c>
      <c r="F4290" t="s">
        <v>12863</v>
      </c>
      <c r="G4290" s="1">
        <v>35726</v>
      </c>
      <c r="J4290" t="s">
        <v>14307</v>
      </c>
      <c r="K4290" t="s">
        <v>291</v>
      </c>
      <c r="L4290" t="s">
        <v>21950</v>
      </c>
      <c r="M4290" t="s">
        <v>21951</v>
      </c>
      <c r="N4290" t="s">
        <v>21952</v>
      </c>
      <c r="O4290" t="s">
        <v>26</v>
      </c>
      <c r="P4290">
        <v>37.43</v>
      </c>
      <c r="Q4290">
        <v>31.19</v>
      </c>
      <c r="R4290">
        <v>24.95</v>
      </c>
      <c r="S4290">
        <v>37.43</v>
      </c>
      <c r="T4290" t="s">
        <v>21953</v>
      </c>
    </row>
    <row r="4291" spans="1:20">
      <c r="A4291">
        <v>3332361</v>
      </c>
      <c r="B4291" t="s">
        <v>21954</v>
      </c>
      <c r="C4291" t="str">
        <f>"9780773524767"</f>
        <v>9780773524767</v>
      </c>
      <c r="D4291" t="str">
        <f>"9780773581975"</f>
        <v>9780773581975</v>
      </c>
      <c r="E4291" t="s">
        <v>12863</v>
      </c>
      <c r="F4291" t="s">
        <v>12863</v>
      </c>
      <c r="G4291" s="1">
        <v>37586</v>
      </c>
      <c r="I4291" t="s">
        <v>21018</v>
      </c>
      <c r="J4291" t="s">
        <v>21955</v>
      </c>
      <c r="K4291" t="s">
        <v>1859</v>
      </c>
      <c r="L4291" t="s">
        <v>21956</v>
      </c>
      <c r="M4291">
        <v>149.72999999999999</v>
      </c>
      <c r="N4291" t="s">
        <v>21957</v>
      </c>
      <c r="O4291" t="s">
        <v>26</v>
      </c>
      <c r="P4291">
        <v>44.93</v>
      </c>
      <c r="Q4291">
        <v>37.44</v>
      </c>
      <c r="R4291">
        <v>29.95</v>
      </c>
      <c r="S4291">
        <v>44.93</v>
      </c>
      <c r="T4291" t="s">
        <v>21958</v>
      </c>
    </row>
    <row r="4292" spans="1:20">
      <c r="A4292">
        <v>3332362</v>
      </c>
      <c r="B4292" t="s">
        <v>21959</v>
      </c>
      <c r="C4292" t="str">
        <f>"9780773526778"</f>
        <v>9780773526778</v>
      </c>
      <c r="D4292" t="str">
        <f>"9780773583740"</f>
        <v>9780773583740</v>
      </c>
      <c r="E4292" t="s">
        <v>12863</v>
      </c>
      <c r="F4292" t="s">
        <v>12863</v>
      </c>
      <c r="G4292" s="1">
        <v>37921</v>
      </c>
      <c r="I4292" t="s">
        <v>21018</v>
      </c>
      <c r="J4292" t="s">
        <v>21960</v>
      </c>
      <c r="K4292" t="s">
        <v>1859</v>
      </c>
      <c r="L4292" t="s">
        <v>21961</v>
      </c>
      <c r="M4292">
        <v>165</v>
      </c>
      <c r="N4292" t="s">
        <v>21962</v>
      </c>
      <c r="O4292" t="s">
        <v>26</v>
      </c>
      <c r="P4292">
        <v>142.5</v>
      </c>
      <c r="Q4292">
        <v>118.75</v>
      </c>
      <c r="R4292">
        <v>95</v>
      </c>
      <c r="S4292">
        <v>142.5</v>
      </c>
      <c r="T4292" t="s">
        <v>21963</v>
      </c>
    </row>
    <row r="4293" spans="1:20">
      <c r="A4293">
        <v>3332363</v>
      </c>
      <c r="B4293" t="s">
        <v>21964</v>
      </c>
      <c r="C4293" t="str">
        <f>"9780773524699"</f>
        <v>9780773524699</v>
      </c>
      <c r="D4293" t="str">
        <f>"9780773582217"</f>
        <v>9780773582217</v>
      </c>
      <c r="E4293" t="s">
        <v>12863</v>
      </c>
      <c r="F4293" t="s">
        <v>12863</v>
      </c>
      <c r="G4293" s="1">
        <v>37727</v>
      </c>
      <c r="I4293" t="s">
        <v>21583</v>
      </c>
      <c r="J4293" t="s">
        <v>21965</v>
      </c>
      <c r="K4293" t="s">
        <v>1859</v>
      </c>
      <c r="L4293" t="s">
        <v>21966</v>
      </c>
      <c r="M4293">
        <v>193</v>
      </c>
      <c r="N4293" t="s">
        <v>21967</v>
      </c>
      <c r="O4293" t="s">
        <v>26</v>
      </c>
      <c r="P4293">
        <v>44.93</v>
      </c>
      <c r="Q4293">
        <v>37.44</v>
      </c>
      <c r="R4293">
        <v>29.95</v>
      </c>
      <c r="S4293">
        <v>44.93</v>
      </c>
      <c r="T4293" t="s">
        <v>21968</v>
      </c>
    </row>
    <row r="4294" spans="1:20">
      <c r="A4294">
        <v>3332364</v>
      </c>
      <c r="B4294" t="s">
        <v>21969</v>
      </c>
      <c r="C4294" t="str">
        <f>"9780773524675"</f>
        <v>9780773524675</v>
      </c>
      <c r="D4294" t="str">
        <f>"9780773583955"</f>
        <v>9780773583955</v>
      </c>
      <c r="E4294" t="s">
        <v>12863</v>
      </c>
      <c r="F4294" t="s">
        <v>12863</v>
      </c>
      <c r="G4294" s="1">
        <v>37693</v>
      </c>
      <c r="I4294" t="s">
        <v>21018</v>
      </c>
      <c r="K4294" t="s">
        <v>1859</v>
      </c>
      <c r="L4294" t="s">
        <v>21970</v>
      </c>
      <c r="M4294">
        <v>122</v>
      </c>
      <c r="N4294" t="s">
        <v>21971</v>
      </c>
      <c r="O4294" t="s">
        <v>26</v>
      </c>
      <c r="P4294">
        <v>142.5</v>
      </c>
      <c r="Q4294">
        <v>118.75</v>
      </c>
      <c r="R4294">
        <v>95</v>
      </c>
      <c r="S4294">
        <v>142.5</v>
      </c>
      <c r="T4294" t="s">
        <v>21972</v>
      </c>
    </row>
    <row r="4295" spans="1:20">
      <c r="A4295">
        <v>3332365</v>
      </c>
      <c r="B4295" t="s">
        <v>21973</v>
      </c>
      <c r="C4295" t="str">
        <f>"9780773538610"</f>
        <v>9780773538610</v>
      </c>
      <c r="D4295" t="str">
        <f>"9780773585720"</f>
        <v>9780773585720</v>
      </c>
      <c r="E4295" t="s">
        <v>12863</v>
      </c>
      <c r="F4295" t="s">
        <v>12863</v>
      </c>
      <c r="G4295" s="1">
        <v>40786</v>
      </c>
      <c r="I4295" t="s">
        <v>19859</v>
      </c>
      <c r="J4295" t="s">
        <v>21974</v>
      </c>
      <c r="K4295" t="s">
        <v>1471</v>
      </c>
      <c r="L4295" t="s">
        <v>21975</v>
      </c>
      <c r="M4295">
        <v>770.971</v>
      </c>
      <c r="N4295" t="s">
        <v>21976</v>
      </c>
      <c r="O4295" t="s">
        <v>26</v>
      </c>
      <c r="P4295">
        <v>74.930000000000007</v>
      </c>
      <c r="Q4295">
        <v>62.44</v>
      </c>
      <c r="R4295">
        <v>49.95</v>
      </c>
      <c r="S4295">
        <v>74.930000000000007</v>
      </c>
      <c r="T4295" t="s">
        <v>21977</v>
      </c>
    </row>
    <row r="4296" spans="1:20">
      <c r="A4296">
        <v>3332366</v>
      </c>
      <c r="B4296" t="s">
        <v>21978</v>
      </c>
      <c r="C4296" t="str">
        <f>"9780773523838"</f>
        <v>9780773523838</v>
      </c>
      <c r="D4296" t="str">
        <f>"9780773583238"</f>
        <v>9780773583238</v>
      </c>
      <c r="E4296" t="s">
        <v>12863</v>
      </c>
      <c r="F4296" t="s">
        <v>12863</v>
      </c>
      <c r="G4296" s="1">
        <v>37335</v>
      </c>
      <c r="I4296" t="s">
        <v>21583</v>
      </c>
      <c r="J4296" t="s">
        <v>21979</v>
      </c>
      <c r="K4296" t="s">
        <v>1859</v>
      </c>
      <c r="L4296" t="s">
        <v>21980</v>
      </c>
      <c r="M4296">
        <v>194</v>
      </c>
      <c r="N4296" t="s">
        <v>21981</v>
      </c>
      <c r="O4296" t="s">
        <v>26</v>
      </c>
      <c r="P4296">
        <v>44.93</v>
      </c>
      <c r="Q4296">
        <v>37.44</v>
      </c>
      <c r="R4296">
        <v>29.95</v>
      </c>
      <c r="S4296">
        <v>44.93</v>
      </c>
      <c r="T4296" t="s">
        <v>21982</v>
      </c>
    </row>
    <row r="4297" spans="1:20">
      <c r="A4297">
        <v>3332367</v>
      </c>
      <c r="B4297" t="s">
        <v>21983</v>
      </c>
      <c r="C4297" t="str">
        <f>"9780773538658"</f>
        <v>9780773538658</v>
      </c>
      <c r="D4297" t="str">
        <f>"9780773585935"</f>
        <v>9780773585935</v>
      </c>
      <c r="E4297" t="s">
        <v>12863</v>
      </c>
      <c r="F4297" t="s">
        <v>12863</v>
      </c>
      <c r="G4297" s="1">
        <v>40744</v>
      </c>
      <c r="J4297" t="s">
        <v>21984</v>
      </c>
      <c r="K4297" t="s">
        <v>263</v>
      </c>
      <c r="L4297" t="s">
        <v>21985</v>
      </c>
      <c r="M4297" t="s">
        <v>21986</v>
      </c>
      <c r="N4297" t="s">
        <v>21987</v>
      </c>
      <c r="O4297" t="s">
        <v>26</v>
      </c>
      <c r="P4297">
        <v>127.5</v>
      </c>
      <c r="Q4297">
        <v>106.25</v>
      </c>
      <c r="R4297">
        <v>85</v>
      </c>
      <c r="S4297">
        <v>127.5</v>
      </c>
      <c r="T4297" t="s">
        <v>21988</v>
      </c>
    </row>
    <row r="4298" spans="1:20">
      <c r="A4298">
        <v>3332368</v>
      </c>
      <c r="B4298" t="s">
        <v>21989</v>
      </c>
      <c r="C4298" t="str">
        <f>"9780773501423"</f>
        <v>9780773501423</v>
      </c>
      <c r="D4298" t="str">
        <f>"9780773584044"</f>
        <v>9780773584044</v>
      </c>
      <c r="E4298" t="s">
        <v>12863</v>
      </c>
      <c r="F4298" t="s">
        <v>12863</v>
      </c>
      <c r="G4298" s="1">
        <v>26785</v>
      </c>
      <c r="J4298" t="s">
        <v>15317</v>
      </c>
      <c r="K4298" t="s">
        <v>291</v>
      </c>
      <c r="L4298" t="s">
        <v>21990</v>
      </c>
      <c r="M4298" t="s">
        <v>21991</v>
      </c>
      <c r="N4298" t="s">
        <v>21992</v>
      </c>
      <c r="O4298" t="s">
        <v>26</v>
      </c>
      <c r="P4298">
        <v>142.5</v>
      </c>
      <c r="Q4298">
        <v>118.75</v>
      </c>
      <c r="R4298">
        <v>95</v>
      </c>
      <c r="S4298">
        <v>142.5</v>
      </c>
      <c r="T4298" t="s">
        <v>21993</v>
      </c>
    </row>
    <row r="4299" spans="1:20">
      <c r="A4299">
        <v>3332369</v>
      </c>
      <c r="B4299" t="s">
        <v>21994</v>
      </c>
      <c r="C4299" t="str">
        <f>"9780773538184"</f>
        <v>9780773538184</v>
      </c>
      <c r="D4299" t="str">
        <f>"9780773585782"</f>
        <v>9780773585782</v>
      </c>
      <c r="E4299" t="s">
        <v>12863</v>
      </c>
      <c r="F4299" t="s">
        <v>12863</v>
      </c>
      <c r="G4299" s="1">
        <v>40616</v>
      </c>
      <c r="J4299" t="s">
        <v>21995</v>
      </c>
      <c r="K4299" t="s">
        <v>1464</v>
      </c>
      <c r="L4299" t="s">
        <v>21996</v>
      </c>
      <c r="M4299">
        <v>811.54</v>
      </c>
      <c r="N4299" t="s">
        <v>21997</v>
      </c>
      <c r="O4299" t="s">
        <v>26</v>
      </c>
      <c r="P4299">
        <v>59.93</v>
      </c>
      <c r="Q4299">
        <v>49.94</v>
      </c>
      <c r="R4299">
        <v>39.950000000000003</v>
      </c>
      <c r="S4299">
        <v>59.93</v>
      </c>
      <c r="T4299" t="s">
        <v>21998</v>
      </c>
    </row>
    <row r="4300" spans="1:20">
      <c r="A4300">
        <v>3332370</v>
      </c>
      <c r="B4300" t="s">
        <v>21999</v>
      </c>
      <c r="C4300" t="str">
        <f>"9780773536784"</f>
        <v>9780773536784</v>
      </c>
      <c r="D4300" t="str">
        <f>"9780773585218"</f>
        <v>9780773585218</v>
      </c>
      <c r="E4300" t="s">
        <v>12863</v>
      </c>
      <c r="F4300" t="s">
        <v>12863</v>
      </c>
      <c r="G4300" s="1">
        <v>40263</v>
      </c>
      <c r="J4300" t="s">
        <v>20207</v>
      </c>
      <c r="K4300" t="s">
        <v>20208</v>
      </c>
      <c r="L4300" t="s">
        <v>22000</v>
      </c>
      <c r="M4300" t="s">
        <v>22001</v>
      </c>
      <c r="N4300" t="s">
        <v>22002</v>
      </c>
      <c r="O4300" t="s">
        <v>26</v>
      </c>
      <c r="P4300">
        <v>142.5</v>
      </c>
      <c r="Q4300">
        <v>118.75</v>
      </c>
      <c r="R4300">
        <v>95</v>
      </c>
      <c r="S4300">
        <v>142.5</v>
      </c>
      <c r="T4300" t="s">
        <v>22003</v>
      </c>
    </row>
    <row r="4301" spans="1:20">
      <c r="A4301">
        <v>3332371</v>
      </c>
      <c r="B4301" t="s">
        <v>22004</v>
      </c>
      <c r="C4301" t="str">
        <f>"9780773538467"</f>
        <v>9780773538467</v>
      </c>
      <c r="D4301" t="str">
        <f>"9780773585997"</f>
        <v>9780773585997</v>
      </c>
      <c r="E4301" t="s">
        <v>12863</v>
      </c>
      <c r="F4301" t="s">
        <v>12863</v>
      </c>
      <c r="G4301" s="1">
        <v>40608</v>
      </c>
      <c r="I4301" t="s">
        <v>19169</v>
      </c>
      <c r="J4301" t="s">
        <v>22005</v>
      </c>
      <c r="K4301" t="s">
        <v>1464</v>
      </c>
      <c r="L4301" t="s">
        <v>22006</v>
      </c>
      <c r="M4301" t="s">
        <v>2738</v>
      </c>
      <c r="N4301" t="s">
        <v>22007</v>
      </c>
      <c r="O4301" t="s">
        <v>26</v>
      </c>
      <c r="P4301">
        <v>25.43</v>
      </c>
      <c r="Q4301">
        <v>21.19</v>
      </c>
      <c r="R4301">
        <v>16.95</v>
      </c>
      <c r="S4301">
        <v>25.43</v>
      </c>
      <c r="T4301" t="s">
        <v>22008</v>
      </c>
    </row>
    <row r="4302" spans="1:20">
      <c r="A4302">
        <v>3332372</v>
      </c>
      <c r="B4302" t="s">
        <v>22009</v>
      </c>
      <c r="C4302" t="str">
        <f>"9780773531680"</f>
        <v>9780773531680</v>
      </c>
      <c r="D4302" t="str">
        <f>"9780773586024"</f>
        <v>9780773586024</v>
      </c>
      <c r="E4302" t="s">
        <v>12863</v>
      </c>
      <c r="F4302" t="s">
        <v>12863</v>
      </c>
      <c r="G4302" s="1">
        <v>38899</v>
      </c>
      <c r="I4302" t="s">
        <v>21583</v>
      </c>
      <c r="J4302" t="s">
        <v>22010</v>
      </c>
      <c r="K4302" t="s">
        <v>1859</v>
      </c>
      <c r="L4302" t="s">
        <v>22011</v>
      </c>
      <c r="M4302">
        <v>194</v>
      </c>
      <c r="N4302" t="s">
        <v>22012</v>
      </c>
      <c r="O4302" t="s">
        <v>26</v>
      </c>
      <c r="P4302">
        <v>142.5</v>
      </c>
      <c r="Q4302">
        <v>118.75</v>
      </c>
      <c r="R4302">
        <v>95</v>
      </c>
      <c r="S4302">
        <v>142.5</v>
      </c>
      <c r="T4302" t="s">
        <v>22013</v>
      </c>
    </row>
    <row r="4303" spans="1:20">
      <c r="A4303">
        <v>3332374</v>
      </c>
      <c r="B4303" t="s">
        <v>22014</v>
      </c>
      <c r="C4303" t="str">
        <f>"9780886291105"</f>
        <v>9780886291105</v>
      </c>
      <c r="D4303" t="str">
        <f>"9780773581517"</f>
        <v>9780773581517</v>
      </c>
      <c r="E4303" t="s">
        <v>12863</v>
      </c>
      <c r="F4303" t="s">
        <v>12863</v>
      </c>
      <c r="G4303" s="1">
        <v>33222</v>
      </c>
      <c r="I4303" t="s">
        <v>16551</v>
      </c>
      <c r="J4303" t="s">
        <v>22015</v>
      </c>
      <c r="K4303" t="s">
        <v>467</v>
      </c>
      <c r="L4303" t="s">
        <v>22016</v>
      </c>
      <c r="M4303" t="s">
        <v>22017</v>
      </c>
      <c r="N4303" t="s">
        <v>22018</v>
      </c>
      <c r="O4303" t="s">
        <v>26</v>
      </c>
      <c r="P4303">
        <v>142.5</v>
      </c>
      <c r="Q4303">
        <v>118.75</v>
      </c>
      <c r="R4303">
        <v>95</v>
      </c>
      <c r="S4303">
        <v>142.5</v>
      </c>
      <c r="T4303" t="s">
        <v>22019</v>
      </c>
    </row>
    <row r="4304" spans="1:20">
      <c r="A4304">
        <v>3332375</v>
      </c>
      <c r="B4304" t="s">
        <v>22020</v>
      </c>
      <c r="C4304" t="str">
        <f>"9780773516205"</f>
        <v>9780773516205</v>
      </c>
      <c r="D4304" t="str">
        <f>"9780773580558"</f>
        <v>9780773580558</v>
      </c>
      <c r="E4304" t="s">
        <v>12863</v>
      </c>
      <c r="F4304" t="s">
        <v>12863</v>
      </c>
      <c r="G4304" s="1">
        <v>35582</v>
      </c>
      <c r="I4304" t="s">
        <v>20996</v>
      </c>
      <c r="J4304" t="s">
        <v>20997</v>
      </c>
      <c r="K4304" t="s">
        <v>4081</v>
      </c>
      <c r="L4304" t="s">
        <v>22021</v>
      </c>
      <c r="M4304">
        <v>491</v>
      </c>
      <c r="N4304" t="s">
        <v>20999</v>
      </c>
      <c r="O4304" t="s">
        <v>26</v>
      </c>
      <c r="P4304">
        <v>22.43</v>
      </c>
      <c r="Q4304">
        <v>18.690000000000001</v>
      </c>
      <c r="R4304">
        <v>14.95</v>
      </c>
      <c r="S4304">
        <v>22.43</v>
      </c>
      <c r="T4304" t="s">
        <v>22022</v>
      </c>
    </row>
    <row r="4305" spans="1:20">
      <c r="A4305">
        <v>3332376</v>
      </c>
      <c r="B4305" t="s">
        <v>22023</v>
      </c>
      <c r="C4305" t="str">
        <f>"9780773538818"</f>
        <v>9780773538818</v>
      </c>
      <c r="D4305" t="str">
        <f>"9780773586086"</f>
        <v>9780773586086</v>
      </c>
      <c r="E4305" t="s">
        <v>12863</v>
      </c>
      <c r="F4305" t="s">
        <v>12863</v>
      </c>
      <c r="G4305" s="1">
        <v>40749</v>
      </c>
      <c r="J4305" t="s">
        <v>22024</v>
      </c>
      <c r="K4305" t="s">
        <v>1550</v>
      </c>
      <c r="L4305" t="s">
        <v>22025</v>
      </c>
      <c r="M4305" t="s">
        <v>22026</v>
      </c>
      <c r="N4305" t="s">
        <v>22027</v>
      </c>
      <c r="O4305" t="s">
        <v>26</v>
      </c>
      <c r="P4305">
        <v>142.5</v>
      </c>
      <c r="Q4305">
        <v>118.75</v>
      </c>
      <c r="R4305">
        <v>95</v>
      </c>
      <c r="S4305">
        <v>142.5</v>
      </c>
      <c r="T4305" t="s">
        <v>22028</v>
      </c>
    </row>
    <row r="4306" spans="1:20">
      <c r="A4306">
        <v>3332377</v>
      </c>
      <c r="B4306" t="s">
        <v>22029</v>
      </c>
      <c r="C4306" t="str">
        <f>"9780773530508"</f>
        <v>9780773530508</v>
      </c>
      <c r="D4306" t="str">
        <f>"9780773581579"</f>
        <v>9780773581579</v>
      </c>
      <c r="E4306" t="s">
        <v>12863</v>
      </c>
      <c r="F4306" t="s">
        <v>12863</v>
      </c>
      <c r="G4306" s="1">
        <v>38684</v>
      </c>
      <c r="I4306" t="s">
        <v>21002</v>
      </c>
      <c r="J4306" t="s">
        <v>22030</v>
      </c>
      <c r="K4306" t="s">
        <v>1859</v>
      </c>
      <c r="L4306" t="s">
        <v>22031</v>
      </c>
      <c r="M4306">
        <v>191</v>
      </c>
      <c r="N4306" t="s">
        <v>22032</v>
      </c>
      <c r="O4306" t="s">
        <v>26</v>
      </c>
      <c r="P4306">
        <v>44.93</v>
      </c>
      <c r="Q4306">
        <v>37.44</v>
      </c>
      <c r="R4306">
        <v>29.95</v>
      </c>
      <c r="S4306">
        <v>44.93</v>
      </c>
      <c r="T4306" t="s">
        <v>22033</v>
      </c>
    </row>
    <row r="4307" spans="1:20">
      <c r="A4307">
        <v>3332378</v>
      </c>
      <c r="B4307" t="s">
        <v>22034</v>
      </c>
      <c r="C4307" t="str">
        <f>"9780886291280"</f>
        <v>9780886291280</v>
      </c>
      <c r="D4307" t="str">
        <f>"9780773582385"</f>
        <v>9780773582385</v>
      </c>
      <c r="E4307" t="s">
        <v>12863</v>
      </c>
      <c r="F4307" t="s">
        <v>12863</v>
      </c>
      <c r="G4307" s="1">
        <v>33222</v>
      </c>
      <c r="I4307" t="s">
        <v>13270</v>
      </c>
      <c r="J4307" t="s">
        <v>22035</v>
      </c>
      <c r="K4307" t="s">
        <v>416</v>
      </c>
      <c r="L4307" t="s">
        <v>22036</v>
      </c>
      <c r="M4307">
        <v>338.971</v>
      </c>
      <c r="N4307" t="s">
        <v>22037</v>
      </c>
      <c r="O4307" t="s">
        <v>26</v>
      </c>
      <c r="P4307">
        <v>142.5</v>
      </c>
      <c r="Q4307">
        <v>118.75</v>
      </c>
      <c r="R4307">
        <v>95</v>
      </c>
      <c r="S4307">
        <v>142.5</v>
      </c>
      <c r="T4307" t="s">
        <v>22038</v>
      </c>
    </row>
    <row r="4308" spans="1:20">
      <c r="A4308">
        <v>3332379</v>
      </c>
      <c r="B4308" t="s">
        <v>22039</v>
      </c>
      <c r="C4308" t="str">
        <f>"9780773530867"</f>
        <v>9780773530867</v>
      </c>
      <c r="D4308" t="str">
        <f>"9780773585836"</f>
        <v>9780773585836</v>
      </c>
      <c r="E4308" t="s">
        <v>12863</v>
      </c>
      <c r="F4308" t="s">
        <v>12863</v>
      </c>
      <c r="G4308" s="1">
        <v>38764</v>
      </c>
      <c r="I4308" t="s">
        <v>21002</v>
      </c>
      <c r="J4308" t="s">
        <v>22040</v>
      </c>
      <c r="K4308" t="s">
        <v>1859</v>
      </c>
      <c r="L4308" t="s">
        <v>22041</v>
      </c>
      <c r="M4308">
        <v>191</v>
      </c>
      <c r="N4308" t="s">
        <v>22042</v>
      </c>
      <c r="O4308" t="s">
        <v>26</v>
      </c>
      <c r="P4308">
        <v>44.93</v>
      </c>
      <c r="Q4308">
        <v>37.44</v>
      </c>
      <c r="R4308">
        <v>29.95</v>
      </c>
      <c r="S4308">
        <v>44.93</v>
      </c>
      <c r="T4308" t="s">
        <v>22043</v>
      </c>
    </row>
    <row r="4309" spans="1:20">
      <c r="A4309">
        <v>3332380</v>
      </c>
      <c r="B4309" t="s">
        <v>22044</v>
      </c>
      <c r="C4309" t="str">
        <f>"9780886293154"</f>
        <v>9780886293154</v>
      </c>
      <c r="D4309" t="str">
        <f>"9780773584877"</f>
        <v>9780773584877</v>
      </c>
      <c r="E4309" t="s">
        <v>12863</v>
      </c>
      <c r="F4309" t="s">
        <v>12863</v>
      </c>
      <c r="G4309" s="1">
        <v>35565</v>
      </c>
      <c r="I4309" t="s">
        <v>13270</v>
      </c>
      <c r="J4309" t="s">
        <v>22045</v>
      </c>
      <c r="K4309" t="s">
        <v>291</v>
      </c>
      <c r="L4309" t="s">
        <v>22046</v>
      </c>
      <c r="M4309">
        <v>971.40309200000002</v>
      </c>
      <c r="N4309" t="s">
        <v>22047</v>
      </c>
      <c r="O4309" t="s">
        <v>26</v>
      </c>
      <c r="P4309">
        <v>142.5</v>
      </c>
      <c r="Q4309">
        <v>118.75</v>
      </c>
      <c r="R4309">
        <v>95</v>
      </c>
      <c r="S4309">
        <v>142.5</v>
      </c>
      <c r="T4309" t="s">
        <v>22048</v>
      </c>
    </row>
    <row r="4310" spans="1:20">
      <c r="A4310">
        <v>3332381</v>
      </c>
      <c r="B4310" t="s">
        <v>22049</v>
      </c>
      <c r="C4310" t="str">
        <f>"9780771097690"</f>
        <v>9780771097690</v>
      </c>
      <c r="D4310" t="str">
        <f>"9780773583191"</f>
        <v>9780773583191</v>
      </c>
      <c r="E4310" t="s">
        <v>12863</v>
      </c>
      <c r="F4310" t="s">
        <v>12863</v>
      </c>
      <c r="G4310" s="1">
        <v>26679</v>
      </c>
      <c r="I4310" t="s">
        <v>13270</v>
      </c>
      <c r="J4310" t="s">
        <v>22050</v>
      </c>
      <c r="K4310" t="s">
        <v>278</v>
      </c>
      <c r="L4310" t="s">
        <v>22051</v>
      </c>
      <c r="M4310" t="s">
        <v>22052</v>
      </c>
      <c r="N4310" t="s">
        <v>22053</v>
      </c>
      <c r="O4310" t="s">
        <v>26</v>
      </c>
      <c r="P4310">
        <v>142.5</v>
      </c>
      <c r="Q4310">
        <v>118.75</v>
      </c>
      <c r="R4310">
        <v>95</v>
      </c>
      <c r="S4310">
        <v>142.5</v>
      </c>
      <c r="T4310" t="s">
        <v>22054</v>
      </c>
    </row>
    <row r="4311" spans="1:20">
      <c r="A4311">
        <v>3332382</v>
      </c>
      <c r="B4311" t="s">
        <v>22055</v>
      </c>
      <c r="C4311" t="str">
        <f>"9780773538320"</f>
        <v>9780773538320</v>
      </c>
      <c r="D4311" t="str">
        <f>"9780773586642"</f>
        <v>9780773586642</v>
      </c>
      <c r="E4311" t="s">
        <v>12863</v>
      </c>
      <c r="F4311" t="s">
        <v>12863</v>
      </c>
      <c r="G4311" s="1">
        <v>40683</v>
      </c>
      <c r="J4311" t="s">
        <v>22056</v>
      </c>
      <c r="K4311" t="s">
        <v>1464</v>
      </c>
      <c r="L4311" t="s">
        <v>22057</v>
      </c>
      <c r="M4311" t="s">
        <v>21427</v>
      </c>
      <c r="N4311" t="s">
        <v>22058</v>
      </c>
      <c r="O4311" t="s">
        <v>26</v>
      </c>
      <c r="P4311">
        <v>142.5</v>
      </c>
      <c r="Q4311">
        <v>118.75</v>
      </c>
      <c r="R4311">
        <v>95</v>
      </c>
      <c r="S4311">
        <v>142.5</v>
      </c>
      <c r="T4311" t="s">
        <v>22059</v>
      </c>
    </row>
    <row r="4312" spans="1:20">
      <c r="A4312">
        <v>3332383</v>
      </c>
      <c r="B4312" t="s">
        <v>22060</v>
      </c>
      <c r="C4312" t="str">
        <f>"9780773511903"</f>
        <v>9780773511903</v>
      </c>
      <c r="D4312" t="str">
        <f>"9780773585119"</f>
        <v>9780773585119</v>
      </c>
      <c r="E4312" t="s">
        <v>12863</v>
      </c>
      <c r="F4312" t="s">
        <v>12863</v>
      </c>
      <c r="G4312" s="1">
        <v>34514</v>
      </c>
      <c r="J4312" t="s">
        <v>22061</v>
      </c>
      <c r="K4312" t="s">
        <v>1464</v>
      </c>
      <c r="L4312" t="s">
        <v>22062</v>
      </c>
      <c r="M4312">
        <v>823</v>
      </c>
      <c r="N4312" t="s">
        <v>20942</v>
      </c>
      <c r="O4312" t="s">
        <v>26</v>
      </c>
      <c r="P4312">
        <v>202.5</v>
      </c>
      <c r="Q4312">
        <v>168.75</v>
      </c>
      <c r="R4312">
        <v>135</v>
      </c>
      <c r="S4312">
        <v>202.5</v>
      </c>
      <c r="T4312" t="s">
        <v>22063</v>
      </c>
    </row>
    <row r="4313" spans="1:20">
      <c r="A4313">
        <v>3332384</v>
      </c>
      <c r="B4313" t="s">
        <v>22064</v>
      </c>
      <c r="C4313" t="str">
        <f>"9780773538122"</f>
        <v>9780773538122</v>
      </c>
      <c r="D4313" t="str">
        <f>"9780773585898"</f>
        <v>9780773585898</v>
      </c>
      <c r="E4313" t="s">
        <v>12863</v>
      </c>
      <c r="F4313" t="s">
        <v>12863</v>
      </c>
      <c r="G4313" s="1">
        <v>40602</v>
      </c>
      <c r="I4313" t="s">
        <v>12942</v>
      </c>
      <c r="J4313" t="s">
        <v>22065</v>
      </c>
      <c r="K4313" t="s">
        <v>291</v>
      </c>
      <c r="L4313" t="s">
        <v>22066</v>
      </c>
      <c r="M4313" t="s">
        <v>22067</v>
      </c>
      <c r="N4313" t="s">
        <v>22068</v>
      </c>
      <c r="O4313" t="s">
        <v>26</v>
      </c>
      <c r="P4313">
        <v>142.5</v>
      </c>
      <c r="Q4313">
        <v>118.75</v>
      </c>
      <c r="R4313">
        <v>95</v>
      </c>
      <c r="S4313">
        <v>142.5</v>
      </c>
      <c r="T4313" t="s">
        <v>22069</v>
      </c>
    </row>
    <row r="4314" spans="1:20">
      <c r="A4314">
        <v>3332385</v>
      </c>
      <c r="B4314" t="s">
        <v>22070</v>
      </c>
      <c r="C4314" t="str">
        <f>"9780773540217"</f>
        <v>9780773540217</v>
      </c>
      <c r="D4314" t="str">
        <f>"9780773586857"</f>
        <v>9780773586857</v>
      </c>
      <c r="E4314" t="s">
        <v>12863</v>
      </c>
      <c r="F4314" t="s">
        <v>12863</v>
      </c>
      <c r="G4314" s="1">
        <v>40973</v>
      </c>
      <c r="I4314" t="s">
        <v>19169</v>
      </c>
      <c r="J4314" t="s">
        <v>22071</v>
      </c>
      <c r="K4314" t="s">
        <v>1464</v>
      </c>
      <c r="L4314" t="s">
        <v>22072</v>
      </c>
      <c r="M4314">
        <v>811.54</v>
      </c>
      <c r="N4314" t="s">
        <v>22073</v>
      </c>
      <c r="O4314" t="s">
        <v>26</v>
      </c>
      <c r="P4314">
        <v>22.43</v>
      </c>
      <c r="Q4314">
        <v>18.690000000000001</v>
      </c>
      <c r="R4314">
        <v>14.95</v>
      </c>
      <c r="S4314">
        <v>22.43</v>
      </c>
      <c r="T4314" t="s">
        <v>22074</v>
      </c>
    </row>
    <row r="4315" spans="1:20">
      <c r="A4315">
        <v>3332386</v>
      </c>
      <c r="B4315" t="s">
        <v>22075</v>
      </c>
      <c r="C4315" t="str">
        <f>"9780773537491"</f>
        <v>9780773537491</v>
      </c>
      <c r="D4315" t="str">
        <f>"9780773581203"</f>
        <v>9780773581203</v>
      </c>
      <c r="E4315" t="s">
        <v>12863</v>
      </c>
      <c r="F4315" t="s">
        <v>12863</v>
      </c>
      <c r="G4315" s="1">
        <v>40422</v>
      </c>
      <c r="J4315" t="s">
        <v>22076</v>
      </c>
      <c r="K4315" t="s">
        <v>1471</v>
      </c>
      <c r="L4315" t="s">
        <v>22077</v>
      </c>
      <c r="M4315" t="s">
        <v>22078</v>
      </c>
      <c r="N4315" t="s">
        <v>22079</v>
      </c>
      <c r="O4315" t="s">
        <v>26</v>
      </c>
      <c r="P4315">
        <v>142.5</v>
      </c>
      <c r="Q4315">
        <v>118.75</v>
      </c>
      <c r="R4315">
        <v>95</v>
      </c>
      <c r="S4315">
        <v>142.5</v>
      </c>
      <c r="T4315" t="s">
        <v>22080</v>
      </c>
    </row>
    <row r="4316" spans="1:20">
      <c r="A4316">
        <v>3332387</v>
      </c>
      <c r="B4316" t="s">
        <v>22081</v>
      </c>
      <c r="C4316" t="str">
        <f>"9780773521780"</f>
        <v>9780773521780</v>
      </c>
      <c r="D4316" t="str">
        <f>"9780773569171"</f>
        <v>9780773569171</v>
      </c>
      <c r="E4316" t="s">
        <v>12863</v>
      </c>
      <c r="F4316" t="s">
        <v>12863</v>
      </c>
      <c r="G4316" s="1">
        <v>36800</v>
      </c>
      <c r="J4316" t="s">
        <v>17395</v>
      </c>
      <c r="K4316" t="s">
        <v>6444</v>
      </c>
      <c r="L4316" t="s">
        <v>22082</v>
      </c>
      <c r="M4316">
        <v>325.34199999999998</v>
      </c>
      <c r="N4316" t="s">
        <v>22083</v>
      </c>
      <c r="O4316" t="s">
        <v>26</v>
      </c>
      <c r="P4316">
        <v>262.5</v>
      </c>
      <c r="Q4316">
        <v>218.75</v>
      </c>
      <c r="R4316">
        <v>175</v>
      </c>
      <c r="S4316">
        <v>262.5</v>
      </c>
      <c r="T4316" t="s">
        <v>22084</v>
      </c>
    </row>
    <row r="4317" spans="1:20">
      <c r="A4317">
        <v>3332388</v>
      </c>
      <c r="B4317" t="s">
        <v>22085</v>
      </c>
      <c r="C4317" t="str">
        <f>"9780886293260"</f>
        <v>9780886293260</v>
      </c>
      <c r="D4317" t="str">
        <f>"9780773584921"</f>
        <v>9780773584921</v>
      </c>
      <c r="E4317" t="s">
        <v>12863</v>
      </c>
      <c r="F4317" t="s">
        <v>12863</v>
      </c>
      <c r="G4317" s="1">
        <v>41773</v>
      </c>
      <c r="I4317" t="s">
        <v>22086</v>
      </c>
      <c r="J4317" t="s">
        <v>22087</v>
      </c>
      <c r="K4317" t="s">
        <v>2312</v>
      </c>
      <c r="L4317" t="s">
        <v>22088</v>
      </c>
      <c r="M4317">
        <v>354</v>
      </c>
      <c r="N4317" t="s">
        <v>22089</v>
      </c>
      <c r="O4317" t="s">
        <v>26</v>
      </c>
      <c r="P4317">
        <v>150</v>
      </c>
      <c r="Q4317">
        <v>125</v>
      </c>
      <c r="R4317">
        <v>100</v>
      </c>
      <c r="S4317">
        <v>150</v>
      </c>
      <c r="T4317" t="s">
        <v>22090</v>
      </c>
    </row>
    <row r="4318" spans="1:20">
      <c r="A4318">
        <v>3332389</v>
      </c>
      <c r="B4318" t="s">
        <v>22091</v>
      </c>
      <c r="C4318" t="str">
        <f>"9780773506671"</f>
        <v>9780773506671</v>
      </c>
      <c r="D4318" t="str">
        <f>"9780773583245"</f>
        <v>9780773583245</v>
      </c>
      <c r="E4318" t="s">
        <v>12863</v>
      </c>
      <c r="F4318" t="s">
        <v>12863</v>
      </c>
      <c r="G4318" s="1">
        <v>32417</v>
      </c>
      <c r="J4318" t="s">
        <v>22092</v>
      </c>
      <c r="K4318" t="s">
        <v>6444</v>
      </c>
      <c r="L4318" t="s">
        <v>22093</v>
      </c>
      <c r="M4318">
        <v>327.71</v>
      </c>
      <c r="N4318" t="s">
        <v>22094</v>
      </c>
      <c r="O4318" t="s">
        <v>26</v>
      </c>
      <c r="P4318">
        <v>142.5</v>
      </c>
      <c r="Q4318">
        <v>118.75</v>
      </c>
      <c r="R4318">
        <v>95</v>
      </c>
      <c r="S4318">
        <v>142.5</v>
      </c>
      <c r="T4318" t="s">
        <v>22095</v>
      </c>
    </row>
    <row r="4319" spans="1:20">
      <c r="A4319">
        <v>3332390</v>
      </c>
      <c r="B4319" t="s">
        <v>22096</v>
      </c>
      <c r="C4319" t="str">
        <f>"9780773538924"</f>
        <v>9780773538924</v>
      </c>
      <c r="D4319" t="str">
        <f>"9780773585942"</f>
        <v>9780773585942</v>
      </c>
      <c r="E4319" t="s">
        <v>12863</v>
      </c>
      <c r="F4319" t="s">
        <v>12863</v>
      </c>
      <c r="G4319" s="1">
        <v>40823</v>
      </c>
      <c r="I4319" t="s">
        <v>12963</v>
      </c>
      <c r="J4319" t="s">
        <v>14017</v>
      </c>
      <c r="K4319" t="s">
        <v>263</v>
      </c>
      <c r="L4319" t="s">
        <v>22097</v>
      </c>
      <c r="M4319" t="s">
        <v>22098</v>
      </c>
      <c r="N4319" t="s">
        <v>22099</v>
      </c>
      <c r="O4319" t="s">
        <v>26</v>
      </c>
      <c r="P4319">
        <v>142.5</v>
      </c>
      <c r="Q4319">
        <v>118.75</v>
      </c>
      <c r="R4319">
        <v>95</v>
      </c>
      <c r="S4319">
        <v>142.5</v>
      </c>
      <c r="T4319" t="s">
        <v>22100</v>
      </c>
    </row>
    <row r="4320" spans="1:20">
      <c r="A4320">
        <v>3332391</v>
      </c>
      <c r="B4320" t="s">
        <v>22101</v>
      </c>
      <c r="C4320" t="str">
        <f>"9780886290818"</f>
        <v>9780886290818</v>
      </c>
      <c r="D4320" t="str">
        <f>"9780773584051"</f>
        <v>9780773584051</v>
      </c>
      <c r="E4320" t="s">
        <v>12863</v>
      </c>
      <c r="F4320" t="s">
        <v>12863</v>
      </c>
      <c r="G4320" s="1">
        <v>32492</v>
      </c>
      <c r="I4320" t="s">
        <v>13270</v>
      </c>
      <c r="J4320" t="s">
        <v>22102</v>
      </c>
      <c r="K4320" t="s">
        <v>305</v>
      </c>
      <c r="L4320" t="s">
        <v>22103</v>
      </c>
      <c r="M4320" t="s">
        <v>22104</v>
      </c>
      <c r="N4320" t="s">
        <v>22105</v>
      </c>
      <c r="O4320" t="s">
        <v>26</v>
      </c>
      <c r="P4320">
        <v>142.5</v>
      </c>
      <c r="Q4320">
        <v>118.75</v>
      </c>
      <c r="R4320">
        <v>95</v>
      </c>
      <c r="S4320">
        <v>142.5</v>
      </c>
      <c r="T4320" t="s">
        <v>22106</v>
      </c>
    </row>
    <row r="4321" spans="1:20">
      <c r="A4321">
        <v>3332392</v>
      </c>
      <c r="B4321" t="s">
        <v>22107</v>
      </c>
      <c r="C4321" t="str">
        <f>"9780773528826"</f>
        <v>9780773528826</v>
      </c>
      <c r="D4321" t="str">
        <f>"9780773585010"</f>
        <v>9780773585010</v>
      </c>
      <c r="E4321" t="s">
        <v>12863</v>
      </c>
      <c r="F4321" t="s">
        <v>12863</v>
      </c>
      <c r="G4321" s="1">
        <v>38232</v>
      </c>
      <c r="I4321" t="s">
        <v>21002</v>
      </c>
      <c r="J4321" t="s">
        <v>22108</v>
      </c>
      <c r="K4321" t="s">
        <v>1859</v>
      </c>
      <c r="L4321" t="s">
        <v>22109</v>
      </c>
      <c r="M4321">
        <v>192</v>
      </c>
      <c r="N4321" t="s">
        <v>22110</v>
      </c>
      <c r="O4321" t="s">
        <v>26</v>
      </c>
      <c r="P4321">
        <v>44.93</v>
      </c>
      <c r="Q4321">
        <v>37.44</v>
      </c>
      <c r="R4321">
        <v>29.95</v>
      </c>
      <c r="S4321">
        <v>44.93</v>
      </c>
      <c r="T4321" t="s">
        <v>22111</v>
      </c>
    </row>
    <row r="4322" spans="1:20">
      <c r="A4322">
        <v>3332393</v>
      </c>
      <c r="B4322" t="s">
        <v>22112</v>
      </c>
      <c r="C4322" t="str">
        <f>"9780886293147"</f>
        <v>9780886293147</v>
      </c>
      <c r="D4322" t="str">
        <f>"9780773583092"</f>
        <v>9780773583092</v>
      </c>
      <c r="E4322" t="s">
        <v>12863</v>
      </c>
      <c r="F4322" t="s">
        <v>12863</v>
      </c>
      <c r="G4322" s="1">
        <v>35535</v>
      </c>
      <c r="J4322" t="s">
        <v>22113</v>
      </c>
      <c r="K4322" t="s">
        <v>4347</v>
      </c>
      <c r="L4322" t="s">
        <v>22114</v>
      </c>
      <c r="M4322">
        <v>355.6</v>
      </c>
      <c r="N4322" t="s">
        <v>22115</v>
      </c>
      <c r="O4322" t="s">
        <v>26</v>
      </c>
      <c r="P4322">
        <v>142.5</v>
      </c>
      <c r="Q4322">
        <v>118.75</v>
      </c>
      <c r="R4322">
        <v>95</v>
      </c>
      <c r="S4322">
        <v>142.5</v>
      </c>
      <c r="T4322" t="s">
        <v>22116</v>
      </c>
    </row>
    <row r="4323" spans="1:20">
      <c r="A4323">
        <v>3332394</v>
      </c>
      <c r="B4323" t="s">
        <v>22117</v>
      </c>
      <c r="C4323" t="str">
        <f>"9780773527621"</f>
        <v>9780773527621</v>
      </c>
      <c r="D4323" t="str">
        <f>"9780773580503"</f>
        <v>9780773580503</v>
      </c>
      <c r="E4323" t="s">
        <v>12863</v>
      </c>
      <c r="F4323" t="s">
        <v>12863</v>
      </c>
      <c r="G4323" s="1">
        <v>38244</v>
      </c>
      <c r="I4323" t="s">
        <v>20996</v>
      </c>
      <c r="J4323" t="s">
        <v>20997</v>
      </c>
      <c r="K4323" t="s">
        <v>4081</v>
      </c>
      <c r="L4323" t="s">
        <v>21296</v>
      </c>
      <c r="M4323">
        <v>491.43982420999998</v>
      </c>
      <c r="N4323" t="s">
        <v>22118</v>
      </c>
      <c r="O4323" t="s">
        <v>26</v>
      </c>
      <c r="P4323">
        <v>19.43</v>
      </c>
      <c r="Q4323">
        <v>16.190000000000001</v>
      </c>
      <c r="R4323">
        <v>12.95</v>
      </c>
      <c r="S4323">
        <v>19.43</v>
      </c>
      <c r="T4323" t="s">
        <v>22119</v>
      </c>
    </row>
    <row r="4324" spans="1:20">
      <c r="A4324">
        <v>3332395</v>
      </c>
      <c r="B4324" t="s">
        <v>22120</v>
      </c>
      <c r="C4324" t="str">
        <f>"9780773526495"</f>
        <v>9780773526495</v>
      </c>
      <c r="D4324" t="str">
        <f>"9780773584266"</f>
        <v>9780773584266</v>
      </c>
      <c r="E4324" t="s">
        <v>12863</v>
      </c>
      <c r="F4324" t="s">
        <v>12863</v>
      </c>
      <c r="G4324" s="1">
        <v>37887</v>
      </c>
      <c r="J4324" t="s">
        <v>22121</v>
      </c>
      <c r="K4324" t="s">
        <v>1859</v>
      </c>
      <c r="L4324" t="s">
        <v>22122</v>
      </c>
      <c r="M4324">
        <v>128.19999999999999</v>
      </c>
      <c r="N4324" t="s">
        <v>22123</v>
      </c>
      <c r="O4324" t="s">
        <v>26</v>
      </c>
      <c r="P4324">
        <v>44.93</v>
      </c>
      <c r="Q4324">
        <v>37.44</v>
      </c>
      <c r="R4324">
        <v>29.95</v>
      </c>
      <c r="S4324">
        <v>44.93</v>
      </c>
      <c r="T4324" t="s">
        <v>22124</v>
      </c>
    </row>
    <row r="4325" spans="1:20">
      <c r="A4325">
        <v>3332396</v>
      </c>
      <c r="B4325" t="s">
        <v>22125</v>
      </c>
      <c r="C4325" t="str">
        <f>"9780773538191"</f>
        <v>9780773538191</v>
      </c>
      <c r="D4325" t="str">
        <f>"9780773586031"</f>
        <v>9780773586031</v>
      </c>
      <c r="E4325" t="s">
        <v>12863</v>
      </c>
      <c r="F4325" t="s">
        <v>12863</v>
      </c>
      <c r="G4325" s="1">
        <v>40664</v>
      </c>
      <c r="J4325" t="s">
        <v>22126</v>
      </c>
      <c r="K4325" t="s">
        <v>2260</v>
      </c>
      <c r="L4325" t="s">
        <v>22127</v>
      </c>
      <c r="M4325">
        <v>617.09199999999998</v>
      </c>
      <c r="N4325" t="s">
        <v>22128</v>
      </c>
      <c r="O4325" t="s">
        <v>26</v>
      </c>
      <c r="P4325">
        <v>59.93</v>
      </c>
      <c r="Q4325">
        <v>49.94</v>
      </c>
      <c r="R4325">
        <v>39.950000000000003</v>
      </c>
      <c r="S4325">
        <v>59.93</v>
      </c>
      <c r="T4325" t="s">
        <v>22129</v>
      </c>
    </row>
    <row r="4326" spans="1:20">
      <c r="A4326">
        <v>3332397</v>
      </c>
      <c r="B4326" t="s">
        <v>22130</v>
      </c>
      <c r="C4326" t="str">
        <f>"9780773516212"</f>
        <v>9780773516212</v>
      </c>
      <c r="D4326" t="str">
        <f>"9780773580565"</f>
        <v>9780773580565</v>
      </c>
      <c r="E4326" t="s">
        <v>12863</v>
      </c>
      <c r="F4326" t="s">
        <v>12863</v>
      </c>
      <c r="G4326" s="1">
        <v>41773</v>
      </c>
      <c r="I4326" t="s">
        <v>20996</v>
      </c>
      <c r="J4326" t="s">
        <v>20997</v>
      </c>
      <c r="K4326" t="s">
        <v>4081</v>
      </c>
      <c r="L4326" t="s">
        <v>22021</v>
      </c>
      <c r="M4326">
        <v>491</v>
      </c>
      <c r="N4326" t="s">
        <v>20999</v>
      </c>
      <c r="O4326" t="s">
        <v>26</v>
      </c>
      <c r="P4326">
        <v>22.43</v>
      </c>
      <c r="Q4326">
        <v>18.690000000000001</v>
      </c>
      <c r="R4326">
        <v>14.95</v>
      </c>
      <c r="S4326">
        <v>22.43</v>
      </c>
      <c r="T4326" t="s">
        <v>22131</v>
      </c>
    </row>
    <row r="4327" spans="1:20">
      <c r="A4327">
        <v>3332398</v>
      </c>
      <c r="B4327" t="s">
        <v>22132</v>
      </c>
      <c r="C4327" t="str">
        <f>"9780773538979"</f>
        <v>9780773538979</v>
      </c>
      <c r="D4327" t="str">
        <f>"9780773586093"</f>
        <v>9780773586093</v>
      </c>
      <c r="E4327" t="s">
        <v>12863</v>
      </c>
      <c r="F4327" t="s">
        <v>12863</v>
      </c>
      <c r="G4327" s="1">
        <v>40827</v>
      </c>
      <c r="J4327" t="s">
        <v>22133</v>
      </c>
      <c r="K4327" t="s">
        <v>1892</v>
      </c>
      <c r="L4327" t="s">
        <v>22134</v>
      </c>
      <c r="M4327">
        <v>210</v>
      </c>
      <c r="N4327" t="s">
        <v>22135</v>
      </c>
      <c r="O4327" t="s">
        <v>26</v>
      </c>
      <c r="P4327">
        <v>52.43</v>
      </c>
      <c r="Q4327">
        <v>43.69</v>
      </c>
      <c r="R4327">
        <v>34.950000000000003</v>
      </c>
      <c r="S4327">
        <v>52.43</v>
      </c>
      <c r="T4327" t="s">
        <v>22136</v>
      </c>
    </row>
    <row r="4328" spans="1:20">
      <c r="A4328">
        <v>3332399</v>
      </c>
      <c r="B4328" t="s">
        <v>22137</v>
      </c>
      <c r="C4328" t="str">
        <f>"9780886291310"</f>
        <v>9780886291310</v>
      </c>
      <c r="D4328" t="str">
        <f>"9780773584105"</f>
        <v>9780773584105</v>
      </c>
      <c r="E4328" t="s">
        <v>12863</v>
      </c>
      <c r="F4328" t="s">
        <v>12863</v>
      </c>
      <c r="G4328" s="1">
        <v>33161</v>
      </c>
      <c r="I4328" t="s">
        <v>15076</v>
      </c>
      <c r="J4328" t="s">
        <v>22138</v>
      </c>
      <c r="K4328" t="s">
        <v>291</v>
      </c>
      <c r="L4328" t="s">
        <v>22139</v>
      </c>
      <c r="M4328">
        <v>971.05092000000002</v>
      </c>
      <c r="N4328" t="s">
        <v>22140</v>
      </c>
      <c r="O4328" t="s">
        <v>26</v>
      </c>
      <c r="P4328">
        <v>142.5</v>
      </c>
      <c r="Q4328">
        <v>118.75</v>
      </c>
      <c r="R4328">
        <v>95</v>
      </c>
      <c r="S4328">
        <v>142.5</v>
      </c>
      <c r="T4328" t="s">
        <v>22141</v>
      </c>
    </row>
    <row r="4329" spans="1:20">
      <c r="A4329">
        <v>3332400</v>
      </c>
      <c r="B4329" t="s">
        <v>22142</v>
      </c>
      <c r="C4329" t="str">
        <f>"9780773539181"</f>
        <v>9780773539181</v>
      </c>
      <c r="D4329" t="str">
        <f>"9780773585843"</f>
        <v>9780773585843</v>
      </c>
      <c r="E4329" t="s">
        <v>12863</v>
      </c>
      <c r="F4329" t="s">
        <v>12863</v>
      </c>
      <c r="G4329" s="1">
        <v>40785</v>
      </c>
      <c r="I4329" t="s">
        <v>13068</v>
      </c>
      <c r="J4329" t="s">
        <v>22143</v>
      </c>
      <c r="K4329" t="s">
        <v>4433</v>
      </c>
      <c r="L4329" t="s">
        <v>22144</v>
      </c>
      <c r="M4329">
        <v>354.7</v>
      </c>
      <c r="N4329" t="s">
        <v>22145</v>
      </c>
      <c r="O4329" t="s">
        <v>26</v>
      </c>
      <c r="P4329">
        <v>49.43</v>
      </c>
      <c r="Q4329">
        <v>41.19</v>
      </c>
      <c r="R4329">
        <v>32.950000000000003</v>
      </c>
      <c r="S4329">
        <v>49.43</v>
      </c>
      <c r="T4329" t="s">
        <v>22146</v>
      </c>
    </row>
    <row r="4330" spans="1:20">
      <c r="A4330">
        <v>3332401</v>
      </c>
      <c r="B4330" t="s">
        <v>22147</v>
      </c>
      <c r="C4330" t="str">
        <f>"9780773529847"</f>
        <v>9780773529847</v>
      </c>
      <c r="D4330" t="str">
        <f>"9780773584884"</f>
        <v>9780773584884</v>
      </c>
      <c r="E4330" t="s">
        <v>12863</v>
      </c>
      <c r="F4330" t="s">
        <v>12863</v>
      </c>
      <c r="G4330" s="1">
        <v>38519</v>
      </c>
      <c r="J4330" t="s">
        <v>22148</v>
      </c>
      <c r="K4330" t="s">
        <v>1859</v>
      </c>
      <c r="L4330" t="s">
        <v>22149</v>
      </c>
      <c r="M4330">
        <v>194</v>
      </c>
      <c r="N4330" t="s">
        <v>22150</v>
      </c>
      <c r="O4330" t="s">
        <v>26</v>
      </c>
      <c r="P4330">
        <v>44.93</v>
      </c>
      <c r="Q4330">
        <v>37.44</v>
      </c>
      <c r="R4330">
        <v>29.95</v>
      </c>
      <c r="S4330">
        <v>44.93</v>
      </c>
      <c r="T4330" t="s">
        <v>22151</v>
      </c>
    </row>
    <row r="4331" spans="1:20">
      <c r="A4331">
        <v>3332402</v>
      </c>
      <c r="B4331" t="s">
        <v>22152</v>
      </c>
      <c r="C4331" t="str">
        <f>"9780773538580"</f>
        <v>9780773538580</v>
      </c>
      <c r="D4331" t="str">
        <f>"9780773585690"</f>
        <v>9780773585690</v>
      </c>
      <c r="E4331" t="s">
        <v>12863</v>
      </c>
      <c r="F4331" t="s">
        <v>12863</v>
      </c>
      <c r="G4331" s="1">
        <v>40709</v>
      </c>
      <c r="I4331" t="s">
        <v>13540</v>
      </c>
      <c r="J4331" t="s">
        <v>14123</v>
      </c>
      <c r="K4331" t="s">
        <v>7838</v>
      </c>
      <c r="L4331" t="s">
        <v>22153</v>
      </c>
      <c r="M4331">
        <v>720.1</v>
      </c>
      <c r="N4331" t="s">
        <v>22154</v>
      </c>
      <c r="O4331" t="s">
        <v>26</v>
      </c>
      <c r="P4331">
        <v>144</v>
      </c>
      <c r="Q4331">
        <v>120</v>
      </c>
      <c r="R4331">
        <v>96</v>
      </c>
      <c r="S4331">
        <v>144</v>
      </c>
      <c r="T4331" t="s">
        <v>22155</v>
      </c>
    </row>
    <row r="4332" spans="1:20">
      <c r="A4332">
        <v>3332403</v>
      </c>
      <c r="B4332" t="s">
        <v>22156</v>
      </c>
      <c r="C4332" t="str">
        <f>"9780773536692"</f>
        <v>9780773536692</v>
      </c>
      <c r="D4332" t="str">
        <f>"9780773580404"</f>
        <v>9780773580404</v>
      </c>
      <c r="E4332" t="s">
        <v>12863</v>
      </c>
      <c r="F4332" t="s">
        <v>12863</v>
      </c>
      <c r="G4332" s="1">
        <v>40206</v>
      </c>
      <c r="J4332" t="s">
        <v>22157</v>
      </c>
      <c r="K4332" t="s">
        <v>22158</v>
      </c>
      <c r="L4332" t="s">
        <v>22159</v>
      </c>
      <c r="M4332" t="s">
        <v>22160</v>
      </c>
      <c r="N4332" t="s">
        <v>22161</v>
      </c>
      <c r="O4332" t="s">
        <v>26</v>
      </c>
      <c r="P4332">
        <v>142.5</v>
      </c>
      <c r="Q4332">
        <v>118.75</v>
      </c>
      <c r="R4332">
        <v>95</v>
      </c>
      <c r="S4332">
        <v>142.5</v>
      </c>
      <c r="T4332" t="s">
        <v>22162</v>
      </c>
    </row>
    <row r="4333" spans="1:20">
      <c r="A4333">
        <v>3332404</v>
      </c>
      <c r="B4333" t="s">
        <v>22163</v>
      </c>
      <c r="C4333" t="str">
        <f>"9780773502147"</f>
        <v>9780773502147</v>
      </c>
      <c r="D4333" t="str">
        <f>"9780773585126"</f>
        <v>9780773585126</v>
      </c>
      <c r="E4333" t="s">
        <v>12863</v>
      </c>
      <c r="F4333" t="s">
        <v>12863</v>
      </c>
      <c r="G4333" s="1">
        <v>27881</v>
      </c>
      <c r="J4333" t="s">
        <v>22164</v>
      </c>
      <c r="K4333" t="s">
        <v>291</v>
      </c>
      <c r="L4333" t="s">
        <v>22165</v>
      </c>
      <c r="M4333" t="s">
        <v>22166</v>
      </c>
      <c r="N4333" t="s">
        <v>22167</v>
      </c>
      <c r="O4333" t="s">
        <v>26</v>
      </c>
      <c r="P4333">
        <v>142.5</v>
      </c>
      <c r="Q4333">
        <v>118.75</v>
      </c>
      <c r="R4333">
        <v>95</v>
      </c>
      <c r="S4333">
        <v>142.5</v>
      </c>
      <c r="T4333" t="s">
        <v>22168</v>
      </c>
    </row>
    <row r="4334" spans="1:20">
      <c r="A4334">
        <v>3332405</v>
      </c>
      <c r="B4334" t="s">
        <v>22169</v>
      </c>
      <c r="C4334" t="str">
        <f>"9780773537248"</f>
        <v>9780773537248</v>
      </c>
      <c r="D4334" t="str">
        <f>"9780773580619"</f>
        <v>9780773580619</v>
      </c>
      <c r="E4334" t="s">
        <v>12863</v>
      </c>
      <c r="F4334" t="s">
        <v>12863</v>
      </c>
      <c r="G4334" s="1">
        <v>40400</v>
      </c>
      <c r="J4334" t="s">
        <v>22170</v>
      </c>
      <c r="K4334" t="s">
        <v>2387</v>
      </c>
      <c r="L4334" t="s">
        <v>22171</v>
      </c>
      <c r="M4334">
        <v>641.50919999999996</v>
      </c>
      <c r="N4334" t="s">
        <v>22172</v>
      </c>
      <c r="O4334" t="s">
        <v>26</v>
      </c>
      <c r="P4334">
        <v>37.43</v>
      </c>
      <c r="Q4334">
        <v>31.19</v>
      </c>
      <c r="R4334">
        <v>24.95</v>
      </c>
      <c r="S4334">
        <v>37.43</v>
      </c>
      <c r="T4334" t="s">
        <v>22173</v>
      </c>
    </row>
    <row r="4335" spans="1:20">
      <c r="A4335">
        <v>3332406</v>
      </c>
      <c r="B4335" t="s">
        <v>22174</v>
      </c>
      <c r="C4335" t="str">
        <f>"9780773531666"</f>
        <v>9780773531666</v>
      </c>
      <c r="D4335" t="str">
        <f>"9780773586147"</f>
        <v>9780773586147</v>
      </c>
      <c r="E4335" t="s">
        <v>12863</v>
      </c>
      <c r="F4335" t="s">
        <v>12863</v>
      </c>
      <c r="G4335" s="1">
        <v>38929</v>
      </c>
      <c r="J4335" t="s">
        <v>22175</v>
      </c>
      <c r="K4335" t="s">
        <v>1859</v>
      </c>
      <c r="L4335" t="s">
        <v>22176</v>
      </c>
      <c r="M4335">
        <v>192</v>
      </c>
      <c r="N4335" t="s">
        <v>22177</v>
      </c>
      <c r="O4335" t="s">
        <v>26</v>
      </c>
      <c r="P4335">
        <v>142.5</v>
      </c>
      <c r="Q4335">
        <v>118.75</v>
      </c>
      <c r="R4335">
        <v>95</v>
      </c>
      <c r="S4335">
        <v>142.5</v>
      </c>
      <c r="T4335" t="s">
        <v>22178</v>
      </c>
    </row>
    <row r="4336" spans="1:20">
      <c r="A4336">
        <v>3332407</v>
      </c>
      <c r="B4336" t="s">
        <v>22179</v>
      </c>
      <c r="C4336" t="str">
        <f>"9780886290627"</f>
        <v>9780886290627</v>
      </c>
      <c r="D4336" t="str">
        <f>"9780773581487"</f>
        <v>9780773581487</v>
      </c>
      <c r="E4336" t="s">
        <v>12863</v>
      </c>
      <c r="F4336" t="s">
        <v>12863</v>
      </c>
      <c r="G4336" s="1">
        <v>32065</v>
      </c>
      <c r="I4336" t="s">
        <v>13270</v>
      </c>
      <c r="J4336" t="s">
        <v>22180</v>
      </c>
      <c r="K4336" t="s">
        <v>291</v>
      </c>
      <c r="L4336" t="s">
        <v>22181</v>
      </c>
      <c r="M4336">
        <v>971</v>
      </c>
      <c r="N4336" t="s">
        <v>22182</v>
      </c>
      <c r="O4336" t="s">
        <v>26</v>
      </c>
      <c r="P4336">
        <v>142.5</v>
      </c>
      <c r="Q4336">
        <v>118.75</v>
      </c>
      <c r="R4336">
        <v>95</v>
      </c>
      <c r="S4336">
        <v>142.5</v>
      </c>
      <c r="T4336" t="s">
        <v>22183</v>
      </c>
    </row>
    <row r="4337" spans="1:20">
      <c r="A4337">
        <v>3332408</v>
      </c>
      <c r="B4337" t="s">
        <v>22184</v>
      </c>
      <c r="C4337" t="str">
        <f>"9780773524651"</f>
        <v>9780773524651</v>
      </c>
      <c r="D4337" t="str">
        <f>"9780773583252"</f>
        <v>9780773583252</v>
      </c>
      <c r="E4337" t="s">
        <v>12863</v>
      </c>
      <c r="F4337" t="s">
        <v>12863</v>
      </c>
      <c r="G4337" s="1">
        <v>37767</v>
      </c>
      <c r="I4337" t="s">
        <v>21018</v>
      </c>
      <c r="J4337" t="s">
        <v>22185</v>
      </c>
      <c r="K4337" t="s">
        <v>1859</v>
      </c>
      <c r="L4337" t="s">
        <v>22186</v>
      </c>
      <c r="M4337">
        <v>121.34</v>
      </c>
      <c r="N4337" t="s">
        <v>22187</v>
      </c>
      <c r="O4337" t="s">
        <v>26</v>
      </c>
      <c r="P4337">
        <v>44.93</v>
      </c>
      <c r="Q4337">
        <v>37.44</v>
      </c>
      <c r="R4337">
        <v>29.95</v>
      </c>
      <c r="S4337">
        <v>44.93</v>
      </c>
      <c r="T4337" t="s">
        <v>22188</v>
      </c>
    </row>
    <row r="4338" spans="1:20">
      <c r="A4338">
        <v>3332409</v>
      </c>
      <c r="B4338" t="s">
        <v>22189</v>
      </c>
      <c r="C4338" t="str">
        <f>"9780773537200"</f>
        <v>9780773537200</v>
      </c>
      <c r="D4338" t="str">
        <f>"9780773582293"</f>
        <v>9780773582293</v>
      </c>
      <c r="E4338" t="s">
        <v>12863</v>
      </c>
      <c r="F4338" t="s">
        <v>12863</v>
      </c>
      <c r="G4338" s="1">
        <v>40245</v>
      </c>
      <c r="I4338" t="s">
        <v>19169</v>
      </c>
      <c r="J4338" t="s">
        <v>22190</v>
      </c>
      <c r="K4338" t="s">
        <v>1464</v>
      </c>
      <c r="L4338" t="s">
        <v>22191</v>
      </c>
      <c r="M4338" t="s">
        <v>1497</v>
      </c>
      <c r="N4338" t="s">
        <v>22192</v>
      </c>
      <c r="O4338" t="s">
        <v>26</v>
      </c>
      <c r="P4338">
        <v>25.43</v>
      </c>
      <c r="Q4338">
        <v>21.19</v>
      </c>
      <c r="R4338">
        <v>16.95</v>
      </c>
      <c r="S4338">
        <v>25.43</v>
      </c>
      <c r="T4338" t="s">
        <v>22193</v>
      </c>
    </row>
    <row r="4339" spans="1:20">
      <c r="A4339">
        <v>3332410</v>
      </c>
      <c r="B4339" t="s">
        <v>22194</v>
      </c>
      <c r="C4339" t="str">
        <f>"9780773523814"</f>
        <v>9780773523814</v>
      </c>
      <c r="D4339" t="str">
        <f>"9780773583467"</f>
        <v>9780773583467</v>
      </c>
      <c r="E4339" t="s">
        <v>12863</v>
      </c>
      <c r="F4339" t="s">
        <v>12863</v>
      </c>
      <c r="G4339" s="1">
        <v>37354</v>
      </c>
      <c r="J4339" t="s">
        <v>22195</v>
      </c>
      <c r="K4339" t="s">
        <v>1859</v>
      </c>
      <c r="L4339" t="s">
        <v>22196</v>
      </c>
      <c r="M4339">
        <v>121.68</v>
      </c>
      <c r="N4339" t="s">
        <v>22197</v>
      </c>
      <c r="O4339" t="s">
        <v>26</v>
      </c>
      <c r="P4339">
        <v>142.5</v>
      </c>
      <c r="Q4339">
        <v>118.75</v>
      </c>
      <c r="R4339">
        <v>95</v>
      </c>
      <c r="S4339">
        <v>142.5</v>
      </c>
      <c r="T4339" t="s">
        <v>22198</v>
      </c>
    </row>
    <row r="4340" spans="1:20">
      <c r="A4340">
        <v>3332411</v>
      </c>
      <c r="B4340" t="s">
        <v>22199</v>
      </c>
      <c r="C4340" t="str">
        <f>"9780773527652"</f>
        <v>9780773527652</v>
      </c>
      <c r="D4340" t="str">
        <f>"9780773580510"</f>
        <v>9780773580510</v>
      </c>
      <c r="E4340" t="s">
        <v>12863</v>
      </c>
      <c r="F4340" t="s">
        <v>12863</v>
      </c>
      <c r="G4340" s="1">
        <v>38244</v>
      </c>
      <c r="I4340" t="s">
        <v>20996</v>
      </c>
      <c r="J4340" t="s">
        <v>20997</v>
      </c>
      <c r="K4340" t="s">
        <v>4081</v>
      </c>
      <c r="L4340" t="s">
        <v>21211</v>
      </c>
      <c r="M4340">
        <v>491.43982420999998</v>
      </c>
      <c r="N4340" t="s">
        <v>20999</v>
      </c>
      <c r="O4340" t="s">
        <v>26</v>
      </c>
      <c r="P4340">
        <v>19.43</v>
      </c>
      <c r="Q4340">
        <v>16.190000000000001</v>
      </c>
      <c r="R4340">
        <v>12.95</v>
      </c>
      <c r="S4340">
        <v>19.43</v>
      </c>
      <c r="T4340" t="s">
        <v>22200</v>
      </c>
    </row>
    <row r="4341" spans="1:20">
      <c r="A4341">
        <v>3332412</v>
      </c>
      <c r="B4341" t="s">
        <v>22201</v>
      </c>
      <c r="C4341" t="str">
        <f>"9780773540019"</f>
        <v>9780773540019</v>
      </c>
      <c r="D4341" t="str">
        <f>"9780773586918"</f>
        <v>9780773586918</v>
      </c>
      <c r="E4341" t="s">
        <v>12863</v>
      </c>
      <c r="F4341" t="s">
        <v>12863</v>
      </c>
      <c r="G4341" s="1">
        <v>41023</v>
      </c>
      <c r="I4341" t="s">
        <v>22202</v>
      </c>
      <c r="J4341" t="s">
        <v>22203</v>
      </c>
      <c r="K4341" t="s">
        <v>263</v>
      </c>
      <c r="L4341" t="s">
        <v>22204</v>
      </c>
      <c r="M4341">
        <v>307.76089999999999</v>
      </c>
      <c r="N4341" t="s">
        <v>22205</v>
      </c>
      <c r="O4341" t="s">
        <v>26</v>
      </c>
      <c r="P4341">
        <v>142.5</v>
      </c>
      <c r="Q4341">
        <v>118.75</v>
      </c>
      <c r="R4341">
        <v>95</v>
      </c>
      <c r="S4341">
        <v>142.5</v>
      </c>
      <c r="T4341" t="s">
        <v>22206</v>
      </c>
    </row>
    <row r="4342" spans="1:20">
      <c r="A4342">
        <v>3332413</v>
      </c>
      <c r="B4342" t="s">
        <v>22207</v>
      </c>
      <c r="C4342" t="str">
        <f>"9780886292690"</f>
        <v>9780886292690</v>
      </c>
      <c r="D4342" t="str">
        <f>"9780773584273"</f>
        <v>9780773584273</v>
      </c>
      <c r="E4342" t="s">
        <v>12863</v>
      </c>
      <c r="F4342" t="s">
        <v>12863</v>
      </c>
      <c r="G4342" s="1">
        <v>35018</v>
      </c>
      <c r="J4342" t="s">
        <v>22208</v>
      </c>
      <c r="K4342" t="s">
        <v>291</v>
      </c>
      <c r="L4342" t="s">
        <v>22209</v>
      </c>
      <c r="M4342">
        <v>970</v>
      </c>
      <c r="N4342" t="s">
        <v>22210</v>
      </c>
      <c r="O4342" t="s">
        <v>26</v>
      </c>
      <c r="P4342">
        <v>142.5</v>
      </c>
      <c r="Q4342">
        <v>118.75</v>
      </c>
      <c r="R4342">
        <v>95</v>
      </c>
      <c r="S4342">
        <v>142.5</v>
      </c>
      <c r="T4342" t="s">
        <v>22211</v>
      </c>
    </row>
    <row r="4343" spans="1:20">
      <c r="A4343">
        <v>3332414</v>
      </c>
      <c r="B4343" t="s">
        <v>22212</v>
      </c>
      <c r="C4343" t="str">
        <f>"9780773516236"</f>
        <v>9780773516236</v>
      </c>
      <c r="D4343" t="str">
        <f>"9780773580572"</f>
        <v>9780773580572</v>
      </c>
      <c r="E4343" t="s">
        <v>12863</v>
      </c>
      <c r="F4343" t="s">
        <v>12863</v>
      </c>
      <c r="G4343" s="1">
        <v>35582</v>
      </c>
      <c r="I4343" t="s">
        <v>20996</v>
      </c>
      <c r="J4343" t="s">
        <v>20997</v>
      </c>
      <c r="K4343" t="s">
        <v>4081</v>
      </c>
      <c r="L4343" t="s">
        <v>22213</v>
      </c>
      <c r="M4343">
        <v>491.43900000000002</v>
      </c>
      <c r="N4343" t="s">
        <v>20999</v>
      </c>
      <c r="O4343" t="s">
        <v>26</v>
      </c>
      <c r="P4343">
        <v>13.43</v>
      </c>
      <c r="Q4343">
        <v>11.19</v>
      </c>
      <c r="R4343">
        <v>8.9499999999999993</v>
      </c>
      <c r="S4343">
        <v>13.43</v>
      </c>
      <c r="T4343" t="s">
        <v>22214</v>
      </c>
    </row>
    <row r="4344" spans="1:20">
      <c r="A4344">
        <v>3332415</v>
      </c>
      <c r="B4344" t="s">
        <v>22215</v>
      </c>
      <c r="C4344" t="str">
        <f>"9780773523012"</f>
        <v>9780773523012</v>
      </c>
      <c r="D4344" t="str">
        <f>"9780773585294"</f>
        <v>9780773585294</v>
      </c>
      <c r="E4344" t="s">
        <v>12863</v>
      </c>
      <c r="F4344" t="s">
        <v>12863</v>
      </c>
      <c r="G4344" s="1">
        <v>37245</v>
      </c>
      <c r="I4344" t="s">
        <v>21018</v>
      </c>
      <c r="J4344" t="s">
        <v>22216</v>
      </c>
      <c r="K4344" t="s">
        <v>1859</v>
      </c>
      <c r="L4344" t="s">
        <v>22217</v>
      </c>
      <c r="M4344">
        <v>121</v>
      </c>
      <c r="N4344" t="s">
        <v>22218</v>
      </c>
      <c r="O4344" t="s">
        <v>26</v>
      </c>
      <c r="P4344">
        <v>44.93</v>
      </c>
      <c r="Q4344">
        <v>37.44</v>
      </c>
      <c r="R4344">
        <v>29.95</v>
      </c>
      <c r="S4344">
        <v>44.93</v>
      </c>
      <c r="T4344" t="s">
        <v>22219</v>
      </c>
    </row>
    <row r="4345" spans="1:20">
      <c r="A4345">
        <v>3332416</v>
      </c>
      <c r="B4345" t="s">
        <v>22220</v>
      </c>
      <c r="C4345" t="str">
        <f>"9780773524941"</f>
        <v>9780773524941</v>
      </c>
      <c r="D4345" t="str">
        <f>"9780773586253"</f>
        <v>9780773586253</v>
      </c>
      <c r="E4345" t="s">
        <v>12863</v>
      </c>
      <c r="F4345" t="s">
        <v>12863</v>
      </c>
      <c r="G4345" s="1">
        <v>40634</v>
      </c>
      <c r="J4345" t="s">
        <v>20397</v>
      </c>
      <c r="K4345" t="s">
        <v>1464</v>
      </c>
      <c r="L4345" t="s">
        <v>22221</v>
      </c>
      <c r="M4345" t="s">
        <v>1460</v>
      </c>
      <c r="N4345" t="s">
        <v>22222</v>
      </c>
      <c r="O4345" t="s">
        <v>26</v>
      </c>
      <c r="P4345">
        <v>14.93</v>
      </c>
      <c r="Q4345">
        <v>12.44</v>
      </c>
      <c r="R4345">
        <v>9.9499999999999993</v>
      </c>
      <c r="S4345">
        <v>14.93</v>
      </c>
      <c r="T4345" t="s">
        <v>22223</v>
      </c>
    </row>
    <row r="4346" spans="1:20">
      <c r="A4346">
        <v>3332417</v>
      </c>
      <c r="B4346" t="s">
        <v>22224</v>
      </c>
      <c r="C4346" t="str">
        <f>"9780773537781"</f>
        <v>9780773537781</v>
      </c>
      <c r="D4346" t="str">
        <f>"9780773580787"</f>
        <v>9780773580787</v>
      </c>
      <c r="E4346" t="s">
        <v>12863</v>
      </c>
      <c r="F4346" t="s">
        <v>12863</v>
      </c>
      <c r="G4346" s="1">
        <v>40437</v>
      </c>
      <c r="J4346" t="s">
        <v>22225</v>
      </c>
      <c r="K4346" t="s">
        <v>291</v>
      </c>
      <c r="L4346" t="s">
        <v>22226</v>
      </c>
      <c r="M4346" t="s">
        <v>22227</v>
      </c>
      <c r="N4346" t="s">
        <v>22228</v>
      </c>
      <c r="O4346" t="s">
        <v>26</v>
      </c>
      <c r="P4346">
        <v>59.93</v>
      </c>
      <c r="Q4346">
        <v>49.94</v>
      </c>
      <c r="R4346">
        <v>39.950000000000003</v>
      </c>
      <c r="S4346">
        <v>59.93</v>
      </c>
      <c r="T4346" t="s">
        <v>22229</v>
      </c>
    </row>
    <row r="4347" spans="1:20">
      <c r="A4347">
        <v>3332418</v>
      </c>
      <c r="B4347" t="s">
        <v>22230</v>
      </c>
      <c r="C4347" t="str">
        <f>"9780773538030"</f>
        <v>9780773538030</v>
      </c>
      <c r="D4347" t="str">
        <f>"9780773581029"</f>
        <v>9780773581029</v>
      </c>
      <c r="E4347" t="s">
        <v>12863</v>
      </c>
      <c r="F4347" t="s">
        <v>12863</v>
      </c>
      <c r="G4347" s="1">
        <v>40413</v>
      </c>
      <c r="J4347" t="s">
        <v>22231</v>
      </c>
      <c r="K4347" t="s">
        <v>778</v>
      </c>
      <c r="L4347" t="s">
        <v>22232</v>
      </c>
      <c r="M4347" t="s">
        <v>14652</v>
      </c>
      <c r="N4347" t="s">
        <v>22233</v>
      </c>
      <c r="O4347" t="s">
        <v>26</v>
      </c>
      <c r="P4347">
        <v>29.93</v>
      </c>
      <c r="Q4347">
        <v>24.94</v>
      </c>
      <c r="R4347">
        <v>19.95</v>
      </c>
      <c r="S4347">
        <v>29.93</v>
      </c>
      <c r="T4347" t="s">
        <v>22234</v>
      </c>
    </row>
    <row r="4348" spans="1:20">
      <c r="A4348">
        <v>3332419</v>
      </c>
      <c r="B4348" t="s">
        <v>22235</v>
      </c>
      <c r="C4348" t="str">
        <f>"9780886290801"</f>
        <v>9780886290801</v>
      </c>
      <c r="D4348" t="str">
        <f>"9780773584112"</f>
        <v>9780773584112</v>
      </c>
      <c r="E4348" t="s">
        <v>12863</v>
      </c>
      <c r="F4348" t="s">
        <v>12863</v>
      </c>
      <c r="G4348" s="1">
        <v>32157</v>
      </c>
      <c r="I4348" t="s">
        <v>13270</v>
      </c>
      <c r="J4348" t="s">
        <v>22236</v>
      </c>
      <c r="K4348" t="s">
        <v>416</v>
      </c>
      <c r="L4348" t="s">
        <v>22237</v>
      </c>
      <c r="M4348" t="s">
        <v>22238</v>
      </c>
      <c r="N4348" t="s">
        <v>22239</v>
      </c>
      <c r="O4348" t="s">
        <v>26</v>
      </c>
      <c r="P4348">
        <v>142.5</v>
      </c>
      <c r="Q4348">
        <v>118.75</v>
      </c>
      <c r="R4348">
        <v>95</v>
      </c>
      <c r="S4348">
        <v>142.5</v>
      </c>
      <c r="T4348" t="s">
        <v>22240</v>
      </c>
    </row>
    <row r="4349" spans="1:20">
      <c r="A4349">
        <v>3332420</v>
      </c>
      <c r="B4349" t="s">
        <v>22241</v>
      </c>
      <c r="C4349" t="str">
        <f>"9780773538771"</f>
        <v>9780773538771</v>
      </c>
      <c r="D4349" t="str">
        <f>"9780773585850"</f>
        <v>9780773585850</v>
      </c>
      <c r="E4349" t="s">
        <v>12863</v>
      </c>
      <c r="F4349" t="s">
        <v>12863</v>
      </c>
      <c r="G4349" s="1">
        <v>40724</v>
      </c>
      <c r="I4349" t="s">
        <v>22202</v>
      </c>
      <c r="J4349" t="s">
        <v>22242</v>
      </c>
      <c r="K4349" t="s">
        <v>467</v>
      </c>
      <c r="L4349" t="s">
        <v>22243</v>
      </c>
      <c r="M4349">
        <v>325.70999999999998</v>
      </c>
      <c r="N4349" t="s">
        <v>22244</v>
      </c>
      <c r="O4349" t="s">
        <v>26</v>
      </c>
      <c r="P4349">
        <v>142.5</v>
      </c>
      <c r="Q4349">
        <v>118.75</v>
      </c>
      <c r="R4349">
        <v>95</v>
      </c>
      <c r="S4349">
        <v>142.5</v>
      </c>
      <c r="T4349" t="s">
        <v>22245</v>
      </c>
    </row>
    <row r="4350" spans="1:20">
      <c r="A4350">
        <v>3332421</v>
      </c>
      <c r="B4350" t="s">
        <v>22246</v>
      </c>
      <c r="C4350" t="str">
        <f>"9780773503786"</f>
        <v>9780773503786</v>
      </c>
      <c r="D4350" t="str">
        <f>"9780773585133"</f>
        <v>9780773585133</v>
      </c>
      <c r="E4350" t="s">
        <v>12863</v>
      </c>
      <c r="F4350" t="s">
        <v>12863</v>
      </c>
      <c r="G4350" s="1">
        <v>41773</v>
      </c>
      <c r="J4350" t="s">
        <v>22247</v>
      </c>
      <c r="K4350" t="s">
        <v>1464</v>
      </c>
      <c r="L4350" t="s">
        <v>22248</v>
      </c>
      <c r="M4350" t="s">
        <v>22249</v>
      </c>
      <c r="N4350" t="s">
        <v>22250</v>
      </c>
      <c r="O4350" t="s">
        <v>26</v>
      </c>
      <c r="P4350">
        <v>142.5</v>
      </c>
      <c r="Q4350">
        <v>118.75</v>
      </c>
      <c r="R4350">
        <v>95</v>
      </c>
      <c r="S4350">
        <v>142.5</v>
      </c>
      <c r="T4350" t="s">
        <v>22251</v>
      </c>
    </row>
    <row r="4351" spans="1:20">
      <c r="A4351">
        <v>3332422</v>
      </c>
      <c r="B4351" t="s">
        <v>22252</v>
      </c>
      <c r="C4351" t="str">
        <f>"9780773528895"</f>
        <v>9780773528895</v>
      </c>
      <c r="D4351" t="str">
        <f>"9780773586154"</f>
        <v>9780773586154</v>
      </c>
      <c r="E4351" t="s">
        <v>12863</v>
      </c>
      <c r="F4351" t="s">
        <v>12863</v>
      </c>
      <c r="G4351" s="1">
        <v>38299</v>
      </c>
      <c r="J4351" t="s">
        <v>22253</v>
      </c>
      <c r="K4351" t="s">
        <v>1464</v>
      </c>
      <c r="L4351" t="s">
        <v>22254</v>
      </c>
      <c r="M4351">
        <v>822.91200000000003</v>
      </c>
      <c r="N4351" t="s">
        <v>22255</v>
      </c>
      <c r="O4351" t="s">
        <v>26</v>
      </c>
      <c r="P4351">
        <v>74.930000000000007</v>
      </c>
      <c r="Q4351">
        <v>62.44</v>
      </c>
      <c r="R4351">
        <v>49.95</v>
      </c>
      <c r="S4351">
        <v>74.930000000000007</v>
      </c>
      <c r="T4351" t="s">
        <v>22256</v>
      </c>
    </row>
    <row r="4352" spans="1:20">
      <c r="A4352">
        <v>3332423</v>
      </c>
      <c r="B4352" t="s">
        <v>22257</v>
      </c>
      <c r="C4352" t="str">
        <f>"9780773529618"</f>
        <v>9780773529618</v>
      </c>
      <c r="D4352" t="str">
        <f>"9780773585195"</f>
        <v>9780773585195</v>
      </c>
      <c r="E4352" t="s">
        <v>12863</v>
      </c>
      <c r="F4352" t="s">
        <v>12863</v>
      </c>
      <c r="G4352" s="1">
        <v>38368</v>
      </c>
      <c r="J4352" t="s">
        <v>22258</v>
      </c>
      <c r="K4352" t="s">
        <v>416</v>
      </c>
      <c r="L4352" t="s">
        <v>22259</v>
      </c>
      <c r="M4352" t="s">
        <v>22260</v>
      </c>
      <c r="N4352" t="s">
        <v>22261</v>
      </c>
      <c r="O4352" t="s">
        <v>26</v>
      </c>
      <c r="P4352">
        <v>142.5</v>
      </c>
      <c r="Q4352">
        <v>118.75</v>
      </c>
      <c r="R4352">
        <v>95</v>
      </c>
      <c r="S4352">
        <v>142.5</v>
      </c>
      <c r="T4352" t="s">
        <v>22262</v>
      </c>
    </row>
    <row r="4353" spans="1:20">
      <c r="A4353">
        <v>3332424</v>
      </c>
      <c r="B4353" t="s">
        <v>22263</v>
      </c>
      <c r="C4353" t="str">
        <f>"9780773537842"</f>
        <v>9780773537842</v>
      </c>
      <c r="D4353" t="str">
        <f>"9780773580688"</f>
        <v>9780773580688</v>
      </c>
      <c r="E4353" t="s">
        <v>12863</v>
      </c>
      <c r="F4353" t="s">
        <v>12863</v>
      </c>
      <c r="G4353" s="1">
        <v>40491</v>
      </c>
      <c r="J4353" t="s">
        <v>22264</v>
      </c>
      <c r="K4353" t="s">
        <v>257</v>
      </c>
      <c r="L4353" t="s">
        <v>22265</v>
      </c>
      <c r="M4353" t="s">
        <v>22266</v>
      </c>
      <c r="N4353" t="s">
        <v>22267</v>
      </c>
      <c r="O4353" t="s">
        <v>26</v>
      </c>
      <c r="P4353">
        <v>142.5</v>
      </c>
      <c r="Q4353">
        <v>118.75</v>
      </c>
      <c r="R4353">
        <v>95</v>
      </c>
      <c r="S4353">
        <v>142.5</v>
      </c>
      <c r="T4353" t="s">
        <v>22268</v>
      </c>
    </row>
    <row r="4354" spans="1:20">
      <c r="A4354">
        <v>3332425</v>
      </c>
      <c r="B4354" t="s">
        <v>22269</v>
      </c>
      <c r="C4354" t="str">
        <f>"9780773529809"</f>
        <v>9780773529809</v>
      </c>
      <c r="D4354" t="str">
        <f>"9780773582668"</f>
        <v>9780773582668</v>
      </c>
      <c r="E4354" t="s">
        <v>12863</v>
      </c>
      <c r="F4354" t="s">
        <v>12863</v>
      </c>
      <c r="G4354" s="1">
        <v>38560</v>
      </c>
      <c r="I4354" t="s">
        <v>21583</v>
      </c>
      <c r="J4354" t="s">
        <v>22270</v>
      </c>
      <c r="K4354" t="s">
        <v>1859</v>
      </c>
      <c r="L4354" t="s">
        <v>22271</v>
      </c>
      <c r="M4354">
        <v>193</v>
      </c>
      <c r="N4354" t="s">
        <v>22272</v>
      </c>
      <c r="O4354" t="s">
        <v>26</v>
      </c>
      <c r="P4354">
        <v>44.93</v>
      </c>
      <c r="Q4354">
        <v>37.44</v>
      </c>
      <c r="R4354">
        <v>29.95</v>
      </c>
      <c r="S4354">
        <v>44.93</v>
      </c>
      <c r="T4354" t="s">
        <v>22273</v>
      </c>
    </row>
    <row r="4355" spans="1:20">
      <c r="A4355">
        <v>3332426</v>
      </c>
      <c r="B4355" t="s">
        <v>22274</v>
      </c>
      <c r="C4355" t="str">
        <f>"9780773536807"</f>
        <v>9780773536807</v>
      </c>
      <c r="D4355" t="str">
        <f>"9780773583474"</f>
        <v>9780773583474</v>
      </c>
      <c r="E4355" t="s">
        <v>12863</v>
      </c>
      <c r="F4355" t="s">
        <v>12863</v>
      </c>
      <c r="G4355" s="1">
        <v>40283</v>
      </c>
      <c r="J4355" t="s">
        <v>22275</v>
      </c>
      <c r="K4355" t="s">
        <v>1127</v>
      </c>
      <c r="L4355" t="s">
        <v>22276</v>
      </c>
      <c r="M4355">
        <v>154.19999999999999</v>
      </c>
      <c r="N4355" t="s">
        <v>22277</v>
      </c>
      <c r="O4355" t="s">
        <v>26</v>
      </c>
      <c r="P4355">
        <v>142.5</v>
      </c>
      <c r="Q4355">
        <v>118.75</v>
      </c>
      <c r="R4355">
        <v>95</v>
      </c>
      <c r="S4355">
        <v>142.5</v>
      </c>
      <c r="T4355" t="s">
        <v>22278</v>
      </c>
    </row>
    <row r="4356" spans="1:20">
      <c r="A4356">
        <v>3332427</v>
      </c>
      <c r="B4356" t="s">
        <v>22279</v>
      </c>
      <c r="C4356" t="str">
        <f>"9780773536579"</f>
        <v>9780773536579</v>
      </c>
      <c r="D4356" t="str">
        <f>"9780773584648"</f>
        <v>9780773584648</v>
      </c>
      <c r="E4356" t="s">
        <v>12863</v>
      </c>
      <c r="F4356" t="s">
        <v>12863</v>
      </c>
      <c r="G4356" s="1">
        <v>40193</v>
      </c>
      <c r="J4356" t="s">
        <v>22280</v>
      </c>
      <c r="K4356" t="s">
        <v>1464</v>
      </c>
      <c r="L4356" t="s">
        <v>22281</v>
      </c>
      <c r="M4356">
        <v>810.93579999999997</v>
      </c>
      <c r="N4356" t="s">
        <v>22282</v>
      </c>
      <c r="O4356" t="s">
        <v>26</v>
      </c>
      <c r="P4356">
        <v>142.5</v>
      </c>
      <c r="Q4356">
        <v>118.75</v>
      </c>
      <c r="R4356">
        <v>95</v>
      </c>
      <c r="S4356">
        <v>142.5</v>
      </c>
      <c r="T4356" t="s">
        <v>22283</v>
      </c>
    </row>
    <row r="4357" spans="1:20">
      <c r="A4357">
        <v>3332428</v>
      </c>
      <c r="B4357" t="s">
        <v>22284</v>
      </c>
      <c r="C4357" t="str">
        <f>"9780886290870"</f>
        <v>9780886290870</v>
      </c>
      <c r="D4357" t="str">
        <f>"9780773584280"</f>
        <v>9780773584280</v>
      </c>
      <c r="E4357" t="s">
        <v>12863</v>
      </c>
      <c r="F4357" t="s">
        <v>12863</v>
      </c>
      <c r="G4357" s="1">
        <v>41773</v>
      </c>
      <c r="I4357" t="s">
        <v>13270</v>
      </c>
      <c r="J4357" t="s">
        <v>22285</v>
      </c>
      <c r="K4357" t="s">
        <v>525</v>
      </c>
      <c r="L4357" t="s">
        <v>22286</v>
      </c>
      <c r="M4357" t="s">
        <v>22287</v>
      </c>
      <c r="N4357" t="s">
        <v>22288</v>
      </c>
      <c r="O4357" t="s">
        <v>26</v>
      </c>
      <c r="P4357">
        <v>127.5</v>
      </c>
      <c r="Q4357">
        <v>106.25</v>
      </c>
      <c r="R4357">
        <v>85</v>
      </c>
      <c r="S4357">
        <v>127.5</v>
      </c>
      <c r="T4357" t="s">
        <v>22289</v>
      </c>
    </row>
    <row r="4358" spans="1:20">
      <c r="A4358">
        <v>3332429</v>
      </c>
      <c r="B4358" t="s">
        <v>22290</v>
      </c>
      <c r="C4358" t="str">
        <f>"9780773506312"</f>
        <v>9780773506312</v>
      </c>
      <c r="D4358" t="str">
        <f>"9780773580732"</f>
        <v>9780773580732</v>
      </c>
      <c r="E4358" t="s">
        <v>12863</v>
      </c>
      <c r="F4358" t="s">
        <v>12863</v>
      </c>
      <c r="G4358" s="1">
        <v>32021</v>
      </c>
      <c r="J4358" t="s">
        <v>22291</v>
      </c>
      <c r="K4358" t="s">
        <v>2312</v>
      </c>
      <c r="L4358" t="s">
        <v>22292</v>
      </c>
      <c r="M4358" t="s">
        <v>22293</v>
      </c>
      <c r="N4358" t="s">
        <v>22294</v>
      </c>
      <c r="O4358" t="s">
        <v>26</v>
      </c>
      <c r="P4358">
        <v>142.5</v>
      </c>
      <c r="Q4358">
        <v>118.75</v>
      </c>
      <c r="R4358">
        <v>95</v>
      </c>
      <c r="S4358">
        <v>142.5</v>
      </c>
      <c r="T4358" t="s">
        <v>22295</v>
      </c>
    </row>
    <row r="4359" spans="1:20">
      <c r="A4359">
        <v>3332430</v>
      </c>
      <c r="B4359" t="s">
        <v>22296</v>
      </c>
      <c r="C4359" t="str">
        <f>"9780773516953"</f>
        <v>9780773516953</v>
      </c>
      <c r="D4359" t="str">
        <f>"9780773580947"</f>
        <v>9780773580947</v>
      </c>
      <c r="E4359" t="s">
        <v>12863</v>
      </c>
      <c r="F4359" t="s">
        <v>12863</v>
      </c>
      <c r="G4359" s="1">
        <v>35599</v>
      </c>
      <c r="J4359" t="s">
        <v>22297</v>
      </c>
      <c r="K4359" t="s">
        <v>22298</v>
      </c>
      <c r="L4359" t="s">
        <v>22299</v>
      </c>
      <c r="M4359" t="s">
        <v>22300</v>
      </c>
      <c r="N4359" t="s">
        <v>22301</v>
      </c>
      <c r="O4359" t="s">
        <v>26</v>
      </c>
      <c r="P4359">
        <v>142.5</v>
      </c>
      <c r="Q4359">
        <v>118.75</v>
      </c>
      <c r="R4359">
        <v>95</v>
      </c>
      <c r="S4359">
        <v>142.5</v>
      </c>
      <c r="T4359" t="s">
        <v>22302</v>
      </c>
    </row>
    <row r="4360" spans="1:20">
      <c r="A4360">
        <v>3332431</v>
      </c>
      <c r="B4360" t="s">
        <v>22303</v>
      </c>
      <c r="C4360" t="str">
        <f>"9780773538276"</f>
        <v>9780773538276</v>
      </c>
      <c r="D4360" t="str">
        <f>"9780773586260"</f>
        <v>9780773586260</v>
      </c>
      <c r="E4360" t="s">
        <v>12863</v>
      </c>
      <c r="F4360" t="s">
        <v>12863</v>
      </c>
      <c r="G4360" s="1">
        <v>40560</v>
      </c>
      <c r="J4360" t="s">
        <v>22304</v>
      </c>
      <c r="K4360" t="s">
        <v>22305</v>
      </c>
      <c r="L4360" t="s">
        <v>22306</v>
      </c>
      <c r="M4360" t="s">
        <v>22307</v>
      </c>
      <c r="N4360" t="s">
        <v>22308</v>
      </c>
      <c r="O4360" t="s">
        <v>26</v>
      </c>
      <c r="P4360">
        <v>142.5</v>
      </c>
      <c r="Q4360">
        <v>118.75</v>
      </c>
      <c r="R4360">
        <v>95</v>
      </c>
      <c r="S4360">
        <v>142.5</v>
      </c>
      <c r="T4360" t="s">
        <v>22309</v>
      </c>
    </row>
    <row r="4361" spans="1:20">
      <c r="A4361">
        <v>3332432</v>
      </c>
      <c r="B4361" t="s">
        <v>22310</v>
      </c>
      <c r="C4361" t="str">
        <f>"9780773504127"</f>
        <v>9780773504127</v>
      </c>
      <c r="D4361" t="str">
        <f>"9780773581036"</f>
        <v>9780773581036</v>
      </c>
      <c r="E4361" t="s">
        <v>12863</v>
      </c>
      <c r="F4361" t="s">
        <v>12863</v>
      </c>
      <c r="G4361" s="1">
        <v>30590</v>
      </c>
      <c r="J4361" t="s">
        <v>13418</v>
      </c>
      <c r="K4361" t="s">
        <v>263</v>
      </c>
      <c r="L4361" t="s">
        <v>22311</v>
      </c>
      <c r="M4361" t="s">
        <v>22312</v>
      </c>
      <c r="N4361" t="s">
        <v>22313</v>
      </c>
      <c r="O4361" t="s">
        <v>26</v>
      </c>
      <c r="P4361">
        <v>142.5</v>
      </c>
      <c r="Q4361">
        <v>118.75</v>
      </c>
      <c r="R4361">
        <v>95</v>
      </c>
      <c r="S4361">
        <v>142.5</v>
      </c>
      <c r="T4361" t="s">
        <v>22314</v>
      </c>
    </row>
    <row r="4362" spans="1:20">
      <c r="A4362">
        <v>3332433</v>
      </c>
      <c r="B4362" t="s">
        <v>22315</v>
      </c>
      <c r="C4362" t="str">
        <f>"9780773537033"</f>
        <v>9780773537033</v>
      </c>
      <c r="D4362" t="str">
        <f>"9780773583313"</f>
        <v>9780773583313</v>
      </c>
      <c r="E4362" t="s">
        <v>12863</v>
      </c>
      <c r="F4362" t="s">
        <v>12863</v>
      </c>
      <c r="G4362" s="1">
        <v>40316</v>
      </c>
      <c r="J4362" t="s">
        <v>22316</v>
      </c>
      <c r="K4362" t="s">
        <v>22317</v>
      </c>
      <c r="L4362" t="s">
        <v>22318</v>
      </c>
      <c r="M4362">
        <v>971.60299999999995</v>
      </c>
      <c r="N4362" t="s">
        <v>22319</v>
      </c>
      <c r="O4362" t="s">
        <v>26</v>
      </c>
      <c r="P4362">
        <v>142.5</v>
      </c>
      <c r="Q4362">
        <v>118.75</v>
      </c>
      <c r="R4362">
        <v>95</v>
      </c>
      <c r="S4362">
        <v>142.5</v>
      </c>
      <c r="T4362" t="s">
        <v>22320</v>
      </c>
    </row>
    <row r="4363" spans="1:20">
      <c r="A4363">
        <v>3332434</v>
      </c>
      <c r="B4363" t="s">
        <v>22321</v>
      </c>
      <c r="C4363" t="str">
        <f>"9780773538634"</f>
        <v>9780773538634</v>
      </c>
      <c r="D4363" t="str">
        <f>"9780773581098"</f>
        <v>9780773581098</v>
      </c>
      <c r="E4363" t="s">
        <v>12863</v>
      </c>
      <c r="F4363" t="s">
        <v>12863</v>
      </c>
      <c r="G4363" s="1">
        <v>40584</v>
      </c>
      <c r="J4363" t="s">
        <v>22322</v>
      </c>
      <c r="K4363" t="s">
        <v>416</v>
      </c>
      <c r="L4363" t="s">
        <v>22323</v>
      </c>
      <c r="M4363">
        <v>332.6</v>
      </c>
      <c r="N4363" t="s">
        <v>22324</v>
      </c>
      <c r="O4363" t="s">
        <v>26</v>
      </c>
      <c r="P4363">
        <v>29.93</v>
      </c>
      <c r="Q4363">
        <v>24.94</v>
      </c>
      <c r="R4363">
        <v>19.95</v>
      </c>
      <c r="S4363">
        <v>29.93</v>
      </c>
      <c r="T4363" t="s">
        <v>22325</v>
      </c>
    </row>
    <row r="4364" spans="1:20">
      <c r="A4364">
        <v>3332435</v>
      </c>
      <c r="B4364" t="s">
        <v>22326</v>
      </c>
      <c r="C4364" t="str">
        <f>"9780773537309"</f>
        <v>9780773537309</v>
      </c>
      <c r="D4364" t="str">
        <f>"9780773585508"</f>
        <v>9780773585508</v>
      </c>
      <c r="E4364" t="s">
        <v>12863</v>
      </c>
      <c r="F4364" t="s">
        <v>12863</v>
      </c>
      <c r="G4364" s="1">
        <v>40360</v>
      </c>
      <c r="J4364" t="s">
        <v>12450</v>
      </c>
      <c r="K4364" t="s">
        <v>291</v>
      </c>
      <c r="L4364" t="s">
        <v>22327</v>
      </c>
      <c r="M4364" t="s">
        <v>22328</v>
      </c>
      <c r="N4364" t="s">
        <v>22329</v>
      </c>
      <c r="O4364" t="s">
        <v>26</v>
      </c>
      <c r="P4364">
        <v>74.930000000000007</v>
      </c>
      <c r="Q4364">
        <v>62.44</v>
      </c>
      <c r="R4364">
        <v>49.95</v>
      </c>
      <c r="S4364">
        <v>74.930000000000007</v>
      </c>
      <c r="T4364" t="s">
        <v>22330</v>
      </c>
    </row>
    <row r="4365" spans="1:20">
      <c r="A4365">
        <v>3332436</v>
      </c>
      <c r="B4365" t="s">
        <v>22331</v>
      </c>
      <c r="C4365" t="str">
        <f>"9780773502024"</f>
        <v>9780773502024</v>
      </c>
      <c r="D4365" t="str">
        <f>"9780773580633"</f>
        <v>9780773580633</v>
      </c>
      <c r="E4365" t="s">
        <v>12863</v>
      </c>
      <c r="F4365" t="s">
        <v>12863</v>
      </c>
      <c r="G4365" s="1">
        <v>27515</v>
      </c>
      <c r="J4365" t="s">
        <v>14420</v>
      </c>
      <c r="K4365" t="s">
        <v>263</v>
      </c>
      <c r="L4365" t="s">
        <v>22332</v>
      </c>
      <c r="M4365" t="s">
        <v>22333</v>
      </c>
      <c r="N4365" t="s">
        <v>22334</v>
      </c>
      <c r="O4365" t="s">
        <v>26</v>
      </c>
      <c r="P4365">
        <v>142.5</v>
      </c>
      <c r="Q4365">
        <v>118.75</v>
      </c>
      <c r="R4365">
        <v>95</v>
      </c>
      <c r="S4365">
        <v>142.5</v>
      </c>
      <c r="T4365" t="s">
        <v>22335</v>
      </c>
    </row>
    <row r="4366" spans="1:20">
      <c r="A4366">
        <v>3332437</v>
      </c>
      <c r="B4366" t="s">
        <v>22336</v>
      </c>
      <c r="C4366" t="str">
        <f>"9780773513433"</f>
        <v>9780773513433</v>
      </c>
      <c r="D4366" t="str">
        <f>"9780773585355"</f>
        <v>9780773585355</v>
      </c>
      <c r="E4366" t="s">
        <v>12863</v>
      </c>
      <c r="F4366" t="s">
        <v>12863</v>
      </c>
      <c r="G4366" s="1">
        <v>34759</v>
      </c>
      <c r="J4366" t="s">
        <v>15029</v>
      </c>
      <c r="K4366" t="s">
        <v>3230</v>
      </c>
      <c r="L4366" t="s">
        <v>22337</v>
      </c>
      <c r="M4366" t="s">
        <v>22338</v>
      </c>
      <c r="N4366" t="s">
        <v>22339</v>
      </c>
      <c r="O4366" t="s">
        <v>26</v>
      </c>
      <c r="P4366">
        <v>29.93</v>
      </c>
      <c r="Q4366">
        <v>24.94</v>
      </c>
      <c r="R4366">
        <v>19.95</v>
      </c>
      <c r="S4366">
        <v>29.93</v>
      </c>
      <c r="T4366" t="s">
        <v>22340</v>
      </c>
    </row>
    <row r="4367" spans="1:20">
      <c r="A4367">
        <v>3332438</v>
      </c>
      <c r="B4367" t="s">
        <v>22341</v>
      </c>
      <c r="C4367" t="str">
        <f>"9780773537712"</f>
        <v>9780773537712</v>
      </c>
      <c r="D4367" t="str">
        <f>"9780773586529"</f>
        <v>9780773586529</v>
      </c>
      <c r="E4367" t="s">
        <v>12863</v>
      </c>
      <c r="F4367" t="s">
        <v>12863</v>
      </c>
      <c r="G4367" s="1">
        <v>40638</v>
      </c>
      <c r="J4367" t="s">
        <v>18859</v>
      </c>
      <c r="K4367" t="s">
        <v>22342</v>
      </c>
      <c r="L4367" t="s">
        <v>22343</v>
      </c>
      <c r="M4367">
        <v>178</v>
      </c>
      <c r="N4367" t="s">
        <v>22344</v>
      </c>
      <c r="O4367" t="s">
        <v>26</v>
      </c>
      <c r="P4367">
        <v>52.43</v>
      </c>
      <c r="Q4367">
        <v>43.69</v>
      </c>
      <c r="R4367">
        <v>34.950000000000003</v>
      </c>
      <c r="S4367">
        <v>52.43</v>
      </c>
      <c r="T4367" t="s">
        <v>22345</v>
      </c>
    </row>
    <row r="4368" spans="1:20">
      <c r="A4368">
        <v>3332439</v>
      </c>
      <c r="B4368" t="s">
        <v>22346</v>
      </c>
      <c r="C4368" t="str">
        <f>"9780773538641"</f>
        <v>9780773538641</v>
      </c>
      <c r="D4368" t="str">
        <f>"9780773586161"</f>
        <v>9780773586161</v>
      </c>
      <c r="E4368" t="s">
        <v>12863</v>
      </c>
      <c r="F4368" t="s">
        <v>12863</v>
      </c>
      <c r="G4368" s="1">
        <v>40604</v>
      </c>
      <c r="J4368" t="s">
        <v>22347</v>
      </c>
      <c r="K4368" t="s">
        <v>1464</v>
      </c>
      <c r="L4368" t="s">
        <v>22348</v>
      </c>
      <c r="M4368" t="s">
        <v>2738</v>
      </c>
      <c r="N4368" t="s">
        <v>22349</v>
      </c>
      <c r="O4368" t="s">
        <v>26</v>
      </c>
      <c r="P4368">
        <v>28.43</v>
      </c>
      <c r="Q4368">
        <v>23.69</v>
      </c>
      <c r="R4368">
        <v>18.95</v>
      </c>
      <c r="S4368">
        <v>28.43</v>
      </c>
      <c r="T4368" t="s">
        <v>22350</v>
      </c>
    </row>
    <row r="4369" spans="1:20">
      <c r="A4369">
        <v>3332440</v>
      </c>
      <c r="B4369" t="s">
        <v>22351</v>
      </c>
      <c r="C4369" t="str">
        <f>"9780773537798"</f>
        <v>9780773537798</v>
      </c>
      <c r="D4369" t="str">
        <f>"9780773580695"</f>
        <v>9780773580695</v>
      </c>
      <c r="E4369" t="s">
        <v>12863</v>
      </c>
      <c r="F4369" t="s">
        <v>12863</v>
      </c>
      <c r="G4369" s="1">
        <v>40553</v>
      </c>
      <c r="J4369" t="s">
        <v>22352</v>
      </c>
      <c r="K4369" t="s">
        <v>22353</v>
      </c>
      <c r="L4369" t="s">
        <v>22354</v>
      </c>
      <c r="M4369" t="s">
        <v>22355</v>
      </c>
      <c r="N4369" t="s">
        <v>22356</v>
      </c>
      <c r="O4369" t="s">
        <v>26</v>
      </c>
      <c r="P4369">
        <v>142.5</v>
      </c>
      <c r="Q4369">
        <v>118.75</v>
      </c>
      <c r="R4369">
        <v>95</v>
      </c>
      <c r="S4369">
        <v>142.5</v>
      </c>
      <c r="T4369" t="s">
        <v>22357</v>
      </c>
    </row>
    <row r="4370" spans="1:20">
      <c r="A4370">
        <v>3332441</v>
      </c>
      <c r="B4370" t="s">
        <v>22358</v>
      </c>
      <c r="C4370" t="str">
        <f>"9780773526730"</f>
        <v>9780773526730</v>
      </c>
      <c r="D4370" t="str">
        <f>"9780773582828"</f>
        <v>9780773582828</v>
      </c>
      <c r="E4370" t="s">
        <v>12863</v>
      </c>
      <c r="F4370" t="s">
        <v>12863</v>
      </c>
      <c r="G4370" s="1">
        <v>37789</v>
      </c>
      <c r="I4370" t="s">
        <v>21018</v>
      </c>
      <c r="J4370" t="s">
        <v>22359</v>
      </c>
      <c r="K4370" t="s">
        <v>2498</v>
      </c>
      <c r="L4370" t="s">
        <v>22360</v>
      </c>
      <c r="M4370">
        <v>128.19999999999999</v>
      </c>
      <c r="N4370" t="s">
        <v>22361</v>
      </c>
      <c r="O4370" t="s">
        <v>26</v>
      </c>
      <c r="P4370">
        <v>142.5</v>
      </c>
      <c r="Q4370">
        <v>118.75</v>
      </c>
      <c r="R4370">
        <v>95</v>
      </c>
      <c r="S4370">
        <v>142.5</v>
      </c>
      <c r="T4370" t="s">
        <v>22362</v>
      </c>
    </row>
    <row r="4371" spans="1:20">
      <c r="A4371">
        <v>3332442</v>
      </c>
      <c r="B4371" t="s">
        <v>22363</v>
      </c>
      <c r="C4371" t="str">
        <f>"9780773524637"</f>
        <v>9780773524637</v>
      </c>
      <c r="D4371" t="str">
        <f>"9780773582675"</f>
        <v>9780773582675</v>
      </c>
      <c r="E4371" t="s">
        <v>12863</v>
      </c>
      <c r="F4371" t="s">
        <v>12863</v>
      </c>
      <c r="G4371" s="1">
        <v>37586</v>
      </c>
      <c r="I4371" t="s">
        <v>21018</v>
      </c>
      <c r="J4371" t="s">
        <v>22270</v>
      </c>
      <c r="K4371" t="s">
        <v>1859</v>
      </c>
      <c r="L4371" t="s">
        <v>22364</v>
      </c>
      <c r="M4371">
        <v>111</v>
      </c>
      <c r="N4371" t="s">
        <v>22365</v>
      </c>
      <c r="O4371" t="s">
        <v>26</v>
      </c>
      <c r="P4371">
        <v>44.93</v>
      </c>
      <c r="Q4371">
        <v>37.44</v>
      </c>
      <c r="R4371">
        <v>29.95</v>
      </c>
      <c r="S4371">
        <v>44.93</v>
      </c>
      <c r="T4371" t="s">
        <v>22366</v>
      </c>
    </row>
    <row r="4372" spans="1:20">
      <c r="A4372">
        <v>3332443</v>
      </c>
      <c r="B4372" t="s">
        <v>22367</v>
      </c>
      <c r="C4372" t="str">
        <f>"9780773536593"</f>
        <v>9780773536593</v>
      </c>
      <c r="D4372" t="str">
        <f>"9780773583849"</f>
        <v>9780773583849</v>
      </c>
      <c r="E4372" t="s">
        <v>12863</v>
      </c>
      <c r="F4372" t="s">
        <v>12863</v>
      </c>
      <c r="G4372" s="1">
        <v>40263</v>
      </c>
      <c r="J4372" t="s">
        <v>22368</v>
      </c>
      <c r="K4372" t="s">
        <v>467</v>
      </c>
      <c r="L4372" t="s">
        <v>22369</v>
      </c>
      <c r="M4372" t="s">
        <v>22370</v>
      </c>
      <c r="N4372" t="s">
        <v>22371</v>
      </c>
      <c r="O4372" t="s">
        <v>26</v>
      </c>
      <c r="P4372">
        <v>142.5</v>
      </c>
      <c r="Q4372">
        <v>118.75</v>
      </c>
      <c r="R4372">
        <v>95</v>
      </c>
      <c r="S4372">
        <v>142.5</v>
      </c>
      <c r="T4372" t="s">
        <v>22372</v>
      </c>
    </row>
    <row r="4373" spans="1:20">
      <c r="A4373">
        <v>3332444</v>
      </c>
      <c r="B4373" t="s">
        <v>22373</v>
      </c>
      <c r="C4373" t="str">
        <f>"9780773536838"</f>
        <v>9780773536838</v>
      </c>
      <c r="D4373" t="str">
        <f>"9780773583481"</f>
        <v>9780773583481</v>
      </c>
      <c r="E4373" t="s">
        <v>12863</v>
      </c>
      <c r="F4373" t="s">
        <v>12863</v>
      </c>
      <c r="G4373" s="1">
        <v>40263</v>
      </c>
      <c r="I4373" t="s">
        <v>13288</v>
      </c>
      <c r="J4373" t="s">
        <v>22374</v>
      </c>
      <c r="K4373" t="s">
        <v>291</v>
      </c>
      <c r="L4373" t="s">
        <v>22375</v>
      </c>
      <c r="M4373" t="s">
        <v>22376</v>
      </c>
      <c r="N4373" t="s">
        <v>22377</v>
      </c>
      <c r="O4373" t="s">
        <v>26</v>
      </c>
      <c r="P4373">
        <v>44.93</v>
      </c>
      <c r="Q4373">
        <v>37.44</v>
      </c>
      <c r="R4373">
        <v>29.95</v>
      </c>
      <c r="S4373">
        <v>44.93</v>
      </c>
      <c r="T4373" t="s">
        <v>22378</v>
      </c>
    </row>
    <row r="4374" spans="1:20">
      <c r="A4374">
        <v>3332445</v>
      </c>
      <c r="B4374" t="s">
        <v>22379</v>
      </c>
      <c r="C4374" t="str">
        <f>"9780773529502"</f>
        <v>9780773529502</v>
      </c>
      <c r="D4374" t="str">
        <f>"9780773584655"</f>
        <v>9780773584655</v>
      </c>
      <c r="E4374" t="s">
        <v>12863</v>
      </c>
      <c r="F4374" t="s">
        <v>12863</v>
      </c>
      <c r="G4374" s="1">
        <v>38295</v>
      </c>
      <c r="I4374" t="s">
        <v>21784</v>
      </c>
      <c r="J4374" t="s">
        <v>22380</v>
      </c>
      <c r="K4374" t="s">
        <v>263</v>
      </c>
      <c r="L4374" t="s">
        <v>22381</v>
      </c>
      <c r="M4374">
        <v>305</v>
      </c>
      <c r="N4374" t="s">
        <v>22382</v>
      </c>
      <c r="O4374" t="s">
        <v>26</v>
      </c>
      <c r="P4374">
        <v>142.5</v>
      </c>
      <c r="Q4374">
        <v>118.75</v>
      </c>
      <c r="R4374">
        <v>95</v>
      </c>
      <c r="S4374">
        <v>142.5</v>
      </c>
      <c r="T4374" t="s">
        <v>22383</v>
      </c>
    </row>
    <row r="4375" spans="1:20">
      <c r="A4375">
        <v>3332446</v>
      </c>
      <c r="B4375" t="s">
        <v>22384</v>
      </c>
      <c r="C4375" t="str">
        <f>"9780773519039"</f>
        <v>9780773519039</v>
      </c>
      <c r="D4375" t="str">
        <f>"9780773585461"</f>
        <v>9780773585461</v>
      </c>
      <c r="E4375" t="s">
        <v>12863</v>
      </c>
      <c r="F4375" t="s">
        <v>12863</v>
      </c>
      <c r="G4375" s="1">
        <v>36446</v>
      </c>
      <c r="I4375" t="s">
        <v>19169</v>
      </c>
      <c r="J4375" t="s">
        <v>22385</v>
      </c>
      <c r="K4375" t="s">
        <v>1464</v>
      </c>
      <c r="L4375" t="s">
        <v>22386</v>
      </c>
      <c r="M4375" t="s">
        <v>1497</v>
      </c>
      <c r="N4375" t="s">
        <v>7929</v>
      </c>
      <c r="O4375" t="s">
        <v>26</v>
      </c>
      <c r="P4375">
        <v>25.43</v>
      </c>
      <c r="Q4375">
        <v>21.19</v>
      </c>
      <c r="R4375">
        <v>16.95</v>
      </c>
      <c r="S4375">
        <v>25.43</v>
      </c>
      <c r="T4375" t="s">
        <v>22387</v>
      </c>
    </row>
    <row r="4376" spans="1:20">
      <c r="A4376">
        <v>3332447</v>
      </c>
      <c r="B4376" t="s">
        <v>22388</v>
      </c>
      <c r="C4376" t="str">
        <f>"9780886292430"</f>
        <v>9780886292430</v>
      </c>
      <c r="D4376" t="str">
        <f>"9780773580954"</f>
        <v>9780773580954</v>
      </c>
      <c r="E4376" t="s">
        <v>12863</v>
      </c>
      <c r="F4376" t="s">
        <v>12863</v>
      </c>
      <c r="G4376" s="1">
        <v>34592</v>
      </c>
      <c r="I4376" t="s">
        <v>13270</v>
      </c>
      <c r="J4376" t="s">
        <v>22389</v>
      </c>
      <c r="K4376" t="s">
        <v>6444</v>
      </c>
      <c r="L4376" t="s">
        <v>22390</v>
      </c>
      <c r="M4376">
        <v>327.71</v>
      </c>
      <c r="N4376" t="s">
        <v>22391</v>
      </c>
      <c r="O4376" t="s">
        <v>26</v>
      </c>
      <c r="P4376">
        <v>142.5</v>
      </c>
      <c r="Q4376">
        <v>118.75</v>
      </c>
      <c r="R4376">
        <v>95</v>
      </c>
      <c r="S4376">
        <v>142.5</v>
      </c>
      <c r="T4376" t="s">
        <v>22392</v>
      </c>
    </row>
    <row r="4377" spans="1:20">
      <c r="A4377">
        <v>3332448</v>
      </c>
      <c r="B4377" t="s">
        <v>22393</v>
      </c>
      <c r="C4377" t="str">
        <f>"9780773536746"</f>
        <v>9780773536746</v>
      </c>
      <c r="D4377" t="str">
        <f>"9780773581258"</f>
        <v>9780773581258</v>
      </c>
      <c r="E4377" t="s">
        <v>12863</v>
      </c>
      <c r="F4377" t="s">
        <v>12863</v>
      </c>
      <c r="G4377" s="1">
        <v>40505</v>
      </c>
      <c r="I4377" t="s">
        <v>13270</v>
      </c>
      <c r="J4377" t="s">
        <v>13271</v>
      </c>
      <c r="K4377" t="s">
        <v>291</v>
      </c>
      <c r="L4377" t="s">
        <v>22394</v>
      </c>
      <c r="M4377" t="s">
        <v>22395</v>
      </c>
      <c r="N4377" t="s">
        <v>22396</v>
      </c>
      <c r="O4377" t="s">
        <v>26</v>
      </c>
      <c r="P4377">
        <v>202.5</v>
      </c>
      <c r="Q4377">
        <v>168.75</v>
      </c>
      <c r="R4377">
        <v>135</v>
      </c>
      <c r="S4377">
        <v>202.5</v>
      </c>
      <c r="T4377" t="s">
        <v>22397</v>
      </c>
    </row>
    <row r="4378" spans="1:20">
      <c r="A4378">
        <v>3332449</v>
      </c>
      <c r="B4378" t="s">
        <v>22398</v>
      </c>
      <c r="C4378" t="str">
        <f>"9780886291976"</f>
        <v>9780886291976</v>
      </c>
      <c r="D4378" t="str">
        <f>"9780773583535"</f>
        <v>9780773583535</v>
      </c>
      <c r="E4378" t="s">
        <v>12863</v>
      </c>
      <c r="F4378" t="s">
        <v>12863</v>
      </c>
      <c r="G4378" s="1">
        <v>34104</v>
      </c>
      <c r="J4378" t="s">
        <v>22399</v>
      </c>
      <c r="K4378" t="s">
        <v>416</v>
      </c>
      <c r="L4378" t="s">
        <v>22400</v>
      </c>
      <c r="M4378">
        <v>338.4</v>
      </c>
      <c r="N4378" t="s">
        <v>22401</v>
      </c>
      <c r="O4378" t="s">
        <v>26</v>
      </c>
      <c r="P4378">
        <v>142.5</v>
      </c>
      <c r="Q4378">
        <v>118.75</v>
      </c>
      <c r="R4378">
        <v>95</v>
      </c>
      <c r="S4378">
        <v>142.5</v>
      </c>
      <c r="T4378" t="s">
        <v>22402</v>
      </c>
    </row>
    <row r="4379" spans="1:20">
      <c r="A4379">
        <v>3332450</v>
      </c>
      <c r="B4379" t="s">
        <v>22403</v>
      </c>
      <c r="C4379" t="str">
        <f>"9780886293246"</f>
        <v>9780886293246</v>
      </c>
      <c r="D4379" t="str">
        <f>"9780773584709"</f>
        <v>9780773584709</v>
      </c>
      <c r="E4379" t="s">
        <v>12863</v>
      </c>
      <c r="F4379" t="s">
        <v>12863</v>
      </c>
      <c r="G4379" s="1">
        <v>35504</v>
      </c>
      <c r="I4379" t="s">
        <v>21105</v>
      </c>
      <c r="J4379" t="s">
        <v>1565</v>
      </c>
      <c r="K4379" t="s">
        <v>1464</v>
      </c>
      <c r="L4379" t="s">
        <v>22404</v>
      </c>
      <c r="M4379" t="s">
        <v>1497</v>
      </c>
      <c r="N4379" t="s">
        <v>22405</v>
      </c>
      <c r="O4379" t="s">
        <v>26</v>
      </c>
      <c r="P4379">
        <v>142.5</v>
      </c>
      <c r="Q4379">
        <v>118.75</v>
      </c>
      <c r="R4379">
        <v>95</v>
      </c>
      <c r="S4379">
        <v>142.5</v>
      </c>
      <c r="T4379" t="s">
        <v>22406</v>
      </c>
    </row>
    <row r="4380" spans="1:20">
      <c r="A4380">
        <v>3332451</v>
      </c>
      <c r="B4380" t="s">
        <v>22407</v>
      </c>
      <c r="C4380" t="str">
        <f>"9780773527768"</f>
        <v>9780773527768</v>
      </c>
      <c r="D4380" t="str">
        <f>"9780773585300"</f>
        <v>9780773585300</v>
      </c>
      <c r="E4380" t="s">
        <v>12863</v>
      </c>
      <c r="F4380" t="s">
        <v>12863</v>
      </c>
      <c r="G4380" s="1">
        <v>38103</v>
      </c>
      <c r="I4380" t="s">
        <v>21583</v>
      </c>
      <c r="J4380" t="s">
        <v>22408</v>
      </c>
      <c r="K4380" t="s">
        <v>1859</v>
      </c>
      <c r="L4380" t="s">
        <v>22409</v>
      </c>
      <c r="M4380">
        <v>193</v>
      </c>
      <c r="N4380" t="s">
        <v>22410</v>
      </c>
      <c r="O4380" t="s">
        <v>26</v>
      </c>
      <c r="P4380">
        <v>44.93</v>
      </c>
      <c r="Q4380">
        <v>37.44</v>
      </c>
      <c r="R4380">
        <v>29.95</v>
      </c>
      <c r="S4380">
        <v>44.93</v>
      </c>
      <c r="T4380" t="s">
        <v>22411</v>
      </c>
    </row>
    <row r="4381" spans="1:20">
      <c r="A4381">
        <v>3332452</v>
      </c>
      <c r="B4381" t="s">
        <v>22412</v>
      </c>
      <c r="C4381" t="str">
        <f>"9780773539402"</f>
        <v>9780773539402</v>
      </c>
      <c r="D4381" t="str">
        <f>"9780773585515"</f>
        <v>9780773585515</v>
      </c>
      <c r="E4381" t="s">
        <v>12863</v>
      </c>
      <c r="F4381" t="s">
        <v>12863</v>
      </c>
      <c r="G4381" s="1">
        <v>40544</v>
      </c>
      <c r="I4381" t="s">
        <v>21018</v>
      </c>
      <c r="J4381" t="s">
        <v>22413</v>
      </c>
      <c r="K4381" t="s">
        <v>1859</v>
      </c>
      <c r="L4381" t="s">
        <v>22414</v>
      </c>
      <c r="M4381">
        <v>121.3</v>
      </c>
      <c r="N4381" t="s">
        <v>22415</v>
      </c>
      <c r="O4381" t="s">
        <v>26</v>
      </c>
      <c r="P4381">
        <v>150</v>
      </c>
      <c r="Q4381">
        <v>125</v>
      </c>
      <c r="R4381">
        <v>100</v>
      </c>
      <c r="S4381">
        <v>150</v>
      </c>
      <c r="T4381" t="s">
        <v>22416</v>
      </c>
    </row>
    <row r="4382" spans="1:20">
      <c r="A4382">
        <v>3332453</v>
      </c>
      <c r="B4382" t="s">
        <v>22417</v>
      </c>
      <c r="C4382" t="str">
        <f>"9780773540224"</f>
        <v>9780773540224</v>
      </c>
      <c r="D4382" t="str">
        <f>"9780773587595"</f>
        <v>9780773587595</v>
      </c>
      <c r="E4382" t="s">
        <v>12863</v>
      </c>
      <c r="F4382" t="s">
        <v>12863</v>
      </c>
      <c r="G4382" s="1">
        <v>41030</v>
      </c>
      <c r="J4382" t="s">
        <v>22418</v>
      </c>
      <c r="K4382" t="s">
        <v>14194</v>
      </c>
      <c r="L4382" t="s">
        <v>22419</v>
      </c>
      <c r="M4382">
        <v>341.65</v>
      </c>
      <c r="N4382" t="s">
        <v>22420</v>
      </c>
      <c r="O4382" t="s">
        <v>26</v>
      </c>
      <c r="P4382">
        <v>37.43</v>
      </c>
      <c r="Q4382">
        <v>31.19</v>
      </c>
      <c r="R4382">
        <v>24.95</v>
      </c>
      <c r="S4382">
        <v>37.43</v>
      </c>
      <c r="T4382" t="s">
        <v>22421</v>
      </c>
    </row>
    <row r="4383" spans="1:20">
      <c r="A4383">
        <v>3332454</v>
      </c>
      <c r="B4383" t="s">
        <v>22422</v>
      </c>
      <c r="C4383" t="str">
        <f>"9780773539594"</f>
        <v>9780773539594</v>
      </c>
      <c r="D4383" t="str">
        <f>"9780773587229"</f>
        <v>9780773587229</v>
      </c>
      <c r="E4383" t="s">
        <v>12863</v>
      </c>
      <c r="F4383" t="s">
        <v>12863</v>
      </c>
      <c r="G4383" s="1">
        <v>41086</v>
      </c>
      <c r="J4383" t="s">
        <v>22423</v>
      </c>
      <c r="K4383" t="s">
        <v>467</v>
      </c>
      <c r="L4383" t="s">
        <v>22424</v>
      </c>
      <c r="M4383">
        <v>351</v>
      </c>
      <c r="N4383" t="s">
        <v>22425</v>
      </c>
      <c r="O4383" t="s">
        <v>26</v>
      </c>
      <c r="P4383">
        <v>142.5</v>
      </c>
      <c r="Q4383">
        <v>118.75</v>
      </c>
      <c r="R4383">
        <v>95</v>
      </c>
      <c r="S4383">
        <v>142.5</v>
      </c>
      <c r="T4383" t="s">
        <v>22426</v>
      </c>
    </row>
    <row r="4384" spans="1:20">
      <c r="A4384">
        <v>3332455</v>
      </c>
      <c r="B4384" t="s">
        <v>22427</v>
      </c>
      <c r="C4384" t="str">
        <f>"9780773539969"</f>
        <v>9780773539969</v>
      </c>
      <c r="D4384" t="str">
        <f>"9780773587380"</f>
        <v>9780773587380</v>
      </c>
      <c r="E4384" t="s">
        <v>12863</v>
      </c>
      <c r="F4384" t="s">
        <v>12863</v>
      </c>
      <c r="G4384" s="1">
        <v>41030</v>
      </c>
      <c r="J4384" t="s">
        <v>22428</v>
      </c>
      <c r="K4384" t="s">
        <v>467</v>
      </c>
      <c r="L4384" t="s">
        <v>22429</v>
      </c>
      <c r="M4384">
        <v>323</v>
      </c>
      <c r="N4384" t="s">
        <v>22430</v>
      </c>
      <c r="O4384" t="s">
        <v>26</v>
      </c>
      <c r="P4384">
        <v>142.5</v>
      </c>
      <c r="Q4384">
        <v>118.75</v>
      </c>
      <c r="R4384">
        <v>95</v>
      </c>
      <c r="S4384">
        <v>142.5</v>
      </c>
      <c r="T4384" t="s">
        <v>22431</v>
      </c>
    </row>
    <row r="4385" spans="1:20">
      <c r="A4385">
        <v>3332456</v>
      </c>
      <c r="B4385" t="s">
        <v>22432</v>
      </c>
      <c r="C4385" t="str">
        <f>"9780773536869"</f>
        <v>9780773536869</v>
      </c>
      <c r="D4385" t="str">
        <f>"9780773581838"</f>
        <v>9780773581838</v>
      </c>
      <c r="E4385" t="s">
        <v>12863</v>
      </c>
      <c r="F4385" t="s">
        <v>12863</v>
      </c>
      <c r="G4385" s="1">
        <v>40217</v>
      </c>
      <c r="J4385" t="s">
        <v>22433</v>
      </c>
      <c r="K4385" t="s">
        <v>525</v>
      </c>
      <c r="L4385" t="s">
        <v>22434</v>
      </c>
      <c r="M4385">
        <v>346.7</v>
      </c>
      <c r="N4385" t="s">
        <v>22435</v>
      </c>
      <c r="O4385" t="s">
        <v>26</v>
      </c>
      <c r="P4385">
        <v>52.43</v>
      </c>
      <c r="Q4385">
        <v>43.69</v>
      </c>
      <c r="R4385">
        <v>34.950000000000003</v>
      </c>
      <c r="S4385">
        <v>52.43</v>
      </c>
      <c r="T4385" t="s">
        <v>22436</v>
      </c>
    </row>
    <row r="4386" spans="1:20">
      <c r="A4386">
        <v>3332457</v>
      </c>
      <c r="B4386" t="s">
        <v>22437</v>
      </c>
      <c r="C4386" t="str">
        <f>"9782894484531"</f>
        <v>9782894484531</v>
      </c>
      <c r="D4386" t="str">
        <f>"9780773586178"</f>
        <v>9780773586178</v>
      </c>
      <c r="E4386" t="s">
        <v>12863</v>
      </c>
      <c r="F4386" t="s">
        <v>12863</v>
      </c>
      <c r="G4386" s="1">
        <v>41773</v>
      </c>
      <c r="J4386" t="s">
        <v>22438</v>
      </c>
      <c r="K4386" t="s">
        <v>3230</v>
      </c>
      <c r="L4386" t="s">
        <v>22439</v>
      </c>
      <c r="M4386">
        <v>912.71</v>
      </c>
      <c r="N4386" t="s">
        <v>22440</v>
      </c>
      <c r="O4386" t="s">
        <v>26</v>
      </c>
      <c r="P4386">
        <v>105</v>
      </c>
      <c r="Q4386">
        <v>87.5</v>
      </c>
      <c r="R4386">
        <v>70</v>
      </c>
      <c r="S4386">
        <v>105</v>
      </c>
      <c r="T4386" t="s">
        <v>22441</v>
      </c>
    </row>
    <row r="4387" spans="1:20">
      <c r="A4387">
        <v>3332458</v>
      </c>
      <c r="B4387" t="s">
        <v>22442</v>
      </c>
      <c r="C4387" t="str">
        <f>"9780773539600"</f>
        <v>9780773539600</v>
      </c>
      <c r="D4387" t="str">
        <f>"9780773586826"</f>
        <v>9780773586826</v>
      </c>
      <c r="E4387" t="s">
        <v>12863</v>
      </c>
      <c r="F4387" t="s">
        <v>12863</v>
      </c>
      <c r="G4387" s="1">
        <v>40996</v>
      </c>
      <c r="I4387" t="s">
        <v>19859</v>
      </c>
      <c r="J4387" t="s">
        <v>18104</v>
      </c>
      <c r="K4387" t="s">
        <v>7838</v>
      </c>
      <c r="L4387" t="s">
        <v>22443</v>
      </c>
      <c r="M4387">
        <v>720.97109045000002</v>
      </c>
      <c r="N4387" t="s">
        <v>22444</v>
      </c>
      <c r="O4387" t="s">
        <v>26</v>
      </c>
      <c r="P4387">
        <v>142.5</v>
      </c>
      <c r="Q4387">
        <v>118.75</v>
      </c>
      <c r="R4387">
        <v>95</v>
      </c>
      <c r="S4387">
        <v>142.5</v>
      </c>
      <c r="T4387" t="s">
        <v>22445</v>
      </c>
    </row>
    <row r="4388" spans="1:20">
      <c r="A4388">
        <v>3332459</v>
      </c>
      <c r="B4388" t="s">
        <v>22446</v>
      </c>
      <c r="C4388" t="str">
        <f>"9780773540453"</f>
        <v>9780773540453</v>
      </c>
      <c r="D4388" t="str">
        <f>"9780773587038"</f>
        <v>9780773587038</v>
      </c>
      <c r="E4388" t="s">
        <v>12863</v>
      </c>
      <c r="F4388" t="s">
        <v>12863</v>
      </c>
      <c r="G4388" s="1">
        <v>41153</v>
      </c>
      <c r="J4388" t="s">
        <v>22447</v>
      </c>
      <c r="K4388" t="s">
        <v>257</v>
      </c>
      <c r="L4388" t="s">
        <v>22448</v>
      </c>
      <c r="M4388">
        <v>370</v>
      </c>
      <c r="N4388" t="s">
        <v>22449</v>
      </c>
      <c r="O4388" t="s">
        <v>26</v>
      </c>
      <c r="P4388">
        <v>142.5</v>
      </c>
      <c r="Q4388">
        <v>118.75</v>
      </c>
      <c r="R4388">
        <v>95</v>
      </c>
      <c r="S4388">
        <v>142.5</v>
      </c>
      <c r="T4388" t="s">
        <v>22450</v>
      </c>
    </row>
    <row r="4389" spans="1:20">
      <c r="A4389">
        <v>3332460</v>
      </c>
      <c r="B4389" t="s">
        <v>22451</v>
      </c>
      <c r="C4389" t="str">
        <f>"9780773539082"</f>
        <v>9780773539082</v>
      </c>
      <c r="D4389" t="str">
        <f>"9780773587571"</f>
        <v>9780773587571</v>
      </c>
      <c r="E4389" t="s">
        <v>12863</v>
      </c>
      <c r="F4389" t="s">
        <v>12863</v>
      </c>
      <c r="G4389" s="1">
        <v>41046</v>
      </c>
      <c r="J4389" t="s">
        <v>20109</v>
      </c>
      <c r="K4389" t="s">
        <v>291</v>
      </c>
      <c r="L4389" t="s">
        <v>22452</v>
      </c>
      <c r="M4389">
        <v>971.06230000000005</v>
      </c>
      <c r="N4389" t="s">
        <v>22453</v>
      </c>
      <c r="O4389" t="s">
        <v>26</v>
      </c>
      <c r="P4389">
        <v>52.43</v>
      </c>
      <c r="Q4389">
        <v>43.69</v>
      </c>
      <c r="R4389">
        <v>34.950000000000003</v>
      </c>
      <c r="S4389">
        <v>52.43</v>
      </c>
      <c r="T4389" t="s">
        <v>22454</v>
      </c>
    </row>
    <row r="4390" spans="1:20">
      <c r="A4390">
        <v>3332461</v>
      </c>
      <c r="B4390" t="s">
        <v>22455</v>
      </c>
      <c r="C4390" t="str">
        <f>"9780773538962"</f>
        <v>9780773538962</v>
      </c>
      <c r="D4390" t="str">
        <f>"9780773587502"</f>
        <v>9780773587502</v>
      </c>
      <c r="E4390" t="s">
        <v>12863</v>
      </c>
      <c r="F4390" t="s">
        <v>12863</v>
      </c>
      <c r="G4390" s="1">
        <v>40952</v>
      </c>
      <c r="J4390" t="s">
        <v>22456</v>
      </c>
      <c r="K4390" t="s">
        <v>467</v>
      </c>
      <c r="L4390" t="s">
        <v>22457</v>
      </c>
      <c r="M4390">
        <v>320.54000000000002</v>
      </c>
      <c r="N4390" t="s">
        <v>22458</v>
      </c>
      <c r="O4390" t="s">
        <v>26</v>
      </c>
      <c r="P4390">
        <v>142.5</v>
      </c>
      <c r="Q4390">
        <v>118.75</v>
      </c>
      <c r="R4390">
        <v>95</v>
      </c>
      <c r="S4390">
        <v>142.5</v>
      </c>
      <c r="T4390" t="s">
        <v>22459</v>
      </c>
    </row>
    <row r="4391" spans="1:20">
      <c r="A4391">
        <v>3332462</v>
      </c>
      <c r="B4391" t="s">
        <v>22460</v>
      </c>
      <c r="C4391" t="str">
        <f>"9780773539624"</f>
        <v>9780773539624</v>
      </c>
      <c r="D4391" t="str">
        <f>"9780773587298"</f>
        <v>9780773587298</v>
      </c>
      <c r="E4391" t="s">
        <v>12863</v>
      </c>
      <c r="F4391" t="s">
        <v>12863</v>
      </c>
      <c r="G4391" s="1">
        <v>40987</v>
      </c>
      <c r="J4391" t="s">
        <v>22461</v>
      </c>
      <c r="K4391" t="s">
        <v>1464</v>
      </c>
      <c r="L4391" t="s">
        <v>22462</v>
      </c>
      <c r="M4391">
        <v>813.52</v>
      </c>
      <c r="N4391" t="s">
        <v>22463</v>
      </c>
      <c r="O4391" t="s">
        <v>26</v>
      </c>
      <c r="P4391">
        <v>142.5</v>
      </c>
      <c r="Q4391">
        <v>118.75</v>
      </c>
      <c r="R4391">
        <v>95</v>
      </c>
      <c r="S4391">
        <v>142.5</v>
      </c>
      <c r="T4391" t="s">
        <v>22464</v>
      </c>
    </row>
    <row r="4392" spans="1:20">
      <c r="A4392">
        <v>3332463</v>
      </c>
      <c r="B4392" t="s">
        <v>22465</v>
      </c>
      <c r="C4392" t="str">
        <f>"9780773538498"</f>
        <v>9780773538498</v>
      </c>
      <c r="D4392" t="str">
        <f>"9780773587434"</f>
        <v>9780773587434</v>
      </c>
      <c r="E4392" t="s">
        <v>12863</v>
      </c>
      <c r="F4392" t="s">
        <v>12863</v>
      </c>
      <c r="G4392" s="1">
        <v>40673</v>
      </c>
      <c r="J4392" t="s">
        <v>22466</v>
      </c>
      <c r="K4392" t="s">
        <v>291</v>
      </c>
      <c r="L4392" t="s">
        <v>22467</v>
      </c>
      <c r="M4392">
        <v>943.90520000000004</v>
      </c>
      <c r="N4392" t="s">
        <v>22468</v>
      </c>
      <c r="O4392" t="s">
        <v>26</v>
      </c>
      <c r="P4392">
        <v>142.5</v>
      </c>
      <c r="Q4392">
        <v>118.75</v>
      </c>
      <c r="R4392">
        <v>95</v>
      </c>
      <c r="S4392">
        <v>142.5</v>
      </c>
      <c r="T4392" t="s">
        <v>22469</v>
      </c>
    </row>
    <row r="4393" spans="1:20">
      <c r="A4393">
        <v>3332464</v>
      </c>
      <c r="B4393" t="s">
        <v>22470</v>
      </c>
      <c r="C4393" t="str">
        <f>"9780773540170"</f>
        <v>9780773540170</v>
      </c>
      <c r="D4393" t="str">
        <f>"9780773587366"</f>
        <v>9780773587366</v>
      </c>
      <c r="E4393" t="s">
        <v>12863</v>
      </c>
      <c r="F4393" t="s">
        <v>12863</v>
      </c>
      <c r="G4393" s="1">
        <v>41052</v>
      </c>
      <c r="J4393" t="s">
        <v>22471</v>
      </c>
      <c r="K4393" t="s">
        <v>1530</v>
      </c>
      <c r="L4393" t="s">
        <v>22472</v>
      </c>
      <c r="M4393">
        <v>305.89240000000001</v>
      </c>
      <c r="N4393" t="s">
        <v>22473</v>
      </c>
      <c r="O4393" t="s">
        <v>26</v>
      </c>
      <c r="P4393">
        <v>142.5</v>
      </c>
      <c r="Q4393">
        <v>118.75</v>
      </c>
      <c r="R4393">
        <v>95</v>
      </c>
      <c r="S4393">
        <v>142.5</v>
      </c>
      <c r="T4393" t="s">
        <v>22474</v>
      </c>
    </row>
    <row r="4394" spans="1:20">
      <c r="A4394">
        <v>3332465</v>
      </c>
      <c r="B4394" t="s">
        <v>22475</v>
      </c>
      <c r="C4394" t="str">
        <f>"9780773537446"</f>
        <v>9780773537446</v>
      </c>
      <c r="D4394" t="str">
        <f>"9780773587274"</f>
        <v>9780773587274</v>
      </c>
      <c r="E4394" t="s">
        <v>12863</v>
      </c>
      <c r="F4394" t="s">
        <v>12863</v>
      </c>
      <c r="G4394" s="1">
        <v>40935</v>
      </c>
      <c r="I4394" t="s">
        <v>13270</v>
      </c>
      <c r="J4394" t="s">
        <v>22476</v>
      </c>
      <c r="K4394" t="s">
        <v>550</v>
      </c>
      <c r="L4394" t="s">
        <v>22477</v>
      </c>
      <c r="M4394">
        <v>304.80971</v>
      </c>
      <c r="N4394" t="s">
        <v>22478</v>
      </c>
      <c r="O4394" t="s">
        <v>26</v>
      </c>
      <c r="P4394">
        <v>142.5</v>
      </c>
      <c r="Q4394">
        <v>118.75</v>
      </c>
      <c r="R4394">
        <v>95</v>
      </c>
      <c r="S4394">
        <v>142.5</v>
      </c>
      <c r="T4394" t="s">
        <v>22479</v>
      </c>
    </row>
    <row r="4395" spans="1:20">
      <c r="A4395">
        <v>3332466</v>
      </c>
      <c r="B4395" t="s">
        <v>22480</v>
      </c>
      <c r="C4395" t="str">
        <f>"9780773539020"</f>
        <v>9780773539020</v>
      </c>
      <c r="D4395" t="str">
        <f>"9780773587410"</f>
        <v>9780773587410</v>
      </c>
      <c r="E4395" t="s">
        <v>12863</v>
      </c>
      <c r="F4395" t="s">
        <v>12863</v>
      </c>
      <c r="G4395" s="1">
        <v>40833</v>
      </c>
      <c r="I4395" t="s">
        <v>19859</v>
      </c>
      <c r="J4395" t="s">
        <v>22481</v>
      </c>
      <c r="K4395" t="s">
        <v>7838</v>
      </c>
      <c r="L4395" t="s">
        <v>22482</v>
      </c>
      <c r="M4395">
        <v>720.97180904499999</v>
      </c>
      <c r="N4395" t="s">
        <v>22483</v>
      </c>
      <c r="O4395" t="s">
        <v>26</v>
      </c>
      <c r="P4395">
        <v>89.93</v>
      </c>
      <c r="Q4395">
        <v>74.94</v>
      </c>
      <c r="R4395">
        <v>59.95</v>
      </c>
      <c r="S4395">
        <v>89.93</v>
      </c>
      <c r="T4395" t="s">
        <v>22484</v>
      </c>
    </row>
    <row r="4396" spans="1:20">
      <c r="A4396">
        <v>3332467</v>
      </c>
      <c r="B4396" t="s">
        <v>22485</v>
      </c>
      <c r="C4396" t="str">
        <f>"9780773538153"</f>
        <v>9780773538153</v>
      </c>
      <c r="D4396" t="str">
        <f>"9780773587342"</f>
        <v>9780773587342</v>
      </c>
      <c r="E4396" t="s">
        <v>12863</v>
      </c>
      <c r="F4396" t="s">
        <v>12863</v>
      </c>
      <c r="G4396" s="1">
        <v>40638</v>
      </c>
      <c r="I4396" t="s">
        <v>13270</v>
      </c>
      <c r="J4396" t="s">
        <v>22486</v>
      </c>
      <c r="K4396" t="s">
        <v>3230</v>
      </c>
      <c r="L4396" t="s">
        <v>22487</v>
      </c>
      <c r="M4396">
        <v>912.19634399999995</v>
      </c>
      <c r="N4396" t="s">
        <v>22488</v>
      </c>
      <c r="O4396" t="s">
        <v>26</v>
      </c>
      <c r="P4396">
        <v>97.5</v>
      </c>
      <c r="Q4396">
        <v>81.25</v>
      </c>
      <c r="R4396">
        <v>65</v>
      </c>
      <c r="S4396">
        <v>97.5</v>
      </c>
      <c r="T4396" t="s">
        <v>22489</v>
      </c>
    </row>
    <row r="4397" spans="1:20">
      <c r="A4397">
        <v>3332468</v>
      </c>
      <c r="B4397" t="s">
        <v>22490</v>
      </c>
      <c r="C4397" t="str">
        <f>"9780773539716"</f>
        <v>9780773539716</v>
      </c>
      <c r="D4397" t="str">
        <f>"9780773586949"</f>
        <v>9780773586949</v>
      </c>
      <c r="E4397" t="s">
        <v>12863</v>
      </c>
      <c r="F4397" t="s">
        <v>12863</v>
      </c>
      <c r="G4397" s="1">
        <v>41032</v>
      </c>
      <c r="J4397" t="s">
        <v>22491</v>
      </c>
      <c r="K4397" t="s">
        <v>1464</v>
      </c>
      <c r="L4397" t="s">
        <v>22492</v>
      </c>
      <c r="M4397">
        <v>851.1</v>
      </c>
      <c r="N4397" t="s">
        <v>22493</v>
      </c>
      <c r="O4397" t="s">
        <v>26</v>
      </c>
      <c r="P4397">
        <v>142.5</v>
      </c>
      <c r="Q4397">
        <v>118.75</v>
      </c>
      <c r="R4397">
        <v>95</v>
      </c>
      <c r="S4397">
        <v>142.5</v>
      </c>
      <c r="T4397" t="s">
        <v>22494</v>
      </c>
    </row>
    <row r="4398" spans="1:20">
      <c r="A4398">
        <v>3332469</v>
      </c>
      <c r="B4398" t="s">
        <v>22495</v>
      </c>
      <c r="C4398" t="str">
        <f>"9780773540132"</f>
        <v>9780773540132</v>
      </c>
      <c r="D4398" t="str">
        <f>"9780773587250"</f>
        <v>9780773587250</v>
      </c>
      <c r="E4398" t="s">
        <v>12863</v>
      </c>
      <c r="F4398" t="s">
        <v>12863</v>
      </c>
      <c r="G4398" s="1">
        <v>41121</v>
      </c>
      <c r="I4398" t="s">
        <v>12886</v>
      </c>
      <c r="J4398" t="s">
        <v>22496</v>
      </c>
      <c r="K4398" t="s">
        <v>1892</v>
      </c>
      <c r="L4398" t="s">
        <v>22497</v>
      </c>
      <c r="M4398">
        <v>282.09199999999998</v>
      </c>
      <c r="N4398" t="s">
        <v>22498</v>
      </c>
      <c r="O4398" t="s">
        <v>26</v>
      </c>
      <c r="P4398">
        <v>142.5</v>
      </c>
      <c r="Q4398">
        <v>118.75</v>
      </c>
      <c r="R4398">
        <v>95</v>
      </c>
      <c r="S4398">
        <v>142.5</v>
      </c>
      <c r="T4398" t="s">
        <v>22499</v>
      </c>
    </row>
    <row r="4399" spans="1:20">
      <c r="A4399">
        <v>3332470</v>
      </c>
      <c r="B4399" t="s">
        <v>22500</v>
      </c>
      <c r="C4399" t="str">
        <f>"9780773539990"</f>
        <v>9780773539990</v>
      </c>
      <c r="D4399" t="str">
        <f>"9780773586789"</f>
        <v>9780773586789</v>
      </c>
      <c r="E4399" t="s">
        <v>12863</v>
      </c>
      <c r="F4399" t="s">
        <v>12863</v>
      </c>
      <c r="G4399" s="1">
        <v>41010</v>
      </c>
      <c r="J4399" t="s">
        <v>22501</v>
      </c>
      <c r="K4399" t="s">
        <v>263</v>
      </c>
      <c r="L4399" t="s">
        <v>22502</v>
      </c>
      <c r="M4399">
        <v>307.26</v>
      </c>
      <c r="N4399" t="s">
        <v>22503</v>
      </c>
      <c r="O4399" t="s">
        <v>26</v>
      </c>
      <c r="P4399">
        <v>142.5</v>
      </c>
      <c r="Q4399">
        <v>118.75</v>
      </c>
      <c r="R4399">
        <v>95</v>
      </c>
      <c r="S4399">
        <v>142.5</v>
      </c>
      <c r="T4399" t="s">
        <v>22504</v>
      </c>
    </row>
    <row r="4400" spans="1:20">
      <c r="A4400">
        <v>3332471</v>
      </c>
      <c r="B4400" t="s">
        <v>22505</v>
      </c>
      <c r="C4400" t="str">
        <f>"9780773539785"</f>
        <v>9780773539785</v>
      </c>
      <c r="D4400" t="str">
        <f>"9780773587205"</f>
        <v>9780773587205</v>
      </c>
      <c r="E4400" t="s">
        <v>12863</v>
      </c>
      <c r="F4400" t="s">
        <v>12863</v>
      </c>
      <c r="G4400" s="1">
        <v>40973</v>
      </c>
      <c r="J4400" t="s">
        <v>22506</v>
      </c>
      <c r="K4400" t="s">
        <v>1464</v>
      </c>
      <c r="L4400" t="s">
        <v>22507</v>
      </c>
      <c r="M4400">
        <v>813.54093839999996</v>
      </c>
      <c r="N4400" t="s">
        <v>22508</v>
      </c>
      <c r="O4400" t="s">
        <v>26</v>
      </c>
      <c r="P4400">
        <v>67.5</v>
      </c>
      <c r="Q4400">
        <v>56.25</v>
      </c>
      <c r="R4400">
        <v>45</v>
      </c>
      <c r="S4400">
        <v>67.5</v>
      </c>
      <c r="T4400" t="s">
        <v>22509</v>
      </c>
    </row>
    <row r="4401" spans="1:20">
      <c r="A4401">
        <v>3332472</v>
      </c>
      <c r="B4401" t="s">
        <v>22510</v>
      </c>
      <c r="C4401" t="str">
        <f>"9780773538931"</f>
        <v>9780773538931</v>
      </c>
      <c r="D4401" t="str">
        <f>"9780773586901"</f>
        <v>9780773586901</v>
      </c>
      <c r="E4401" t="s">
        <v>12863</v>
      </c>
      <c r="F4401" t="s">
        <v>12863</v>
      </c>
      <c r="G4401" s="1">
        <v>40990</v>
      </c>
      <c r="J4401" t="s">
        <v>22511</v>
      </c>
      <c r="K4401" t="s">
        <v>305</v>
      </c>
      <c r="L4401" t="s">
        <v>22512</v>
      </c>
      <c r="M4401">
        <v>386.47097133</v>
      </c>
      <c r="N4401" t="s">
        <v>22513</v>
      </c>
      <c r="O4401" t="s">
        <v>26</v>
      </c>
      <c r="P4401">
        <v>67.430000000000007</v>
      </c>
      <c r="Q4401">
        <v>56.19</v>
      </c>
      <c r="R4401">
        <v>44.95</v>
      </c>
      <c r="S4401">
        <v>67.430000000000007</v>
      </c>
      <c r="T4401" t="s">
        <v>22514</v>
      </c>
    </row>
    <row r="4402" spans="1:20">
      <c r="A4402">
        <v>3332473</v>
      </c>
      <c r="B4402" t="s">
        <v>22515</v>
      </c>
      <c r="C4402" t="str">
        <f>"9780773539662"</f>
        <v>9780773539662</v>
      </c>
      <c r="D4402" t="str">
        <f>"9780773586833"</f>
        <v>9780773586833</v>
      </c>
      <c r="E4402" t="s">
        <v>12863</v>
      </c>
      <c r="F4402" t="s">
        <v>12863</v>
      </c>
      <c r="G4402" s="1">
        <v>41010</v>
      </c>
      <c r="I4402" t="s">
        <v>19859</v>
      </c>
      <c r="J4402" t="s">
        <v>22516</v>
      </c>
      <c r="K4402" t="s">
        <v>1471</v>
      </c>
      <c r="L4402" t="s">
        <v>22517</v>
      </c>
      <c r="M4402">
        <v>759.11073999999996</v>
      </c>
      <c r="N4402" t="s">
        <v>22518</v>
      </c>
      <c r="O4402" t="s">
        <v>26</v>
      </c>
      <c r="P4402">
        <v>97.5</v>
      </c>
      <c r="Q4402">
        <v>81.25</v>
      </c>
      <c r="R4402">
        <v>65</v>
      </c>
      <c r="S4402">
        <v>97.5</v>
      </c>
      <c r="T4402" t="s">
        <v>22519</v>
      </c>
    </row>
    <row r="4403" spans="1:20">
      <c r="A4403">
        <v>3332474</v>
      </c>
      <c r="B4403" t="s">
        <v>22520</v>
      </c>
      <c r="C4403" t="str">
        <f>"9780773540286"</f>
        <v>9780773540286</v>
      </c>
      <c r="D4403" t="str">
        <f>"9780773587625"</f>
        <v>9780773587625</v>
      </c>
      <c r="E4403" t="s">
        <v>12863</v>
      </c>
      <c r="F4403" t="s">
        <v>12863</v>
      </c>
      <c r="G4403" s="1">
        <v>41183</v>
      </c>
      <c r="J4403" t="s">
        <v>22521</v>
      </c>
      <c r="K4403" t="s">
        <v>1464</v>
      </c>
      <c r="L4403" t="s">
        <v>22522</v>
      </c>
      <c r="M4403">
        <v>841.91399999999999</v>
      </c>
      <c r="N4403" t="s">
        <v>22523</v>
      </c>
      <c r="O4403" t="s">
        <v>26</v>
      </c>
      <c r="P4403">
        <v>142.5</v>
      </c>
      <c r="Q4403">
        <v>118.75</v>
      </c>
      <c r="R4403">
        <v>95</v>
      </c>
      <c r="S4403">
        <v>142.5</v>
      </c>
      <c r="T4403" t="s">
        <v>22524</v>
      </c>
    </row>
    <row r="4404" spans="1:20">
      <c r="A4404">
        <v>3332475</v>
      </c>
      <c r="B4404" t="s">
        <v>22525</v>
      </c>
      <c r="C4404" t="str">
        <f>"9780773540248"</f>
        <v>9780773540248</v>
      </c>
      <c r="D4404" t="str">
        <f>"9780773587533"</f>
        <v>9780773587533</v>
      </c>
      <c r="E4404" t="s">
        <v>12863</v>
      </c>
      <c r="F4404" t="s">
        <v>12863</v>
      </c>
      <c r="G4404" s="1">
        <v>41071</v>
      </c>
      <c r="J4404" t="s">
        <v>22526</v>
      </c>
      <c r="K4404" t="s">
        <v>22527</v>
      </c>
      <c r="L4404" t="s">
        <v>22528</v>
      </c>
      <c r="M4404">
        <v>70.509200000000007</v>
      </c>
      <c r="N4404" t="s">
        <v>22529</v>
      </c>
      <c r="O4404" t="s">
        <v>26</v>
      </c>
      <c r="P4404">
        <v>142.5</v>
      </c>
      <c r="Q4404">
        <v>118.75</v>
      </c>
      <c r="R4404">
        <v>95</v>
      </c>
      <c r="S4404">
        <v>142.5</v>
      </c>
      <c r="T4404" t="s">
        <v>22530</v>
      </c>
    </row>
    <row r="4405" spans="1:20">
      <c r="A4405">
        <v>3332476</v>
      </c>
      <c r="B4405" t="s">
        <v>22531</v>
      </c>
      <c r="C4405" t="str">
        <f>"9780773539051"</f>
        <v>9780773539051</v>
      </c>
      <c r="D4405" t="str">
        <f>"9780773587465"</f>
        <v>9780773587465</v>
      </c>
      <c r="E4405" t="s">
        <v>12863</v>
      </c>
      <c r="F4405" t="s">
        <v>12863</v>
      </c>
      <c r="G4405" s="1">
        <v>40841</v>
      </c>
      <c r="I4405" t="s">
        <v>19859</v>
      </c>
      <c r="J4405" t="s">
        <v>22532</v>
      </c>
      <c r="K4405" t="s">
        <v>22533</v>
      </c>
      <c r="L4405" t="s">
        <v>22534</v>
      </c>
      <c r="M4405">
        <v>69.089970710000003</v>
      </c>
      <c r="N4405" t="s">
        <v>22535</v>
      </c>
      <c r="O4405" t="s">
        <v>26</v>
      </c>
      <c r="P4405">
        <v>165</v>
      </c>
      <c r="Q4405">
        <v>137.5</v>
      </c>
      <c r="R4405">
        <v>110</v>
      </c>
      <c r="S4405">
        <v>165</v>
      </c>
      <c r="T4405" t="s">
        <v>22536</v>
      </c>
    </row>
    <row r="4406" spans="1:20">
      <c r="A4406">
        <v>3332477</v>
      </c>
      <c r="B4406" t="s">
        <v>22537</v>
      </c>
      <c r="C4406" t="str">
        <f>"9780773540323"</f>
        <v>9780773540323</v>
      </c>
      <c r="D4406" t="str">
        <f>"9780773587397"</f>
        <v>9780773587397</v>
      </c>
      <c r="E4406" t="s">
        <v>12863</v>
      </c>
      <c r="F4406" t="s">
        <v>12863</v>
      </c>
      <c r="G4406" s="1">
        <v>41141</v>
      </c>
      <c r="J4406" t="s">
        <v>22538</v>
      </c>
      <c r="K4406" t="s">
        <v>257</v>
      </c>
      <c r="L4406" t="s">
        <v>22539</v>
      </c>
      <c r="M4406">
        <v>378.71127999999999</v>
      </c>
      <c r="N4406" t="s">
        <v>22540</v>
      </c>
      <c r="O4406" t="s">
        <v>26</v>
      </c>
      <c r="P4406">
        <v>74.930000000000007</v>
      </c>
      <c r="Q4406">
        <v>62.44</v>
      </c>
      <c r="R4406">
        <v>49.95</v>
      </c>
      <c r="S4406">
        <v>74.930000000000007</v>
      </c>
      <c r="T4406" t="s">
        <v>22541</v>
      </c>
    </row>
    <row r="4407" spans="1:20">
      <c r="A4407">
        <v>3332478</v>
      </c>
      <c r="B4407" t="s">
        <v>22542</v>
      </c>
      <c r="C4407" t="str">
        <f>""</f>
        <v/>
      </c>
      <c r="D4407" t="str">
        <f>"9780773587441"</f>
        <v>9780773587441</v>
      </c>
      <c r="E4407" t="s">
        <v>12907</v>
      </c>
      <c r="F4407" t="s">
        <v>12863</v>
      </c>
      <c r="G4407" s="1">
        <v>41773</v>
      </c>
      <c r="I4407" t="s">
        <v>22202</v>
      </c>
      <c r="J4407" t="s">
        <v>22538</v>
      </c>
      <c r="K4407" t="s">
        <v>1550</v>
      </c>
      <c r="L4407" t="s">
        <v>22543</v>
      </c>
      <c r="M4407">
        <v>305.89707099999998</v>
      </c>
      <c r="N4407" t="s">
        <v>22544</v>
      </c>
      <c r="O4407" t="s">
        <v>26</v>
      </c>
      <c r="P4407">
        <v>142.5</v>
      </c>
      <c r="Q4407">
        <v>118.75</v>
      </c>
      <c r="R4407">
        <v>95</v>
      </c>
      <c r="S4407">
        <v>142.5</v>
      </c>
      <c r="T4407" t="s">
        <v>22545</v>
      </c>
    </row>
    <row r="4408" spans="1:20">
      <c r="A4408">
        <v>3332479</v>
      </c>
      <c r="B4408" t="s">
        <v>22546</v>
      </c>
      <c r="C4408" t="str">
        <f>"9780773540149"</f>
        <v>9780773540149</v>
      </c>
      <c r="D4408" t="str">
        <f>"9780773587281"</f>
        <v>9780773587281</v>
      </c>
      <c r="E4408" t="s">
        <v>12863</v>
      </c>
      <c r="F4408" t="s">
        <v>12863</v>
      </c>
      <c r="G4408" s="1">
        <v>41145</v>
      </c>
      <c r="I4408" t="s">
        <v>12886</v>
      </c>
      <c r="J4408" t="s">
        <v>22547</v>
      </c>
      <c r="K4408" t="s">
        <v>785</v>
      </c>
      <c r="L4408" t="s">
        <v>22548</v>
      </c>
      <c r="M4408">
        <v>334.09715999999997</v>
      </c>
      <c r="N4408" t="s">
        <v>22549</v>
      </c>
      <c r="O4408" t="s">
        <v>26</v>
      </c>
      <c r="P4408">
        <v>142.5</v>
      </c>
      <c r="Q4408">
        <v>118.75</v>
      </c>
      <c r="R4408">
        <v>95</v>
      </c>
      <c r="S4408">
        <v>142.5</v>
      </c>
      <c r="T4408" t="s">
        <v>22550</v>
      </c>
    </row>
    <row r="4409" spans="1:20">
      <c r="A4409">
        <v>3332480</v>
      </c>
      <c r="B4409" t="s">
        <v>22551</v>
      </c>
      <c r="C4409" t="str">
        <f>"9780773539617"</f>
        <v>9780773539617</v>
      </c>
      <c r="D4409" t="str">
        <f>"9780773587328"</f>
        <v>9780773587328</v>
      </c>
      <c r="E4409" t="s">
        <v>12863</v>
      </c>
      <c r="F4409" t="s">
        <v>12863</v>
      </c>
      <c r="G4409" s="1">
        <v>40966</v>
      </c>
      <c r="J4409" t="s">
        <v>22552</v>
      </c>
      <c r="K4409" t="s">
        <v>263</v>
      </c>
      <c r="L4409" t="s">
        <v>22553</v>
      </c>
      <c r="M4409">
        <v>369</v>
      </c>
      <c r="N4409" t="s">
        <v>22554</v>
      </c>
      <c r="O4409" t="s">
        <v>26</v>
      </c>
      <c r="P4409">
        <v>142.5</v>
      </c>
      <c r="Q4409">
        <v>118.75</v>
      </c>
      <c r="R4409">
        <v>95</v>
      </c>
      <c r="S4409">
        <v>142.5</v>
      </c>
      <c r="T4409" t="s">
        <v>22555</v>
      </c>
    </row>
    <row r="4410" spans="1:20">
      <c r="A4410">
        <v>3332481</v>
      </c>
      <c r="B4410" t="s">
        <v>22556</v>
      </c>
      <c r="C4410" t="str">
        <f>"9780773538764"</f>
        <v>9780773538764</v>
      </c>
      <c r="D4410" t="str">
        <f>"9780773587236"</f>
        <v>9780773587236</v>
      </c>
      <c r="E4410" t="s">
        <v>12863</v>
      </c>
      <c r="F4410" t="s">
        <v>12863</v>
      </c>
      <c r="G4410" s="1">
        <v>40811</v>
      </c>
      <c r="I4410" t="s">
        <v>19859</v>
      </c>
      <c r="J4410" t="s">
        <v>22557</v>
      </c>
      <c r="K4410" t="s">
        <v>22558</v>
      </c>
      <c r="L4410" t="s">
        <v>22559</v>
      </c>
      <c r="M4410">
        <v>508.71</v>
      </c>
      <c r="N4410" t="s">
        <v>22560</v>
      </c>
      <c r="O4410" t="s">
        <v>26</v>
      </c>
      <c r="P4410">
        <v>142.5</v>
      </c>
      <c r="Q4410">
        <v>118.75</v>
      </c>
      <c r="R4410">
        <v>95</v>
      </c>
      <c r="S4410">
        <v>142.5</v>
      </c>
      <c r="T4410" t="s">
        <v>22561</v>
      </c>
    </row>
    <row r="4411" spans="1:20">
      <c r="A4411">
        <v>3332482</v>
      </c>
      <c r="B4411" t="s">
        <v>22562</v>
      </c>
      <c r="C4411" t="str">
        <f>"9780773539532"</f>
        <v>9780773539532</v>
      </c>
      <c r="D4411" t="str">
        <f>"9780773587304"</f>
        <v>9780773587304</v>
      </c>
      <c r="E4411" t="s">
        <v>12863</v>
      </c>
      <c r="F4411" t="s">
        <v>12863</v>
      </c>
      <c r="G4411" s="1">
        <v>40960</v>
      </c>
      <c r="I4411" t="s">
        <v>13270</v>
      </c>
      <c r="J4411" t="s">
        <v>22563</v>
      </c>
      <c r="K4411" t="s">
        <v>257</v>
      </c>
      <c r="L4411" t="s">
        <v>22564</v>
      </c>
      <c r="M4411">
        <v>370.971</v>
      </c>
      <c r="N4411" t="s">
        <v>22565</v>
      </c>
      <c r="O4411" t="s">
        <v>26</v>
      </c>
      <c r="P4411">
        <v>142.5</v>
      </c>
      <c r="Q4411">
        <v>118.75</v>
      </c>
      <c r="R4411">
        <v>95</v>
      </c>
      <c r="S4411">
        <v>142.5</v>
      </c>
      <c r="T4411" t="s">
        <v>22566</v>
      </c>
    </row>
    <row r="4412" spans="1:20">
      <c r="A4412">
        <v>3332483</v>
      </c>
      <c r="B4412" t="s">
        <v>22567</v>
      </c>
      <c r="C4412" t="str">
        <f>"9780773539280"</f>
        <v>9780773539280</v>
      </c>
      <c r="D4412" t="str">
        <f>"9780773587496"</f>
        <v>9780773587496</v>
      </c>
      <c r="E4412" t="s">
        <v>12863</v>
      </c>
      <c r="F4412" t="s">
        <v>12863</v>
      </c>
      <c r="G4412" s="1">
        <v>41010</v>
      </c>
      <c r="J4412" t="s">
        <v>22568</v>
      </c>
      <c r="K4412" t="s">
        <v>525</v>
      </c>
      <c r="L4412" t="s">
        <v>22569</v>
      </c>
      <c r="M4412">
        <v>347.7</v>
      </c>
      <c r="N4412" t="s">
        <v>22570</v>
      </c>
      <c r="O4412" t="s">
        <v>26</v>
      </c>
      <c r="P4412">
        <v>142.5</v>
      </c>
      <c r="Q4412">
        <v>118.75</v>
      </c>
      <c r="R4412">
        <v>95</v>
      </c>
      <c r="S4412">
        <v>142.5</v>
      </c>
      <c r="T4412" t="s">
        <v>22571</v>
      </c>
    </row>
    <row r="4413" spans="1:20">
      <c r="A4413">
        <v>3332484</v>
      </c>
      <c r="B4413" t="s">
        <v>22572</v>
      </c>
      <c r="C4413" t="str">
        <f>"9780773540309"</f>
        <v>9780773540309</v>
      </c>
      <c r="D4413" t="str">
        <f>"9780773586772"</f>
        <v>9780773586772</v>
      </c>
      <c r="E4413" t="s">
        <v>12863</v>
      </c>
      <c r="F4413" t="s">
        <v>12863</v>
      </c>
      <c r="G4413" s="1">
        <v>40991</v>
      </c>
      <c r="I4413" t="s">
        <v>16501</v>
      </c>
      <c r="J4413" t="s">
        <v>22573</v>
      </c>
      <c r="K4413" t="s">
        <v>1464</v>
      </c>
      <c r="L4413" t="s">
        <v>22574</v>
      </c>
      <c r="M4413">
        <v>813.4</v>
      </c>
      <c r="N4413" t="s">
        <v>22575</v>
      </c>
      <c r="O4413" t="s">
        <v>26</v>
      </c>
      <c r="P4413">
        <v>142.5</v>
      </c>
      <c r="Q4413">
        <v>118.75</v>
      </c>
      <c r="R4413">
        <v>95</v>
      </c>
      <c r="S4413">
        <v>142.5</v>
      </c>
      <c r="T4413" t="s">
        <v>22576</v>
      </c>
    </row>
    <row r="4414" spans="1:20">
      <c r="A4414">
        <v>3332485</v>
      </c>
      <c r="B4414" t="s">
        <v>22577</v>
      </c>
      <c r="C4414" t="str">
        <f>""</f>
        <v/>
      </c>
      <c r="D4414" t="str">
        <f>"9780773587007"</f>
        <v>9780773587007</v>
      </c>
      <c r="E4414" t="s">
        <v>12907</v>
      </c>
      <c r="F4414" t="s">
        <v>12863</v>
      </c>
      <c r="G4414" s="1">
        <v>41773</v>
      </c>
      <c r="I4414" t="s">
        <v>12886</v>
      </c>
      <c r="J4414" t="s">
        <v>22578</v>
      </c>
      <c r="K4414" t="s">
        <v>7838</v>
      </c>
      <c r="L4414" t="s">
        <v>22579</v>
      </c>
      <c r="M4414">
        <v>726.5</v>
      </c>
      <c r="N4414" t="s">
        <v>22580</v>
      </c>
      <c r="O4414" t="s">
        <v>26</v>
      </c>
      <c r="P4414">
        <v>142.5</v>
      </c>
      <c r="Q4414">
        <v>118.75</v>
      </c>
      <c r="R4414">
        <v>95</v>
      </c>
      <c r="S4414">
        <v>142.5</v>
      </c>
      <c r="T4414" t="s">
        <v>22581</v>
      </c>
    </row>
    <row r="4415" spans="1:20">
      <c r="A4415">
        <v>3332486</v>
      </c>
      <c r="B4415" t="s">
        <v>22582</v>
      </c>
      <c r="C4415" t="str">
        <f>"9780773539891"</f>
        <v>9780773539891</v>
      </c>
      <c r="D4415" t="str">
        <f>"9780773587472"</f>
        <v>9780773587472</v>
      </c>
      <c r="E4415" t="s">
        <v>12863</v>
      </c>
      <c r="F4415" t="s">
        <v>12863</v>
      </c>
      <c r="G4415" s="1">
        <v>40977</v>
      </c>
      <c r="J4415" t="s">
        <v>22583</v>
      </c>
      <c r="K4415" t="s">
        <v>1892</v>
      </c>
      <c r="L4415" t="s">
        <v>22584</v>
      </c>
      <c r="M4415">
        <v>201.65</v>
      </c>
      <c r="N4415" t="s">
        <v>22585</v>
      </c>
      <c r="O4415" t="s">
        <v>26</v>
      </c>
      <c r="P4415">
        <v>49.43</v>
      </c>
      <c r="Q4415">
        <v>41.19</v>
      </c>
      <c r="R4415">
        <v>32.950000000000003</v>
      </c>
      <c r="S4415">
        <v>49.43</v>
      </c>
      <c r="T4415" t="s">
        <v>22586</v>
      </c>
    </row>
    <row r="4416" spans="1:20">
      <c r="A4416">
        <v>3332487</v>
      </c>
      <c r="B4416" t="s">
        <v>22587</v>
      </c>
      <c r="C4416" t="str">
        <f>"9780773539853"</f>
        <v>9780773539853</v>
      </c>
      <c r="D4416" t="str">
        <f>"9780773587427"</f>
        <v>9780773587427</v>
      </c>
      <c r="E4416" t="s">
        <v>12863</v>
      </c>
      <c r="F4416" t="s">
        <v>12863</v>
      </c>
      <c r="G4416" s="1">
        <v>41037</v>
      </c>
      <c r="J4416" t="s">
        <v>22588</v>
      </c>
      <c r="K4416" t="s">
        <v>263</v>
      </c>
      <c r="L4416" t="s">
        <v>22589</v>
      </c>
      <c r="M4416">
        <v>307.10000000000002</v>
      </c>
      <c r="N4416" t="s">
        <v>22590</v>
      </c>
      <c r="O4416" t="s">
        <v>26</v>
      </c>
      <c r="P4416">
        <v>142.5</v>
      </c>
      <c r="Q4416">
        <v>118.75</v>
      </c>
      <c r="R4416">
        <v>95</v>
      </c>
      <c r="S4416">
        <v>142.5</v>
      </c>
      <c r="T4416" t="s">
        <v>22591</v>
      </c>
    </row>
    <row r="4417" spans="1:20">
      <c r="A4417">
        <v>3332488</v>
      </c>
      <c r="B4417" t="s">
        <v>22592</v>
      </c>
      <c r="C4417" t="str">
        <f>"9780773538948"</f>
        <v>9780773538948</v>
      </c>
      <c r="D4417" t="str">
        <f>"9780773587359"</f>
        <v>9780773587359</v>
      </c>
      <c r="E4417" t="s">
        <v>12863</v>
      </c>
      <c r="F4417" t="s">
        <v>12863</v>
      </c>
      <c r="G4417" s="1">
        <v>40872</v>
      </c>
      <c r="J4417" t="s">
        <v>22593</v>
      </c>
      <c r="K4417" t="s">
        <v>467</v>
      </c>
      <c r="L4417" t="s">
        <v>22594</v>
      </c>
      <c r="M4417">
        <v>321.02300000000002</v>
      </c>
      <c r="N4417" t="s">
        <v>20525</v>
      </c>
      <c r="O4417" t="s">
        <v>26</v>
      </c>
      <c r="P4417">
        <v>150</v>
      </c>
      <c r="Q4417">
        <v>125</v>
      </c>
      <c r="R4417">
        <v>100</v>
      </c>
      <c r="S4417">
        <v>150</v>
      </c>
      <c r="T4417" t="s">
        <v>22595</v>
      </c>
    </row>
    <row r="4418" spans="1:20">
      <c r="A4418">
        <v>3332489</v>
      </c>
      <c r="B4418" t="s">
        <v>22596</v>
      </c>
      <c r="C4418" t="str">
        <f>"9780773539778"</f>
        <v>9780773539778</v>
      </c>
      <c r="D4418" t="str">
        <f>"9780773587267"</f>
        <v>9780773587267</v>
      </c>
      <c r="E4418" t="s">
        <v>12863</v>
      </c>
      <c r="F4418" t="s">
        <v>12863</v>
      </c>
      <c r="G4418" s="1">
        <v>41010</v>
      </c>
      <c r="J4418" t="s">
        <v>16168</v>
      </c>
      <c r="K4418" t="s">
        <v>263</v>
      </c>
      <c r="L4418" t="s">
        <v>22597</v>
      </c>
      <c r="M4418">
        <v>364.14</v>
      </c>
      <c r="N4418" t="s">
        <v>22598</v>
      </c>
      <c r="O4418" t="s">
        <v>26</v>
      </c>
      <c r="P4418">
        <v>74.930000000000007</v>
      </c>
      <c r="Q4418">
        <v>62.44</v>
      </c>
      <c r="R4418">
        <v>49.95</v>
      </c>
      <c r="S4418">
        <v>74.930000000000007</v>
      </c>
      <c r="T4418" t="s">
        <v>22599</v>
      </c>
    </row>
    <row r="4419" spans="1:20">
      <c r="A4419">
        <v>3332490</v>
      </c>
      <c r="B4419" t="s">
        <v>22600</v>
      </c>
      <c r="C4419" t="str">
        <f>"9780773539723"</f>
        <v>9780773539723</v>
      </c>
      <c r="D4419" t="str">
        <f>"9780773587403"</f>
        <v>9780773587403</v>
      </c>
      <c r="E4419" t="s">
        <v>12863</v>
      </c>
      <c r="F4419" t="s">
        <v>12863</v>
      </c>
      <c r="G4419" s="1">
        <v>40977</v>
      </c>
      <c r="J4419" t="s">
        <v>22601</v>
      </c>
      <c r="K4419" t="s">
        <v>291</v>
      </c>
      <c r="L4419" t="s">
        <v>22602</v>
      </c>
      <c r="M4419">
        <v>941.60820999999999</v>
      </c>
      <c r="N4419" t="s">
        <v>22603</v>
      </c>
      <c r="O4419" t="s">
        <v>26</v>
      </c>
      <c r="P4419">
        <v>142.5</v>
      </c>
      <c r="Q4419">
        <v>118.75</v>
      </c>
      <c r="R4419">
        <v>95</v>
      </c>
      <c r="S4419">
        <v>142.5</v>
      </c>
      <c r="T4419" t="s">
        <v>22604</v>
      </c>
    </row>
    <row r="4420" spans="1:20">
      <c r="A4420">
        <v>3332491</v>
      </c>
      <c r="B4420" t="s">
        <v>22605</v>
      </c>
      <c r="C4420" t="str">
        <f>"9780773539730"</f>
        <v>9780773539730</v>
      </c>
      <c r="D4420" t="str">
        <f>"9780773587335"</f>
        <v>9780773587335</v>
      </c>
      <c r="E4420" t="s">
        <v>12863</v>
      </c>
      <c r="F4420" t="s">
        <v>12863</v>
      </c>
      <c r="G4420" s="1">
        <v>41088</v>
      </c>
      <c r="J4420" t="s">
        <v>22606</v>
      </c>
      <c r="K4420" t="s">
        <v>1859</v>
      </c>
      <c r="L4420" t="s">
        <v>22607</v>
      </c>
      <c r="M4420">
        <v>149.97</v>
      </c>
      <c r="N4420" t="s">
        <v>22608</v>
      </c>
      <c r="O4420" t="s">
        <v>26</v>
      </c>
      <c r="P4420">
        <v>142.5</v>
      </c>
      <c r="Q4420">
        <v>118.75</v>
      </c>
      <c r="R4420">
        <v>95</v>
      </c>
      <c r="S4420">
        <v>142.5</v>
      </c>
      <c r="T4420" t="s">
        <v>22609</v>
      </c>
    </row>
    <row r="4421" spans="1:20">
      <c r="A4421">
        <v>3332492</v>
      </c>
      <c r="B4421" t="s">
        <v>22610</v>
      </c>
      <c r="C4421" t="str">
        <f>"9780773540354"</f>
        <v>9780773540354</v>
      </c>
      <c r="D4421" t="str">
        <f>"9780773587243"</f>
        <v>9780773587243</v>
      </c>
      <c r="E4421" t="s">
        <v>12863</v>
      </c>
      <c r="F4421" t="s">
        <v>12863</v>
      </c>
      <c r="G4421" s="1">
        <v>40918</v>
      </c>
      <c r="J4421" t="s">
        <v>22611</v>
      </c>
      <c r="K4421" t="s">
        <v>1471</v>
      </c>
      <c r="L4421" t="s">
        <v>22612</v>
      </c>
      <c r="M4421">
        <v>759.11</v>
      </c>
      <c r="N4421" t="s">
        <v>22613</v>
      </c>
      <c r="O4421" t="s">
        <v>26</v>
      </c>
      <c r="P4421">
        <v>59.93</v>
      </c>
      <c r="Q4421">
        <v>49.94</v>
      </c>
      <c r="R4421">
        <v>39.950000000000003</v>
      </c>
      <c r="S4421">
        <v>59.93</v>
      </c>
      <c r="T4421" t="s">
        <v>22614</v>
      </c>
    </row>
    <row r="4422" spans="1:20">
      <c r="A4422">
        <v>3332493</v>
      </c>
      <c r="B4422" t="s">
        <v>22615</v>
      </c>
      <c r="C4422" t="str">
        <f>"9780773539501"</f>
        <v>9780773539501</v>
      </c>
      <c r="D4422" t="str">
        <f>"9780773587311"</f>
        <v>9780773587311</v>
      </c>
      <c r="E4422" t="s">
        <v>12863</v>
      </c>
      <c r="F4422" t="s">
        <v>12863</v>
      </c>
      <c r="G4422" s="1">
        <v>40960</v>
      </c>
      <c r="J4422" t="s">
        <v>18831</v>
      </c>
      <c r="K4422" t="s">
        <v>1464</v>
      </c>
      <c r="L4422" t="s">
        <v>22616</v>
      </c>
      <c r="M4422">
        <v>813.54093699999999</v>
      </c>
      <c r="N4422" t="s">
        <v>22617</v>
      </c>
      <c r="O4422" t="s">
        <v>26</v>
      </c>
      <c r="P4422">
        <v>142.5</v>
      </c>
      <c r="Q4422">
        <v>118.75</v>
      </c>
      <c r="R4422">
        <v>95</v>
      </c>
      <c r="S4422">
        <v>142.5</v>
      </c>
      <c r="T4422" t="s">
        <v>22618</v>
      </c>
    </row>
    <row r="4423" spans="1:20">
      <c r="A4423">
        <v>3332494</v>
      </c>
      <c r="B4423" t="s">
        <v>22619</v>
      </c>
      <c r="C4423" t="str">
        <f>"9780773539563"</f>
        <v>9780773539563</v>
      </c>
      <c r="D4423" t="str">
        <f>"9780773586871"</f>
        <v>9780773586871</v>
      </c>
      <c r="E4423" t="s">
        <v>12863</v>
      </c>
      <c r="F4423" t="s">
        <v>12863</v>
      </c>
      <c r="G4423" s="1">
        <v>41010</v>
      </c>
      <c r="J4423" t="s">
        <v>22620</v>
      </c>
      <c r="K4423" t="s">
        <v>7838</v>
      </c>
      <c r="L4423" t="s">
        <v>22621</v>
      </c>
      <c r="M4423">
        <v>720.1</v>
      </c>
      <c r="N4423" t="s">
        <v>22622</v>
      </c>
      <c r="O4423" t="s">
        <v>26</v>
      </c>
      <c r="P4423">
        <v>74.930000000000007</v>
      </c>
      <c r="Q4423">
        <v>62.44</v>
      </c>
      <c r="R4423">
        <v>49.95</v>
      </c>
      <c r="S4423">
        <v>74.930000000000007</v>
      </c>
      <c r="T4423" t="s">
        <v>22623</v>
      </c>
    </row>
    <row r="4424" spans="1:20">
      <c r="A4424">
        <v>3332495</v>
      </c>
      <c r="B4424" t="s">
        <v>22624</v>
      </c>
      <c r="C4424" t="str">
        <f>"9780773540569"</f>
        <v>9780773540569</v>
      </c>
      <c r="D4424" t="str">
        <f>"9780773587083"</f>
        <v>9780773587083</v>
      </c>
      <c r="E4424" t="s">
        <v>12863</v>
      </c>
      <c r="F4424" t="s">
        <v>12863</v>
      </c>
      <c r="G4424" s="1">
        <v>41153</v>
      </c>
      <c r="J4424" t="s">
        <v>22625</v>
      </c>
      <c r="K4424" t="s">
        <v>278</v>
      </c>
      <c r="L4424" t="s">
        <v>22626</v>
      </c>
      <c r="M4424">
        <v>338.91</v>
      </c>
      <c r="N4424" t="s">
        <v>22627</v>
      </c>
      <c r="O4424" t="s">
        <v>26</v>
      </c>
      <c r="P4424">
        <v>150</v>
      </c>
      <c r="Q4424">
        <v>125</v>
      </c>
      <c r="R4424">
        <v>100</v>
      </c>
      <c r="S4424">
        <v>150</v>
      </c>
      <c r="T4424" t="s">
        <v>22628</v>
      </c>
    </row>
    <row r="4425" spans="1:20">
      <c r="A4425">
        <v>3332496</v>
      </c>
      <c r="B4425" t="s">
        <v>22629</v>
      </c>
      <c r="C4425" t="str">
        <f>"9780773539754"</f>
        <v>9780773539754</v>
      </c>
      <c r="D4425" t="str">
        <f>"9780773587618"</f>
        <v>9780773587618</v>
      </c>
      <c r="E4425" t="s">
        <v>12863</v>
      </c>
      <c r="F4425" t="s">
        <v>12863</v>
      </c>
      <c r="G4425" s="1">
        <v>41773</v>
      </c>
      <c r="J4425" t="s">
        <v>22630</v>
      </c>
      <c r="K4425" t="s">
        <v>291</v>
      </c>
      <c r="L4425" t="s">
        <v>22631</v>
      </c>
      <c r="M4425">
        <v>971.01</v>
      </c>
      <c r="N4425" t="s">
        <v>22632</v>
      </c>
      <c r="O4425" t="s">
        <v>26</v>
      </c>
      <c r="P4425">
        <v>97.5</v>
      </c>
      <c r="Q4425">
        <v>81.25</v>
      </c>
      <c r="R4425">
        <v>65</v>
      </c>
      <c r="S4425">
        <v>97.5</v>
      </c>
      <c r="T4425" t="s">
        <v>22633</v>
      </c>
    </row>
    <row r="4426" spans="1:20">
      <c r="A4426">
        <v>3332497</v>
      </c>
      <c r="B4426" t="s">
        <v>22634</v>
      </c>
      <c r="C4426" t="str">
        <f>"9780773540255"</f>
        <v>9780773540255</v>
      </c>
      <c r="D4426" t="str">
        <f>"9780773587526"</f>
        <v>9780773587526</v>
      </c>
      <c r="E4426" t="s">
        <v>12863</v>
      </c>
      <c r="F4426" t="s">
        <v>12863</v>
      </c>
      <c r="G4426" s="1">
        <v>41030</v>
      </c>
      <c r="J4426" t="s">
        <v>21654</v>
      </c>
      <c r="K4426" t="s">
        <v>1082</v>
      </c>
      <c r="L4426" t="s">
        <v>22635</v>
      </c>
      <c r="M4426">
        <v>362.10899999999998</v>
      </c>
      <c r="N4426" t="s">
        <v>22636</v>
      </c>
      <c r="O4426" t="s">
        <v>26</v>
      </c>
      <c r="P4426">
        <v>142.5</v>
      </c>
      <c r="Q4426">
        <v>118.75</v>
      </c>
      <c r="R4426">
        <v>95</v>
      </c>
      <c r="S4426">
        <v>142.5</v>
      </c>
      <c r="T4426" t="s">
        <v>22637</v>
      </c>
    </row>
    <row r="4427" spans="1:20">
      <c r="A4427">
        <v>3332498</v>
      </c>
      <c r="B4427" t="s">
        <v>22638</v>
      </c>
      <c r="C4427" t="str">
        <f>"9780773539648"</f>
        <v>9780773539648</v>
      </c>
      <c r="D4427" t="str">
        <f>"9780773590953"</f>
        <v>9780773590953</v>
      </c>
      <c r="E4427" t="s">
        <v>12863</v>
      </c>
      <c r="F4427" t="s">
        <v>12863</v>
      </c>
      <c r="G4427" s="1">
        <v>40941</v>
      </c>
      <c r="I4427" t="s">
        <v>12963</v>
      </c>
      <c r="J4427" t="s">
        <v>13771</v>
      </c>
      <c r="K4427" t="s">
        <v>1859</v>
      </c>
      <c r="L4427" t="s">
        <v>22639</v>
      </c>
      <c r="M4427">
        <v>171.2</v>
      </c>
      <c r="N4427" t="s">
        <v>22640</v>
      </c>
      <c r="O4427" t="s">
        <v>26</v>
      </c>
      <c r="P4427">
        <v>142.5</v>
      </c>
      <c r="Q4427">
        <v>118.75</v>
      </c>
      <c r="R4427">
        <v>95</v>
      </c>
      <c r="S4427">
        <v>142.5</v>
      </c>
      <c r="T4427" t="s">
        <v>22641</v>
      </c>
    </row>
    <row r="4428" spans="1:20">
      <c r="A4428">
        <v>3332499</v>
      </c>
      <c r="B4428" t="s">
        <v>22642</v>
      </c>
      <c r="C4428" t="str">
        <f>"9780773540361"</f>
        <v>9780773540361</v>
      </c>
      <c r="D4428" t="str">
        <f>"9780773586956"</f>
        <v>9780773586956</v>
      </c>
      <c r="E4428" t="s">
        <v>12863</v>
      </c>
      <c r="F4428" t="s">
        <v>12863</v>
      </c>
      <c r="G4428" s="1">
        <v>41153</v>
      </c>
      <c r="J4428" t="s">
        <v>22643</v>
      </c>
      <c r="K4428" t="s">
        <v>4123</v>
      </c>
      <c r="L4428" t="s">
        <v>22644</v>
      </c>
      <c r="M4428">
        <v>306.43200000000002</v>
      </c>
      <c r="N4428" t="s">
        <v>22645</v>
      </c>
      <c r="O4428" t="s">
        <v>26</v>
      </c>
      <c r="P4428">
        <v>142.5</v>
      </c>
      <c r="Q4428">
        <v>118.75</v>
      </c>
      <c r="R4428">
        <v>95</v>
      </c>
      <c r="S4428">
        <v>142.5</v>
      </c>
      <c r="T4428" t="s">
        <v>22646</v>
      </c>
    </row>
    <row r="4429" spans="1:20">
      <c r="A4429">
        <v>3332500</v>
      </c>
      <c r="B4429" t="s">
        <v>22647</v>
      </c>
      <c r="C4429" t="str">
        <f>"9780773540415"</f>
        <v>9780773540415</v>
      </c>
      <c r="D4429" t="str">
        <f>"9780773586932"</f>
        <v>9780773586932</v>
      </c>
      <c r="E4429" t="s">
        <v>12863</v>
      </c>
      <c r="F4429" t="s">
        <v>12863</v>
      </c>
      <c r="G4429" s="1">
        <v>41153</v>
      </c>
      <c r="J4429" t="s">
        <v>22648</v>
      </c>
      <c r="K4429" t="s">
        <v>416</v>
      </c>
      <c r="L4429" t="s">
        <v>22649</v>
      </c>
      <c r="M4429">
        <v>331.62090000000001</v>
      </c>
      <c r="N4429" t="s">
        <v>22650</v>
      </c>
      <c r="O4429" t="s">
        <v>26</v>
      </c>
      <c r="P4429">
        <v>142.5</v>
      </c>
      <c r="Q4429">
        <v>118.75</v>
      </c>
      <c r="R4429">
        <v>95</v>
      </c>
      <c r="S4429">
        <v>142.5</v>
      </c>
      <c r="T4429" t="s">
        <v>22651</v>
      </c>
    </row>
    <row r="4430" spans="1:20">
      <c r="A4430">
        <v>3332501</v>
      </c>
      <c r="B4430" t="s">
        <v>22652</v>
      </c>
      <c r="C4430" t="str">
        <f>"9780773540385"</f>
        <v>9780773540385</v>
      </c>
      <c r="D4430" t="str">
        <f>"9780773587212"</f>
        <v>9780773587212</v>
      </c>
      <c r="E4430" t="s">
        <v>12863</v>
      </c>
      <c r="F4430" t="s">
        <v>12863</v>
      </c>
      <c r="G4430" s="1">
        <v>41183</v>
      </c>
      <c r="J4430" t="s">
        <v>22653</v>
      </c>
      <c r="K4430" t="s">
        <v>11854</v>
      </c>
      <c r="L4430" t="s">
        <v>22654</v>
      </c>
      <c r="M4430" t="s">
        <v>22655</v>
      </c>
      <c r="N4430" t="s">
        <v>22656</v>
      </c>
      <c r="O4430" t="s">
        <v>26</v>
      </c>
      <c r="P4430">
        <v>142.5</v>
      </c>
      <c r="Q4430">
        <v>118.75</v>
      </c>
      <c r="R4430">
        <v>95</v>
      </c>
      <c r="S4430">
        <v>142.5</v>
      </c>
      <c r="T4430" t="s">
        <v>22657</v>
      </c>
    </row>
    <row r="4431" spans="1:20">
      <c r="A4431">
        <v>3332502</v>
      </c>
      <c r="B4431" t="s">
        <v>22658</v>
      </c>
      <c r="C4431" t="str">
        <f>"9780773540392"</f>
        <v>9780773540392</v>
      </c>
      <c r="D4431" t="str">
        <f>"9780773586819"</f>
        <v>9780773586819</v>
      </c>
      <c r="E4431" t="s">
        <v>12863</v>
      </c>
      <c r="F4431" t="s">
        <v>12863</v>
      </c>
      <c r="G4431" s="1">
        <v>41153</v>
      </c>
      <c r="I4431" t="s">
        <v>12864</v>
      </c>
      <c r="J4431" t="s">
        <v>22659</v>
      </c>
      <c r="K4431" t="s">
        <v>899</v>
      </c>
      <c r="L4431" t="s">
        <v>22660</v>
      </c>
      <c r="M4431">
        <v>363.17989999999998</v>
      </c>
      <c r="N4431" t="s">
        <v>22661</v>
      </c>
      <c r="O4431" t="s">
        <v>26</v>
      </c>
      <c r="P4431">
        <v>142.5</v>
      </c>
      <c r="Q4431">
        <v>118.75</v>
      </c>
      <c r="R4431">
        <v>95</v>
      </c>
      <c r="S4431">
        <v>142.5</v>
      </c>
      <c r="T4431" t="s">
        <v>22662</v>
      </c>
    </row>
    <row r="4432" spans="1:20">
      <c r="A4432">
        <v>3332503</v>
      </c>
      <c r="B4432" t="s">
        <v>22663</v>
      </c>
      <c r="C4432" t="str">
        <f>"9780773540583"</f>
        <v>9780773540583</v>
      </c>
      <c r="D4432" t="str">
        <f>"9780773587632"</f>
        <v>9780773587632</v>
      </c>
      <c r="E4432" t="s">
        <v>12863</v>
      </c>
      <c r="F4432" t="s">
        <v>12863</v>
      </c>
      <c r="G4432" s="1">
        <v>41183</v>
      </c>
      <c r="I4432" t="s">
        <v>22664</v>
      </c>
      <c r="J4432" t="s">
        <v>22665</v>
      </c>
      <c r="K4432" t="s">
        <v>11807</v>
      </c>
      <c r="L4432" t="s">
        <v>22666</v>
      </c>
      <c r="M4432">
        <v>303.66000000000003</v>
      </c>
      <c r="N4432" t="s">
        <v>22667</v>
      </c>
      <c r="O4432" t="s">
        <v>26</v>
      </c>
      <c r="P4432">
        <v>142.5</v>
      </c>
      <c r="Q4432">
        <v>118.75</v>
      </c>
      <c r="R4432">
        <v>95</v>
      </c>
      <c r="S4432">
        <v>142.5</v>
      </c>
      <c r="T4432" t="s">
        <v>22668</v>
      </c>
    </row>
    <row r="4433" spans="1:20">
      <c r="A4433">
        <v>3332504</v>
      </c>
      <c r="B4433" t="s">
        <v>22669</v>
      </c>
      <c r="C4433" t="str">
        <f>"9780773536517"</f>
        <v>9780773536517</v>
      </c>
      <c r="D4433" t="str">
        <f>"9780773590830"</f>
        <v>9780773590830</v>
      </c>
      <c r="E4433" t="s">
        <v>12907</v>
      </c>
      <c r="F4433" t="s">
        <v>12863</v>
      </c>
      <c r="G4433" s="1">
        <v>40210</v>
      </c>
      <c r="J4433" t="s">
        <v>22670</v>
      </c>
      <c r="K4433" t="s">
        <v>1550</v>
      </c>
      <c r="L4433" t="s">
        <v>22671</v>
      </c>
      <c r="M4433" t="s">
        <v>22672</v>
      </c>
      <c r="N4433" t="s">
        <v>22673</v>
      </c>
      <c r="O4433" t="s">
        <v>26</v>
      </c>
      <c r="P4433">
        <v>142.5</v>
      </c>
      <c r="Q4433">
        <v>118.75</v>
      </c>
      <c r="R4433">
        <v>95</v>
      </c>
      <c r="S4433">
        <v>142.5</v>
      </c>
      <c r="T4433" t="s">
        <v>22674</v>
      </c>
    </row>
    <row r="4434" spans="1:20">
      <c r="A4434">
        <v>3332505</v>
      </c>
      <c r="B4434" t="s">
        <v>22675</v>
      </c>
      <c r="C4434" t="str">
        <f>"9780773538696"</f>
        <v>9780773538696</v>
      </c>
      <c r="D4434" t="str">
        <f>"9780773590892"</f>
        <v>9780773590892</v>
      </c>
      <c r="E4434" t="s">
        <v>12863</v>
      </c>
      <c r="F4434" t="s">
        <v>12863</v>
      </c>
      <c r="G4434" s="1">
        <v>40673</v>
      </c>
      <c r="J4434" t="s">
        <v>22676</v>
      </c>
      <c r="K4434" t="s">
        <v>291</v>
      </c>
      <c r="L4434" t="s">
        <v>22677</v>
      </c>
      <c r="M4434" t="s">
        <v>21991</v>
      </c>
      <c r="N4434" t="s">
        <v>22678</v>
      </c>
      <c r="O4434" t="s">
        <v>26</v>
      </c>
      <c r="P4434">
        <v>97.5</v>
      </c>
      <c r="Q4434">
        <v>81.25</v>
      </c>
      <c r="R4434">
        <v>65</v>
      </c>
      <c r="S4434">
        <v>97.5</v>
      </c>
      <c r="T4434" t="s">
        <v>22679</v>
      </c>
    </row>
    <row r="4435" spans="1:20">
      <c r="A4435">
        <v>3332506</v>
      </c>
      <c r="B4435" t="s">
        <v>22680</v>
      </c>
      <c r="C4435" t="str">
        <f>"9780773540859"</f>
        <v>9780773540859</v>
      </c>
      <c r="D4435" t="str">
        <f>"9780773587892"</f>
        <v>9780773587892</v>
      </c>
      <c r="E4435" t="s">
        <v>12863</v>
      </c>
      <c r="F4435" t="s">
        <v>12863</v>
      </c>
      <c r="G4435" s="1">
        <v>41214</v>
      </c>
      <c r="J4435" t="s">
        <v>22681</v>
      </c>
      <c r="K4435" t="s">
        <v>2818</v>
      </c>
      <c r="L4435" t="s">
        <v>22682</v>
      </c>
      <c r="M4435">
        <v>610.6</v>
      </c>
      <c r="N4435" t="s">
        <v>22683</v>
      </c>
      <c r="O4435" t="s">
        <v>26</v>
      </c>
      <c r="P4435">
        <v>82.5</v>
      </c>
      <c r="Q4435">
        <v>68.75</v>
      </c>
      <c r="R4435">
        <v>55</v>
      </c>
      <c r="S4435">
        <v>82.5</v>
      </c>
      <c r="T4435" t="s">
        <v>22684</v>
      </c>
    </row>
    <row r="4436" spans="1:20">
      <c r="A4436">
        <v>3332507</v>
      </c>
      <c r="B4436" t="s">
        <v>22685</v>
      </c>
      <c r="C4436" t="str">
        <f>"9780773540750"</f>
        <v>9780773540750</v>
      </c>
      <c r="D4436" t="str">
        <f>"9780773587861"</f>
        <v>9780773587861</v>
      </c>
      <c r="E4436" t="s">
        <v>12863</v>
      </c>
      <c r="F4436" t="s">
        <v>12863</v>
      </c>
      <c r="G4436" s="1">
        <v>41206</v>
      </c>
      <c r="J4436" t="s">
        <v>22686</v>
      </c>
      <c r="K4436" t="s">
        <v>20019</v>
      </c>
      <c r="L4436" t="s">
        <v>22687</v>
      </c>
      <c r="M4436">
        <v>306.48190972999998</v>
      </c>
      <c r="N4436" t="s">
        <v>22688</v>
      </c>
      <c r="O4436" t="s">
        <v>26</v>
      </c>
      <c r="P4436">
        <v>142.5</v>
      </c>
      <c r="Q4436">
        <v>118.75</v>
      </c>
      <c r="R4436">
        <v>95</v>
      </c>
      <c r="S4436">
        <v>142.5</v>
      </c>
      <c r="T4436" t="s">
        <v>22689</v>
      </c>
    </row>
    <row r="4437" spans="1:20">
      <c r="A4437">
        <v>3332508</v>
      </c>
      <c r="B4437" t="s">
        <v>22690</v>
      </c>
      <c r="C4437" t="str">
        <f>"9780773540538"</f>
        <v>9780773540538</v>
      </c>
      <c r="D4437" t="str">
        <f>"9780773587830"</f>
        <v>9780773587830</v>
      </c>
      <c r="E4437" t="s">
        <v>12863</v>
      </c>
      <c r="F4437" t="s">
        <v>12863</v>
      </c>
      <c r="G4437" s="1">
        <v>41183</v>
      </c>
      <c r="J4437" t="s">
        <v>22691</v>
      </c>
      <c r="K4437" t="s">
        <v>257</v>
      </c>
      <c r="L4437" t="s">
        <v>22692</v>
      </c>
      <c r="M4437">
        <v>371.07100000000003</v>
      </c>
      <c r="N4437" t="s">
        <v>22693</v>
      </c>
      <c r="O4437" t="s">
        <v>26</v>
      </c>
      <c r="P4437">
        <v>142.5</v>
      </c>
      <c r="Q4437">
        <v>118.75</v>
      </c>
      <c r="R4437">
        <v>95</v>
      </c>
      <c r="S4437">
        <v>142.5</v>
      </c>
      <c r="T4437" t="s">
        <v>22694</v>
      </c>
    </row>
    <row r="4438" spans="1:20">
      <c r="A4438">
        <v>3332509</v>
      </c>
      <c r="B4438" t="s">
        <v>22695</v>
      </c>
      <c r="C4438" t="str">
        <f>"9780773539945"</f>
        <v>9780773539945</v>
      </c>
      <c r="D4438" t="str">
        <f>"9780773586703"</f>
        <v>9780773586703</v>
      </c>
      <c r="E4438" t="s">
        <v>12863</v>
      </c>
      <c r="F4438" t="s">
        <v>12863</v>
      </c>
      <c r="G4438" s="1">
        <v>41122</v>
      </c>
      <c r="J4438" t="s">
        <v>22696</v>
      </c>
      <c r="K4438" t="s">
        <v>13493</v>
      </c>
      <c r="L4438" t="s">
        <v>22697</v>
      </c>
      <c r="M4438">
        <v>792.08709710000005</v>
      </c>
      <c r="N4438" t="s">
        <v>22698</v>
      </c>
      <c r="O4438" t="s">
        <v>26</v>
      </c>
      <c r="P4438">
        <v>142.5</v>
      </c>
      <c r="Q4438">
        <v>118.75</v>
      </c>
      <c r="R4438">
        <v>95</v>
      </c>
      <c r="S4438">
        <v>142.5</v>
      </c>
      <c r="T4438" t="s">
        <v>22699</v>
      </c>
    </row>
    <row r="4439" spans="1:20">
      <c r="A4439">
        <v>3332510</v>
      </c>
      <c r="B4439" t="s">
        <v>22700</v>
      </c>
      <c r="C4439" t="str">
        <f>"9780773537231"</f>
        <v>9780773537231</v>
      </c>
      <c r="D4439" t="str">
        <f>"9780773590984"</f>
        <v>9780773590984</v>
      </c>
      <c r="E4439" t="s">
        <v>12863</v>
      </c>
      <c r="F4439" t="s">
        <v>12863</v>
      </c>
      <c r="G4439" s="1">
        <v>40360</v>
      </c>
      <c r="J4439" t="s">
        <v>22701</v>
      </c>
      <c r="K4439" t="s">
        <v>22702</v>
      </c>
      <c r="L4439" t="s">
        <v>22703</v>
      </c>
      <c r="M4439" t="s">
        <v>22704</v>
      </c>
      <c r="N4439" t="s">
        <v>22705</v>
      </c>
      <c r="O4439" t="s">
        <v>26</v>
      </c>
      <c r="P4439">
        <v>187.5</v>
      </c>
      <c r="Q4439">
        <v>156.25</v>
      </c>
      <c r="R4439">
        <v>125</v>
      </c>
      <c r="S4439">
        <v>187.5</v>
      </c>
      <c r="T4439" t="s">
        <v>22706</v>
      </c>
    </row>
    <row r="4440" spans="1:20">
      <c r="A4440">
        <v>3332511</v>
      </c>
      <c r="B4440" t="s">
        <v>22707</v>
      </c>
      <c r="C4440" t="str">
        <f>"9780773536890"</f>
        <v>9780773536890</v>
      </c>
      <c r="D4440" t="str">
        <f>"9780773591035"</f>
        <v>9780773591035</v>
      </c>
      <c r="E4440" t="s">
        <v>12863</v>
      </c>
      <c r="F4440" t="s">
        <v>12863</v>
      </c>
      <c r="G4440" s="1">
        <v>40287</v>
      </c>
      <c r="J4440" t="s">
        <v>22708</v>
      </c>
      <c r="K4440" t="s">
        <v>1464</v>
      </c>
      <c r="L4440" t="s">
        <v>22709</v>
      </c>
      <c r="M4440">
        <v>813.54</v>
      </c>
      <c r="N4440" t="s">
        <v>22710</v>
      </c>
      <c r="O4440" t="s">
        <v>26</v>
      </c>
      <c r="P4440">
        <v>142.5</v>
      </c>
      <c r="Q4440">
        <v>118.75</v>
      </c>
      <c r="R4440">
        <v>95</v>
      </c>
      <c r="S4440">
        <v>142.5</v>
      </c>
      <c r="T4440" t="s">
        <v>22711</v>
      </c>
    </row>
    <row r="4441" spans="1:20">
      <c r="A4441">
        <v>3332512</v>
      </c>
      <c r="B4441" t="s">
        <v>22712</v>
      </c>
      <c r="C4441" t="str">
        <f>"9780773537217"</f>
        <v>9780773537217</v>
      </c>
      <c r="D4441" t="str">
        <f>"9780773591066"</f>
        <v>9780773591066</v>
      </c>
      <c r="E4441" t="s">
        <v>12863</v>
      </c>
      <c r="F4441" t="s">
        <v>12863</v>
      </c>
      <c r="G4441" s="1">
        <v>40471</v>
      </c>
      <c r="J4441" t="s">
        <v>22713</v>
      </c>
      <c r="K4441" t="s">
        <v>291</v>
      </c>
      <c r="L4441" t="s">
        <v>22714</v>
      </c>
      <c r="M4441">
        <v>971.10049793999997</v>
      </c>
      <c r="N4441" t="s">
        <v>22715</v>
      </c>
      <c r="O4441" t="s">
        <v>26</v>
      </c>
      <c r="P4441">
        <v>142.5</v>
      </c>
      <c r="Q4441">
        <v>118.75</v>
      </c>
      <c r="R4441">
        <v>95</v>
      </c>
      <c r="S4441">
        <v>142.5</v>
      </c>
      <c r="T4441" t="s">
        <v>22716</v>
      </c>
    </row>
    <row r="4442" spans="1:20">
      <c r="A4442">
        <v>3332513</v>
      </c>
      <c r="B4442" t="s">
        <v>22717</v>
      </c>
      <c r="C4442" t="str">
        <f>"9780773540439"</f>
        <v>9780773540439</v>
      </c>
      <c r="D4442" t="str">
        <f>"9780773587748"</f>
        <v>9780773587748</v>
      </c>
      <c r="E4442" t="s">
        <v>12863</v>
      </c>
      <c r="F4442" t="s">
        <v>12863</v>
      </c>
      <c r="G4442" s="1">
        <v>41183</v>
      </c>
      <c r="J4442" t="s">
        <v>22718</v>
      </c>
      <c r="K4442" t="s">
        <v>291</v>
      </c>
      <c r="L4442" t="s">
        <v>22719</v>
      </c>
      <c r="M4442">
        <v>968.91051000000004</v>
      </c>
      <c r="N4442" t="s">
        <v>22720</v>
      </c>
      <c r="O4442" t="s">
        <v>26</v>
      </c>
      <c r="P4442">
        <v>142.5</v>
      </c>
      <c r="Q4442">
        <v>118.75</v>
      </c>
      <c r="R4442">
        <v>95</v>
      </c>
      <c r="S4442">
        <v>142.5</v>
      </c>
      <c r="T4442" t="s">
        <v>22721</v>
      </c>
    </row>
    <row r="4443" spans="1:20">
      <c r="A4443">
        <v>3332514</v>
      </c>
      <c r="B4443" t="s">
        <v>22722</v>
      </c>
      <c r="C4443" t="str">
        <f>"9780773537057"</f>
        <v>9780773537057</v>
      </c>
      <c r="D4443" t="str">
        <f>"9780773590809"</f>
        <v>9780773590809</v>
      </c>
      <c r="E4443" t="s">
        <v>12863</v>
      </c>
      <c r="F4443" t="s">
        <v>12863</v>
      </c>
      <c r="G4443" s="1">
        <v>40360</v>
      </c>
      <c r="J4443" t="s">
        <v>22723</v>
      </c>
      <c r="K4443" t="s">
        <v>2951</v>
      </c>
      <c r="L4443" t="s">
        <v>22724</v>
      </c>
      <c r="M4443" t="s">
        <v>22725</v>
      </c>
      <c r="N4443" t="s">
        <v>22726</v>
      </c>
      <c r="O4443" t="s">
        <v>26</v>
      </c>
      <c r="P4443">
        <v>150</v>
      </c>
      <c r="Q4443">
        <v>125</v>
      </c>
      <c r="R4443">
        <v>100</v>
      </c>
      <c r="S4443">
        <v>150</v>
      </c>
      <c r="T4443" t="s">
        <v>22727</v>
      </c>
    </row>
    <row r="4444" spans="1:20">
      <c r="A4444">
        <v>3332515</v>
      </c>
      <c r="B4444" t="s">
        <v>22728</v>
      </c>
      <c r="C4444" t="str">
        <f>"9780773539105"</f>
        <v>9780773539105</v>
      </c>
      <c r="D4444" t="str">
        <f>"9780773586680"</f>
        <v>9780773586680</v>
      </c>
      <c r="E4444" t="s">
        <v>12907</v>
      </c>
      <c r="F4444" t="s">
        <v>12863</v>
      </c>
      <c r="G4444" s="1">
        <v>40926</v>
      </c>
      <c r="J4444" t="s">
        <v>22729</v>
      </c>
      <c r="K4444" t="s">
        <v>1464</v>
      </c>
      <c r="M4444" t="s">
        <v>22730</v>
      </c>
      <c r="N4444" t="s">
        <v>22731</v>
      </c>
      <c r="O4444" t="s">
        <v>26</v>
      </c>
      <c r="P4444">
        <v>142.5</v>
      </c>
      <c r="Q4444">
        <v>118.75</v>
      </c>
      <c r="R4444">
        <v>95</v>
      </c>
      <c r="S4444">
        <v>142.5</v>
      </c>
      <c r="T4444" t="s">
        <v>22732</v>
      </c>
    </row>
    <row r="4445" spans="1:20">
      <c r="A4445">
        <v>3332516</v>
      </c>
      <c r="B4445" t="s">
        <v>22733</v>
      </c>
      <c r="C4445" t="str">
        <f>"9780773537088"</f>
        <v>9780773537088</v>
      </c>
      <c r="D4445" t="str">
        <f>"9780773590991"</f>
        <v>9780773590991</v>
      </c>
      <c r="E4445" t="s">
        <v>12863</v>
      </c>
      <c r="F4445" t="s">
        <v>12863</v>
      </c>
      <c r="G4445" s="1">
        <v>40451</v>
      </c>
      <c r="J4445" t="s">
        <v>13821</v>
      </c>
      <c r="K4445" t="s">
        <v>1464</v>
      </c>
      <c r="L4445" t="s">
        <v>22734</v>
      </c>
      <c r="M4445" t="s">
        <v>22735</v>
      </c>
      <c r="N4445" t="s">
        <v>22736</v>
      </c>
      <c r="O4445" t="s">
        <v>26</v>
      </c>
      <c r="P4445">
        <v>142.5</v>
      </c>
      <c r="Q4445">
        <v>118.75</v>
      </c>
      <c r="R4445">
        <v>95</v>
      </c>
      <c r="S4445">
        <v>142.5</v>
      </c>
      <c r="T4445" t="s">
        <v>22737</v>
      </c>
    </row>
    <row r="4446" spans="1:20">
      <c r="A4446">
        <v>3332517</v>
      </c>
      <c r="B4446" t="s">
        <v>22738</v>
      </c>
      <c r="C4446" t="str">
        <f>"9780773538177"</f>
        <v>9780773538177</v>
      </c>
      <c r="D4446" t="str">
        <f>"9780773590960"</f>
        <v>9780773590960</v>
      </c>
      <c r="E4446" t="s">
        <v>12863</v>
      </c>
      <c r="F4446" t="s">
        <v>12863</v>
      </c>
      <c r="G4446" s="1">
        <v>40645</v>
      </c>
      <c r="I4446" t="s">
        <v>19859</v>
      </c>
      <c r="J4446" t="s">
        <v>17772</v>
      </c>
      <c r="K4446" t="s">
        <v>1471</v>
      </c>
      <c r="L4446" t="s">
        <v>22739</v>
      </c>
      <c r="M4446" t="s">
        <v>22740</v>
      </c>
      <c r="N4446" t="s">
        <v>22741</v>
      </c>
      <c r="O4446" t="s">
        <v>26</v>
      </c>
      <c r="P4446">
        <v>89.93</v>
      </c>
      <c r="Q4446">
        <v>74.94</v>
      </c>
      <c r="R4446">
        <v>59.95</v>
      </c>
      <c r="S4446">
        <v>89.93</v>
      </c>
      <c r="T4446" t="s">
        <v>22742</v>
      </c>
    </row>
    <row r="4447" spans="1:20">
      <c r="A4447">
        <v>3332518</v>
      </c>
      <c r="B4447" t="s">
        <v>22743</v>
      </c>
      <c r="C4447" t="str">
        <f>"9780773537194"</f>
        <v>9780773537194</v>
      </c>
      <c r="D4447" t="str">
        <f>"9780773591011"</f>
        <v>9780773591011</v>
      </c>
      <c r="E4447" t="s">
        <v>12863</v>
      </c>
      <c r="F4447" t="s">
        <v>12863</v>
      </c>
      <c r="G4447" s="1">
        <v>40483</v>
      </c>
      <c r="I4447" t="s">
        <v>13270</v>
      </c>
      <c r="J4447" t="s">
        <v>22744</v>
      </c>
      <c r="K4447" t="s">
        <v>291</v>
      </c>
      <c r="L4447" t="s">
        <v>22745</v>
      </c>
      <c r="M4447">
        <v>971</v>
      </c>
      <c r="N4447" t="s">
        <v>22746</v>
      </c>
      <c r="O4447" t="s">
        <v>26</v>
      </c>
      <c r="P4447">
        <v>142.5</v>
      </c>
      <c r="Q4447">
        <v>118.75</v>
      </c>
      <c r="R4447">
        <v>95</v>
      </c>
      <c r="S4447">
        <v>142.5</v>
      </c>
      <c r="T4447" t="s">
        <v>22747</v>
      </c>
    </row>
    <row r="4448" spans="1:20">
      <c r="A4448">
        <v>3332519</v>
      </c>
      <c r="B4448" t="s">
        <v>22748</v>
      </c>
      <c r="C4448" t="str">
        <f>"9780773537071"</f>
        <v>9780773537071</v>
      </c>
      <c r="D4448" t="str">
        <f>"9780773591042"</f>
        <v>9780773591042</v>
      </c>
      <c r="E4448" t="s">
        <v>12863</v>
      </c>
      <c r="F4448" t="s">
        <v>12863</v>
      </c>
      <c r="G4448" s="1">
        <v>40330</v>
      </c>
      <c r="J4448" t="s">
        <v>22749</v>
      </c>
      <c r="K4448" t="s">
        <v>467</v>
      </c>
      <c r="L4448" t="s">
        <v>22750</v>
      </c>
      <c r="M4448">
        <v>323.44799999999998</v>
      </c>
      <c r="N4448" t="s">
        <v>22751</v>
      </c>
      <c r="O4448" t="s">
        <v>26</v>
      </c>
      <c r="P4448">
        <v>89.93</v>
      </c>
      <c r="Q4448">
        <v>74.94</v>
      </c>
      <c r="R4448">
        <v>59.95</v>
      </c>
      <c r="S4448">
        <v>89.93</v>
      </c>
      <c r="T4448" t="s">
        <v>22752</v>
      </c>
    </row>
    <row r="4449" spans="1:20">
      <c r="A4449">
        <v>3332520</v>
      </c>
      <c r="B4449" t="s">
        <v>22753</v>
      </c>
      <c r="C4449" t="str">
        <f>""</f>
        <v/>
      </c>
      <c r="D4449" t="str">
        <f>"9780773587786"</f>
        <v>9780773587786</v>
      </c>
      <c r="E4449" t="s">
        <v>12907</v>
      </c>
      <c r="F4449" t="s">
        <v>12863</v>
      </c>
      <c r="G4449" s="1">
        <v>41773</v>
      </c>
      <c r="I4449" t="s">
        <v>13068</v>
      </c>
      <c r="J4449" t="s">
        <v>22754</v>
      </c>
      <c r="K4449" t="s">
        <v>416</v>
      </c>
      <c r="L4449" t="s">
        <v>22755</v>
      </c>
      <c r="M4449">
        <v>336</v>
      </c>
      <c r="N4449" t="s">
        <v>22145</v>
      </c>
      <c r="O4449" t="s">
        <v>26</v>
      </c>
      <c r="P4449">
        <v>142.5</v>
      </c>
      <c r="Q4449">
        <v>118.75</v>
      </c>
      <c r="R4449">
        <v>95</v>
      </c>
      <c r="S4449">
        <v>142.5</v>
      </c>
      <c r="T4449" t="s">
        <v>22756</v>
      </c>
    </row>
    <row r="4450" spans="1:20">
      <c r="A4450">
        <v>3332521</v>
      </c>
      <c r="B4450" t="s">
        <v>22757</v>
      </c>
      <c r="C4450" t="str">
        <f>"9780773536753"</f>
        <v>9780773536753</v>
      </c>
      <c r="D4450" t="str">
        <f>"9780773590816"</f>
        <v>9780773590816</v>
      </c>
      <c r="E4450" t="s">
        <v>12863</v>
      </c>
      <c r="F4450" t="s">
        <v>12863</v>
      </c>
      <c r="G4450" s="1">
        <v>40287</v>
      </c>
      <c r="I4450" t="s">
        <v>12864</v>
      </c>
      <c r="J4450" t="s">
        <v>22758</v>
      </c>
      <c r="K4450" t="s">
        <v>22759</v>
      </c>
      <c r="L4450" t="s">
        <v>22760</v>
      </c>
      <c r="M4450">
        <v>618.20970999999997</v>
      </c>
      <c r="N4450" t="s">
        <v>22761</v>
      </c>
      <c r="O4450" t="s">
        <v>26</v>
      </c>
      <c r="P4450">
        <v>142.5</v>
      </c>
      <c r="Q4450">
        <v>118.75</v>
      </c>
      <c r="R4450">
        <v>95</v>
      </c>
      <c r="S4450">
        <v>142.5</v>
      </c>
      <c r="T4450" t="s">
        <v>22762</v>
      </c>
    </row>
    <row r="4451" spans="1:20">
      <c r="A4451">
        <v>3332522</v>
      </c>
      <c r="B4451" t="s">
        <v>22763</v>
      </c>
      <c r="C4451" t="str">
        <f>"9780773537323"</f>
        <v>9780773537323</v>
      </c>
      <c r="D4451" t="str">
        <f>"9780773590878"</f>
        <v>9780773590878</v>
      </c>
      <c r="E4451" t="s">
        <v>12863</v>
      </c>
      <c r="F4451" t="s">
        <v>12863</v>
      </c>
      <c r="G4451" s="1">
        <v>40360</v>
      </c>
      <c r="I4451" t="s">
        <v>18583</v>
      </c>
      <c r="J4451" t="s">
        <v>22764</v>
      </c>
      <c r="K4451" t="s">
        <v>467</v>
      </c>
      <c r="L4451" t="s">
        <v>22765</v>
      </c>
      <c r="M4451">
        <v>321.02</v>
      </c>
      <c r="N4451" t="s">
        <v>22766</v>
      </c>
      <c r="O4451" t="s">
        <v>26</v>
      </c>
      <c r="P4451">
        <v>142.5</v>
      </c>
      <c r="Q4451">
        <v>118.75</v>
      </c>
      <c r="R4451">
        <v>95</v>
      </c>
      <c r="S4451">
        <v>142.5</v>
      </c>
      <c r="T4451" t="s">
        <v>22767</v>
      </c>
    </row>
    <row r="4452" spans="1:20">
      <c r="A4452">
        <v>3332523</v>
      </c>
      <c r="B4452" t="s">
        <v>22768</v>
      </c>
      <c r="C4452" t="str">
        <f>"9780773537286"</f>
        <v>9780773537286</v>
      </c>
      <c r="D4452" t="str">
        <f>"9780773590908"</f>
        <v>9780773590908</v>
      </c>
      <c r="E4452" t="s">
        <v>12863</v>
      </c>
      <c r="F4452" t="s">
        <v>12863</v>
      </c>
      <c r="G4452" s="1">
        <v>40299</v>
      </c>
      <c r="J4452" t="s">
        <v>22754</v>
      </c>
      <c r="K4452" t="s">
        <v>278</v>
      </c>
      <c r="L4452" t="s">
        <v>22769</v>
      </c>
      <c r="M4452">
        <v>336</v>
      </c>
      <c r="N4452" t="s">
        <v>22145</v>
      </c>
      <c r="O4452" t="s">
        <v>26</v>
      </c>
      <c r="P4452">
        <v>44.93</v>
      </c>
      <c r="Q4452">
        <v>37.44</v>
      </c>
      <c r="R4452">
        <v>29.95</v>
      </c>
      <c r="S4452">
        <v>44.93</v>
      </c>
      <c r="T4452" t="s">
        <v>22770</v>
      </c>
    </row>
    <row r="4453" spans="1:20">
      <c r="A4453">
        <v>3332525</v>
      </c>
      <c r="B4453" t="s">
        <v>22771</v>
      </c>
      <c r="C4453" t="str">
        <f>"9780773540705"</f>
        <v>9780773540705</v>
      </c>
      <c r="D4453" t="str">
        <f>"9780773588004"</f>
        <v>9780773588004</v>
      </c>
      <c r="E4453" t="s">
        <v>12863</v>
      </c>
      <c r="F4453" t="s">
        <v>12863</v>
      </c>
      <c r="G4453" s="1">
        <v>41183</v>
      </c>
      <c r="J4453" t="s">
        <v>22772</v>
      </c>
      <c r="K4453" t="s">
        <v>263</v>
      </c>
      <c r="M4453" t="s">
        <v>22773</v>
      </c>
      <c r="N4453" t="s">
        <v>22774</v>
      </c>
      <c r="O4453" t="s">
        <v>26</v>
      </c>
      <c r="P4453">
        <v>150</v>
      </c>
      <c r="Q4453">
        <v>125</v>
      </c>
      <c r="R4453">
        <v>100</v>
      </c>
      <c r="S4453">
        <v>150</v>
      </c>
      <c r="T4453" t="s">
        <v>22775</v>
      </c>
    </row>
    <row r="4454" spans="1:20">
      <c r="A4454">
        <v>3332526</v>
      </c>
      <c r="B4454" t="s">
        <v>22776</v>
      </c>
      <c r="C4454" t="str">
        <f>"9780773540330"</f>
        <v>9780773540330</v>
      </c>
      <c r="D4454" t="str">
        <f>"9780773587656"</f>
        <v>9780773587656</v>
      </c>
      <c r="E4454" t="s">
        <v>12863</v>
      </c>
      <c r="F4454" t="s">
        <v>12863</v>
      </c>
      <c r="G4454" s="1">
        <v>41206</v>
      </c>
      <c r="J4454" t="s">
        <v>22777</v>
      </c>
      <c r="K4454" t="s">
        <v>467</v>
      </c>
      <c r="M4454">
        <v>325</v>
      </c>
      <c r="N4454" t="s">
        <v>22778</v>
      </c>
      <c r="O4454" t="s">
        <v>26</v>
      </c>
      <c r="P4454">
        <v>142.5</v>
      </c>
      <c r="Q4454">
        <v>118.75</v>
      </c>
      <c r="R4454">
        <v>95</v>
      </c>
      <c r="S4454">
        <v>142.5</v>
      </c>
      <c r="T4454" t="s">
        <v>22779</v>
      </c>
    </row>
    <row r="4455" spans="1:20">
      <c r="A4455">
        <v>3332527</v>
      </c>
      <c r="B4455" t="s">
        <v>22780</v>
      </c>
      <c r="C4455" t="str">
        <f>"9780773538214"</f>
        <v>9780773538214</v>
      </c>
      <c r="D4455" t="str">
        <f>"9780773590779"</f>
        <v>9780773590779</v>
      </c>
      <c r="E4455" t="s">
        <v>12863</v>
      </c>
      <c r="F4455" t="s">
        <v>12863</v>
      </c>
      <c r="G4455" s="1">
        <v>40570</v>
      </c>
      <c r="J4455" t="s">
        <v>22781</v>
      </c>
      <c r="K4455" t="s">
        <v>2963</v>
      </c>
      <c r="L4455" t="s">
        <v>22782</v>
      </c>
      <c r="M4455" t="s">
        <v>22783</v>
      </c>
      <c r="N4455" t="s">
        <v>22784</v>
      </c>
      <c r="O4455" t="s">
        <v>26</v>
      </c>
      <c r="P4455">
        <v>59.93</v>
      </c>
      <c r="Q4455">
        <v>49.94</v>
      </c>
      <c r="R4455">
        <v>39.950000000000003</v>
      </c>
      <c r="S4455">
        <v>59.93</v>
      </c>
      <c r="T4455" t="s">
        <v>22785</v>
      </c>
    </row>
    <row r="4456" spans="1:20">
      <c r="A4456">
        <v>3332528</v>
      </c>
      <c r="B4456" t="s">
        <v>22786</v>
      </c>
      <c r="C4456" t="str">
        <f>"9780773531215"</f>
        <v>9780773531215</v>
      </c>
      <c r="D4456" t="str">
        <f>"9780773590885"</f>
        <v>9780773590885</v>
      </c>
      <c r="E4456" t="s">
        <v>12863</v>
      </c>
      <c r="F4456" t="s">
        <v>12863</v>
      </c>
      <c r="G4456" s="1">
        <v>40413</v>
      </c>
      <c r="I4456" t="s">
        <v>12871</v>
      </c>
      <c r="J4456" t="s">
        <v>22787</v>
      </c>
      <c r="K4456" t="s">
        <v>6444</v>
      </c>
      <c r="L4456" t="s">
        <v>22788</v>
      </c>
      <c r="M4456">
        <v>325.37299999999999</v>
      </c>
      <c r="N4456" t="s">
        <v>22789</v>
      </c>
      <c r="O4456" t="s">
        <v>26</v>
      </c>
      <c r="P4456">
        <v>187.5</v>
      </c>
      <c r="Q4456">
        <v>156.25</v>
      </c>
      <c r="R4456">
        <v>125</v>
      </c>
      <c r="S4456">
        <v>187.5</v>
      </c>
      <c r="T4456" t="s">
        <v>22790</v>
      </c>
    </row>
    <row r="4457" spans="1:20">
      <c r="A4457">
        <v>3332529</v>
      </c>
      <c r="B4457" t="s">
        <v>22791</v>
      </c>
      <c r="C4457" t="str">
        <f>"9780773541009"</f>
        <v>9780773541009</v>
      </c>
      <c r="D4457" t="str">
        <f>"9780773587823"</f>
        <v>9780773587823</v>
      </c>
      <c r="E4457" t="s">
        <v>12863</v>
      </c>
      <c r="F4457" t="s">
        <v>12863</v>
      </c>
      <c r="G4457" s="1">
        <v>41193</v>
      </c>
      <c r="I4457" t="s">
        <v>12886</v>
      </c>
      <c r="J4457" t="s">
        <v>22792</v>
      </c>
      <c r="K4457" t="s">
        <v>1892</v>
      </c>
      <c r="L4457" t="s">
        <v>22793</v>
      </c>
      <c r="M4457">
        <v>285.27100000000002</v>
      </c>
      <c r="N4457" t="s">
        <v>22794</v>
      </c>
      <c r="O4457" t="s">
        <v>26</v>
      </c>
      <c r="P4457">
        <v>142.5</v>
      </c>
      <c r="Q4457">
        <v>118.75</v>
      </c>
      <c r="R4457">
        <v>95</v>
      </c>
      <c r="S4457">
        <v>142.5</v>
      </c>
      <c r="T4457" t="s">
        <v>22795</v>
      </c>
    </row>
    <row r="4458" spans="1:20">
      <c r="A4458">
        <v>3332530</v>
      </c>
      <c r="B4458" t="s">
        <v>22796</v>
      </c>
      <c r="C4458" t="str">
        <f>"9780773536586"</f>
        <v>9780773536586</v>
      </c>
      <c r="D4458" t="str">
        <f>"9780773590946"</f>
        <v>9780773590946</v>
      </c>
      <c r="E4458" t="s">
        <v>12863</v>
      </c>
      <c r="F4458" t="s">
        <v>12863</v>
      </c>
      <c r="G4458" s="1">
        <v>40210</v>
      </c>
      <c r="I4458" t="s">
        <v>12942</v>
      </c>
      <c r="J4458" t="s">
        <v>22797</v>
      </c>
      <c r="K4458" t="s">
        <v>7063</v>
      </c>
      <c r="L4458" t="s">
        <v>22798</v>
      </c>
      <c r="M4458" t="s">
        <v>22799</v>
      </c>
      <c r="N4458" t="s">
        <v>22800</v>
      </c>
      <c r="O4458" t="s">
        <v>26</v>
      </c>
      <c r="P4458">
        <v>135</v>
      </c>
      <c r="Q4458">
        <v>112.5</v>
      </c>
      <c r="R4458">
        <v>90</v>
      </c>
      <c r="S4458">
        <v>135</v>
      </c>
      <c r="T4458" t="s">
        <v>22801</v>
      </c>
    </row>
    <row r="4459" spans="1:20">
      <c r="A4459">
        <v>3332531</v>
      </c>
      <c r="B4459" t="s">
        <v>22802</v>
      </c>
      <c r="C4459" t="str">
        <f>"9780773536906"</f>
        <v>9780773536906</v>
      </c>
      <c r="D4459" t="str">
        <f>"9780773591059"</f>
        <v>9780773591059</v>
      </c>
      <c r="E4459" t="s">
        <v>12863</v>
      </c>
      <c r="F4459" t="s">
        <v>12863</v>
      </c>
      <c r="G4459" s="1">
        <v>40299</v>
      </c>
      <c r="J4459" t="s">
        <v>22803</v>
      </c>
      <c r="K4459" t="s">
        <v>291</v>
      </c>
      <c r="L4459" t="s">
        <v>22804</v>
      </c>
      <c r="M4459">
        <v>971.0643</v>
      </c>
      <c r="N4459" t="s">
        <v>22805</v>
      </c>
      <c r="O4459" t="s">
        <v>26</v>
      </c>
      <c r="P4459">
        <v>142.5</v>
      </c>
      <c r="Q4459">
        <v>118.75</v>
      </c>
      <c r="R4459">
        <v>95</v>
      </c>
      <c r="S4459">
        <v>142.5</v>
      </c>
      <c r="T4459" t="s">
        <v>22806</v>
      </c>
    </row>
    <row r="4460" spans="1:20">
      <c r="A4460">
        <v>3332532</v>
      </c>
      <c r="B4460" t="s">
        <v>22807</v>
      </c>
      <c r="C4460" t="str">
        <f>"9780773537361"</f>
        <v>9780773537361</v>
      </c>
      <c r="D4460" t="str">
        <f>"9780773591028"</f>
        <v>9780773591028</v>
      </c>
      <c r="E4460" t="s">
        <v>12863</v>
      </c>
      <c r="F4460" t="s">
        <v>12863</v>
      </c>
      <c r="G4460" s="1">
        <v>40360</v>
      </c>
      <c r="J4460" t="s">
        <v>22808</v>
      </c>
      <c r="K4460" t="s">
        <v>7063</v>
      </c>
      <c r="L4460" t="s">
        <v>22809</v>
      </c>
      <c r="M4460">
        <v>327.73</v>
      </c>
      <c r="N4460" t="s">
        <v>22810</v>
      </c>
      <c r="O4460" t="s">
        <v>26</v>
      </c>
      <c r="P4460">
        <v>127.5</v>
      </c>
      <c r="Q4460">
        <v>106.25</v>
      </c>
      <c r="R4460">
        <v>85</v>
      </c>
      <c r="S4460">
        <v>127.5</v>
      </c>
      <c r="T4460" t="s">
        <v>22811</v>
      </c>
    </row>
    <row r="4461" spans="1:20">
      <c r="A4461">
        <v>3332533</v>
      </c>
      <c r="B4461" t="s">
        <v>22812</v>
      </c>
      <c r="C4461" t="str">
        <f>"9780773534728"</f>
        <v>9780773534728</v>
      </c>
      <c r="D4461" t="str">
        <f>"9780773575363"</f>
        <v>9780773575363</v>
      </c>
      <c r="E4461" t="s">
        <v>12863</v>
      </c>
      <c r="F4461" t="s">
        <v>12863</v>
      </c>
      <c r="G4461" s="1">
        <v>37316</v>
      </c>
      <c r="H4461">
        <v>2</v>
      </c>
      <c r="J4461" t="s">
        <v>22813</v>
      </c>
      <c r="K4461" t="s">
        <v>263</v>
      </c>
      <c r="L4461" t="s">
        <v>22814</v>
      </c>
      <c r="M4461" t="s">
        <v>22815</v>
      </c>
      <c r="N4461" t="s">
        <v>22816</v>
      </c>
      <c r="O4461" t="s">
        <v>26</v>
      </c>
      <c r="P4461">
        <v>37.43</v>
      </c>
      <c r="Q4461">
        <v>31.19</v>
      </c>
      <c r="R4461">
        <v>24.95</v>
      </c>
      <c r="S4461">
        <v>37.43</v>
      </c>
      <c r="T4461" t="s">
        <v>22817</v>
      </c>
    </row>
    <row r="4462" spans="1:20">
      <c r="A4462">
        <v>3332534</v>
      </c>
      <c r="B4462" t="s">
        <v>22818</v>
      </c>
      <c r="C4462" t="str">
        <f>"9780773540927"</f>
        <v>9780773540927</v>
      </c>
      <c r="D4462" t="str">
        <f>"9780773587847"</f>
        <v>9780773587847</v>
      </c>
      <c r="E4462" t="s">
        <v>12863</v>
      </c>
      <c r="F4462" t="s">
        <v>12863</v>
      </c>
      <c r="G4462" s="1">
        <v>41214</v>
      </c>
      <c r="J4462" t="s">
        <v>22819</v>
      </c>
      <c r="K4462" t="s">
        <v>467</v>
      </c>
      <c r="L4462" t="s">
        <v>22820</v>
      </c>
      <c r="M4462">
        <v>324.27100000000002</v>
      </c>
      <c r="N4462" t="s">
        <v>22821</v>
      </c>
      <c r="O4462" t="s">
        <v>26</v>
      </c>
      <c r="P4462">
        <v>142.5</v>
      </c>
      <c r="Q4462">
        <v>118.75</v>
      </c>
      <c r="R4462">
        <v>95</v>
      </c>
      <c r="S4462">
        <v>142.5</v>
      </c>
      <c r="T4462" t="s">
        <v>22822</v>
      </c>
    </row>
    <row r="4463" spans="1:20">
      <c r="A4463">
        <v>3332535</v>
      </c>
      <c r="B4463" t="s">
        <v>22823</v>
      </c>
      <c r="C4463" t="str">
        <f>"9780773538672"</f>
        <v>9780773538672</v>
      </c>
      <c r="D4463" t="str">
        <f>"9780773590922"</f>
        <v>9780773590922</v>
      </c>
      <c r="E4463" t="s">
        <v>12863</v>
      </c>
      <c r="F4463" t="s">
        <v>12863</v>
      </c>
      <c r="G4463" s="1">
        <v>40709</v>
      </c>
      <c r="J4463" t="s">
        <v>22824</v>
      </c>
      <c r="K4463" t="s">
        <v>416</v>
      </c>
      <c r="L4463" t="s">
        <v>22825</v>
      </c>
      <c r="M4463" t="s">
        <v>22826</v>
      </c>
      <c r="N4463" t="s">
        <v>22827</v>
      </c>
      <c r="O4463" t="s">
        <v>26</v>
      </c>
      <c r="P4463">
        <v>52.43</v>
      </c>
      <c r="Q4463">
        <v>43.69</v>
      </c>
      <c r="R4463">
        <v>34.950000000000003</v>
      </c>
      <c r="S4463">
        <v>52.43</v>
      </c>
      <c r="T4463" t="s">
        <v>22828</v>
      </c>
    </row>
    <row r="4464" spans="1:20">
      <c r="A4464">
        <v>3332536</v>
      </c>
      <c r="B4464" t="s">
        <v>22829</v>
      </c>
      <c r="C4464" t="str">
        <f>"9780773537934"</f>
        <v>9780773537934</v>
      </c>
      <c r="D4464" t="str">
        <f>"9780773590823"</f>
        <v>9780773590823</v>
      </c>
      <c r="E4464" t="s">
        <v>12863</v>
      </c>
      <c r="F4464" t="s">
        <v>12863</v>
      </c>
      <c r="G4464" s="1">
        <v>40553</v>
      </c>
      <c r="J4464" t="s">
        <v>22830</v>
      </c>
      <c r="K4464" t="s">
        <v>899</v>
      </c>
      <c r="L4464" t="s">
        <v>22831</v>
      </c>
      <c r="M4464">
        <v>304.60971000000001</v>
      </c>
      <c r="N4464" t="s">
        <v>22832</v>
      </c>
      <c r="O4464" t="s">
        <v>26</v>
      </c>
      <c r="P4464">
        <v>142.5</v>
      </c>
      <c r="Q4464">
        <v>118.75</v>
      </c>
      <c r="R4464">
        <v>95</v>
      </c>
      <c r="S4464">
        <v>142.5</v>
      </c>
      <c r="T4464" t="s">
        <v>22833</v>
      </c>
    </row>
    <row r="4465" spans="1:20">
      <c r="A4465">
        <v>3332537</v>
      </c>
      <c r="B4465" t="s">
        <v>22834</v>
      </c>
      <c r="C4465" t="str">
        <f>"9780773538689"</f>
        <v>9780773538689</v>
      </c>
      <c r="D4465" t="str">
        <f>"9780773590915"</f>
        <v>9780773590915</v>
      </c>
      <c r="E4465" t="s">
        <v>12863</v>
      </c>
      <c r="F4465" t="s">
        <v>12863</v>
      </c>
      <c r="G4465" s="1">
        <v>40709</v>
      </c>
      <c r="J4465" t="s">
        <v>22824</v>
      </c>
      <c r="K4465" t="s">
        <v>568</v>
      </c>
      <c r="L4465" t="s">
        <v>22835</v>
      </c>
      <c r="M4465">
        <v>320.50970999999998</v>
      </c>
      <c r="N4465" t="s">
        <v>22836</v>
      </c>
      <c r="O4465" t="s">
        <v>26</v>
      </c>
      <c r="P4465">
        <v>52.43</v>
      </c>
      <c r="Q4465">
        <v>43.69</v>
      </c>
      <c r="R4465">
        <v>34.950000000000003</v>
      </c>
      <c r="S4465">
        <v>52.43</v>
      </c>
      <c r="T4465" t="s">
        <v>22837</v>
      </c>
    </row>
    <row r="4466" spans="1:20">
      <c r="A4466">
        <v>3332538</v>
      </c>
      <c r="B4466" t="s">
        <v>22838</v>
      </c>
      <c r="C4466" t="str">
        <f>"9780773540514"</f>
        <v>9780773540514</v>
      </c>
      <c r="D4466" t="str">
        <f>"9780773587809"</f>
        <v>9780773587809</v>
      </c>
      <c r="E4466" t="s">
        <v>12863</v>
      </c>
      <c r="F4466" t="s">
        <v>12863</v>
      </c>
      <c r="G4466" s="1">
        <v>41183</v>
      </c>
      <c r="I4466" t="s">
        <v>13270</v>
      </c>
      <c r="J4466" t="s">
        <v>20700</v>
      </c>
      <c r="K4466" t="s">
        <v>6444</v>
      </c>
      <c r="L4466" t="s">
        <v>22839</v>
      </c>
      <c r="M4466">
        <v>327.7</v>
      </c>
      <c r="N4466" t="s">
        <v>22840</v>
      </c>
      <c r="O4466" t="s">
        <v>26</v>
      </c>
      <c r="P4466">
        <v>74.930000000000007</v>
      </c>
      <c r="Q4466">
        <v>62.44</v>
      </c>
      <c r="R4466">
        <v>49.95</v>
      </c>
      <c r="S4466">
        <v>74.930000000000007</v>
      </c>
      <c r="T4466" t="s">
        <v>22841</v>
      </c>
    </row>
    <row r="4467" spans="1:20">
      <c r="A4467">
        <v>3332539</v>
      </c>
      <c r="B4467" t="s">
        <v>22842</v>
      </c>
      <c r="C4467" t="str">
        <f>"9780773540620"</f>
        <v>9780773540620</v>
      </c>
      <c r="D4467" t="str">
        <f>"9780773587694"</f>
        <v>9780773587694</v>
      </c>
      <c r="E4467" t="s">
        <v>12863</v>
      </c>
      <c r="F4467" t="s">
        <v>12863</v>
      </c>
      <c r="G4467" s="1">
        <v>41275</v>
      </c>
      <c r="J4467" t="s">
        <v>22843</v>
      </c>
      <c r="K4467" t="s">
        <v>2963</v>
      </c>
      <c r="L4467" t="s">
        <v>22844</v>
      </c>
      <c r="M4467">
        <v>909.09</v>
      </c>
      <c r="N4467" t="s">
        <v>22845</v>
      </c>
      <c r="O4467" t="s">
        <v>26</v>
      </c>
      <c r="P4467">
        <v>142.5</v>
      </c>
      <c r="Q4467">
        <v>118.75</v>
      </c>
      <c r="R4467">
        <v>95</v>
      </c>
      <c r="S4467">
        <v>142.5</v>
      </c>
      <c r="T4467" t="s">
        <v>22846</v>
      </c>
    </row>
    <row r="4468" spans="1:20">
      <c r="A4468">
        <v>3332540</v>
      </c>
      <c r="B4468" t="s">
        <v>22847</v>
      </c>
      <c r="C4468" t="str">
        <f>"9780773541221"</f>
        <v>9780773541221</v>
      </c>
      <c r="D4468" t="str">
        <f>"9780773588110"</f>
        <v>9780773588110</v>
      </c>
      <c r="E4468" t="s">
        <v>12863</v>
      </c>
      <c r="F4468" t="s">
        <v>12863</v>
      </c>
      <c r="G4468" s="1">
        <v>41220</v>
      </c>
      <c r="J4468" t="s">
        <v>22848</v>
      </c>
      <c r="K4468" t="s">
        <v>525</v>
      </c>
      <c r="L4468" t="s">
        <v>22849</v>
      </c>
      <c r="M4468">
        <v>349.71</v>
      </c>
      <c r="N4468" t="s">
        <v>22850</v>
      </c>
      <c r="O4468" t="s">
        <v>26</v>
      </c>
      <c r="P4468">
        <v>90</v>
      </c>
      <c r="Q4468">
        <v>75</v>
      </c>
      <c r="R4468">
        <v>60</v>
      </c>
      <c r="S4468">
        <v>90</v>
      </c>
      <c r="T4468" t="s">
        <v>22851</v>
      </c>
    </row>
    <row r="4469" spans="1:20">
      <c r="A4469">
        <v>3332541</v>
      </c>
      <c r="B4469" t="s">
        <v>22852</v>
      </c>
      <c r="C4469" t="str">
        <f>"9780773539327"</f>
        <v>9780773539327</v>
      </c>
      <c r="D4469" t="str">
        <f>"9780773587557"</f>
        <v>9780773587557</v>
      </c>
      <c r="E4469" t="s">
        <v>12863</v>
      </c>
      <c r="F4469" t="s">
        <v>12863</v>
      </c>
      <c r="G4469" s="1">
        <v>41183</v>
      </c>
      <c r="J4469" t="s">
        <v>22853</v>
      </c>
      <c r="K4469" t="s">
        <v>467</v>
      </c>
      <c r="L4469" t="s">
        <v>22854</v>
      </c>
      <c r="M4469">
        <v>320.85899999999998</v>
      </c>
      <c r="N4469" t="s">
        <v>22855</v>
      </c>
      <c r="O4469" t="s">
        <v>26</v>
      </c>
      <c r="P4469">
        <v>59.93</v>
      </c>
      <c r="Q4469">
        <v>49.94</v>
      </c>
      <c r="R4469">
        <v>39.950000000000003</v>
      </c>
      <c r="S4469">
        <v>59.93</v>
      </c>
      <c r="T4469" t="s">
        <v>22856</v>
      </c>
    </row>
    <row r="4470" spans="1:20">
      <c r="A4470">
        <v>3332542</v>
      </c>
      <c r="B4470" t="s">
        <v>22857</v>
      </c>
      <c r="C4470" t="str">
        <f>"9780773540279"</f>
        <v>9780773540279</v>
      </c>
      <c r="D4470" t="str">
        <f>"9780773587878"</f>
        <v>9780773587878</v>
      </c>
      <c r="E4470" t="s">
        <v>12863</v>
      </c>
      <c r="F4470" t="s">
        <v>12863</v>
      </c>
      <c r="G4470" s="1">
        <v>41061</v>
      </c>
      <c r="J4470" t="s">
        <v>22858</v>
      </c>
      <c r="K4470" t="s">
        <v>1464</v>
      </c>
      <c r="L4470" t="s">
        <v>22859</v>
      </c>
      <c r="M4470">
        <v>843.91408999999999</v>
      </c>
      <c r="N4470" t="s">
        <v>22860</v>
      </c>
      <c r="O4470" t="s">
        <v>26</v>
      </c>
      <c r="P4470">
        <v>142.5</v>
      </c>
      <c r="Q4470">
        <v>118.75</v>
      </c>
      <c r="R4470">
        <v>95</v>
      </c>
      <c r="S4470">
        <v>142.5</v>
      </c>
      <c r="T4470" t="s">
        <v>22861</v>
      </c>
    </row>
    <row r="4471" spans="1:20">
      <c r="A4471">
        <v>3332543</v>
      </c>
      <c r="B4471" t="s">
        <v>22862</v>
      </c>
      <c r="C4471" t="str">
        <f>"9780773539518"</f>
        <v>9780773539518</v>
      </c>
      <c r="D4471" t="str">
        <f>"9780773587120"</f>
        <v>9780773587120</v>
      </c>
      <c r="E4471" t="s">
        <v>12907</v>
      </c>
      <c r="F4471" t="s">
        <v>12907</v>
      </c>
      <c r="G4471" s="1">
        <v>40963</v>
      </c>
      <c r="I4471" t="s">
        <v>12871</v>
      </c>
      <c r="J4471" t="s">
        <v>22863</v>
      </c>
      <c r="K4471" t="s">
        <v>1471</v>
      </c>
      <c r="L4471" t="s">
        <v>22864</v>
      </c>
      <c r="M4471">
        <v>781.62970710000002</v>
      </c>
      <c r="N4471" t="s">
        <v>22865</v>
      </c>
      <c r="O4471" t="s">
        <v>26</v>
      </c>
      <c r="P4471">
        <v>74.930000000000007</v>
      </c>
      <c r="Q4471">
        <v>62.44</v>
      </c>
      <c r="R4471">
        <v>49.95</v>
      </c>
      <c r="S4471">
        <v>74.930000000000007</v>
      </c>
      <c r="T4471" t="s">
        <v>22866</v>
      </c>
    </row>
    <row r="4472" spans="1:20">
      <c r="A4472">
        <v>3332544</v>
      </c>
      <c r="B4472" t="s">
        <v>22867</v>
      </c>
      <c r="C4472" t="str">
        <f>"9780773537576"</f>
        <v>9780773537576</v>
      </c>
      <c r="D4472" t="str">
        <f>"9780773591004"</f>
        <v>9780773591004</v>
      </c>
      <c r="E4472" t="s">
        <v>12863</v>
      </c>
      <c r="F4472" t="s">
        <v>22868</v>
      </c>
      <c r="G4472" s="1">
        <v>40493</v>
      </c>
      <c r="J4472" t="s">
        <v>22869</v>
      </c>
      <c r="K4472" t="s">
        <v>291</v>
      </c>
      <c r="L4472" t="s">
        <v>22870</v>
      </c>
      <c r="M4472" t="s">
        <v>22871</v>
      </c>
      <c r="N4472" t="s">
        <v>22872</v>
      </c>
      <c r="O4472" t="s">
        <v>26</v>
      </c>
      <c r="P4472">
        <v>112.5</v>
      </c>
      <c r="Q4472">
        <v>93.75</v>
      </c>
      <c r="R4472">
        <v>75</v>
      </c>
      <c r="S4472">
        <v>112.5</v>
      </c>
      <c r="T4472" t="s">
        <v>22873</v>
      </c>
    </row>
    <row r="4473" spans="1:20">
      <c r="A4473">
        <v>3332545</v>
      </c>
      <c r="B4473" t="s">
        <v>22874</v>
      </c>
      <c r="C4473" t="str">
        <f>"9780773537699"</f>
        <v>9780773537699</v>
      </c>
      <c r="D4473" t="str">
        <f>"9780773587144"</f>
        <v>9780773587144</v>
      </c>
      <c r="E4473" t="s">
        <v>12907</v>
      </c>
      <c r="F4473" t="s">
        <v>12907</v>
      </c>
      <c r="G4473" s="1">
        <v>40640</v>
      </c>
      <c r="J4473" t="s">
        <v>18099</v>
      </c>
      <c r="K4473" t="s">
        <v>291</v>
      </c>
      <c r="L4473" t="s">
        <v>22875</v>
      </c>
      <c r="M4473">
        <v>943.08600000000001</v>
      </c>
      <c r="N4473" t="s">
        <v>22876</v>
      </c>
      <c r="O4473" t="s">
        <v>26</v>
      </c>
      <c r="P4473">
        <v>157.5</v>
      </c>
      <c r="Q4473">
        <v>131.25</v>
      </c>
      <c r="R4473">
        <v>105</v>
      </c>
      <c r="S4473">
        <v>157.5</v>
      </c>
      <c r="T4473" t="s">
        <v>22877</v>
      </c>
    </row>
    <row r="4474" spans="1:20">
      <c r="A4474">
        <v>3332547</v>
      </c>
      <c r="B4474" t="s">
        <v>22878</v>
      </c>
      <c r="C4474" t="str">
        <f>"9780773539679"</f>
        <v>9780773539679</v>
      </c>
      <c r="D4474" t="str">
        <f>"9780773587168"</f>
        <v>9780773587168</v>
      </c>
      <c r="E4474" t="s">
        <v>12863</v>
      </c>
      <c r="F4474" t="s">
        <v>12863</v>
      </c>
      <c r="G4474" s="1">
        <v>40977</v>
      </c>
      <c r="J4474" t="s">
        <v>22879</v>
      </c>
      <c r="K4474" t="s">
        <v>10956</v>
      </c>
      <c r="L4474" t="s">
        <v>22880</v>
      </c>
      <c r="M4474" t="s">
        <v>22881</v>
      </c>
      <c r="N4474" t="s">
        <v>22882</v>
      </c>
      <c r="O4474" t="s">
        <v>26</v>
      </c>
      <c r="P4474">
        <v>52.43</v>
      </c>
      <c r="Q4474">
        <v>43.69</v>
      </c>
      <c r="R4474">
        <v>34.950000000000003</v>
      </c>
      <c r="S4474">
        <v>52.43</v>
      </c>
      <c r="T4474" t="s">
        <v>22883</v>
      </c>
    </row>
    <row r="4475" spans="1:20">
      <c r="A4475">
        <v>3332548</v>
      </c>
      <c r="B4475" t="s">
        <v>22884</v>
      </c>
      <c r="C4475" t="str">
        <f>"9780773517325"</f>
        <v>9780773517325</v>
      </c>
      <c r="D4475" t="str">
        <f>"9780773567221"</f>
        <v>9780773567221</v>
      </c>
      <c r="E4475" t="s">
        <v>12907</v>
      </c>
      <c r="F4475" t="s">
        <v>12907</v>
      </c>
      <c r="G4475" s="1">
        <v>35992</v>
      </c>
      <c r="J4475" t="s">
        <v>19407</v>
      </c>
      <c r="K4475" t="s">
        <v>1464</v>
      </c>
      <c r="L4475" t="s">
        <v>22885</v>
      </c>
      <c r="M4475" t="s">
        <v>22886</v>
      </c>
      <c r="N4475" t="s">
        <v>22887</v>
      </c>
      <c r="O4475" t="s">
        <v>26</v>
      </c>
      <c r="P4475">
        <v>142.5</v>
      </c>
      <c r="Q4475">
        <v>118.75</v>
      </c>
      <c r="R4475">
        <v>95</v>
      </c>
      <c r="S4475">
        <v>142.5</v>
      </c>
      <c r="T4475" t="s">
        <v>22888</v>
      </c>
    </row>
    <row r="4476" spans="1:20">
      <c r="A4476">
        <v>3332549</v>
      </c>
      <c r="B4476" t="s">
        <v>22889</v>
      </c>
      <c r="C4476" t="str">
        <f>"9780773540729"</f>
        <v>9780773540729</v>
      </c>
      <c r="D4476" t="str">
        <f>"9780773587731"</f>
        <v>9780773587731</v>
      </c>
      <c r="E4476" t="s">
        <v>12863</v>
      </c>
      <c r="F4476" t="s">
        <v>12863</v>
      </c>
      <c r="G4476" s="1">
        <v>41244</v>
      </c>
      <c r="J4476" t="s">
        <v>22890</v>
      </c>
      <c r="K4476" t="s">
        <v>3230</v>
      </c>
      <c r="L4476" t="s">
        <v>22891</v>
      </c>
      <c r="M4476">
        <v>912.1</v>
      </c>
      <c r="N4476" t="s">
        <v>22892</v>
      </c>
      <c r="O4476" t="s">
        <v>26</v>
      </c>
      <c r="P4476">
        <v>142.5</v>
      </c>
      <c r="Q4476">
        <v>118.75</v>
      </c>
      <c r="R4476">
        <v>95</v>
      </c>
      <c r="S4476">
        <v>142.5</v>
      </c>
      <c r="T4476" t="s">
        <v>22893</v>
      </c>
    </row>
    <row r="4477" spans="1:20">
      <c r="A4477">
        <v>3332550</v>
      </c>
      <c r="B4477" t="s">
        <v>22894</v>
      </c>
      <c r="C4477" t="str">
        <f>"9780773539761"</f>
        <v>9780773539761</v>
      </c>
      <c r="D4477" t="str">
        <f>"9780773587182"</f>
        <v>9780773587182</v>
      </c>
      <c r="E4477" t="s">
        <v>12863</v>
      </c>
      <c r="F4477" t="s">
        <v>12863</v>
      </c>
      <c r="G4477" s="1">
        <v>40996</v>
      </c>
      <c r="I4477" t="s">
        <v>18279</v>
      </c>
      <c r="J4477" t="s">
        <v>22895</v>
      </c>
      <c r="K4477" t="s">
        <v>7075</v>
      </c>
      <c r="L4477" t="s">
        <v>22896</v>
      </c>
      <c r="M4477">
        <v>16</v>
      </c>
      <c r="N4477" t="s">
        <v>22897</v>
      </c>
      <c r="O4477" t="s">
        <v>26</v>
      </c>
      <c r="P4477">
        <v>52.43</v>
      </c>
      <c r="Q4477">
        <v>43.69</v>
      </c>
      <c r="R4477">
        <v>34.950000000000003</v>
      </c>
      <c r="S4477">
        <v>52.43</v>
      </c>
      <c r="T4477" t="s">
        <v>22898</v>
      </c>
    </row>
    <row r="4478" spans="1:20">
      <c r="A4478">
        <v>3332552</v>
      </c>
      <c r="B4478" t="s">
        <v>22899</v>
      </c>
      <c r="C4478" t="str">
        <f>"9780773536661"</f>
        <v>9780773536661</v>
      </c>
      <c r="D4478" t="str">
        <f>"9780773591080"</f>
        <v>9780773591080</v>
      </c>
      <c r="E4478" t="s">
        <v>12863</v>
      </c>
      <c r="F4478" t="s">
        <v>12863</v>
      </c>
      <c r="G4478" s="1">
        <v>40266</v>
      </c>
      <c r="J4478" t="s">
        <v>22900</v>
      </c>
      <c r="K4478" t="s">
        <v>1892</v>
      </c>
      <c r="L4478" t="s">
        <v>22901</v>
      </c>
      <c r="M4478" t="s">
        <v>22902</v>
      </c>
      <c r="N4478" t="s">
        <v>22903</v>
      </c>
      <c r="O4478" t="s">
        <v>26</v>
      </c>
      <c r="P4478">
        <v>142.5</v>
      </c>
      <c r="Q4478">
        <v>118.75</v>
      </c>
      <c r="R4478">
        <v>95</v>
      </c>
      <c r="S4478">
        <v>142.5</v>
      </c>
      <c r="T4478" t="s">
        <v>22904</v>
      </c>
    </row>
    <row r="4479" spans="1:20">
      <c r="A4479">
        <v>3332553</v>
      </c>
      <c r="B4479" t="s">
        <v>22905</v>
      </c>
      <c r="C4479" t="str">
        <f>"9780773539334"</f>
        <v>9780773539334</v>
      </c>
      <c r="D4479" t="str">
        <f>"9780773587106"</f>
        <v>9780773587106</v>
      </c>
      <c r="E4479" t="s">
        <v>12863</v>
      </c>
      <c r="F4479" t="s">
        <v>12863</v>
      </c>
      <c r="G4479" s="1">
        <v>40855</v>
      </c>
      <c r="J4479" t="s">
        <v>22906</v>
      </c>
      <c r="K4479" t="s">
        <v>305</v>
      </c>
      <c r="L4479" t="s">
        <v>22907</v>
      </c>
      <c r="M4479">
        <v>384.54097100000001</v>
      </c>
      <c r="N4479" t="s">
        <v>22908</v>
      </c>
      <c r="O4479" t="s">
        <v>26</v>
      </c>
      <c r="P4479">
        <v>142.5</v>
      </c>
      <c r="Q4479">
        <v>118.75</v>
      </c>
      <c r="R4479">
        <v>95</v>
      </c>
      <c r="S4479">
        <v>142.5</v>
      </c>
      <c r="T4479" t="s">
        <v>22909</v>
      </c>
    </row>
    <row r="4480" spans="1:20">
      <c r="A4480">
        <v>3332554</v>
      </c>
      <c r="B4480" t="s">
        <v>22910</v>
      </c>
      <c r="C4480" t="str">
        <f>"9780773540378"</f>
        <v>9780773540378</v>
      </c>
      <c r="D4480" t="str">
        <f>"9780773587670"</f>
        <v>9780773587670</v>
      </c>
      <c r="E4480" t="s">
        <v>12863</v>
      </c>
      <c r="F4480" t="s">
        <v>12863</v>
      </c>
      <c r="G4480" s="1">
        <v>41183</v>
      </c>
      <c r="J4480" t="s">
        <v>22911</v>
      </c>
      <c r="K4480" t="s">
        <v>3939</v>
      </c>
      <c r="L4480" t="s">
        <v>22912</v>
      </c>
      <c r="M4480">
        <v>891.79330000000004</v>
      </c>
      <c r="N4480" t="s">
        <v>22913</v>
      </c>
      <c r="O4480" t="s">
        <v>26</v>
      </c>
      <c r="P4480">
        <v>142.5</v>
      </c>
      <c r="Q4480">
        <v>118.75</v>
      </c>
      <c r="R4480">
        <v>95</v>
      </c>
      <c r="S4480">
        <v>142.5</v>
      </c>
      <c r="T4480" t="s">
        <v>22914</v>
      </c>
    </row>
    <row r="4481" spans="1:20">
      <c r="A4481">
        <v>3332555</v>
      </c>
      <c r="B4481" t="s">
        <v>22915</v>
      </c>
      <c r="C4481" t="str">
        <f>"9780773539570"</f>
        <v>9780773539570</v>
      </c>
      <c r="D4481" t="str">
        <f>"9780773590786"</f>
        <v>9780773590786</v>
      </c>
      <c r="E4481" t="s">
        <v>12863</v>
      </c>
      <c r="F4481" t="s">
        <v>12863</v>
      </c>
      <c r="G4481" s="1">
        <v>40778</v>
      </c>
      <c r="I4481" t="s">
        <v>12942</v>
      </c>
      <c r="J4481" t="s">
        <v>14307</v>
      </c>
      <c r="K4481" t="s">
        <v>467</v>
      </c>
      <c r="L4481" t="s">
        <v>22916</v>
      </c>
      <c r="M4481">
        <v>325.24090339999998</v>
      </c>
      <c r="N4481" t="s">
        <v>22917</v>
      </c>
      <c r="O4481" t="s">
        <v>26</v>
      </c>
      <c r="P4481">
        <v>97.5</v>
      </c>
      <c r="Q4481">
        <v>81.25</v>
      </c>
      <c r="R4481">
        <v>65</v>
      </c>
      <c r="S4481">
        <v>97.5</v>
      </c>
      <c r="T4481" t="s">
        <v>22918</v>
      </c>
    </row>
    <row r="4482" spans="1:20">
      <c r="A4482">
        <v>3332556</v>
      </c>
      <c r="B4482" t="s">
        <v>22919</v>
      </c>
      <c r="C4482" t="str">
        <f>"9780773540644"</f>
        <v>9780773540644</v>
      </c>
      <c r="D4482" t="str">
        <f>"9780773587922"</f>
        <v>9780773587922</v>
      </c>
      <c r="E4482" t="s">
        <v>12863</v>
      </c>
      <c r="F4482" t="s">
        <v>12863</v>
      </c>
      <c r="G4482" s="1">
        <v>41183</v>
      </c>
      <c r="J4482" t="s">
        <v>22920</v>
      </c>
      <c r="K4482" t="s">
        <v>76</v>
      </c>
      <c r="L4482" t="s">
        <v>22921</v>
      </c>
      <c r="M4482">
        <v>630.9</v>
      </c>
      <c r="N4482" t="s">
        <v>22922</v>
      </c>
      <c r="O4482" t="s">
        <v>26</v>
      </c>
      <c r="P4482">
        <v>150</v>
      </c>
      <c r="Q4482">
        <v>125</v>
      </c>
      <c r="R4482">
        <v>100</v>
      </c>
      <c r="S4482">
        <v>150</v>
      </c>
      <c r="T4482" t="s">
        <v>22923</v>
      </c>
    </row>
    <row r="4483" spans="1:20">
      <c r="A4483">
        <v>3332557</v>
      </c>
      <c r="B4483" t="s">
        <v>22924</v>
      </c>
      <c r="C4483" t="str">
        <f>"9780773537811"</f>
        <v>9780773537811</v>
      </c>
      <c r="D4483" t="str">
        <f>"9780773590977"</f>
        <v>9780773590977</v>
      </c>
      <c r="E4483" t="s">
        <v>12863</v>
      </c>
      <c r="F4483" t="s">
        <v>12863</v>
      </c>
      <c r="G4483" s="1">
        <v>40570</v>
      </c>
      <c r="I4483" t="s">
        <v>14374</v>
      </c>
      <c r="J4483" t="s">
        <v>22925</v>
      </c>
      <c r="K4483" t="s">
        <v>22926</v>
      </c>
      <c r="L4483" t="s">
        <v>22927</v>
      </c>
      <c r="M4483">
        <v>333.91415096999998</v>
      </c>
      <c r="N4483" t="s">
        <v>22928</v>
      </c>
      <c r="O4483" t="s">
        <v>26</v>
      </c>
      <c r="P4483">
        <v>142.5</v>
      </c>
      <c r="Q4483">
        <v>118.75</v>
      </c>
      <c r="R4483">
        <v>95</v>
      </c>
      <c r="S4483">
        <v>142.5</v>
      </c>
      <c r="T4483" t="s">
        <v>22929</v>
      </c>
    </row>
    <row r="4484" spans="1:20">
      <c r="A4484">
        <v>3332558</v>
      </c>
      <c r="B4484" t="s">
        <v>22930</v>
      </c>
      <c r="C4484" t="str">
        <f>"9780773540736"</f>
        <v>9780773540736</v>
      </c>
      <c r="D4484" t="str">
        <f>"9780773587717"</f>
        <v>9780773587717</v>
      </c>
      <c r="E4484" t="s">
        <v>12863</v>
      </c>
      <c r="F4484" t="s">
        <v>12863</v>
      </c>
      <c r="G4484" s="1">
        <v>41275</v>
      </c>
      <c r="J4484" t="s">
        <v>22931</v>
      </c>
      <c r="K4484" t="s">
        <v>263</v>
      </c>
      <c r="L4484" t="s">
        <v>22932</v>
      </c>
      <c r="M4484">
        <v>363.32499999999999</v>
      </c>
      <c r="N4484" t="s">
        <v>22933</v>
      </c>
      <c r="O4484" t="s">
        <v>26</v>
      </c>
      <c r="P4484">
        <v>142.5</v>
      </c>
      <c r="Q4484">
        <v>118.75</v>
      </c>
      <c r="R4484">
        <v>95</v>
      </c>
      <c r="S4484">
        <v>142.5</v>
      </c>
      <c r="T4484" t="s">
        <v>22934</v>
      </c>
    </row>
    <row r="4485" spans="1:20">
      <c r="A4485">
        <v>3332559</v>
      </c>
      <c r="B4485" t="s">
        <v>22935</v>
      </c>
      <c r="C4485" t="str">
        <f>"9780773537729"</f>
        <v>9780773537729</v>
      </c>
      <c r="D4485" t="str">
        <f>"9780773580978"</f>
        <v>9780773580978</v>
      </c>
      <c r="E4485" t="s">
        <v>12863</v>
      </c>
      <c r="F4485" t="s">
        <v>12863</v>
      </c>
      <c r="G4485" s="1">
        <v>40452</v>
      </c>
      <c r="J4485" t="s">
        <v>22936</v>
      </c>
      <c r="K4485" t="s">
        <v>257</v>
      </c>
      <c r="L4485" t="s">
        <v>22937</v>
      </c>
      <c r="M4485">
        <v>378</v>
      </c>
      <c r="N4485" t="s">
        <v>22938</v>
      </c>
      <c r="O4485" t="s">
        <v>26</v>
      </c>
      <c r="P4485">
        <v>74.930000000000007</v>
      </c>
      <c r="Q4485">
        <v>62.44</v>
      </c>
      <c r="R4485">
        <v>49.95</v>
      </c>
      <c r="S4485">
        <v>74.930000000000007</v>
      </c>
      <c r="T4485" t="s">
        <v>22939</v>
      </c>
    </row>
    <row r="4486" spans="1:20">
      <c r="A4486">
        <v>3332560</v>
      </c>
      <c r="B4486" t="s">
        <v>22940</v>
      </c>
      <c r="C4486" t="str">
        <f>"9780773540897"</f>
        <v>9780773540897</v>
      </c>
      <c r="D4486" t="str">
        <f>"9780773587885"</f>
        <v>9780773587885</v>
      </c>
      <c r="E4486" t="s">
        <v>12863</v>
      </c>
      <c r="F4486" t="s">
        <v>12863</v>
      </c>
      <c r="G4486" s="1">
        <v>41183</v>
      </c>
      <c r="H4486">
        <v>25</v>
      </c>
      <c r="I4486" t="s">
        <v>13270</v>
      </c>
      <c r="J4486" t="s">
        <v>22941</v>
      </c>
      <c r="K4486" t="s">
        <v>291</v>
      </c>
      <c r="L4486" t="s">
        <v>22942</v>
      </c>
      <c r="M4486">
        <v>971</v>
      </c>
      <c r="N4486" t="s">
        <v>22943</v>
      </c>
      <c r="O4486" t="s">
        <v>26</v>
      </c>
      <c r="P4486">
        <v>59.93</v>
      </c>
      <c r="Q4486">
        <v>49.94</v>
      </c>
      <c r="R4486">
        <v>39.950000000000003</v>
      </c>
      <c r="S4486">
        <v>59.93</v>
      </c>
      <c r="T4486" t="s">
        <v>22944</v>
      </c>
    </row>
    <row r="4487" spans="1:20">
      <c r="A4487">
        <v>3332561</v>
      </c>
      <c r="B4487" t="s">
        <v>22945</v>
      </c>
      <c r="C4487" t="str">
        <f>"9780773540682"</f>
        <v>9780773540682</v>
      </c>
      <c r="D4487" t="str">
        <f>"9780773587939"</f>
        <v>9780773587939</v>
      </c>
      <c r="E4487" t="s">
        <v>12863</v>
      </c>
      <c r="F4487" t="s">
        <v>12863</v>
      </c>
      <c r="G4487" s="1">
        <v>41244</v>
      </c>
      <c r="J4487" t="s">
        <v>22946</v>
      </c>
      <c r="K4487" t="s">
        <v>435</v>
      </c>
      <c r="L4487" t="s">
        <v>22947</v>
      </c>
      <c r="M4487">
        <v>333.79240971000002</v>
      </c>
      <c r="N4487" t="s">
        <v>22948</v>
      </c>
      <c r="O4487" t="s">
        <v>26</v>
      </c>
      <c r="P4487">
        <v>142.5</v>
      </c>
      <c r="Q4487">
        <v>118.75</v>
      </c>
      <c r="R4487">
        <v>95</v>
      </c>
      <c r="S4487">
        <v>142.5</v>
      </c>
      <c r="T4487" t="s">
        <v>22949</v>
      </c>
    </row>
    <row r="4488" spans="1:20">
      <c r="A4488">
        <v>3332562</v>
      </c>
      <c r="B4488" t="s">
        <v>22950</v>
      </c>
      <c r="C4488" t="str">
        <f>"9780773540552"</f>
        <v>9780773540552</v>
      </c>
      <c r="D4488" t="str">
        <f>"9780773587946"</f>
        <v>9780773587946</v>
      </c>
      <c r="E4488" t="s">
        <v>12863</v>
      </c>
      <c r="F4488" t="s">
        <v>12863</v>
      </c>
      <c r="G4488" s="1">
        <v>41214</v>
      </c>
      <c r="I4488" t="s">
        <v>12886</v>
      </c>
      <c r="J4488" t="s">
        <v>22951</v>
      </c>
      <c r="K4488" t="s">
        <v>263</v>
      </c>
      <c r="L4488" t="s">
        <v>22952</v>
      </c>
      <c r="M4488">
        <v>362.73200000000003</v>
      </c>
      <c r="N4488" t="s">
        <v>22953</v>
      </c>
      <c r="O4488" t="s">
        <v>26</v>
      </c>
      <c r="P4488">
        <v>142.5</v>
      </c>
      <c r="Q4488">
        <v>118.75</v>
      </c>
      <c r="R4488">
        <v>95</v>
      </c>
      <c r="S4488">
        <v>142.5</v>
      </c>
      <c r="T4488" t="s">
        <v>22954</v>
      </c>
    </row>
    <row r="4489" spans="1:20">
      <c r="A4489">
        <v>3332563</v>
      </c>
      <c r="B4489" t="s">
        <v>22955</v>
      </c>
      <c r="C4489" t="str">
        <f>"9780773540668"</f>
        <v>9780773540668</v>
      </c>
      <c r="D4489" t="str">
        <f>"9780773587953"</f>
        <v>9780773587953</v>
      </c>
      <c r="E4489" t="s">
        <v>12863</v>
      </c>
      <c r="F4489" t="s">
        <v>12863</v>
      </c>
      <c r="G4489" s="1">
        <v>41244</v>
      </c>
      <c r="J4489" t="s">
        <v>22956</v>
      </c>
      <c r="K4489" t="s">
        <v>22957</v>
      </c>
      <c r="L4489" t="s">
        <v>22958</v>
      </c>
      <c r="M4489">
        <v>500.8</v>
      </c>
      <c r="N4489" t="s">
        <v>22959</v>
      </c>
      <c r="O4489" t="s">
        <v>26</v>
      </c>
      <c r="P4489">
        <v>142.5</v>
      </c>
      <c r="Q4489">
        <v>118.75</v>
      </c>
      <c r="R4489">
        <v>95</v>
      </c>
      <c r="S4489">
        <v>142.5</v>
      </c>
      <c r="T4489" t="s">
        <v>22960</v>
      </c>
    </row>
    <row r="4490" spans="1:20">
      <c r="A4490">
        <v>3332564</v>
      </c>
      <c r="B4490" t="s">
        <v>22961</v>
      </c>
      <c r="C4490" t="str">
        <f>"9780773540965"</f>
        <v>9780773540965</v>
      </c>
      <c r="D4490" t="str">
        <f>"9780773587960"</f>
        <v>9780773587960</v>
      </c>
      <c r="E4490" t="s">
        <v>12863</v>
      </c>
      <c r="F4490" t="s">
        <v>12863</v>
      </c>
      <c r="G4490" s="1">
        <v>41275</v>
      </c>
      <c r="I4490" t="s">
        <v>22202</v>
      </c>
      <c r="J4490" t="s">
        <v>22962</v>
      </c>
      <c r="K4490" t="s">
        <v>550</v>
      </c>
      <c r="L4490" t="s">
        <v>22963</v>
      </c>
      <c r="M4490">
        <v>659.29307759999995</v>
      </c>
      <c r="N4490" t="s">
        <v>22964</v>
      </c>
      <c r="O4490" t="s">
        <v>26</v>
      </c>
      <c r="P4490">
        <v>142.5</v>
      </c>
      <c r="Q4490">
        <v>118.75</v>
      </c>
      <c r="R4490">
        <v>95</v>
      </c>
      <c r="S4490">
        <v>142.5</v>
      </c>
      <c r="T4490" t="s">
        <v>22965</v>
      </c>
    </row>
    <row r="4491" spans="1:20">
      <c r="A4491">
        <v>3332566</v>
      </c>
      <c r="B4491" t="s">
        <v>22966</v>
      </c>
      <c r="C4491" t="str">
        <f>"9780773539709"</f>
        <v>9780773539709</v>
      </c>
      <c r="D4491" t="str">
        <f>"9780773590793"</f>
        <v>9780773590793</v>
      </c>
      <c r="E4491" t="s">
        <v>12863</v>
      </c>
      <c r="F4491" t="s">
        <v>12863</v>
      </c>
      <c r="G4491" s="1">
        <v>40773</v>
      </c>
      <c r="J4491" t="s">
        <v>21803</v>
      </c>
      <c r="K4491" t="s">
        <v>291</v>
      </c>
      <c r="L4491" t="s">
        <v>22967</v>
      </c>
      <c r="M4491" t="s">
        <v>6633</v>
      </c>
      <c r="N4491" t="s">
        <v>22968</v>
      </c>
      <c r="O4491" t="s">
        <v>26</v>
      </c>
      <c r="P4491">
        <v>59.93</v>
      </c>
      <c r="Q4491">
        <v>49.94</v>
      </c>
      <c r="R4491">
        <v>39.950000000000003</v>
      </c>
      <c r="S4491">
        <v>59.93</v>
      </c>
      <c r="T4491" t="s">
        <v>22969</v>
      </c>
    </row>
    <row r="4492" spans="1:20">
      <c r="A4492">
        <v>3332567</v>
      </c>
      <c r="B4492" t="s">
        <v>22970</v>
      </c>
      <c r="C4492" t="str">
        <f>"9780773540996"</f>
        <v>9780773540996</v>
      </c>
      <c r="D4492" t="str">
        <f>"9780773587984"</f>
        <v>9780773587984</v>
      </c>
      <c r="E4492" t="s">
        <v>12863</v>
      </c>
      <c r="F4492" t="s">
        <v>12863</v>
      </c>
      <c r="G4492" s="1">
        <v>41214</v>
      </c>
      <c r="J4492" t="s">
        <v>22971</v>
      </c>
      <c r="K4492" t="s">
        <v>1471</v>
      </c>
      <c r="L4492" t="s">
        <v>22972</v>
      </c>
      <c r="M4492">
        <v>701.03</v>
      </c>
      <c r="N4492" t="s">
        <v>22973</v>
      </c>
      <c r="O4492" t="s">
        <v>26</v>
      </c>
      <c r="P4492">
        <v>127.5</v>
      </c>
      <c r="Q4492">
        <v>106.25</v>
      </c>
      <c r="R4492">
        <v>85</v>
      </c>
      <c r="S4492">
        <v>127.5</v>
      </c>
      <c r="T4492" t="s">
        <v>22974</v>
      </c>
    </row>
    <row r="4493" spans="1:20">
      <c r="A4493">
        <v>3332568</v>
      </c>
      <c r="B4493" t="s">
        <v>22975</v>
      </c>
      <c r="C4493" t="str">
        <f>"9780773540842"</f>
        <v>9780773540842</v>
      </c>
      <c r="D4493" t="str">
        <f>"9780773588011"</f>
        <v>9780773588011</v>
      </c>
      <c r="E4493" t="s">
        <v>12863</v>
      </c>
      <c r="F4493" t="s">
        <v>12863</v>
      </c>
      <c r="G4493" s="1">
        <v>41214</v>
      </c>
      <c r="J4493" t="s">
        <v>22976</v>
      </c>
      <c r="K4493" t="s">
        <v>278</v>
      </c>
      <c r="L4493" t="s">
        <v>22977</v>
      </c>
      <c r="M4493">
        <v>338.476606</v>
      </c>
      <c r="N4493" t="s">
        <v>22978</v>
      </c>
      <c r="O4493" t="s">
        <v>26</v>
      </c>
      <c r="P4493">
        <v>142.5</v>
      </c>
      <c r="Q4493">
        <v>118.75</v>
      </c>
      <c r="R4493">
        <v>95</v>
      </c>
      <c r="S4493">
        <v>142.5</v>
      </c>
      <c r="T4493" t="s">
        <v>22979</v>
      </c>
    </row>
    <row r="4494" spans="1:20">
      <c r="A4494">
        <v>3332569</v>
      </c>
      <c r="B4494" t="s">
        <v>22980</v>
      </c>
      <c r="C4494" t="str">
        <f>"9780773541108"</f>
        <v>9780773541108</v>
      </c>
      <c r="D4494" t="str">
        <f>"9780773588035"</f>
        <v>9780773588035</v>
      </c>
      <c r="E4494" t="s">
        <v>12863</v>
      </c>
      <c r="F4494" t="s">
        <v>12863</v>
      </c>
      <c r="G4494" s="1">
        <v>41334</v>
      </c>
      <c r="J4494" t="s">
        <v>17039</v>
      </c>
      <c r="K4494" t="s">
        <v>467</v>
      </c>
      <c r="L4494" t="s">
        <v>22981</v>
      </c>
      <c r="M4494">
        <v>352.33097099999998</v>
      </c>
      <c r="N4494" t="s">
        <v>22982</v>
      </c>
      <c r="O4494" t="s">
        <v>26</v>
      </c>
      <c r="P4494">
        <v>52.43</v>
      </c>
      <c r="Q4494">
        <v>43.69</v>
      </c>
      <c r="R4494">
        <v>34.950000000000003</v>
      </c>
      <c r="S4494">
        <v>52.43</v>
      </c>
      <c r="T4494" t="s">
        <v>22983</v>
      </c>
    </row>
    <row r="4495" spans="1:20">
      <c r="A4495">
        <v>3332570</v>
      </c>
      <c r="B4495" t="s">
        <v>22984</v>
      </c>
      <c r="C4495" t="str">
        <f>"9780773540835"</f>
        <v>9780773540835</v>
      </c>
      <c r="D4495" t="str">
        <f>"9780773588073"</f>
        <v>9780773588073</v>
      </c>
      <c r="E4495" t="s">
        <v>12863</v>
      </c>
      <c r="F4495" t="s">
        <v>12863</v>
      </c>
      <c r="G4495" s="1">
        <v>41275</v>
      </c>
      <c r="J4495" t="s">
        <v>22985</v>
      </c>
      <c r="K4495" t="s">
        <v>1464</v>
      </c>
      <c r="L4495" t="s">
        <v>22986</v>
      </c>
      <c r="M4495">
        <v>811.54091100000005</v>
      </c>
      <c r="N4495" t="s">
        <v>22987</v>
      </c>
      <c r="O4495" t="s">
        <v>26</v>
      </c>
      <c r="P4495">
        <v>142.5</v>
      </c>
      <c r="Q4495">
        <v>118.75</v>
      </c>
      <c r="R4495">
        <v>95</v>
      </c>
      <c r="S4495">
        <v>142.5</v>
      </c>
      <c r="T4495" t="s">
        <v>22988</v>
      </c>
    </row>
    <row r="4496" spans="1:20">
      <c r="A4496">
        <v>3332571</v>
      </c>
      <c r="B4496" t="s">
        <v>22989</v>
      </c>
      <c r="C4496" t="str">
        <f>"9780773540903"</f>
        <v>9780773540903</v>
      </c>
      <c r="D4496" t="str">
        <f>"9780773588066"</f>
        <v>9780773588066</v>
      </c>
      <c r="E4496" t="s">
        <v>12863</v>
      </c>
      <c r="F4496" t="s">
        <v>12863</v>
      </c>
      <c r="G4496" s="1">
        <v>41244</v>
      </c>
      <c r="J4496" t="s">
        <v>22990</v>
      </c>
      <c r="K4496" t="s">
        <v>257</v>
      </c>
      <c r="L4496" t="s">
        <v>22991</v>
      </c>
      <c r="M4496">
        <v>370.11700000000002</v>
      </c>
      <c r="N4496" t="s">
        <v>22992</v>
      </c>
      <c r="O4496" t="s">
        <v>26</v>
      </c>
      <c r="P4496">
        <v>142.5</v>
      </c>
      <c r="Q4496">
        <v>118.75</v>
      </c>
      <c r="R4496">
        <v>95</v>
      </c>
      <c r="S4496">
        <v>142.5</v>
      </c>
      <c r="T4496" t="s">
        <v>22993</v>
      </c>
    </row>
    <row r="4497" spans="1:20">
      <c r="A4497">
        <v>3332572</v>
      </c>
      <c r="B4497" t="s">
        <v>22994</v>
      </c>
      <c r="C4497" t="str">
        <f>"9780773541542"</f>
        <v>9780773541542</v>
      </c>
      <c r="D4497" t="str">
        <f>"9780773588219"</f>
        <v>9780773588219</v>
      </c>
      <c r="E4497" t="s">
        <v>12863</v>
      </c>
      <c r="F4497" t="s">
        <v>12863</v>
      </c>
      <c r="G4497" s="1">
        <v>41365</v>
      </c>
      <c r="J4497" t="s">
        <v>22995</v>
      </c>
      <c r="K4497" t="s">
        <v>1082</v>
      </c>
      <c r="L4497" t="s">
        <v>22996</v>
      </c>
      <c r="M4497">
        <v>362.10971000000001</v>
      </c>
      <c r="N4497" t="s">
        <v>22997</v>
      </c>
      <c r="O4497" t="s">
        <v>26</v>
      </c>
      <c r="P4497">
        <v>37.43</v>
      </c>
      <c r="Q4497">
        <v>31.19</v>
      </c>
      <c r="R4497">
        <v>24.95</v>
      </c>
      <c r="S4497">
        <v>37.43</v>
      </c>
      <c r="T4497" t="s">
        <v>22998</v>
      </c>
    </row>
    <row r="4498" spans="1:20">
      <c r="A4498">
        <v>3332573</v>
      </c>
      <c r="B4498" t="s">
        <v>22999</v>
      </c>
      <c r="C4498" t="str">
        <f>"9780773541559"</f>
        <v>9780773541559</v>
      </c>
      <c r="D4498" t="str">
        <f>"9780773588233"</f>
        <v>9780773588233</v>
      </c>
      <c r="E4498" t="s">
        <v>12863</v>
      </c>
      <c r="F4498" t="s">
        <v>12863</v>
      </c>
      <c r="G4498" s="1">
        <v>41334</v>
      </c>
      <c r="J4498" t="s">
        <v>23000</v>
      </c>
      <c r="K4498" t="s">
        <v>1464</v>
      </c>
      <c r="L4498" t="s">
        <v>23001</v>
      </c>
      <c r="M4498" t="s">
        <v>4596</v>
      </c>
      <c r="N4498" t="s">
        <v>23002</v>
      </c>
      <c r="O4498" t="s">
        <v>26</v>
      </c>
      <c r="P4498">
        <v>29.93</v>
      </c>
      <c r="Q4498">
        <v>24.94</v>
      </c>
      <c r="R4498">
        <v>19.95</v>
      </c>
      <c r="S4498">
        <v>29.93</v>
      </c>
      <c r="T4498" t="s">
        <v>23003</v>
      </c>
    </row>
    <row r="4499" spans="1:20">
      <c r="A4499">
        <v>3332574</v>
      </c>
      <c r="B4499" t="s">
        <v>23004</v>
      </c>
      <c r="C4499" t="str">
        <f>"9780773541146"</f>
        <v>9780773541146</v>
      </c>
      <c r="D4499" t="str">
        <f>"9780773588257"</f>
        <v>9780773588257</v>
      </c>
      <c r="E4499" t="s">
        <v>12863</v>
      </c>
      <c r="F4499" t="s">
        <v>12863</v>
      </c>
      <c r="G4499" s="1">
        <v>41365</v>
      </c>
      <c r="J4499" t="s">
        <v>23005</v>
      </c>
      <c r="K4499" t="s">
        <v>1464</v>
      </c>
      <c r="L4499" t="s">
        <v>23006</v>
      </c>
      <c r="M4499">
        <v>818.54089999999997</v>
      </c>
      <c r="N4499" t="s">
        <v>23007</v>
      </c>
      <c r="O4499" t="s">
        <v>26</v>
      </c>
      <c r="P4499">
        <v>56.93</v>
      </c>
      <c r="Q4499">
        <v>47.44</v>
      </c>
      <c r="R4499">
        <v>37.950000000000003</v>
      </c>
      <c r="S4499">
        <v>56.93</v>
      </c>
      <c r="T4499" t="s">
        <v>23008</v>
      </c>
    </row>
    <row r="4500" spans="1:20">
      <c r="A4500">
        <v>3332575</v>
      </c>
      <c r="B4500" t="s">
        <v>23009</v>
      </c>
      <c r="C4500" t="str">
        <f>"9780773538986"</f>
        <v>9780773538986</v>
      </c>
      <c r="D4500" t="str">
        <f>"9780773588059"</f>
        <v>9780773588059</v>
      </c>
      <c r="E4500" t="s">
        <v>12863</v>
      </c>
      <c r="F4500" t="s">
        <v>12863</v>
      </c>
      <c r="G4500" s="1">
        <v>41183</v>
      </c>
      <c r="J4500" t="s">
        <v>23010</v>
      </c>
      <c r="K4500" t="s">
        <v>467</v>
      </c>
      <c r="L4500" t="s">
        <v>23011</v>
      </c>
      <c r="M4500">
        <v>320.5409411</v>
      </c>
      <c r="N4500" t="s">
        <v>23012</v>
      </c>
      <c r="O4500" t="s">
        <v>26</v>
      </c>
      <c r="P4500">
        <v>142.5</v>
      </c>
      <c r="Q4500">
        <v>118.75</v>
      </c>
      <c r="R4500">
        <v>95</v>
      </c>
      <c r="S4500">
        <v>142.5</v>
      </c>
      <c r="T4500" t="s">
        <v>23013</v>
      </c>
    </row>
    <row r="4501" spans="1:20">
      <c r="A4501">
        <v>3332576</v>
      </c>
      <c r="B4501" t="s">
        <v>23014</v>
      </c>
      <c r="C4501" t="str">
        <f>"9780773541702"</f>
        <v>9780773541702</v>
      </c>
      <c r="D4501" t="str">
        <f>"9780773588165"</f>
        <v>9780773588165</v>
      </c>
      <c r="E4501" t="s">
        <v>12863</v>
      </c>
      <c r="F4501" t="s">
        <v>12863</v>
      </c>
      <c r="G4501" s="1">
        <v>41326</v>
      </c>
      <c r="I4501" t="s">
        <v>23015</v>
      </c>
      <c r="J4501" t="s">
        <v>21515</v>
      </c>
      <c r="K4501" t="s">
        <v>1464</v>
      </c>
      <c r="L4501" t="s">
        <v>23016</v>
      </c>
      <c r="M4501" t="s">
        <v>1497</v>
      </c>
      <c r="N4501" t="s">
        <v>23017</v>
      </c>
      <c r="O4501" t="s">
        <v>26</v>
      </c>
      <c r="P4501">
        <v>25.43</v>
      </c>
      <c r="Q4501">
        <v>21.19</v>
      </c>
      <c r="R4501">
        <v>16.95</v>
      </c>
      <c r="S4501">
        <v>25.43</v>
      </c>
      <c r="T4501" t="s">
        <v>23018</v>
      </c>
    </row>
    <row r="4502" spans="1:20">
      <c r="A4502">
        <v>3332577</v>
      </c>
      <c r="B4502" t="s">
        <v>23019</v>
      </c>
      <c r="C4502" t="str">
        <f>"9780773540484"</f>
        <v>9780773540484</v>
      </c>
      <c r="D4502" t="str">
        <f>"9780773588295"</f>
        <v>9780773588295</v>
      </c>
      <c r="E4502" t="s">
        <v>12863</v>
      </c>
      <c r="F4502" t="s">
        <v>12863</v>
      </c>
      <c r="G4502" s="1">
        <v>41365</v>
      </c>
      <c r="J4502" t="s">
        <v>23020</v>
      </c>
      <c r="K4502" t="s">
        <v>23021</v>
      </c>
      <c r="L4502" t="s">
        <v>23022</v>
      </c>
      <c r="M4502">
        <v>621.38806999999997</v>
      </c>
      <c r="N4502" t="s">
        <v>23023</v>
      </c>
      <c r="O4502" t="s">
        <v>26</v>
      </c>
      <c r="P4502">
        <v>150</v>
      </c>
      <c r="Q4502">
        <v>125</v>
      </c>
      <c r="R4502">
        <v>100</v>
      </c>
      <c r="S4502">
        <v>150</v>
      </c>
      <c r="T4502" t="s">
        <v>23024</v>
      </c>
    </row>
    <row r="4503" spans="1:20">
      <c r="A4503">
        <v>3332578</v>
      </c>
      <c r="B4503" t="s">
        <v>23025</v>
      </c>
      <c r="C4503" t="str">
        <f>"9780773538795"</f>
        <v>9780773538795</v>
      </c>
      <c r="D4503" t="str">
        <f>"9780773588097"</f>
        <v>9780773588097</v>
      </c>
      <c r="E4503" t="s">
        <v>12863</v>
      </c>
      <c r="F4503" t="s">
        <v>12863</v>
      </c>
      <c r="G4503" s="1">
        <v>41334</v>
      </c>
      <c r="J4503" t="s">
        <v>23026</v>
      </c>
      <c r="K4503" t="s">
        <v>278</v>
      </c>
      <c r="L4503" t="s">
        <v>23027</v>
      </c>
      <c r="M4503">
        <v>336.24</v>
      </c>
      <c r="N4503" t="s">
        <v>23028</v>
      </c>
      <c r="O4503" t="s">
        <v>26</v>
      </c>
      <c r="P4503">
        <v>142.5</v>
      </c>
      <c r="Q4503">
        <v>118.75</v>
      </c>
      <c r="R4503">
        <v>95</v>
      </c>
      <c r="S4503">
        <v>142.5</v>
      </c>
      <c r="T4503" t="s">
        <v>23029</v>
      </c>
    </row>
    <row r="4504" spans="1:20">
      <c r="A4504">
        <v>3332579</v>
      </c>
      <c r="B4504" t="s">
        <v>23030</v>
      </c>
      <c r="C4504" t="str">
        <f>"9780773541276"</f>
        <v>9780773541276</v>
      </c>
      <c r="D4504" t="str">
        <f>"9780773588318"</f>
        <v>9780773588318</v>
      </c>
      <c r="E4504" t="s">
        <v>12863</v>
      </c>
      <c r="F4504" t="s">
        <v>12863</v>
      </c>
      <c r="G4504" s="1">
        <v>41365</v>
      </c>
      <c r="I4504" t="s">
        <v>12963</v>
      </c>
      <c r="J4504" t="s">
        <v>23031</v>
      </c>
      <c r="K4504" t="s">
        <v>1859</v>
      </c>
      <c r="L4504" t="s">
        <v>23032</v>
      </c>
      <c r="M4504" t="s">
        <v>23033</v>
      </c>
      <c r="N4504" t="s">
        <v>23034</v>
      </c>
      <c r="O4504" t="s">
        <v>26</v>
      </c>
      <c r="P4504">
        <v>150</v>
      </c>
      <c r="Q4504">
        <v>125</v>
      </c>
      <c r="R4504">
        <v>100</v>
      </c>
      <c r="S4504">
        <v>150</v>
      </c>
      <c r="T4504" t="s">
        <v>23035</v>
      </c>
    </row>
    <row r="4505" spans="1:20">
      <c r="A4505">
        <v>3332580</v>
      </c>
      <c r="B4505" t="s">
        <v>23036</v>
      </c>
      <c r="C4505" t="str">
        <f>"9780773541498"</f>
        <v>9780773541498</v>
      </c>
      <c r="D4505" t="str">
        <f>"9780773588394"</f>
        <v>9780773588394</v>
      </c>
      <c r="E4505" t="s">
        <v>12863</v>
      </c>
      <c r="F4505" t="s">
        <v>12863</v>
      </c>
      <c r="G4505" s="1">
        <v>41365</v>
      </c>
      <c r="J4505" t="s">
        <v>23037</v>
      </c>
      <c r="K4505" t="s">
        <v>473</v>
      </c>
      <c r="L4505" t="s">
        <v>23038</v>
      </c>
      <c r="M4505" t="s">
        <v>23039</v>
      </c>
      <c r="N4505" t="s">
        <v>23040</v>
      </c>
      <c r="O4505" t="s">
        <v>26</v>
      </c>
      <c r="P4505">
        <v>59.93</v>
      </c>
      <c r="Q4505">
        <v>49.94</v>
      </c>
      <c r="R4505">
        <v>39.950000000000003</v>
      </c>
      <c r="S4505">
        <v>59.93</v>
      </c>
      <c r="T4505" t="s">
        <v>23041</v>
      </c>
    </row>
    <row r="4506" spans="1:20">
      <c r="A4506">
        <v>3332581</v>
      </c>
      <c r="B4506" t="s">
        <v>23042</v>
      </c>
      <c r="C4506" t="str">
        <f>"9780773541412"</f>
        <v>9780773541412</v>
      </c>
      <c r="D4506" t="str">
        <f>"9780773588417"</f>
        <v>9780773588417</v>
      </c>
      <c r="E4506" t="s">
        <v>12863</v>
      </c>
      <c r="F4506" t="s">
        <v>12863</v>
      </c>
      <c r="G4506" s="1">
        <v>41365</v>
      </c>
      <c r="I4506" t="s">
        <v>12963</v>
      </c>
      <c r="J4506" t="s">
        <v>23043</v>
      </c>
      <c r="K4506" t="s">
        <v>1859</v>
      </c>
      <c r="L4506" t="s">
        <v>23044</v>
      </c>
      <c r="M4506" t="s">
        <v>23045</v>
      </c>
      <c r="N4506" t="s">
        <v>23046</v>
      </c>
      <c r="O4506" t="s">
        <v>26</v>
      </c>
      <c r="P4506">
        <v>150</v>
      </c>
      <c r="Q4506">
        <v>125</v>
      </c>
      <c r="R4506">
        <v>100</v>
      </c>
      <c r="S4506">
        <v>150</v>
      </c>
      <c r="T4506" t="s">
        <v>23047</v>
      </c>
    </row>
    <row r="4507" spans="1:20">
      <c r="A4507">
        <v>3332582</v>
      </c>
      <c r="B4507" t="s">
        <v>23048</v>
      </c>
      <c r="C4507" t="str">
        <f>"9780773541085"</f>
        <v>9780773541085</v>
      </c>
      <c r="D4507" t="str">
        <f>"9780773588141"</f>
        <v>9780773588141</v>
      </c>
      <c r="E4507" t="s">
        <v>12863</v>
      </c>
      <c r="F4507" t="s">
        <v>12863</v>
      </c>
      <c r="G4507" s="1">
        <v>41365</v>
      </c>
      <c r="J4507" t="s">
        <v>23049</v>
      </c>
      <c r="K4507" t="s">
        <v>1859</v>
      </c>
      <c r="L4507" t="s">
        <v>23050</v>
      </c>
      <c r="M4507">
        <v>170.92</v>
      </c>
      <c r="N4507" t="s">
        <v>23051</v>
      </c>
      <c r="O4507" t="s">
        <v>26</v>
      </c>
      <c r="P4507">
        <v>52.43</v>
      </c>
      <c r="Q4507">
        <v>43.69</v>
      </c>
      <c r="R4507">
        <v>34.950000000000003</v>
      </c>
      <c r="S4507">
        <v>52.43</v>
      </c>
      <c r="T4507" t="s">
        <v>23052</v>
      </c>
    </row>
    <row r="4508" spans="1:20">
      <c r="A4508">
        <v>3332583</v>
      </c>
      <c r="B4508" t="s">
        <v>23053</v>
      </c>
      <c r="C4508" t="str">
        <f>"9780773541115"</f>
        <v>9780773541115</v>
      </c>
      <c r="D4508" t="str">
        <f>"9780773588349"</f>
        <v>9780773588349</v>
      </c>
      <c r="E4508" t="s">
        <v>12863</v>
      </c>
      <c r="F4508" t="s">
        <v>12863</v>
      </c>
      <c r="G4508" s="1">
        <v>41365</v>
      </c>
      <c r="I4508" t="s">
        <v>12886</v>
      </c>
      <c r="J4508" t="s">
        <v>23054</v>
      </c>
      <c r="K4508" t="s">
        <v>1859</v>
      </c>
      <c r="L4508" t="s">
        <v>23055</v>
      </c>
      <c r="M4508" t="s">
        <v>23056</v>
      </c>
      <c r="N4508" t="s">
        <v>23057</v>
      </c>
      <c r="O4508" t="s">
        <v>26</v>
      </c>
      <c r="P4508">
        <v>150</v>
      </c>
      <c r="Q4508">
        <v>125</v>
      </c>
      <c r="R4508">
        <v>100</v>
      </c>
      <c r="S4508">
        <v>150</v>
      </c>
      <c r="T4508" t="s">
        <v>23058</v>
      </c>
    </row>
    <row r="4509" spans="1:20">
      <c r="A4509">
        <v>3332584</v>
      </c>
      <c r="B4509" t="s">
        <v>23059</v>
      </c>
      <c r="C4509" t="str">
        <f>"9780773541191"</f>
        <v>9780773541191</v>
      </c>
      <c r="D4509" t="str">
        <f>"9780773588271"</f>
        <v>9780773588271</v>
      </c>
      <c r="E4509" t="s">
        <v>12863</v>
      </c>
      <c r="F4509" t="s">
        <v>12863</v>
      </c>
      <c r="G4509" s="1">
        <v>41365</v>
      </c>
      <c r="J4509" t="s">
        <v>23060</v>
      </c>
      <c r="K4509" t="s">
        <v>263</v>
      </c>
      <c r="L4509" t="s">
        <v>23061</v>
      </c>
      <c r="M4509" t="s">
        <v>23062</v>
      </c>
      <c r="N4509" t="s">
        <v>23063</v>
      </c>
      <c r="O4509" t="s">
        <v>26</v>
      </c>
      <c r="P4509">
        <v>52.43</v>
      </c>
      <c r="Q4509">
        <v>43.69</v>
      </c>
      <c r="R4509">
        <v>34.950000000000003</v>
      </c>
      <c r="S4509">
        <v>52.43</v>
      </c>
      <c r="T4509" t="s">
        <v>23064</v>
      </c>
    </row>
    <row r="4510" spans="1:20">
      <c r="A4510">
        <v>3332585</v>
      </c>
      <c r="B4510" t="s">
        <v>23065</v>
      </c>
      <c r="C4510" t="str">
        <f>"9780773541368"</f>
        <v>9780773541368</v>
      </c>
      <c r="D4510" t="str">
        <f>"9780773588332"</f>
        <v>9780773588332</v>
      </c>
      <c r="E4510" t="s">
        <v>12863</v>
      </c>
      <c r="F4510" t="s">
        <v>12863</v>
      </c>
      <c r="G4510" s="1">
        <v>41365</v>
      </c>
      <c r="J4510" t="s">
        <v>23066</v>
      </c>
      <c r="K4510" t="s">
        <v>1464</v>
      </c>
      <c r="L4510" t="s">
        <v>23067</v>
      </c>
      <c r="M4510" t="s">
        <v>21712</v>
      </c>
      <c r="N4510" t="s">
        <v>23068</v>
      </c>
      <c r="O4510" t="s">
        <v>26</v>
      </c>
      <c r="P4510">
        <v>150</v>
      </c>
      <c r="Q4510">
        <v>125</v>
      </c>
      <c r="R4510">
        <v>100</v>
      </c>
      <c r="S4510">
        <v>150</v>
      </c>
      <c r="T4510" t="s">
        <v>23069</v>
      </c>
    </row>
    <row r="4511" spans="1:20">
      <c r="A4511">
        <v>3332586</v>
      </c>
      <c r="B4511" t="s">
        <v>23070</v>
      </c>
      <c r="C4511" t="str">
        <f>"9780773541177"</f>
        <v>9780773541177</v>
      </c>
      <c r="D4511" t="str">
        <f>"9780773588134"</f>
        <v>9780773588134</v>
      </c>
      <c r="E4511" t="s">
        <v>12863</v>
      </c>
      <c r="F4511" t="s">
        <v>12863</v>
      </c>
      <c r="G4511" s="1">
        <v>41365</v>
      </c>
      <c r="I4511" t="s">
        <v>12886</v>
      </c>
      <c r="J4511" t="s">
        <v>23071</v>
      </c>
      <c r="K4511" t="s">
        <v>1892</v>
      </c>
      <c r="L4511" t="s">
        <v>23072</v>
      </c>
      <c r="M4511" t="s">
        <v>23073</v>
      </c>
      <c r="N4511" t="s">
        <v>23074</v>
      </c>
      <c r="O4511" t="s">
        <v>26</v>
      </c>
      <c r="P4511">
        <v>97.5</v>
      </c>
      <c r="Q4511">
        <v>81.25</v>
      </c>
      <c r="R4511">
        <v>65</v>
      </c>
      <c r="S4511">
        <v>97.5</v>
      </c>
      <c r="T4511" t="s">
        <v>23075</v>
      </c>
    </row>
    <row r="4512" spans="1:20">
      <c r="A4512">
        <v>3332587</v>
      </c>
      <c r="B4512" t="s">
        <v>23076</v>
      </c>
      <c r="C4512" t="str">
        <f>"9780773541092"</f>
        <v>9780773541092</v>
      </c>
      <c r="D4512" t="str">
        <f>"9780773588127"</f>
        <v>9780773588127</v>
      </c>
      <c r="E4512" t="s">
        <v>12863</v>
      </c>
      <c r="F4512" t="s">
        <v>12863</v>
      </c>
      <c r="G4512" s="1">
        <v>41365</v>
      </c>
      <c r="J4512" t="s">
        <v>23077</v>
      </c>
      <c r="K4512" t="s">
        <v>291</v>
      </c>
      <c r="L4512" t="s">
        <v>23078</v>
      </c>
      <c r="M4512" t="s">
        <v>23079</v>
      </c>
      <c r="N4512" t="s">
        <v>23080</v>
      </c>
      <c r="O4512" t="s">
        <v>26</v>
      </c>
      <c r="P4512">
        <v>150</v>
      </c>
      <c r="Q4512">
        <v>125</v>
      </c>
      <c r="R4512">
        <v>100</v>
      </c>
      <c r="S4512">
        <v>150</v>
      </c>
      <c r="T4512" t="s">
        <v>23081</v>
      </c>
    </row>
    <row r="4513" spans="1:20">
      <c r="A4513">
        <v>3332588</v>
      </c>
      <c r="B4513" t="s">
        <v>23082</v>
      </c>
      <c r="C4513" t="str">
        <f>"9781553393238"</f>
        <v>9781553393238</v>
      </c>
      <c r="D4513" t="str">
        <f>"9781553393290"</f>
        <v>9781553393290</v>
      </c>
      <c r="E4513" t="s">
        <v>12863</v>
      </c>
      <c r="F4513" t="s">
        <v>21530</v>
      </c>
      <c r="G4513" s="1">
        <v>41249</v>
      </c>
      <c r="I4513" t="s">
        <v>21530</v>
      </c>
      <c r="J4513" t="s">
        <v>23083</v>
      </c>
      <c r="K4513" t="s">
        <v>899</v>
      </c>
      <c r="L4513" t="s">
        <v>23084</v>
      </c>
      <c r="M4513" t="s">
        <v>23085</v>
      </c>
      <c r="N4513" t="s">
        <v>23086</v>
      </c>
      <c r="O4513" t="s">
        <v>26</v>
      </c>
      <c r="P4513">
        <v>59.93</v>
      </c>
      <c r="Q4513">
        <v>49.94</v>
      </c>
      <c r="R4513">
        <v>39.950000000000003</v>
      </c>
      <c r="S4513">
        <v>59.93</v>
      </c>
      <c r="T4513" t="s">
        <v>23087</v>
      </c>
    </row>
    <row r="4514" spans="1:20">
      <c r="A4514">
        <v>3332589</v>
      </c>
      <c r="B4514" t="s">
        <v>23088</v>
      </c>
      <c r="C4514" t="str">
        <f>"9780773541214"</f>
        <v>9780773541214</v>
      </c>
      <c r="D4514" t="str">
        <f>"9780773588189"</f>
        <v>9780773588189</v>
      </c>
      <c r="E4514" t="s">
        <v>12863</v>
      </c>
      <c r="F4514" t="s">
        <v>12863</v>
      </c>
      <c r="G4514" s="1">
        <v>41365</v>
      </c>
      <c r="J4514" t="s">
        <v>23089</v>
      </c>
      <c r="K4514" t="s">
        <v>416</v>
      </c>
      <c r="L4514" t="s">
        <v>23090</v>
      </c>
      <c r="M4514">
        <v>338.971</v>
      </c>
      <c r="N4514" t="s">
        <v>23091</v>
      </c>
      <c r="O4514" t="s">
        <v>26</v>
      </c>
      <c r="P4514">
        <v>150</v>
      </c>
      <c r="Q4514">
        <v>125</v>
      </c>
      <c r="R4514">
        <v>100</v>
      </c>
      <c r="S4514">
        <v>150</v>
      </c>
      <c r="T4514" t="s">
        <v>23092</v>
      </c>
    </row>
    <row r="4515" spans="1:20">
      <c r="A4515">
        <v>3332590</v>
      </c>
      <c r="B4515" t="s">
        <v>23093</v>
      </c>
      <c r="C4515" t="str">
        <f>"9780773541696"</f>
        <v>9780773541696</v>
      </c>
      <c r="D4515" t="str">
        <f>"9780773589001"</f>
        <v>9780773589001</v>
      </c>
      <c r="E4515" t="s">
        <v>12863</v>
      </c>
      <c r="F4515" t="s">
        <v>12863</v>
      </c>
      <c r="G4515" s="1">
        <v>41334</v>
      </c>
      <c r="J4515" t="s">
        <v>23094</v>
      </c>
      <c r="K4515" t="s">
        <v>1471</v>
      </c>
      <c r="L4515" t="s">
        <v>23095</v>
      </c>
      <c r="M4515">
        <v>709.2</v>
      </c>
      <c r="N4515" t="s">
        <v>23096</v>
      </c>
      <c r="O4515" t="s">
        <v>26</v>
      </c>
      <c r="P4515">
        <v>82.5</v>
      </c>
      <c r="Q4515">
        <v>68.75</v>
      </c>
      <c r="R4515">
        <v>55</v>
      </c>
      <c r="S4515">
        <v>82.5</v>
      </c>
      <c r="T4515" t="s">
        <v>23097</v>
      </c>
    </row>
    <row r="4516" spans="1:20">
      <c r="A4516">
        <v>3332591</v>
      </c>
      <c r="B4516" t="s">
        <v>23098</v>
      </c>
      <c r="C4516" t="str">
        <f>"9780773541283"</f>
        <v>9780773541283</v>
      </c>
      <c r="D4516" t="str">
        <f>"9780773588486"</f>
        <v>9780773588486</v>
      </c>
      <c r="E4516" t="s">
        <v>12863</v>
      </c>
      <c r="F4516" t="s">
        <v>12863</v>
      </c>
      <c r="G4516" s="1">
        <v>41382</v>
      </c>
      <c r="J4516" t="s">
        <v>23099</v>
      </c>
      <c r="K4516" t="s">
        <v>18145</v>
      </c>
      <c r="L4516" t="s">
        <v>23100</v>
      </c>
      <c r="M4516" t="s">
        <v>23101</v>
      </c>
      <c r="N4516" t="s">
        <v>23102</v>
      </c>
      <c r="O4516" t="s">
        <v>26</v>
      </c>
      <c r="P4516">
        <v>112.5</v>
      </c>
      <c r="Q4516">
        <v>93.75</v>
      </c>
      <c r="R4516">
        <v>75</v>
      </c>
      <c r="S4516">
        <v>112.5</v>
      </c>
      <c r="T4516" t="s">
        <v>23103</v>
      </c>
    </row>
    <row r="4517" spans="1:20">
      <c r="A4517">
        <v>3332592</v>
      </c>
      <c r="B4517" t="s">
        <v>23104</v>
      </c>
      <c r="C4517" t="str">
        <f>"9780773541528"</f>
        <v>9780773541528</v>
      </c>
      <c r="D4517" t="str">
        <f>"9780773588509"</f>
        <v>9780773588509</v>
      </c>
      <c r="E4517" t="s">
        <v>12863</v>
      </c>
      <c r="F4517" t="s">
        <v>12863</v>
      </c>
      <c r="G4517" s="1">
        <v>41382</v>
      </c>
      <c r="J4517" t="s">
        <v>23105</v>
      </c>
      <c r="K4517" t="s">
        <v>899</v>
      </c>
      <c r="L4517" t="s">
        <v>23106</v>
      </c>
      <c r="M4517">
        <v>306.09710000000001</v>
      </c>
      <c r="N4517" t="s">
        <v>23107</v>
      </c>
      <c r="O4517" t="s">
        <v>26</v>
      </c>
      <c r="P4517">
        <v>150</v>
      </c>
      <c r="Q4517">
        <v>125</v>
      </c>
      <c r="R4517">
        <v>100</v>
      </c>
      <c r="S4517">
        <v>150</v>
      </c>
      <c r="T4517" t="s">
        <v>23108</v>
      </c>
    </row>
    <row r="4518" spans="1:20">
      <c r="A4518">
        <v>3332593</v>
      </c>
      <c r="B4518" t="s">
        <v>23109</v>
      </c>
      <c r="C4518" t="str">
        <f>"9780773541061"</f>
        <v>9780773541061</v>
      </c>
      <c r="D4518" t="str">
        <f>"9780773588202"</f>
        <v>9780773588202</v>
      </c>
      <c r="E4518" t="s">
        <v>12863</v>
      </c>
      <c r="F4518" t="s">
        <v>12863</v>
      </c>
      <c r="G4518" s="1">
        <v>41382</v>
      </c>
      <c r="I4518" t="s">
        <v>12963</v>
      </c>
      <c r="J4518" t="s">
        <v>23110</v>
      </c>
      <c r="K4518" t="s">
        <v>467</v>
      </c>
      <c r="L4518" t="s">
        <v>23111</v>
      </c>
      <c r="M4518">
        <v>320.50971399999997</v>
      </c>
      <c r="N4518" t="s">
        <v>23112</v>
      </c>
      <c r="O4518" t="s">
        <v>26</v>
      </c>
      <c r="P4518">
        <v>157.5</v>
      </c>
      <c r="Q4518">
        <v>131.25</v>
      </c>
      <c r="R4518">
        <v>105</v>
      </c>
      <c r="S4518">
        <v>157.5</v>
      </c>
      <c r="T4518" t="s">
        <v>23113</v>
      </c>
    </row>
    <row r="4519" spans="1:20">
      <c r="A4519">
        <v>3332594</v>
      </c>
      <c r="B4519" t="s">
        <v>23114</v>
      </c>
      <c r="C4519" t="str">
        <f>"9780773541399"</f>
        <v>9780773541399</v>
      </c>
      <c r="D4519" t="str">
        <f>"9780773588585"</f>
        <v>9780773588585</v>
      </c>
      <c r="E4519" t="s">
        <v>12863</v>
      </c>
      <c r="F4519" t="s">
        <v>12863</v>
      </c>
      <c r="G4519" s="1">
        <v>41365</v>
      </c>
      <c r="I4519" t="s">
        <v>22664</v>
      </c>
      <c r="J4519" t="s">
        <v>23115</v>
      </c>
      <c r="K4519" t="s">
        <v>1464</v>
      </c>
      <c r="L4519" t="s">
        <v>23116</v>
      </c>
      <c r="M4519" t="s">
        <v>3215</v>
      </c>
      <c r="N4519" t="s">
        <v>23117</v>
      </c>
      <c r="O4519" t="s">
        <v>26</v>
      </c>
      <c r="P4519">
        <v>150</v>
      </c>
      <c r="Q4519">
        <v>125</v>
      </c>
      <c r="R4519">
        <v>100</v>
      </c>
      <c r="S4519">
        <v>150</v>
      </c>
      <c r="T4519" t="s">
        <v>23118</v>
      </c>
    </row>
    <row r="4520" spans="1:20">
      <c r="A4520">
        <v>3332595</v>
      </c>
      <c r="B4520" t="s">
        <v>23119</v>
      </c>
      <c r="C4520" t="str">
        <f>"9780773541665"</f>
        <v>9780773541665</v>
      </c>
      <c r="D4520" t="str">
        <f>"9780773588523"</f>
        <v>9780773588523</v>
      </c>
      <c r="E4520" t="s">
        <v>12863</v>
      </c>
      <c r="F4520" t="s">
        <v>12863</v>
      </c>
      <c r="G4520" s="1">
        <v>41382</v>
      </c>
      <c r="J4520" t="s">
        <v>23120</v>
      </c>
      <c r="K4520" t="s">
        <v>416</v>
      </c>
      <c r="L4520" t="s">
        <v>23121</v>
      </c>
      <c r="M4520">
        <v>336.30971</v>
      </c>
      <c r="N4520" t="s">
        <v>23122</v>
      </c>
      <c r="O4520" t="s">
        <v>26</v>
      </c>
      <c r="P4520">
        <v>150</v>
      </c>
      <c r="Q4520">
        <v>125</v>
      </c>
      <c r="R4520">
        <v>100</v>
      </c>
      <c r="S4520">
        <v>150</v>
      </c>
      <c r="T4520" t="s">
        <v>23123</v>
      </c>
    </row>
    <row r="4521" spans="1:20">
      <c r="A4521">
        <v>3332596</v>
      </c>
      <c r="B4521" t="s">
        <v>23124</v>
      </c>
      <c r="C4521" t="str">
        <f>"9780773541627"</f>
        <v>9780773541627</v>
      </c>
      <c r="D4521" t="str">
        <f>"9780773588981"</f>
        <v>9780773588981</v>
      </c>
      <c r="E4521" t="s">
        <v>12863</v>
      </c>
      <c r="F4521" t="s">
        <v>12863</v>
      </c>
      <c r="G4521" s="1">
        <v>41382</v>
      </c>
      <c r="J4521" t="s">
        <v>23125</v>
      </c>
      <c r="K4521" t="s">
        <v>1464</v>
      </c>
      <c r="L4521" t="s">
        <v>23126</v>
      </c>
      <c r="M4521" t="s">
        <v>23127</v>
      </c>
      <c r="N4521" t="s">
        <v>23128</v>
      </c>
      <c r="O4521" t="s">
        <v>26</v>
      </c>
      <c r="P4521">
        <v>150</v>
      </c>
      <c r="Q4521">
        <v>125</v>
      </c>
      <c r="R4521">
        <v>100</v>
      </c>
      <c r="S4521">
        <v>150</v>
      </c>
      <c r="T4521" t="s">
        <v>23129</v>
      </c>
    </row>
    <row r="4522" spans="1:20">
      <c r="A4522">
        <v>3332597</v>
      </c>
      <c r="B4522" t="s">
        <v>23130</v>
      </c>
      <c r="C4522" t="str">
        <f>"9780773541139"</f>
        <v>9780773541139</v>
      </c>
      <c r="D4522" t="str">
        <f>"9780773588363"</f>
        <v>9780773588363</v>
      </c>
      <c r="E4522" t="s">
        <v>12863</v>
      </c>
      <c r="F4522" t="s">
        <v>12863</v>
      </c>
      <c r="G4522" s="1">
        <v>41382</v>
      </c>
      <c r="I4522" t="s">
        <v>12886</v>
      </c>
      <c r="J4522" t="s">
        <v>23131</v>
      </c>
      <c r="K4522" t="s">
        <v>6055</v>
      </c>
      <c r="L4522" t="s">
        <v>23132</v>
      </c>
      <c r="M4522" t="s">
        <v>23133</v>
      </c>
      <c r="N4522" t="s">
        <v>23134</v>
      </c>
      <c r="O4522" t="s">
        <v>26</v>
      </c>
      <c r="P4522">
        <v>150</v>
      </c>
      <c r="Q4522">
        <v>125</v>
      </c>
      <c r="R4522">
        <v>100</v>
      </c>
      <c r="S4522">
        <v>150</v>
      </c>
      <c r="T4522" t="s">
        <v>23135</v>
      </c>
    </row>
    <row r="4523" spans="1:20">
      <c r="A4523">
        <v>3332598</v>
      </c>
      <c r="B4523" t="s">
        <v>23136</v>
      </c>
      <c r="C4523" t="str">
        <f>"9780773506787"</f>
        <v>9780773506787</v>
      </c>
      <c r="D4523" t="str">
        <f>"9780773561885"</f>
        <v>9780773561885</v>
      </c>
      <c r="E4523" t="s">
        <v>12863</v>
      </c>
      <c r="F4523" t="s">
        <v>12863</v>
      </c>
      <c r="G4523" s="1">
        <v>33270</v>
      </c>
      <c r="I4523" t="s">
        <v>14082</v>
      </c>
      <c r="J4523" t="s">
        <v>23137</v>
      </c>
      <c r="K4523" t="s">
        <v>3230</v>
      </c>
      <c r="L4523" t="s">
        <v>23138</v>
      </c>
      <c r="M4523">
        <v>912.7</v>
      </c>
      <c r="N4523" t="s">
        <v>23139</v>
      </c>
      <c r="O4523" t="s">
        <v>26</v>
      </c>
      <c r="P4523">
        <v>142.5</v>
      </c>
      <c r="Q4523">
        <v>118.75</v>
      </c>
      <c r="R4523">
        <v>95</v>
      </c>
      <c r="S4523">
        <v>142.5</v>
      </c>
      <c r="T4523" t="s">
        <v>23140</v>
      </c>
    </row>
    <row r="4524" spans="1:20">
      <c r="A4524">
        <v>3332599</v>
      </c>
      <c r="B4524" t="s">
        <v>23141</v>
      </c>
      <c r="C4524" t="str">
        <f>"9780773541184"</f>
        <v>9780773541184</v>
      </c>
      <c r="D4524" t="str">
        <f>"9780773588370"</f>
        <v>9780773588370</v>
      </c>
      <c r="E4524" t="s">
        <v>12863</v>
      </c>
      <c r="F4524" t="s">
        <v>12863</v>
      </c>
      <c r="G4524" s="1">
        <v>41365</v>
      </c>
      <c r="J4524" t="s">
        <v>23142</v>
      </c>
      <c r="K4524" t="s">
        <v>7838</v>
      </c>
      <c r="L4524" t="s">
        <v>23143</v>
      </c>
      <c r="M4524">
        <v>720.92</v>
      </c>
      <c r="N4524" t="s">
        <v>23144</v>
      </c>
      <c r="O4524" t="s">
        <v>26</v>
      </c>
      <c r="P4524">
        <v>59.93</v>
      </c>
      <c r="Q4524">
        <v>49.94</v>
      </c>
      <c r="R4524">
        <v>39.950000000000003</v>
      </c>
      <c r="S4524">
        <v>59.93</v>
      </c>
      <c r="T4524" t="s">
        <v>23145</v>
      </c>
    </row>
    <row r="4525" spans="1:20">
      <c r="A4525">
        <v>3332600</v>
      </c>
      <c r="B4525" t="s">
        <v>23146</v>
      </c>
      <c r="C4525" t="str">
        <f>"9780773541719"</f>
        <v>9780773541719</v>
      </c>
      <c r="D4525" t="str">
        <f>"9780773588783"</f>
        <v>9780773588783</v>
      </c>
      <c r="E4525" t="s">
        <v>12863</v>
      </c>
      <c r="F4525" t="s">
        <v>12863</v>
      </c>
      <c r="G4525" s="1">
        <v>41417</v>
      </c>
      <c r="H4525">
        <v>2</v>
      </c>
      <c r="J4525" t="s">
        <v>13110</v>
      </c>
      <c r="K4525" t="s">
        <v>263</v>
      </c>
      <c r="L4525" t="s">
        <v>23147</v>
      </c>
      <c r="M4525">
        <v>306.76620967999997</v>
      </c>
      <c r="N4525" t="s">
        <v>23148</v>
      </c>
      <c r="O4525" t="s">
        <v>26</v>
      </c>
      <c r="P4525">
        <v>150</v>
      </c>
      <c r="Q4525">
        <v>125</v>
      </c>
      <c r="R4525">
        <v>100</v>
      </c>
      <c r="S4525">
        <v>150</v>
      </c>
      <c r="T4525" t="s">
        <v>23149</v>
      </c>
    </row>
    <row r="4526" spans="1:20">
      <c r="A4526">
        <v>3332601</v>
      </c>
      <c r="B4526" t="s">
        <v>23150</v>
      </c>
      <c r="C4526" t="str">
        <f>"9780773541320"</f>
        <v>9780773541320</v>
      </c>
      <c r="D4526" t="str">
        <f>"9780773588547"</f>
        <v>9780773588547</v>
      </c>
      <c r="E4526" t="s">
        <v>12863</v>
      </c>
      <c r="F4526" t="s">
        <v>12863</v>
      </c>
      <c r="G4526" s="1">
        <v>41426</v>
      </c>
      <c r="I4526" t="s">
        <v>12864</v>
      </c>
      <c r="J4526" t="s">
        <v>23151</v>
      </c>
      <c r="K4526" t="s">
        <v>14720</v>
      </c>
      <c r="L4526" t="s">
        <v>23152</v>
      </c>
      <c r="M4526" t="s">
        <v>23153</v>
      </c>
      <c r="N4526" t="s">
        <v>23154</v>
      </c>
      <c r="O4526" t="s">
        <v>26</v>
      </c>
      <c r="P4526">
        <v>150</v>
      </c>
      <c r="Q4526">
        <v>125</v>
      </c>
      <c r="R4526">
        <v>100</v>
      </c>
      <c r="S4526">
        <v>150</v>
      </c>
      <c r="T4526" t="s">
        <v>23155</v>
      </c>
    </row>
    <row r="4527" spans="1:20">
      <c r="A4527">
        <v>3332602</v>
      </c>
      <c r="B4527" t="s">
        <v>23156</v>
      </c>
      <c r="C4527" t="str">
        <f>"9780773540606"</f>
        <v>9780773540606</v>
      </c>
      <c r="D4527" t="str">
        <f>"9780773588028"</f>
        <v>9780773588028</v>
      </c>
      <c r="E4527" t="s">
        <v>12863</v>
      </c>
      <c r="F4527" t="s">
        <v>12863</v>
      </c>
      <c r="G4527" s="1">
        <v>41214</v>
      </c>
      <c r="I4527" t="s">
        <v>12963</v>
      </c>
      <c r="J4527" t="s">
        <v>23157</v>
      </c>
      <c r="K4527" t="s">
        <v>1859</v>
      </c>
      <c r="L4527" t="s">
        <v>23158</v>
      </c>
      <c r="M4527">
        <v>142.70920000000001</v>
      </c>
      <c r="N4527" t="s">
        <v>23159</v>
      </c>
      <c r="O4527" t="s">
        <v>26</v>
      </c>
      <c r="P4527">
        <v>142.5</v>
      </c>
      <c r="Q4527">
        <v>118.75</v>
      </c>
      <c r="R4527">
        <v>95</v>
      </c>
      <c r="S4527">
        <v>142.5</v>
      </c>
      <c r="T4527" t="s">
        <v>23160</v>
      </c>
    </row>
    <row r="4528" spans="1:20">
      <c r="A4528">
        <v>3332603</v>
      </c>
      <c r="B4528" t="s">
        <v>23161</v>
      </c>
      <c r="C4528" t="str">
        <f>"9780773541436"</f>
        <v>9780773541436</v>
      </c>
      <c r="D4528" t="str">
        <f>"9780773588967"</f>
        <v>9780773588967</v>
      </c>
      <c r="E4528" t="s">
        <v>12863</v>
      </c>
      <c r="F4528" t="s">
        <v>12863</v>
      </c>
      <c r="G4528" s="1">
        <v>41426</v>
      </c>
      <c r="J4528" t="s">
        <v>23162</v>
      </c>
      <c r="K4528" t="s">
        <v>1471</v>
      </c>
      <c r="L4528" t="s">
        <v>23163</v>
      </c>
      <c r="M4528" t="s">
        <v>23164</v>
      </c>
      <c r="N4528" t="s">
        <v>23165</v>
      </c>
      <c r="O4528" t="s">
        <v>26</v>
      </c>
      <c r="P4528">
        <v>157.5</v>
      </c>
      <c r="Q4528">
        <v>131.25</v>
      </c>
      <c r="R4528">
        <v>105</v>
      </c>
      <c r="S4528">
        <v>157.5</v>
      </c>
      <c r="T4528" t="s">
        <v>23166</v>
      </c>
    </row>
    <row r="4529" spans="1:20">
      <c r="A4529">
        <v>3332604</v>
      </c>
      <c r="B4529" t="s">
        <v>23167</v>
      </c>
      <c r="C4529" t="str">
        <f>"9780773541504"</f>
        <v>9780773541504</v>
      </c>
      <c r="D4529" t="str">
        <f>"9780773588806"</f>
        <v>9780773588806</v>
      </c>
      <c r="E4529" t="s">
        <v>12863</v>
      </c>
      <c r="F4529" t="s">
        <v>12863</v>
      </c>
      <c r="G4529" s="1">
        <v>41395</v>
      </c>
      <c r="J4529" t="s">
        <v>23168</v>
      </c>
      <c r="K4529" t="s">
        <v>467</v>
      </c>
      <c r="L4529" t="s">
        <v>23169</v>
      </c>
      <c r="M4529" t="s">
        <v>23170</v>
      </c>
      <c r="N4529" t="s">
        <v>23171</v>
      </c>
      <c r="O4529" t="s">
        <v>26</v>
      </c>
      <c r="P4529">
        <v>150</v>
      </c>
      <c r="Q4529">
        <v>125</v>
      </c>
      <c r="R4529">
        <v>100</v>
      </c>
      <c r="S4529">
        <v>150</v>
      </c>
      <c r="T4529" t="s">
        <v>23172</v>
      </c>
    </row>
    <row r="4530" spans="1:20">
      <c r="A4530">
        <v>3332605</v>
      </c>
      <c r="B4530" t="s">
        <v>23173</v>
      </c>
      <c r="C4530" t="str">
        <f>"9780773541160"</f>
        <v>9780773541160</v>
      </c>
      <c r="D4530" t="str">
        <f>"9780773588646"</f>
        <v>9780773588646</v>
      </c>
      <c r="E4530" t="s">
        <v>12863</v>
      </c>
      <c r="F4530" t="s">
        <v>12863</v>
      </c>
      <c r="G4530" s="1">
        <v>41395</v>
      </c>
      <c r="I4530" t="s">
        <v>23174</v>
      </c>
      <c r="J4530" t="s">
        <v>23175</v>
      </c>
      <c r="K4530" t="s">
        <v>22527</v>
      </c>
      <c r="L4530" t="s">
        <v>23176</v>
      </c>
      <c r="M4530">
        <v>70.509200000000007</v>
      </c>
      <c r="N4530" t="s">
        <v>23177</v>
      </c>
      <c r="O4530" t="s">
        <v>26</v>
      </c>
      <c r="P4530">
        <v>74.930000000000007</v>
      </c>
      <c r="Q4530">
        <v>62.44</v>
      </c>
      <c r="R4530">
        <v>49.95</v>
      </c>
      <c r="S4530">
        <v>74.930000000000007</v>
      </c>
      <c r="T4530" t="s">
        <v>23178</v>
      </c>
    </row>
    <row r="4531" spans="1:20">
      <c r="A4531">
        <v>3332606</v>
      </c>
      <c r="B4531" t="s">
        <v>23179</v>
      </c>
      <c r="C4531" t="str">
        <f>"9780773541573"</f>
        <v>9780773541573</v>
      </c>
      <c r="D4531" t="str">
        <f>"9780773588882"</f>
        <v>9780773588882</v>
      </c>
      <c r="E4531" t="s">
        <v>12863</v>
      </c>
      <c r="F4531" t="s">
        <v>12863</v>
      </c>
      <c r="G4531" s="1">
        <v>41426</v>
      </c>
      <c r="J4531" t="s">
        <v>23180</v>
      </c>
      <c r="K4531" t="s">
        <v>263</v>
      </c>
      <c r="L4531" t="s">
        <v>23181</v>
      </c>
      <c r="M4531">
        <v>363.96097300000002</v>
      </c>
      <c r="N4531" t="s">
        <v>23182</v>
      </c>
      <c r="O4531" t="s">
        <v>26</v>
      </c>
      <c r="P4531">
        <v>150</v>
      </c>
      <c r="Q4531">
        <v>125</v>
      </c>
      <c r="R4531">
        <v>100</v>
      </c>
      <c r="S4531">
        <v>150</v>
      </c>
      <c r="T4531" t="s">
        <v>23183</v>
      </c>
    </row>
    <row r="4532" spans="1:20">
      <c r="A4532">
        <v>3332607</v>
      </c>
      <c r="B4532" t="s">
        <v>23184</v>
      </c>
      <c r="C4532" t="str">
        <f>"9780773541023"</f>
        <v>9780773541023</v>
      </c>
      <c r="D4532" t="str">
        <f>"9780773589049"</f>
        <v>9780773589049</v>
      </c>
      <c r="E4532" t="s">
        <v>12863</v>
      </c>
      <c r="F4532" t="s">
        <v>12863</v>
      </c>
      <c r="G4532" s="1">
        <v>41306</v>
      </c>
      <c r="I4532" t="s">
        <v>13046</v>
      </c>
      <c r="J4532" t="s">
        <v>23185</v>
      </c>
      <c r="K4532" t="s">
        <v>263</v>
      </c>
      <c r="L4532" t="s">
        <v>23186</v>
      </c>
      <c r="M4532">
        <v>305.80094000000003</v>
      </c>
      <c r="N4532" t="s">
        <v>23187</v>
      </c>
      <c r="O4532" t="s">
        <v>26</v>
      </c>
      <c r="P4532">
        <v>142.5</v>
      </c>
      <c r="Q4532">
        <v>118.75</v>
      </c>
      <c r="R4532">
        <v>95</v>
      </c>
      <c r="S4532">
        <v>142.5</v>
      </c>
      <c r="T4532" t="s">
        <v>23188</v>
      </c>
    </row>
    <row r="4533" spans="1:20">
      <c r="A4533">
        <v>3332608</v>
      </c>
      <c r="B4533" t="s">
        <v>23189</v>
      </c>
      <c r="C4533" t="str">
        <f>"9780773541269"</f>
        <v>9780773541269</v>
      </c>
      <c r="D4533" t="str">
        <f>"9780773588707"</f>
        <v>9780773588707</v>
      </c>
      <c r="E4533" t="s">
        <v>12863</v>
      </c>
      <c r="F4533" t="s">
        <v>12863</v>
      </c>
      <c r="G4533" s="1">
        <v>41395</v>
      </c>
      <c r="J4533" t="s">
        <v>23190</v>
      </c>
      <c r="K4533" t="s">
        <v>1464</v>
      </c>
      <c r="L4533" t="s">
        <v>23191</v>
      </c>
      <c r="M4533">
        <v>813.00992870000005</v>
      </c>
      <c r="N4533" t="s">
        <v>23192</v>
      </c>
      <c r="O4533" t="s">
        <v>26</v>
      </c>
      <c r="P4533">
        <v>150</v>
      </c>
      <c r="Q4533">
        <v>125</v>
      </c>
      <c r="R4533">
        <v>100</v>
      </c>
      <c r="S4533">
        <v>150</v>
      </c>
      <c r="T4533" t="s">
        <v>23193</v>
      </c>
    </row>
    <row r="4534" spans="1:20">
      <c r="A4534">
        <v>3332609</v>
      </c>
      <c r="B4534" t="s">
        <v>23194</v>
      </c>
      <c r="C4534" t="str">
        <f>"9780773507982"</f>
        <v>9780773507982</v>
      </c>
      <c r="D4534" t="str">
        <f>"9780773580374"</f>
        <v>9780773580374</v>
      </c>
      <c r="E4534" t="s">
        <v>12863</v>
      </c>
      <c r="F4534" t="s">
        <v>12863</v>
      </c>
      <c r="G4534" s="1">
        <v>33117</v>
      </c>
      <c r="J4534" t="s">
        <v>23195</v>
      </c>
      <c r="K4534" t="s">
        <v>7838</v>
      </c>
      <c r="L4534" t="s">
        <v>23196</v>
      </c>
      <c r="M4534">
        <v>720.9</v>
      </c>
      <c r="N4534" t="s">
        <v>23197</v>
      </c>
      <c r="O4534" t="s">
        <v>26</v>
      </c>
      <c r="P4534">
        <v>142.5</v>
      </c>
      <c r="Q4534">
        <v>118.75</v>
      </c>
      <c r="R4534">
        <v>95</v>
      </c>
      <c r="S4534">
        <v>142.5</v>
      </c>
      <c r="T4534" t="s">
        <v>23198</v>
      </c>
    </row>
    <row r="4535" spans="1:20">
      <c r="A4535">
        <v>3332610</v>
      </c>
      <c r="B4535" t="s">
        <v>23199</v>
      </c>
      <c r="C4535" t="str">
        <f>"9780773541467"</f>
        <v>9780773541467</v>
      </c>
      <c r="D4535" t="str">
        <f>"9780773588929"</f>
        <v>9780773588929</v>
      </c>
      <c r="E4535" t="s">
        <v>12863</v>
      </c>
      <c r="F4535" t="s">
        <v>12863</v>
      </c>
      <c r="G4535" s="1">
        <v>41456</v>
      </c>
      <c r="J4535" t="s">
        <v>23200</v>
      </c>
      <c r="K4535" t="s">
        <v>257</v>
      </c>
      <c r="L4535" t="s">
        <v>23201</v>
      </c>
      <c r="M4535" t="s">
        <v>23202</v>
      </c>
      <c r="N4535" t="s">
        <v>23203</v>
      </c>
      <c r="O4535" t="s">
        <v>26</v>
      </c>
      <c r="P4535">
        <v>150</v>
      </c>
      <c r="Q4535">
        <v>125</v>
      </c>
      <c r="R4535">
        <v>100</v>
      </c>
      <c r="S4535">
        <v>150</v>
      </c>
      <c r="T4535" t="s">
        <v>23204</v>
      </c>
    </row>
    <row r="4536" spans="1:20">
      <c r="A4536">
        <v>3332611</v>
      </c>
      <c r="B4536" t="s">
        <v>23205</v>
      </c>
      <c r="C4536" t="str">
        <f>"9780773541306"</f>
        <v>9780773541306</v>
      </c>
      <c r="D4536" t="str">
        <f>"9780773588622"</f>
        <v>9780773588622</v>
      </c>
      <c r="E4536" t="s">
        <v>12863</v>
      </c>
      <c r="F4536" t="s">
        <v>12863</v>
      </c>
      <c r="G4536" s="1">
        <v>41426</v>
      </c>
      <c r="J4536" t="s">
        <v>23206</v>
      </c>
      <c r="K4536" t="s">
        <v>291</v>
      </c>
      <c r="L4536" t="s">
        <v>23207</v>
      </c>
      <c r="M4536">
        <v>971</v>
      </c>
      <c r="N4536" t="s">
        <v>23208</v>
      </c>
      <c r="O4536" t="s">
        <v>26</v>
      </c>
      <c r="P4536">
        <v>150</v>
      </c>
      <c r="Q4536">
        <v>125</v>
      </c>
      <c r="R4536">
        <v>100</v>
      </c>
      <c r="S4536">
        <v>150</v>
      </c>
      <c r="T4536" t="s">
        <v>23209</v>
      </c>
    </row>
    <row r="4537" spans="1:20">
      <c r="A4537">
        <v>3332612</v>
      </c>
      <c r="B4537" t="s">
        <v>23210</v>
      </c>
      <c r="C4537" t="str">
        <f>"9780773541153"</f>
        <v>9780773541153</v>
      </c>
      <c r="D4537" t="str">
        <f>"9780773588608"</f>
        <v>9780773588608</v>
      </c>
      <c r="E4537" t="s">
        <v>12863</v>
      </c>
      <c r="F4537" t="s">
        <v>12863</v>
      </c>
      <c r="G4537" s="1">
        <v>41395</v>
      </c>
      <c r="J4537" t="s">
        <v>23211</v>
      </c>
      <c r="K4537" t="s">
        <v>1464</v>
      </c>
      <c r="L4537" t="s">
        <v>23212</v>
      </c>
      <c r="M4537">
        <v>811.4</v>
      </c>
      <c r="N4537" t="s">
        <v>23213</v>
      </c>
      <c r="O4537" t="s">
        <v>26</v>
      </c>
      <c r="P4537">
        <v>150</v>
      </c>
      <c r="Q4537">
        <v>125</v>
      </c>
      <c r="R4537">
        <v>100</v>
      </c>
      <c r="S4537">
        <v>150</v>
      </c>
      <c r="T4537" t="s">
        <v>23214</v>
      </c>
    </row>
    <row r="4538" spans="1:20">
      <c r="A4538">
        <v>3332613</v>
      </c>
      <c r="B4538" t="s">
        <v>23215</v>
      </c>
      <c r="C4538" t="str">
        <f>"9780773541733"</f>
        <v>9780773541733</v>
      </c>
      <c r="D4538" t="str">
        <f>"9780773588660"</f>
        <v>9780773588660</v>
      </c>
      <c r="E4538" t="s">
        <v>12863</v>
      </c>
      <c r="F4538" t="s">
        <v>12863</v>
      </c>
      <c r="G4538" s="1">
        <v>41456</v>
      </c>
      <c r="J4538" t="s">
        <v>23216</v>
      </c>
      <c r="K4538" t="s">
        <v>1471</v>
      </c>
      <c r="L4538" t="s">
        <v>23217</v>
      </c>
      <c r="M4538">
        <v>792.024</v>
      </c>
      <c r="N4538" t="s">
        <v>23218</v>
      </c>
      <c r="O4538" t="s">
        <v>26</v>
      </c>
      <c r="P4538">
        <v>150</v>
      </c>
      <c r="Q4538">
        <v>125</v>
      </c>
      <c r="R4538">
        <v>100</v>
      </c>
      <c r="S4538">
        <v>150</v>
      </c>
      <c r="T4538" t="s">
        <v>23219</v>
      </c>
    </row>
    <row r="4539" spans="1:20">
      <c r="A4539">
        <v>3332614</v>
      </c>
      <c r="B4539" t="s">
        <v>23220</v>
      </c>
      <c r="C4539" t="str">
        <f>"9780773541832"</f>
        <v>9780773541832</v>
      </c>
      <c r="D4539" t="str">
        <f>"9780773589797"</f>
        <v>9780773589797</v>
      </c>
      <c r="E4539" t="s">
        <v>12863</v>
      </c>
      <c r="F4539" t="s">
        <v>12863</v>
      </c>
      <c r="G4539" s="1">
        <v>41518</v>
      </c>
      <c r="J4539" t="s">
        <v>23221</v>
      </c>
      <c r="K4539" t="s">
        <v>525</v>
      </c>
      <c r="L4539" t="s">
        <v>23222</v>
      </c>
      <c r="M4539" t="s">
        <v>23223</v>
      </c>
      <c r="N4539" t="s">
        <v>23224</v>
      </c>
      <c r="O4539" t="s">
        <v>26</v>
      </c>
      <c r="P4539">
        <v>150</v>
      </c>
      <c r="Q4539">
        <v>125</v>
      </c>
      <c r="R4539">
        <v>100</v>
      </c>
      <c r="S4539">
        <v>150</v>
      </c>
      <c r="T4539" t="s">
        <v>23225</v>
      </c>
    </row>
    <row r="4540" spans="1:20">
      <c r="A4540">
        <v>3332615</v>
      </c>
      <c r="B4540" t="s">
        <v>23226</v>
      </c>
      <c r="C4540" t="str">
        <f>"9780773542907"</f>
        <v>9780773542907</v>
      </c>
      <c r="D4540" t="str">
        <f>"9780773590076"</f>
        <v>9780773590076</v>
      </c>
      <c r="E4540" t="s">
        <v>12863</v>
      </c>
      <c r="F4540" t="s">
        <v>12863</v>
      </c>
      <c r="G4540" s="1">
        <v>41518</v>
      </c>
      <c r="I4540" t="s">
        <v>23227</v>
      </c>
      <c r="J4540" t="s">
        <v>23228</v>
      </c>
      <c r="K4540" t="s">
        <v>1464</v>
      </c>
      <c r="L4540" t="s">
        <v>23229</v>
      </c>
      <c r="M4540" t="s">
        <v>1497</v>
      </c>
      <c r="N4540" t="s">
        <v>7889</v>
      </c>
      <c r="O4540" t="s">
        <v>26</v>
      </c>
      <c r="P4540">
        <v>25.43</v>
      </c>
      <c r="Q4540">
        <v>21.19</v>
      </c>
      <c r="R4540">
        <v>16.95</v>
      </c>
      <c r="S4540">
        <v>25.43</v>
      </c>
      <c r="T4540" t="s">
        <v>23230</v>
      </c>
    </row>
    <row r="4541" spans="1:20">
      <c r="A4541">
        <v>3332616</v>
      </c>
      <c r="B4541" t="s">
        <v>23231</v>
      </c>
      <c r="C4541" t="str">
        <f>"9780773541238"</f>
        <v>9780773541238</v>
      </c>
      <c r="D4541" t="str">
        <f>"9780773588561"</f>
        <v>9780773588561</v>
      </c>
      <c r="E4541" t="s">
        <v>12863</v>
      </c>
      <c r="F4541" t="s">
        <v>12863</v>
      </c>
      <c r="G4541" s="1">
        <v>41395</v>
      </c>
      <c r="I4541" t="s">
        <v>12886</v>
      </c>
      <c r="J4541" t="s">
        <v>23232</v>
      </c>
      <c r="K4541" t="s">
        <v>1892</v>
      </c>
      <c r="L4541" t="s">
        <v>23233</v>
      </c>
      <c r="M4541">
        <v>287.92090459999997</v>
      </c>
      <c r="N4541" t="s">
        <v>23234</v>
      </c>
      <c r="O4541" t="s">
        <v>26</v>
      </c>
      <c r="P4541">
        <v>150</v>
      </c>
      <c r="Q4541">
        <v>125</v>
      </c>
      <c r="R4541">
        <v>100</v>
      </c>
      <c r="S4541">
        <v>150</v>
      </c>
      <c r="T4541" t="s">
        <v>23235</v>
      </c>
    </row>
    <row r="4542" spans="1:20">
      <c r="A4542">
        <v>3332617</v>
      </c>
      <c r="B4542" t="s">
        <v>23236</v>
      </c>
      <c r="C4542" t="str">
        <f>"9780773541931"</f>
        <v>9780773541931</v>
      </c>
      <c r="D4542" t="str">
        <f>"9780773589933"</f>
        <v>9780773589933</v>
      </c>
      <c r="E4542" t="s">
        <v>12863</v>
      </c>
      <c r="F4542" t="s">
        <v>12863</v>
      </c>
      <c r="G4542" s="1">
        <v>41518</v>
      </c>
      <c r="I4542" t="s">
        <v>12871</v>
      </c>
      <c r="J4542" t="s">
        <v>23237</v>
      </c>
      <c r="K4542" t="s">
        <v>263</v>
      </c>
      <c r="L4542" t="s">
        <v>23238</v>
      </c>
      <c r="M4542" t="s">
        <v>23239</v>
      </c>
      <c r="N4542" t="s">
        <v>23240</v>
      </c>
      <c r="O4542" t="s">
        <v>26</v>
      </c>
      <c r="P4542">
        <v>187.5</v>
      </c>
      <c r="Q4542">
        <v>156.25</v>
      </c>
      <c r="R4542">
        <v>125</v>
      </c>
      <c r="S4542">
        <v>187.5</v>
      </c>
      <c r="T4542" t="s">
        <v>23241</v>
      </c>
    </row>
    <row r="4543" spans="1:20">
      <c r="A4543">
        <v>3332618</v>
      </c>
      <c r="B4543" t="s">
        <v>23242</v>
      </c>
      <c r="C4543" t="str">
        <f>"9780773541740"</f>
        <v>9780773541740</v>
      </c>
      <c r="D4543" t="str">
        <f>"9780773588905"</f>
        <v>9780773588905</v>
      </c>
      <c r="E4543" t="s">
        <v>12863</v>
      </c>
      <c r="F4543" t="s">
        <v>12863</v>
      </c>
      <c r="G4543" s="1">
        <v>41456</v>
      </c>
      <c r="J4543" t="s">
        <v>23243</v>
      </c>
      <c r="K4543" t="s">
        <v>257</v>
      </c>
      <c r="L4543" t="s">
        <v>23244</v>
      </c>
      <c r="M4543">
        <v>378.00920000000002</v>
      </c>
      <c r="N4543" t="s">
        <v>23245</v>
      </c>
      <c r="O4543" t="s">
        <v>26</v>
      </c>
      <c r="P4543">
        <v>74.930000000000007</v>
      </c>
      <c r="Q4543">
        <v>62.44</v>
      </c>
      <c r="R4543">
        <v>49.95</v>
      </c>
      <c r="S4543">
        <v>74.930000000000007</v>
      </c>
      <c r="T4543" t="s">
        <v>23246</v>
      </c>
    </row>
    <row r="4544" spans="1:20">
      <c r="A4544">
        <v>3332619</v>
      </c>
      <c r="B4544" t="s">
        <v>23247</v>
      </c>
      <c r="C4544" t="str">
        <f>"9780773541474"</f>
        <v>9780773541474</v>
      </c>
      <c r="D4544" t="str">
        <f>"9780773588844"</f>
        <v>9780773588844</v>
      </c>
      <c r="E4544" t="s">
        <v>12863</v>
      </c>
      <c r="F4544" t="s">
        <v>12863</v>
      </c>
      <c r="G4544" s="1">
        <v>41426</v>
      </c>
      <c r="J4544" t="s">
        <v>23248</v>
      </c>
      <c r="K4544" t="s">
        <v>376</v>
      </c>
      <c r="L4544" t="s">
        <v>23249</v>
      </c>
      <c r="M4544">
        <v>362.10971949999998</v>
      </c>
      <c r="N4544" t="s">
        <v>23250</v>
      </c>
      <c r="O4544" t="s">
        <v>26</v>
      </c>
      <c r="P4544">
        <v>127.5</v>
      </c>
      <c r="Q4544">
        <v>106.25</v>
      </c>
      <c r="R4544">
        <v>85</v>
      </c>
      <c r="S4544">
        <v>127.5</v>
      </c>
      <c r="T4544" t="s">
        <v>23251</v>
      </c>
    </row>
    <row r="4545" spans="1:20">
      <c r="A4545">
        <v>3332620</v>
      </c>
      <c r="B4545" t="s">
        <v>23252</v>
      </c>
      <c r="C4545" t="str">
        <f>"9780773542013"</f>
        <v>9780773542013</v>
      </c>
      <c r="D4545" t="str">
        <f>"9780773589094"</f>
        <v>9780773589094</v>
      </c>
      <c r="E4545" t="s">
        <v>12863</v>
      </c>
      <c r="F4545" t="s">
        <v>12863</v>
      </c>
      <c r="G4545" s="1">
        <v>41548</v>
      </c>
      <c r="J4545" t="s">
        <v>23253</v>
      </c>
      <c r="K4545" t="s">
        <v>1471</v>
      </c>
      <c r="L4545" t="s">
        <v>23254</v>
      </c>
      <c r="M4545" t="s">
        <v>23255</v>
      </c>
      <c r="N4545" t="s">
        <v>23256</v>
      </c>
      <c r="O4545" t="s">
        <v>26</v>
      </c>
      <c r="P4545">
        <v>150</v>
      </c>
      <c r="Q4545">
        <v>125</v>
      </c>
      <c r="R4545">
        <v>100</v>
      </c>
      <c r="S4545">
        <v>150</v>
      </c>
      <c r="T4545" t="s">
        <v>23257</v>
      </c>
    </row>
    <row r="4546" spans="1:20">
      <c r="A4546">
        <v>3332621</v>
      </c>
      <c r="B4546" t="s">
        <v>23258</v>
      </c>
      <c r="C4546" t="str">
        <f>"9780773541641"</f>
        <v>9780773541641</v>
      </c>
      <c r="D4546" t="str">
        <f>"9780773588769"</f>
        <v>9780773588769</v>
      </c>
      <c r="E4546" t="s">
        <v>12863</v>
      </c>
      <c r="F4546" t="s">
        <v>12863</v>
      </c>
      <c r="G4546" s="1">
        <v>41426</v>
      </c>
      <c r="J4546" t="s">
        <v>23259</v>
      </c>
      <c r="K4546" t="s">
        <v>278</v>
      </c>
      <c r="L4546" t="s">
        <v>23260</v>
      </c>
      <c r="M4546">
        <v>338.97190000000001</v>
      </c>
      <c r="N4546" t="s">
        <v>23261</v>
      </c>
      <c r="O4546" t="s">
        <v>26</v>
      </c>
      <c r="P4546">
        <v>150</v>
      </c>
      <c r="Q4546">
        <v>125</v>
      </c>
      <c r="R4546">
        <v>100</v>
      </c>
      <c r="S4546">
        <v>150</v>
      </c>
      <c r="T4546" t="s">
        <v>23262</v>
      </c>
    </row>
    <row r="4547" spans="1:20">
      <c r="A4547">
        <v>3332622</v>
      </c>
      <c r="B4547" t="s">
        <v>23263</v>
      </c>
      <c r="C4547" t="str">
        <f>"9780773541450"</f>
        <v>9780773541450</v>
      </c>
      <c r="D4547" t="str">
        <f>"9780773588943"</f>
        <v>9780773588943</v>
      </c>
      <c r="E4547" t="s">
        <v>12863</v>
      </c>
      <c r="F4547" t="s">
        <v>12863</v>
      </c>
      <c r="G4547" s="1">
        <v>41426</v>
      </c>
      <c r="I4547" t="s">
        <v>19859</v>
      </c>
      <c r="J4547" t="s">
        <v>23264</v>
      </c>
      <c r="K4547" t="s">
        <v>1471</v>
      </c>
      <c r="L4547" t="s">
        <v>23265</v>
      </c>
      <c r="M4547">
        <v>770.971</v>
      </c>
      <c r="N4547" t="s">
        <v>23266</v>
      </c>
      <c r="O4547" t="s">
        <v>26</v>
      </c>
      <c r="P4547">
        <v>74.930000000000007</v>
      </c>
      <c r="Q4547">
        <v>62.44</v>
      </c>
      <c r="R4547">
        <v>49.95</v>
      </c>
      <c r="S4547">
        <v>74.930000000000007</v>
      </c>
      <c r="T4547" t="s">
        <v>23267</v>
      </c>
    </row>
    <row r="4548" spans="1:20">
      <c r="A4548">
        <v>3332623</v>
      </c>
      <c r="B4548" t="s">
        <v>23268</v>
      </c>
      <c r="C4548" t="str">
        <f>"9780773541788"</f>
        <v>9780773541788</v>
      </c>
      <c r="D4548" t="str">
        <f>"9780773589872"</f>
        <v>9780773589872</v>
      </c>
      <c r="E4548" t="s">
        <v>12863</v>
      </c>
      <c r="F4548" t="s">
        <v>12863</v>
      </c>
      <c r="G4548" s="1">
        <v>41518</v>
      </c>
      <c r="J4548" t="s">
        <v>23269</v>
      </c>
      <c r="K4548" t="s">
        <v>1464</v>
      </c>
      <c r="L4548" t="s">
        <v>23270</v>
      </c>
      <c r="M4548" t="s">
        <v>23271</v>
      </c>
      <c r="N4548" t="s">
        <v>23272</v>
      </c>
      <c r="O4548" t="s">
        <v>26</v>
      </c>
      <c r="P4548">
        <v>150</v>
      </c>
      <c r="Q4548">
        <v>125</v>
      </c>
      <c r="R4548">
        <v>100</v>
      </c>
      <c r="S4548">
        <v>150</v>
      </c>
      <c r="T4548" t="s">
        <v>23273</v>
      </c>
    </row>
    <row r="4549" spans="1:20">
      <c r="A4549">
        <v>3332624</v>
      </c>
      <c r="B4549" t="s">
        <v>23274</v>
      </c>
      <c r="C4549" t="str">
        <f>"9780773542839"</f>
        <v>9780773542839</v>
      </c>
      <c r="D4549" t="str">
        <f>"9780773589537"</f>
        <v>9780773589537</v>
      </c>
      <c r="E4549" t="s">
        <v>12863</v>
      </c>
      <c r="F4549" t="s">
        <v>12863</v>
      </c>
      <c r="G4549" s="1">
        <v>41548</v>
      </c>
      <c r="I4549" t="s">
        <v>22202</v>
      </c>
      <c r="J4549" t="s">
        <v>23275</v>
      </c>
      <c r="K4549" t="s">
        <v>263</v>
      </c>
      <c r="L4549" t="s">
        <v>23276</v>
      </c>
      <c r="M4549" t="s">
        <v>23277</v>
      </c>
      <c r="N4549" t="s">
        <v>23278</v>
      </c>
      <c r="O4549" t="s">
        <v>26</v>
      </c>
      <c r="P4549">
        <v>150</v>
      </c>
      <c r="Q4549">
        <v>125</v>
      </c>
      <c r="R4549">
        <v>100</v>
      </c>
      <c r="S4549">
        <v>150</v>
      </c>
      <c r="T4549" t="s">
        <v>23279</v>
      </c>
    </row>
    <row r="4550" spans="1:20">
      <c r="A4550">
        <v>3332625</v>
      </c>
      <c r="B4550" t="s">
        <v>23280</v>
      </c>
      <c r="C4550" t="str">
        <f>"9780773542761"</f>
        <v>9780773542761</v>
      </c>
      <c r="D4550" t="str">
        <f>"9780773590175"</f>
        <v>9780773590175</v>
      </c>
      <c r="E4550" t="s">
        <v>12863</v>
      </c>
      <c r="F4550" t="s">
        <v>12863</v>
      </c>
      <c r="G4550" s="1">
        <v>41548</v>
      </c>
      <c r="J4550" t="s">
        <v>23281</v>
      </c>
      <c r="K4550" t="s">
        <v>263</v>
      </c>
      <c r="L4550" t="s">
        <v>23282</v>
      </c>
      <c r="M4550" t="s">
        <v>23283</v>
      </c>
      <c r="N4550" t="s">
        <v>23284</v>
      </c>
      <c r="O4550" t="s">
        <v>26</v>
      </c>
      <c r="P4550">
        <v>150</v>
      </c>
      <c r="Q4550">
        <v>125</v>
      </c>
      <c r="R4550">
        <v>100</v>
      </c>
      <c r="S4550">
        <v>150</v>
      </c>
      <c r="T4550" t="s">
        <v>23285</v>
      </c>
    </row>
    <row r="4551" spans="1:20">
      <c r="A4551">
        <v>3332626</v>
      </c>
      <c r="B4551" t="s">
        <v>23286</v>
      </c>
      <c r="C4551" t="str">
        <f>"9780773542099"</f>
        <v>9780773542099</v>
      </c>
      <c r="D4551" t="str">
        <f>"9780773589216"</f>
        <v>9780773589216</v>
      </c>
      <c r="E4551" t="s">
        <v>12863</v>
      </c>
      <c r="F4551" t="s">
        <v>12863</v>
      </c>
      <c r="G4551" s="1">
        <v>41518</v>
      </c>
      <c r="J4551" t="s">
        <v>23287</v>
      </c>
      <c r="K4551" t="s">
        <v>2759</v>
      </c>
      <c r="L4551" t="s">
        <v>23288</v>
      </c>
      <c r="M4551" t="s">
        <v>23289</v>
      </c>
      <c r="N4551" t="s">
        <v>23290</v>
      </c>
      <c r="O4551" t="s">
        <v>26</v>
      </c>
      <c r="P4551">
        <v>127.5</v>
      </c>
      <c r="Q4551">
        <v>106.25</v>
      </c>
      <c r="R4551">
        <v>85</v>
      </c>
      <c r="S4551">
        <v>127.5</v>
      </c>
      <c r="T4551" t="s">
        <v>23291</v>
      </c>
    </row>
    <row r="4552" spans="1:20">
      <c r="A4552">
        <v>3332627</v>
      </c>
      <c r="B4552" t="s">
        <v>23292</v>
      </c>
      <c r="C4552" t="str">
        <f>"9780773541375"</f>
        <v>9780773541375</v>
      </c>
      <c r="D4552" t="str">
        <f>"9780773588745"</f>
        <v>9780773588745</v>
      </c>
      <c r="E4552" t="s">
        <v>12863</v>
      </c>
      <c r="F4552" t="s">
        <v>12863</v>
      </c>
      <c r="G4552" s="1">
        <v>41426</v>
      </c>
      <c r="I4552" t="s">
        <v>12942</v>
      </c>
      <c r="J4552" t="s">
        <v>23293</v>
      </c>
      <c r="K4552" t="s">
        <v>1892</v>
      </c>
      <c r="L4552" t="s">
        <v>23294</v>
      </c>
      <c r="M4552">
        <v>200.8</v>
      </c>
      <c r="N4552" t="s">
        <v>23295</v>
      </c>
      <c r="O4552" t="s">
        <v>26</v>
      </c>
      <c r="P4552">
        <v>150</v>
      </c>
      <c r="Q4552">
        <v>125</v>
      </c>
      <c r="R4552">
        <v>100</v>
      </c>
      <c r="S4552">
        <v>150</v>
      </c>
      <c r="T4552" t="s">
        <v>23296</v>
      </c>
    </row>
    <row r="4553" spans="1:20">
      <c r="A4553">
        <v>3332628</v>
      </c>
      <c r="B4553" t="s">
        <v>23297</v>
      </c>
      <c r="C4553" t="str">
        <f>"9780773542747"</f>
        <v>9780773542747</v>
      </c>
      <c r="D4553" t="str">
        <f>"9780773589353"</f>
        <v>9780773589353</v>
      </c>
      <c r="E4553" t="s">
        <v>12863</v>
      </c>
      <c r="F4553" t="s">
        <v>12863</v>
      </c>
      <c r="G4553" s="1">
        <v>41518</v>
      </c>
      <c r="J4553" t="s">
        <v>23298</v>
      </c>
      <c r="K4553" t="s">
        <v>263</v>
      </c>
      <c r="L4553" t="s">
        <v>23299</v>
      </c>
      <c r="M4553">
        <v>363.20970999999997</v>
      </c>
      <c r="N4553" t="s">
        <v>23300</v>
      </c>
      <c r="O4553" t="s">
        <v>26</v>
      </c>
      <c r="P4553">
        <v>150</v>
      </c>
      <c r="Q4553">
        <v>125</v>
      </c>
      <c r="R4553">
        <v>100</v>
      </c>
      <c r="S4553">
        <v>150</v>
      </c>
      <c r="T4553" t="s">
        <v>23301</v>
      </c>
    </row>
    <row r="4554" spans="1:20">
      <c r="A4554">
        <v>3332629</v>
      </c>
      <c r="B4554" t="s">
        <v>23302</v>
      </c>
      <c r="C4554" t="str">
        <f>"9780773541344"</f>
        <v>9780773541344</v>
      </c>
      <c r="D4554" t="str">
        <f>"9780773588684"</f>
        <v>9780773588684</v>
      </c>
      <c r="E4554" t="s">
        <v>12863</v>
      </c>
      <c r="F4554" t="s">
        <v>12863</v>
      </c>
      <c r="G4554" s="1">
        <v>41426</v>
      </c>
      <c r="I4554" t="s">
        <v>22202</v>
      </c>
      <c r="J4554" t="s">
        <v>23303</v>
      </c>
      <c r="K4554" t="s">
        <v>467</v>
      </c>
      <c r="L4554" t="s">
        <v>23304</v>
      </c>
      <c r="M4554">
        <v>352.50970999999998</v>
      </c>
      <c r="N4554" t="s">
        <v>23305</v>
      </c>
      <c r="O4554" t="s">
        <v>26</v>
      </c>
      <c r="P4554">
        <v>150</v>
      </c>
      <c r="Q4554">
        <v>125</v>
      </c>
      <c r="R4554">
        <v>100</v>
      </c>
      <c r="S4554">
        <v>150</v>
      </c>
      <c r="T4554" t="s">
        <v>23306</v>
      </c>
    </row>
    <row r="4555" spans="1:20">
      <c r="A4555">
        <v>3332630</v>
      </c>
      <c r="B4555" t="s">
        <v>23307</v>
      </c>
      <c r="C4555" t="str">
        <f>"9780773541252"</f>
        <v>9780773541252</v>
      </c>
      <c r="D4555" t="str">
        <f>"9780773588721"</f>
        <v>9780773588721</v>
      </c>
      <c r="E4555" t="s">
        <v>12863</v>
      </c>
      <c r="F4555" t="s">
        <v>12863</v>
      </c>
      <c r="G4555" s="1">
        <v>41426</v>
      </c>
      <c r="J4555" t="s">
        <v>23308</v>
      </c>
      <c r="K4555" t="s">
        <v>467</v>
      </c>
      <c r="L4555" t="s">
        <v>23309</v>
      </c>
      <c r="M4555">
        <v>351</v>
      </c>
      <c r="N4555" t="s">
        <v>23310</v>
      </c>
      <c r="O4555" t="s">
        <v>26</v>
      </c>
      <c r="P4555">
        <v>97.5</v>
      </c>
      <c r="Q4555">
        <v>81.25</v>
      </c>
      <c r="R4555">
        <v>65</v>
      </c>
      <c r="S4555">
        <v>97.5</v>
      </c>
      <c r="T4555" t="s">
        <v>23311</v>
      </c>
    </row>
    <row r="4556" spans="1:20">
      <c r="A4556">
        <v>3332631</v>
      </c>
      <c r="B4556" t="s">
        <v>23312</v>
      </c>
      <c r="C4556" t="str">
        <f>"9780773542952"</f>
        <v>9780773542952</v>
      </c>
      <c r="D4556" t="str">
        <f>"9780773589919"</f>
        <v>9780773589919</v>
      </c>
      <c r="E4556" t="s">
        <v>12863</v>
      </c>
      <c r="F4556" t="s">
        <v>12863</v>
      </c>
      <c r="G4556" s="1">
        <v>41548</v>
      </c>
      <c r="J4556" t="s">
        <v>12969</v>
      </c>
      <c r="K4556" t="s">
        <v>23313</v>
      </c>
      <c r="L4556" t="s">
        <v>23314</v>
      </c>
      <c r="M4556" t="s">
        <v>23315</v>
      </c>
      <c r="N4556" t="s">
        <v>23316</v>
      </c>
      <c r="O4556" t="s">
        <v>26</v>
      </c>
      <c r="P4556">
        <v>150</v>
      </c>
      <c r="R4556">
        <v>100</v>
      </c>
      <c r="T4556" t="s">
        <v>23317</v>
      </c>
    </row>
    <row r="4557" spans="1:20">
      <c r="A4557">
        <v>3332632</v>
      </c>
      <c r="B4557" t="s">
        <v>23318</v>
      </c>
      <c r="C4557" t="str">
        <f>"9780773541290"</f>
        <v>9780773541290</v>
      </c>
      <c r="D4557" t="str">
        <f>"9780773588820"</f>
        <v>9780773588820</v>
      </c>
      <c r="E4557" t="s">
        <v>12863</v>
      </c>
      <c r="F4557" t="s">
        <v>12863</v>
      </c>
      <c r="G4557" s="1">
        <v>41456</v>
      </c>
      <c r="J4557" t="s">
        <v>23319</v>
      </c>
      <c r="K4557" t="s">
        <v>263</v>
      </c>
      <c r="L4557" t="s">
        <v>23320</v>
      </c>
      <c r="M4557">
        <v>305.51299999999998</v>
      </c>
      <c r="N4557" t="s">
        <v>23321</v>
      </c>
      <c r="O4557" t="s">
        <v>26</v>
      </c>
      <c r="P4557">
        <v>187.5</v>
      </c>
      <c r="Q4557">
        <v>156.25</v>
      </c>
      <c r="R4557">
        <v>125</v>
      </c>
      <c r="S4557">
        <v>187.5</v>
      </c>
      <c r="T4557" t="s">
        <v>23322</v>
      </c>
    </row>
    <row r="4558" spans="1:20">
      <c r="A4558">
        <v>3332633</v>
      </c>
      <c r="B4558" t="s">
        <v>23323</v>
      </c>
      <c r="C4558" t="str">
        <f>"9780773540958"</f>
        <v>9780773540958</v>
      </c>
      <c r="D4558" t="str">
        <f>"9780773589025"</f>
        <v>9780773589025</v>
      </c>
      <c r="E4558" t="s">
        <v>12863</v>
      </c>
      <c r="F4558" t="s">
        <v>12863</v>
      </c>
      <c r="G4558" s="1">
        <v>41306</v>
      </c>
      <c r="I4558" t="s">
        <v>12942</v>
      </c>
      <c r="J4558" t="s">
        <v>23324</v>
      </c>
      <c r="K4558" t="s">
        <v>291</v>
      </c>
      <c r="L4558" t="s">
        <v>23325</v>
      </c>
      <c r="M4558">
        <v>971.35410000000002</v>
      </c>
      <c r="N4558" t="s">
        <v>23326</v>
      </c>
      <c r="O4558" t="s">
        <v>26</v>
      </c>
      <c r="P4558">
        <v>142.5</v>
      </c>
      <c r="Q4558">
        <v>118.75</v>
      </c>
      <c r="R4558">
        <v>95</v>
      </c>
      <c r="S4558">
        <v>142.5</v>
      </c>
      <c r="T4558" t="s">
        <v>23327</v>
      </c>
    </row>
    <row r="4559" spans="1:20">
      <c r="A4559">
        <v>3332634</v>
      </c>
      <c r="B4559" t="s">
        <v>23328</v>
      </c>
      <c r="C4559" t="str">
        <f>"9780773541610"</f>
        <v>9780773541610</v>
      </c>
      <c r="D4559" t="str">
        <f>"9780773588868"</f>
        <v>9780773588868</v>
      </c>
      <c r="E4559" t="s">
        <v>12863</v>
      </c>
      <c r="F4559" t="s">
        <v>12863</v>
      </c>
      <c r="G4559" s="1">
        <v>41456</v>
      </c>
      <c r="J4559" t="s">
        <v>23329</v>
      </c>
      <c r="K4559" t="s">
        <v>1892</v>
      </c>
      <c r="L4559" t="s">
        <v>23330</v>
      </c>
      <c r="M4559">
        <v>282</v>
      </c>
      <c r="N4559" t="s">
        <v>23331</v>
      </c>
      <c r="O4559" t="s">
        <v>26</v>
      </c>
      <c r="P4559">
        <v>150</v>
      </c>
      <c r="Q4559">
        <v>125</v>
      </c>
      <c r="R4559">
        <v>100</v>
      </c>
      <c r="S4559">
        <v>150</v>
      </c>
      <c r="T4559" t="s">
        <v>23332</v>
      </c>
    </row>
    <row r="4560" spans="1:20">
      <c r="A4560">
        <v>3332635</v>
      </c>
      <c r="B4560" t="s">
        <v>23333</v>
      </c>
      <c r="C4560" t="str">
        <f>"9780773541870"</f>
        <v>9780773541870</v>
      </c>
      <c r="D4560" t="str">
        <f>"9780773589759"</f>
        <v>9780773589759</v>
      </c>
      <c r="E4560" t="s">
        <v>12863</v>
      </c>
      <c r="F4560" t="s">
        <v>12863</v>
      </c>
      <c r="G4560" s="1">
        <v>41548</v>
      </c>
      <c r="J4560" t="s">
        <v>23334</v>
      </c>
      <c r="K4560" t="s">
        <v>263</v>
      </c>
      <c r="L4560" t="s">
        <v>23335</v>
      </c>
      <c r="M4560">
        <v>306.76</v>
      </c>
      <c r="N4560" t="s">
        <v>23336</v>
      </c>
      <c r="O4560" t="s">
        <v>26</v>
      </c>
      <c r="P4560">
        <v>150</v>
      </c>
      <c r="Q4560">
        <v>125</v>
      </c>
      <c r="R4560">
        <v>100</v>
      </c>
      <c r="S4560">
        <v>150</v>
      </c>
      <c r="T4560" t="s">
        <v>23337</v>
      </c>
    </row>
    <row r="4561" spans="1:20">
      <c r="A4561">
        <v>3332636</v>
      </c>
      <c r="B4561" t="s">
        <v>23338</v>
      </c>
      <c r="C4561" t="str">
        <f>"9780773542624"</f>
        <v>9780773542624</v>
      </c>
      <c r="D4561" t="str">
        <f>"9780773589650"</f>
        <v>9780773589650</v>
      </c>
      <c r="E4561" t="s">
        <v>12863</v>
      </c>
      <c r="F4561" t="s">
        <v>12863</v>
      </c>
      <c r="G4561" s="1">
        <v>41548</v>
      </c>
      <c r="I4561" t="s">
        <v>12886</v>
      </c>
      <c r="J4561" t="s">
        <v>23339</v>
      </c>
      <c r="K4561" t="s">
        <v>1892</v>
      </c>
      <c r="L4561" t="s">
        <v>23340</v>
      </c>
      <c r="M4561">
        <v>299.94</v>
      </c>
      <c r="N4561" t="s">
        <v>23341</v>
      </c>
      <c r="O4561" t="s">
        <v>26</v>
      </c>
      <c r="P4561">
        <v>150</v>
      </c>
      <c r="Q4561">
        <v>125</v>
      </c>
      <c r="R4561">
        <v>100</v>
      </c>
      <c r="S4561">
        <v>150</v>
      </c>
      <c r="T4561" t="s">
        <v>23342</v>
      </c>
    </row>
    <row r="4562" spans="1:20">
      <c r="A4562">
        <v>3332637</v>
      </c>
      <c r="B4562" t="s">
        <v>23343</v>
      </c>
      <c r="C4562" t="str">
        <f>"9780773541795"</f>
        <v>9780773541795</v>
      </c>
      <c r="D4562" t="str">
        <f>"9780773589339"</f>
        <v>9780773589339</v>
      </c>
      <c r="E4562" t="s">
        <v>12863</v>
      </c>
      <c r="F4562" t="s">
        <v>12863</v>
      </c>
      <c r="G4562" s="1">
        <v>41548</v>
      </c>
      <c r="J4562" t="s">
        <v>23344</v>
      </c>
      <c r="K4562" t="s">
        <v>30</v>
      </c>
      <c r="L4562" t="s">
        <v>23345</v>
      </c>
      <c r="M4562">
        <v>553.70000000000005</v>
      </c>
      <c r="N4562" t="s">
        <v>23346</v>
      </c>
      <c r="O4562" t="s">
        <v>26</v>
      </c>
      <c r="P4562">
        <v>150</v>
      </c>
      <c r="Q4562">
        <v>125</v>
      </c>
      <c r="R4562">
        <v>100</v>
      </c>
      <c r="S4562">
        <v>150</v>
      </c>
      <c r="T4562" t="s">
        <v>23347</v>
      </c>
    </row>
    <row r="4563" spans="1:20">
      <c r="A4563">
        <v>3332638</v>
      </c>
      <c r="B4563" t="s">
        <v>23348</v>
      </c>
      <c r="C4563" t="str">
        <f>"9780773541900"</f>
        <v>9780773541900</v>
      </c>
      <c r="D4563" t="str">
        <f>"9780773589773"</f>
        <v>9780773589773</v>
      </c>
      <c r="E4563" t="s">
        <v>12863</v>
      </c>
      <c r="F4563" t="s">
        <v>12863</v>
      </c>
      <c r="G4563" s="1">
        <v>41579</v>
      </c>
      <c r="I4563" t="s">
        <v>12942</v>
      </c>
      <c r="J4563" t="s">
        <v>23349</v>
      </c>
      <c r="K4563" t="s">
        <v>291</v>
      </c>
      <c r="L4563" t="s">
        <v>23350</v>
      </c>
      <c r="M4563">
        <v>993.00491629999999</v>
      </c>
      <c r="N4563" t="s">
        <v>23351</v>
      </c>
      <c r="O4563" t="s">
        <v>26</v>
      </c>
      <c r="P4563">
        <v>150</v>
      </c>
      <c r="Q4563">
        <v>125</v>
      </c>
      <c r="R4563">
        <v>100</v>
      </c>
      <c r="S4563">
        <v>150</v>
      </c>
      <c r="T4563" t="s">
        <v>23352</v>
      </c>
    </row>
    <row r="4564" spans="1:20">
      <c r="A4564">
        <v>3332639</v>
      </c>
      <c r="B4564" t="s">
        <v>23353</v>
      </c>
      <c r="C4564" t="str">
        <f>"9780773541979"</f>
        <v>9780773541979</v>
      </c>
      <c r="D4564" t="str">
        <f>"9780773589513"</f>
        <v>9780773589513</v>
      </c>
      <c r="E4564" t="s">
        <v>12863</v>
      </c>
      <c r="F4564" t="s">
        <v>12863</v>
      </c>
      <c r="G4564" s="1">
        <v>41518</v>
      </c>
      <c r="J4564" t="s">
        <v>23354</v>
      </c>
      <c r="K4564" t="s">
        <v>1892</v>
      </c>
      <c r="L4564" t="s">
        <v>23355</v>
      </c>
      <c r="M4564">
        <v>230.0440973</v>
      </c>
      <c r="N4564" t="s">
        <v>23356</v>
      </c>
      <c r="O4564" t="s">
        <v>26</v>
      </c>
      <c r="P4564">
        <v>150</v>
      </c>
      <c r="Q4564">
        <v>125</v>
      </c>
      <c r="R4564">
        <v>100</v>
      </c>
      <c r="S4564">
        <v>150</v>
      </c>
      <c r="T4564" t="s">
        <v>23357</v>
      </c>
    </row>
    <row r="4565" spans="1:20">
      <c r="A4565">
        <v>3332640</v>
      </c>
      <c r="B4565" t="s">
        <v>23358</v>
      </c>
      <c r="C4565" t="str">
        <f>"9780773542631"</f>
        <v>9780773542631</v>
      </c>
      <c r="D4565" t="str">
        <f>"9780773589674"</f>
        <v>9780773589674</v>
      </c>
      <c r="E4565" t="s">
        <v>12863</v>
      </c>
      <c r="F4565" t="s">
        <v>12863</v>
      </c>
      <c r="G4565" s="1">
        <v>41579</v>
      </c>
      <c r="J4565" t="s">
        <v>23359</v>
      </c>
      <c r="K4565" t="s">
        <v>1464</v>
      </c>
      <c r="L4565" t="s">
        <v>23360</v>
      </c>
      <c r="M4565">
        <v>813.54</v>
      </c>
      <c r="N4565" t="s">
        <v>23361</v>
      </c>
      <c r="O4565" t="s">
        <v>26</v>
      </c>
      <c r="P4565">
        <v>150</v>
      </c>
      <c r="Q4565">
        <v>125</v>
      </c>
      <c r="R4565">
        <v>100</v>
      </c>
      <c r="S4565">
        <v>150</v>
      </c>
      <c r="T4565" t="s">
        <v>23362</v>
      </c>
    </row>
    <row r="4566" spans="1:20">
      <c r="A4566">
        <v>3332641</v>
      </c>
      <c r="B4566" t="s">
        <v>23363</v>
      </c>
      <c r="C4566" t="str">
        <f>"9780773542938"</f>
        <v>9780773542938</v>
      </c>
      <c r="D4566" t="str">
        <f>"9780773590151"</f>
        <v>9780773590151</v>
      </c>
      <c r="E4566" t="s">
        <v>12863</v>
      </c>
      <c r="F4566" t="s">
        <v>12863</v>
      </c>
      <c r="G4566" s="1">
        <v>41579</v>
      </c>
      <c r="J4566" t="s">
        <v>23364</v>
      </c>
      <c r="K4566" t="s">
        <v>1214</v>
      </c>
      <c r="L4566" t="s">
        <v>23365</v>
      </c>
      <c r="M4566">
        <v>341.23</v>
      </c>
      <c r="N4566" t="s">
        <v>23366</v>
      </c>
      <c r="O4566" t="s">
        <v>26</v>
      </c>
      <c r="P4566">
        <v>150</v>
      </c>
      <c r="Q4566">
        <v>125</v>
      </c>
      <c r="R4566">
        <v>100</v>
      </c>
      <c r="S4566">
        <v>150</v>
      </c>
      <c r="T4566" t="s">
        <v>23367</v>
      </c>
    </row>
    <row r="4567" spans="1:20">
      <c r="A4567">
        <v>3332642</v>
      </c>
      <c r="B4567" t="s">
        <v>23368</v>
      </c>
      <c r="C4567" t="str">
        <f>"9780773541771"</f>
        <v>9780773541771</v>
      </c>
      <c r="D4567" t="str">
        <f>"9780773589810"</f>
        <v>9780773589810</v>
      </c>
      <c r="E4567" t="s">
        <v>12863</v>
      </c>
      <c r="F4567" t="s">
        <v>12863</v>
      </c>
      <c r="G4567" s="1">
        <v>41548</v>
      </c>
      <c r="I4567" t="s">
        <v>23369</v>
      </c>
      <c r="J4567" t="s">
        <v>23370</v>
      </c>
      <c r="K4567" t="s">
        <v>3176</v>
      </c>
      <c r="L4567" t="s">
        <v>23371</v>
      </c>
      <c r="M4567" t="s">
        <v>23372</v>
      </c>
      <c r="N4567" t="s">
        <v>23373</v>
      </c>
      <c r="O4567" t="s">
        <v>26</v>
      </c>
      <c r="P4567">
        <v>150</v>
      </c>
      <c r="Q4567">
        <v>125</v>
      </c>
      <c r="R4567">
        <v>100</v>
      </c>
      <c r="S4567">
        <v>150</v>
      </c>
      <c r="T4567" t="s">
        <v>23374</v>
      </c>
    </row>
    <row r="4568" spans="1:20">
      <c r="A4568">
        <v>3332643</v>
      </c>
      <c r="B4568" t="s">
        <v>23375</v>
      </c>
      <c r="C4568" t="str">
        <f>"9780773542792"</f>
        <v>9780773542792</v>
      </c>
      <c r="D4568" t="str">
        <f>"9780773590212"</f>
        <v>9780773590212</v>
      </c>
      <c r="E4568" t="s">
        <v>12863</v>
      </c>
      <c r="F4568" t="s">
        <v>12863</v>
      </c>
      <c r="G4568" s="1">
        <v>41579</v>
      </c>
      <c r="J4568" t="s">
        <v>23376</v>
      </c>
      <c r="K4568" t="s">
        <v>6457</v>
      </c>
      <c r="L4568" t="s">
        <v>23377</v>
      </c>
      <c r="M4568" t="s">
        <v>23378</v>
      </c>
      <c r="N4568" t="s">
        <v>23379</v>
      </c>
      <c r="O4568" t="s">
        <v>26</v>
      </c>
      <c r="P4568">
        <v>150</v>
      </c>
      <c r="Q4568">
        <v>125</v>
      </c>
      <c r="R4568">
        <v>100</v>
      </c>
      <c r="S4568">
        <v>150</v>
      </c>
      <c r="T4568" t="s">
        <v>23380</v>
      </c>
    </row>
    <row r="4569" spans="1:20">
      <c r="A4569">
        <v>3332644</v>
      </c>
      <c r="B4569" t="s">
        <v>23381</v>
      </c>
      <c r="C4569" t="str">
        <f>"9780773541955"</f>
        <v>9780773541955</v>
      </c>
      <c r="D4569" t="str">
        <f>"9780773589858"</f>
        <v>9780773589858</v>
      </c>
      <c r="E4569" t="s">
        <v>12863</v>
      </c>
      <c r="F4569" t="s">
        <v>12863</v>
      </c>
      <c r="G4569" s="1">
        <v>41518</v>
      </c>
      <c r="J4569" t="s">
        <v>23382</v>
      </c>
      <c r="K4569" t="s">
        <v>4081</v>
      </c>
      <c r="L4569" t="s">
        <v>23383</v>
      </c>
      <c r="M4569" t="s">
        <v>23384</v>
      </c>
      <c r="N4569" t="s">
        <v>23385</v>
      </c>
      <c r="O4569" t="s">
        <v>26</v>
      </c>
      <c r="P4569">
        <v>150</v>
      </c>
      <c r="Q4569">
        <v>125</v>
      </c>
      <c r="R4569">
        <v>100</v>
      </c>
      <c r="S4569">
        <v>150</v>
      </c>
      <c r="T4569" t="s">
        <v>23386</v>
      </c>
    </row>
    <row r="4570" spans="1:20">
      <c r="A4570">
        <v>3332645</v>
      </c>
      <c r="B4570" t="s">
        <v>23387</v>
      </c>
      <c r="C4570" t="str">
        <f>"9780773541849"</f>
        <v>9780773541849</v>
      </c>
      <c r="D4570" t="str">
        <f>"9780773589896"</f>
        <v>9780773589896</v>
      </c>
      <c r="E4570" t="s">
        <v>12863</v>
      </c>
      <c r="F4570" t="s">
        <v>12863</v>
      </c>
      <c r="G4570" s="1">
        <v>41571</v>
      </c>
      <c r="I4570" t="s">
        <v>23388</v>
      </c>
      <c r="J4570" t="s">
        <v>23389</v>
      </c>
      <c r="K4570" t="s">
        <v>291</v>
      </c>
      <c r="L4570" t="s">
        <v>23390</v>
      </c>
      <c r="M4570" t="s">
        <v>23391</v>
      </c>
      <c r="N4570" t="s">
        <v>23392</v>
      </c>
      <c r="O4570" t="s">
        <v>26</v>
      </c>
      <c r="P4570">
        <v>150</v>
      </c>
      <c r="Q4570">
        <v>125</v>
      </c>
      <c r="R4570">
        <v>100</v>
      </c>
      <c r="S4570">
        <v>150</v>
      </c>
      <c r="T4570" t="s">
        <v>23393</v>
      </c>
    </row>
    <row r="4571" spans="1:20">
      <c r="A4571">
        <v>3332646</v>
      </c>
      <c r="B4571" t="s">
        <v>23394</v>
      </c>
      <c r="C4571" t="str">
        <f>"9780773541986"</f>
        <v>9780773541986</v>
      </c>
      <c r="D4571" t="str">
        <f>"9780773589315"</f>
        <v>9780773589315</v>
      </c>
      <c r="E4571" t="s">
        <v>12863</v>
      </c>
      <c r="F4571" t="s">
        <v>12863</v>
      </c>
      <c r="G4571" s="1">
        <v>41518</v>
      </c>
      <c r="J4571" t="s">
        <v>23395</v>
      </c>
      <c r="K4571" t="s">
        <v>1471</v>
      </c>
      <c r="L4571" t="s">
        <v>23396</v>
      </c>
      <c r="M4571">
        <v>769.92</v>
      </c>
      <c r="N4571" t="s">
        <v>23397</v>
      </c>
      <c r="O4571" t="s">
        <v>26</v>
      </c>
      <c r="P4571">
        <v>90</v>
      </c>
      <c r="Q4571">
        <v>75</v>
      </c>
      <c r="R4571">
        <v>60</v>
      </c>
      <c r="S4571">
        <v>90</v>
      </c>
      <c r="T4571" t="s">
        <v>23398</v>
      </c>
    </row>
    <row r="4572" spans="1:20">
      <c r="A4572">
        <v>3332647</v>
      </c>
      <c r="B4572" t="s">
        <v>23399</v>
      </c>
      <c r="C4572" t="str">
        <f>"9780773542020"</f>
        <v>9780773542020</v>
      </c>
      <c r="D4572" t="str">
        <f>"9780773589117"</f>
        <v>9780773589117</v>
      </c>
      <c r="E4572" t="s">
        <v>12863</v>
      </c>
      <c r="F4572" t="s">
        <v>12863</v>
      </c>
      <c r="G4572" s="1">
        <v>41579</v>
      </c>
      <c r="J4572" t="s">
        <v>23400</v>
      </c>
      <c r="K4572" t="s">
        <v>278</v>
      </c>
      <c r="L4572" t="s">
        <v>23401</v>
      </c>
      <c r="M4572">
        <v>330.09199999999998</v>
      </c>
      <c r="N4572" t="s">
        <v>23402</v>
      </c>
      <c r="O4572" t="s">
        <v>26</v>
      </c>
      <c r="P4572">
        <v>150</v>
      </c>
      <c r="Q4572">
        <v>125</v>
      </c>
      <c r="R4572">
        <v>100</v>
      </c>
      <c r="S4572">
        <v>150</v>
      </c>
      <c r="T4572" t="s">
        <v>23403</v>
      </c>
    </row>
    <row r="4573" spans="1:20">
      <c r="A4573">
        <v>3332648</v>
      </c>
      <c r="B4573" t="s">
        <v>23404</v>
      </c>
      <c r="C4573" t="str">
        <f>"9780773542075"</f>
        <v>9780773542075</v>
      </c>
      <c r="D4573" t="str">
        <f>"9780773589193"</f>
        <v>9780773589193</v>
      </c>
      <c r="E4573" t="s">
        <v>12863</v>
      </c>
      <c r="F4573" t="s">
        <v>12863</v>
      </c>
      <c r="G4573" s="1">
        <v>41548</v>
      </c>
      <c r="I4573" t="s">
        <v>23388</v>
      </c>
      <c r="J4573" t="s">
        <v>23405</v>
      </c>
      <c r="K4573" t="s">
        <v>291</v>
      </c>
      <c r="L4573" t="s">
        <v>23406</v>
      </c>
      <c r="M4573" t="s">
        <v>23407</v>
      </c>
      <c r="N4573" t="s">
        <v>23408</v>
      </c>
      <c r="O4573" t="s">
        <v>26</v>
      </c>
      <c r="P4573">
        <v>150</v>
      </c>
      <c r="Q4573">
        <v>125</v>
      </c>
      <c r="R4573">
        <v>100</v>
      </c>
      <c r="S4573">
        <v>150</v>
      </c>
      <c r="T4573" t="s">
        <v>23409</v>
      </c>
    </row>
    <row r="4574" spans="1:20">
      <c r="A4574">
        <v>3332649</v>
      </c>
      <c r="B4574" t="s">
        <v>23410</v>
      </c>
      <c r="C4574" t="str">
        <f>"9780773542679"</f>
        <v>9780773542679</v>
      </c>
      <c r="D4574" t="str">
        <f>"9780773589711"</f>
        <v>9780773589711</v>
      </c>
      <c r="E4574" t="s">
        <v>12863</v>
      </c>
      <c r="F4574" t="s">
        <v>12863</v>
      </c>
      <c r="G4574" s="1">
        <v>41518</v>
      </c>
      <c r="J4574" t="s">
        <v>20397</v>
      </c>
      <c r="K4574" t="s">
        <v>1464</v>
      </c>
      <c r="L4574" t="s">
        <v>23411</v>
      </c>
      <c r="M4574" t="s">
        <v>1460</v>
      </c>
      <c r="N4574" t="s">
        <v>7811</v>
      </c>
      <c r="O4574" t="s">
        <v>26</v>
      </c>
      <c r="P4574">
        <v>34.43</v>
      </c>
      <c r="Q4574">
        <v>28.69</v>
      </c>
      <c r="R4574">
        <v>22.95</v>
      </c>
      <c r="S4574">
        <v>34.43</v>
      </c>
      <c r="T4574" t="s">
        <v>23412</v>
      </c>
    </row>
    <row r="4575" spans="1:20">
      <c r="A4575">
        <v>3332650</v>
      </c>
      <c r="B4575" t="s">
        <v>23413</v>
      </c>
      <c r="C4575" t="str">
        <f>"9780773541993"</f>
        <v>9780773541993</v>
      </c>
      <c r="D4575" t="str">
        <f>"9780773589070"</f>
        <v>9780773589070</v>
      </c>
      <c r="E4575" t="s">
        <v>12863</v>
      </c>
      <c r="F4575" t="s">
        <v>12863</v>
      </c>
      <c r="G4575" s="1">
        <v>41579</v>
      </c>
      <c r="J4575" t="s">
        <v>23414</v>
      </c>
      <c r="K4575" t="s">
        <v>263</v>
      </c>
      <c r="L4575" t="s">
        <v>23415</v>
      </c>
      <c r="M4575" t="s">
        <v>23416</v>
      </c>
      <c r="N4575" t="s">
        <v>23417</v>
      </c>
      <c r="O4575" t="s">
        <v>26</v>
      </c>
      <c r="P4575">
        <v>150</v>
      </c>
      <c r="Q4575">
        <v>125</v>
      </c>
      <c r="R4575">
        <v>100</v>
      </c>
      <c r="S4575">
        <v>150</v>
      </c>
      <c r="T4575" t="s">
        <v>23418</v>
      </c>
    </row>
    <row r="4576" spans="1:20">
      <c r="A4576">
        <v>3332651</v>
      </c>
      <c r="B4576" t="s">
        <v>23419</v>
      </c>
      <c r="C4576" t="str">
        <f>"9780773542594"</f>
        <v>9780773542594</v>
      </c>
      <c r="D4576" t="str">
        <f>"9780773589551"</f>
        <v>9780773589551</v>
      </c>
      <c r="E4576" t="s">
        <v>12863</v>
      </c>
      <c r="F4576" t="s">
        <v>12863</v>
      </c>
      <c r="G4576" s="1">
        <v>41579</v>
      </c>
      <c r="J4576" t="s">
        <v>23420</v>
      </c>
      <c r="K4576" t="s">
        <v>278</v>
      </c>
      <c r="L4576" t="s">
        <v>23421</v>
      </c>
      <c r="M4576">
        <v>338.476632</v>
      </c>
      <c r="N4576" t="s">
        <v>23422</v>
      </c>
      <c r="O4576" t="s">
        <v>26</v>
      </c>
      <c r="P4576">
        <v>150</v>
      </c>
      <c r="Q4576">
        <v>125</v>
      </c>
      <c r="R4576">
        <v>100</v>
      </c>
      <c r="S4576">
        <v>150</v>
      </c>
      <c r="T4576" t="s">
        <v>23423</v>
      </c>
    </row>
    <row r="4577" spans="1:20">
      <c r="A4577">
        <v>3332652</v>
      </c>
      <c r="B4577" t="s">
        <v>23424</v>
      </c>
      <c r="C4577" t="str">
        <f>"9780773542914"</f>
        <v>9780773542914</v>
      </c>
      <c r="D4577" t="str">
        <f>"9780773590090"</f>
        <v>9780773590090</v>
      </c>
      <c r="E4577" t="s">
        <v>12863</v>
      </c>
      <c r="F4577" t="s">
        <v>12863</v>
      </c>
      <c r="G4577" s="1">
        <v>41579</v>
      </c>
      <c r="J4577" t="s">
        <v>23425</v>
      </c>
      <c r="K4577" t="s">
        <v>525</v>
      </c>
      <c r="L4577" t="s">
        <v>23426</v>
      </c>
      <c r="M4577" t="s">
        <v>23427</v>
      </c>
      <c r="N4577" t="s">
        <v>23428</v>
      </c>
      <c r="O4577" t="s">
        <v>26</v>
      </c>
      <c r="P4577">
        <v>150</v>
      </c>
      <c r="Q4577">
        <v>125</v>
      </c>
      <c r="R4577">
        <v>100</v>
      </c>
      <c r="S4577">
        <v>150</v>
      </c>
      <c r="T4577" t="s">
        <v>23429</v>
      </c>
    </row>
    <row r="4578" spans="1:20">
      <c r="A4578">
        <v>3332653</v>
      </c>
      <c r="B4578" t="s">
        <v>23430</v>
      </c>
      <c r="C4578" t="str">
        <f>"9780773542853"</f>
        <v>9780773542853</v>
      </c>
      <c r="D4578" t="str">
        <f>"9780773589575"</f>
        <v>9780773589575</v>
      </c>
      <c r="E4578" t="s">
        <v>12863</v>
      </c>
      <c r="F4578" t="s">
        <v>12863</v>
      </c>
      <c r="G4578" s="1">
        <v>41548</v>
      </c>
      <c r="J4578" t="s">
        <v>23431</v>
      </c>
      <c r="K4578" t="s">
        <v>1082</v>
      </c>
      <c r="L4578" t="s">
        <v>23432</v>
      </c>
      <c r="M4578" t="s">
        <v>23433</v>
      </c>
      <c r="N4578" t="s">
        <v>23434</v>
      </c>
      <c r="O4578" t="s">
        <v>26</v>
      </c>
      <c r="P4578">
        <v>127.5</v>
      </c>
      <c r="Q4578">
        <v>106.25</v>
      </c>
      <c r="R4578">
        <v>85</v>
      </c>
      <c r="S4578">
        <v>127.5</v>
      </c>
      <c r="T4578" t="s">
        <v>23435</v>
      </c>
    </row>
    <row r="4579" spans="1:20">
      <c r="A4579">
        <v>3332654</v>
      </c>
      <c r="B4579" t="s">
        <v>23436</v>
      </c>
      <c r="C4579" t="str">
        <f>"9780773542983"</f>
        <v>9780773542983</v>
      </c>
      <c r="D4579" t="str">
        <f>"9780773590199"</f>
        <v>9780773590199</v>
      </c>
      <c r="E4579" t="s">
        <v>12863</v>
      </c>
      <c r="F4579" t="s">
        <v>12863</v>
      </c>
      <c r="G4579" s="1">
        <v>41548</v>
      </c>
      <c r="J4579" t="s">
        <v>19006</v>
      </c>
      <c r="K4579" t="s">
        <v>22702</v>
      </c>
      <c r="L4579" t="s">
        <v>23437</v>
      </c>
      <c r="M4579">
        <v>82</v>
      </c>
      <c r="N4579" t="s">
        <v>23438</v>
      </c>
      <c r="O4579" t="s">
        <v>26</v>
      </c>
      <c r="P4579">
        <v>150</v>
      </c>
      <c r="Q4579">
        <v>125</v>
      </c>
      <c r="R4579">
        <v>100</v>
      </c>
      <c r="S4579">
        <v>150</v>
      </c>
      <c r="T4579" t="s">
        <v>23439</v>
      </c>
    </row>
    <row r="4580" spans="1:20">
      <c r="A4580">
        <v>3332655</v>
      </c>
      <c r="B4580" t="s">
        <v>23440</v>
      </c>
      <c r="C4580" t="str">
        <f>"9780773542686"</f>
        <v>9780773542686</v>
      </c>
      <c r="D4580" t="str">
        <f>"9780773589834"</f>
        <v>9780773589834</v>
      </c>
      <c r="E4580" t="s">
        <v>12863</v>
      </c>
      <c r="F4580" t="s">
        <v>12863</v>
      </c>
      <c r="G4580" s="1">
        <v>41579</v>
      </c>
      <c r="I4580" t="s">
        <v>12963</v>
      </c>
      <c r="J4580" t="s">
        <v>23441</v>
      </c>
      <c r="K4580" t="s">
        <v>1859</v>
      </c>
      <c r="L4580" t="s">
        <v>23442</v>
      </c>
      <c r="M4580" t="s">
        <v>23443</v>
      </c>
      <c r="N4580" t="s">
        <v>23444</v>
      </c>
      <c r="O4580" t="s">
        <v>26</v>
      </c>
      <c r="P4580">
        <v>150</v>
      </c>
      <c r="Q4580">
        <v>125</v>
      </c>
      <c r="R4580">
        <v>100</v>
      </c>
      <c r="S4580">
        <v>150</v>
      </c>
      <c r="T4580" t="s">
        <v>23445</v>
      </c>
    </row>
    <row r="4581" spans="1:20">
      <c r="A4581">
        <v>3332656</v>
      </c>
      <c r="B4581" t="s">
        <v>23446</v>
      </c>
      <c r="C4581" t="str">
        <f>"9780773542136"</f>
        <v>9780773542136</v>
      </c>
      <c r="D4581" t="str">
        <f>"9780773589278"</f>
        <v>9780773589278</v>
      </c>
      <c r="E4581" t="s">
        <v>12863</v>
      </c>
      <c r="F4581" t="s">
        <v>12863</v>
      </c>
      <c r="G4581" s="1">
        <v>41579</v>
      </c>
      <c r="J4581" t="s">
        <v>23447</v>
      </c>
      <c r="K4581" t="s">
        <v>263</v>
      </c>
      <c r="L4581" t="s">
        <v>23448</v>
      </c>
      <c r="M4581" t="s">
        <v>23449</v>
      </c>
      <c r="N4581" t="s">
        <v>23450</v>
      </c>
      <c r="O4581" t="s">
        <v>26</v>
      </c>
      <c r="P4581">
        <v>150</v>
      </c>
      <c r="Q4581">
        <v>125</v>
      </c>
      <c r="R4581">
        <v>100</v>
      </c>
      <c r="S4581">
        <v>150</v>
      </c>
      <c r="T4581" t="s">
        <v>23451</v>
      </c>
    </row>
    <row r="4582" spans="1:20">
      <c r="A4582">
        <v>3332657</v>
      </c>
      <c r="B4582" t="s">
        <v>23452</v>
      </c>
      <c r="C4582" t="str">
        <f>"9780773542617"</f>
        <v>9780773542617</v>
      </c>
      <c r="D4582" t="str">
        <f>"9780773589612"</f>
        <v>9780773589612</v>
      </c>
      <c r="E4582" t="s">
        <v>12863</v>
      </c>
      <c r="F4582" t="s">
        <v>12863</v>
      </c>
      <c r="G4582" s="1">
        <v>41579</v>
      </c>
      <c r="J4582" t="s">
        <v>23453</v>
      </c>
      <c r="K4582" t="s">
        <v>467</v>
      </c>
      <c r="L4582" t="s">
        <v>23454</v>
      </c>
      <c r="M4582">
        <v>323.09199999999998</v>
      </c>
      <c r="N4582" t="s">
        <v>23455</v>
      </c>
      <c r="O4582" t="s">
        <v>26</v>
      </c>
      <c r="P4582">
        <v>74.930000000000007</v>
      </c>
      <c r="Q4582">
        <v>62.44</v>
      </c>
      <c r="R4582">
        <v>49.95</v>
      </c>
      <c r="S4582">
        <v>74.930000000000007</v>
      </c>
      <c r="T4582" t="s">
        <v>23456</v>
      </c>
    </row>
    <row r="4583" spans="1:20">
      <c r="A4583">
        <v>3332658</v>
      </c>
      <c r="B4583" t="s">
        <v>23457</v>
      </c>
      <c r="C4583" t="str">
        <f>"9780773542051"</f>
        <v>9780773542051</v>
      </c>
      <c r="D4583" t="str">
        <f>"9780773589179"</f>
        <v>9780773589179</v>
      </c>
      <c r="E4583" t="s">
        <v>12863</v>
      </c>
      <c r="F4583" t="s">
        <v>12863</v>
      </c>
      <c r="G4583" s="1">
        <v>41579</v>
      </c>
      <c r="J4583" t="s">
        <v>19576</v>
      </c>
      <c r="K4583" t="s">
        <v>4081</v>
      </c>
      <c r="L4583" t="s">
        <v>23458</v>
      </c>
      <c r="M4583">
        <v>401.43</v>
      </c>
      <c r="N4583" t="s">
        <v>23459</v>
      </c>
      <c r="O4583" t="s">
        <v>26</v>
      </c>
      <c r="P4583">
        <v>150</v>
      </c>
      <c r="Q4583">
        <v>125</v>
      </c>
      <c r="R4583">
        <v>100</v>
      </c>
      <c r="S4583">
        <v>150</v>
      </c>
      <c r="T4583" t="s">
        <v>23460</v>
      </c>
    </row>
    <row r="4584" spans="1:20">
      <c r="A4584">
        <v>3332659</v>
      </c>
      <c r="B4584" t="s">
        <v>23461</v>
      </c>
      <c r="C4584" t="str">
        <f>"9780773542877"</f>
        <v>9780773542877</v>
      </c>
      <c r="D4584" t="str">
        <f>"9780773590038"</f>
        <v>9780773590038</v>
      </c>
      <c r="E4584" t="s">
        <v>12863</v>
      </c>
      <c r="F4584" t="s">
        <v>12863</v>
      </c>
      <c r="G4584" s="1">
        <v>41579</v>
      </c>
      <c r="J4584" t="s">
        <v>23462</v>
      </c>
      <c r="K4584" t="s">
        <v>257</v>
      </c>
      <c r="L4584" t="s">
        <v>23463</v>
      </c>
      <c r="M4584">
        <v>370.97124000000002</v>
      </c>
      <c r="N4584" t="s">
        <v>23464</v>
      </c>
      <c r="O4584" t="s">
        <v>26</v>
      </c>
      <c r="P4584">
        <v>150</v>
      </c>
      <c r="Q4584">
        <v>125</v>
      </c>
      <c r="R4584">
        <v>100</v>
      </c>
      <c r="S4584">
        <v>150</v>
      </c>
      <c r="T4584" t="s">
        <v>23465</v>
      </c>
    </row>
    <row r="4585" spans="1:20">
      <c r="A4585">
        <v>3332660</v>
      </c>
      <c r="B4585" t="s">
        <v>23466</v>
      </c>
      <c r="C4585" t="str">
        <f>"9780773542716"</f>
        <v>9780773542716</v>
      </c>
      <c r="D4585" t="str">
        <f>"9780773589995"</f>
        <v>9780773589995</v>
      </c>
      <c r="E4585" t="s">
        <v>12863</v>
      </c>
      <c r="F4585" t="s">
        <v>12863</v>
      </c>
      <c r="G4585" s="1">
        <v>41518</v>
      </c>
      <c r="I4585" t="s">
        <v>22086</v>
      </c>
      <c r="J4585" t="s">
        <v>22143</v>
      </c>
      <c r="K4585" t="s">
        <v>416</v>
      </c>
      <c r="L4585" t="s">
        <v>23467</v>
      </c>
      <c r="M4585">
        <v>336.34097100000002</v>
      </c>
      <c r="N4585" t="s">
        <v>22145</v>
      </c>
      <c r="O4585" t="s">
        <v>26</v>
      </c>
      <c r="P4585">
        <v>150</v>
      </c>
      <c r="Q4585">
        <v>125</v>
      </c>
      <c r="R4585">
        <v>100</v>
      </c>
      <c r="S4585">
        <v>150</v>
      </c>
      <c r="T4585" t="s">
        <v>23468</v>
      </c>
    </row>
    <row r="4586" spans="1:20">
      <c r="A4586">
        <v>3332661</v>
      </c>
      <c r="B4586" t="s">
        <v>23469</v>
      </c>
      <c r="C4586" t="str">
        <f>"9780773543799"</f>
        <v>9780773543799</v>
      </c>
      <c r="D4586" t="str">
        <f>"9780773591868"</f>
        <v>9780773591868</v>
      </c>
      <c r="E4586" t="s">
        <v>12863</v>
      </c>
      <c r="F4586" t="s">
        <v>12863</v>
      </c>
      <c r="G4586" s="1">
        <v>41613</v>
      </c>
      <c r="J4586" t="s">
        <v>23470</v>
      </c>
      <c r="K4586" t="s">
        <v>416</v>
      </c>
      <c r="L4586" t="s">
        <v>23471</v>
      </c>
      <c r="M4586">
        <v>330.12</v>
      </c>
      <c r="N4586" t="s">
        <v>23472</v>
      </c>
      <c r="O4586" t="s">
        <v>26</v>
      </c>
      <c r="P4586">
        <v>74.930000000000007</v>
      </c>
      <c r="Q4586">
        <v>62.44</v>
      </c>
      <c r="R4586">
        <v>49.95</v>
      </c>
      <c r="S4586">
        <v>74.930000000000007</v>
      </c>
      <c r="T4586" t="s">
        <v>23473</v>
      </c>
    </row>
    <row r="4587" spans="1:20">
      <c r="A4587">
        <v>3332662</v>
      </c>
      <c r="B4587" t="s">
        <v>23474</v>
      </c>
      <c r="C4587" t="str">
        <f>"9780773543218"</f>
        <v>9780773543218</v>
      </c>
      <c r="D4587" t="str">
        <f>"9780773590236"</f>
        <v>9780773590236</v>
      </c>
      <c r="E4587" t="s">
        <v>12863</v>
      </c>
      <c r="F4587" t="s">
        <v>12863</v>
      </c>
      <c r="G4587" s="1">
        <v>41616</v>
      </c>
      <c r="I4587" t="s">
        <v>9578</v>
      </c>
      <c r="J4587" t="s">
        <v>17039</v>
      </c>
      <c r="K4587" t="s">
        <v>4433</v>
      </c>
      <c r="L4587" t="s">
        <v>23475</v>
      </c>
      <c r="M4587">
        <v>351</v>
      </c>
      <c r="N4587" t="s">
        <v>23476</v>
      </c>
      <c r="O4587" t="s">
        <v>26</v>
      </c>
      <c r="P4587">
        <v>150</v>
      </c>
      <c r="Q4587">
        <v>125</v>
      </c>
      <c r="R4587">
        <v>100</v>
      </c>
      <c r="S4587">
        <v>150</v>
      </c>
      <c r="T4587" t="s">
        <v>23477</v>
      </c>
    </row>
    <row r="4588" spans="1:20">
      <c r="A4588">
        <v>3332663</v>
      </c>
      <c r="B4588" t="s">
        <v>23478</v>
      </c>
      <c r="C4588" t="str">
        <f>"9780773542532"</f>
        <v>9780773542532</v>
      </c>
      <c r="D4588" t="str">
        <f>"9780773589414"</f>
        <v>9780773589414</v>
      </c>
      <c r="E4588" t="s">
        <v>12863</v>
      </c>
      <c r="F4588" t="s">
        <v>12863</v>
      </c>
      <c r="G4588" s="1">
        <v>41609</v>
      </c>
      <c r="J4588" t="s">
        <v>23479</v>
      </c>
      <c r="K4588" t="s">
        <v>23480</v>
      </c>
      <c r="L4588" t="s">
        <v>23481</v>
      </c>
      <c r="M4588">
        <v>282</v>
      </c>
      <c r="N4588" t="s">
        <v>23482</v>
      </c>
      <c r="O4588" t="s">
        <v>26</v>
      </c>
      <c r="P4588">
        <v>150</v>
      </c>
      <c r="Q4588">
        <v>125</v>
      </c>
      <c r="R4588">
        <v>100</v>
      </c>
      <c r="S4588">
        <v>150</v>
      </c>
      <c r="T4588" t="s">
        <v>23483</v>
      </c>
    </row>
    <row r="4589" spans="1:20">
      <c r="A4589">
        <v>3332664</v>
      </c>
      <c r="B4589" t="s">
        <v>23484</v>
      </c>
      <c r="C4589" t="str">
        <f>"9780773523494"</f>
        <v>9780773523494</v>
      </c>
      <c r="D4589" t="str">
        <f>"9780773591851"</f>
        <v>9780773591851</v>
      </c>
      <c r="E4589" t="s">
        <v>12863</v>
      </c>
      <c r="F4589" t="s">
        <v>12863</v>
      </c>
      <c r="G4589" s="1">
        <v>41609</v>
      </c>
      <c r="I4589" t="s">
        <v>23485</v>
      </c>
      <c r="J4589" t="s">
        <v>6953</v>
      </c>
      <c r="K4589" t="s">
        <v>263</v>
      </c>
      <c r="L4589" t="s">
        <v>23486</v>
      </c>
      <c r="M4589" t="s">
        <v>23487</v>
      </c>
      <c r="N4589" t="s">
        <v>23488</v>
      </c>
      <c r="O4589" t="s">
        <v>26</v>
      </c>
      <c r="P4589">
        <v>150</v>
      </c>
      <c r="Q4589">
        <v>125</v>
      </c>
      <c r="R4589">
        <v>100</v>
      </c>
      <c r="S4589">
        <v>150</v>
      </c>
      <c r="T4589" t="s">
        <v>23489</v>
      </c>
    </row>
    <row r="4590" spans="1:20">
      <c r="A4590">
        <v>3332665</v>
      </c>
      <c r="B4590" t="s">
        <v>23490</v>
      </c>
      <c r="C4590" t="str">
        <f>"9780773542488"</f>
        <v>9780773542488</v>
      </c>
      <c r="D4590" t="str">
        <f>"9780773589292"</f>
        <v>9780773589292</v>
      </c>
      <c r="E4590" t="s">
        <v>12863</v>
      </c>
      <c r="F4590" t="s">
        <v>12863</v>
      </c>
      <c r="G4590" s="1">
        <v>41617</v>
      </c>
      <c r="I4590" t="s">
        <v>12886</v>
      </c>
      <c r="J4590" t="s">
        <v>15275</v>
      </c>
      <c r="K4590" t="s">
        <v>1892</v>
      </c>
      <c r="L4590" t="s">
        <v>23491</v>
      </c>
      <c r="M4590" t="s">
        <v>23492</v>
      </c>
      <c r="N4590" t="s">
        <v>23493</v>
      </c>
      <c r="O4590" t="s">
        <v>26</v>
      </c>
      <c r="P4590">
        <v>150</v>
      </c>
      <c r="Q4590">
        <v>125</v>
      </c>
      <c r="R4590">
        <v>100</v>
      </c>
      <c r="S4590">
        <v>150</v>
      </c>
      <c r="T4590" t="s">
        <v>23494</v>
      </c>
    </row>
    <row r="4591" spans="1:20">
      <c r="A4591">
        <v>3332667</v>
      </c>
      <c r="B4591" t="s">
        <v>23495</v>
      </c>
      <c r="C4591" t="str">
        <f>"9780773542709"</f>
        <v>9780773542709</v>
      </c>
      <c r="D4591" t="str">
        <f>"9780773589971"</f>
        <v>9780773589971</v>
      </c>
      <c r="E4591" t="s">
        <v>12863</v>
      </c>
      <c r="F4591" t="s">
        <v>12863</v>
      </c>
      <c r="G4591" s="1">
        <v>41609</v>
      </c>
      <c r="J4591" t="s">
        <v>23496</v>
      </c>
      <c r="K4591" t="s">
        <v>1859</v>
      </c>
      <c r="L4591" t="s">
        <v>23497</v>
      </c>
      <c r="M4591">
        <v>121</v>
      </c>
      <c r="N4591" t="s">
        <v>21539</v>
      </c>
      <c r="O4591" t="s">
        <v>26</v>
      </c>
      <c r="P4591">
        <v>150</v>
      </c>
      <c r="Q4591">
        <v>125</v>
      </c>
      <c r="R4591">
        <v>100</v>
      </c>
      <c r="S4591">
        <v>150</v>
      </c>
      <c r="T4591" t="s">
        <v>23498</v>
      </c>
    </row>
    <row r="4592" spans="1:20">
      <c r="A4592">
        <v>3332668</v>
      </c>
      <c r="B4592" t="s">
        <v>23499</v>
      </c>
      <c r="C4592" t="str">
        <f>"9780773542570"</f>
        <v>9780773542570</v>
      </c>
      <c r="D4592" t="str">
        <f>"9780773589490"</f>
        <v>9780773589490</v>
      </c>
      <c r="E4592" t="s">
        <v>12863</v>
      </c>
      <c r="F4592" t="s">
        <v>12863</v>
      </c>
      <c r="G4592" s="1">
        <v>41609</v>
      </c>
      <c r="J4592" t="s">
        <v>23500</v>
      </c>
      <c r="K4592" t="s">
        <v>467</v>
      </c>
      <c r="L4592" t="s">
        <v>23501</v>
      </c>
      <c r="M4592">
        <v>320.01100000000002</v>
      </c>
      <c r="N4592" t="s">
        <v>23502</v>
      </c>
      <c r="O4592" t="s">
        <v>26</v>
      </c>
      <c r="P4592">
        <v>150</v>
      </c>
      <c r="Q4592">
        <v>125</v>
      </c>
      <c r="R4592">
        <v>100</v>
      </c>
      <c r="S4592">
        <v>150</v>
      </c>
      <c r="T4592" t="s">
        <v>23503</v>
      </c>
    </row>
    <row r="4593" spans="1:20">
      <c r="A4593">
        <v>3332669</v>
      </c>
      <c r="B4593" t="s">
        <v>23504</v>
      </c>
      <c r="C4593" t="str">
        <f>"9780773542044"</f>
        <v>9780773542044</v>
      </c>
      <c r="D4593" t="str">
        <f>"9780773589131"</f>
        <v>9780773589131</v>
      </c>
      <c r="E4593" t="s">
        <v>12863</v>
      </c>
      <c r="F4593" t="s">
        <v>12863</v>
      </c>
      <c r="G4593" s="1">
        <v>41609</v>
      </c>
      <c r="I4593" t="s">
        <v>12886</v>
      </c>
      <c r="J4593" t="s">
        <v>23505</v>
      </c>
      <c r="K4593" t="s">
        <v>1892</v>
      </c>
      <c r="L4593" t="s">
        <v>23506</v>
      </c>
      <c r="M4593" t="s">
        <v>23507</v>
      </c>
      <c r="N4593" t="s">
        <v>23508</v>
      </c>
      <c r="O4593" t="s">
        <v>26</v>
      </c>
      <c r="P4593">
        <v>150</v>
      </c>
      <c r="Q4593">
        <v>125</v>
      </c>
      <c r="R4593">
        <v>100</v>
      </c>
      <c r="S4593">
        <v>150</v>
      </c>
      <c r="T4593" t="s">
        <v>23509</v>
      </c>
    </row>
    <row r="4594" spans="1:20">
      <c r="A4594">
        <v>3332670</v>
      </c>
      <c r="B4594" t="s">
        <v>23510</v>
      </c>
      <c r="C4594" t="str">
        <f>"9780773542655"</f>
        <v>9780773542655</v>
      </c>
      <c r="D4594" t="str">
        <f>"9780773589698"</f>
        <v>9780773589698</v>
      </c>
      <c r="E4594" t="s">
        <v>12863</v>
      </c>
      <c r="F4594" t="s">
        <v>12863</v>
      </c>
      <c r="G4594" s="1">
        <v>41609</v>
      </c>
      <c r="J4594" t="s">
        <v>23511</v>
      </c>
      <c r="K4594" t="s">
        <v>263</v>
      </c>
      <c r="L4594" t="s">
        <v>23512</v>
      </c>
      <c r="M4594">
        <v>301.096</v>
      </c>
      <c r="N4594" t="s">
        <v>23513</v>
      </c>
      <c r="O4594" t="s">
        <v>26</v>
      </c>
      <c r="P4594">
        <v>150</v>
      </c>
      <c r="Q4594">
        <v>125</v>
      </c>
      <c r="R4594">
        <v>100</v>
      </c>
      <c r="S4594">
        <v>150</v>
      </c>
      <c r="T4594" t="s">
        <v>23514</v>
      </c>
    </row>
    <row r="4595" spans="1:20">
      <c r="A4595">
        <v>3332671</v>
      </c>
      <c r="B4595" t="s">
        <v>23515</v>
      </c>
      <c r="C4595" t="str">
        <f>"9780773542723"</f>
        <v>9780773542723</v>
      </c>
      <c r="D4595" t="str">
        <f>"9780773590014"</f>
        <v>9780773590014</v>
      </c>
      <c r="E4595" t="s">
        <v>12863</v>
      </c>
      <c r="F4595" t="s">
        <v>12863</v>
      </c>
      <c r="G4595" s="1">
        <v>41579</v>
      </c>
      <c r="J4595" t="s">
        <v>14282</v>
      </c>
      <c r="K4595" t="s">
        <v>23516</v>
      </c>
      <c r="L4595" t="s">
        <v>23517</v>
      </c>
      <c r="M4595">
        <v>538</v>
      </c>
      <c r="N4595" t="s">
        <v>23518</v>
      </c>
      <c r="O4595" t="s">
        <v>26</v>
      </c>
      <c r="P4595">
        <v>150</v>
      </c>
      <c r="Q4595">
        <v>125</v>
      </c>
      <c r="R4595">
        <v>100</v>
      </c>
      <c r="S4595">
        <v>150</v>
      </c>
      <c r="T4595" t="s">
        <v>23519</v>
      </c>
    </row>
    <row r="4596" spans="1:20">
      <c r="A4596">
        <v>3332672</v>
      </c>
      <c r="B4596" t="s">
        <v>23520</v>
      </c>
      <c r="C4596" t="str">
        <f>"9780773542112"</f>
        <v>9780773542112</v>
      </c>
      <c r="D4596" t="str">
        <f>"9780773589230"</f>
        <v>9780773589230</v>
      </c>
      <c r="E4596" t="s">
        <v>12863</v>
      </c>
      <c r="F4596" t="s">
        <v>12863</v>
      </c>
      <c r="G4596" s="1">
        <v>41609</v>
      </c>
      <c r="J4596" t="s">
        <v>23521</v>
      </c>
      <c r="K4596" t="s">
        <v>3939</v>
      </c>
      <c r="L4596" t="s">
        <v>23522</v>
      </c>
      <c r="M4596">
        <v>410</v>
      </c>
      <c r="N4596" t="s">
        <v>23523</v>
      </c>
      <c r="O4596" t="s">
        <v>26</v>
      </c>
      <c r="P4596">
        <v>150</v>
      </c>
      <c r="Q4596">
        <v>125</v>
      </c>
      <c r="R4596">
        <v>100</v>
      </c>
      <c r="S4596">
        <v>150</v>
      </c>
      <c r="T4596" t="s">
        <v>23524</v>
      </c>
    </row>
    <row r="4597" spans="1:20">
      <c r="A4597">
        <v>3332673</v>
      </c>
      <c r="B4597" t="s">
        <v>23525</v>
      </c>
      <c r="C4597" t="str">
        <f>"9780773543317"</f>
        <v>9780773543317</v>
      </c>
      <c r="D4597" t="str">
        <f>"9780773590366"</f>
        <v>9780773590366</v>
      </c>
      <c r="E4597" t="s">
        <v>12863</v>
      </c>
      <c r="F4597" t="s">
        <v>12863</v>
      </c>
      <c r="G4597" s="1">
        <v>41659</v>
      </c>
      <c r="J4597" t="s">
        <v>19985</v>
      </c>
      <c r="K4597" t="s">
        <v>467</v>
      </c>
      <c r="L4597" t="s">
        <v>23526</v>
      </c>
      <c r="M4597">
        <v>324.70970999999997</v>
      </c>
      <c r="N4597" t="s">
        <v>23527</v>
      </c>
      <c r="O4597" t="s">
        <v>26</v>
      </c>
      <c r="P4597">
        <v>52.43</v>
      </c>
      <c r="Q4597">
        <v>43.69</v>
      </c>
      <c r="R4597">
        <v>34.950000000000003</v>
      </c>
      <c r="S4597">
        <v>52.43</v>
      </c>
      <c r="T4597" t="s">
        <v>23528</v>
      </c>
    </row>
    <row r="4598" spans="1:20">
      <c r="A4598">
        <v>3332674</v>
      </c>
      <c r="B4598" t="s">
        <v>23529</v>
      </c>
      <c r="C4598" t="str">
        <f>"9780773542129"</f>
        <v>9780773542129</v>
      </c>
      <c r="D4598" t="str">
        <f>"9780773589254"</f>
        <v>9780773589254</v>
      </c>
      <c r="E4598" t="s">
        <v>12863</v>
      </c>
      <c r="F4598" t="s">
        <v>12863</v>
      </c>
      <c r="G4598" s="1">
        <v>41609</v>
      </c>
      <c r="J4598" t="s">
        <v>23530</v>
      </c>
      <c r="K4598" t="s">
        <v>1464</v>
      </c>
      <c r="L4598" t="s">
        <v>23531</v>
      </c>
      <c r="M4598" t="s">
        <v>23532</v>
      </c>
      <c r="N4598" t="s">
        <v>23533</v>
      </c>
      <c r="O4598" t="s">
        <v>26</v>
      </c>
      <c r="P4598">
        <v>150</v>
      </c>
      <c r="Q4598">
        <v>125</v>
      </c>
      <c r="R4598">
        <v>100</v>
      </c>
      <c r="S4598">
        <v>150</v>
      </c>
      <c r="T4598" t="s">
        <v>23534</v>
      </c>
    </row>
    <row r="4599" spans="1:20">
      <c r="A4599">
        <v>3332675</v>
      </c>
      <c r="B4599" t="s">
        <v>23535</v>
      </c>
      <c r="C4599" t="str">
        <f>"9780773542754"</f>
        <v>9780773542754</v>
      </c>
      <c r="D4599" t="str">
        <f>"9780773589957"</f>
        <v>9780773589957</v>
      </c>
      <c r="E4599" t="s">
        <v>12863</v>
      </c>
      <c r="F4599" t="s">
        <v>12863</v>
      </c>
      <c r="G4599" s="1">
        <v>41609</v>
      </c>
      <c r="I4599" t="s">
        <v>12864</v>
      </c>
      <c r="J4599" t="s">
        <v>13649</v>
      </c>
      <c r="K4599" t="s">
        <v>376</v>
      </c>
      <c r="L4599" t="s">
        <v>23536</v>
      </c>
      <c r="M4599">
        <v>362.28099309039999</v>
      </c>
      <c r="N4599" t="s">
        <v>23537</v>
      </c>
      <c r="O4599" t="s">
        <v>26</v>
      </c>
      <c r="P4599">
        <v>150</v>
      </c>
      <c r="Q4599">
        <v>125</v>
      </c>
      <c r="R4599">
        <v>100</v>
      </c>
      <c r="S4599">
        <v>150</v>
      </c>
      <c r="T4599" t="s">
        <v>23538</v>
      </c>
    </row>
    <row r="4600" spans="1:20">
      <c r="A4600">
        <v>3332676</v>
      </c>
      <c r="B4600" t="s">
        <v>23539</v>
      </c>
      <c r="C4600" t="str">
        <f>"9780773543195"</f>
        <v>9780773543195</v>
      </c>
      <c r="D4600" t="str">
        <f>"9780773591790"</f>
        <v>9780773591790</v>
      </c>
      <c r="E4600" t="s">
        <v>12863</v>
      </c>
      <c r="F4600" t="s">
        <v>12863</v>
      </c>
      <c r="G4600" s="1">
        <v>41681</v>
      </c>
      <c r="J4600" t="s">
        <v>20853</v>
      </c>
      <c r="K4600" t="s">
        <v>1464</v>
      </c>
      <c r="L4600" t="s">
        <v>23540</v>
      </c>
      <c r="M4600">
        <v>823.91399999999999</v>
      </c>
      <c r="N4600" t="s">
        <v>23541</v>
      </c>
      <c r="O4600" t="s">
        <v>26</v>
      </c>
      <c r="P4600">
        <v>150</v>
      </c>
      <c r="Q4600">
        <v>125</v>
      </c>
      <c r="R4600">
        <v>100</v>
      </c>
      <c r="S4600">
        <v>150</v>
      </c>
      <c r="T4600" t="s">
        <v>23542</v>
      </c>
    </row>
    <row r="4601" spans="1:20">
      <c r="A4601">
        <v>3332677</v>
      </c>
      <c r="B4601" t="s">
        <v>23543</v>
      </c>
      <c r="C4601" t="str">
        <f>"9780773543270"</f>
        <v>9780773543270</v>
      </c>
      <c r="D4601" t="str">
        <f>"9780773590694"</f>
        <v>9780773590694</v>
      </c>
      <c r="E4601" t="s">
        <v>12863</v>
      </c>
      <c r="F4601" t="s">
        <v>12863</v>
      </c>
      <c r="G4601" s="1">
        <v>41699</v>
      </c>
      <c r="I4601" t="s">
        <v>23544</v>
      </c>
      <c r="J4601" t="s">
        <v>23545</v>
      </c>
      <c r="K4601" t="s">
        <v>1214</v>
      </c>
      <c r="L4601" t="s">
        <v>23546</v>
      </c>
      <c r="M4601" t="s">
        <v>23547</v>
      </c>
      <c r="N4601" t="s">
        <v>23548</v>
      </c>
      <c r="O4601" t="s">
        <v>26</v>
      </c>
      <c r="P4601">
        <v>150</v>
      </c>
      <c r="Q4601">
        <v>125</v>
      </c>
      <c r="R4601">
        <v>100</v>
      </c>
      <c r="S4601">
        <v>150</v>
      </c>
      <c r="T4601" t="s">
        <v>23549</v>
      </c>
    </row>
    <row r="4602" spans="1:20">
      <c r="A4602">
        <v>3332678</v>
      </c>
      <c r="B4602" t="s">
        <v>23550</v>
      </c>
      <c r="C4602" t="str">
        <f>"9780773542778"</f>
        <v>9780773542778</v>
      </c>
      <c r="D4602" t="str">
        <f>"9780773589636"</f>
        <v>9780773589636</v>
      </c>
      <c r="E4602" t="s">
        <v>12863</v>
      </c>
      <c r="F4602" t="s">
        <v>12863</v>
      </c>
      <c r="G4602" s="1">
        <v>41609</v>
      </c>
      <c r="I4602" t="s">
        <v>16998</v>
      </c>
      <c r="J4602" t="s">
        <v>23551</v>
      </c>
      <c r="K4602" t="s">
        <v>263</v>
      </c>
      <c r="L4602" t="s">
        <v>23552</v>
      </c>
      <c r="M4602" t="s">
        <v>23553</v>
      </c>
      <c r="N4602" t="s">
        <v>23554</v>
      </c>
      <c r="O4602" t="s">
        <v>26</v>
      </c>
      <c r="P4602">
        <v>150</v>
      </c>
      <c r="Q4602">
        <v>125</v>
      </c>
      <c r="R4602">
        <v>100</v>
      </c>
      <c r="S4602">
        <v>150</v>
      </c>
      <c r="T4602" t="s">
        <v>23555</v>
      </c>
    </row>
    <row r="4603" spans="1:20">
      <c r="A4603">
        <v>3332679</v>
      </c>
      <c r="B4603" t="s">
        <v>23556</v>
      </c>
      <c r="C4603" t="str">
        <f>"9780773542556"</f>
        <v>9780773542556</v>
      </c>
      <c r="D4603" t="str">
        <f>"9780773589438"</f>
        <v>9780773589438</v>
      </c>
      <c r="E4603" t="s">
        <v>12863</v>
      </c>
      <c r="F4603" t="s">
        <v>12863</v>
      </c>
      <c r="G4603" s="1">
        <v>41609</v>
      </c>
      <c r="J4603" t="s">
        <v>20294</v>
      </c>
      <c r="K4603" t="s">
        <v>1550</v>
      </c>
      <c r="L4603" t="s">
        <v>23557</v>
      </c>
      <c r="M4603">
        <v>305.8</v>
      </c>
      <c r="N4603" t="s">
        <v>23558</v>
      </c>
      <c r="O4603" t="s">
        <v>26</v>
      </c>
      <c r="P4603">
        <v>150</v>
      </c>
      <c r="Q4603">
        <v>125</v>
      </c>
      <c r="R4603">
        <v>100</v>
      </c>
      <c r="S4603">
        <v>150</v>
      </c>
      <c r="T4603" t="s">
        <v>23559</v>
      </c>
    </row>
    <row r="4604" spans="1:20">
      <c r="A4604">
        <v>3332680</v>
      </c>
      <c r="B4604" t="s">
        <v>23560</v>
      </c>
      <c r="C4604" t="str">
        <f>"9780773543126"</f>
        <v>9780773543126</v>
      </c>
      <c r="D4604" t="str">
        <f>"9780773590328"</f>
        <v>9780773590328</v>
      </c>
      <c r="E4604" t="s">
        <v>12863</v>
      </c>
      <c r="F4604" t="s">
        <v>12863</v>
      </c>
      <c r="G4604" s="1">
        <v>41708</v>
      </c>
      <c r="I4604" t="s">
        <v>12871</v>
      </c>
      <c r="J4604" t="s">
        <v>23561</v>
      </c>
      <c r="K4604" t="s">
        <v>1530</v>
      </c>
      <c r="L4604" t="s">
        <v>23562</v>
      </c>
      <c r="M4604" t="s">
        <v>23563</v>
      </c>
      <c r="N4604" t="s">
        <v>23564</v>
      </c>
      <c r="O4604" t="s">
        <v>26</v>
      </c>
      <c r="P4604">
        <v>150</v>
      </c>
      <c r="Q4604">
        <v>125</v>
      </c>
      <c r="R4604">
        <v>100</v>
      </c>
      <c r="S4604">
        <v>150</v>
      </c>
      <c r="T4604" t="s">
        <v>23565</v>
      </c>
    </row>
    <row r="4605" spans="1:20">
      <c r="A4605">
        <v>3332681</v>
      </c>
      <c r="B4605" t="s">
        <v>23566</v>
      </c>
      <c r="C4605" t="str">
        <f>"9780773542990"</f>
        <v>9780773542990</v>
      </c>
      <c r="D4605" t="str">
        <f>"9780773590052"</f>
        <v>9780773590052</v>
      </c>
      <c r="E4605" t="s">
        <v>12863</v>
      </c>
      <c r="F4605" t="s">
        <v>12863</v>
      </c>
      <c r="G4605" s="1">
        <v>41703</v>
      </c>
      <c r="J4605" t="s">
        <v>23567</v>
      </c>
      <c r="K4605" t="s">
        <v>6055</v>
      </c>
      <c r="L4605" t="s">
        <v>23568</v>
      </c>
      <c r="M4605">
        <v>940.548245092</v>
      </c>
      <c r="N4605" t="s">
        <v>23569</v>
      </c>
      <c r="O4605" t="s">
        <v>26</v>
      </c>
      <c r="P4605">
        <v>150</v>
      </c>
      <c r="Q4605">
        <v>125</v>
      </c>
      <c r="R4605">
        <v>100</v>
      </c>
      <c r="S4605">
        <v>150</v>
      </c>
      <c r="T4605" t="s">
        <v>23570</v>
      </c>
    </row>
    <row r="4606" spans="1:20">
      <c r="A4606">
        <v>3332682</v>
      </c>
      <c r="B4606" t="s">
        <v>23571</v>
      </c>
      <c r="C4606" t="str">
        <f>"9780773543478"</f>
        <v>9780773543478</v>
      </c>
      <c r="D4606" t="str">
        <f>"9780773591752"</f>
        <v>9780773591752</v>
      </c>
      <c r="E4606" t="s">
        <v>12863</v>
      </c>
      <c r="F4606" t="s">
        <v>12863</v>
      </c>
      <c r="G4606" s="1">
        <v>41683</v>
      </c>
      <c r="I4606" t="s">
        <v>23015</v>
      </c>
      <c r="J4606" t="s">
        <v>19178</v>
      </c>
      <c r="K4606" t="s">
        <v>1464</v>
      </c>
      <c r="L4606" t="s">
        <v>23572</v>
      </c>
      <c r="M4606" t="s">
        <v>1497</v>
      </c>
      <c r="N4606" t="s">
        <v>23573</v>
      </c>
      <c r="O4606" t="s">
        <v>26</v>
      </c>
      <c r="P4606">
        <v>25.43</v>
      </c>
      <c r="Q4606">
        <v>21.19</v>
      </c>
      <c r="R4606">
        <v>16.95</v>
      </c>
      <c r="S4606">
        <v>25.43</v>
      </c>
      <c r="T4606" t="s">
        <v>23574</v>
      </c>
    </row>
    <row r="4607" spans="1:20">
      <c r="A4607">
        <v>3332683</v>
      </c>
      <c r="B4607" t="s">
        <v>23575</v>
      </c>
      <c r="C4607" t="str">
        <f>"9780773543102"</f>
        <v>9780773543102</v>
      </c>
      <c r="D4607" t="str">
        <f>"9780773590342"</f>
        <v>9780773590342</v>
      </c>
      <c r="E4607" t="s">
        <v>12863</v>
      </c>
      <c r="F4607" t="s">
        <v>12863</v>
      </c>
      <c r="G4607" s="1">
        <v>41708</v>
      </c>
      <c r="J4607" t="s">
        <v>23576</v>
      </c>
      <c r="K4607" t="s">
        <v>1550</v>
      </c>
      <c r="L4607" t="s">
        <v>23577</v>
      </c>
      <c r="M4607" t="s">
        <v>23578</v>
      </c>
      <c r="N4607" t="s">
        <v>23579</v>
      </c>
      <c r="O4607" t="s">
        <v>26</v>
      </c>
      <c r="P4607">
        <v>150</v>
      </c>
      <c r="Q4607">
        <v>125</v>
      </c>
      <c r="R4607">
        <v>100</v>
      </c>
      <c r="S4607">
        <v>150</v>
      </c>
      <c r="T4607" t="s">
        <v>23580</v>
      </c>
    </row>
    <row r="4608" spans="1:20">
      <c r="A4608">
        <v>3332684</v>
      </c>
      <c r="B4608" t="s">
        <v>23581</v>
      </c>
      <c r="C4608" t="str">
        <f>"9780773543256"</f>
        <v>9780773543256</v>
      </c>
      <c r="D4608" t="str">
        <f>"9780773590274"</f>
        <v>9780773590274</v>
      </c>
      <c r="E4608" t="s">
        <v>12863</v>
      </c>
      <c r="F4608" t="s">
        <v>12863</v>
      </c>
      <c r="G4608" s="1">
        <v>41722</v>
      </c>
      <c r="J4608" t="s">
        <v>13321</v>
      </c>
      <c r="K4608" t="s">
        <v>6813</v>
      </c>
      <c r="L4608" t="s">
        <v>23582</v>
      </c>
      <c r="M4608" t="s">
        <v>23583</v>
      </c>
      <c r="N4608" t="s">
        <v>23584</v>
      </c>
      <c r="O4608" t="s">
        <v>26</v>
      </c>
      <c r="P4608">
        <v>150</v>
      </c>
      <c r="Q4608">
        <v>125</v>
      </c>
      <c r="R4608">
        <v>100</v>
      </c>
      <c r="S4608">
        <v>150</v>
      </c>
      <c r="T4608" t="s">
        <v>23585</v>
      </c>
    </row>
    <row r="4609" spans="1:20">
      <c r="A4609">
        <v>3332685</v>
      </c>
      <c r="B4609" t="s">
        <v>23586</v>
      </c>
      <c r="C4609" t="str">
        <f>"9780773543485"</f>
        <v>9780773543485</v>
      </c>
      <c r="D4609" t="str">
        <f>"9780773591776"</f>
        <v>9780773591776</v>
      </c>
      <c r="E4609" t="s">
        <v>12863</v>
      </c>
      <c r="F4609" t="s">
        <v>12863</v>
      </c>
      <c r="G4609" s="1">
        <v>41683</v>
      </c>
      <c r="I4609" t="s">
        <v>23015</v>
      </c>
      <c r="J4609" t="s">
        <v>22005</v>
      </c>
      <c r="K4609" t="s">
        <v>1464</v>
      </c>
      <c r="L4609" t="s">
        <v>23587</v>
      </c>
      <c r="M4609" t="s">
        <v>1466</v>
      </c>
      <c r="N4609" t="s">
        <v>23588</v>
      </c>
      <c r="O4609" t="s">
        <v>26</v>
      </c>
      <c r="P4609">
        <v>25.43</v>
      </c>
      <c r="Q4609">
        <v>21.19</v>
      </c>
      <c r="R4609">
        <v>16.95</v>
      </c>
      <c r="S4609">
        <v>25.43</v>
      </c>
      <c r="T4609" t="s">
        <v>23589</v>
      </c>
    </row>
    <row r="4610" spans="1:20">
      <c r="A4610">
        <v>3332686</v>
      </c>
      <c r="B4610" t="s">
        <v>23590</v>
      </c>
      <c r="C4610" t="str">
        <f>"9780773542525"</f>
        <v>9780773542525</v>
      </c>
      <c r="D4610" t="str">
        <f>"9780773589391"</f>
        <v>9780773589391</v>
      </c>
      <c r="E4610" t="s">
        <v>12863</v>
      </c>
      <c r="F4610" t="s">
        <v>12863</v>
      </c>
      <c r="G4610" s="1">
        <v>41730</v>
      </c>
      <c r="J4610" t="s">
        <v>23591</v>
      </c>
      <c r="K4610" t="s">
        <v>1530</v>
      </c>
      <c r="L4610" t="s">
        <v>23592</v>
      </c>
      <c r="M4610">
        <v>971.06</v>
      </c>
      <c r="N4610" t="s">
        <v>23593</v>
      </c>
      <c r="O4610" t="s">
        <v>26</v>
      </c>
      <c r="P4610">
        <v>150</v>
      </c>
      <c r="Q4610">
        <v>125</v>
      </c>
      <c r="R4610">
        <v>100</v>
      </c>
      <c r="S4610">
        <v>150</v>
      </c>
      <c r="T4610" t="s">
        <v>23594</v>
      </c>
    </row>
    <row r="4611" spans="1:20">
      <c r="A4611">
        <v>3332687</v>
      </c>
      <c r="B4611" t="s">
        <v>23595</v>
      </c>
      <c r="C4611" t="str">
        <f>"9780773543423"</f>
        <v>9780773543423</v>
      </c>
      <c r="D4611" t="str">
        <f>"9780773590540"</f>
        <v>9780773590540</v>
      </c>
      <c r="E4611" t="s">
        <v>12863</v>
      </c>
      <c r="F4611" t="s">
        <v>12863</v>
      </c>
      <c r="G4611" s="1">
        <v>41718</v>
      </c>
      <c r="J4611" t="s">
        <v>23596</v>
      </c>
      <c r="K4611" t="s">
        <v>23597</v>
      </c>
      <c r="L4611" t="s">
        <v>23598</v>
      </c>
      <c r="M4611" t="s">
        <v>23599</v>
      </c>
      <c r="N4611" t="s">
        <v>23600</v>
      </c>
      <c r="O4611" t="s">
        <v>26</v>
      </c>
      <c r="P4611">
        <v>150</v>
      </c>
      <c r="Q4611">
        <v>125</v>
      </c>
      <c r="R4611">
        <v>100</v>
      </c>
      <c r="S4611">
        <v>150</v>
      </c>
      <c r="T4611" t="s">
        <v>23601</v>
      </c>
    </row>
    <row r="4612" spans="1:20">
      <c r="A4612">
        <v>3332688</v>
      </c>
      <c r="B4612" t="s">
        <v>23602</v>
      </c>
      <c r="C4612" t="str">
        <f>"9780773543096"</f>
        <v>9780773543096</v>
      </c>
      <c r="D4612" t="str">
        <f>"9780773585317"</f>
        <v>9780773585317</v>
      </c>
      <c r="E4612" t="s">
        <v>12863</v>
      </c>
      <c r="F4612" t="s">
        <v>12863</v>
      </c>
      <c r="G4612" s="1">
        <v>41730</v>
      </c>
      <c r="J4612" t="s">
        <v>23603</v>
      </c>
      <c r="K4612" t="s">
        <v>1464</v>
      </c>
      <c r="L4612" t="s">
        <v>23604</v>
      </c>
      <c r="M4612" t="s">
        <v>23605</v>
      </c>
      <c r="N4612" t="s">
        <v>23606</v>
      </c>
      <c r="O4612" t="s">
        <v>26</v>
      </c>
      <c r="P4612">
        <v>44.93</v>
      </c>
      <c r="Q4612">
        <v>37.44</v>
      </c>
      <c r="R4612">
        <v>29.95</v>
      </c>
      <c r="S4612">
        <v>44.93</v>
      </c>
      <c r="T4612" t="s">
        <v>23607</v>
      </c>
    </row>
    <row r="4613" spans="1:20">
      <c r="A4613">
        <v>3332689</v>
      </c>
      <c r="B4613" t="s">
        <v>23608</v>
      </c>
      <c r="C4613" t="str">
        <f>"9780773543027"</f>
        <v>9780773543027</v>
      </c>
      <c r="D4613" t="str">
        <f>"9780773590380"</f>
        <v>9780773590380</v>
      </c>
      <c r="E4613" t="s">
        <v>12863</v>
      </c>
      <c r="F4613" t="s">
        <v>12863</v>
      </c>
      <c r="G4613" s="1">
        <v>41740</v>
      </c>
      <c r="I4613" t="s">
        <v>21609</v>
      </c>
      <c r="J4613" t="s">
        <v>23609</v>
      </c>
      <c r="K4613" t="s">
        <v>263</v>
      </c>
      <c r="L4613" t="s">
        <v>23610</v>
      </c>
      <c r="M4613">
        <v>307.76</v>
      </c>
      <c r="N4613" t="s">
        <v>23611</v>
      </c>
      <c r="O4613" t="s">
        <v>26</v>
      </c>
      <c r="P4613">
        <v>150</v>
      </c>
      <c r="Q4613">
        <v>125</v>
      </c>
      <c r="R4613">
        <v>100</v>
      </c>
      <c r="S4613">
        <v>150</v>
      </c>
      <c r="T4613" t="s">
        <v>23612</v>
      </c>
    </row>
    <row r="4614" spans="1:20">
      <c r="A4614">
        <v>3332690</v>
      </c>
      <c r="B4614" t="s">
        <v>23613</v>
      </c>
      <c r="C4614" t="str">
        <f>"9780773542518"</f>
        <v>9780773542518</v>
      </c>
      <c r="D4614" t="str">
        <f>"9780773589377"</f>
        <v>9780773589377</v>
      </c>
      <c r="E4614" t="s">
        <v>12863</v>
      </c>
      <c r="F4614" t="s">
        <v>12863</v>
      </c>
      <c r="G4614" s="1">
        <v>41730</v>
      </c>
      <c r="J4614" t="s">
        <v>23614</v>
      </c>
      <c r="K4614" t="s">
        <v>1471</v>
      </c>
      <c r="L4614" t="s">
        <v>23615</v>
      </c>
      <c r="M4614">
        <v>780.92</v>
      </c>
      <c r="N4614" t="s">
        <v>23616</v>
      </c>
      <c r="O4614" t="s">
        <v>26</v>
      </c>
      <c r="P4614">
        <v>59.93</v>
      </c>
      <c r="Q4614">
        <v>49.94</v>
      </c>
      <c r="R4614">
        <v>39.950000000000003</v>
      </c>
      <c r="S4614">
        <v>59.93</v>
      </c>
      <c r="T4614" t="s">
        <v>23617</v>
      </c>
    </row>
    <row r="4615" spans="1:20">
      <c r="A4615">
        <v>3332691</v>
      </c>
      <c r="B4615" t="s">
        <v>23618</v>
      </c>
      <c r="C4615" t="str">
        <f>"9780773543676"</f>
        <v>9780773543676</v>
      </c>
      <c r="D4615" t="str">
        <f>"9780773591882"</f>
        <v>9780773591882</v>
      </c>
      <c r="E4615" t="s">
        <v>12863</v>
      </c>
      <c r="F4615" t="s">
        <v>12863</v>
      </c>
      <c r="G4615" s="1">
        <v>41730</v>
      </c>
      <c r="J4615" t="s">
        <v>23619</v>
      </c>
      <c r="K4615" t="s">
        <v>1550</v>
      </c>
      <c r="L4615" t="s">
        <v>23620</v>
      </c>
      <c r="M4615" t="s">
        <v>23621</v>
      </c>
      <c r="N4615" t="s">
        <v>23622</v>
      </c>
      <c r="O4615" t="s">
        <v>26</v>
      </c>
      <c r="P4615">
        <v>44.93</v>
      </c>
      <c r="Q4615">
        <v>37.44</v>
      </c>
      <c r="R4615">
        <v>29.95</v>
      </c>
      <c r="S4615">
        <v>44.93</v>
      </c>
      <c r="T4615" t="s">
        <v>23623</v>
      </c>
    </row>
    <row r="4616" spans="1:20">
      <c r="A4616">
        <v>3332692</v>
      </c>
      <c r="B4616" t="s">
        <v>23624</v>
      </c>
      <c r="C4616" t="str">
        <f>"9780773543324"</f>
        <v>9780773543324</v>
      </c>
      <c r="D4616" t="str">
        <f>"9780773590403"</f>
        <v>9780773590403</v>
      </c>
      <c r="E4616" t="s">
        <v>12863</v>
      </c>
      <c r="F4616" t="s">
        <v>12863</v>
      </c>
      <c r="G4616" s="1">
        <v>41753</v>
      </c>
      <c r="J4616" t="s">
        <v>23625</v>
      </c>
      <c r="K4616" t="s">
        <v>778</v>
      </c>
      <c r="L4616" t="s">
        <v>23626</v>
      </c>
      <c r="M4616" t="s">
        <v>23627</v>
      </c>
      <c r="N4616" t="s">
        <v>23628</v>
      </c>
      <c r="O4616" t="s">
        <v>26</v>
      </c>
      <c r="P4616">
        <v>150</v>
      </c>
      <c r="Q4616">
        <v>125</v>
      </c>
      <c r="R4616">
        <v>100</v>
      </c>
      <c r="S4616">
        <v>150</v>
      </c>
      <c r="T4616" t="s">
        <v>23629</v>
      </c>
    </row>
    <row r="4617" spans="1:20">
      <c r="A4617">
        <v>3332693</v>
      </c>
      <c r="B4617" t="s">
        <v>23630</v>
      </c>
      <c r="C4617" t="str">
        <f>"9780773543522"</f>
        <v>9780773543522</v>
      </c>
      <c r="D4617" t="str">
        <f>"9780773591905"</f>
        <v>9780773591905</v>
      </c>
      <c r="E4617" t="s">
        <v>12863</v>
      </c>
      <c r="F4617" t="s">
        <v>12863</v>
      </c>
      <c r="G4617" s="1">
        <v>41753</v>
      </c>
      <c r="J4617" t="s">
        <v>23631</v>
      </c>
      <c r="K4617" t="s">
        <v>291</v>
      </c>
      <c r="L4617" t="s">
        <v>23632</v>
      </c>
      <c r="M4617" t="s">
        <v>23633</v>
      </c>
      <c r="N4617" t="s">
        <v>23634</v>
      </c>
      <c r="O4617" t="s">
        <v>26</v>
      </c>
      <c r="P4617">
        <v>59.93</v>
      </c>
      <c r="Q4617">
        <v>49.94</v>
      </c>
      <c r="R4617">
        <v>39.950000000000003</v>
      </c>
      <c r="S4617">
        <v>59.93</v>
      </c>
      <c r="T4617" t="s">
        <v>23635</v>
      </c>
    </row>
    <row r="4618" spans="1:20">
      <c r="A4618">
        <v>3332694</v>
      </c>
      <c r="B4618" t="s">
        <v>23636</v>
      </c>
      <c r="C4618" t="str">
        <f>"9780773541924"</f>
        <v>9780773541924</v>
      </c>
      <c r="D4618" t="str">
        <f>"9780773589452"</f>
        <v>9780773589452</v>
      </c>
      <c r="E4618" t="s">
        <v>12863</v>
      </c>
      <c r="F4618" t="s">
        <v>12863</v>
      </c>
      <c r="G4618" s="1">
        <v>41579</v>
      </c>
      <c r="J4618" t="s">
        <v>23637</v>
      </c>
      <c r="K4618" t="s">
        <v>3230</v>
      </c>
      <c r="L4618" t="s">
        <v>23638</v>
      </c>
      <c r="M4618">
        <v>910.09163269999999</v>
      </c>
      <c r="N4618" t="s">
        <v>23639</v>
      </c>
      <c r="O4618" t="s">
        <v>26</v>
      </c>
      <c r="P4618">
        <v>150</v>
      </c>
      <c r="Q4618">
        <v>125</v>
      </c>
      <c r="R4618">
        <v>100</v>
      </c>
      <c r="S4618">
        <v>150</v>
      </c>
      <c r="T4618" t="s">
        <v>23640</v>
      </c>
    </row>
    <row r="4619" spans="1:20">
      <c r="A4619">
        <v>3332695</v>
      </c>
      <c r="B4619" t="s">
        <v>23641</v>
      </c>
      <c r="C4619" t="str">
        <f>"9780773543232"</f>
        <v>9780773543232</v>
      </c>
      <c r="D4619" t="str">
        <f>"9780773590250"</f>
        <v>9780773590250</v>
      </c>
      <c r="E4619" t="s">
        <v>12863</v>
      </c>
      <c r="F4619" t="s">
        <v>12863</v>
      </c>
      <c r="G4619" s="1">
        <v>41740</v>
      </c>
      <c r="I4619" t="s">
        <v>18279</v>
      </c>
      <c r="J4619" t="s">
        <v>13970</v>
      </c>
      <c r="K4619" t="s">
        <v>467</v>
      </c>
      <c r="L4619" t="s">
        <v>23642</v>
      </c>
      <c r="M4619">
        <v>320.09199999999998</v>
      </c>
      <c r="N4619" t="s">
        <v>23643</v>
      </c>
      <c r="O4619" t="s">
        <v>26</v>
      </c>
      <c r="P4619">
        <v>29.93</v>
      </c>
      <c r="Q4619">
        <v>24.94</v>
      </c>
      <c r="R4619">
        <v>19.95</v>
      </c>
      <c r="S4619">
        <v>29.93</v>
      </c>
      <c r="T4619" t="s">
        <v>23644</v>
      </c>
    </row>
    <row r="4620" spans="1:20">
      <c r="A4620">
        <v>3332696</v>
      </c>
      <c r="B4620" t="s">
        <v>23645</v>
      </c>
      <c r="C4620" t="str">
        <f>"9780773543768"</f>
        <v>9780773543768</v>
      </c>
      <c r="D4620" t="str">
        <f>"9780773589155"</f>
        <v>9780773589155</v>
      </c>
      <c r="E4620" t="s">
        <v>12863</v>
      </c>
      <c r="F4620" t="s">
        <v>12863</v>
      </c>
      <c r="G4620" s="1">
        <v>41730</v>
      </c>
      <c r="H4620">
        <v>2</v>
      </c>
      <c r="J4620" t="s">
        <v>18578</v>
      </c>
      <c r="K4620" t="s">
        <v>23646</v>
      </c>
      <c r="L4620" t="s">
        <v>23647</v>
      </c>
      <c r="M4620">
        <v>179.7</v>
      </c>
      <c r="N4620" t="s">
        <v>23648</v>
      </c>
      <c r="O4620" t="s">
        <v>26</v>
      </c>
      <c r="P4620">
        <v>49.43</v>
      </c>
      <c r="Q4620">
        <v>41.19</v>
      </c>
      <c r="R4620">
        <v>32.950000000000003</v>
      </c>
      <c r="S4620">
        <v>49.43</v>
      </c>
      <c r="T4620" t="s">
        <v>23649</v>
      </c>
    </row>
    <row r="4621" spans="1:20">
      <c r="A4621">
        <v>3332697</v>
      </c>
      <c r="B4621" t="s">
        <v>23650</v>
      </c>
      <c r="C4621" t="str">
        <f>"9780773543065"</f>
        <v>9780773543065</v>
      </c>
      <c r="D4621" t="str">
        <f>"9780773590298"</f>
        <v>9780773590298</v>
      </c>
      <c r="E4621" t="s">
        <v>12863</v>
      </c>
      <c r="F4621" t="s">
        <v>12863</v>
      </c>
      <c r="G4621" s="1">
        <v>41737</v>
      </c>
      <c r="J4621" t="s">
        <v>23651</v>
      </c>
      <c r="K4621" t="s">
        <v>1835</v>
      </c>
      <c r="L4621" t="s">
        <v>23652</v>
      </c>
      <c r="M4621" t="s">
        <v>23653</v>
      </c>
      <c r="N4621" t="s">
        <v>23654</v>
      </c>
      <c r="O4621" t="s">
        <v>26</v>
      </c>
      <c r="P4621">
        <v>74.930000000000007</v>
      </c>
      <c r="Q4621">
        <v>62.44</v>
      </c>
      <c r="R4621">
        <v>49.95</v>
      </c>
      <c r="S4621">
        <v>74.930000000000007</v>
      </c>
      <c r="T4621" t="s">
        <v>23655</v>
      </c>
    </row>
    <row r="4622" spans="1:20">
      <c r="A4622">
        <v>3332698</v>
      </c>
      <c r="B4622" t="s">
        <v>23656</v>
      </c>
      <c r="C4622" t="str">
        <f>"9780773524712"</f>
        <v>9780773524712</v>
      </c>
      <c r="D4622" t="str">
        <f>"9780773582767"</f>
        <v>9780773582767</v>
      </c>
      <c r="E4622" t="s">
        <v>12863</v>
      </c>
      <c r="F4622" t="s">
        <v>12863</v>
      </c>
      <c r="G4622" s="1">
        <v>37676</v>
      </c>
      <c r="J4622" t="s">
        <v>23657</v>
      </c>
      <c r="K4622" t="s">
        <v>1859</v>
      </c>
      <c r="L4622" t="s">
        <v>23658</v>
      </c>
      <c r="M4622">
        <v>115</v>
      </c>
      <c r="N4622" t="s">
        <v>23659</v>
      </c>
      <c r="O4622" t="s">
        <v>26</v>
      </c>
      <c r="P4622">
        <v>150</v>
      </c>
      <c r="R4622">
        <v>100</v>
      </c>
      <c r="T4622" t="s">
        <v>23660</v>
      </c>
    </row>
    <row r="4623" spans="1:20">
      <c r="A4623">
        <v>3332699</v>
      </c>
      <c r="B4623" t="s">
        <v>23661</v>
      </c>
      <c r="C4623" t="str">
        <f>"9780773543836"</f>
        <v>9780773543836</v>
      </c>
      <c r="D4623" t="str">
        <f>"9780773592261"</f>
        <v>9780773592261</v>
      </c>
      <c r="E4623" t="s">
        <v>12863</v>
      </c>
      <c r="F4623" t="s">
        <v>12863</v>
      </c>
      <c r="G4623" s="1">
        <v>41760</v>
      </c>
      <c r="J4623" t="s">
        <v>23662</v>
      </c>
      <c r="K4623" t="s">
        <v>2260</v>
      </c>
      <c r="L4623" t="s">
        <v>23663</v>
      </c>
      <c r="M4623">
        <v>617.09199999999998</v>
      </c>
      <c r="N4623" t="s">
        <v>23664</v>
      </c>
      <c r="O4623" t="s">
        <v>26</v>
      </c>
      <c r="P4623">
        <v>44.93</v>
      </c>
      <c r="Q4623">
        <v>37.44</v>
      </c>
      <c r="R4623">
        <v>29.95</v>
      </c>
      <c r="S4623">
        <v>44.93</v>
      </c>
      <c r="T4623" t="s">
        <v>23665</v>
      </c>
    </row>
    <row r="4624" spans="1:20">
      <c r="A4624">
        <v>3332700</v>
      </c>
      <c r="B4624" t="s">
        <v>23666</v>
      </c>
      <c r="C4624" t="str">
        <f>"9780773543553"</f>
        <v>9780773543553</v>
      </c>
      <c r="D4624" t="str">
        <f>"9780773590724"</f>
        <v>9780773590724</v>
      </c>
      <c r="E4624" t="s">
        <v>12863</v>
      </c>
      <c r="F4624" t="s">
        <v>12863</v>
      </c>
      <c r="G4624" s="1">
        <v>41753</v>
      </c>
      <c r="I4624" t="s">
        <v>9578</v>
      </c>
      <c r="J4624" t="s">
        <v>23667</v>
      </c>
      <c r="K4624" t="s">
        <v>278</v>
      </c>
      <c r="L4624" t="s">
        <v>23668</v>
      </c>
      <c r="M4624" t="s">
        <v>23669</v>
      </c>
      <c r="N4624" t="s">
        <v>23670</v>
      </c>
      <c r="O4624" t="s">
        <v>26</v>
      </c>
      <c r="P4624">
        <v>52.43</v>
      </c>
      <c r="Q4624">
        <v>43.69</v>
      </c>
      <c r="R4624">
        <v>34.950000000000003</v>
      </c>
      <c r="S4624">
        <v>52.43</v>
      </c>
      <c r="T4624" t="s">
        <v>23671</v>
      </c>
    </row>
    <row r="4625" spans="1:20">
      <c r="A4625">
        <v>3332701</v>
      </c>
      <c r="B4625" t="s">
        <v>23672</v>
      </c>
      <c r="C4625" t="str">
        <f>"9780773543416"</f>
        <v>9780773543416</v>
      </c>
      <c r="D4625" t="str">
        <f>"9780773590526"</f>
        <v>9780773590526</v>
      </c>
      <c r="E4625" t="s">
        <v>12863</v>
      </c>
      <c r="F4625" t="s">
        <v>12863</v>
      </c>
      <c r="G4625" s="1">
        <v>41760</v>
      </c>
      <c r="I4625" t="s">
        <v>23673</v>
      </c>
      <c r="J4625" t="s">
        <v>23674</v>
      </c>
      <c r="K4625" t="s">
        <v>2818</v>
      </c>
      <c r="L4625" t="s">
        <v>23675</v>
      </c>
      <c r="M4625">
        <v>610.98500000000001</v>
      </c>
      <c r="N4625" t="s">
        <v>23676</v>
      </c>
      <c r="O4625" t="s">
        <v>26</v>
      </c>
      <c r="P4625">
        <v>150</v>
      </c>
      <c r="Q4625">
        <v>125</v>
      </c>
      <c r="R4625">
        <v>100</v>
      </c>
      <c r="S4625">
        <v>150</v>
      </c>
      <c r="T4625" t="s">
        <v>23677</v>
      </c>
    </row>
    <row r="4626" spans="1:20">
      <c r="A4626">
        <v>3332702</v>
      </c>
      <c r="B4626" t="s">
        <v>23678</v>
      </c>
      <c r="C4626" t="str">
        <f>"9780773543447"</f>
        <v>9780773543447</v>
      </c>
      <c r="D4626" t="str">
        <f>"9780773590564"</f>
        <v>9780773590564</v>
      </c>
      <c r="E4626" t="s">
        <v>12863</v>
      </c>
      <c r="F4626" t="s">
        <v>12863</v>
      </c>
      <c r="G4626" s="1">
        <v>41782</v>
      </c>
      <c r="J4626" t="s">
        <v>23679</v>
      </c>
      <c r="K4626" t="s">
        <v>6444</v>
      </c>
      <c r="L4626" t="s">
        <v>23680</v>
      </c>
      <c r="M4626" t="s">
        <v>23681</v>
      </c>
      <c r="N4626" t="s">
        <v>23682</v>
      </c>
      <c r="O4626" t="s">
        <v>26</v>
      </c>
      <c r="P4626">
        <v>150</v>
      </c>
      <c r="Q4626">
        <v>125</v>
      </c>
      <c r="R4626">
        <v>100</v>
      </c>
      <c r="S4626">
        <v>150</v>
      </c>
      <c r="T4626" t="s">
        <v>23683</v>
      </c>
    </row>
    <row r="4627" spans="1:20">
      <c r="A4627">
        <v>3332703</v>
      </c>
      <c r="B4627" t="s">
        <v>23684</v>
      </c>
      <c r="C4627" t="str">
        <f>"9780773543775"</f>
        <v>9780773543775</v>
      </c>
      <c r="D4627" t="str">
        <f>"9780773591813"</f>
        <v>9780773591813</v>
      </c>
      <c r="E4627" t="s">
        <v>12863</v>
      </c>
      <c r="F4627" t="s">
        <v>12863</v>
      </c>
      <c r="G4627" s="1">
        <v>41773</v>
      </c>
      <c r="J4627" t="s">
        <v>23685</v>
      </c>
      <c r="K4627" t="s">
        <v>23686</v>
      </c>
      <c r="L4627" t="s">
        <v>23687</v>
      </c>
      <c r="M4627" t="s">
        <v>23688</v>
      </c>
      <c r="N4627" t="s">
        <v>23689</v>
      </c>
      <c r="O4627" t="s">
        <v>26</v>
      </c>
      <c r="P4627">
        <v>150</v>
      </c>
      <c r="Q4627">
        <v>125</v>
      </c>
      <c r="R4627">
        <v>100</v>
      </c>
      <c r="S4627">
        <v>150</v>
      </c>
      <c r="T4627" t="s">
        <v>23690</v>
      </c>
    </row>
    <row r="4628" spans="1:20">
      <c r="A4628">
        <v>3332704</v>
      </c>
      <c r="B4628" t="s">
        <v>23691</v>
      </c>
      <c r="C4628" t="str">
        <f>"9780773543843"</f>
        <v>9780773543843</v>
      </c>
      <c r="D4628" t="str">
        <f>"9780773592001"</f>
        <v>9780773592001</v>
      </c>
      <c r="E4628" t="s">
        <v>12863</v>
      </c>
      <c r="F4628" t="s">
        <v>12863</v>
      </c>
      <c r="G4628" s="1">
        <v>41760</v>
      </c>
      <c r="J4628" t="s">
        <v>23692</v>
      </c>
      <c r="K4628" t="s">
        <v>23693</v>
      </c>
      <c r="L4628" t="s">
        <v>23694</v>
      </c>
      <c r="M4628" t="s">
        <v>3097</v>
      </c>
      <c r="N4628" t="s">
        <v>23695</v>
      </c>
      <c r="O4628" t="s">
        <v>26</v>
      </c>
      <c r="P4628">
        <v>150</v>
      </c>
      <c r="Q4628">
        <v>125</v>
      </c>
      <c r="R4628">
        <v>100</v>
      </c>
      <c r="S4628">
        <v>150</v>
      </c>
      <c r="T4628" t="s">
        <v>23696</v>
      </c>
    </row>
    <row r="4629" spans="1:20">
      <c r="A4629">
        <v>3332705</v>
      </c>
      <c r="B4629" t="s">
        <v>23697</v>
      </c>
      <c r="C4629" t="str">
        <f>"9780773543041"</f>
        <v>9780773543041</v>
      </c>
      <c r="D4629" t="str">
        <f>"9780773591837"</f>
        <v>9780773591837</v>
      </c>
      <c r="E4629" t="s">
        <v>12863</v>
      </c>
      <c r="F4629" t="s">
        <v>12863</v>
      </c>
      <c r="G4629" s="1">
        <v>41760</v>
      </c>
      <c r="J4629" t="s">
        <v>23698</v>
      </c>
      <c r="K4629" t="s">
        <v>467</v>
      </c>
      <c r="L4629" t="s">
        <v>23699</v>
      </c>
      <c r="M4629">
        <v>323.09710000000001</v>
      </c>
      <c r="N4629" t="s">
        <v>23700</v>
      </c>
      <c r="O4629" t="s">
        <v>26</v>
      </c>
      <c r="P4629">
        <v>150</v>
      </c>
      <c r="Q4629">
        <v>125</v>
      </c>
      <c r="R4629">
        <v>100</v>
      </c>
      <c r="S4629">
        <v>150</v>
      </c>
      <c r="T4629" t="s">
        <v>23701</v>
      </c>
    </row>
    <row r="4630" spans="1:20">
      <c r="A4630">
        <v>3332706</v>
      </c>
      <c r="B4630" t="s">
        <v>23702</v>
      </c>
      <c r="C4630" t="str">
        <f>"9780773543584"</f>
        <v>9780773543584</v>
      </c>
      <c r="D4630" t="str">
        <f>"9780773592025"</f>
        <v>9780773592025</v>
      </c>
      <c r="E4630" t="s">
        <v>12863</v>
      </c>
      <c r="F4630" t="s">
        <v>12863</v>
      </c>
      <c r="G4630" s="1">
        <v>41760</v>
      </c>
      <c r="J4630" t="s">
        <v>23703</v>
      </c>
      <c r="K4630" t="s">
        <v>1892</v>
      </c>
      <c r="L4630" t="s">
        <v>23704</v>
      </c>
      <c r="M4630" t="s">
        <v>23705</v>
      </c>
      <c r="N4630" t="s">
        <v>23706</v>
      </c>
      <c r="O4630" t="s">
        <v>26</v>
      </c>
      <c r="P4630">
        <v>52.43</v>
      </c>
      <c r="Q4630">
        <v>43.69</v>
      </c>
      <c r="R4630">
        <v>34.950000000000003</v>
      </c>
      <c r="S4630">
        <v>52.43</v>
      </c>
      <c r="T4630" t="s">
        <v>23707</v>
      </c>
    </row>
    <row r="4631" spans="1:20">
      <c r="A4631">
        <v>3332707</v>
      </c>
      <c r="B4631" t="s">
        <v>23708</v>
      </c>
      <c r="C4631" t="str">
        <f>"9780773543850"</f>
        <v>9780773543850</v>
      </c>
      <c r="D4631" t="str">
        <f>"9780773583207"</f>
        <v>9780773583207</v>
      </c>
      <c r="E4631" t="s">
        <v>12863</v>
      </c>
      <c r="F4631" t="s">
        <v>12863</v>
      </c>
      <c r="G4631" s="1">
        <v>41773</v>
      </c>
      <c r="I4631" t="s">
        <v>23709</v>
      </c>
      <c r="J4631" t="s">
        <v>16060</v>
      </c>
      <c r="K4631" t="s">
        <v>1530</v>
      </c>
      <c r="L4631" t="s">
        <v>23710</v>
      </c>
      <c r="M4631">
        <v>305.800971</v>
      </c>
      <c r="N4631" t="s">
        <v>23711</v>
      </c>
      <c r="O4631" t="s">
        <v>26</v>
      </c>
      <c r="P4631">
        <v>150</v>
      </c>
      <c r="Q4631">
        <v>125</v>
      </c>
      <c r="R4631">
        <v>100</v>
      </c>
      <c r="S4631">
        <v>150</v>
      </c>
      <c r="T4631" t="s">
        <v>23712</v>
      </c>
    </row>
    <row r="4632" spans="1:20">
      <c r="A4632">
        <v>3332708</v>
      </c>
      <c r="B4632" t="s">
        <v>23713</v>
      </c>
      <c r="C4632" t="str">
        <f>"9780773543508"</f>
        <v>9780773543508</v>
      </c>
      <c r="D4632" t="str">
        <f>"9780773591929"</f>
        <v>9780773591929</v>
      </c>
      <c r="E4632" t="s">
        <v>12863</v>
      </c>
      <c r="F4632" t="s">
        <v>12863</v>
      </c>
      <c r="G4632" s="1">
        <v>41779</v>
      </c>
      <c r="J4632" t="s">
        <v>23714</v>
      </c>
      <c r="K4632" t="s">
        <v>467</v>
      </c>
      <c r="L4632" t="s">
        <v>23715</v>
      </c>
      <c r="M4632">
        <v>321.8</v>
      </c>
      <c r="N4632" t="s">
        <v>23716</v>
      </c>
      <c r="O4632" t="s">
        <v>26</v>
      </c>
      <c r="P4632">
        <v>44.93</v>
      </c>
      <c r="Q4632">
        <v>37.44</v>
      </c>
      <c r="R4632">
        <v>29.95</v>
      </c>
      <c r="S4632">
        <v>44.93</v>
      </c>
      <c r="T4632" t="s">
        <v>23717</v>
      </c>
    </row>
    <row r="4633" spans="1:20">
      <c r="A4633">
        <v>3332709</v>
      </c>
      <c r="B4633" t="s">
        <v>23718</v>
      </c>
      <c r="C4633" t="str">
        <f>"9780773543348"</f>
        <v>9780773543348</v>
      </c>
      <c r="D4633" t="str">
        <f>"9780773590441"</f>
        <v>9780773590441</v>
      </c>
      <c r="E4633" t="s">
        <v>12863</v>
      </c>
      <c r="F4633" t="s">
        <v>12863</v>
      </c>
      <c r="G4633" s="1">
        <v>41765</v>
      </c>
      <c r="J4633" t="s">
        <v>23719</v>
      </c>
      <c r="K4633" t="s">
        <v>16423</v>
      </c>
      <c r="L4633" t="s">
        <v>23720</v>
      </c>
      <c r="M4633" t="s">
        <v>23721</v>
      </c>
      <c r="N4633" t="s">
        <v>23722</v>
      </c>
      <c r="O4633" t="s">
        <v>26</v>
      </c>
      <c r="P4633">
        <v>52.43</v>
      </c>
      <c r="Q4633">
        <v>43.69</v>
      </c>
      <c r="R4633">
        <v>34.950000000000003</v>
      </c>
      <c r="S4633">
        <v>52.43</v>
      </c>
      <c r="T4633" t="s">
        <v>23723</v>
      </c>
    </row>
    <row r="4634" spans="1:20">
      <c r="A4634">
        <v>3332710</v>
      </c>
      <c r="B4634" t="s">
        <v>23724</v>
      </c>
      <c r="C4634" t="str">
        <f>"9780773543393"</f>
        <v>9780773543393</v>
      </c>
      <c r="D4634" t="str">
        <f>"9780773597013"</f>
        <v>9780773597013</v>
      </c>
      <c r="E4634" t="s">
        <v>12863</v>
      </c>
      <c r="F4634" t="s">
        <v>12863</v>
      </c>
      <c r="G4634" s="1">
        <v>41760</v>
      </c>
      <c r="I4634" t="s">
        <v>19527</v>
      </c>
      <c r="J4634" t="s">
        <v>23725</v>
      </c>
      <c r="K4634" t="s">
        <v>291</v>
      </c>
      <c r="L4634" t="s">
        <v>23726</v>
      </c>
      <c r="M4634" t="s">
        <v>23727</v>
      </c>
      <c r="N4634" t="s">
        <v>23728</v>
      </c>
      <c r="O4634" t="s">
        <v>26</v>
      </c>
      <c r="P4634">
        <v>150</v>
      </c>
      <c r="R4634">
        <v>100</v>
      </c>
      <c r="T4634" t="s">
        <v>23729</v>
      </c>
    </row>
    <row r="4635" spans="1:20">
      <c r="A4635">
        <v>3332711</v>
      </c>
      <c r="B4635" t="s">
        <v>23730</v>
      </c>
      <c r="C4635" t="str">
        <f>"9780773543539"</f>
        <v>9780773543539</v>
      </c>
      <c r="D4635" t="str">
        <f>"9780773591943"</f>
        <v>9780773591943</v>
      </c>
      <c r="E4635" t="s">
        <v>12863</v>
      </c>
      <c r="F4635" t="s">
        <v>12863</v>
      </c>
      <c r="G4635" s="1">
        <v>41773</v>
      </c>
      <c r="J4635" t="s">
        <v>23031</v>
      </c>
      <c r="K4635" t="s">
        <v>7651</v>
      </c>
      <c r="L4635" t="s">
        <v>23731</v>
      </c>
      <c r="M4635" t="s">
        <v>23633</v>
      </c>
      <c r="N4635" t="s">
        <v>23732</v>
      </c>
      <c r="O4635" t="s">
        <v>26</v>
      </c>
      <c r="P4635">
        <v>112.5</v>
      </c>
      <c r="R4635">
        <v>75</v>
      </c>
      <c r="T4635" t="s">
        <v>23733</v>
      </c>
    </row>
    <row r="4636" spans="1:20">
      <c r="A4636">
        <v>3332712</v>
      </c>
      <c r="B4636" t="s">
        <v>23734</v>
      </c>
      <c r="C4636" t="str">
        <f>"9780773543461"</f>
        <v>9780773543461</v>
      </c>
      <c r="D4636" t="str">
        <f>"9780773590632"</f>
        <v>9780773590632</v>
      </c>
      <c r="E4636" t="s">
        <v>12863</v>
      </c>
      <c r="F4636" t="s">
        <v>12863</v>
      </c>
      <c r="G4636" s="1">
        <v>41779</v>
      </c>
      <c r="J4636" t="s">
        <v>23735</v>
      </c>
      <c r="K4636" t="s">
        <v>263</v>
      </c>
      <c r="L4636" t="s">
        <v>23736</v>
      </c>
      <c r="M4636" t="s">
        <v>23737</v>
      </c>
      <c r="N4636" t="s">
        <v>23738</v>
      </c>
      <c r="O4636" t="s">
        <v>26</v>
      </c>
      <c r="P4636">
        <v>44.93</v>
      </c>
      <c r="Q4636">
        <v>37.44</v>
      </c>
      <c r="R4636">
        <v>29.95</v>
      </c>
      <c r="S4636">
        <v>44.93</v>
      </c>
      <c r="T4636" t="s">
        <v>23739</v>
      </c>
    </row>
    <row r="4637" spans="1:20">
      <c r="A4637">
        <v>3332713</v>
      </c>
      <c r="B4637" t="s">
        <v>23740</v>
      </c>
      <c r="C4637" t="str">
        <f>"9780771097348"</f>
        <v>9780771097348</v>
      </c>
      <c r="D4637" t="str">
        <f>"9780773591622"</f>
        <v>9780773591622</v>
      </c>
      <c r="E4637" t="s">
        <v>12863</v>
      </c>
      <c r="F4637" t="s">
        <v>12863</v>
      </c>
      <c r="G4637" s="1">
        <v>24487</v>
      </c>
      <c r="I4637" t="s">
        <v>16998</v>
      </c>
      <c r="J4637" t="s">
        <v>23741</v>
      </c>
      <c r="K4637" t="s">
        <v>1550</v>
      </c>
      <c r="L4637" t="s">
        <v>23742</v>
      </c>
      <c r="M4637" t="s">
        <v>23743</v>
      </c>
      <c r="N4637" t="s">
        <v>23744</v>
      </c>
      <c r="O4637" t="s">
        <v>26</v>
      </c>
      <c r="P4637">
        <v>112.5</v>
      </c>
      <c r="Q4637">
        <v>93.75</v>
      </c>
      <c r="R4637">
        <v>75</v>
      </c>
      <c r="S4637">
        <v>112.5</v>
      </c>
      <c r="T4637" t="s">
        <v>23745</v>
      </c>
    </row>
    <row r="4638" spans="1:20">
      <c r="A4638">
        <v>3332714</v>
      </c>
      <c r="B4638" t="s">
        <v>23746</v>
      </c>
      <c r="C4638" t="str">
        <f>"9780886290566"</f>
        <v>9780886290566</v>
      </c>
      <c r="D4638" t="str">
        <f>"9780773591554"</f>
        <v>9780773591554</v>
      </c>
      <c r="E4638" t="s">
        <v>12863</v>
      </c>
      <c r="F4638" t="s">
        <v>12863</v>
      </c>
      <c r="G4638" s="1">
        <v>31761</v>
      </c>
      <c r="J4638" t="s">
        <v>23747</v>
      </c>
      <c r="K4638" t="s">
        <v>13449</v>
      </c>
      <c r="L4638" t="s">
        <v>23748</v>
      </c>
      <c r="M4638" t="s">
        <v>23749</v>
      </c>
      <c r="N4638" t="s">
        <v>23750</v>
      </c>
      <c r="O4638" t="s">
        <v>26</v>
      </c>
      <c r="P4638">
        <v>127.5</v>
      </c>
      <c r="Q4638">
        <v>106.25</v>
      </c>
      <c r="R4638">
        <v>85</v>
      </c>
      <c r="S4638">
        <v>127.5</v>
      </c>
      <c r="T4638" t="s">
        <v>23751</v>
      </c>
    </row>
    <row r="4639" spans="1:20">
      <c r="A4639">
        <v>3332715</v>
      </c>
      <c r="B4639" t="s">
        <v>23752</v>
      </c>
      <c r="C4639" t="str">
        <f>"9780773500778"</f>
        <v>9780773500778</v>
      </c>
      <c r="D4639" t="str">
        <f>"9780773591462"</f>
        <v>9780773591462</v>
      </c>
      <c r="E4639" t="s">
        <v>12863</v>
      </c>
      <c r="F4639" t="s">
        <v>12863</v>
      </c>
      <c r="G4639" s="1">
        <v>25324</v>
      </c>
      <c r="J4639" t="s">
        <v>23753</v>
      </c>
      <c r="K4639" t="s">
        <v>1530</v>
      </c>
      <c r="L4639" t="s">
        <v>23754</v>
      </c>
      <c r="M4639" t="s">
        <v>23755</v>
      </c>
      <c r="N4639" t="s">
        <v>23756</v>
      </c>
      <c r="O4639" t="s">
        <v>26</v>
      </c>
      <c r="P4639">
        <v>112.5</v>
      </c>
      <c r="Q4639">
        <v>93.75</v>
      </c>
      <c r="R4639">
        <v>75</v>
      </c>
      <c r="S4639">
        <v>112.5</v>
      </c>
      <c r="T4639" t="s">
        <v>23757</v>
      </c>
    </row>
    <row r="4640" spans="1:20">
      <c r="A4640">
        <v>3332716</v>
      </c>
      <c r="B4640" t="s">
        <v>23758</v>
      </c>
      <c r="C4640" t="str">
        <f>"9780771098109"</f>
        <v>9780771098109</v>
      </c>
      <c r="D4640" t="str">
        <f>"9780773591509"</f>
        <v>9780773591509</v>
      </c>
      <c r="E4640" t="s">
        <v>12863</v>
      </c>
      <c r="F4640" t="s">
        <v>12863</v>
      </c>
      <c r="G4640" s="1">
        <v>28505</v>
      </c>
      <c r="J4640" t="s">
        <v>23759</v>
      </c>
      <c r="K4640" t="s">
        <v>467</v>
      </c>
      <c r="L4640" t="s">
        <v>23760</v>
      </c>
      <c r="M4640" t="s">
        <v>23761</v>
      </c>
      <c r="N4640" t="s">
        <v>23762</v>
      </c>
      <c r="O4640" t="s">
        <v>26</v>
      </c>
      <c r="P4640">
        <v>112.5</v>
      </c>
      <c r="Q4640">
        <v>93.75</v>
      </c>
      <c r="R4640">
        <v>75</v>
      </c>
      <c r="S4640">
        <v>112.5</v>
      </c>
      <c r="T4640" t="s">
        <v>23763</v>
      </c>
    </row>
    <row r="4641" spans="1:20">
      <c r="A4641">
        <v>3332717</v>
      </c>
      <c r="B4641" t="s">
        <v>23764</v>
      </c>
      <c r="C4641" t="str">
        <f>"9780771097157"</f>
        <v>9780771097157</v>
      </c>
      <c r="D4641" t="str">
        <f>"9780773591530"</f>
        <v>9780773591530</v>
      </c>
      <c r="E4641" t="s">
        <v>12863</v>
      </c>
      <c r="F4641" t="s">
        <v>12863</v>
      </c>
      <c r="G4641" s="1">
        <v>23391</v>
      </c>
      <c r="J4641" t="s">
        <v>22744</v>
      </c>
      <c r="K4641" t="s">
        <v>2963</v>
      </c>
      <c r="L4641" t="s">
        <v>23765</v>
      </c>
      <c r="M4641">
        <v>917.1</v>
      </c>
      <c r="N4641" t="s">
        <v>23766</v>
      </c>
      <c r="O4641" t="s">
        <v>26</v>
      </c>
      <c r="P4641">
        <v>112.5</v>
      </c>
      <c r="Q4641">
        <v>93.75</v>
      </c>
      <c r="R4641">
        <v>75</v>
      </c>
      <c r="S4641">
        <v>112.5</v>
      </c>
      <c r="T4641" t="s">
        <v>23767</v>
      </c>
    </row>
    <row r="4642" spans="1:20">
      <c r="A4642">
        <v>3332718</v>
      </c>
      <c r="B4642" t="s">
        <v>23768</v>
      </c>
      <c r="C4642" t="str">
        <f>"9780770517939"</f>
        <v>9780770517939</v>
      </c>
      <c r="D4642" t="str">
        <f>"9780773580640"</f>
        <v>9780773580640</v>
      </c>
      <c r="E4642" t="s">
        <v>12863</v>
      </c>
      <c r="F4642" t="s">
        <v>12863</v>
      </c>
      <c r="G4642" s="1">
        <v>29540</v>
      </c>
      <c r="I4642" t="s">
        <v>13270</v>
      </c>
      <c r="J4642" t="s">
        <v>23769</v>
      </c>
      <c r="K4642" t="s">
        <v>263</v>
      </c>
      <c r="L4642" t="s">
        <v>23770</v>
      </c>
      <c r="M4642" t="s">
        <v>21474</v>
      </c>
      <c r="N4642" t="s">
        <v>23771</v>
      </c>
      <c r="O4642" t="s">
        <v>26</v>
      </c>
      <c r="P4642">
        <v>112.5</v>
      </c>
      <c r="Q4642">
        <v>93.75</v>
      </c>
      <c r="R4642">
        <v>75</v>
      </c>
      <c r="S4642">
        <v>112.5</v>
      </c>
      <c r="T4642" t="s">
        <v>23772</v>
      </c>
    </row>
    <row r="4643" spans="1:20">
      <c r="A4643">
        <v>3332719</v>
      </c>
      <c r="B4643" t="s">
        <v>23773</v>
      </c>
      <c r="C4643" t="str">
        <f>"9780771097126"</f>
        <v>9780771097126</v>
      </c>
      <c r="D4643" t="str">
        <f>"9780773591349"</f>
        <v>9780773591349</v>
      </c>
      <c r="E4643" t="s">
        <v>12863</v>
      </c>
      <c r="F4643" t="s">
        <v>12863</v>
      </c>
      <c r="G4643" s="1">
        <v>23391</v>
      </c>
      <c r="J4643" t="s">
        <v>23774</v>
      </c>
      <c r="K4643" t="s">
        <v>305</v>
      </c>
      <c r="L4643" t="s">
        <v>23775</v>
      </c>
      <c r="M4643">
        <v>380.50970999999998</v>
      </c>
      <c r="N4643" t="s">
        <v>23776</v>
      </c>
      <c r="O4643" t="s">
        <v>26</v>
      </c>
      <c r="P4643">
        <v>112.5</v>
      </c>
      <c r="Q4643">
        <v>93.75</v>
      </c>
      <c r="R4643">
        <v>75</v>
      </c>
      <c r="S4643">
        <v>112.5</v>
      </c>
      <c r="T4643" t="s">
        <v>23777</v>
      </c>
    </row>
    <row r="4644" spans="1:20">
      <c r="A4644">
        <v>3332720</v>
      </c>
      <c r="B4644" t="s">
        <v>23778</v>
      </c>
      <c r="C4644" t="str">
        <f>"9780886291631"</f>
        <v>9780886291631</v>
      </c>
      <c r="D4644" t="str">
        <f>"9780773582200"</f>
        <v>9780773582200</v>
      </c>
      <c r="E4644" t="s">
        <v>12863</v>
      </c>
      <c r="F4644" t="s">
        <v>12863</v>
      </c>
      <c r="G4644" s="1">
        <v>33557</v>
      </c>
      <c r="J4644" t="s">
        <v>23779</v>
      </c>
      <c r="K4644" t="s">
        <v>2432</v>
      </c>
      <c r="L4644" t="s">
        <v>23780</v>
      </c>
      <c r="M4644">
        <v>179.9</v>
      </c>
      <c r="N4644" t="s">
        <v>23781</v>
      </c>
      <c r="O4644" t="s">
        <v>26</v>
      </c>
      <c r="P4644">
        <v>150</v>
      </c>
      <c r="Q4644">
        <v>125</v>
      </c>
      <c r="R4644">
        <v>100</v>
      </c>
      <c r="S4644">
        <v>150</v>
      </c>
      <c r="T4644" t="s">
        <v>23782</v>
      </c>
    </row>
    <row r="4645" spans="1:20">
      <c r="A4645">
        <v>3332721</v>
      </c>
      <c r="B4645" t="s">
        <v>23783</v>
      </c>
      <c r="C4645" t="str">
        <f>"9780886292645"</f>
        <v>9780886292645</v>
      </c>
      <c r="D4645" t="str">
        <f>"9780773584204"</f>
        <v>9780773584204</v>
      </c>
      <c r="E4645" t="s">
        <v>12863</v>
      </c>
      <c r="F4645" t="s">
        <v>12863</v>
      </c>
      <c r="G4645" s="1">
        <v>34773</v>
      </c>
      <c r="J4645" t="s">
        <v>23784</v>
      </c>
      <c r="K4645" t="s">
        <v>568</v>
      </c>
      <c r="L4645" t="s">
        <v>23785</v>
      </c>
      <c r="M4645">
        <v>320.60000000000002</v>
      </c>
      <c r="N4645" t="s">
        <v>23786</v>
      </c>
      <c r="O4645" t="s">
        <v>26</v>
      </c>
      <c r="P4645">
        <v>150</v>
      </c>
      <c r="Q4645">
        <v>125</v>
      </c>
      <c r="R4645">
        <v>100</v>
      </c>
      <c r="S4645">
        <v>150</v>
      </c>
      <c r="T4645" t="s">
        <v>23787</v>
      </c>
    </row>
    <row r="4646" spans="1:20">
      <c r="A4646">
        <v>3332722</v>
      </c>
      <c r="B4646" t="s">
        <v>23788</v>
      </c>
      <c r="C4646" t="str">
        <f>"9780771097119"</f>
        <v>9780771097119</v>
      </c>
      <c r="D4646" t="str">
        <f>"9780773591097"</f>
        <v>9780773591097</v>
      </c>
      <c r="E4646" t="s">
        <v>12863</v>
      </c>
      <c r="F4646" t="s">
        <v>12863</v>
      </c>
      <c r="G4646" s="1">
        <v>23391</v>
      </c>
      <c r="J4646" t="s">
        <v>23789</v>
      </c>
      <c r="K4646" t="s">
        <v>305</v>
      </c>
      <c r="L4646" t="s">
        <v>23775</v>
      </c>
      <c r="M4646">
        <v>380.50970999999998</v>
      </c>
      <c r="N4646" t="s">
        <v>23776</v>
      </c>
      <c r="O4646" t="s">
        <v>26</v>
      </c>
      <c r="P4646">
        <v>112.5</v>
      </c>
      <c r="Q4646">
        <v>93.75</v>
      </c>
      <c r="R4646">
        <v>75</v>
      </c>
      <c r="S4646">
        <v>112.5</v>
      </c>
      <c r="T4646" t="s">
        <v>23790</v>
      </c>
    </row>
    <row r="4647" spans="1:20">
      <c r="A4647">
        <v>3332723</v>
      </c>
      <c r="B4647" t="s">
        <v>23791</v>
      </c>
      <c r="C4647" t="str">
        <f>"9780886291075"</f>
        <v>9780886291075</v>
      </c>
      <c r="D4647" t="str">
        <f>"9780773591653"</f>
        <v>9780773591653</v>
      </c>
      <c r="E4647" t="s">
        <v>12863</v>
      </c>
      <c r="F4647" t="s">
        <v>12863</v>
      </c>
      <c r="G4647" s="1">
        <v>33008</v>
      </c>
      <c r="J4647" t="s">
        <v>23792</v>
      </c>
      <c r="K4647" t="s">
        <v>416</v>
      </c>
      <c r="L4647" t="s">
        <v>23793</v>
      </c>
      <c r="M4647">
        <v>336.39097099999998</v>
      </c>
      <c r="N4647" t="s">
        <v>23794</v>
      </c>
      <c r="O4647" t="s">
        <v>26</v>
      </c>
      <c r="P4647">
        <v>127.5</v>
      </c>
      <c r="Q4647">
        <v>106.25</v>
      </c>
      <c r="R4647">
        <v>85</v>
      </c>
      <c r="S4647">
        <v>127.5</v>
      </c>
      <c r="T4647" t="s">
        <v>23795</v>
      </c>
    </row>
    <row r="4648" spans="1:20">
      <c r="A4648">
        <v>3332724</v>
      </c>
      <c r="B4648" t="s">
        <v>23796</v>
      </c>
      <c r="C4648" t="str">
        <f>"9780886291518"</f>
        <v>9780886291518</v>
      </c>
      <c r="D4648" t="str">
        <f>"9780773573734"</f>
        <v>9780773573734</v>
      </c>
      <c r="E4648" t="s">
        <v>12863</v>
      </c>
      <c r="F4648" t="s">
        <v>12863</v>
      </c>
      <c r="G4648" s="1">
        <v>33557</v>
      </c>
      <c r="I4648" t="s">
        <v>13270</v>
      </c>
      <c r="J4648" t="s">
        <v>23797</v>
      </c>
      <c r="K4648" t="s">
        <v>278</v>
      </c>
      <c r="L4648" t="s">
        <v>23798</v>
      </c>
      <c r="M4648">
        <v>336.71</v>
      </c>
      <c r="N4648" t="s">
        <v>23799</v>
      </c>
      <c r="O4648" t="s">
        <v>26</v>
      </c>
      <c r="P4648">
        <v>150</v>
      </c>
      <c r="Q4648">
        <v>125</v>
      </c>
      <c r="R4648">
        <v>100</v>
      </c>
      <c r="S4648">
        <v>150</v>
      </c>
      <c r="T4648" t="s">
        <v>23800</v>
      </c>
    </row>
    <row r="4649" spans="1:20">
      <c r="A4649">
        <v>3332725</v>
      </c>
      <c r="B4649" t="s">
        <v>23801</v>
      </c>
      <c r="C4649" t="str">
        <f>"9780771097386"</f>
        <v>9780771097386</v>
      </c>
      <c r="D4649" t="str">
        <f>"9780773591608"</f>
        <v>9780773591608</v>
      </c>
      <c r="E4649" t="s">
        <v>12863</v>
      </c>
      <c r="F4649" t="s">
        <v>12863</v>
      </c>
      <c r="G4649" s="1">
        <v>24852</v>
      </c>
      <c r="J4649" t="s">
        <v>23802</v>
      </c>
      <c r="K4649" t="s">
        <v>291</v>
      </c>
      <c r="L4649" t="s">
        <v>23803</v>
      </c>
      <c r="M4649" t="s">
        <v>23804</v>
      </c>
      <c r="N4649" t="s">
        <v>23805</v>
      </c>
      <c r="O4649" t="s">
        <v>26</v>
      </c>
      <c r="P4649">
        <v>112.5</v>
      </c>
      <c r="Q4649">
        <v>93.75</v>
      </c>
      <c r="R4649">
        <v>75</v>
      </c>
      <c r="S4649">
        <v>112.5</v>
      </c>
      <c r="T4649" t="s">
        <v>23806</v>
      </c>
    </row>
    <row r="4650" spans="1:20">
      <c r="A4650">
        <v>3332726</v>
      </c>
      <c r="B4650" t="s">
        <v>23807</v>
      </c>
      <c r="C4650" t="str">
        <f>"9780770517526"</f>
        <v>9780770517526</v>
      </c>
      <c r="D4650" t="str">
        <f>"9780773591493"</f>
        <v>9780773591493</v>
      </c>
      <c r="E4650" t="s">
        <v>12863</v>
      </c>
      <c r="F4650" t="s">
        <v>12863</v>
      </c>
      <c r="G4650" s="1">
        <v>24122</v>
      </c>
      <c r="J4650" t="s">
        <v>23808</v>
      </c>
      <c r="K4650" t="s">
        <v>7063</v>
      </c>
      <c r="L4650" t="s">
        <v>23809</v>
      </c>
      <c r="M4650">
        <v>323.17099999999999</v>
      </c>
      <c r="N4650" t="s">
        <v>23810</v>
      </c>
      <c r="O4650" t="s">
        <v>26</v>
      </c>
      <c r="P4650">
        <v>112.5</v>
      </c>
      <c r="Q4650">
        <v>93.75</v>
      </c>
      <c r="R4650">
        <v>75</v>
      </c>
      <c r="S4650">
        <v>112.5</v>
      </c>
      <c r="T4650" t="s">
        <v>23811</v>
      </c>
    </row>
    <row r="4651" spans="1:20">
      <c r="A4651">
        <v>3332727</v>
      </c>
      <c r="B4651" t="s">
        <v>23812</v>
      </c>
      <c r="C4651" t="str">
        <f>"9780886291754"</f>
        <v>9780886291754</v>
      </c>
      <c r="D4651" t="str">
        <f>"9780773591516"</f>
        <v>9780773591516</v>
      </c>
      <c r="E4651" t="s">
        <v>12863</v>
      </c>
      <c r="F4651" t="s">
        <v>12863</v>
      </c>
      <c r="G4651" s="1">
        <v>33862</v>
      </c>
      <c r="J4651" t="s">
        <v>6596</v>
      </c>
      <c r="K4651" t="s">
        <v>1464</v>
      </c>
      <c r="L4651" t="s">
        <v>23813</v>
      </c>
      <c r="M4651">
        <v>823.91200000000003</v>
      </c>
      <c r="N4651" t="s">
        <v>23814</v>
      </c>
      <c r="O4651" t="s">
        <v>26</v>
      </c>
      <c r="P4651">
        <v>150</v>
      </c>
      <c r="Q4651">
        <v>125</v>
      </c>
      <c r="R4651">
        <v>100</v>
      </c>
      <c r="S4651">
        <v>150</v>
      </c>
      <c r="T4651" t="s">
        <v>23815</v>
      </c>
    </row>
    <row r="4652" spans="1:20">
      <c r="A4652">
        <v>3332728</v>
      </c>
      <c r="B4652" t="s">
        <v>23816</v>
      </c>
      <c r="C4652" t="str">
        <f>"9780886290580"</f>
        <v>9780886290580</v>
      </c>
      <c r="D4652" t="str">
        <f>"9780773573482"</f>
        <v>9780773573482</v>
      </c>
      <c r="E4652" t="s">
        <v>12863</v>
      </c>
      <c r="F4652" t="s">
        <v>12863</v>
      </c>
      <c r="G4652" s="1">
        <v>24122</v>
      </c>
      <c r="I4652" t="s">
        <v>13270</v>
      </c>
      <c r="J4652" t="s">
        <v>23817</v>
      </c>
      <c r="K4652" t="s">
        <v>291</v>
      </c>
      <c r="L4652" t="s">
        <v>23818</v>
      </c>
      <c r="M4652" t="s">
        <v>23819</v>
      </c>
      <c r="N4652" t="s">
        <v>23820</v>
      </c>
      <c r="O4652" t="s">
        <v>26</v>
      </c>
      <c r="P4652">
        <v>112.5</v>
      </c>
      <c r="Q4652">
        <v>93.75</v>
      </c>
      <c r="R4652">
        <v>75</v>
      </c>
      <c r="S4652">
        <v>112.5</v>
      </c>
      <c r="T4652" t="s">
        <v>23821</v>
      </c>
    </row>
    <row r="4653" spans="1:20">
      <c r="A4653">
        <v>3332729</v>
      </c>
      <c r="B4653" t="s">
        <v>23822</v>
      </c>
      <c r="C4653" t="str">
        <f>"9780772097422"</f>
        <v>9780772097422</v>
      </c>
      <c r="D4653" t="str">
        <f>"9780773591424"</f>
        <v>9780773591424</v>
      </c>
      <c r="E4653" t="s">
        <v>12863</v>
      </c>
      <c r="F4653" t="s">
        <v>12863</v>
      </c>
      <c r="G4653" s="1">
        <v>25218</v>
      </c>
      <c r="I4653" t="s">
        <v>16998</v>
      </c>
      <c r="J4653" t="s">
        <v>23823</v>
      </c>
      <c r="K4653" t="s">
        <v>6444</v>
      </c>
      <c r="L4653" t="s">
        <v>23824</v>
      </c>
      <c r="M4653" t="s">
        <v>23825</v>
      </c>
      <c r="N4653" t="s">
        <v>23826</v>
      </c>
      <c r="O4653" t="s">
        <v>26</v>
      </c>
      <c r="P4653">
        <v>112.5</v>
      </c>
      <c r="Q4653">
        <v>93.75</v>
      </c>
      <c r="R4653">
        <v>75</v>
      </c>
      <c r="S4653">
        <v>112.5</v>
      </c>
      <c r="T4653" t="s">
        <v>23827</v>
      </c>
    </row>
    <row r="4654" spans="1:20">
      <c r="A4654">
        <v>3332730</v>
      </c>
      <c r="B4654" t="s">
        <v>23828</v>
      </c>
      <c r="C4654" t="str">
        <f>"9780886290108"</f>
        <v>9780886290108</v>
      </c>
      <c r="D4654" t="str">
        <f>"9780773573369"</f>
        <v>9780773573369</v>
      </c>
      <c r="E4654" t="s">
        <v>12863</v>
      </c>
      <c r="F4654" t="s">
        <v>12863</v>
      </c>
      <c r="G4654" s="1">
        <v>30331</v>
      </c>
      <c r="I4654" t="s">
        <v>13270</v>
      </c>
      <c r="J4654" t="s">
        <v>23829</v>
      </c>
      <c r="K4654" t="s">
        <v>291</v>
      </c>
      <c r="L4654" t="s">
        <v>23830</v>
      </c>
      <c r="M4654" t="s">
        <v>23831</v>
      </c>
      <c r="N4654" t="s">
        <v>23832</v>
      </c>
      <c r="O4654" t="s">
        <v>26</v>
      </c>
      <c r="P4654">
        <v>127.5</v>
      </c>
      <c r="Q4654">
        <v>106.25</v>
      </c>
      <c r="R4654">
        <v>85</v>
      </c>
      <c r="S4654">
        <v>127.5</v>
      </c>
      <c r="T4654" t="s">
        <v>23833</v>
      </c>
    </row>
    <row r="4655" spans="1:20">
      <c r="A4655">
        <v>3332731</v>
      </c>
      <c r="B4655" t="s">
        <v>23834</v>
      </c>
      <c r="C4655" t="str">
        <f>"9780886292713"</f>
        <v>9780886292713</v>
      </c>
      <c r="D4655" t="str">
        <f>"9780773583795"</f>
        <v>9780773583795</v>
      </c>
      <c r="E4655" t="s">
        <v>12863</v>
      </c>
      <c r="F4655" t="s">
        <v>12863</v>
      </c>
      <c r="G4655" s="1">
        <v>34987</v>
      </c>
      <c r="J4655" t="s">
        <v>23835</v>
      </c>
      <c r="K4655" t="s">
        <v>1471</v>
      </c>
      <c r="L4655" t="s">
        <v>23836</v>
      </c>
      <c r="M4655">
        <v>781.43</v>
      </c>
      <c r="N4655" t="s">
        <v>23837</v>
      </c>
      <c r="O4655" t="s">
        <v>26</v>
      </c>
      <c r="P4655">
        <v>150</v>
      </c>
      <c r="Q4655">
        <v>125</v>
      </c>
      <c r="R4655">
        <v>100</v>
      </c>
      <c r="S4655">
        <v>150</v>
      </c>
      <c r="T4655" t="s">
        <v>23838</v>
      </c>
    </row>
    <row r="4656" spans="1:20">
      <c r="A4656">
        <v>3332732</v>
      </c>
      <c r="B4656" t="s">
        <v>23839</v>
      </c>
      <c r="C4656" t="str">
        <f>"9780886292140"</f>
        <v>9780886292140</v>
      </c>
      <c r="D4656" t="str">
        <f>"9780773573833"</f>
        <v>9780773573833</v>
      </c>
      <c r="E4656" t="s">
        <v>12863</v>
      </c>
      <c r="F4656" t="s">
        <v>12863</v>
      </c>
      <c r="G4656" s="1">
        <v>34043</v>
      </c>
      <c r="I4656" t="s">
        <v>13270</v>
      </c>
      <c r="J4656" t="s">
        <v>23840</v>
      </c>
      <c r="K4656" t="s">
        <v>3219</v>
      </c>
      <c r="L4656" t="s">
        <v>23841</v>
      </c>
      <c r="M4656">
        <v>917.18043999999998</v>
      </c>
      <c r="N4656" t="s">
        <v>23842</v>
      </c>
      <c r="O4656" t="s">
        <v>26</v>
      </c>
      <c r="P4656">
        <v>142.5</v>
      </c>
      <c r="Q4656">
        <v>118.75</v>
      </c>
      <c r="R4656">
        <v>95</v>
      </c>
      <c r="S4656">
        <v>142.5</v>
      </c>
      <c r="T4656" t="s">
        <v>23843</v>
      </c>
    </row>
    <row r="4657" spans="1:20">
      <c r="A4657">
        <v>3332733</v>
      </c>
      <c r="B4657" t="s">
        <v>23844</v>
      </c>
      <c r="C4657" t="str">
        <f>"9780770517434"</f>
        <v>9780770517434</v>
      </c>
      <c r="D4657" t="str">
        <f>"9780773591639"</f>
        <v>9780773591639</v>
      </c>
      <c r="E4657" t="s">
        <v>12863</v>
      </c>
      <c r="F4657" t="s">
        <v>12863</v>
      </c>
      <c r="G4657" s="1">
        <v>28990</v>
      </c>
      <c r="I4657" t="s">
        <v>16998</v>
      </c>
      <c r="J4657" t="s">
        <v>23845</v>
      </c>
      <c r="K4657" t="s">
        <v>291</v>
      </c>
      <c r="L4657" t="s">
        <v>23846</v>
      </c>
      <c r="M4657" t="s">
        <v>23847</v>
      </c>
      <c r="N4657" t="s">
        <v>23848</v>
      </c>
      <c r="O4657" t="s">
        <v>26</v>
      </c>
      <c r="P4657">
        <v>112.5</v>
      </c>
      <c r="Q4657">
        <v>93.75</v>
      </c>
      <c r="R4657">
        <v>75</v>
      </c>
      <c r="S4657">
        <v>112.5</v>
      </c>
      <c r="T4657" t="s">
        <v>23849</v>
      </c>
    </row>
    <row r="4658" spans="1:20">
      <c r="A4658">
        <v>3332734</v>
      </c>
      <c r="B4658" t="s">
        <v>23850</v>
      </c>
      <c r="C4658" t="str">
        <f>"9780886290856"</f>
        <v>9780886290856</v>
      </c>
      <c r="D4658" t="str">
        <f>"9780773591660"</f>
        <v>9780773591660</v>
      </c>
      <c r="E4658" t="s">
        <v>12863</v>
      </c>
      <c r="F4658" t="s">
        <v>12863</v>
      </c>
      <c r="G4658" s="1">
        <v>32674</v>
      </c>
      <c r="J4658" t="s">
        <v>23792</v>
      </c>
      <c r="K4658" t="s">
        <v>278</v>
      </c>
      <c r="L4658" t="s">
        <v>23851</v>
      </c>
      <c r="M4658">
        <v>336.39097099999998</v>
      </c>
      <c r="N4658" t="s">
        <v>22089</v>
      </c>
      <c r="O4658" t="s">
        <v>26</v>
      </c>
      <c r="P4658">
        <v>127.5</v>
      </c>
      <c r="Q4658">
        <v>106.25</v>
      </c>
      <c r="R4658">
        <v>85</v>
      </c>
      <c r="S4658">
        <v>127.5</v>
      </c>
      <c r="T4658" t="s">
        <v>23852</v>
      </c>
    </row>
    <row r="4659" spans="1:20">
      <c r="A4659">
        <v>3332735</v>
      </c>
      <c r="B4659" t="s">
        <v>23853</v>
      </c>
      <c r="C4659" t="str">
        <f>"9780886292096"</f>
        <v>9780886292096</v>
      </c>
      <c r="D4659" t="str">
        <f>"9780773583726"</f>
        <v>9780773583726</v>
      </c>
      <c r="E4659" t="s">
        <v>12863</v>
      </c>
      <c r="F4659" t="s">
        <v>12863</v>
      </c>
      <c r="G4659" s="1">
        <v>34288</v>
      </c>
      <c r="J4659" t="s">
        <v>23854</v>
      </c>
      <c r="K4659" t="s">
        <v>3848</v>
      </c>
      <c r="L4659" t="s">
        <v>23855</v>
      </c>
      <c r="M4659">
        <v>808.06691999999998</v>
      </c>
      <c r="N4659" t="s">
        <v>23856</v>
      </c>
      <c r="O4659" t="s">
        <v>26</v>
      </c>
      <c r="P4659">
        <v>150</v>
      </c>
      <c r="Q4659">
        <v>125</v>
      </c>
      <c r="R4659">
        <v>100</v>
      </c>
      <c r="S4659">
        <v>150</v>
      </c>
      <c r="T4659" t="s">
        <v>23857</v>
      </c>
    </row>
    <row r="4660" spans="1:20">
      <c r="A4660">
        <v>3332736</v>
      </c>
      <c r="B4660" t="s">
        <v>23858</v>
      </c>
      <c r="C4660" t="str">
        <f>"9780886291082"</f>
        <v>9780886291082</v>
      </c>
      <c r="D4660" t="str">
        <f>"9780773582286"</f>
        <v>9780773582286</v>
      </c>
      <c r="E4660" t="s">
        <v>12863</v>
      </c>
      <c r="F4660" t="s">
        <v>12863</v>
      </c>
      <c r="G4660" s="1">
        <v>33039</v>
      </c>
      <c r="I4660" t="s">
        <v>13270</v>
      </c>
      <c r="J4660" t="s">
        <v>23859</v>
      </c>
      <c r="K4660" t="s">
        <v>1530</v>
      </c>
      <c r="L4660" t="s">
        <v>23860</v>
      </c>
      <c r="M4660">
        <v>305.800971</v>
      </c>
      <c r="N4660" t="s">
        <v>23861</v>
      </c>
      <c r="O4660" t="s">
        <v>26</v>
      </c>
      <c r="P4660">
        <v>127.5</v>
      </c>
      <c r="Q4660">
        <v>106.25</v>
      </c>
      <c r="R4660">
        <v>85</v>
      </c>
      <c r="S4660">
        <v>127.5</v>
      </c>
      <c r="T4660" t="s">
        <v>23862</v>
      </c>
    </row>
    <row r="4661" spans="1:20">
      <c r="A4661">
        <v>3332737</v>
      </c>
      <c r="B4661" t="s">
        <v>23863</v>
      </c>
      <c r="C4661" t="str">
        <f>"9780886291341"</f>
        <v>9780886291341</v>
      </c>
      <c r="D4661" t="str">
        <f>"9780773580725"</f>
        <v>9780773580725</v>
      </c>
      <c r="E4661" t="s">
        <v>12863</v>
      </c>
      <c r="F4661" t="s">
        <v>12863</v>
      </c>
      <c r="G4661" s="1">
        <v>33465</v>
      </c>
      <c r="J4661" t="s">
        <v>23864</v>
      </c>
      <c r="K4661" t="s">
        <v>525</v>
      </c>
      <c r="L4661" t="s">
        <v>23865</v>
      </c>
      <c r="M4661" t="s">
        <v>23866</v>
      </c>
      <c r="N4661" t="s">
        <v>23867</v>
      </c>
      <c r="O4661" t="s">
        <v>26</v>
      </c>
      <c r="P4661">
        <v>150</v>
      </c>
      <c r="Q4661">
        <v>125</v>
      </c>
      <c r="R4661">
        <v>100</v>
      </c>
      <c r="S4661">
        <v>150</v>
      </c>
      <c r="T4661" t="s">
        <v>23868</v>
      </c>
    </row>
    <row r="4662" spans="1:20">
      <c r="A4662">
        <v>3332738</v>
      </c>
      <c r="B4662" t="s">
        <v>23869</v>
      </c>
      <c r="C4662" t="str">
        <f>"9780886291600"</f>
        <v>9780886291600</v>
      </c>
      <c r="D4662" t="str">
        <f>"9780773582842"</f>
        <v>9780773582842</v>
      </c>
      <c r="E4662" t="s">
        <v>12863</v>
      </c>
      <c r="F4662" t="s">
        <v>12863</v>
      </c>
      <c r="G4662" s="1">
        <v>33739</v>
      </c>
      <c r="J4662" t="s">
        <v>23870</v>
      </c>
      <c r="K4662" t="s">
        <v>525</v>
      </c>
      <c r="L4662" t="s">
        <v>23871</v>
      </c>
      <c r="M4662">
        <v>340.14</v>
      </c>
      <c r="N4662" t="s">
        <v>23872</v>
      </c>
      <c r="O4662" t="s">
        <v>26</v>
      </c>
      <c r="P4662">
        <v>150</v>
      </c>
      <c r="Q4662">
        <v>125</v>
      </c>
      <c r="R4662">
        <v>100</v>
      </c>
      <c r="S4662">
        <v>150</v>
      </c>
      <c r="T4662" t="s">
        <v>23873</v>
      </c>
    </row>
    <row r="4663" spans="1:20">
      <c r="A4663">
        <v>3332739</v>
      </c>
      <c r="B4663" t="s">
        <v>23874</v>
      </c>
      <c r="C4663" t="str">
        <f>"9780771097591"</f>
        <v>9780771097591</v>
      </c>
      <c r="D4663" t="str">
        <f>"9780773582729"</f>
        <v>9780773582729</v>
      </c>
      <c r="E4663" t="s">
        <v>12863</v>
      </c>
      <c r="F4663" t="s">
        <v>12863</v>
      </c>
      <c r="G4663" s="1">
        <v>26313</v>
      </c>
      <c r="J4663" t="s">
        <v>23875</v>
      </c>
      <c r="K4663" t="s">
        <v>6444</v>
      </c>
      <c r="L4663" t="s">
        <v>23876</v>
      </c>
      <c r="M4663" t="s">
        <v>23877</v>
      </c>
      <c r="N4663" t="s">
        <v>23878</v>
      </c>
      <c r="O4663" t="s">
        <v>26</v>
      </c>
      <c r="P4663">
        <v>112.5</v>
      </c>
      <c r="Q4663">
        <v>93.75</v>
      </c>
      <c r="R4663">
        <v>75</v>
      </c>
      <c r="S4663">
        <v>112.5</v>
      </c>
      <c r="T4663" t="s">
        <v>23879</v>
      </c>
    </row>
    <row r="4664" spans="1:20">
      <c r="A4664">
        <v>3332740</v>
      </c>
      <c r="B4664" t="s">
        <v>23880</v>
      </c>
      <c r="C4664" t="str">
        <f>"9780771097102"</f>
        <v>9780771097102</v>
      </c>
      <c r="D4664" t="str">
        <f>"9780773591226"</f>
        <v>9780773591226</v>
      </c>
      <c r="E4664" t="s">
        <v>12863</v>
      </c>
      <c r="F4664" t="s">
        <v>12863</v>
      </c>
      <c r="G4664" s="1">
        <v>23026</v>
      </c>
      <c r="J4664" t="s">
        <v>23881</v>
      </c>
      <c r="K4664" t="s">
        <v>291</v>
      </c>
      <c r="L4664" t="s">
        <v>23882</v>
      </c>
      <c r="M4664">
        <v>971.30399999999997</v>
      </c>
      <c r="N4664" t="s">
        <v>23883</v>
      </c>
      <c r="O4664" t="s">
        <v>26</v>
      </c>
      <c r="P4664">
        <v>112.5</v>
      </c>
      <c r="Q4664">
        <v>93.75</v>
      </c>
      <c r="R4664">
        <v>75</v>
      </c>
      <c r="S4664">
        <v>112.5</v>
      </c>
      <c r="T4664" t="s">
        <v>23884</v>
      </c>
    </row>
    <row r="4665" spans="1:20">
      <c r="A4665">
        <v>3332741</v>
      </c>
      <c r="B4665" t="s">
        <v>23885</v>
      </c>
      <c r="C4665" t="str">
        <f>"9780771097263"</f>
        <v>9780771097263</v>
      </c>
      <c r="D4665" t="str">
        <f>"9780773584730"</f>
        <v>9780773584730</v>
      </c>
      <c r="E4665" t="s">
        <v>12863</v>
      </c>
      <c r="F4665" t="s">
        <v>12863</v>
      </c>
      <c r="G4665" s="1">
        <v>24122</v>
      </c>
      <c r="I4665" t="s">
        <v>13270</v>
      </c>
      <c r="J4665" t="s">
        <v>23886</v>
      </c>
      <c r="K4665" t="s">
        <v>291</v>
      </c>
      <c r="L4665" t="s">
        <v>23887</v>
      </c>
      <c r="M4665">
        <v>971.03800000000001</v>
      </c>
      <c r="N4665" t="s">
        <v>23888</v>
      </c>
      <c r="O4665" t="s">
        <v>26</v>
      </c>
      <c r="P4665">
        <v>112.5</v>
      </c>
      <c r="Q4665">
        <v>93.75</v>
      </c>
      <c r="R4665">
        <v>75</v>
      </c>
      <c r="S4665">
        <v>112.5</v>
      </c>
      <c r="T4665" t="s">
        <v>23889</v>
      </c>
    </row>
    <row r="4666" spans="1:20">
      <c r="A4666">
        <v>3332742</v>
      </c>
      <c r="B4666" t="s">
        <v>23890</v>
      </c>
      <c r="C4666" t="str">
        <f>"9780886291006"</f>
        <v>9780886291006</v>
      </c>
      <c r="D4666" t="str">
        <f>"9780773584082"</f>
        <v>9780773584082</v>
      </c>
      <c r="E4666" t="s">
        <v>12863</v>
      </c>
      <c r="F4666" t="s">
        <v>12863</v>
      </c>
      <c r="G4666" s="1">
        <v>32947</v>
      </c>
      <c r="I4666" t="s">
        <v>13270</v>
      </c>
      <c r="J4666" t="s">
        <v>23891</v>
      </c>
      <c r="K4666" t="s">
        <v>291</v>
      </c>
      <c r="L4666" t="s">
        <v>23892</v>
      </c>
      <c r="M4666" t="s">
        <v>23893</v>
      </c>
      <c r="N4666" t="s">
        <v>23894</v>
      </c>
      <c r="O4666" t="s">
        <v>26</v>
      </c>
      <c r="P4666">
        <v>127.5</v>
      </c>
      <c r="Q4666">
        <v>106.25</v>
      </c>
      <c r="R4666">
        <v>85</v>
      </c>
      <c r="S4666">
        <v>127.5</v>
      </c>
      <c r="T4666" t="s">
        <v>23895</v>
      </c>
    </row>
    <row r="4667" spans="1:20">
      <c r="A4667">
        <v>3332743</v>
      </c>
      <c r="B4667" t="s">
        <v>23896</v>
      </c>
      <c r="C4667" t="str">
        <f>"9780771098048"</f>
        <v>9780771098048</v>
      </c>
      <c r="D4667" t="str">
        <f>"9780773591202"</f>
        <v>9780773591202</v>
      </c>
      <c r="E4667" t="s">
        <v>12863</v>
      </c>
      <c r="F4667" t="s">
        <v>12863</v>
      </c>
      <c r="G4667" s="1">
        <v>28140</v>
      </c>
      <c r="J4667" t="s">
        <v>23897</v>
      </c>
      <c r="K4667" t="s">
        <v>7063</v>
      </c>
      <c r="L4667" t="s">
        <v>23898</v>
      </c>
      <c r="M4667">
        <v>327.71</v>
      </c>
      <c r="N4667" t="s">
        <v>23899</v>
      </c>
      <c r="O4667" t="s">
        <v>26</v>
      </c>
      <c r="P4667">
        <v>112.5</v>
      </c>
      <c r="Q4667">
        <v>93.75</v>
      </c>
      <c r="R4667">
        <v>75</v>
      </c>
      <c r="S4667">
        <v>112.5</v>
      </c>
      <c r="T4667" t="s">
        <v>23900</v>
      </c>
    </row>
    <row r="4668" spans="1:20">
      <c r="A4668">
        <v>3332744</v>
      </c>
      <c r="B4668" t="s">
        <v>23901</v>
      </c>
      <c r="C4668" t="str">
        <f>"9780886291501"</f>
        <v>9780886291501</v>
      </c>
      <c r="D4668" t="str">
        <f>"9780773573727"</f>
        <v>9780773573727</v>
      </c>
      <c r="E4668" t="s">
        <v>12863</v>
      </c>
      <c r="F4668" t="s">
        <v>12863</v>
      </c>
      <c r="G4668" s="1">
        <v>33557</v>
      </c>
      <c r="I4668" t="s">
        <v>13270</v>
      </c>
      <c r="J4668" t="s">
        <v>23902</v>
      </c>
      <c r="K4668" t="s">
        <v>473</v>
      </c>
      <c r="L4668" t="s">
        <v>23903</v>
      </c>
      <c r="M4668">
        <v>354.71100761060001</v>
      </c>
      <c r="N4668" t="s">
        <v>23904</v>
      </c>
      <c r="O4668" t="s">
        <v>26</v>
      </c>
      <c r="P4668">
        <v>150</v>
      </c>
      <c r="Q4668">
        <v>125</v>
      </c>
      <c r="R4668">
        <v>100</v>
      </c>
      <c r="S4668">
        <v>150</v>
      </c>
      <c r="T4668" t="s">
        <v>23905</v>
      </c>
    </row>
    <row r="4669" spans="1:20">
      <c r="A4669">
        <v>3332745</v>
      </c>
      <c r="B4669" t="s">
        <v>23906</v>
      </c>
      <c r="C4669" t="str">
        <f>"9780886293079"</f>
        <v>9780886293079</v>
      </c>
      <c r="D4669" t="str">
        <f>"9780773591134"</f>
        <v>9780773591134</v>
      </c>
      <c r="E4669" t="s">
        <v>12863</v>
      </c>
      <c r="F4669" t="s">
        <v>12863</v>
      </c>
      <c r="G4669" s="1">
        <v>35292</v>
      </c>
      <c r="J4669" t="s">
        <v>23907</v>
      </c>
      <c r="K4669" t="s">
        <v>12285</v>
      </c>
      <c r="L4669" t="s">
        <v>23908</v>
      </c>
      <c r="M4669">
        <v>516.00284999999997</v>
      </c>
      <c r="N4669" t="s">
        <v>23909</v>
      </c>
      <c r="O4669" t="s">
        <v>26</v>
      </c>
      <c r="P4669">
        <v>150</v>
      </c>
      <c r="Q4669">
        <v>125</v>
      </c>
      <c r="R4669">
        <v>100</v>
      </c>
      <c r="S4669">
        <v>150</v>
      </c>
      <c r="T4669" t="s">
        <v>23910</v>
      </c>
    </row>
    <row r="4670" spans="1:20">
      <c r="A4670">
        <v>3332746</v>
      </c>
      <c r="B4670" t="s">
        <v>23911</v>
      </c>
      <c r="C4670" t="str">
        <f>"9780771097478"</f>
        <v>9780771097478</v>
      </c>
      <c r="D4670" t="str">
        <f>"9780773583153"</f>
        <v>9780773583153</v>
      </c>
      <c r="E4670" t="s">
        <v>12863</v>
      </c>
      <c r="F4670" t="s">
        <v>12863</v>
      </c>
      <c r="G4670" s="1">
        <v>25218</v>
      </c>
      <c r="J4670" t="s">
        <v>23912</v>
      </c>
      <c r="K4670" t="s">
        <v>291</v>
      </c>
      <c r="L4670" t="s">
        <v>23913</v>
      </c>
      <c r="M4670" t="s">
        <v>23914</v>
      </c>
      <c r="N4670" t="s">
        <v>23915</v>
      </c>
      <c r="O4670" t="s">
        <v>26</v>
      </c>
      <c r="P4670">
        <v>112.5</v>
      </c>
      <c r="Q4670">
        <v>93.75</v>
      </c>
      <c r="R4670">
        <v>75</v>
      </c>
      <c r="S4670">
        <v>112.5</v>
      </c>
      <c r="T4670" t="s">
        <v>23916</v>
      </c>
    </row>
    <row r="4671" spans="1:20">
      <c r="A4671">
        <v>3332747</v>
      </c>
      <c r="B4671" t="s">
        <v>23917</v>
      </c>
      <c r="C4671" t="str">
        <f>"9780886291914"</f>
        <v>9780886291914</v>
      </c>
      <c r="D4671" t="str">
        <f>"9780773591578"</f>
        <v>9780773591578</v>
      </c>
      <c r="E4671" t="s">
        <v>12863</v>
      </c>
      <c r="F4671" t="s">
        <v>12863</v>
      </c>
      <c r="G4671" s="1">
        <v>34015</v>
      </c>
      <c r="J4671" t="s">
        <v>23918</v>
      </c>
      <c r="K4671" t="s">
        <v>7175</v>
      </c>
      <c r="L4671" t="s">
        <v>23919</v>
      </c>
      <c r="M4671">
        <v>172.2</v>
      </c>
      <c r="N4671" t="s">
        <v>23920</v>
      </c>
      <c r="O4671" t="s">
        <v>26</v>
      </c>
      <c r="P4671">
        <v>150</v>
      </c>
      <c r="Q4671">
        <v>125</v>
      </c>
      <c r="R4671">
        <v>100</v>
      </c>
      <c r="S4671">
        <v>150</v>
      </c>
      <c r="T4671" t="s">
        <v>23921</v>
      </c>
    </row>
    <row r="4672" spans="1:20">
      <c r="A4672">
        <v>3332749</v>
      </c>
      <c r="B4672" t="s">
        <v>23922</v>
      </c>
      <c r="C4672" t="str">
        <f>"9780886290757"</f>
        <v>9780886290757</v>
      </c>
      <c r="D4672" t="str">
        <f>"9780773581272"</f>
        <v>9780773581272</v>
      </c>
      <c r="E4672" t="s">
        <v>12863</v>
      </c>
      <c r="F4672" t="s">
        <v>12863</v>
      </c>
      <c r="G4672" s="1">
        <v>32417</v>
      </c>
      <c r="I4672" t="s">
        <v>16998</v>
      </c>
      <c r="J4672" t="s">
        <v>14773</v>
      </c>
      <c r="K4672" t="s">
        <v>263</v>
      </c>
      <c r="L4672" t="s">
        <v>23923</v>
      </c>
      <c r="M4672" t="s">
        <v>23924</v>
      </c>
      <c r="N4672" t="s">
        <v>23925</v>
      </c>
      <c r="O4672" t="s">
        <v>26</v>
      </c>
      <c r="P4672">
        <v>127.5</v>
      </c>
      <c r="Q4672">
        <v>106.25</v>
      </c>
      <c r="R4672">
        <v>85</v>
      </c>
      <c r="S4672">
        <v>127.5</v>
      </c>
      <c r="T4672" t="s">
        <v>23926</v>
      </c>
    </row>
    <row r="4673" spans="1:20">
      <c r="A4673">
        <v>3332750</v>
      </c>
      <c r="B4673" t="s">
        <v>23927</v>
      </c>
      <c r="C4673" t="str">
        <f>"9780886291655"</f>
        <v>9780886291655</v>
      </c>
      <c r="D4673" t="str">
        <f>"9780773591677"</f>
        <v>9780773591677</v>
      </c>
      <c r="E4673" t="s">
        <v>12863</v>
      </c>
      <c r="F4673" t="s">
        <v>12863</v>
      </c>
      <c r="G4673" s="1">
        <v>33739</v>
      </c>
      <c r="I4673" t="s">
        <v>22086</v>
      </c>
      <c r="J4673" t="s">
        <v>23928</v>
      </c>
      <c r="K4673" t="s">
        <v>2312</v>
      </c>
      <c r="L4673" t="s">
        <v>23929</v>
      </c>
      <c r="M4673">
        <v>354</v>
      </c>
      <c r="N4673" t="s">
        <v>23930</v>
      </c>
      <c r="O4673" t="s">
        <v>26</v>
      </c>
      <c r="P4673">
        <v>150</v>
      </c>
      <c r="Q4673">
        <v>125</v>
      </c>
      <c r="R4673">
        <v>100</v>
      </c>
      <c r="S4673">
        <v>150</v>
      </c>
      <c r="T4673" t="s">
        <v>23931</v>
      </c>
    </row>
    <row r="4674" spans="1:20">
      <c r="A4674">
        <v>3332751</v>
      </c>
      <c r="B4674" t="s">
        <v>23932</v>
      </c>
      <c r="C4674" t="str">
        <f>"9780886292775"</f>
        <v>9780886292775</v>
      </c>
      <c r="D4674" t="str">
        <f>"9780773591233"</f>
        <v>9780773591233</v>
      </c>
      <c r="E4674" t="s">
        <v>12863</v>
      </c>
      <c r="F4674" t="s">
        <v>12863</v>
      </c>
      <c r="G4674" s="1">
        <v>35231</v>
      </c>
      <c r="J4674" t="s">
        <v>23933</v>
      </c>
      <c r="K4674" t="s">
        <v>16038</v>
      </c>
      <c r="L4674" t="s">
        <v>23934</v>
      </c>
      <c r="M4674">
        <v>327.71071999999998</v>
      </c>
      <c r="N4674" t="s">
        <v>23935</v>
      </c>
      <c r="O4674" t="s">
        <v>26</v>
      </c>
      <c r="P4674">
        <v>150</v>
      </c>
      <c r="Q4674">
        <v>125</v>
      </c>
      <c r="R4674">
        <v>100</v>
      </c>
      <c r="S4674">
        <v>150</v>
      </c>
      <c r="T4674" t="s">
        <v>23936</v>
      </c>
    </row>
    <row r="4675" spans="1:20">
      <c r="A4675">
        <v>3332752</v>
      </c>
      <c r="B4675" t="s">
        <v>23937</v>
      </c>
      <c r="C4675" t="str">
        <f>"9780886290740"</f>
        <v>9780886290740</v>
      </c>
      <c r="D4675" t="str">
        <f>"9780773581111"</f>
        <v>9780773581111</v>
      </c>
      <c r="E4675" t="s">
        <v>12863</v>
      </c>
      <c r="F4675" t="s">
        <v>12863</v>
      </c>
      <c r="G4675" s="1">
        <v>32431</v>
      </c>
      <c r="J4675" t="s">
        <v>23938</v>
      </c>
      <c r="K4675" t="s">
        <v>467</v>
      </c>
      <c r="L4675" t="s">
        <v>23939</v>
      </c>
      <c r="N4675" t="s">
        <v>23940</v>
      </c>
      <c r="O4675" t="s">
        <v>26</v>
      </c>
      <c r="P4675">
        <v>127.5</v>
      </c>
      <c r="Q4675">
        <v>106.25</v>
      </c>
      <c r="R4675">
        <v>85</v>
      </c>
      <c r="S4675">
        <v>127.5</v>
      </c>
      <c r="T4675" t="s">
        <v>23941</v>
      </c>
    </row>
    <row r="4676" spans="1:20">
      <c r="A4676">
        <v>3332753</v>
      </c>
      <c r="B4676" t="s">
        <v>23942</v>
      </c>
      <c r="C4676" t="str">
        <f>"9780773543980"</f>
        <v>9780773543980</v>
      </c>
      <c r="D4676" t="str">
        <f>"9780773596214"</f>
        <v>9780773596214</v>
      </c>
      <c r="E4676" t="s">
        <v>12863</v>
      </c>
      <c r="F4676" t="s">
        <v>12863</v>
      </c>
      <c r="G4676" s="1">
        <v>41820</v>
      </c>
      <c r="J4676" t="s">
        <v>23943</v>
      </c>
      <c r="K4676" t="s">
        <v>416</v>
      </c>
      <c r="L4676" t="s">
        <v>23944</v>
      </c>
      <c r="M4676">
        <v>337.71</v>
      </c>
      <c r="N4676" t="s">
        <v>23945</v>
      </c>
      <c r="O4676" t="s">
        <v>26</v>
      </c>
      <c r="P4676">
        <v>44.93</v>
      </c>
      <c r="Q4676">
        <v>37.44</v>
      </c>
      <c r="R4676">
        <v>29.95</v>
      </c>
      <c r="S4676">
        <v>44.93</v>
      </c>
      <c r="T4676" t="s">
        <v>23946</v>
      </c>
    </row>
    <row r="4677" spans="1:20">
      <c r="A4677">
        <v>3332754</v>
      </c>
      <c r="B4677" t="s">
        <v>23947</v>
      </c>
      <c r="C4677" t="str">
        <f>"9780773543706"</f>
        <v>9780773543706</v>
      </c>
      <c r="D4677" t="str">
        <f>"9780773592148"</f>
        <v>9780773592148</v>
      </c>
      <c r="E4677" t="s">
        <v>12863</v>
      </c>
      <c r="F4677" t="s">
        <v>12863</v>
      </c>
      <c r="G4677" s="1">
        <v>41791</v>
      </c>
      <c r="J4677" t="s">
        <v>23948</v>
      </c>
      <c r="K4677" t="s">
        <v>291</v>
      </c>
      <c r="L4677" t="s">
        <v>23949</v>
      </c>
      <c r="M4677">
        <v>944.03300000000002</v>
      </c>
      <c r="N4677" t="s">
        <v>23950</v>
      </c>
      <c r="O4677" t="s">
        <v>26</v>
      </c>
      <c r="P4677">
        <v>74.930000000000007</v>
      </c>
      <c r="Q4677">
        <v>62.44</v>
      </c>
      <c r="R4677">
        <v>49.95</v>
      </c>
      <c r="S4677">
        <v>74.930000000000007</v>
      </c>
      <c r="T4677" t="s">
        <v>23951</v>
      </c>
    </row>
    <row r="4678" spans="1:20">
      <c r="A4678">
        <v>3332755</v>
      </c>
      <c r="B4678" t="s">
        <v>23952</v>
      </c>
      <c r="C4678" t="str">
        <f>"9780886291464"</f>
        <v>9780886291464</v>
      </c>
      <c r="D4678" t="str">
        <f>"9780773591219"</f>
        <v>9780773591219</v>
      </c>
      <c r="E4678" t="s">
        <v>12863</v>
      </c>
      <c r="F4678" t="s">
        <v>12863</v>
      </c>
      <c r="G4678" s="1">
        <v>33373</v>
      </c>
      <c r="J4678" t="s">
        <v>23928</v>
      </c>
      <c r="K4678" t="s">
        <v>305</v>
      </c>
      <c r="L4678" t="s">
        <v>23953</v>
      </c>
      <c r="N4678" t="s">
        <v>23930</v>
      </c>
      <c r="O4678" t="s">
        <v>26</v>
      </c>
      <c r="P4678">
        <v>150</v>
      </c>
      <c r="Q4678">
        <v>125</v>
      </c>
      <c r="R4678">
        <v>100</v>
      </c>
      <c r="S4678">
        <v>150</v>
      </c>
      <c r="T4678" t="s">
        <v>23954</v>
      </c>
    </row>
    <row r="4679" spans="1:20">
      <c r="A4679">
        <v>3332756</v>
      </c>
      <c r="B4679" t="s">
        <v>23955</v>
      </c>
      <c r="C4679" t="str">
        <f>"9780771099113"</f>
        <v>9780771099113</v>
      </c>
      <c r="D4679" t="str">
        <f>"9780773582446"</f>
        <v>9780773582446</v>
      </c>
      <c r="E4679" t="s">
        <v>12863</v>
      </c>
      <c r="F4679" t="s">
        <v>12863</v>
      </c>
      <c r="G4679" s="1">
        <v>28140</v>
      </c>
      <c r="J4679" t="s">
        <v>14282</v>
      </c>
      <c r="K4679" t="s">
        <v>6444</v>
      </c>
      <c r="L4679" t="s">
        <v>23956</v>
      </c>
      <c r="M4679">
        <v>327.71</v>
      </c>
      <c r="N4679" t="s">
        <v>23957</v>
      </c>
      <c r="O4679" t="s">
        <v>26</v>
      </c>
      <c r="P4679">
        <v>112.5</v>
      </c>
      <c r="Q4679">
        <v>93.75</v>
      </c>
      <c r="R4679">
        <v>75</v>
      </c>
      <c r="S4679">
        <v>112.5</v>
      </c>
      <c r="T4679" t="s">
        <v>23958</v>
      </c>
    </row>
    <row r="4680" spans="1:20">
      <c r="A4680">
        <v>3332757</v>
      </c>
      <c r="B4680" t="s">
        <v>23959</v>
      </c>
      <c r="C4680" t="str">
        <f>"9780886293055"</f>
        <v>9780886293055</v>
      </c>
      <c r="D4680" t="str">
        <f>"9780773584631"</f>
        <v>9780773584631</v>
      </c>
      <c r="E4680" t="s">
        <v>12863</v>
      </c>
      <c r="F4680" t="s">
        <v>12863</v>
      </c>
      <c r="G4680" s="1">
        <v>33892</v>
      </c>
      <c r="J4680" t="s">
        <v>23960</v>
      </c>
      <c r="K4680" t="s">
        <v>1464</v>
      </c>
      <c r="L4680" t="s">
        <v>23961</v>
      </c>
      <c r="M4680">
        <v>811.54</v>
      </c>
      <c r="N4680" t="s">
        <v>21545</v>
      </c>
      <c r="O4680" t="s">
        <v>26</v>
      </c>
      <c r="P4680">
        <v>150</v>
      </c>
      <c r="Q4680">
        <v>125</v>
      </c>
      <c r="R4680">
        <v>100</v>
      </c>
      <c r="S4680">
        <v>150</v>
      </c>
      <c r="T4680" t="s">
        <v>23962</v>
      </c>
    </row>
    <row r="4681" spans="1:20">
      <c r="A4681">
        <v>3332758</v>
      </c>
      <c r="B4681" t="s">
        <v>23963</v>
      </c>
      <c r="C4681" t="str">
        <f>"9780773543515"</f>
        <v>9780773543515</v>
      </c>
      <c r="D4681" t="str">
        <f>"9780773591967"</f>
        <v>9780773591967</v>
      </c>
      <c r="E4681" t="s">
        <v>12863</v>
      </c>
      <c r="F4681" t="s">
        <v>12863</v>
      </c>
      <c r="G4681" s="1">
        <v>41773</v>
      </c>
      <c r="J4681" t="s">
        <v>23964</v>
      </c>
      <c r="K4681" t="s">
        <v>467</v>
      </c>
      <c r="L4681" t="s">
        <v>23965</v>
      </c>
      <c r="M4681">
        <v>320.52097099999997</v>
      </c>
      <c r="N4681" t="s">
        <v>23966</v>
      </c>
      <c r="O4681" t="s">
        <v>26</v>
      </c>
      <c r="P4681">
        <v>52.43</v>
      </c>
      <c r="Q4681">
        <v>43.69</v>
      </c>
      <c r="R4681">
        <v>34.950000000000003</v>
      </c>
      <c r="S4681">
        <v>52.43</v>
      </c>
      <c r="T4681" t="s">
        <v>23967</v>
      </c>
    </row>
    <row r="4682" spans="1:20">
      <c r="A4682">
        <v>3332759</v>
      </c>
      <c r="B4682" t="s">
        <v>23968</v>
      </c>
      <c r="C4682" t="str">
        <f>"9780886290726"</f>
        <v>9780886290726</v>
      </c>
      <c r="D4682" t="str">
        <f>"9780773580893"</f>
        <v>9780773580893</v>
      </c>
      <c r="E4682" t="s">
        <v>12863</v>
      </c>
      <c r="F4682" t="s">
        <v>12863</v>
      </c>
      <c r="G4682" s="1">
        <v>32309</v>
      </c>
      <c r="I4682" t="s">
        <v>13270</v>
      </c>
      <c r="J4682" t="s">
        <v>23969</v>
      </c>
      <c r="K4682" t="s">
        <v>305</v>
      </c>
      <c r="L4682" t="s">
        <v>23970</v>
      </c>
      <c r="M4682" t="s">
        <v>23971</v>
      </c>
      <c r="N4682" t="s">
        <v>23972</v>
      </c>
      <c r="O4682" t="s">
        <v>26</v>
      </c>
      <c r="P4682">
        <v>127.5</v>
      </c>
      <c r="Q4682">
        <v>106.25</v>
      </c>
      <c r="R4682">
        <v>85</v>
      </c>
      <c r="S4682">
        <v>127.5</v>
      </c>
      <c r="T4682" t="s">
        <v>23973</v>
      </c>
    </row>
    <row r="4683" spans="1:20">
      <c r="A4683">
        <v>3332760</v>
      </c>
      <c r="B4683" t="s">
        <v>23974</v>
      </c>
      <c r="C4683" t="str">
        <f>"9780886291990"</f>
        <v>9780886291990</v>
      </c>
      <c r="D4683" t="str">
        <f>"9780773591615"</f>
        <v>9780773591615</v>
      </c>
      <c r="E4683" t="s">
        <v>12863</v>
      </c>
      <c r="F4683" t="s">
        <v>12863</v>
      </c>
      <c r="G4683" s="1">
        <v>34257</v>
      </c>
      <c r="I4683" t="s">
        <v>23485</v>
      </c>
      <c r="J4683" t="s">
        <v>23975</v>
      </c>
      <c r="K4683" t="s">
        <v>467</v>
      </c>
      <c r="L4683" t="s">
        <v>23976</v>
      </c>
      <c r="M4683">
        <v>320.971</v>
      </c>
      <c r="N4683" t="s">
        <v>23977</v>
      </c>
      <c r="O4683" t="s">
        <v>26</v>
      </c>
      <c r="P4683">
        <v>150</v>
      </c>
      <c r="Q4683">
        <v>125</v>
      </c>
      <c r="R4683">
        <v>100</v>
      </c>
      <c r="S4683">
        <v>150</v>
      </c>
      <c r="T4683" t="s">
        <v>23978</v>
      </c>
    </row>
    <row r="4684" spans="1:20">
      <c r="A4684">
        <v>3332761</v>
      </c>
      <c r="B4684" t="s">
        <v>23979</v>
      </c>
      <c r="C4684" t="str">
        <f>"9780771097713"</f>
        <v>9780771097713</v>
      </c>
      <c r="D4684" t="str">
        <f>"9780773591561"</f>
        <v>9780773591561</v>
      </c>
      <c r="E4684" t="s">
        <v>12863</v>
      </c>
      <c r="F4684" t="s">
        <v>12863</v>
      </c>
      <c r="G4684" s="1">
        <v>23026</v>
      </c>
      <c r="I4684" t="s">
        <v>16998</v>
      </c>
      <c r="J4684" t="s">
        <v>23980</v>
      </c>
      <c r="K4684" t="s">
        <v>291</v>
      </c>
      <c r="L4684" t="s">
        <v>23981</v>
      </c>
      <c r="M4684" t="s">
        <v>23982</v>
      </c>
      <c r="N4684" t="s">
        <v>23983</v>
      </c>
      <c r="O4684" t="s">
        <v>26</v>
      </c>
      <c r="P4684">
        <v>112.5</v>
      </c>
      <c r="Q4684">
        <v>93.75</v>
      </c>
      <c r="R4684">
        <v>75</v>
      </c>
      <c r="S4684">
        <v>112.5</v>
      </c>
      <c r="T4684" t="s">
        <v>23984</v>
      </c>
    </row>
    <row r="4685" spans="1:20">
      <c r="A4685">
        <v>3332762</v>
      </c>
      <c r="B4685" t="s">
        <v>23985</v>
      </c>
      <c r="C4685" t="str">
        <f>"9780886290238"</f>
        <v>9780886290238</v>
      </c>
      <c r="D4685" t="str">
        <f>"9780773581043"</f>
        <v>9780773581043</v>
      </c>
      <c r="E4685" t="s">
        <v>12863</v>
      </c>
      <c r="F4685" t="s">
        <v>12863</v>
      </c>
      <c r="G4685" s="1">
        <v>31182</v>
      </c>
      <c r="J4685" t="s">
        <v>23986</v>
      </c>
      <c r="K4685" t="s">
        <v>263</v>
      </c>
      <c r="L4685" t="s">
        <v>23987</v>
      </c>
      <c r="M4685" t="s">
        <v>23988</v>
      </c>
      <c r="N4685" t="s">
        <v>23989</v>
      </c>
      <c r="O4685" t="s">
        <v>26</v>
      </c>
      <c r="P4685">
        <v>127.5</v>
      </c>
      <c r="Q4685">
        <v>106.25</v>
      </c>
      <c r="R4685">
        <v>85</v>
      </c>
      <c r="S4685">
        <v>127.5</v>
      </c>
      <c r="T4685" t="s">
        <v>23990</v>
      </c>
    </row>
    <row r="4686" spans="1:20">
      <c r="A4686">
        <v>3332763</v>
      </c>
      <c r="B4686" t="s">
        <v>23991</v>
      </c>
      <c r="C4686" t="str">
        <f>"9780773543355"</f>
        <v>9780773543355</v>
      </c>
      <c r="D4686" t="str">
        <f>"9780773590465"</f>
        <v>9780773590465</v>
      </c>
      <c r="E4686" t="s">
        <v>12863</v>
      </c>
      <c r="F4686" t="s">
        <v>12863</v>
      </c>
      <c r="G4686" s="1">
        <v>41791</v>
      </c>
      <c r="J4686" t="s">
        <v>23992</v>
      </c>
      <c r="K4686" t="s">
        <v>3860</v>
      </c>
      <c r="L4686" t="s">
        <v>23993</v>
      </c>
      <c r="M4686" t="s">
        <v>23994</v>
      </c>
      <c r="N4686" t="s">
        <v>23995</v>
      </c>
      <c r="O4686" t="s">
        <v>26</v>
      </c>
      <c r="P4686">
        <v>150</v>
      </c>
      <c r="Q4686">
        <v>125</v>
      </c>
      <c r="R4686">
        <v>100</v>
      </c>
      <c r="S4686">
        <v>150</v>
      </c>
      <c r="T4686" t="s">
        <v>23996</v>
      </c>
    </row>
    <row r="4687" spans="1:20">
      <c r="A4687">
        <v>3332764</v>
      </c>
      <c r="B4687" t="s">
        <v>23997</v>
      </c>
      <c r="C4687" t="str">
        <f>"9780773543805"</f>
        <v>9780773543805</v>
      </c>
      <c r="D4687" t="str">
        <f>"9780773585393"</f>
        <v>9780773585393</v>
      </c>
      <c r="E4687" t="s">
        <v>12863</v>
      </c>
      <c r="F4687" t="s">
        <v>12863</v>
      </c>
      <c r="G4687" s="1">
        <v>41840</v>
      </c>
      <c r="J4687" t="s">
        <v>23998</v>
      </c>
      <c r="K4687" t="s">
        <v>23999</v>
      </c>
      <c r="L4687" t="s">
        <v>24000</v>
      </c>
      <c r="M4687" t="s">
        <v>24001</v>
      </c>
      <c r="N4687" t="s">
        <v>24002</v>
      </c>
      <c r="O4687" t="s">
        <v>26</v>
      </c>
      <c r="P4687">
        <v>150</v>
      </c>
      <c r="Q4687">
        <v>125</v>
      </c>
      <c r="R4687">
        <v>100</v>
      </c>
      <c r="S4687">
        <v>150</v>
      </c>
      <c r="T4687" t="s">
        <v>24003</v>
      </c>
    </row>
    <row r="4688" spans="1:20">
      <c r="A4688">
        <v>3332765</v>
      </c>
      <c r="B4688" t="s">
        <v>24004</v>
      </c>
      <c r="C4688" t="str">
        <f>"9780886290160"</f>
        <v>9780886290160</v>
      </c>
      <c r="D4688" t="str">
        <f>"9780773584488"</f>
        <v>9780773584488</v>
      </c>
      <c r="E4688" t="s">
        <v>12863</v>
      </c>
      <c r="F4688" t="s">
        <v>12863</v>
      </c>
      <c r="G4688" s="1">
        <v>30331</v>
      </c>
      <c r="J4688" t="s">
        <v>24005</v>
      </c>
      <c r="K4688" t="s">
        <v>1297</v>
      </c>
      <c r="L4688" t="s">
        <v>24006</v>
      </c>
      <c r="M4688">
        <v>333.72</v>
      </c>
      <c r="N4688" t="s">
        <v>24007</v>
      </c>
      <c r="O4688" t="s">
        <v>26</v>
      </c>
      <c r="P4688">
        <v>127.5</v>
      </c>
      <c r="Q4688">
        <v>106.25</v>
      </c>
      <c r="R4688">
        <v>85</v>
      </c>
      <c r="S4688">
        <v>127.5</v>
      </c>
      <c r="T4688" t="s">
        <v>24008</v>
      </c>
    </row>
    <row r="4689" spans="1:20">
      <c r="A4689">
        <v>3332766</v>
      </c>
      <c r="B4689" t="s">
        <v>24009</v>
      </c>
      <c r="C4689" t="str">
        <f>"9780771097942"</f>
        <v>9780771097942</v>
      </c>
      <c r="D4689" t="str">
        <f>"9780773591585"</f>
        <v>9780773591585</v>
      </c>
      <c r="E4689" t="s">
        <v>12863</v>
      </c>
      <c r="F4689" t="s">
        <v>12863</v>
      </c>
      <c r="G4689" s="1">
        <v>27774</v>
      </c>
      <c r="I4689" t="s">
        <v>16998</v>
      </c>
      <c r="J4689" t="s">
        <v>24010</v>
      </c>
      <c r="K4689" t="s">
        <v>263</v>
      </c>
      <c r="L4689" t="s">
        <v>24011</v>
      </c>
      <c r="M4689" t="s">
        <v>24012</v>
      </c>
      <c r="N4689" t="s">
        <v>24013</v>
      </c>
      <c r="O4689" t="s">
        <v>26</v>
      </c>
      <c r="P4689">
        <v>112.5</v>
      </c>
      <c r="Q4689">
        <v>93.75</v>
      </c>
      <c r="R4689">
        <v>75</v>
      </c>
      <c r="S4689">
        <v>112.5</v>
      </c>
      <c r="T4689" t="s">
        <v>24014</v>
      </c>
    </row>
    <row r="4690" spans="1:20">
      <c r="A4690">
        <v>3332767</v>
      </c>
      <c r="B4690" t="s">
        <v>24015</v>
      </c>
      <c r="C4690" t="str">
        <f>"9780773543560"</f>
        <v>9780773543560</v>
      </c>
      <c r="D4690" t="str">
        <f>"9780773591981"</f>
        <v>9780773591981</v>
      </c>
      <c r="E4690" t="s">
        <v>12863</v>
      </c>
      <c r="F4690" t="s">
        <v>12863</v>
      </c>
      <c r="G4690" s="1">
        <v>41838</v>
      </c>
      <c r="J4690" t="s">
        <v>24016</v>
      </c>
      <c r="K4690" t="s">
        <v>1892</v>
      </c>
      <c r="L4690" t="s">
        <v>24017</v>
      </c>
      <c r="M4690" t="s">
        <v>24018</v>
      </c>
      <c r="N4690" t="s">
        <v>24019</v>
      </c>
      <c r="O4690" t="s">
        <v>26</v>
      </c>
      <c r="P4690">
        <v>150</v>
      </c>
      <c r="Q4690">
        <v>125</v>
      </c>
      <c r="R4690">
        <v>100</v>
      </c>
      <c r="S4690">
        <v>150</v>
      </c>
      <c r="T4690" t="s">
        <v>24020</v>
      </c>
    </row>
    <row r="4691" spans="1:20">
      <c r="A4691">
        <v>3332768</v>
      </c>
      <c r="B4691" t="s">
        <v>24021</v>
      </c>
      <c r="C4691" t="str">
        <f>"9780886290689"</f>
        <v>9780886290689</v>
      </c>
      <c r="D4691" t="str">
        <f>"9780773573505"</f>
        <v>9780773573505</v>
      </c>
      <c r="E4691" t="s">
        <v>12863</v>
      </c>
      <c r="F4691" t="s">
        <v>12863</v>
      </c>
      <c r="G4691" s="1">
        <v>32217</v>
      </c>
      <c r="I4691" t="s">
        <v>13270</v>
      </c>
      <c r="J4691" t="s">
        <v>24022</v>
      </c>
      <c r="K4691" t="s">
        <v>3230</v>
      </c>
      <c r="L4691" t="s">
        <v>24023</v>
      </c>
      <c r="M4691" t="s">
        <v>24024</v>
      </c>
      <c r="N4691" t="s">
        <v>24025</v>
      </c>
      <c r="O4691" t="s">
        <v>26</v>
      </c>
      <c r="P4691">
        <v>127.5</v>
      </c>
      <c r="Q4691">
        <v>106.25</v>
      </c>
      <c r="R4691">
        <v>85</v>
      </c>
      <c r="S4691">
        <v>127.5</v>
      </c>
      <c r="T4691" t="s">
        <v>24026</v>
      </c>
    </row>
    <row r="4692" spans="1:20">
      <c r="A4692">
        <v>3332769</v>
      </c>
      <c r="B4692" t="s">
        <v>24027</v>
      </c>
      <c r="C4692" t="str">
        <f>"9780773543683"</f>
        <v>9780773543683</v>
      </c>
      <c r="D4692" t="str">
        <f>"9780773592124"</f>
        <v>9780773592124</v>
      </c>
      <c r="E4692" t="s">
        <v>12863</v>
      </c>
      <c r="F4692" t="s">
        <v>12863</v>
      </c>
      <c r="G4692" s="1">
        <v>41835</v>
      </c>
      <c r="J4692" t="s">
        <v>24028</v>
      </c>
      <c r="K4692" t="s">
        <v>263</v>
      </c>
      <c r="L4692" t="s">
        <v>24029</v>
      </c>
      <c r="M4692" t="s">
        <v>24030</v>
      </c>
      <c r="N4692" t="s">
        <v>24031</v>
      </c>
      <c r="O4692" t="s">
        <v>26</v>
      </c>
      <c r="P4692">
        <v>187.5</v>
      </c>
      <c r="Q4692">
        <v>156.25</v>
      </c>
      <c r="R4692">
        <v>125</v>
      </c>
      <c r="S4692">
        <v>187.5</v>
      </c>
      <c r="T4692" t="s">
        <v>24032</v>
      </c>
    </row>
    <row r="4693" spans="1:20">
      <c r="A4693">
        <v>3332770</v>
      </c>
      <c r="B4693" t="s">
        <v>24033</v>
      </c>
      <c r="C4693" t="str">
        <f>"9780773543812"</f>
        <v>9780773543812</v>
      </c>
      <c r="D4693" t="str">
        <f>"9780773592223"</f>
        <v>9780773592223</v>
      </c>
      <c r="E4693" t="s">
        <v>12863</v>
      </c>
      <c r="F4693" t="s">
        <v>12863</v>
      </c>
      <c r="G4693" s="1">
        <v>41835</v>
      </c>
      <c r="J4693" t="s">
        <v>24034</v>
      </c>
      <c r="K4693" t="s">
        <v>278</v>
      </c>
      <c r="L4693" t="s">
        <v>24035</v>
      </c>
      <c r="M4693" t="s">
        <v>24036</v>
      </c>
      <c r="N4693" t="s">
        <v>24037</v>
      </c>
      <c r="O4693" t="s">
        <v>26</v>
      </c>
      <c r="P4693">
        <v>150</v>
      </c>
      <c r="Q4693">
        <v>125</v>
      </c>
      <c r="R4693">
        <v>100</v>
      </c>
      <c r="S4693">
        <v>150</v>
      </c>
      <c r="T4693" t="s">
        <v>24038</v>
      </c>
    </row>
    <row r="4694" spans="1:20">
      <c r="A4694">
        <v>3332771</v>
      </c>
      <c r="B4694" t="s">
        <v>24039</v>
      </c>
      <c r="C4694" t="str">
        <f>"9780771097782"</f>
        <v>9780771097782</v>
      </c>
      <c r="D4694" t="str">
        <f>"9780773581197"</f>
        <v>9780773581197</v>
      </c>
      <c r="E4694" t="s">
        <v>12863</v>
      </c>
      <c r="F4694" t="s">
        <v>12863</v>
      </c>
      <c r="G4694" s="1">
        <v>27044</v>
      </c>
      <c r="I4694" t="s">
        <v>13270</v>
      </c>
      <c r="J4694" t="s">
        <v>24040</v>
      </c>
      <c r="K4694" t="s">
        <v>291</v>
      </c>
      <c r="L4694" t="s">
        <v>24041</v>
      </c>
      <c r="M4694" t="s">
        <v>24042</v>
      </c>
      <c r="N4694" t="s">
        <v>24043</v>
      </c>
      <c r="O4694" t="s">
        <v>26</v>
      </c>
      <c r="P4694">
        <v>112.5</v>
      </c>
      <c r="Q4694">
        <v>93.75</v>
      </c>
      <c r="R4694">
        <v>75</v>
      </c>
      <c r="S4694">
        <v>112.5</v>
      </c>
      <c r="T4694" t="s">
        <v>24044</v>
      </c>
    </row>
    <row r="4695" spans="1:20">
      <c r="A4695">
        <v>3332772</v>
      </c>
      <c r="B4695" t="s">
        <v>24045</v>
      </c>
      <c r="C4695" t="str">
        <f>"9780773543614"</f>
        <v>9780773543614</v>
      </c>
      <c r="D4695" t="str">
        <f>"9780773592063"</f>
        <v>9780773592063</v>
      </c>
      <c r="E4695" t="s">
        <v>12863</v>
      </c>
      <c r="F4695" t="s">
        <v>12863</v>
      </c>
      <c r="G4695" s="1">
        <v>41835</v>
      </c>
      <c r="J4695" t="s">
        <v>24046</v>
      </c>
      <c r="K4695" t="s">
        <v>291</v>
      </c>
      <c r="L4695" t="s">
        <v>24047</v>
      </c>
      <c r="M4695" t="s">
        <v>24048</v>
      </c>
      <c r="N4695" t="s">
        <v>24049</v>
      </c>
      <c r="O4695" t="s">
        <v>26</v>
      </c>
      <c r="P4695">
        <v>150</v>
      </c>
      <c r="R4695">
        <v>100</v>
      </c>
      <c r="T4695" t="s">
        <v>24050</v>
      </c>
    </row>
    <row r="4696" spans="1:20">
      <c r="A4696">
        <v>3332773</v>
      </c>
      <c r="B4696" t="s">
        <v>24051</v>
      </c>
      <c r="C4696" t="str">
        <f>"9780886290504"</f>
        <v>9780886290504</v>
      </c>
      <c r="D4696" t="str">
        <f>"9780773581548"</f>
        <v>9780773581548</v>
      </c>
      <c r="E4696" t="s">
        <v>12863</v>
      </c>
      <c r="F4696" t="s">
        <v>12863</v>
      </c>
      <c r="G4696" s="1">
        <v>31639</v>
      </c>
      <c r="I4696" t="s">
        <v>13270</v>
      </c>
      <c r="J4696" t="s">
        <v>24052</v>
      </c>
      <c r="K4696" t="s">
        <v>11256</v>
      </c>
      <c r="L4696" t="s">
        <v>24053</v>
      </c>
      <c r="M4696">
        <v>601</v>
      </c>
      <c r="N4696" t="s">
        <v>24054</v>
      </c>
      <c r="O4696" t="s">
        <v>26</v>
      </c>
      <c r="P4696">
        <v>127.5</v>
      </c>
      <c r="Q4696">
        <v>106.25</v>
      </c>
      <c r="R4696">
        <v>85</v>
      </c>
      <c r="S4696">
        <v>127.5</v>
      </c>
      <c r="T4696" t="s">
        <v>24055</v>
      </c>
    </row>
    <row r="4697" spans="1:20">
      <c r="A4697">
        <v>3332774</v>
      </c>
      <c r="B4697" t="s">
        <v>24056</v>
      </c>
      <c r="C4697" t="str">
        <f>"9780773517189"</f>
        <v>9780773517189</v>
      </c>
      <c r="D4697" t="str">
        <f>"9780773567139"</f>
        <v>9780773567139</v>
      </c>
      <c r="E4697" t="s">
        <v>12863</v>
      </c>
      <c r="F4697" t="s">
        <v>12863</v>
      </c>
      <c r="G4697" s="1">
        <v>35753</v>
      </c>
      <c r="H4697">
        <v>2</v>
      </c>
      <c r="J4697" t="s">
        <v>24057</v>
      </c>
      <c r="K4697" t="s">
        <v>525</v>
      </c>
      <c r="L4697" t="s">
        <v>24058</v>
      </c>
      <c r="M4697" t="s">
        <v>24059</v>
      </c>
      <c r="N4697" t="s">
        <v>24060</v>
      </c>
      <c r="O4697" t="s">
        <v>26</v>
      </c>
      <c r="P4697">
        <v>150</v>
      </c>
      <c r="Q4697">
        <v>125</v>
      </c>
      <c r="R4697">
        <v>100</v>
      </c>
      <c r="S4697">
        <v>150</v>
      </c>
      <c r="T4697" t="s">
        <v>24061</v>
      </c>
    </row>
    <row r="4698" spans="1:20">
      <c r="A4698">
        <v>3332775</v>
      </c>
      <c r="B4698" t="s">
        <v>24062</v>
      </c>
      <c r="C4698" t="str">
        <f>"9780886290528"</f>
        <v>9780886290528</v>
      </c>
      <c r="D4698" t="str">
        <f>"9780773581265"</f>
        <v>9780773581265</v>
      </c>
      <c r="E4698" t="s">
        <v>12863</v>
      </c>
      <c r="F4698" t="s">
        <v>12863</v>
      </c>
      <c r="G4698" s="1">
        <v>27409</v>
      </c>
      <c r="J4698" t="s">
        <v>14773</v>
      </c>
      <c r="K4698" t="s">
        <v>263</v>
      </c>
      <c r="L4698" t="s">
        <v>24063</v>
      </c>
      <c r="M4698" t="s">
        <v>24064</v>
      </c>
      <c r="N4698" t="s">
        <v>24065</v>
      </c>
      <c r="O4698" t="s">
        <v>26</v>
      </c>
      <c r="P4698">
        <v>112.5</v>
      </c>
      <c r="Q4698">
        <v>93.75</v>
      </c>
      <c r="R4698">
        <v>75</v>
      </c>
      <c r="S4698">
        <v>112.5</v>
      </c>
      <c r="T4698" t="s">
        <v>24066</v>
      </c>
    </row>
    <row r="4699" spans="1:20">
      <c r="A4699">
        <v>3332776</v>
      </c>
      <c r="B4699" t="s">
        <v>24067</v>
      </c>
      <c r="C4699" t="str">
        <f>"9780886292539"</f>
        <v>9780886292539</v>
      </c>
      <c r="D4699" t="str">
        <f>"9780773591158"</f>
        <v>9780773591158</v>
      </c>
      <c r="E4699" t="s">
        <v>12863</v>
      </c>
      <c r="F4699" t="s">
        <v>12863</v>
      </c>
      <c r="G4699" s="1">
        <v>34834</v>
      </c>
      <c r="I4699" t="s">
        <v>24068</v>
      </c>
      <c r="J4699" t="s">
        <v>24069</v>
      </c>
      <c r="K4699" t="s">
        <v>16707</v>
      </c>
      <c r="L4699" t="s">
        <v>24070</v>
      </c>
      <c r="M4699">
        <v>4.3600000000000003</v>
      </c>
      <c r="N4699" t="s">
        <v>24071</v>
      </c>
      <c r="O4699" t="s">
        <v>26</v>
      </c>
      <c r="P4699">
        <v>150</v>
      </c>
      <c r="Q4699">
        <v>125</v>
      </c>
      <c r="R4699">
        <v>100</v>
      </c>
      <c r="S4699">
        <v>150</v>
      </c>
      <c r="T4699" t="s">
        <v>24072</v>
      </c>
    </row>
    <row r="4700" spans="1:20">
      <c r="A4700">
        <v>3332777</v>
      </c>
      <c r="B4700" t="s">
        <v>24073</v>
      </c>
      <c r="C4700" t="str">
        <f>"9780771097669"</f>
        <v>9780771097669</v>
      </c>
      <c r="D4700" t="str">
        <f>"9780773583061"</f>
        <v>9780773583061</v>
      </c>
      <c r="E4700" t="s">
        <v>12863</v>
      </c>
      <c r="F4700" t="s">
        <v>12863</v>
      </c>
      <c r="G4700" s="1">
        <v>26679</v>
      </c>
      <c r="I4700" t="s">
        <v>13270</v>
      </c>
      <c r="J4700" t="s">
        <v>24074</v>
      </c>
      <c r="K4700" t="s">
        <v>278</v>
      </c>
      <c r="L4700" t="s">
        <v>24075</v>
      </c>
      <c r="M4700" t="s">
        <v>24076</v>
      </c>
      <c r="N4700" t="s">
        <v>24077</v>
      </c>
      <c r="O4700" t="s">
        <v>26</v>
      </c>
      <c r="P4700">
        <v>112.5</v>
      </c>
      <c r="Q4700">
        <v>93.75</v>
      </c>
      <c r="R4700">
        <v>75</v>
      </c>
      <c r="S4700">
        <v>112.5</v>
      </c>
      <c r="T4700" t="s">
        <v>24078</v>
      </c>
    </row>
    <row r="4701" spans="1:20">
      <c r="A4701">
        <v>3332778</v>
      </c>
      <c r="B4701" t="s">
        <v>24079</v>
      </c>
      <c r="C4701" t="str">
        <f>"9780886290597"</f>
        <v>9780886290597</v>
      </c>
      <c r="D4701" t="str">
        <f>"9780773580763"</f>
        <v>9780773580763</v>
      </c>
      <c r="E4701" t="s">
        <v>12863</v>
      </c>
      <c r="F4701" t="s">
        <v>12863</v>
      </c>
      <c r="G4701" s="1">
        <v>32065</v>
      </c>
      <c r="I4701" t="s">
        <v>13270</v>
      </c>
      <c r="J4701" t="s">
        <v>24080</v>
      </c>
      <c r="K4701" t="s">
        <v>278</v>
      </c>
      <c r="L4701" t="s">
        <v>24081</v>
      </c>
      <c r="M4701" t="s">
        <v>24082</v>
      </c>
      <c r="N4701" t="s">
        <v>24083</v>
      </c>
      <c r="O4701" t="s">
        <v>26</v>
      </c>
      <c r="P4701">
        <v>127.5</v>
      </c>
      <c r="Q4701">
        <v>106.25</v>
      </c>
      <c r="R4701">
        <v>85</v>
      </c>
      <c r="S4701">
        <v>127.5</v>
      </c>
      <c r="T4701" t="s">
        <v>24084</v>
      </c>
    </row>
    <row r="4702" spans="1:20">
      <c r="A4702">
        <v>3332779</v>
      </c>
      <c r="B4702" t="s">
        <v>24085</v>
      </c>
      <c r="C4702" t="str">
        <f>"9780886293383"</f>
        <v>9780886293383</v>
      </c>
      <c r="D4702" t="str">
        <f>"9780773591400"</f>
        <v>9780773591400</v>
      </c>
      <c r="E4702" t="s">
        <v>12863</v>
      </c>
      <c r="F4702" t="s">
        <v>12863</v>
      </c>
      <c r="G4702" s="1">
        <v>35718</v>
      </c>
      <c r="I4702" t="s">
        <v>24068</v>
      </c>
      <c r="J4702" t="s">
        <v>24086</v>
      </c>
      <c r="K4702" t="s">
        <v>16707</v>
      </c>
      <c r="L4702" t="s">
        <v>24087</v>
      </c>
      <c r="M4702">
        <v>5</v>
      </c>
      <c r="N4702" t="s">
        <v>24088</v>
      </c>
      <c r="O4702" t="s">
        <v>26</v>
      </c>
      <c r="P4702">
        <v>150</v>
      </c>
      <c r="Q4702">
        <v>125</v>
      </c>
      <c r="R4702">
        <v>100</v>
      </c>
      <c r="S4702">
        <v>150</v>
      </c>
      <c r="T4702" t="s">
        <v>24089</v>
      </c>
    </row>
    <row r="4703" spans="1:20">
      <c r="A4703">
        <v>3332780</v>
      </c>
      <c r="B4703" t="s">
        <v>24090</v>
      </c>
      <c r="C4703" t="str">
        <f>"9780886290214"</f>
        <v>9780886290214</v>
      </c>
      <c r="D4703" t="str">
        <f>"9780773591240"</f>
        <v>9780773591240</v>
      </c>
      <c r="E4703" t="s">
        <v>12863</v>
      </c>
      <c r="F4703" t="s">
        <v>12863</v>
      </c>
      <c r="G4703" s="1">
        <v>24487</v>
      </c>
      <c r="I4703" t="s">
        <v>16998</v>
      </c>
      <c r="J4703" t="s">
        <v>24091</v>
      </c>
      <c r="K4703" t="s">
        <v>416</v>
      </c>
      <c r="L4703" t="s">
        <v>24092</v>
      </c>
      <c r="M4703">
        <v>330.971</v>
      </c>
      <c r="N4703" t="s">
        <v>21338</v>
      </c>
      <c r="O4703" t="s">
        <v>26</v>
      </c>
      <c r="P4703">
        <v>112.5</v>
      </c>
      <c r="Q4703">
        <v>93.75</v>
      </c>
      <c r="R4703">
        <v>75</v>
      </c>
      <c r="S4703">
        <v>112.5</v>
      </c>
      <c r="T4703" t="s">
        <v>24093</v>
      </c>
    </row>
    <row r="4704" spans="1:20">
      <c r="A4704">
        <v>3332781</v>
      </c>
      <c r="B4704" t="s">
        <v>24094</v>
      </c>
      <c r="C4704" t="str">
        <f>"9780886293338"</f>
        <v>9780886293338</v>
      </c>
      <c r="D4704" t="str">
        <f>"9780773591141"</f>
        <v>9780773591141</v>
      </c>
      <c r="E4704" t="s">
        <v>12863</v>
      </c>
      <c r="F4704" t="s">
        <v>12863</v>
      </c>
      <c r="G4704" s="1">
        <v>35657</v>
      </c>
      <c r="I4704" t="s">
        <v>24068</v>
      </c>
      <c r="J4704" t="s">
        <v>24095</v>
      </c>
      <c r="K4704" t="s">
        <v>16707</v>
      </c>
      <c r="L4704" t="s">
        <v>24096</v>
      </c>
      <c r="M4704">
        <v>4.3600000000000003</v>
      </c>
      <c r="N4704" t="s">
        <v>24097</v>
      </c>
      <c r="O4704" t="s">
        <v>26</v>
      </c>
      <c r="P4704">
        <v>150</v>
      </c>
      <c r="Q4704">
        <v>125</v>
      </c>
      <c r="R4704">
        <v>100</v>
      </c>
      <c r="S4704">
        <v>150</v>
      </c>
      <c r="T4704" t="s">
        <v>24098</v>
      </c>
    </row>
    <row r="4705" spans="1:20">
      <c r="A4705">
        <v>3332782</v>
      </c>
      <c r="B4705" t="s">
        <v>24099</v>
      </c>
      <c r="C4705" t="str">
        <f>"9780771097867"</f>
        <v>9780771097867</v>
      </c>
      <c r="D4705" t="str">
        <f>"9780773591684"</f>
        <v>9780773591684</v>
      </c>
      <c r="E4705" t="s">
        <v>12863</v>
      </c>
      <c r="F4705" t="s">
        <v>12863</v>
      </c>
      <c r="G4705" s="1">
        <v>28870</v>
      </c>
      <c r="I4705" t="s">
        <v>16998</v>
      </c>
      <c r="J4705" t="s">
        <v>24100</v>
      </c>
      <c r="K4705" t="s">
        <v>305</v>
      </c>
      <c r="L4705" t="s">
        <v>24101</v>
      </c>
      <c r="M4705">
        <v>382.17</v>
      </c>
      <c r="N4705" t="s">
        <v>24102</v>
      </c>
      <c r="O4705" t="s">
        <v>26</v>
      </c>
      <c r="P4705">
        <v>112.5</v>
      </c>
      <c r="Q4705">
        <v>93.75</v>
      </c>
      <c r="R4705">
        <v>75</v>
      </c>
      <c r="S4705">
        <v>112.5</v>
      </c>
      <c r="T4705" t="s">
        <v>24103</v>
      </c>
    </row>
    <row r="4706" spans="1:20">
      <c r="A4706">
        <v>3332783</v>
      </c>
      <c r="B4706" t="s">
        <v>24104</v>
      </c>
      <c r="C4706" t="str">
        <f>"9780771098130"</f>
        <v>9780771098130</v>
      </c>
      <c r="D4706" t="str">
        <f>"9780773591547"</f>
        <v>9780773591547</v>
      </c>
      <c r="E4706" t="s">
        <v>12863</v>
      </c>
      <c r="F4706" t="s">
        <v>12863</v>
      </c>
      <c r="G4706" s="1">
        <v>28505</v>
      </c>
      <c r="I4706" t="s">
        <v>16998</v>
      </c>
      <c r="J4706" t="s">
        <v>24105</v>
      </c>
      <c r="K4706" t="s">
        <v>6444</v>
      </c>
      <c r="L4706" t="s">
        <v>24106</v>
      </c>
      <c r="M4706" t="s">
        <v>24107</v>
      </c>
      <c r="N4706" t="s">
        <v>24108</v>
      </c>
      <c r="O4706" t="s">
        <v>26</v>
      </c>
      <c r="P4706">
        <v>112.5</v>
      </c>
      <c r="Q4706">
        <v>93.75</v>
      </c>
      <c r="R4706">
        <v>75</v>
      </c>
      <c r="S4706">
        <v>112.5</v>
      </c>
      <c r="T4706" t="s">
        <v>24109</v>
      </c>
    </row>
    <row r="4707" spans="1:20">
      <c r="A4707">
        <v>3332784</v>
      </c>
      <c r="B4707" t="s">
        <v>24110</v>
      </c>
      <c r="C4707" t="str">
        <f>"9780771098086"</f>
        <v>9780771098086</v>
      </c>
      <c r="D4707" t="str">
        <f>"9780773591387"</f>
        <v>9780773591387</v>
      </c>
      <c r="E4707" t="s">
        <v>12863</v>
      </c>
      <c r="F4707" t="s">
        <v>12863</v>
      </c>
      <c r="G4707" s="1">
        <v>28140</v>
      </c>
      <c r="J4707" t="s">
        <v>24111</v>
      </c>
      <c r="K4707" t="s">
        <v>24112</v>
      </c>
      <c r="L4707" t="s">
        <v>24113</v>
      </c>
      <c r="M4707" t="s">
        <v>24114</v>
      </c>
      <c r="N4707" t="s">
        <v>24115</v>
      </c>
      <c r="O4707" t="s">
        <v>26</v>
      </c>
      <c r="P4707">
        <v>112.5</v>
      </c>
      <c r="Q4707">
        <v>93.75</v>
      </c>
      <c r="R4707">
        <v>75</v>
      </c>
      <c r="S4707">
        <v>112.5</v>
      </c>
      <c r="T4707" t="s">
        <v>24116</v>
      </c>
    </row>
    <row r="4708" spans="1:20">
      <c r="A4708">
        <v>3332785</v>
      </c>
      <c r="B4708" t="s">
        <v>24117</v>
      </c>
      <c r="C4708" t="str">
        <f>"9780886292553"</f>
        <v>9780886292553</v>
      </c>
      <c r="D4708" t="str">
        <f>"9780773573970"</f>
        <v>9780773573970</v>
      </c>
      <c r="E4708" t="s">
        <v>12863</v>
      </c>
      <c r="F4708" t="s">
        <v>12863</v>
      </c>
      <c r="G4708" s="1">
        <v>34773</v>
      </c>
      <c r="J4708" t="s">
        <v>24118</v>
      </c>
      <c r="K4708" t="s">
        <v>16707</v>
      </c>
      <c r="L4708" t="s">
        <v>24119</v>
      </c>
      <c r="M4708">
        <v>5.0999999999999996</v>
      </c>
      <c r="N4708" t="s">
        <v>24120</v>
      </c>
      <c r="O4708" t="s">
        <v>26</v>
      </c>
      <c r="P4708">
        <v>150</v>
      </c>
      <c r="Q4708">
        <v>125</v>
      </c>
      <c r="R4708">
        <v>100</v>
      </c>
      <c r="S4708">
        <v>150</v>
      </c>
      <c r="T4708" t="s">
        <v>24121</v>
      </c>
    </row>
    <row r="4709" spans="1:20">
      <c r="A4709">
        <v>3332786</v>
      </c>
      <c r="B4709" t="s">
        <v>24122</v>
      </c>
      <c r="C4709" t="str">
        <f>"9780886290191"</f>
        <v>9780886290191</v>
      </c>
      <c r="D4709" t="str">
        <f>"9780773583559"</f>
        <v>9780773583559</v>
      </c>
      <c r="E4709" t="s">
        <v>12863</v>
      </c>
      <c r="F4709" t="s">
        <v>12863</v>
      </c>
      <c r="G4709" s="1">
        <v>31093</v>
      </c>
      <c r="J4709" t="s">
        <v>24123</v>
      </c>
      <c r="K4709" t="s">
        <v>525</v>
      </c>
      <c r="L4709" t="s">
        <v>24124</v>
      </c>
      <c r="M4709">
        <v>342.71087199999999</v>
      </c>
      <c r="N4709" t="s">
        <v>24125</v>
      </c>
      <c r="O4709" t="s">
        <v>26</v>
      </c>
      <c r="P4709">
        <v>127.5</v>
      </c>
      <c r="Q4709">
        <v>106.25</v>
      </c>
      <c r="R4709">
        <v>85</v>
      </c>
      <c r="S4709">
        <v>127.5</v>
      </c>
      <c r="T4709" t="s">
        <v>24126</v>
      </c>
    </row>
    <row r="4710" spans="1:20">
      <c r="A4710">
        <v>3332787</v>
      </c>
      <c r="B4710" t="s">
        <v>24127</v>
      </c>
      <c r="C4710" t="str">
        <f>"9780771097676"</f>
        <v>9780771097676</v>
      </c>
      <c r="D4710" t="str">
        <f>"9780773584259"</f>
        <v>9780773584259</v>
      </c>
      <c r="E4710" t="s">
        <v>12863</v>
      </c>
      <c r="F4710" t="s">
        <v>12863</v>
      </c>
      <c r="G4710" s="1">
        <v>26679</v>
      </c>
      <c r="J4710" t="s">
        <v>24128</v>
      </c>
      <c r="K4710" t="s">
        <v>467</v>
      </c>
      <c r="L4710" t="s">
        <v>24129</v>
      </c>
      <c r="M4710" t="s">
        <v>24130</v>
      </c>
      <c r="N4710" t="s">
        <v>24131</v>
      </c>
      <c r="O4710" t="s">
        <v>26</v>
      </c>
      <c r="P4710">
        <v>112.5</v>
      </c>
      <c r="Q4710">
        <v>93.75</v>
      </c>
      <c r="R4710">
        <v>75</v>
      </c>
      <c r="S4710">
        <v>112.5</v>
      </c>
      <c r="T4710" t="s">
        <v>24132</v>
      </c>
    </row>
    <row r="4711" spans="1:20">
      <c r="A4711">
        <v>3332788</v>
      </c>
      <c r="B4711" t="s">
        <v>24133</v>
      </c>
      <c r="C4711" t="str">
        <f>"9780886290559"</f>
        <v>9780886290559</v>
      </c>
      <c r="D4711" t="str">
        <f>"9780773584297"</f>
        <v>9780773584297</v>
      </c>
      <c r="E4711" t="s">
        <v>12863</v>
      </c>
      <c r="F4711" t="s">
        <v>12863</v>
      </c>
      <c r="G4711" s="1">
        <v>31912</v>
      </c>
      <c r="J4711" t="s">
        <v>24134</v>
      </c>
      <c r="K4711" t="s">
        <v>525</v>
      </c>
      <c r="L4711" t="s">
        <v>24135</v>
      </c>
      <c r="M4711">
        <v>342.71032026429998</v>
      </c>
      <c r="N4711" t="s">
        <v>22288</v>
      </c>
      <c r="O4711" t="s">
        <v>26</v>
      </c>
      <c r="P4711">
        <v>127.5</v>
      </c>
      <c r="Q4711">
        <v>106.25</v>
      </c>
      <c r="R4711">
        <v>85</v>
      </c>
      <c r="S4711">
        <v>127.5</v>
      </c>
      <c r="T4711" t="s">
        <v>24136</v>
      </c>
    </row>
    <row r="4712" spans="1:20">
      <c r="A4712">
        <v>3332789</v>
      </c>
      <c r="B4712" t="s">
        <v>24137</v>
      </c>
      <c r="C4712" t="str">
        <f>"9780770517595"</f>
        <v>9780770517595</v>
      </c>
      <c r="D4712" t="str">
        <f>"9780773585492"</f>
        <v>9780773585492</v>
      </c>
      <c r="E4712" t="s">
        <v>12863</v>
      </c>
      <c r="F4712" t="s">
        <v>12863</v>
      </c>
      <c r="G4712" s="1">
        <v>27409</v>
      </c>
      <c r="H4712">
        <v>2</v>
      </c>
      <c r="J4712" t="s">
        <v>24138</v>
      </c>
      <c r="K4712" t="s">
        <v>263</v>
      </c>
      <c r="L4712" t="s">
        <v>24139</v>
      </c>
      <c r="M4712" t="s">
        <v>24140</v>
      </c>
      <c r="N4712" t="s">
        <v>24141</v>
      </c>
      <c r="O4712" t="s">
        <v>26</v>
      </c>
      <c r="P4712">
        <v>112.5</v>
      </c>
      <c r="Q4712">
        <v>93.75</v>
      </c>
      <c r="R4712">
        <v>75</v>
      </c>
      <c r="S4712">
        <v>112.5</v>
      </c>
      <c r="T4712" t="s">
        <v>24142</v>
      </c>
    </row>
    <row r="4713" spans="1:20">
      <c r="A4713">
        <v>3332790</v>
      </c>
      <c r="B4713" t="s">
        <v>24143</v>
      </c>
      <c r="C4713" t="str">
        <f>"9780886290696"</f>
        <v>9780886290696</v>
      </c>
      <c r="D4713" t="str">
        <f>"9780773581586"</f>
        <v>9780773581586</v>
      </c>
      <c r="E4713" t="s">
        <v>12863</v>
      </c>
      <c r="F4713" t="s">
        <v>12863</v>
      </c>
      <c r="G4713" s="1">
        <v>32309</v>
      </c>
      <c r="J4713" t="s">
        <v>18660</v>
      </c>
      <c r="K4713" t="s">
        <v>4433</v>
      </c>
      <c r="L4713" t="s">
        <v>24144</v>
      </c>
      <c r="M4713">
        <v>352.49709999999999</v>
      </c>
      <c r="N4713" t="s">
        <v>24145</v>
      </c>
      <c r="O4713" t="s">
        <v>26</v>
      </c>
      <c r="P4713">
        <v>127.5</v>
      </c>
      <c r="Q4713">
        <v>106.25</v>
      </c>
      <c r="R4713">
        <v>85</v>
      </c>
      <c r="S4713">
        <v>127.5</v>
      </c>
      <c r="T4713" t="s">
        <v>24146</v>
      </c>
    </row>
    <row r="4714" spans="1:20">
      <c r="A4714">
        <v>3332791</v>
      </c>
      <c r="B4714" t="s">
        <v>24147</v>
      </c>
      <c r="C4714" t="str">
        <f>"9780771097744"</f>
        <v>9780771097744</v>
      </c>
      <c r="D4714" t="str">
        <f>"9780773591523"</f>
        <v>9780773591523</v>
      </c>
      <c r="E4714" t="s">
        <v>12863</v>
      </c>
      <c r="F4714" t="s">
        <v>12863</v>
      </c>
      <c r="G4714" s="1">
        <v>27044</v>
      </c>
      <c r="I4714" t="s">
        <v>16998</v>
      </c>
      <c r="J4714" t="s">
        <v>24148</v>
      </c>
      <c r="K4714" t="s">
        <v>291</v>
      </c>
      <c r="L4714" t="s">
        <v>24149</v>
      </c>
      <c r="M4714">
        <v>971.4</v>
      </c>
      <c r="N4714" t="s">
        <v>24150</v>
      </c>
      <c r="O4714" t="s">
        <v>26</v>
      </c>
      <c r="P4714">
        <v>112.5</v>
      </c>
      <c r="Q4714">
        <v>93.75</v>
      </c>
      <c r="R4714">
        <v>75</v>
      </c>
      <c r="S4714">
        <v>112.5</v>
      </c>
      <c r="T4714" t="s">
        <v>24151</v>
      </c>
    </row>
    <row r="4715" spans="1:20">
      <c r="A4715">
        <v>3332792</v>
      </c>
      <c r="B4715" t="s">
        <v>24152</v>
      </c>
      <c r="C4715" t="str">
        <f>"9780771097935"</f>
        <v>9780771097935</v>
      </c>
      <c r="D4715" t="str">
        <f>"9780773591363"</f>
        <v>9780773591363</v>
      </c>
      <c r="E4715" t="s">
        <v>12863</v>
      </c>
      <c r="F4715" t="s">
        <v>12863</v>
      </c>
      <c r="G4715" s="1">
        <v>27774</v>
      </c>
      <c r="J4715" t="s">
        <v>24153</v>
      </c>
      <c r="K4715" t="s">
        <v>278</v>
      </c>
      <c r="L4715" t="s">
        <v>24154</v>
      </c>
      <c r="M4715" t="s">
        <v>24155</v>
      </c>
      <c r="N4715" t="s">
        <v>24156</v>
      </c>
      <c r="O4715" t="s">
        <v>26</v>
      </c>
      <c r="P4715">
        <v>112.5</v>
      </c>
      <c r="Q4715">
        <v>93.75</v>
      </c>
      <c r="R4715">
        <v>75</v>
      </c>
      <c r="S4715">
        <v>112.5</v>
      </c>
      <c r="T4715" t="s">
        <v>24157</v>
      </c>
    </row>
    <row r="4716" spans="1:20">
      <c r="A4716">
        <v>3332793</v>
      </c>
      <c r="B4716" t="s">
        <v>24158</v>
      </c>
      <c r="C4716" t="str">
        <f>"9780770517588"</f>
        <v>9780770517588</v>
      </c>
      <c r="D4716" t="str">
        <f>"9780773585485"</f>
        <v>9780773585485</v>
      </c>
      <c r="E4716" t="s">
        <v>12863</v>
      </c>
      <c r="F4716" t="s">
        <v>12863</v>
      </c>
      <c r="G4716" s="1">
        <v>31062</v>
      </c>
      <c r="J4716" t="s">
        <v>24138</v>
      </c>
      <c r="K4716" t="s">
        <v>263</v>
      </c>
      <c r="L4716" t="s">
        <v>24159</v>
      </c>
      <c r="M4716" t="s">
        <v>24140</v>
      </c>
      <c r="N4716" t="s">
        <v>24141</v>
      </c>
      <c r="O4716" t="s">
        <v>26</v>
      </c>
      <c r="P4716">
        <v>127.5</v>
      </c>
      <c r="Q4716">
        <v>106.25</v>
      </c>
      <c r="R4716">
        <v>85</v>
      </c>
      <c r="S4716">
        <v>127.5</v>
      </c>
      <c r="T4716" t="s">
        <v>24160</v>
      </c>
    </row>
    <row r="4717" spans="1:20">
      <c r="A4717">
        <v>3332794</v>
      </c>
      <c r="B4717" t="s">
        <v>24161</v>
      </c>
      <c r="C4717" t="str">
        <f>"9780886290603"</f>
        <v>9780886290603</v>
      </c>
      <c r="D4717" t="str">
        <f>"9780773573499"</f>
        <v>9780773573499</v>
      </c>
      <c r="E4717" t="s">
        <v>12863</v>
      </c>
      <c r="F4717" t="s">
        <v>12863</v>
      </c>
      <c r="G4717" s="1">
        <v>32401</v>
      </c>
      <c r="J4717" t="s">
        <v>24162</v>
      </c>
      <c r="K4717" t="s">
        <v>416</v>
      </c>
      <c r="L4717" t="s">
        <v>24163</v>
      </c>
      <c r="M4717">
        <v>336.39097099999998</v>
      </c>
      <c r="N4717" t="s">
        <v>24164</v>
      </c>
      <c r="O4717" t="s">
        <v>26</v>
      </c>
      <c r="P4717">
        <v>127.5</v>
      </c>
      <c r="Q4717">
        <v>106.25</v>
      </c>
      <c r="R4717">
        <v>85</v>
      </c>
      <c r="S4717">
        <v>127.5</v>
      </c>
      <c r="T4717" t="s">
        <v>24165</v>
      </c>
    </row>
    <row r="4718" spans="1:20">
      <c r="A4718">
        <v>3332795</v>
      </c>
      <c r="B4718" t="s">
        <v>24166</v>
      </c>
      <c r="C4718" t="str">
        <f>"9780886290719"</f>
        <v>9780886290719</v>
      </c>
      <c r="D4718" t="str">
        <f>"9780773591196"</f>
        <v>9780773591196</v>
      </c>
      <c r="E4718" t="s">
        <v>12863</v>
      </c>
      <c r="F4718" t="s">
        <v>12863</v>
      </c>
      <c r="G4718" s="1">
        <v>32309</v>
      </c>
      <c r="I4718" t="s">
        <v>22086</v>
      </c>
      <c r="J4718" t="s">
        <v>23792</v>
      </c>
      <c r="K4718" t="s">
        <v>416</v>
      </c>
      <c r="L4718" t="s">
        <v>24167</v>
      </c>
      <c r="M4718">
        <v>336.39096999999998</v>
      </c>
      <c r="N4718" t="s">
        <v>23794</v>
      </c>
      <c r="O4718" t="s">
        <v>26</v>
      </c>
      <c r="P4718">
        <v>127.5</v>
      </c>
      <c r="Q4718">
        <v>106.25</v>
      </c>
      <c r="R4718">
        <v>85</v>
      </c>
      <c r="S4718">
        <v>127.5</v>
      </c>
      <c r="T4718" t="s">
        <v>24168</v>
      </c>
    </row>
    <row r="4719" spans="1:20">
      <c r="A4719">
        <v>3332796</v>
      </c>
      <c r="B4719" t="s">
        <v>24169</v>
      </c>
      <c r="C4719" t="str">
        <f>"9780886293284"</f>
        <v>9780886293284</v>
      </c>
      <c r="D4719" t="str">
        <f>"9780773591417"</f>
        <v>9780773591417</v>
      </c>
      <c r="E4719" t="s">
        <v>12863</v>
      </c>
      <c r="F4719" t="s">
        <v>12863</v>
      </c>
      <c r="G4719" s="1">
        <v>35657</v>
      </c>
      <c r="J4719" t="s">
        <v>24170</v>
      </c>
      <c r="K4719" t="s">
        <v>7063</v>
      </c>
      <c r="L4719" t="s">
        <v>24171</v>
      </c>
      <c r="M4719" t="s">
        <v>24172</v>
      </c>
      <c r="N4719" t="s">
        <v>24173</v>
      </c>
      <c r="O4719" t="s">
        <v>26</v>
      </c>
      <c r="P4719">
        <v>150</v>
      </c>
      <c r="Q4719">
        <v>125</v>
      </c>
      <c r="R4719">
        <v>100</v>
      </c>
      <c r="S4719">
        <v>150</v>
      </c>
      <c r="T4719" t="s">
        <v>24174</v>
      </c>
    </row>
    <row r="4720" spans="1:20">
      <c r="A4720">
        <v>3332797</v>
      </c>
      <c r="B4720" t="s">
        <v>24175</v>
      </c>
      <c r="C4720" t="str">
        <f>"9780771097812"</f>
        <v>9780771097812</v>
      </c>
      <c r="D4720" t="str">
        <f>"9780773591257"</f>
        <v>9780773591257</v>
      </c>
      <c r="E4720" t="s">
        <v>12863</v>
      </c>
      <c r="F4720" t="s">
        <v>12863</v>
      </c>
      <c r="G4720" s="1">
        <v>27774</v>
      </c>
      <c r="I4720" t="s">
        <v>16998</v>
      </c>
      <c r="J4720" t="s">
        <v>24176</v>
      </c>
      <c r="K4720" t="s">
        <v>7063</v>
      </c>
      <c r="L4720" t="s">
        <v>24177</v>
      </c>
      <c r="M4720" t="s">
        <v>24178</v>
      </c>
      <c r="N4720" t="s">
        <v>24179</v>
      </c>
      <c r="O4720" t="s">
        <v>26</v>
      </c>
      <c r="P4720">
        <v>112.5</v>
      </c>
      <c r="Q4720">
        <v>93.75</v>
      </c>
      <c r="R4720">
        <v>75</v>
      </c>
      <c r="S4720">
        <v>112.5</v>
      </c>
      <c r="T4720" t="s">
        <v>24180</v>
      </c>
    </row>
    <row r="4721" spans="1:20">
      <c r="A4721">
        <v>3332798</v>
      </c>
      <c r="B4721" t="s">
        <v>24181</v>
      </c>
      <c r="C4721" t="str">
        <f>"9780771556647"</f>
        <v>9780771556647</v>
      </c>
      <c r="D4721" t="str">
        <f>"9780773591691"</f>
        <v>9780773591691</v>
      </c>
      <c r="E4721" t="s">
        <v>12863</v>
      </c>
      <c r="F4721" t="s">
        <v>12863</v>
      </c>
      <c r="G4721" s="1">
        <v>29540</v>
      </c>
      <c r="I4721" t="s">
        <v>16998</v>
      </c>
      <c r="J4721" t="s">
        <v>23897</v>
      </c>
      <c r="K4721" t="s">
        <v>6444</v>
      </c>
      <c r="L4721" t="s">
        <v>24182</v>
      </c>
      <c r="M4721">
        <v>327.71</v>
      </c>
      <c r="N4721" t="s">
        <v>23899</v>
      </c>
      <c r="O4721" t="s">
        <v>26</v>
      </c>
      <c r="P4721">
        <v>112.5</v>
      </c>
      <c r="Q4721">
        <v>93.75</v>
      </c>
      <c r="R4721">
        <v>75</v>
      </c>
      <c r="S4721">
        <v>112.5</v>
      </c>
      <c r="T4721" t="s">
        <v>24183</v>
      </c>
    </row>
    <row r="4722" spans="1:20">
      <c r="A4722">
        <v>3332799</v>
      </c>
      <c r="B4722" t="s">
        <v>24184</v>
      </c>
      <c r="C4722" t="str">
        <f>"9780773543294"</f>
        <v>9780773543294</v>
      </c>
      <c r="D4722" t="str">
        <f>"9780773590304"</f>
        <v>9780773590304</v>
      </c>
      <c r="E4722" t="s">
        <v>12863</v>
      </c>
      <c r="F4722" t="s">
        <v>12863</v>
      </c>
      <c r="G4722" s="1">
        <v>41866</v>
      </c>
      <c r="J4722" t="s">
        <v>24185</v>
      </c>
      <c r="K4722" t="s">
        <v>2260</v>
      </c>
      <c r="L4722" t="s">
        <v>24186</v>
      </c>
      <c r="M4722">
        <v>616.89</v>
      </c>
      <c r="N4722" t="s">
        <v>24187</v>
      </c>
      <c r="O4722" t="s">
        <v>26</v>
      </c>
      <c r="P4722">
        <v>150</v>
      </c>
      <c r="Q4722">
        <v>125</v>
      </c>
      <c r="R4722">
        <v>100</v>
      </c>
      <c r="S4722">
        <v>150</v>
      </c>
      <c r="T4722" t="s">
        <v>24188</v>
      </c>
    </row>
    <row r="4723" spans="1:20">
      <c r="A4723">
        <v>3332801</v>
      </c>
      <c r="B4723" t="s">
        <v>24189</v>
      </c>
      <c r="C4723" t="str">
        <f>"9780773543713"</f>
        <v>9780773543713</v>
      </c>
      <c r="D4723" t="str">
        <f>"9780773592162"</f>
        <v>9780773592162</v>
      </c>
      <c r="E4723" t="s">
        <v>12863</v>
      </c>
      <c r="F4723" t="s">
        <v>12863</v>
      </c>
      <c r="G4723" s="1">
        <v>41850</v>
      </c>
      <c r="J4723" t="s">
        <v>17507</v>
      </c>
      <c r="K4723" t="s">
        <v>1859</v>
      </c>
      <c r="L4723" t="s">
        <v>24190</v>
      </c>
      <c r="M4723">
        <v>109.22</v>
      </c>
      <c r="N4723" t="s">
        <v>24191</v>
      </c>
      <c r="O4723" t="s">
        <v>26</v>
      </c>
      <c r="P4723">
        <v>150</v>
      </c>
      <c r="Q4723">
        <v>125</v>
      </c>
      <c r="R4723">
        <v>100</v>
      </c>
      <c r="S4723">
        <v>150</v>
      </c>
      <c r="T4723" t="s">
        <v>24192</v>
      </c>
    </row>
    <row r="4724" spans="1:20">
      <c r="A4724">
        <v>3332802</v>
      </c>
      <c r="B4724" t="s">
        <v>24193</v>
      </c>
      <c r="C4724" t="str">
        <f>"9780773543379"</f>
        <v>9780773543379</v>
      </c>
      <c r="D4724" t="str">
        <f>"9780773590489"</f>
        <v>9780773590489</v>
      </c>
      <c r="E4724" t="s">
        <v>12863</v>
      </c>
      <c r="F4724" t="s">
        <v>12863</v>
      </c>
      <c r="G4724" s="1">
        <v>41866</v>
      </c>
      <c r="J4724" t="s">
        <v>22900</v>
      </c>
      <c r="K4724" t="s">
        <v>1892</v>
      </c>
      <c r="L4724" t="s">
        <v>24194</v>
      </c>
      <c r="M4724">
        <v>294.30971</v>
      </c>
      <c r="N4724" t="s">
        <v>24195</v>
      </c>
      <c r="O4724" t="s">
        <v>26</v>
      </c>
      <c r="P4724">
        <v>150</v>
      </c>
      <c r="Q4724">
        <v>125</v>
      </c>
      <c r="R4724">
        <v>100</v>
      </c>
      <c r="S4724">
        <v>150</v>
      </c>
      <c r="T4724" t="s">
        <v>24196</v>
      </c>
    </row>
    <row r="4725" spans="1:20">
      <c r="A4725">
        <v>3332803</v>
      </c>
      <c r="B4725" t="s">
        <v>24197</v>
      </c>
      <c r="C4725" t="str">
        <f>"9780773543638"</f>
        <v>9780773543638</v>
      </c>
      <c r="D4725" t="str">
        <f>"9780773592087"</f>
        <v>9780773592087</v>
      </c>
      <c r="E4725" t="s">
        <v>12863</v>
      </c>
      <c r="F4725" t="s">
        <v>12863</v>
      </c>
      <c r="G4725" s="1">
        <v>41850</v>
      </c>
      <c r="J4725" t="s">
        <v>24198</v>
      </c>
      <c r="K4725" t="s">
        <v>263</v>
      </c>
      <c r="L4725" t="s">
        <v>24199</v>
      </c>
      <c r="M4725" t="s">
        <v>24200</v>
      </c>
      <c r="N4725" t="s">
        <v>24201</v>
      </c>
      <c r="O4725" t="s">
        <v>26</v>
      </c>
      <c r="P4725">
        <v>150</v>
      </c>
      <c r="Q4725">
        <v>125</v>
      </c>
      <c r="R4725">
        <v>100</v>
      </c>
      <c r="S4725">
        <v>150</v>
      </c>
      <c r="T4725" t="s">
        <v>24202</v>
      </c>
    </row>
    <row r="4726" spans="1:20">
      <c r="A4726">
        <v>3332804</v>
      </c>
      <c r="B4726" t="s">
        <v>24203</v>
      </c>
      <c r="C4726" t="str">
        <f>"9780773543164"</f>
        <v>9780773543164</v>
      </c>
      <c r="D4726" t="str">
        <f>"9780773590588"</f>
        <v>9780773590588</v>
      </c>
      <c r="E4726" t="s">
        <v>12863</v>
      </c>
      <c r="F4726" t="s">
        <v>12863</v>
      </c>
      <c r="G4726" s="1">
        <v>41791</v>
      </c>
      <c r="J4726" t="s">
        <v>24204</v>
      </c>
      <c r="K4726" t="s">
        <v>3939</v>
      </c>
      <c r="L4726" t="s">
        <v>24205</v>
      </c>
      <c r="M4726" t="s">
        <v>24206</v>
      </c>
      <c r="N4726" t="s">
        <v>24207</v>
      </c>
      <c r="O4726" t="s">
        <v>26</v>
      </c>
      <c r="P4726">
        <v>165</v>
      </c>
      <c r="Q4726">
        <v>137.5</v>
      </c>
      <c r="R4726">
        <v>110</v>
      </c>
      <c r="S4726">
        <v>165</v>
      </c>
      <c r="T4726" t="s">
        <v>24208</v>
      </c>
    </row>
    <row r="4727" spans="1:20">
      <c r="A4727">
        <v>3332805</v>
      </c>
      <c r="B4727" t="s">
        <v>24209</v>
      </c>
      <c r="C4727" t="str">
        <f>"9780773544093"</f>
        <v>9780773544093</v>
      </c>
      <c r="D4727" t="str">
        <f>"9780773596351"</f>
        <v>9780773596351</v>
      </c>
      <c r="E4727" t="s">
        <v>12863</v>
      </c>
      <c r="F4727" t="s">
        <v>12863</v>
      </c>
      <c r="G4727" s="1">
        <v>41881</v>
      </c>
      <c r="J4727" t="s">
        <v>18510</v>
      </c>
      <c r="K4727" t="s">
        <v>291</v>
      </c>
      <c r="L4727" t="s">
        <v>24210</v>
      </c>
      <c r="M4727">
        <v>942.05209200000002</v>
      </c>
      <c r="N4727" t="s">
        <v>24211</v>
      </c>
      <c r="O4727" t="s">
        <v>26</v>
      </c>
      <c r="P4727">
        <v>74.930000000000007</v>
      </c>
      <c r="Q4727">
        <v>62.44</v>
      </c>
      <c r="R4727">
        <v>49.95</v>
      </c>
      <c r="S4727">
        <v>74.930000000000007</v>
      </c>
      <c r="T4727" t="s">
        <v>24212</v>
      </c>
    </row>
    <row r="4728" spans="1:20">
      <c r="A4728">
        <v>3332806</v>
      </c>
      <c r="B4728" t="s">
        <v>24213</v>
      </c>
      <c r="C4728" t="str">
        <f>"9780773544185"</f>
        <v>9780773544185</v>
      </c>
      <c r="D4728" t="str">
        <f>"9780773596450"</f>
        <v>9780773596450</v>
      </c>
      <c r="E4728" t="s">
        <v>12863</v>
      </c>
      <c r="F4728" t="s">
        <v>12863</v>
      </c>
      <c r="G4728" s="1">
        <v>41866</v>
      </c>
      <c r="J4728" t="s">
        <v>24214</v>
      </c>
      <c r="K4728" t="s">
        <v>1892</v>
      </c>
      <c r="L4728" t="s">
        <v>24215</v>
      </c>
      <c r="M4728">
        <v>272.90922</v>
      </c>
      <c r="N4728" t="s">
        <v>24216</v>
      </c>
      <c r="O4728" t="s">
        <v>26</v>
      </c>
      <c r="P4728">
        <v>150</v>
      </c>
      <c r="Q4728">
        <v>125</v>
      </c>
      <c r="R4728">
        <v>100</v>
      </c>
      <c r="S4728">
        <v>150</v>
      </c>
      <c r="T4728" t="s">
        <v>24217</v>
      </c>
    </row>
    <row r="4729" spans="1:20">
      <c r="A4729">
        <v>3332807</v>
      </c>
      <c r="B4729" t="s">
        <v>24218</v>
      </c>
      <c r="C4729" t="str">
        <f>"9780773544130"</f>
        <v>9780773544130</v>
      </c>
      <c r="D4729" t="str">
        <f>"9780773596399"</f>
        <v>9780773596399</v>
      </c>
      <c r="E4729" t="s">
        <v>12863</v>
      </c>
      <c r="F4729" t="s">
        <v>12863</v>
      </c>
      <c r="G4729" s="1">
        <v>41852</v>
      </c>
      <c r="J4729" t="s">
        <v>24219</v>
      </c>
      <c r="K4729" t="s">
        <v>1464</v>
      </c>
      <c r="L4729" t="s">
        <v>24220</v>
      </c>
      <c r="M4729">
        <v>811.54</v>
      </c>
      <c r="N4729" t="s">
        <v>24221</v>
      </c>
      <c r="O4729" t="s">
        <v>26</v>
      </c>
      <c r="P4729">
        <v>25.43</v>
      </c>
      <c r="Q4729">
        <v>21.19</v>
      </c>
      <c r="R4729">
        <v>16.95</v>
      </c>
      <c r="S4729">
        <v>25.43</v>
      </c>
      <c r="T4729" t="s">
        <v>24222</v>
      </c>
    </row>
    <row r="4730" spans="1:20">
      <c r="A4730">
        <v>3332808</v>
      </c>
      <c r="B4730" t="s">
        <v>24223</v>
      </c>
      <c r="C4730" t="str">
        <f>"9780773544024"</f>
        <v>9780773544024</v>
      </c>
      <c r="D4730" t="str">
        <f>"9780773596085"</f>
        <v>9780773596085</v>
      </c>
      <c r="E4730" t="s">
        <v>12863</v>
      </c>
      <c r="F4730" t="s">
        <v>12863</v>
      </c>
      <c r="G4730" s="1">
        <v>41866</v>
      </c>
      <c r="J4730" t="s">
        <v>24224</v>
      </c>
      <c r="K4730" t="s">
        <v>1471</v>
      </c>
      <c r="L4730" t="s">
        <v>24225</v>
      </c>
      <c r="M4730">
        <v>791.43028092199995</v>
      </c>
      <c r="N4730" t="s">
        <v>24226</v>
      </c>
      <c r="O4730" t="s">
        <v>26</v>
      </c>
      <c r="P4730">
        <v>44.93</v>
      </c>
      <c r="Q4730">
        <v>37.44</v>
      </c>
      <c r="R4730">
        <v>29.95</v>
      </c>
      <c r="S4730">
        <v>44.93</v>
      </c>
      <c r="T4730" t="s">
        <v>24227</v>
      </c>
    </row>
    <row r="4731" spans="1:20">
      <c r="A4731">
        <v>3332809</v>
      </c>
      <c r="B4731" t="s">
        <v>24228</v>
      </c>
      <c r="C4731" t="str">
        <f>"9780773544697"</f>
        <v>9780773544697</v>
      </c>
      <c r="D4731" t="str">
        <f>"9780773581807"</f>
        <v>9780773581807</v>
      </c>
      <c r="E4731" t="s">
        <v>12863</v>
      </c>
      <c r="F4731" t="s">
        <v>12863</v>
      </c>
      <c r="G4731" s="1">
        <v>41912</v>
      </c>
      <c r="J4731" t="s">
        <v>24229</v>
      </c>
      <c r="K4731" t="s">
        <v>24230</v>
      </c>
      <c r="L4731" t="s">
        <v>24231</v>
      </c>
      <c r="M4731">
        <v>70.92</v>
      </c>
      <c r="N4731" t="s">
        <v>24232</v>
      </c>
      <c r="O4731" t="s">
        <v>26</v>
      </c>
      <c r="P4731">
        <v>52.43</v>
      </c>
      <c r="Q4731">
        <v>43.69</v>
      </c>
      <c r="R4731">
        <v>34.950000000000003</v>
      </c>
      <c r="S4731">
        <v>52.43</v>
      </c>
      <c r="T4731" t="s">
        <v>24233</v>
      </c>
    </row>
    <row r="4732" spans="1:20">
      <c r="A4732">
        <v>3332810</v>
      </c>
      <c r="B4732" t="s">
        <v>24234</v>
      </c>
      <c r="C4732" t="str">
        <f>"9780773544413"</f>
        <v>9780773544413</v>
      </c>
      <c r="D4732" t="str">
        <f>"9780773581685"</f>
        <v>9780773581685</v>
      </c>
      <c r="E4732" t="s">
        <v>12863</v>
      </c>
      <c r="F4732" t="s">
        <v>12863</v>
      </c>
      <c r="G4732" s="1">
        <v>41866</v>
      </c>
      <c r="J4732" t="s">
        <v>16055</v>
      </c>
      <c r="K4732" t="s">
        <v>291</v>
      </c>
      <c r="L4732" t="s">
        <v>24235</v>
      </c>
      <c r="M4732">
        <v>940.47809199999995</v>
      </c>
      <c r="N4732" t="s">
        <v>24236</v>
      </c>
      <c r="O4732" t="s">
        <v>26</v>
      </c>
      <c r="P4732">
        <v>44.93</v>
      </c>
      <c r="Q4732">
        <v>37.44</v>
      </c>
      <c r="R4732">
        <v>29.95</v>
      </c>
      <c r="S4732">
        <v>44.93</v>
      </c>
      <c r="T4732" t="s">
        <v>24237</v>
      </c>
    </row>
    <row r="4733" spans="1:20">
      <c r="A4733">
        <v>3332811</v>
      </c>
      <c r="B4733" t="s">
        <v>24238</v>
      </c>
      <c r="C4733" t="str">
        <f>"9780773541856"</f>
        <v>9780773541856</v>
      </c>
      <c r="D4733" t="str">
        <f>"9780773589599"</f>
        <v>9780773589599</v>
      </c>
      <c r="E4733" t="s">
        <v>12863</v>
      </c>
      <c r="F4733" t="s">
        <v>12863</v>
      </c>
      <c r="G4733" s="1">
        <v>41753</v>
      </c>
      <c r="J4733" t="s">
        <v>24239</v>
      </c>
      <c r="K4733" t="s">
        <v>1464</v>
      </c>
      <c r="L4733" t="s">
        <v>24240</v>
      </c>
      <c r="M4733">
        <v>810.99710904999995</v>
      </c>
      <c r="N4733" t="s">
        <v>24241</v>
      </c>
      <c r="O4733" t="s">
        <v>26</v>
      </c>
      <c r="P4733">
        <v>150</v>
      </c>
      <c r="Q4733">
        <v>125</v>
      </c>
      <c r="R4733">
        <v>100</v>
      </c>
      <c r="S4733">
        <v>150</v>
      </c>
      <c r="T4733" t="s">
        <v>24242</v>
      </c>
    </row>
    <row r="4734" spans="1:20">
      <c r="A4734">
        <v>3332812</v>
      </c>
      <c r="B4734" t="s">
        <v>24243</v>
      </c>
      <c r="C4734" t="str">
        <f>"9780773543744"</f>
        <v>9780773543744</v>
      </c>
      <c r="D4734" t="str">
        <f>"9780773592209"</f>
        <v>9780773592209</v>
      </c>
      <c r="E4734" t="s">
        <v>12863</v>
      </c>
      <c r="F4734" t="s">
        <v>12863</v>
      </c>
      <c r="G4734" s="1">
        <v>41856</v>
      </c>
      <c r="J4734" t="s">
        <v>24244</v>
      </c>
      <c r="K4734" t="s">
        <v>1550</v>
      </c>
      <c r="L4734" t="s">
        <v>24245</v>
      </c>
      <c r="M4734">
        <v>305.800971</v>
      </c>
      <c r="N4734" t="s">
        <v>24246</v>
      </c>
      <c r="O4734" t="s">
        <v>26</v>
      </c>
      <c r="P4734">
        <v>150</v>
      </c>
      <c r="Q4734">
        <v>125</v>
      </c>
      <c r="R4734">
        <v>100</v>
      </c>
      <c r="S4734">
        <v>150</v>
      </c>
      <c r="T4734" t="s">
        <v>24247</v>
      </c>
    </row>
    <row r="4735" spans="1:20">
      <c r="A4735">
        <v>3332813</v>
      </c>
      <c r="B4735" t="s">
        <v>24248</v>
      </c>
      <c r="C4735" t="str">
        <f>"9780773544628"</f>
        <v>9780773544628</v>
      </c>
      <c r="D4735" t="str">
        <f>"9780773596108"</f>
        <v>9780773596108</v>
      </c>
      <c r="E4735" t="s">
        <v>12863</v>
      </c>
      <c r="F4735" t="s">
        <v>12863</v>
      </c>
      <c r="G4735" s="1">
        <v>41866</v>
      </c>
      <c r="J4735" t="s">
        <v>24249</v>
      </c>
      <c r="K4735" t="s">
        <v>291</v>
      </c>
      <c r="L4735" t="s">
        <v>24250</v>
      </c>
      <c r="M4735">
        <v>971.90049711999995</v>
      </c>
      <c r="N4735" t="s">
        <v>24251</v>
      </c>
      <c r="O4735" t="s">
        <v>26</v>
      </c>
      <c r="P4735">
        <v>59.93</v>
      </c>
      <c r="Q4735">
        <v>49.94</v>
      </c>
      <c r="R4735">
        <v>39.950000000000003</v>
      </c>
      <c r="S4735">
        <v>59.93</v>
      </c>
      <c r="T4735" t="s">
        <v>24252</v>
      </c>
    </row>
    <row r="4736" spans="1:20">
      <c r="A4736">
        <v>3332814</v>
      </c>
      <c r="B4736" t="s">
        <v>24253</v>
      </c>
      <c r="C4736" t="str">
        <f>"9780773544208"</f>
        <v>9780773544208</v>
      </c>
      <c r="D4736" t="str">
        <f>"9780773596474"</f>
        <v>9780773596474</v>
      </c>
      <c r="E4736" t="s">
        <v>12863</v>
      </c>
      <c r="F4736" t="s">
        <v>12863</v>
      </c>
      <c r="G4736" s="1">
        <v>41912</v>
      </c>
      <c r="J4736" t="s">
        <v>24254</v>
      </c>
      <c r="K4736" t="s">
        <v>1471</v>
      </c>
      <c r="L4736" t="s">
        <v>24255</v>
      </c>
      <c r="M4736">
        <v>791.43658000000005</v>
      </c>
      <c r="N4736" t="s">
        <v>24256</v>
      </c>
      <c r="O4736" t="s">
        <v>26</v>
      </c>
      <c r="P4736">
        <v>150</v>
      </c>
      <c r="Q4736">
        <v>125</v>
      </c>
      <c r="R4736">
        <v>100</v>
      </c>
      <c r="S4736">
        <v>150</v>
      </c>
      <c r="T4736" t="s">
        <v>24257</v>
      </c>
    </row>
    <row r="4737" spans="1:20">
      <c r="A4737">
        <v>3332815</v>
      </c>
      <c r="B4737" t="s">
        <v>24258</v>
      </c>
      <c r="C4737" t="str">
        <f>"9780770517564"</f>
        <v>9780770517564</v>
      </c>
      <c r="D4737" t="str">
        <f>"9780773595361"</f>
        <v>9780773595361</v>
      </c>
      <c r="E4737" t="s">
        <v>12863</v>
      </c>
      <c r="F4737" t="s">
        <v>12863</v>
      </c>
      <c r="G4737" s="1">
        <v>26665</v>
      </c>
      <c r="I4737" t="s">
        <v>13270</v>
      </c>
      <c r="J4737" t="s">
        <v>22180</v>
      </c>
      <c r="K4737" t="s">
        <v>291</v>
      </c>
      <c r="L4737" t="s">
        <v>24259</v>
      </c>
      <c r="M4737" t="s">
        <v>16970</v>
      </c>
      <c r="N4737" t="s">
        <v>24260</v>
      </c>
      <c r="O4737" t="s">
        <v>26</v>
      </c>
      <c r="P4737">
        <v>112.5</v>
      </c>
      <c r="Q4737">
        <v>93.75</v>
      </c>
      <c r="R4737">
        <v>75</v>
      </c>
      <c r="S4737">
        <v>112.5</v>
      </c>
      <c r="T4737" t="s">
        <v>24261</v>
      </c>
    </row>
    <row r="4738" spans="1:20">
      <c r="A4738">
        <v>3332816</v>
      </c>
      <c r="B4738" t="s">
        <v>24262</v>
      </c>
      <c r="C4738" t="str">
        <f>"9780773543997"</f>
        <v>9780773543997</v>
      </c>
      <c r="D4738" t="str">
        <f>"9780773596238"</f>
        <v>9780773596238</v>
      </c>
      <c r="E4738" t="s">
        <v>12863</v>
      </c>
      <c r="F4738" t="s">
        <v>12863</v>
      </c>
      <c r="G4738" s="1">
        <v>41897</v>
      </c>
      <c r="J4738" t="s">
        <v>24263</v>
      </c>
      <c r="K4738" t="s">
        <v>1464</v>
      </c>
      <c r="L4738" t="s">
        <v>24264</v>
      </c>
      <c r="M4738">
        <v>810.80354999999997</v>
      </c>
      <c r="N4738" t="s">
        <v>24265</v>
      </c>
      <c r="O4738" t="s">
        <v>26</v>
      </c>
      <c r="P4738">
        <v>52.43</v>
      </c>
      <c r="Q4738">
        <v>43.69</v>
      </c>
      <c r="R4738">
        <v>34.950000000000003</v>
      </c>
      <c r="S4738">
        <v>52.43</v>
      </c>
      <c r="T4738" t="s">
        <v>24266</v>
      </c>
    </row>
    <row r="4739" spans="1:20">
      <c r="A4739">
        <v>3332817</v>
      </c>
      <c r="B4739" t="s">
        <v>24267</v>
      </c>
      <c r="C4739" t="str">
        <f>"9780773544000"</f>
        <v>9780773544000</v>
      </c>
      <c r="D4739" t="str">
        <f>"9780773596252"</f>
        <v>9780773596252</v>
      </c>
      <c r="E4739" t="s">
        <v>12863</v>
      </c>
      <c r="F4739" t="s">
        <v>12863</v>
      </c>
      <c r="G4739" s="1">
        <v>41897</v>
      </c>
      <c r="J4739" t="s">
        <v>20792</v>
      </c>
      <c r="K4739" t="s">
        <v>291</v>
      </c>
      <c r="L4739" t="s">
        <v>24268</v>
      </c>
      <c r="M4739">
        <v>971.03800000000001</v>
      </c>
      <c r="N4739" t="s">
        <v>24269</v>
      </c>
      <c r="O4739" t="s">
        <v>26</v>
      </c>
      <c r="P4739">
        <v>150</v>
      </c>
      <c r="Q4739">
        <v>125</v>
      </c>
      <c r="R4739">
        <v>100</v>
      </c>
      <c r="S4739">
        <v>150</v>
      </c>
      <c r="T4739" t="s">
        <v>24270</v>
      </c>
    </row>
    <row r="4740" spans="1:20">
      <c r="A4740">
        <v>3332818</v>
      </c>
      <c r="B4740" t="s">
        <v>24271</v>
      </c>
      <c r="C4740" t="str">
        <f>"9780773544321"</f>
        <v>9780773544321</v>
      </c>
      <c r="D4740" t="str">
        <f>"9780773596597"</f>
        <v>9780773596597</v>
      </c>
      <c r="E4740" t="s">
        <v>12863</v>
      </c>
      <c r="F4740" t="s">
        <v>12863</v>
      </c>
      <c r="G4740" s="1">
        <v>41927</v>
      </c>
      <c r="J4740" t="s">
        <v>24272</v>
      </c>
      <c r="K4740" t="s">
        <v>291</v>
      </c>
      <c r="L4740" t="s">
        <v>24273</v>
      </c>
      <c r="M4740" t="s">
        <v>24274</v>
      </c>
      <c r="N4740" t="s">
        <v>24275</v>
      </c>
      <c r="O4740" t="s">
        <v>26</v>
      </c>
      <c r="P4740">
        <v>52.43</v>
      </c>
      <c r="Q4740">
        <v>43.69</v>
      </c>
      <c r="R4740">
        <v>34.950000000000003</v>
      </c>
      <c r="S4740">
        <v>52.43</v>
      </c>
      <c r="T4740" t="s">
        <v>24276</v>
      </c>
    </row>
    <row r="4741" spans="1:20">
      <c r="A4741">
        <v>3332819</v>
      </c>
      <c r="B4741" t="s">
        <v>24277</v>
      </c>
      <c r="C4741" t="str">
        <f>"9780773544376"</f>
        <v>9780773544376</v>
      </c>
      <c r="D4741" t="str">
        <f>"9780773596658"</f>
        <v>9780773596658</v>
      </c>
      <c r="E4741" t="s">
        <v>12863</v>
      </c>
      <c r="F4741" t="s">
        <v>12863</v>
      </c>
      <c r="G4741" s="1">
        <v>41913</v>
      </c>
      <c r="J4741" t="s">
        <v>22630</v>
      </c>
      <c r="K4741" t="s">
        <v>291</v>
      </c>
      <c r="L4741" t="s">
        <v>24278</v>
      </c>
      <c r="M4741">
        <v>971.01</v>
      </c>
      <c r="N4741" t="s">
        <v>24279</v>
      </c>
      <c r="O4741" t="s">
        <v>26</v>
      </c>
      <c r="P4741">
        <v>97.5</v>
      </c>
      <c r="Q4741">
        <v>81.25</v>
      </c>
      <c r="R4741">
        <v>65</v>
      </c>
      <c r="S4741">
        <v>97.5</v>
      </c>
      <c r="T4741" t="s">
        <v>24280</v>
      </c>
    </row>
    <row r="4742" spans="1:20">
      <c r="A4742">
        <v>3332820</v>
      </c>
      <c r="B4742" t="s">
        <v>24281</v>
      </c>
      <c r="C4742" t="str">
        <f>"9780773544109"</f>
        <v>9780773544109</v>
      </c>
      <c r="D4742" t="str">
        <f>"9780773596375"</f>
        <v>9780773596375</v>
      </c>
      <c r="E4742" t="s">
        <v>12863</v>
      </c>
      <c r="F4742" t="s">
        <v>12863</v>
      </c>
      <c r="G4742" s="1">
        <v>41927</v>
      </c>
      <c r="J4742" t="s">
        <v>24282</v>
      </c>
      <c r="K4742" t="s">
        <v>7781</v>
      </c>
      <c r="L4742" t="s">
        <v>24283</v>
      </c>
      <c r="M4742" t="s">
        <v>24284</v>
      </c>
      <c r="N4742" t="s">
        <v>24285</v>
      </c>
      <c r="O4742" t="s">
        <v>26</v>
      </c>
      <c r="P4742">
        <v>150</v>
      </c>
      <c r="Q4742">
        <v>125</v>
      </c>
      <c r="R4742">
        <v>100</v>
      </c>
      <c r="S4742">
        <v>150</v>
      </c>
      <c r="T4742" t="s">
        <v>24286</v>
      </c>
    </row>
    <row r="4743" spans="1:20">
      <c r="A4743">
        <v>3332821</v>
      </c>
      <c r="B4743" t="s">
        <v>24287</v>
      </c>
      <c r="C4743" t="str">
        <f>"9780773543959"</f>
        <v>9780773543959</v>
      </c>
      <c r="D4743" t="str">
        <f>"9780773596184"</f>
        <v>9780773596184</v>
      </c>
      <c r="E4743" t="s">
        <v>12863</v>
      </c>
      <c r="F4743" t="s">
        <v>12863</v>
      </c>
      <c r="G4743" s="1">
        <v>41927</v>
      </c>
      <c r="J4743" t="s">
        <v>24288</v>
      </c>
      <c r="K4743" t="s">
        <v>291</v>
      </c>
      <c r="L4743" t="s">
        <v>24289</v>
      </c>
      <c r="M4743" t="s">
        <v>24290</v>
      </c>
      <c r="N4743" t="s">
        <v>24291</v>
      </c>
      <c r="O4743" t="s">
        <v>26</v>
      </c>
      <c r="P4743">
        <v>150</v>
      </c>
      <c r="Q4743">
        <v>125</v>
      </c>
      <c r="R4743">
        <v>100</v>
      </c>
      <c r="S4743">
        <v>150</v>
      </c>
      <c r="T4743" t="s">
        <v>24292</v>
      </c>
    </row>
    <row r="4744" spans="1:20">
      <c r="A4744">
        <v>3332822</v>
      </c>
      <c r="B4744" t="s">
        <v>24293</v>
      </c>
      <c r="C4744" t="str">
        <f>"9780773542815"</f>
        <v>9780773542815</v>
      </c>
      <c r="D4744" t="str">
        <f>"9780773590113"</f>
        <v>9780773590113</v>
      </c>
      <c r="E4744" t="s">
        <v>12863</v>
      </c>
      <c r="F4744" t="s">
        <v>12863</v>
      </c>
      <c r="G4744" s="1">
        <v>41927</v>
      </c>
      <c r="J4744" t="s">
        <v>24294</v>
      </c>
      <c r="K4744" t="s">
        <v>6486</v>
      </c>
      <c r="L4744" t="s">
        <v>24295</v>
      </c>
      <c r="M4744">
        <v>302.23</v>
      </c>
      <c r="N4744" t="s">
        <v>24296</v>
      </c>
      <c r="O4744" t="s">
        <v>26</v>
      </c>
      <c r="P4744">
        <v>150</v>
      </c>
      <c r="Q4744">
        <v>125</v>
      </c>
      <c r="R4744">
        <v>100</v>
      </c>
      <c r="S4744">
        <v>150</v>
      </c>
      <c r="T4744" t="s">
        <v>24297</v>
      </c>
    </row>
    <row r="4745" spans="1:20">
      <c r="A4745">
        <v>3332823</v>
      </c>
      <c r="B4745" t="s">
        <v>24298</v>
      </c>
      <c r="C4745" t="str">
        <f>"9780773544352"</f>
        <v>9780773544352</v>
      </c>
      <c r="D4745" t="str">
        <f>"9780773596634"</f>
        <v>9780773596634</v>
      </c>
      <c r="E4745" t="s">
        <v>12863</v>
      </c>
      <c r="F4745" t="s">
        <v>12863</v>
      </c>
      <c r="G4745" s="1">
        <v>41927</v>
      </c>
      <c r="J4745" t="s">
        <v>24299</v>
      </c>
      <c r="K4745" t="s">
        <v>899</v>
      </c>
      <c r="L4745" t="s">
        <v>24300</v>
      </c>
      <c r="M4745" t="s">
        <v>24301</v>
      </c>
      <c r="N4745" t="s">
        <v>24302</v>
      </c>
      <c r="O4745" t="s">
        <v>26</v>
      </c>
      <c r="P4745">
        <v>150</v>
      </c>
      <c r="Q4745">
        <v>125</v>
      </c>
      <c r="R4745">
        <v>100</v>
      </c>
      <c r="S4745">
        <v>150</v>
      </c>
      <c r="T4745" t="s">
        <v>24303</v>
      </c>
    </row>
    <row r="4746" spans="1:20">
      <c r="A4746">
        <v>3332824</v>
      </c>
      <c r="B4746" t="s">
        <v>24304</v>
      </c>
      <c r="C4746" t="str">
        <f>"9780773544598"</f>
        <v>9780773544598</v>
      </c>
      <c r="D4746" t="str">
        <f>"9780773596955"</f>
        <v>9780773596955</v>
      </c>
      <c r="E4746" t="s">
        <v>12863</v>
      </c>
      <c r="F4746" t="s">
        <v>12863</v>
      </c>
      <c r="G4746" s="1">
        <v>41958</v>
      </c>
      <c r="J4746" t="s">
        <v>24305</v>
      </c>
      <c r="K4746" t="s">
        <v>291</v>
      </c>
      <c r="L4746" t="s">
        <v>24306</v>
      </c>
      <c r="M4746" t="s">
        <v>24307</v>
      </c>
      <c r="N4746" t="s">
        <v>24308</v>
      </c>
      <c r="O4746" t="s">
        <v>26</v>
      </c>
      <c r="P4746">
        <v>52.43</v>
      </c>
      <c r="Q4746">
        <v>43.69</v>
      </c>
      <c r="R4746">
        <v>34.950000000000003</v>
      </c>
      <c r="S4746">
        <v>52.43</v>
      </c>
      <c r="T4746" t="s">
        <v>24309</v>
      </c>
    </row>
    <row r="4747" spans="1:20">
      <c r="A4747">
        <v>3332825</v>
      </c>
      <c r="B4747" t="s">
        <v>24310</v>
      </c>
      <c r="C4747" t="str">
        <f>"9780773544284"</f>
        <v>9780773544284</v>
      </c>
      <c r="D4747" t="str">
        <f>"9780773596559"</f>
        <v>9780773596559</v>
      </c>
      <c r="E4747" t="s">
        <v>12863</v>
      </c>
      <c r="F4747" t="s">
        <v>12863</v>
      </c>
      <c r="G4747" s="1">
        <v>41958</v>
      </c>
      <c r="J4747" t="s">
        <v>24311</v>
      </c>
      <c r="K4747" t="s">
        <v>467</v>
      </c>
      <c r="L4747" t="s">
        <v>24312</v>
      </c>
      <c r="M4747">
        <v>320.44099999999997</v>
      </c>
      <c r="N4747" t="s">
        <v>24313</v>
      </c>
      <c r="O4747" t="s">
        <v>26</v>
      </c>
      <c r="P4747">
        <v>150</v>
      </c>
      <c r="Q4747">
        <v>125</v>
      </c>
      <c r="R4747">
        <v>100</v>
      </c>
      <c r="S4747">
        <v>150</v>
      </c>
      <c r="T4747" t="s">
        <v>24314</v>
      </c>
    </row>
    <row r="4748" spans="1:20">
      <c r="A4748">
        <v>3332826</v>
      </c>
      <c r="B4748" t="s">
        <v>24315</v>
      </c>
      <c r="C4748" t="str">
        <f>"9780773543942"</f>
        <v>9780773543942</v>
      </c>
      <c r="D4748" t="str">
        <f>"9780773596160"</f>
        <v>9780773596160</v>
      </c>
      <c r="E4748" t="s">
        <v>12863</v>
      </c>
      <c r="F4748" t="s">
        <v>12863</v>
      </c>
      <c r="G4748" s="1">
        <v>41943</v>
      </c>
      <c r="J4748" t="s">
        <v>24316</v>
      </c>
      <c r="K4748" t="s">
        <v>263</v>
      </c>
      <c r="L4748" t="s">
        <v>24317</v>
      </c>
      <c r="M4748">
        <v>398.20940000000002</v>
      </c>
      <c r="N4748" t="s">
        <v>24318</v>
      </c>
      <c r="O4748" t="s">
        <v>26</v>
      </c>
      <c r="P4748">
        <v>52.43</v>
      </c>
      <c r="Q4748">
        <v>43.69</v>
      </c>
      <c r="R4748">
        <v>34.950000000000003</v>
      </c>
      <c r="S4748">
        <v>52.43</v>
      </c>
      <c r="T4748" t="s">
        <v>24319</v>
      </c>
    </row>
    <row r="4749" spans="1:20">
      <c r="A4749">
        <v>3332827</v>
      </c>
      <c r="B4749" t="s">
        <v>24320</v>
      </c>
      <c r="C4749" t="str">
        <f>"9780773544680"</f>
        <v>9780773544680</v>
      </c>
      <c r="D4749" t="str">
        <f>"9780773596702"</f>
        <v>9780773596702</v>
      </c>
      <c r="E4749" t="s">
        <v>12863</v>
      </c>
      <c r="F4749" t="s">
        <v>12863</v>
      </c>
      <c r="G4749" s="1">
        <v>41950</v>
      </c>
      <c r="J4749" t="s">
        <v>24321</v>
      </c>
      <c r="K4749" t="s">
        <v>291</v>
      </c>
      <c r="L4749" t="s">
        <v>24322</v>
      </c>
      <c r="M4749" t="s">
        <v>24290</v>
      </c>
      <c r="N4749" t="s">
        <v>24323</v>
      </c>
      <c r="O4749" t="s">
        <v>26</v>
      </c>
      <c r="P4749">
        <v>52.43</v>
      </c>
      <c r="Q4749">
        <v>43.69</v>
      </c>
      <c r="R4749">
        <v>34.950000000000003</v>
      </c>
      <c r="S4749">
        <v>52.43</v>
      </c>
      <c r="T4749" t="s">
        <v>24324</v>
      </c>
    </row>
    <row r="4750" spans="1:20">
      <c r="A4750">
        <v>3332828</v>
      </c>
      <c r="B4750" t="s">
        <v>24325</v>
      </c>
      <c r="C4750" t="str">
        <f>"9780773596443"</f>
        <v>9780773596443</v>
      </c>
      <c r="D4750" t="str">
        <f>"9780773596436"</f>
        <v>9780773596436</v>
      </c>
      <c r="E4750" t="s">
        <v>12863</v>
      </c>
      <c r="F4750" t="s">
        <v>12863</v>
      </c>
      <c r="G4750" s="1">
        <v>41913</v>
      </c>
      <c r="J4750" t="s">
        <v>24326</v>
      </c>
      <c r="K4750" t="s">
        <v>473</v>
      </c>
      <c r="L4750" t="s">
        <v>24327</v>
      </c>
      <c r="M4750">
        <v>320.97140000000002</v>
      </c>
      <c r="N4750" t="s">
        <v>24328</v>
      </c>
      <c r="O4750" t="s">
        <v>26</v>
      </c>
      <c r="P4750">
        <v>150</v>
      </c>
      <c r="Q4750">
        <v>125</v>
      </c>
      <c r="R4750">
        <v>100</v>
      </c>
      <c r="S4750">
        <v>150</v>
      </c>
      <c r="T4750" t="s">
        <v>24329</v>
      </c>
    </row>
    <row r="4751" spans="1:20">
      <c r="A4751">
        <v>3332829</v>
      </c>
      <c r="B4751" t="s">
        <v>24330</v>
      </c>
      <c r="C4751" t="str">
        <f>"9780773544031"</f>
        <v>9780773544031</v>
      </c>
      <c r="D4751" t="str">
        <f>"9780773596290"</f>
        <v>9780773596290</v>
      </c>
      <c r="E4751" t="s">
        <v>12863</v>
      </c>
      <c r="F4751" t="s">
        <v>12863</v>
      </c>
      <c r="G4751" s="1">
        <v>41958</v>
      </c>
      <c r="J4751" t="s">
        <v>24331</v>
      </c>
      <c r="K4751" t="s">
        <v>473</v>
      </c>
      <c r="L4751" t="s">
        <v>24332</v>
      </c>
      <c r="M4751">
        <v>307.76097099999998</v>
      </c>
      <c r="N4751" t="s">
        <v>24333</v>
      </c>
      <c r="O4751" t="s">
        <v>26</v>
      </c>
      <c r="P4751">
        <v>150</v>
      </c>
      <c r="Q4751">
        <v>125</v>
      </c>
      <c r="R4751">
        <v>100</v>
      </c>
      <c r="S4751">
        <v>150</v>
      </c>
      <c r="T4751" t="s">
        <v>24334</v>
      </c>
    </row>
    <row r="4752" spans="1:20">
      <c r="A4752">
        <v>3332830</v>
      </c>
      <c r="B4752" t="s">
        <v>24335</v>
      </c>
      <c r="C4752" t="str">
        <f>"9780773544338"</f>
        <v>9780773544338</v>
      </c>
      <c r="D4752" t="str">
        <f>"9780773596610"</f>
        <v>9780773596610</v>
      </c>
      <c r="E4752" t="s">
        <v>12863</v>
      </c>
      <c r="F4752" t="s">
        <v>12863</v>
      </c>
      <c r="G4752" s="1">
        <v>41977</v>
      </c>
      <c r="J4752" t="s">
        <v>24336</v>
      </c>
      <c r="K4752" t="s">
        <v>574</v>
      </c>
      <c r="L4752" t="s">
        <v>24337</v>
      </c>
      <c r="M4752" t="s">
        <v>24338</v>
      </c>
      <c r="N4752" t="s">
        <v>24339</v>
      </c>
      <c r="O4752" t="s">
        <v>26</v>
      </c>
      <c r="P4752">
        <v>150</v>
      </c>
      <c r="Q4752">
        <v>125</v>
      </c>
      <c r="R4752">
        <v>100</v>
      </c>
      <c r="S4752">
        <v>150</v>
      </c>
      <c r="T4752" t="s">
        <v>24340</v>
      </c>
    </row>
    <row r="4753" spans="1:20">
      <c r="A4753">
        <v>3332831</v>
      </c>
      <c r="B4753" t="s">
        <v>24341</v>
      </c>
      <c r="C4753" t="str">
        <f>"9780773544468"</f>
        <v>9780773544468</v>
      </c>
      <c r="D4753" t="str">
        <f>"9780773596757"</f>
        <v>9780773596757</v>
      </c>
      <c r="E4753" t="s">
        <v>12863</v>
      </c>
      <c r="F4753" t="s">
        <v>12863</v>
      </c>
      <c r="G4753" s="1">
        <v>41973</v>
      </c>
      <c r="J4753" t="s">
        <v>24342</v>
      </c>
      <c r="K4753" t="s">
        <v>1471</v>
      </c>
      <c r="L4753" t="s">
        <v>24343</v>
      </c>
      <c r="M4753">
        <v>791.430971</v>
      </c>
      <c r="N4753" t="s">
        <v>24344</v>
      </c>
      <c r="O4753" t="s">
        <v>26</v>
      </c>
      <c r="P4753">
        <v>150</v>
      </c>
      <c r="Q4753">
        <v>125</v>
      </c>
      <c r="R4753">
        <v>100</v>
      </c>
      <c r="S4753">
        <v>150</v>
      </c>
      <c r="T4753" t="s">
        <v>24345</v>
      </c>
    </row>
    <row r="4754" spans="1:20">
      <c r="A4754">
        <v>3332832</v>
      </c>
      <c r="B4754" t="s">
        <v>24346</v>
      </c>
      <c r="C4754" t="str">
        <f>"9780773544079"</f>
        <v>9780773544079</v>
      </c>
      <c r="D4754" t="str">
        <f>"9780773596337"</f>
        <v>9780773596337</v>
      </c>
      <c r="E4754" t="s">
        <v>12863</v>
      </c>
      <c r="F4754" t="s">
        <v>12863</v>
      </c>
      <c r="G4754" s="1">
        <v>41973</v>
      </c>
      <c r="J4754" t="s">
        <v>24347</v>
      </c>
      <c r="K4754" t="s">
        <v>1180</v>
      </c>
      <c r="L4754" t="s">
        <v>24348</v>
      </c>
      <c r="M4754">
        <v>333.70970999999997</v>
      </c>
      <c r="N4754" t="s">
        <v>24349</v>
      </c>
      <c r="O4754" t="s">
        <v>26</v>
      </c>
      <c r="P4754">
        <v>187.5</v>
      </c>
      <c r="Q4754">
        <v>156.25</v>
      </c>
      <c r="R4754">
        <v>125</v>
      </c>
      <c r="S4754">
        <v>187.5</v>
      </c>
      <c r="T4754" t="s">
        <v>24350</v>
      </c>
    </row>
    <row r="4755" spans="1:20">
      <c r="A4755">
        <v>3332833</v>
      </c>
      <c r="B4755" t="s">
        <v>24351</v>
      </c>
      <c r="C4755" t="str">
        <f>"9780773534599"</f>
        <v>9780773534599</v>
      </c>
      <c r="D4755" t="str">
        <f>"9780773597174"</f>
        <v>9780773597174</v>
      </c>
      <c r="E4755" t="s">
        <v>12863</v>
      </c>
      <c r="F4755" t="s">
        <v>12863</v>
      </c>
      <c r="G4755" s="1">
        <v>39630</v>
      </c>
      <c r="J4755" t="s">
        <v>24352</v>
      </c>
      <c r="K4755" t="s">
        <v>1464</v>
      </c>
      <c r="L4755" t="s">
        <v>24353</v>
      </c>
      <c r="M4755" t="s">
        <v>24354</v>
      </c>
      <c r="N4755" t="s">
        <v>24355</v>
      </c>
      <c r="O4755" t="s">
        <v>26</v>
      </c>
      <c r="P4755">
        <v>150</v>
      </c>
      <c r="Q4755">
        <v>125</v>
      </c>
      <c r="R4755">
        <v>100</v>
      </c>
      <c r="S4755">
        <v>150</v>
      </c>
      <c r="T4755" t="s">
        <v>24356</v>
      </c>
    </row>
    <row r="4756" spans="1:20">
      <c r="A4756">
        <v>3332834</v>
      </c>
      <c r="B4756" t="s">
        <v>24357</v>
      </c>
      <c r="C4756" t="str">
        <f>"9780773544543"</f>
        <v>9780773544543</v>
      </c>
      <c r="D4756" t="str">
        <f>"9780773596832"</f>
        <v>9780773596832</v>
      </c>
      <c r="E4756" t="s">
        <v>12863</v>
      </c>
      <c r="F4756" t="s">
        <v>12863</v>
      </c>
      <c r="G4756" s="1">
        <v>41973</v>
      </c>
      <c r="I4756" t="s">
        <v>12963</v>
      </c>
      <c r="J4756" t="s">
        <v>24358</v>
      </c>
      <c r="K4756" t="s">
        <v>1550</v>
      </c>
      <c r="L4756" t="s">
        <v>24359</v>
      </c>
      <c r="M4756">
        <v>305.8956</v>
      </c>
      <c r="N4756" t="s">
        <v>24360</v>
      </c>
      <c r="O4756" t="s">
        <v>26</v>
      </c>
      <c r="P4756">
        <v>187.5</v>
      </c>
      <c r="Q4756">
        <v>156.25</v>
      </c>
      <c r="R4756">
        <v>125</v>
      </c>
      <c r="S4756">
        <v>187.5</v>
      </c>
      <c r="T4756" t="s">
        <v>24361</v>
      </c>
    </row>
    <row r="4757" spans="1:20">
      <c r="A4757">
        <v>3332835</v>
      </c>
      <c r="B4757" t="s">
        <v>24362</v>
      </c>
      <c r="C4757" t="str">
        <f>"9780773544727"</f>
        <v>9780773544727</v>
      </c>
      <c r="D4757" t="str">
        <f>"9780773596870"</f>
        <v>9780773596870</v>
      </c>
      <c r="E4757" t="s">
        <v>12863</v>
      </c>
      <c r="F4757" t="s">
        <v>12863</v>
      </c>
      <c r="G4757" s="1">
        <v>41973</v>
      </c>
      <c r="J4757" t="s">
        <v>22322</v>
      </c>
      <c r="K4757" t="s">
        <v>278</v>
      </c>
      <c r="L4757" t="s">
        <v>24363</v>
      </c>
      <c r="M4757">
        <v>332.09199999999998</v>
      </c>
      <c r="N4757" t="s">
        <v>24364</v>
      </c>
      <c r="O4757" t="s">
        <v>26</v>
      </c>
      <c r="P4757">
        <v>59.93</v>
      </c>
      <c r="Q4757">
        <v>49.94</v>
      </c>
      <c r="R4757">
        <v>39.950000000000003</v>
      </c>
      <c r="S4757">
        <v>59.93</v>
      </c>
      <c r="T4757" t="s">
        <v>24365</v>
      </c>
    </row>
    <row r="4758" spans="1:20">
      <c r="A4758">
        <v>3332836</v>
      </c>
      <c r="B4758" t="s">
        <v>24366</v>
      </c>
      <c r="C4758" t="str">
        <f>"9780773544260"</f>
        <v>9780773544260</v>
      </c>
      <c r="D4758" t="str">
        <f>"9780773596535"</f>
        <v>9780773596535</v>
      </c>
      <c r="E4758" t="s">
        <v>12863</v>
      </c>
      <c r="F4758" t="s">
        <v>12863</v>
      </c>
      <c r="G4758" s="1">
        <v>41973</v>
      </c>
      <c r="J4758" t="s">
        <v>24367</v>
      </c>
      <c r="K4758" t="s">
        <v>50</v>
      </c>
      <c r="L4758" t="s">
        <v>24368</v>
      </c>
      <c r="M4758" t="s">
        <v>24369</v>
      </c>
      <c r="N4758" t="s">
        <v>24370</v>
      </c>
      <c r="O4758" t="s">
        <v>26</v>
      </c>
      <c r="P4758">
        <v>150</v>
      </c>
      <c r="Q4758">
        <v>125</v>
      </c>
      <c r="R4758">
        <v>100</v>
      </c>
      <c r="S4758">
        <v>150</v>
      </c>
      <c r="T4758" t="s">
        <v>24371</v>
      </c>
    </row>
    <row r="4759" spans="1:20">
      <c r="A4759">
        <v>3332837</v>
      </c>
      <c r="B4759" t="s">
        <v>24372</v>
      </c>
      <c r="C4759" t="str">
        <f>"9780773544444"</f>
        <v>9780773544444</v>
      </c>
      <c r="D4759" t="str">
        <f>"9780773584983"</f>
        <v>9780773584983</v>
      </c>
      <c r="E4759" t="s">
        <v>12863</v>
      </c>
      <c r="F4759" t="s">
        <v>12863</v>
      </c>
      <c r="G4759" s="1">
        <v>41881</v>
      </c>
      <c r="J4759" t="s">
        <v>24373</v>
      </c>
      <c r="K4759" t="s">
        <v>2312</v>
      </c>
      <c r="L4759" t="s">
        <v>24374</v>
      </c>
      <c r="M4759">
        <v>320.971</v>
      </c>
      <c r="N4759" t="s">
        <v>24375</v>
      </c>
      <c r="O4759" t="s">
        <v>26</v>
      </c>
      <c r="P4759">
        <v>52.43</v>
      </c>
      <c r="Q4759">
        <v>43.69</v>
      </c>
      <c r="R4759">
        <v>34.950000000000003</v>
      </c>
      <c r="S4759">
        <v>52.43</v>
      </c>
      <c r="T4759" t="s">
        <v>24376</v>
      </c>
    </row>
    <row r="4760" spans="1:20">
      <c r="A4760">
        <v>3332838</v>
      </c>
      <c r="B4760" t="s">
        <v>24377</v>
      </c>
      <c r="C4760" t="str">
        <f>"9780773543652"</f>
        <v>9780773543652</v>
      </c>
      <c r="D4760" t="str">
        <f>"9780773592100"</f>
        <v>9780773592100</v>
      </c>
      <c r="E4760" t="s">
        <v>12863</v>
      </c>
      <c r="F4760" t="s">
        <v>12863</v>
      </c>
      <c r="G4760" s="1">
        <v>41973</v>
      </c>
      <c r="J4760" t="s">
        <v>24378</v>
      </c>
      <c r="K4760" t="s">
        <v>278</v>
      </c>
      <c r="L4760" t="s">
        <v>24379</v>
      </c>
      <c r="M4760" t="s">
        <v>24380</v>
      </c>
      <c r="N4760" t="s">
        <v>24381</v>
      </c>
      <c r="O4760" t="s">
        <v>26</v>
      </c>
      <c r="P4760">
        <v>180</v>
      </c>
      <c r="Q4760">
        <v>150</v>
      </c>
      <c r="R4760">
        <v>120</v>
      </c>
      <c r="S4760">
        <v>180</v>
      </c>
      <c r="T4760" t="s">
        <v>24382</v>
      </c>
    </row>
    <row r="4761" spans="1:20">
      <c r="A4761">
        <v>3332839</v>
      </c>
      <c r="B4761" t="s">
        <v>24383</v>
      </c>
      <c r="C4761" t="str">
        <f>"9780773544734"</f>
        <v>9780773544734</v>
      </c>
      <c r="D4761" t="str">
        <f>"9780773596894"</f>
        <v>9780773596894</v>
      </c>
      <c r="E4761" t="s">
        <v>12863</v>
      </c>
      <c r="F4761" t="s">
        <v>12863</v>
      </c>
      <c r="G4761" s="1">
        <v>41974</v>
      </c>
      <c r="J4761" t="s">
        <v>24384</v>
      </c>
      <c r="K4761" t="s">
        <v>1464</v>
      </c>
      <c r="L4761" t="s">
        <v>24385</v>
      </c>
      <c r="M4761" t="s">
        <v>24386</v>
      </c>
      <c r="N4761" t="s">
        <v>24387</v>
      </c>
      <c r="O4761" t="s">
        <v>26</v>
      </c>
      <c r="P4761">
        <v>150</v>
      </c>
      <c r="Q4761">
        <v>125</v>
      </c>
      <c r="R4761">
        <v>100</v>
      </c>
      <c r="S4761">
        <v>150</v>
      </c>
      <c r="T4761" t="s">
        <v>24388</v>
      </c>
    </row>
    <row r="4762" spans="1:20">
      <c r="A4762">
        <v>3332840</v>
      </c>
      <c r="B4762" t="s">
        <v>24389</v>
      </c>
      <c r="C4762" t="str">
        <f>"9780773543072"</f>
        <v>9780773543072</v>
      </c>
      <c r="D4762" t="str">
        <f>"9780773590427"</f>
        <v>9780773590427</v>
      </c>
      <c r="E4762" t="s">
        <v>12863</v>
      </c>
      <c r="F4762" t="s">
        <v>12863</v>
      </c>
      <c r="G4762" s="1">
        <v>41915</v>
      </c>
      <c r="J4762" t="s">
        <v>24390</v>
      </c>
      <c r="K4762" t="s">
        <v>257</v>
      </c>
      <c r="L4762" t="s">
        <v>24391</v>
      </c>
      <c r="M4762">
        <v>378.71</v>
      </c>
      <c r="N4762" t="s">
        <v>24392</v>
      </c>
      <c r="O4762" t="s">
        <v>26</v>
      </c>
      <c r="P4762">
        <v>150</v>
      </c>
      <c r="Q4762">
        <v>125</v>
      </c>
      <c r="R4762">
        <v>100</v>
      </c>
      <c r="S4762">
        <v>150</v>
      </c>
      <c r="T4762" t="s">
        <v>24393</v>
      </c>
    </row>
    <row r="4763" spans="1:20">
      <c r="A4763">
        <v>3332841</v>
      </c>
      <c r="B4763" t="s">
        <v>24394</v>
      </c>
      <c r="C4763" t="str">
        <f>"9780773544420"</f>
        <v>9780773544420</v>
      </c>
      <c r="D4763" t="str">
        <f>"9780773596733"</f>
        <v>9780773596733</v>
      </c>
      <c r="E4763" t="s">
        <v>12863</v>
      </c>
      <c r="F4763" t="s">
        <v>12863</v>
      </c>
      <c r="G4763" s="1">
        <v>41974</v>
      </c>
      <c r="I4763" t="s">
        <v>12886</v>
      </c>
      <c r="J4763" t="s">
        <v>24395</v>
      </c>
      <c r="K4763" t="s">
        <v>3219</v>
      </c>
      <c r="L4763" t="s">
        <v>24396</v>
      </c>
      <c r="M4763">
        <v>909.08</v>
      </c>
      <c r="N4763" t="s">
        <v>24397</v>
      </c>
      <c r="O4763" t="s">
        <v>26</v>
      </c>
      <c r="P4763">
        <v>150</v>
      </c>
      <c r="Q4763">
        <v>125</v>
      </c>
      <c r="R4763">
        <v>100</v>
      </c>
      <c r="S4763">
        <v>150</v>
      </c>
      <c r="T4763" t="s">
        <v>24398</v>
      </c>
    </row>
    <row r="4764" spans="1:20">
      <c r="A4764">
        <v>3332842</v>
      </c>
      <c r="B4764" t="s">
        <v>24399</v>
      </c>
      <c r="C4764" t="str">
        <f>"9780773544581"</f>
        <v>9780773544581</v>
      </c>
      <c r="D4764" t="str">
        <f>"9780773596931"</f>
        <v>9780773596931</v>
      </c>
      <c r="E4764" t="s">
        <v>12863</v>
      </c>
      <c r="F4764" t="s">
        <v>12863</v>
      </c>
      <c r="G4764" s="1">
        <v>41944</v>
      </c>
      <c r="I4764" t="s">
        <v>19859</v>
      </c>
      <c r="J4764" t="s">
        <v>24400</v>
      </c>
      <c r="K4764" t="s">
        <v>7781</v>
      </c>
      <c r="L4764" t="s">
        <v>24401</v>
      </c>
      <c r="M4764" t="s">
        <v>24402</v>
      </c>
      <c r="N4764" t="s">
        <v>24403</v>
      </c>
      <c r="O4764" t="s">
        <v>26</v>
      </c>
      <c r="P4764">
        <v>74.930000000000007</v>
      </c>
      <c r="Q4764">
        <v>62.44</v>
      </c>
      <c r="R4764">
        <v>49.95</v>
      </c>
      <c r="S4764">
        <v>74.930000000000007</v>
      </c>
      <c r="T4764" t="s">
        <v>24404</v>
      </c>
    </row>
    <row r="4765" spans="1:20">
      <c r="A4765">
        <v>3332843</v>
      </c>
      <c r="B4765" t="s">
        <v>24405</v>
      </c>
      <c r="C4765" t="str">
        <f>"9780773544482"</f>
        <v>9780773544482</v>
      </c>
      <c r="D4765" t="str">
        <f>"9780773596771"</f>
        <v>9780773596771</v>
      </c>
      <c r="E4765" t="s">
        <v>12863</v>
      </c>
      <c r="F4765" t="s">
        <v>12863</v>
      </c>
      <c r="G4765" s="1">
        <v>42005</v>
      </c>
      <c r="I4765" t="s">
        <v>23388</v>
      </c>
      <c r="J4765" t="s">
        <v>24406</v>
      </c>
      <c r="K4765" t="s">
        <v>291</v>
      </c>
      <c r="L4765" t="s">
        <v>24407</v>
      </c>
      <c r="M4765" t="s">
        <v>6633</v>
      </c>
      <c r="N4765" t="s">
        <v>24408</v>
      </c>
      <c r="O4765" t="s">
        <v>26</v>
      </c>
      <c r="P4765">
        <v>150</v>
      </c>
      <c r="Q4765">
        <v>125</v>
      </c>
      <c r="R4765">
        <v>100</v>
      </c>
      <c r="S4765">
        <v>150</v>
      </c>
      <c r="T4765" t="s">
        <v>24409</v>
      </c>
    </row>
    <row r="4766" spans="1:20">
      <c r="A4766">
        <v>3332844</v>
      </c>
      <c r="B4766" t="s">
        <v>24410</v>
      </c>
      <c r="C4766" t="str">
        <f>"9780773543904"</f>
        <v>9780773543904</v>
      </c>
      <c r="D4766" t="str">
        <f>"9780773596122"</f>
        <v>9780773596122</v>
      </c>
      <c r="E4766" t="s">
        <v>12863</v>
      </c>
      <c r="F4766" t="s">
        <v>12863</v>
      </c>
      <c r="G4766" s="1">
        <v>41944</v>
      </c>
      <c r="J4766" t="s">
        <v>24411</v>
      </c>
      <c r="K4766" t="s">
        <v>6444</v>
      </c>
      <c r="L4766" t="s">
        <v>24412</v>
      </c>
      <c r="M4766" t="s">
        <v>24413</v>
      </c>
      <c r="N4766" t="s">
        <v>24414</v>
      </c>
      <c r="O4766" t="s">
        <v>26</v>
      </c>
      <c r="P4766">
        <v>150</v>
      </c>
      <c r="Q4766">
        <v>125</v>
      </c>
      <c r="R4766">
        <v>100</v>
      </c>
      <c r="S4766">
        <v>150</v>
      </c>
      <c r="T4766" t="s">
        <v>24415</v>
      </c>
    </row>
    <row r="4767" spans="1:20">
      <c r="A4767">
        <v>3332845</v>
      </c>
      <c r="B4767" t="s">
        <v>24416</v>
      </c>
      <c r="C4767" t="str">
        <f>"9780773544604"</f>
        <v>9780773544604</v>
      </c>
      <c r="D4767" t="str">
        <f>"9780773596979"</f>
        <v>9780773596979</v>
      </c>
      <c r="E4767" t="s">
        <v>12863</v>
      </c>
      <c r="F4767" t="s">
        <v>12863</v>
      </c>
      <c r="G4767" s="1">
        <v>42048</v>
      </c>
      <c r="J4767" t="s">
        <v>24417</v>
      </c>
      <c r="K4767" t="s">
        <v>12816</v>
      </c>
      <c r="L4767" t="s">
        <v>24418</v>
      </c>
      <c r="M4767" t="s">
        <v>24419</v>
      </c>
      <c r="N4767" t="s">
        <v>24420</v>
      </c>
      <c r="O4767" t="s">
        <v>26</v>
      </c>
      <c r="P4767">
        <v>187.5</v>
      </c>
      <c r="Q4767">
        <v>156.25</v>
      </c>
      <c r="R4767">
        <v>125</v>
      </c>
      <c r="S4767">
        <v>187.5</v>
      </c>
      <c r="T4767" t="s">
        <v>24421</v>
      </c>
    </row>
    <row r="4768" spans="1:20">
      <c r="A4768">
        <v>3332846</v>
      </c>
      <c r="B4768" t="s">
        <v>24422</v>
      </c>
      <c r="C4768" t="str">
        <f>"9780773544772"</f>
        <v>9780773544772</v>
      </c>
      <c r="D4768" t="str">
        <f>"9780773584839"</f>
        <v>9780773584839</v>
      </c>
      <c r="E4768" t="s">
        <v>12863</v>
      </c>
      <c r="F4768" t="s">
        <v>12863</v>
      </c>
      <c r="G4768" s="1">
        <v>42048</v>
      </c>
      <c r="J4768" t="s">
        <v>24423</v>
      </c>
      <c r="K4768" t="s">
        <v>257</v>
      </c>
      <c r="L4768" t="s">
        <v>24424</v>
      </c>
      <c r="M4768">
        <v>378.00700000000001</v>
      </c>
      <c r="N4768" t="s">
        <v>24425</v>
      </c>
      <c r="O4768" t="s">
        <v>26</v>
      </c>
      <c r="P4768">
        <v>150</v>
      </c>
      <c r="Q4768">
        <v>125</v>
      </c>
      <c r="R4768">
        <v>100</v>
      </c>
      <c r="S4768">
        <v>150</v>
      </c>
      <c r="T4768" t="s">
        <v>24426</v>
      </c>
    </row>
    <row r="4769" spans="1:20">
      <c r="A4769">
        <v>3332847</v>
      </c>
      <c r="B4769" t="s">
        <v>24427</v>
      </c>
      <c r="C4769" t="str">
        <f>"9780773544147"</f>
        <v>9780773544147</v>
      </c>
      <c r="D4769" t="str">
        <f>"9780773596412"</f>
        <v>9780773596412</v>
      </c>
      <c r="E4769" t="s">
        <v>12863</v>
      </c>
      <c r="F4769" t="s">
        <v>12863</v>
      </c>
      <c r="G4769" s="1">
        <v>41974</v>
      </c>
      <c r="I4769" t="s">
        <v>24428</v>
      </c>
      <c r="J4769" t="s">
        <v>24429</v>
      </c>
      <c r="K4769" t="s">
        <v>1082</v>
      </c>
      <c r="L4769" t="s">
        <v>24430</v>
      </c>
      <c r="M4769" t="s">
        <v>24431</v>
      </c>
      <c r="N4769" t="s">
        <v>24432</v>
      </c>
      <c r="O4769" t="s">
        <v>26</v>
      </c>
      <c r="P4769">
        <v>150</v>
      </c>
      <c r="Q4769">
        <v>125</v>
      </c>
      <c r="R4769">
        <v>100</v>
      </c>
      <c r="S4769">
        <v>150</v>
      </c>
      <c r="T4769" t="s">
        <v>24433</v>
      </c>
    </row>
    <row r="4770" spans="1:20">
      <c r="A4770">
        <v>3332848</v>
      </c>
      <c r="B4770" t="s">
        <v>24434</v>
      </c>
      <c r="C4770" t="str">
        <f>"9780773544222"</f>
        <v>9780773544222</v>
      </c>
      <c r="D4770" t="str">
        <f>"9780773596498"</f>
        <v>9780773596498</v>
      </c>
      <c r="E4770" t="s">
        <v>12863</v>
      </c>
      <c r="F4770" t="s">
        <v>12863</v>
      </c>
      <c r="G4770" s="1">
        <v>41974</v>
      </c>
      <c r="J4770" t="s">
        <v>24435</v>
      </c>
      <c r="K4770" t="s">
        <v>1464</v>
      </c>
      <c r="L4770" t="s">
        <v>24436</v>
      </c>
      <c r="M4770" t="s">
        <v>24437</v>
      </c>
      <c r="N4770" t="s">
        <v>24438</v>
      </c>
      <c r="O4770" t="s">
        <v>26</v>
      </c>
      <c r="P4770">
        <v>150</v>
      </c>
      <c r="Q4770">
        <v>125</v>
      </c>
      <c r="R4770">
        <v>100</v>
      </c>
      <c r="S4770">
        <v>150</v>
      </c>
      <c r="T4770" t="s">
        <v>24439</v>
      </c>
    </row>
    <row r="4771" spans="1:20">
      <c r="A4771">
        <v>3332849</v>
      </c>
      <c r="B4771" t="s">
        <v>24440</v>
      </c>
      <c r="C4771" t="str">
        <f>"9780773544567"</f>
        <v>9780773544567</v>
      </c>
      <c r="D4771" t="str">
        <f>"9780773596917"</f>
        <v>9780773596917</v>
      </c>
      <c r="E4771" t="s">
        <v>12863</v>
      </c>
      <c r="F4771" t="s">
        <v>12863</v>
      </c>
      <c r="G4771" s="1">
        <v>42019</v>
      </c>
      <c r="J4771" t="s">
        <v>24441</v>
      </c>
      <c r="K4771" t="s">
        <v>1127</v>
      </c>
      <c r="L4771" t="s">
        <v>24442</v>
      </c>
      <c r="M4771">
        <v>158.30971</v>
      </c>
      <c r="N4771" t="s">
        <v>24443</v>
      </c>
      <c r="O4771" t="s">
        <v>26</v>
      </c>
      <c r="P4771">
        <v>150</v>
      </c>
      <c r="Q4771">
        <v>125</v>
      </c>
      <c r="R4771">
        <v>100</v>
      </c>
      <c r="S4771">
        <v>150</v>
      </c>
      <c r="T4771" t="s">
        <v>24444</v>
      </c>
    </row>
    <row r="4772" spans="1:20">
      <c r="A4772">
        <v>3332850</v>
      </c>
      <c r="B4772" t="s">
        <v>24445</v>
      </c>
      <c r="C4772" t="str">
        <f>"9780773543928"</f>
        <v>9780773543928</v>
      </c>
      <c r="D4772" t="str">
        <f>"9780773596146"</f>
        <v>9780773596146</v>
      </c>
      <c r="E4772" t="s">
        <v>12863</v>
      </c>
      <c r="F4772" t="s">
        <v>12863</v>
      </c>
      <c r="G4772" s="1">
        <v>41974</v>
      </c>
      <c r="J4772" t="s">
        <v>24446</v>
      </c>
      <c r="K4772" t="s">
        <v>467</v>
      </c>
      <c r="L4772" t="s">
        <v>24447</v>
      </c>
      <c r="M4772">
        <v>352.00809709999999</v>
      </c>
      <c r="N4772" t="s">
        <v>24448</v>
      </c>
      <c r="O4772" t="s">
        <v>94</v>
      </c>
      <c r="P4772">
        <v>150</v>
      </c>
      <c r="Q4772">
        <v>125</v>
      </c>
      <c r="R4772">
        <v>100</v>
      </c>
      <c r="S4772">
        <v>150</v>
      </c>
      <c r="T4772" t="s">
        <v>24449</v>
      </c>
    </row>
    <row r="4773" spans="1:20">
      <c r="A4773">
        <v>3332851</v>
      </c>
      <c r="B4773" t="s">
        <v>24450</v>
      </c>
      <c r="C4773" t="str">
        <f>"9780773544536"</f>
        <v>9780773544536</v>
      </c>
      <c r="D4773" t="str">
        <f>"9780773581944"</f>
        <v>9780773581944</v>
      </c>
      <c r="E4773" t="s">
        <v>12863</v>
      </c>
      <c r="F4773" t="s">
        <v>12863</v>
      </c>
      <c r="G4773" s="1">
        <v>42019</v>
      </c>
      <c r="J4773" t="s">
        <v>24451</v>
      </c>
      <c r="K4773" t="s">
        <v>1464</v>
      </c>
      <c r="L4773" t="s">
        <v>24452</v>
      </c>
      <c r="M4773" t="s">
        <v>1497</v>
      </c>
      <c r="N4773" t="s">
        <v>24453</v>
      </c>
      <c r="O4773" t="s">
        <v>26</v>
      </c>
      <c r="P4773">
        <v>25.43</v>
      </c>
      <c r="Q4773">
        <v>21.19</v>
      </c>
      <c r="R4773">
        <v>16.95</v>
      </c>
      <c r="S4773">
        <v>25.43</v>
      </c>
      <c r="T4773" t="s">
        <v>24454</v>
      </c>
    </row>
    <row r="4774" spans="1:20">
      <c r="A4774">
        <v>3332852</v>
      </c>
      <c r="B4774" t="s">
        <v>24455</v>
      </c>
      <c r="C4774" t="str">
        <f>"9780773545113"</f>
        <v>9780773545113</v>
      </c>
      <c r="D4774" t="str">
        <f>"9780773597020"</f>
        <v>9780773597020</v>
      </c>
      <c r="E4774" t="s">
        <v>12863</v>
      </c>
      <c r="F4774" t="s">
        <v>12863</v>
      </c>
      <c r="G4774" s="1">
        <v>42041</v>
      </c>
      <c r="J4774" t="s">
        <v>24456</v>
      </c>
      <c r="K4774" t="s">
        <v>1464</v>
      </c>
      <c r="L4774" t="s">
        <v>24457</v>
      </c>
      <c r="M4774">
        <v>811.54093542999999</v>
      </c>
      <c r="N4774" t="s">
        <v>24458</v>
      </c>
      <c r="O4774" t="s">
        <v>26</v>
      </c>
      <c r="P4774">
        <v>25.43</v>
      </c>
      <c r="Q4774">
        <v>21.19</v>
      </c>
      <c r="R4774">
        <v>16.95</v>
      </c>
      <c r="S4774">
        <v>25.43</v>
      </c>
      <c r="T4774" t="s">
        <v>24459</v>
      </c>
    </row>
    <row r="4775" spans="1:20">
      <c r="A4775">
        <v>3332853</v>
      </c>
      <c r="B4775" t="s">
        <v>24460</v>
      </c>
      <c r="C4775" t="str">
        <f>"9780773544802"</f>
        <v>9780773544802</v>
      </c>
      <c r="D4775" t="str">
        <f>"9780773581852"</f>
        <v>9780773581852</v>
      </c>
      <c r="E4775" t="s">
        <v>12863</v>
      </c>
      <c r="F4775" t="s">
        <v>12863</v>
      </c>
      <c r="G4775" s="1">
        <v>42036</v>
      </c>
      <c r="J4775" t="s">
        <v>24461</v>
      </c>
      <c r="K4775" t="s">
        <v>263</v>
      </c>
      <c r="L4775" t="s">
        <v>24462</v>
      </c>
      <c r="M4775">
        <v>305.42092271000001</v>
      </c>
      <c r="N4775" t="s">
        <v>24463</v>
      </c>
      <c r="O4775" t="s">
        <v>26</v>
      </c>
      <c r="P4775">
        <v>150</v>
      </c>
      <c r="Q4775">
        <v>125</v>
      </c>
      <c r="R4775">
        <v>100</v>
      </c>
      <c r="S4775">
        <v>150</v>
      </c>
      <c r="T4775" t="s">
        <v>24464</v>
      </c>
    </row>
    <row r="4776" spans="1:20">
      <c r="A4776">
        <v>3332854</v>
      </c>
      <c r="B4776" t="s">
        <v>24465</v>
      </c>
      <c r="C4776" t="str">
        <f>"9780773545410"</f>
        <v>9780773545410</v>
      </c>
      <c r="D4776" t="str">
        <f>"9780773582170"</f>
        <v>9780773582170</v>
      </c>
      <c r="E4776" t="s">
        <v>12863</v>
      </c>
      <c r="F4776" t="s">
        <v>12863</v>
      </c>
      <c r="G4776" s="1">
        <v>42072</v>
      </c>
      <c r="H4776">
        <v>2</v>
      </c>
      <c r="I4776" t="s">
        <v>23388</v>
      </c>
      <c r="J4776" t="s">
        <v>17430</v>
      </c>
      <c r="K4776" t="s">
        <v>3230</v>
      </c>
      <c r="L4776" t="s">
        <v>24466</v>
      </c>
      <c r="M4776">
        <v>919.80399999999997</v>
      </c>
      <c r="N4776" t="s">
        <v>24467</v>
      </c>
      <c r="O4776" t="s">
        <v>26</v>
      </c>
      <c r="P4776">
        <v>150</v>
      </c>
      <c r="Q4776">
        <v>125</v>
      </c>
      <c r="R4776">
        <v>100</v>
      </c>
      <c r="S4776">
        <v>150</v>
      </c>
      <c r="T4776" t="s">
        <v>24468</v>
      </c>
    </row>
    <row r="4777" spans="1:20">
      <c r="A4777">
        <v>3332855</v>
      </c>
      <c r="B4777" t="s">
        <v>24469</v>
      </c>
      <c r="C4777" t="str">
        <f>"9780773544970"</f>
        <v>9780773544970</v>
      </c>
      <c r="D4777" t="str">
        <f>"9780773582057"</f>
        <v>9780773582057</v>
      </c>
      <c r="E4777" t="s">
        <v>12863</v>
      </c>
      <c r="F4777" t="s">
        <v>12863</v>
      </c>
      <c r="G4777" s="1">
        <v>42079</v>
      </c>
      <c r="I4777" t="s">
        <v>12886</v>
      </c>
      <c r="J4777" t="s">
        <v>24470</v>
      </c>
      <c r="K4777" t="s">
        <v>1892</v>
      </c>
      <c r="L4777" t="s">
        <v>24471</v>
      </c>
      <c r="M4777">
        <v>266.27</v>
      </c>
      <c r="N4777" t="s">
        <v>24472</v>
      </c>
      <c r="O4777" t="s">
        <v>26</v>
      </c>
      <c r="P4777">
        <v>150</v>
      </c>
      <c r="Q4777">
        <v>125</v>
      </c>
      <c r="R4777">
        <v>100</v>
      </c>
      <c r="S4777">
        <v>150</v>
      </c>
      <c r="T4777" t="s">
        <v>24473</v>
      </c>
    </row>
    <row r="4778" spans="1:20">
      <c r="A4778">
        <v>3332856</v>
      </c>
      <c r="B4778" t="s">
        <v>24474</v>
      </c>
      <c r="C4778" t="str">
        <f>"9780773545496"</f>
        <v>9780773545496</v>
      </c>
      <c r="D4778" t="str">
        <f>"9780773597198"</f>
        <v>9780773597198</v>
      </c>
      <c r="E4778" t="s">
        <v>12863</v>
      </c>
      <c r="F4778" t="s">
        <v>12863</v>
      </c>
      <c r="G4778" s="1">
        <v>42079</v>
      </c>
      <c r="J4778" t="s">
        <v>24475</v>
      </c>
      <c r="K4778" t="s">
        <v>291</v>
      </c>
      <c r="L4778" t="s">
        <v>24476</v>
      </c>
      <c r="M4778">
        <v>956.62</v>
      </c>
      <c r="N4778" t="s">
        <v>24477</v>
      </c>
      <c r="O4778" t="s">
        <v>26</v>
      </c>
      <c r="P4778">
        <v>150</v>
      </c>
      <c r="Q4778">
        <v>125</v>
      </c>
      <c r="R4778">
        <v>100</v>
      </c>
      <c r="S4778">
        <v>150</v>
      </c>
      <c r="T4778" t="s">
        <v>24478</v>
      </c>
    </row>
    <row r="4779" spans="1:20">
      <c r="A4779">
        <v>3332857</v>
      </c>
      <c r="B4779" t="s">
        <v>24479</v>
      </c>
      <c r="C4779" t="str">
        <f>"9780773545120"</f>
        <v>9780773545120</v>
      </c>
      <c r="D4779" t="str">
        <f>"9780773581999"</f>
        <v>9780773581999</v>
      </c>
      <c r="E4779" t="s">
        <v>12863</v>
      </c>
      <c r="F4779" t="s">
        <v>12863</v>
      </c>
      <c r="G4779" s="1">
        <v>42062</v>
      </c>
      <c r="J4779" t="s">
        <v>24480</v>
      </c>
      <c r="K4779" t="s">
        <v>7621</v>
      </c>
      <c r="L4779" t="s">
        <v>24481</v>
      </c>
      <c r="M4779">
        <v>272.9092</v>
      </c>
      <c r="N4779" t="s">
        <v>24482</v>
      </c>
      <c r="O4779" t="s">
        <v>26</v>
      </c>
      <c r="P4779">
        <v>150</v>
      </c>
      <c r="Q4779">
        <v>125</v>
      </c>
      <c r="R4779">
        <v>100</v>
      </c>
      <c r="S4779">
        <v>150</v>
      </c>
      <c r="T4779" t="s">
        <v>24483</v>
      </c>
    </row>
    <row r="4780" spans="1:20">
      <c r="A4780">
        <v>3332858</v>
      </c>
      <c r="B4780" t="s">
        <v>24484</v>
      </c>
      <c r="C4780" t="str">
        <f>"9780773545090"</f>
        <v>9780773545090</v>
      </c>
      <c r="D4780" t="str">
        <f>"9780773597044"</f>
        <v>9780773597044</v>
      </c>
      <c r="E4780" t="s">
        <v>12863</v>
      </c>
      <c r="F4780" t="s">
        <v>12863</v>
      </c>
      <c r="G4780" s="1">
        <v>42062</v>
      </c>
      <c r="J4780" t="s">
        <v>24485</v>
      </c>
      <c r="K4780" t="s">
        <v>1464</v>
      </c>
      <c r="L4780" t="s">
        <v>24486</v>
      </c>
      <c r="M4780" t="s">
        <v>24487</v>
      </c>
      <c r="N4780" t="s">
        <v>24488</v>
      </c>
      <c r="O4780" t="s">
        <v>26</v>
      </c>
      <c r="P4780">
        <v>150</v>
      </c>
      <c r="Q4780">
        <v>125</v>
      </c>
      <c r="R4780">
        <v>100</v>
      </c>
      <c r="S4780">
        <v>150</v>
      </c>
      <c r="T4780" t="s">
        <v>24489</v>
      </c>
    </row>
    <row r="4781" spans="1:20">
      <c r="A4781">
        <v>3332859</v>
      </c>
      <c r="B4781" t="s">
        <v>24490</v>
      </c>
      <c r="C4781" t="str">
        <f>"9780773544994"</f>
        <v>9780773544994</v>
      </c>
      <c r="D4781" t="str">
        <f>"9780773597099"</f>
        <v>9780773597099</v>
      </c>
      <c r="E4781" t="s">
        <v>12863</v>
      </c>
      <c r="F4781" t="s">
        <v>12863</v>
      </c>
      <c r="G4781" s="1">
        <v>42083</v>
      </c>
      <c r="I4781" t="s">
        <v>23369</v>
      </c>
      <c r="J4781" t="s">
        <v>24491</v>
      </c>
      <c r="K4781" t="s">
        <v>305</v>
      </c>
      <c r="L4781" t="s">
        <v>24492</v>
      </c>
      <c r="M4781" t="s">
        <v>24493</v>
      </c>
      <c r="N4781" t="s">
        <v>24494</v>
      </c>
      <c r="O4781" t="s">
        <v>26</v>
      </c>
      <c r="P4781">
        <v>150</v>
      </c>
      <c r="Q4781">
        <v>125</v>
      </c>
      <c r="R4781">
        <v>100</v>
      </c>
      <c r="S4781">
        <v>150</v>
      </c>
      <c r="T4781" t="s">
        <v>24495</v>
      </c>
    </row>
    <row r="4782" spans="1:20">
      <c r="A4782">
        <v>3332860</v>
      </c>
      <c r="B4782" t="s">
        <v>24496</v>
      </c>
      <c r="C4782" t="str">
        <f>"9780773544819"</f>
        <v>9780773544819</v>
      </c>
      <c r="D4782" t="str">
        <f>"9780773582507"</f>
        <v>9780773582507</v>
      </c>
      <c r="E4782" t="s">
        <v>12863</v>
      </c>
      <c r="F4782" t="s">
        <v>12863</v>
      </c>
      <c r="G4782" s="1">
        <v>42083</v>
      </c>
      <c r="J4782" t="s">
        <v>24497</v>
      </c>
      <c r="K4782" t="s">
        <v>291</v>
      </c>
      <c r="L4782" t="s">
        <v>24498</v>
      </c>
      <c r="M4782" t="s">
        <v>24499</v>
      </c>
      <c r="N4782" t="s">
        <v>24500</v>
      </c>
      <c r="O4782" t="s">
        <v>26</v>
      </c>
      <c r="P4782">
        <v>150</v>
      </c>
      <c r="Q4782">
        <v>125</v>
      </c>
      <c r="R4782">
        <v>100</v>
      </c>
      <c r="S4782">
        <v>150</v>
      </c>
      <c r="T4782" t="s">
        <v>24501</v>
      </c>
    </row>
    <row r="4783" spans="1:20">
      <c r="A4783">
        <v>3332861</v>
      </c>
      <c r="B4783" t="s">
        <v>24502</v>
      </c>
      <c r="C4783" t="str">
        <f>"9780773544871"</f>
        <v>9780773544871</v>
      </c>
      <c r="D4783" t="str">
        <f>"9780773582606"</f>
        <v>9780773582606</v>
      </c>
      <c r="E4783" t="s">
        <v>12863</v>
      </c>
      <c r="F4783" t="s">
        <v>12863</v>
      </c>
      <c r="G4783" s="1">
        <v>42090</v>
      </c>
      <c r="J4783" t="s">
        <v>24503</v>
      </c>
      <c r="K4783" t="s">
        <v>291</v>
      </c>
      <c r="L4783" t="s">
        <v>24504</v>
      </c>
      <c r="M4783" t="s">
        <v>24505</v>
      </c>
      <c r="N4783" t="s">
        <v>24506</v>
      </c>
      <c r="O4783" t="s">
        <v>26</v>
      </c>
      <c r="P4783">
        <v>127.5</v>
      </c>
      <c r="Q4783">
        <v>106.25</v>
      </c>
      <c r="R4783">
        <v>85</v>
      </c>
      <c r="S4783">
        <v>127.5</v>
      </c>
      <c r="T4783" t="s">
        <v>24507</v>
      </c>
    </row>
    <row r="4784" spans="1:20">
      <c r="A4784">
        <v>3332862</v>
      </c>
      <c r="B4784" t="s">
        <v>24508</v>
      </c>
      <c r="C4784" t="str">
        <f>"9780773545571"</f>
        <v>9780773545571</v>
      </c>
      <c r="D4784" t="str">
        <f>"9780773582774"</f>
        <v>9780773582774</v>
      </c>
      <c r="E4784" t="s">
        <v>12863</v>
      </c>
      <c r="F4784" t="s">
        <v>12863</v>
      </c>
      <c r="G4784" s="1">
        <v>42083</v>
      </c>
      <c r="J4784" t="s">
        <v>24509</v>
      </c>
      <c r="K4784" t="s">
        <v>1464</v>
      </c>
      <c r="L4784" t="s">
        <v>24510</v>
      </c>
      <c r="M4784" t="s">
        <v>14769</v>
      </c>
      <c r="N4784" t="s">
        <v>24511</v>
      </c>
      <c r="O4784" t="s">
        <v>26</v>
      </c>
      <c r="P4784">
        <v>150</v>
      </c>
      <c r="Q4784">
        <v>125</v>
      </c>
      <c r="R4784">
        <v>100</v>
      </c>
      <c r="S4784">
        <v>150</v>
      </c>
      <c r="T4784" t="s">
        <v>24512</v>
      </c>
    </row>
    <row r="4785" spans="1:20">
      <c r="A4785">
        <v>3332863</v>
      </c>
      <c r="B4785" t="s">
        <v>24513</v>
      </c>
      <c r="C4785" t="str">
        <f>"9780773545311"</f>
        <v>9780773545311</v>
      </c>
      <c r="D4785" t="str">
        <f>"9780773597266"</f>
        <v>9780773597266</v>
      </c>
      <c r="E4785" t="s">
        <v>12863</v>
      </c>
      <c r="F4785" t="s">
        <v>12863</v>
      </c>
      <c r="G4785" s="1">
        <v>42083</v>
      </c>
      <c r="H4785">
        <v>2</v>
      </c>
      <c r="J4785" t="s">
        <v>21305</v>
      </c>
      <c r="K4785" t="s">
        <v>257</v>
      </c>
      <c r="L4785" t="s">
        <v>24514</v>
      </c>
      <c r="M4785" t="s">
        <v>21307</v>
      </c>
      <c r="N4785" t="s">
        <v>21308</v>
      </c>
      <c r="O4785" t="s">
        <v>26</v>
      </c>
      <c r="P4785">
        <v>150</v>
      </c>
      <c r="Q4785">
        <v>125</v>
      </c>
      <c r="R4785">
        <v>100</v>
      </c>
      <c r="S4785">
        <v>150</v>
      </c>
      <c r="T4785" t="s">
        <v>24515</v>
      </c>
    </row>
    <row r="4786" spans="1:20">
      <c r="A4786">
        <v>3332864</v>
      </c>
      <c r="B4786" t="s">
        <v>24516</v>
      </c>
      <c r="C4786" t="str">
        <f>"9780773545014"</f>
        <v>9780773545014</v>
      </c>
      <c r="D4786" t="str">
        <f>"9780773582071"</f>
        <v>9780773582071</v>
      </c>
      <c r="E4786" t="s">
        <v>12863</v>
      </c>
      <c r="F4786" t="s">
        <v>12863</v>
      </c>
      <c r="G4786" s="1">
        <v>42083</v>
      </c>
      <c r="I4786" t="s">
        <v>12942</v>
      </c>
      <c r="J4786" t="s">
        <v>24517</v>
      </c>
      <c r="K4786" t="s">
        <v>291</v>
      </c>
      <c r="L4786" t="s">
        <v>24518</v>
      </c>
      <c r="M4786" t="s">
        <v>24519</v>
      </c>
      <c r="N4786" t="s">
        <v>24520</v>
      </c>
      <c r="O4786" t="s">
        <v>26</v>
      </c>
      <c r="P4786">
        <v>150</v>
      </c>
      <c r="Q4786">
        <v>125</v>
      </c>
      <c r="R4786">
        <v>100</v>
      </c>
      <c r="S4786">
        <v>150</v>
      </c>
      <c r="T4786" t="s">
        <v>24521</v>
      </c>
    </row>
    <row r="4787" spans="1:20">
      <c r="A4787">
        <v>3332865</v>
      </c>
      <c r="B4787" t="s">
        <v>24522</v>
      </c>
      <c r="C4787" t="str">
        <f>"9780773544055"</f>
        <v>9780773544055</v>
      </c>
      <c r="D4787" t="str">
        <f>"9780773596313"</f>
        <v>9780773596313</v>
      </c>
      <c r="E4787" t="s">
        <v>12863</v>
      </c>
      <c r="F4787" t="s">
        <v>12863</v>
      </c>
      <c r="G4787" s="1">
        <v>41913</v>
      </c>
      <c r="J4787" t="s">
        <v>24523</v>
      </c>
      <c r="K4787" t="s">
        <v>2982</v>
      </c>
      <c r="L4787" t="s">
        <v>24524</v>
      </c>
      <c r="M4787" t="s">
        <v>24525</v>
      </c>
      <c r="N4787" t="s">
        <v>24526</v>
      </c>
      <c r="O4787" t="s">
        <v>26</v>
      </c>
      <c r="P4787">
        <v>150</v>
      </c>
      <c r="Q4787">
        <v>125</v>
      </c>
      <c r="R4787">
        <v>100</v>
      </c>
      <c r="S4787">
        <v>150</v>
      </c>
      <c r="T4787" t="s">
        <v>24527</v>
      </c>
    </row>
    <row r="4788" spans="1:20">
      <c r="A4788">
        <v>3332866</v>
      </c>
      <c r="B4788" t="s">
        <v>24528</v>
      </c>
      <c r="C4788" t="str">
        <f>"9780773544925"</f>
        <v>9780773544925</v>
      </c>
      <c r="D4788" t="str">
        <f>"9780773582682"</f>
        <v>9780773582682</v>
      </c>
      <c r="E4788" t="s">
        <v>12863</v>
      </c>
      <c r="F4788" t="s">
        <v>12863</v>
      </c>
      <c r="G4788" s="1">
        <v>42094</v>
      </c>
      <c r="J4788" t="s">
        <v>24529</v>
      </c>
      <c r="K4788" t="s">
        <v>257</v>
      </c>
      <c r="L4788" t="s">
        <v>24530</v>
      </c>
      <c r="M4788">
        <v>378</v>
      </c>
      <c r="N4788" t="s">
        <v>24531</v>
      </c>
      <c r="O4788" t="s">
        <v>26</v>
      </c>
      <c r="P4788">
        <v>150</v>
      </c>
      <c r="Q4788">
        <v>125</v>
      </c>
      <c r="R4788">
        <v>100</v>
      </c>
      <c r="S4788">
        <v>150</v>
      </c>
      <c r="T4788" t="s">
        <v>24532</v>
      </c>
    </row>
    <row r="4789" spans="1:20">
      <c r="A4789">
        <v>3332867</v>
      </c>
      <c r="B4789" t="s">
        <v>24533</v>
      </c>
      <c r="C4789" t="str">
        <f>"9780773545182"</f>
        <v>9780773545182</v>
      </c>
      <c r="D4789" t="str">
        <f>"9780773581968"</f>
        <v>9780773581968</v>
      </c>
      <c r="E4789" t="s">
        <v>12863</v>
      </c>
      <c r="F4789" t="s">
        <v>12863</v>
      </c>
      <c r="G4789" s="1">
        <v>42094</v>
      </c>
      <c r="J4789" t="s">
        <v>19708</v>
      </c>
      <c r="K4789" t="s">
        <v>3939</v>
      </c>
      <c r="L4789" t="s">
        <v>24534</v>
      </c>
      <c r="M4789" t="s">
        <v>24535</v>
      </c>
      <c r="N4789" t="s">
        <v>24536</v>
      </c>
      <c r="O4789" t="s">
        <v>26</v>
      </c>
      <c r="P4789">
        <v>165</v>
      </c>
      <c r="Q4789">
        <v>137.5</v>
      </c>
      <c r="R4789">
        <v>110</v>
      </c>
      <c r="S4789">
        <v>165</v>
      </c>
      <c r="T4789" t="s">
        <v>24537</v>
      </c>
    </row>
    <row r="4790" spans="1:20">
      <c r="A4790">
        <v>3332868</v>
      </c>
      <c r="B4790" t="s">
        <v>24538</v>
      </c>
      <c r="C4790" t="str">
        <f>"9780773543591"</f>
        <v>9780773543591</v>
      </c>
      <c r="D4790" t="str">
        <f>"9780773592049"</f>
        <v>9780773592049</v>
      </c>
      <c r="E4790" t="s">
        <v>12863</v>
      </c>
      <c r="F4790" t="s">
        <v>12863</v>
      </c>
      <c r="G4790" s="1">
        <v>42095</v>
      </c>
      <c r="J4790" t="s">
        <v>24539</v>
      </c>
      <c r="K4790" t="s">
        <v>263</v>
      </c>
      <c r="L4790" t="s">
        <v>24540</v>
      </c>
      <c r="M4790">
        <v>303.60956700000003</v>
      </c>
      <c r="N4790" t="s">
        <v>24541</v>
      </c>
      <c r="O4790" t="s">
        <v>26</v>
      </c>
      <c r="P4790">
        <v>150</v>
      </c>
      <c r="Q4790">
        <v>125</v>
      </c>
      <c r="R4790">
        <v>100</v>
      </c>
      <c r="S4790">
        <v>150</v>
      </c>
      <c r="T4790" t="s">
        <v>24542</v>
      </c>
    </row>
    <row r="4791" spans="1:20">
      <c r="A4791">
        <v>3332869</v>
      </c>
      <c r="B4791" t="s">
        <v>24543</v>
      </c>
      <c r="C4791" t="str">
        <f>"9780773545472"</f>
        <v>9780773545472</v>
      </c>
      <c r="D4791" t="str">
        <f>"9780773582316"</f>
        <v>9780773582316</v>
      </c>
      <c r="E4791" t="s">
        <v>12863</v>
      </c>
      <c r="F4791" t="s">
        <v>12863</v>
      </c>
      <c r="G4791" s="1">
        <v>42111</v>
      </c>
      <c r="J4791" t="s">
        <v>24544</v>
      </c>
      <c r="K4791" t="s">
        <v>416</v>
      </c>
      <c r="L4791" t="s">
        <v>24545</v>
      </c>
      <c r="M4791" t="s">
        <v>23721</v>
      </c>
      <c r="N4791" t="s">
        <v>24546</v>
      </c>
      <c r="O4791" t="s">
        <v>94</v>
      </c>
      <c r="P4791">
        <v>150</v>
      </c>
      <c r="Q4791">
        <v>125</v>
      </c>
      <c r="R4791">
        <v>100</v>
      </c>
      <c r="S4791">
        <v>150</v>
      </c>
      <c r="T4791" t="s">
        <v>24547</v>
      </c>
    </row>
    <row r="4792" spans="1:20">
      <c r="A4792">
        <v>3332870</v>
      </c>
      <c r="B4792" t="s">
        <v>24548</v>
      </c>
      <c r="C4792" t="str">
        <f>"9780773538931"</f>
        <v>9780773538931</v>
      </c>
      <c r="D4792" t="str">
        <f>"9780773596993"</f>
        <v>9780773596993</v>
      </c>
      <c r="E4792" t="s">
        <v>12863</v>
      </c>
      <c r="F4792" t="s">
        <v>12863</v>
      </c>
      <c r="G4792" s="1">
        <v>40990</v>
      </c>
      <c r="J4792" t="s">
        <v>24549</v>
      </c>
      <c r="K4792" t="s">
        <v>305</v>
      </c>
      <c r="L4792" t="s">
        <v>24550</v>
      </c>
      <c r="M4792" t="s">
        <v>24551</v>
      </c>
      <c r="N4792" t="s">
        <v>22513</v>
      </c>
      <c r="O4792" t="s">
        <v>26</v>
      </c>
      <c r="P4792">
        <v>165</v>
      </c>
      <c r="Q4792">
        <v>137.5</v>
      </c>
      <c r="R4792">
        <v>110</v>
      </c>
      <c r="S4792">
        <v>165</v>
      </c>
      <c r="T4792" t="s">
        <v>24552</v>
      </c>
    </row>
    <row r="4793" spans="1:20">
      <c r="A4793">
        <v>3332871</v>
      </c>
      <c r="B4793" t="s">
        <v>24553</v>
      </c>
      <c r="C4793" t="str">
        <f>"9780773544857"</f>
        <v>9780773544857</v>
      </c>
      <c r="D4793" t="str">
        <f>"9780773581746"</f>
        <v>9780773581746</v>
      </c>
      <c r="E4793" t="s">
        <v>12863</v>
      </c>
      <c r="F4793" t="s">
        <v>12863</v>
      </c>
      <c r="G4793" s="1">
        <v>42111</v>
      </c>
      <c r="J4793" t="s">
        <v>24554</v>
      </c>
      <c r="K4793" t="s">
        <v>263</v>
      </c>
      <c r="L4793" t="s">
        <v>24555</v>
      </c>
      <c r="M4793" t="s">
        <v>24556</v>
      </c>
      <c r="N4793" t="s">
        <v>24557</v>
      </c>
      <c r="O4793" t="s">
        <v>26</v>
      </c>
      <c r="P4793">
        <v>150</v>
      </c>
      <c r="Q4793">
        <v>125</v>
      </c>
      <c r="R4793">
        <v>100</v>
      </c>
      <c r="S4793">
        <v>150</v>
      </c>
      <c r="T4793" t="s">
        <v>24558</v>
      </c>
    </row>
    <row r="4794" spans="1:20">
      <c r="A4794">
        <v>3332872</v>
      </c>
      <c r="B4794" t="s">
        <v>24559</v>
      </c>
      <c r="C4794" t="str">
        <f>"9780773544901"</f>
        <v>9780773544901</v>
      </c>
      <c r="D4794" t="str">
        <f>"9780773583023"</f>
        <v>9780773583023</v>
      </c>
      <c r="E4794" t="s">
        <v>12863</v>
      </c>
      <c r="F4794" t="s">
        <v>12863</v>
      </c>
      <c r="G4794" s="1">
        <v>42118</v>
      </c>
      <c r="I4794" t="s">
        <v>12963</v>
      </c>
      <c r="J4794" t="s">
        <v>24560</v>
      </c>
      <c r="K4794" t="s">
        <v>10956</v>
      </c>
      <c r="L4794" t="s">
        <v>24561</v>
      </c>
      <c r="M4794" t="s">
        <v>24562</v>
      </c>
      <c r="N4794" t="s">
        <v>24563</v>
      </c>
      <c r="O4794" t="s">
        <v>26</v>
      </c>
      <c r="P4794">
        <v>150</v>
      </c>
      <c r="Q4794">
        <v>125</v>
      </c>
      <c r="R4794">
        <v>100</v>
      </c>
      <c r="S4794">
        <v>150</v>
      </c>
      <c r="T4794" t="s">
        <v>24564</v>
      </c>
    </row>
    <row r="4795" spans="1:20">
      <c r="A4795">
        <v>3332873</v>
      </c>
      <c r="B4795" t="s">
        <v>24565</v>
      </c>
      <c r="C4795" t="str">
        <f>"9780773544888"</f>
        <v>9780773544888</v>
      </c>
      <c r="D4795" t="str">
        <f>"9780773597150"</f>
        <v>9780773597150</v>
      </c>
      <c r="E4795" t="s">
        <v>12863</v>
      </c>
      <c r="F4795" t="s">
        <v>12863</v>
      </c>
      <c r="G4795" s="1">
        <v>42146</v>
      </c>
      <c r="I4795" t="s">
        <v>14374</v>
      </c>
      <c r="J4795" t="s">
        <v>24566</v>
      </c>
      <c r="K4795" t="s">
        <v>263</v>
      </c>
      <c r="L4795" t="s">
        <v>24567</v>
      </c>
      <c r="M4795">
        <v>363.80971399999999</v>
      </c>
      <c r="N4795" t="s">
        <v>24568</v>
      </c>
      <c r="O4795" t="s">
        <v>94</v>
      </c>
      <c r="P4795">
        <v>150</v>
      </c>
      <c r="Q4795">
        <v>125</v>
      </c>
      <c r="R4795">
        <v>100</v>
      </c>
      <c r="S4795">
        <v>150</v>
      </c>
      <c r="T4795" t="s">
        <v>24569</v>
      </c>
    </row>
    <row r="4796" spans="1:20">
      <c r="A4796">
        <v>3332874</v>
      </c>
      <c r="B4796" t="s">
        <v>24570</v>
      </c>
      <c r="C4796" t="str">
        <f>"9780773545441"</f>
        <v>9780773545441</v>
      </c>
      <c r="D4796" t="str">
        <f>"9780773597235"</f>
        <v>9780773597235</v>
      </c>
      <c r="E4796" t="s">
        <v>12863</v>
      </c>
      <c r="F4796" t="s">
        <v>12863</v>
      </c>
      <c r="G4796" s="1">
        <v>42125</v>
      </c>
      <c r="J4796" t="s">
        <v>24571</v>
      </c>
      <c r="K4796" t="s">
        <v>8812</v>
      </c>
      <c r="L4796" t="s">
        <v>24572</v>
      </c>
      <c r="M4796">
        <v>70.92</v>
      </c>
      <c r="N4796" t="s">
        <v>24573</v>
      </c>
      <c r="O4796" t="s">
        <v>26</v>
      </c>
      <c r="P4796">
        <v>150</v>
      </c>
      <c r="Q4796">
        <v>125</v>
      </c>
      <c r="R4796">
        <v>100</v>
      </c>
      <c r="S4796">
        <v>150</v>
      </c>
      <c r="T4796" t="s">
        <v>24574</v>
      </c>
    </row>
    <row r="4797" spans="1:20">
      <c r="A4797">
        <v>3332875</v>
      </c>
      <c r="B4797" t="s">
        <v>24575</v>
      </c>
      <c r="C4797" t="str">
        <f>"9780773545397"</f>
        <v>9780773545397</v>
      </c>
      <c r="D4797" t="str">
        <f>"9780773597112"</f>
        <v>9780773597112</v>
      </c>
      <c r="E4797" t="s">
        <v>12863</v>
      </c>
      <c r="F4797" t="s">
        <v>12863</v>
      </c>
      <c r="G4797" s="1">
        <v>42111</v>
      </c>
      <c r="I4797" t="s">
        <v>12864</v>
      </c>
      <c r="J4797" t="s">
        <v>24576</v>
      </c>
      <c r="K4797" t="s">
        <v>6154</v>
      </c>
      <c r="L4797" t="s">
        <v>24577</v>
      </c>
      <c r="M4797" t="s">
        <v>24578</v>
      </c>
      <c r="N4797" t="s">
        <v>24579</v>
      </c>
      <c r="O4797" t="s">
        <v>26</v>
      </c>
      <c r="P4797">
        <v>150</v>
      </c>
      <c r="Q4797">
        <v>125</v>
      </c>
      <c r="R4797">
        <v>100</v>
      </c>
      <c r="S4797">
        <v>150</v>
      </c>
      <c r="T4797" t="s">
        <v>24580</v>
      </c>
    </row>
    <row r="4798" spans="1:20">
      <c r="A4798">
        <v>3332876</v>
      </c>
      <c r="B4798" t="s">
        <v>24581</v>
      </c>
      <c r="C4798" t="str">
        <f>"9780773545076"</f>
        <v>9780773545076</v>
      </c>
      <c r="D4798" t="str">
        <f>"9780773581876"</f>
        <v>9780773581876</v>
      </c>
      <c r="E4798" t="s">
        <v>12863</v>
      </c>
      <c r="F4798" t="s">
        <v>12863</v>
      </c>
      <c r="G4798" s="1">
        <v>42132</v>
      </c>
      <c r="J4798" t="s">
        <v>24582</v>
      </c>
      <c r="K4798" t="s">
        <v>1464</v>
      </c>
      <c r="L4798" t="s">
        <v>24583</v>
      </c>
      <c r="M4798" t="s">
        <v>24584</v>
      </c>
      <c r="N4798" t="s">
        <v>24585</v>
      </c>
      <c r="O4798" t="s">
        <v>26</v>
      </c>
      <c r="P4798">
        <v>150</v>
      </c>
      <c r="Q4798">
        <v>125</v>
      </c>
      <c r="R4798">
        <v>100</v>
      </c>
      <c r="S4798">
        <v>150</v>
      </c>
      <c r="T4798" t="s">
        <v>24586</v>
      </c>
    </row>
    <row r="4799" spans="1:20">
      <c r="A4799">
        <v>3332877</v>
      </c>
      <c r="B4799" t="s">
        <v>24587</v>
      </c>
      <c r="C4799" t="str">
        <f>"9780773545144"</f>
        <v>9780773545144</v>
      </c>
      <c r="D4799" t="str">
        <f>"9780773597211"</f>
        <v>9780773597211</v>
      </c>
      <c r="E4799" t="s">
        <v>12863</v>
      </c>
      <c r="F4799" t="s">
        <v>12863</v>
      </c>
      <c r="G4799" s="1">
        <v>42124</v>
      </c>
      <c r="J4799" t="s">
        <v>24588</v>
      </c>
      <c r="K4799" t="s">
        <v>291</v>
      </c>
      <c r="L4799" t="s">
        <v>24589</v>
      </c>
      <c r="M4799" t="s">
        <v>24590</v>
      </c>
      <c r="N4799" t="s">
        <v>24591</v>
      </c>
      <c r="O4799" t="s">
        <v>26</v>
      </c>
      <c r="P4799">
        <v>150</v>
      </c>
      <c r="Q4799">
        <v>125</v>
      </c>
      <c r="R4799">
        <v>100</v>
      </c>
      <c r="S4799">
        <v>150</v>
      </c>
      <c r="T4799" t="s">
        <v>24592</v>
      </c>
    </row>
    <row r="4800" spans="1:20">
      <c r="A4800">
        <v>3332878</v>
      </c>
      <c r="B4800" t="s">
        <v>24593</v>
      </c>
      <c r="C4800" t="str">
        <f>"9780773545038"</f>
        <v>9780773545038</v>
      </c>
      <c r="D4800" t="str">
        <f>"9780773597136"</f>
        <v>9780773597136</v>
      </c>
      <c r="E4800" t="s">
        <v>12863</v>
      </c>
      <c r="F4800" t="s">
        <v>12863</v>
      </c>
      <c r="G4800" s="1">
        <v>42111</v>
      </c>
      <c r="J4800" t="s">
        <v>24594</v>
      </c>
      <c r="K4800" t="s">
        <v>1892</v>
      </c>
      <c r="L4800" t="s">
        <v>24595</v>
      </c>
      <c r="M4800" t="s">
        <v>24596</v>
      </c>
      <c r="N4800" t="s">
        <v>24597</v>
      </c>
      <c r="O4800" t="s">
        <v>26</v>
      </c>
      <c r="P4800">
        <v>150</v>
      </c>
      <c r="Q4800">
        <v>125</v>
      </c>
      <c r="R4800">
        <v>100</v>
      </c>
      <c r="S4800">
        <v>150</v>
      </c>
      <c r="T4800" t="s">
        <v>24598</v>
      </c>
    </row>
    <row r="4801" spans="1:20">
      <c r="A4801">
        <v>3332879</v>
      </c>
      <c r="B4801" t="s">
        <v>24599</v>
      </c>
      <c r="C4801" t="str">
        <f>"9780773530805"</f>
        <v>9780773530805</v>
      </c>
      <c r="D4801" t="str">
        <f>"9780773598126"</f>
        <v>9780773598126</v>
      </c>
      <c r="E4801" t="s">
        <v>12863</v>
      </c>
      <c r="F4801" t="s">
        <v>12863</v>
      </c>
      <c r="G4801" s="1">
        <v>38749</v>
      </c>
      <c r="I4801" t="s">
        <v>21110</v>
      </c>
      <c r="J4801" t="s">
        <v>21111</v>
      </c>
      <c r="K4801" t="s">
        <v>1859</v>
      </c>
      <c r="L4801" t="s">
        <v>24600</v>
      </c>
      <c r="M4801">
        <v>100</v>
      </c>
      <c r="N4801" t="s">
        <v>24601</v>
      </c>
      <c r="O4801" t="s">
        <v>26</v>
      </c>
      <c r="P4801">
        <v>44.93</v>
      </c>
      <c r="Q4801">
        <v>37.44</v>
      </c>
      <c r="R4801">
        <v>29.95</v>
      </c>
      <c r="S4801">
        <v>44.93</v>
      </c>
      <c r="T4801" t="s">
        <v>24602</v>
      </c>
    </row>
    <row r="4802" spans="1:20">
      <c r="A4802">
        <v>3332880</v>
      </c>
      <c r="B4802" t="s">
        <v>24603</v>
      </c>
      <c r="C4802" t="str">
        <f>"9780773545489"</f>
        <v>9780773545489</v>
      </c>
      <c r="D4802" t="str">
        <f>"9780773582224"</f>
        <v>9780773582224</v>
      </c>
      <c r="E4802" t="s">
        <v>12863</v>
      </c>
      <c r="F4802" t="s">
        <v>12863</v>
      </c>
      <c r="G4802" s="1">
        <v>42146</v>
      </c>
      <c r="J4802" t="s">
        <v>19661</v>
      </c>
      <c r="K4802" t="s">
        <v>291</v>
      </c>
      <c r="L4802" t="s">
        <v>24604</v>
      </c>
      <c r="M4802">
        <v>941.08309199999997</v>
      </c>
      <c r="N4802" t="s">
        <v>24605</v>
      </c>
      <c r="O4802" t="s">
        <v>26</v>
      </c>
      <c r="P4802">
        <v>150</v>
      </c>
      <c r="Q4802">
        <v>125</v>
      </c>
      <c r="R4802">
        <v>100</v>
      </c>
      <c r="S4802">
        <v>150</v>
      </c>
      <c r="T4802" t="s">
        <v>24606</v>
      </c>
    </row>
    <row r="4803" spans="1:20">
      <c r="A4803">
        <v>3374876</v>
      </c>
      <c r="B4803" t="s">
        <v>24607</v>
      </c>
      <c r="C4803" t="str">
        <f>"9782895440734"</f>
        <v>9782895440734</v>
      </c>
      <c r="D4803" t="str">
        <f>"9782895442998"</f>
        <v>9782895442998</v>
      </c>
      <c r="E4803" t="s">
        <v>24608</v>
      </c>
      <c r="F4803" t="s">
        <v>24608</v>
      </c>
      <c r="G4803" s="1">
        <v>38473</v>
      </c>
      <c r="J4803" t="s">
        <v>24609</v>
      </c>
      <c r="K4803" t="s">
        <v>791</v>
      </c>
      <c r="L4803" t="s">
        <v>24610</v>
      </c>
      <c r="N4803" t="s">
        <v>24611</v>
      </c>
      <c r="O4803" t="s">
        <v>94</v>
      </c>
      <c r="P4803">
        <v>21.99</v>
      </c>
      <c r="Q4803">
        <v>27.49</v>
      </c>
      <c r="R4803">
        <v>21.99</v>
      </c>
      <c r="S4803">
        <v>32.99</v>
      </c>
      <c r="T4803" t="s">
        <v>24612</v>
      </c>
    </row>
    <row r="4804" spans="1:20">
      <c r="A4804">
        <v>3374877</v>
      </c>
      <c r="B4804" t="s">
        <v>24613</v>
      </c>
      <c r="C4804" t="str">
        <f>"9782895440482"</f>
        <v>9782895440482</v>
      </c>
      <c r="D4804" t="str">
        <f>"9782895442769"</f>
        <v>9782895442769</v>
      </c>
      <c r="E4804" t="s">
        <v>24608</v>
      </c>
      <c r="F4804" t="s">
        <v>24608</v>
      </c>
      <c r="G4804" s="1">
        <v>41030</v>
      </c>
      <c r="J4804" t="s">
        <v>24614</v>
      </c>
      <c r="K4804" t="s">
        <v>24615</v>
      </c>
      <c r="L4804" t="s">
        <v>24616</v>
      </c>
      <c r="M4804" t="s">
        <v>24617</v>
      </c>
      <c r="N4804" t="s">
        <v>24618</v>
      </c>
      <c r="O4804" t="s">
        <v>94</v>
      </c>
      <c r="P4804">
        <v>34.99</v>
      </c>
      <c r="Q4804">
        <v>43.74</v>
      </c>
      <c r="R4804">
        <v>34.99</v>
      </c>
      <c r="S4804">
        <v>52.49</v>
      </c>
      <c r="T4804" t="s">
        <v>24619</v>
      </c>
    </row>
    <row r="4805" spans="1:20">
      <c r="A4805">
        <v>3374878</v>
      </c>
      <c r="B4805" t="s">
        <v>24620</v>
      </c>
      <c r="C4805" t="str">
        <f>"9782895440406"</f>
        <v>9782895440406</v>
      </c>
      <c r="D4805" t="str">
        <f>"9782895442684"</f>
        <v>9782895442684</v>
      </c>
      <c r="E4805" t="s">
        <v>24608</v>
      </c>
      <c r="F4805" t="s">
        <v>24608</v>
      </c>
      <c r="G4805" s="1">
        <v>37895</v>
      </c>
      <c r="J4805" t="s">
        <v>24621</v>
      </c>
      <c r="K4805" t="s">
        <v>110</v>
      </c>
      <c r="L4805" t="s">
        <v>24622</v>
      </c>
      <c r="N4805" t="s">
        <v>24623</v>
      </c>
      <c r="O4805" t="s">
        <v>94</v>
      </c>
      <c r="P4805">
        <v>13.99</v>
      </c>
      <c r="Q4805">
        <v>17.489999999999998</v>
      </c>
      <c r="R4805">
        <v>13.99</v>
      </c>
      <c r="S4805">
        <v>20.99</v>
      </c>
      <c r="T4805" t="s">
        <v>24624</v>
      </c>
    </row>
    <row r="4806" spans="1:20">
      <c r="A4806">
        <v>3374879</v>
      </c>
      <c r="B4806" t="s">
        <v>24625</v>
      </c>
      <c r="C4806" t="str">
        <f>"9782921146852"</f>
        <v>9782921146852</v>
      </c>
      <c r="D4806" t="str">
        <f>"9782895442295"</f>
        <v>9782895442295</v>
      </c>
      <c r="E4806" t="s">
        <v>24608</v>
      </c>
      <c r="F4806" t="s">
        <v>24608</v>
      </c>
      <c r="G4806" s="1">
        <v>36586</v>
      </c>
      <c r="J4806" t="s">
        <v>24626</v>
      </c>
      <c r="K4806" t="s">
        <v>467</v>
      </c>
      <c r="L4806" t="s">
        <v>24627</v>
      </c>
      <c r="N4806" t="s">
        <v>24628</v>
      </c>
      <c r="O4806" t="s">
        <v>94</v>
      </c>
      <c r="P4806">
        <v>11.99</v>
      </c>
      <c r="Q4806">
        <v>14.99</v>
      </c>
      <c r="R4806">
        <v>11.99</v>
      </c>
      <c r="S4806">
        <v>17.989999999999998</v>
      </c>
      <c r="T4806" t="s">
        <v>24629</v>
      </c>
    </row>
    <row r="4807" spans="1:20">
      <c r="A4807">
        <v>3374880</v>
      </c>
      <c r="B4807" t="s">
        <v>24630</v>
      </c>
      <c r="C4807" t="str">
        <f>"9782895440666"</f>
        <v>9782895440666</v>
      </c>
      <c r="D4807" t="str">
        <f>"9782895442936"</f>
        <v>9782895442936</v>
      </c>
      <c r="E4807" t="s">
        <v>24608</v>
      </c>
      <c r="F4807" t="s">
        <v>24608</v>
      </c>
      <c r="G4807" s="1">
        <v>38231</v>
      </c>
      <c r="J4807" t="s">
        <v>24631</v>
      </c>
      <c r="K4807" t="s">
        <v>50</v>
      </c>
      <c r="L4807" t="s">
        <v>24632</v>
      </c>
      <c r="N4807" t="s">
        <v>24633</v>
      </c>
      <c r="O4807" t="s">
        <v>94</v>
      </c>
      <c r="P4807">
        <v>18.989999999999998</v>
      </c>
      <c r="Q4807">
        <v>23.74</v>
      </c>
      <c r="R4807">
        <v>18.989999999999998</v>
      </c>
      <c r="S4807">
        <v>28.49</v>
      </c>
      <c r="T4807" t="s">
        <v>24634</v>
      </c>
    </row>
    <row r="4808" spans="1:20">
      <c r="A4808">
        <v>3374881</v>
      </c>
      <c r="B4808" t="s">
        <v>24635</v>
      </c>
      <c r="C4808" t="str">
        <f>"9782895440574"</f>
        <v>9782895440574</v>
      </c>
      <c r="D4808" t="str">
        <f>"9782895442851"</f>
        <v>9782895442851</v>
      </c>
      <c r="E4808" t="s">
        <v>24608</v>
      </c>
      <c r="F4808" t="s">
        <v>24608</v>
      </c>
      <c r="G4808" s="1">
        <v>41183</v>
      </c>
      <c r="J4808" t="s">
        <v>24636</v>
      </c>
      <c r="K4808" t="s">
        <v>10956</v>
      </c>
      <c r="L4808" t="s">
        <v>24637</v>
      </c>
      <c r="N4808" t="s">
        <v>24638</v>
      </c>
      <c r="O4808" t="s">
        <v>94</v>
      </c>
      <c r="P4808">
        <v>18.989999999999998</v>
      </c>
      <c r="Q4808">
        <v>23.74</v>
      </c>
      <c r="R4808">
        <v>18.989999999999998</v>
      </c>
      <c r="S4808">
        <v>28.49</v>
      </c>
      <c r="T4808" t="s">
        <v>24639</v>
      </c>
    </row>
    <row r="4809" spans="1:20">
      <c r="A4809">
        <v>3374882</v>
      </c>
      <c r="B4809" t="s">
        <v>24640</v>
      </c>
      <c r="C4809" t="str">
        <f>"9782895440321"</f>
        <v>9782895440321</v>
      </c>
      <c r="D4809" t="str">
        <f>"9782895442622"</f>
        <v>9782895442622</v>
      </c>
      <c r="E4809" t="s">
        <v>24608</v>
      </c>
      <c r="F4809" t="s">
        <v>24608</v>
      </c>
      <c r="G4809" s="1">
        <v>37377</v>
      </c>
      <c r="J4809" t="s">
        <v>24641</v>
      </c>
      <c r="K4809" t="s">
        <v>467</v>
      </c>
      <c r="L4809" t="s">
        <v>24642</v>
      </c>
      <c r="N4809" t="s">
        <v>24643</v>
      </c>
      <c r="O4809" t="s">
        <v>94</v>
      </c>
      <c r="P4809">
        <v>29.99</v>
      </c>
      <c r="Q4809">
        <v>37.49</v>
      </c>
      <c r="R4809">
        <v>29.99</v>
      </c>
      <c r="S4809">
        <v>44.99</v>
      </c>
      <c r="T4809" t="s">
        <v>24644</v>
      </c>
    </row>
    <row r="4810" spans="1:20">
      <c r="A4810">
        <v>3374883</v>
      </c>
      <c r="B4810" t="s">
        <v>24645</v>
      </c>
      <c r="C4810" t="str">
        <f>"9782921146456"</f>
        <v>9782921146456</v>
      </c>
      <c r="D4810" t="str">
        <f>"9782895442066"</f>
        <v>9782895442066</v>
      </c>
      <c r="E4810" t="s">
        <v>24608</v>
      </c>
      <c r="F4810" t="s">
        <v>24608</v>
      </c>
      <c r="G4810" s="1">
        <v>36039</v>
      </c>
      <c r="J4810" t="s">
        <v>24646</v>
      </c>
      <c r="K4810" t="s">
        <v>1082</v>
      </c>
      <c r="L4810" t="s">
        <v>24647</v>
      </c>
      <c r="M4810">
        <v>362.10971000000001</v>
      </c>
      <c r="N4810" t="s">
        <v>24648</v>
      </c>
      <c r="O4810" t="s">
        <v>26</v>
      </c>
      <c r="Q4810">
        <v>11.25</v>
      </c>
      <c r="R4810">
        <v>9</v>
      </c>
      <c r="S4810">
        <v>13.5</v>
      </c>
      <c r="T4810" t="s">
        <v>24649</v>
      </c>
    </row>
    <row r="4811" spans="1:20">
      <c r="A4811">
        <v>3374884</v>
      </c>
      <c r="B4811" t="s">
        <v>24650</v>
      </c>
      <c r="C4811" t="str">
        <f>"9782895440420"</f>
        <v>9782895440420</v>
      </c>
      <c r="D4811" t="str">
        <f>"9782895442707"</f>
        <v>9782895442707</v>
      </c>
      <c r="E4811" t="s">
        <v>24608</v>
      </c>
      <c r="F4811" t="s">
        <v>24608</v>
      </c>
      <c r="G4811" s="1">
        <v>37681</v>
      </c>
      <c r="J4811" t="s">
        <v>24651</v>
      </c>
      <c r="K4811" t="s">
        <v>1464</v>
      </c>
      <c r="L4811" t="s">
        <v>24652</v>
      </c>
      <c r="N4811" t="s">
        <v>24653</v>
      </c>
      <c r="O4811" t="s">
        <v>94</v>
      </c>
      <c r="P4811">
        <v>14.99</v>
      </c>
      <c r="Q4811">
        <v>18.739999999999998</v>
      </c>
      <c r="R4811">
        <v>14.99</v>
      </c>
      <c r="S4811">
        <v>22.49</v>
      </c>
      <c r="T4811" t="s">
        <v>24654</v>
      </c>
    </row>
    <row r="4812" spans="1:20">
      <c r="A4812">
        <v>3374885</v>
      </c>
      <c r="B4812" t="s">
        <v>24655</v>
      </c>
      <c r="C4812" t="str">
        <f>"9782895440093"</f>
        <v>9782895440093</v>
      </c>
      <c r="D4812" t="str">
        <f>"9782895442462"</f>
        <v>9782895442462</v>
      </c>
      <c r="E4812" t="s">
        <v>24608</v>
      </c>
      <c r="F4812" t="s">
        <v>24608</v>
      </c>
      <c r="G4812" s="1">
        <v>36800</v>
      </c>
      <c r="J4812" t="s">
        <v>24656</v>
      </c>
      <c r="K4812" t="s">
        <v>2387</v>
      </c>
      <c r="L4812" t="s">
        <v>24657</v>
      </c>
      <c r="N4812" t="s">
        <v>24658</v>
      </c>
      <c r="O4812" t="s">
        <v>94</v>
      </c>
      <c r="P4812">
        <v>14.99</v>
      </c>
      <c r="Q4812">
        <v>18.739999999999998</v>
      </c>
      <c r="R4812">
        <v>14.99</v>
      </c>
      <c r="S4812">
        <v>22.49</v>
      </c>
      <c r="T4812" t="s">
        <v>24659</v>
      </c>
    </row>
    <row r="4813" spans="1:20">
      <c r="A4813">
        <v>3374886</v>
      </c>
      <c r="B4813" t="s">
        <v>24660</v>
      </c>
      <c r="C4813" t="str">
        <f>"9782921146746"</f>
        <v>9782921146746</v>
      </c>
      <c r="D4813" t="str">
        <f>"9782895442233"</f>
        <v>9782895442233</v>
      </c>
      <c r="E4813" t="s">
        <v>24608</v>
      </c>
      <c r="F4813" t="s">
        <v>24608</v>
      </c>
      <c r="G4813" s="1">
        <v>36100</v>
      </c>
      <c r="J4813" t="s">
        <v>24626</v>
      </c>
      <c r="K4813" t="s">
        <v>467</v>
      </c>
      <c r="L4813" t="s">
        <v>24661</v>
      </c>
      <c r="N4813" t="s">
        <v>24628</v>
      </c>
      <c r="O4813" t="s">
        <v>94</v>
      </c>
      <c r="P4813">
        <v>11.99</v>
      </c>
      <c r="Q4813">
        <v>14.99</v>
      </c>
      <c r="R4813">
        <v>11.99</v>
      </c>
      <c r="S4813">
        <v>17.989999999999998</v>
      </c>
      <c r="T4813" t="s">
        <v>24662</v>
      </c>
    </row>
    <row r="4814" spans="1:20">
      <c r="A4814">
        <v>3374887</v>
      </c>
      <c r="B4814" t="s">
        <v>24663</v>
      </c>
      <c r="C4814" t="str">
        <f>"9782895441649"</f>
        <v>9782895441649</v>
      </c>
      <c r="D4814" t="str">
        <f>"9782895443759"</f>
        <v>9782895443759</v>
      </c>
      <c r="E4814" t="s">
        <v>24608</v>
      </c>
      <c r="F4814" t="s">
        <v>24608</v>
      </c>
      <c r="G4814" s="1">
        <v>40238</v>
      </c>
      <c r="J4814" t="s">
        <v>24664</v>
      </c>
      <c r="K4814" t="s">
        <v>257</v>
      </c>
      <c r="L4814" t="s">
        <v>24665</v>
      </c>
      <c r="N4814" t="s">
        <v>24666</v>
      </c>
      <c r="O4814" t="s">
        <v>94</v>
      </c>
      <c r="P4814">
        <v>18.989999999999998</v>
      </c>
      <c r="Q4814">
        <v>23.74</v>
      </c>
      <c r="R4814">
        <v>18.989999999999998</v>
      </c>
      <c r="S4814">
        <v>28.49</v>
      </c>
      <c r="T4814" t="s">
        <v>24667</v>
      </c>
    </row>
    <row r="4815" spans="1:20">
      <c r="A4815">
        <v>3374888</v>
      </c>
      <c r="B4815" t="s">
        <v>24668</v>
      </c>
      <c r="C4815" t="str">
        <f>"9782921146234"</f>
        <v>9782921146234</v>
      </c>
      <c r="D4815" t="str">
        <f>"9782895442004"</f>
        <v>9782895442004</v>
      </c>
      <c r="E4815" t="s">
        <v>24608</v>
      </c>
      <c r="F4815" t="s">
        <v>24608</v>
      </c>
      <c r="G4815" s="1">
        <v>34973</v>
      </c>
      <c r="J4815" t="s">
        <v>24669</v>
      </c>
      <c r="K4815" t="s">
        <v>2260</v>
      </c>
      <c r="L4815" t="s">
        <v>24670</v>
      </c>
      <c r="N4815" t="s">
        <v>24671</v>
      </c>
      <c r="O4815" t="s">
        <v>94</v>
      </c>
      <c r="P4815">
        <v>54.99</v>
      </c>
      <c r="Q4815">
        <v>68.739999999999995</v>
      </c>
      <c r="R4815">
        <v>54.99</v>
      </c>
      <c r="S4815">
        <v>82.49</v>
      </c>
      <c r="T4815" t="s">
        <v>24672</v>
      </c>
    </row>
    <row r="4816" spans="1:20">
      <c r="A4816">
        <v>3374889</v>
      </c>
      <c r="B4816" t="s">
        <v>24673</v>
      </c>
      <c r="C4816" t="str">
        <f>"9782895441267"</f>
        <v>9782895441267</v>
      </c>
      <c r="D4816" t="str">
        <f>"9782895443445"</f>
        <v>9782895443445</v>
      </c>
      <c r="E4816" t="s">
        <v>24608</v>
      </c>
      <c r="F4816" t="s">
        <v>24608</v>
      </c>
      <c r="G4816" s="1">
        <v>39600</v>
      </c>
      <c r="J4816" t="s">
        <v>24674</v>
      </c>
      <c r="K4816" t="s">
        <v>1892</v>
      </c>
      <c r="L4816" t="s">
        <v>24675</v>
      </c>
      <c r="M4816">
        <v>283.0924</v>
      </c>
      <c r="N4816" t="s">
        <v>24676</v>
      </c>
      <c r="O4816" t="s">
        <v>26</v>
      </c>
      <c r="P4816">
        <v>21.99</v>
      </c>
      <c r="Q4816">
        <v>27.49</v>
      </c>
      <c r="R4816">
        <v>21.99</v>
      </c>
      <c r="S4816">
        <v>32.99</v>
      </c>
      <c r="T4816" t="s">
        <v>24677</v>
      </c>
    </row>
    <row r="4817" spans="1:20">
      <c r="A4817">
        <v>3374890</v>
      </c>
      <c r="B4817" t="s">
        <v>24678</v>
      </c>
      <c r="C4817" t="str">
        <f>"9782895441014"</f>
        <v>9782895441014</v>
      </c>
      <c r="D4817" t="str">
        <f>"9782895443216"</f>
        <v>9782895443216</v>
      </c>
      <c r="E4817" t="s">
        <v>24608</v>
      </c>
      <c r="F4817" t="s">
        <v>24608</v>
      </c>
      <c r="G4817" s="1">
        <v>38991</v>
      </c>
      <c r="J4817" t="s">
        <v>24679</v>
      </c>
      <c r="K4817" t="s">
        <v>17979</v>
      </c>
      <c r="L4817" t="s">
        <v>24680</v>
      </c>
      <c r="M4817" t="s">
        <v>24681</v>
      </c>
      <c r="N4817" t="s">
        <v>24682</v>
      </c>
      <c r="O4817" t="s">
        <v>94</v>
      </c>
      <c r="P4817">
        <v>18.989999999999998</v>
      </c>
      <c r="Q4817">
        <v>23.74</v>
      </c>
      <c r="R4817">
        <v>18.989999999999998</v>
      </c>
      <c r="S4817">
        <v>28.49</v>
      </c>
      <c r="T4817" t="s">
        <v>24683</v>
      </c>
    </row>
    <row r="4818" spans="1:20">
      <c r="A4818">
        <v>3374891</v>
      </c>
      <c r="B4818" t="s">
        <v>24684</v>
      </c>
      <c r="C4818" t="str">
        <f>"9782895441700"</f>
        <v>9782895441700</v>
      </c>
      <c r="D4818" t="str">
        <f>"9782895443841"</f>
        <v>9782895443841</v>
      </c>
      <c r="E4818" t="s">
        <v>24608</v>
      </c>
      <c r="F4818" t="s">
        <v>24608</v>
      </c>
      <c r="G4818" s="1">
        <v>40452</v>
      </c>
      <c r="J4818" t="s">
        <v>24685</v>
      </c>
      <c r="K4818" t="s">
        <v>1082</v>
      </c>
      <c r="L4818" t="s">
        <v>24686</v>
      </c>
      <c r="N4818" t="s">
        <v>24687</v>
      </c>
      <c r="O4818" t="s">
        <v>94</v>
      </c>
      <c r="P4818">
        <v>18.989999999999998</v>
      </c>
      <c r="Q4818">
        <v>23.74</v>
      </c>
      <c r="R4818">
        <v>18.989999999999998</v>
      </c>
      <c r="S4818">
        <v>28.49</v>
      </c>
      <c r="T4818" t="s">
        <v>24688</v>
      </c>
    </row>
    <row r="4819" spans="1:20">
      <c r="A4819">
        <v>3374892</v>
      </c>
      <c r="B4819" t="s">
        <v>24689</v>
      </c>
      <c r="C4819" t="str">
        <f>"9782895441090"</f>
        <v>9782895441090</v>
      </c>
      <c r="D4819" t="str">
        <f>"9782895443285"</f>
        <v>9782895443285</v>
      </c>
      <c r="E4819" t="s">
        <v>24608</v>
      </c>
      <c r="F4819" t="s">
        <v>24608</v>
      </c>
      <c r="G4819" s="1">
        <v>39173</v>
      </c>
      <c r="J4819" t="s">
        <v>24690</v>
      </c>
      <c r="K4819" t="s">
        <v>1471</v>
      </c>
      <c r="L4819" t="s">
        <v>24691</v>
      </c>
      <c r="N4819" t="s">
        <v>24692</v>
      </c>
      <c r="O4819" t="s">
        <v>94</v>
      </c>
      <c r="P4819">
        <v>25.99</v>
      </c>
      <c r="Q4819">
        <v>32.49</v>
      </c>
      <c r="R4819">
        <v>25.99</v>
      </c>
      <c r="S4819">
        <v>38.99</v>
      </c>
      <c r="T4819" t="s">
        <v>24693</v>
      </c>
    </row>
    <row r="4820" spans="1:20">
      <c r="A4820">
        <v>3374893</v>
      </c>
      <c r="B4820" t="s">
        <v>24694</v>
      </c>
      <c r="C4820" t="str">
        <f>"9782895441519"</f>
        <v>9782895441519</v>
      </c>
      <c r="D4820" t="str">
        <f>"9782895443612"</f>
        <v>9782895443612</v>
      </c>
      <c r="E4820" t="s">
        <v>24608</v>
      </c>
      <c r="F4820" t="s">
        <v>24608</v>
      </c>
      <c r="G4820" s="1">
        <v>40544</v>
      </c>
      <c r="J4820" t="s">
        <v>24695</v>
      </c>
      <c r="K4820" t="s">
        <v>791</v>
      </c>
      <c r="L4820" t="s">
        <v>24696</v>
      </c>
      <c r="N4820" t="s">
        <v>24697</v>
      </c>
      <c r="O4820" t="s">
        <v>94</v>
      </c>
      <c r="P4820">
        <v>29.99</v>
      </c>
      <c r="Q4820">
        <v>37.49</v>
      </c>
      <c r="R4820">
        <v>29.99</v>
      </c>
      <c r="S4820">
        <v>44.99</v>
      </c>
      <c r="T4820" t="s">
        <v>24698</v>
      </c>
    </row>
    <row r="4821" spans="1:20">
      <c r="A4821">
        <v>3374894</v>
      </c>
      <c r="B4821" t="s">
        <v>24699</v>
      </c>
      <c r="C4821" t="str">
        <f>"9782895440840"</f>
        <v>9782895440840</v>
      </c>
      <c r="D4821" t="str">
        <f>"9782895443056"</f>
        <v>9782895443056</v>
      </c>
      <c r="E4821" t="s">
        <v>24608</v>
      </c>
      <c r="F4821" t="s">
        <v>24608</v>
      </c>
      <c r="G4821" s="1">
        <v>38657</v>
      </c>
      <c r="J4821" t="s">
        <v>24700</v>
      </c>
      <c r="K4821" t="s">
        <v>1464</v>
      </c>
      <c r="L4821" t="s">
        <v>24701</v>
      </c>
      <c r="N4821" t="s">
        <v>24702</v>
      </c>
      <c r="O4821" t="s">
        <v>94</v>
      </c>
      <c r="P4821">
        <v>18.989999999999998</v>
      </c>
      <c r="Q4821">
        <v>23.74</v>
      </c>
      <c r="R4821">
        <v>18.989999999999998</v>
      </c>
      <c r="S4821">
        <v>28.49</v>
      </c>
      <c r="T4821" t="s">
        <v>24703</v>
      </c>
    </row>
    <row r="4822" spans="1:20">
      <c r="A4822">
        <v>3374895</v>
      </c>
      <c r="B4822" t="s">
        <v>24704</v>
      </c>
      <c r="C4822" t="str">
        <f>"9782895441960"</f>
        <v>9782895441960</v>
      </c>
      <c r="D4822" t="str">
        <f>"9782895444497"</f>
        <v>9782895444497</v>
      </c>
      <c r="E4822" t="s">
        <v>24608</v>
      </c>
      <c r="F4822" t="s">
        <v>24608</v>
      </c>
      <c r="G4822" s="1">
        <v>41153</v>
      </c>
      <c r="J4822" t="s">
        <v>24705</v>
      </c>
      <c r="K4822" t="s">
        <v>291</v>
      </c>
      <c r="L4822" t="s">
        <v>24706</v>
      </c>
      <c r="N4822" t="s">
        <v>24707</v>
      </c>
      <c r="O4822" t="s">
        <v>94</v>
      </c>
      <c r="P4822">
        <v>14.99</v>
      </c>
      <c r="Q4822">
        <v>18.739999999999998</v>
      </c>
      <c r="R4822">
        <v>14.99</v>
      </c>
      <c r="S4822">
        <v>22.49</v>
      </c>
      <c r="T4822" t="s">
        <v>24708</v>
      </c>
    </row>
    <row r="4823" spans="1:20">
      <c r="A4823">
        <v>3374896</v>
      </c>
      <c r="B4823" t="s">
        <v>24709</v>
      </c>
      <c r="C4823" t="str">
        <f>"9782895441762"</f>
        <v>9782895441762</v>
      </c>
      <c r="D4823" t="str">
        <f>"9782895444268"</f>
        <v>9782895444268</v>
      </c>
      <c r="E4823" t="s">
        <v>24608</v>
      </c>
      <c r="F4823" t="s">
        <v>24608</v>
      </c>
      <c r="G4823" s="1">
        <v>40544</v>
      </c>
      <c r="J4823" t="s">
        <v>24710</v>
      </c>
      <c r="K4823" t="s">
        <v>1082</v>
      </c>
      <c r="L4823" t="s">
        <v>24711</v>
      </c>
      <c r="N4823" t="s">
        <v>24712</v>
      </c>
      <c r="O4823" t="s">
        <v>94</v>
      </c>
      <c r="P4823">
        <v>18.989999999999998</v>
      </c>
      <c r="Q4823">
        <v>23.74</v>
      </c>
      <c r="R4823">
        <v>18.989999999999998</v>
      </c>
      <c r="S4823">
        <v>28.49</v>
      </c>
      <c r="T4823" t="s">
        <v>24713</v>
      </c>
    </row>
    <row r="4824" spans="1:20">
      <c r="A4824">
        <v>3374897</v>
      </c>
      <c r="B4824" t="s">
        <v>24714</v>
      </c>
      <c r="C4824" t="str">
        <f>"9782895441915"</f>
        <v>9782895441915</v>
      </c>
      <c r="D4824" t="str">
        <f>"9782895444435"</f>
        <v>9782895444435</v>
      </c>
      <c r="E4824" t="s">
        <v>24608</v>
      </c>
      <c r="F4824" t="s">
        <v>24608</v>
      </c>
      <c r="G4824" s="1">
        <v>40969</v>
      </c>
      <c r="J4824" t="s">
        <v>24715</v>
      </c>
      <c r="K4824" t="s">
        <v>791</v>
      </c>
      <c r="L4824" t="s">
        <v>24716</v>
      </c>
      <c r="N4824" t="s">
        <v>24717</v>
      </c>
      <c r="O4824" t="s">
        <v>94</v>
      </c>
      <c r="P4824">
        <v>14.99</v>
      </c>
      <c r="Q4824">
        <v>18.739999999999998</v>
      </c>
      <c r="R4824">
        <v>14.99</v>
      </c>
      <c r="S4824">
        <v>22.49</v>
      </c>
      <c r="T4824" t="s">
        <v>24718</v>
      </c>
    </row>
    <row r="4825" spans="1:20">
      <c r="A4825">
        <v>3374898</v>
      </c>
      <c r="B4825" t="s">
        <v>24719</v>
      </c>
      <c r="C4825" t="str">
        <f>"9782895444541"</f>
        <v>9782895444541</v>
      </c>
      <c r="D4825" t="str">
        <f>"9782895445029"</f>
        <v>9782895445029</v>
      </c>
      <c r="E4825" t="s">
        <v>24608</v>
      </c>
      <c r="F4825" t="s">
        <v>24608</v>
      </c>
      <c r="G4825" s="1">
        <v>41334</v>
      </c>
      <c r="J4825" t="s">
        <v>24720</v>
      </c>
      <c r="K4825" t="s">
        <v>12038</v>
      </c>
      <c r="L4825" t="s">
        <v>24721</v>
      </c>
      <c r="N4825" t="s">
        <v>24722</v>
      </c>
      <c r="O4825" t="s">
        <v>94</v>
      </c>
      <c r="P4825">
        <v>19.989999999999998</v>
      </c>
      <c r="Q4825">
        <v>24.99</v>
      </c>
      <c r="R4825">
        <v>19.989999999999998</v>
      </c>
      <c r="S4825">
        <v>29.99</v>
      </c>
      <c r="T4825" t="s">
        <v>24723</v>
      </c>
    </row>
    <row r="4826" spans="1:20">
      <c r="A4826">
        <v>3374899</v>
      </c>
      <c r="B4826" t="s">
        <v>24724</v>
      </c>
      <c r="C4826" t="str">
        <f>"9782895440499"</f>
        <v>9782895440499</v>
      </c>
      <c r="D4826" t="str">
        <f>"9782895442776"</f>
        <v>9782895442776</v>
      </c>
      <c r="E4826" t="s">
        <v>24608</v>
      </c>
      <c r="F4826" t="s">
        <v>24608</v>
      </c>
      <c r="G4826" s="1">
        <v>38047</v>
      </c>
      <c r="J4826" t="s">
        <v>24725</v>
      </c>
      <c r="K4826" t="s">
        <v>7075</v>
      </c>
      <c r="L4826" t="s">
        <v>24726</v>
      </c>
      <c r="M4826" t="s">
        <v>24727</v>
      </c>
      <c r="N4826" t="s">
        <v>24728</v>
      </c>
      <c r="O4826" t="s">
        <v>94</v>
      </c>
      <c r="P4826">
        <v>25.99</v>
      </c>
      <c r="Q4826">
        <v>32.49</v>
      </c>
      <c r="R4826">
        <v>25.99</v>
      </c>
      <c r="S4826">
        <v>38.99</v>
      </c>
      <c r="T4826" t="s">
        <v>24729</v>
      </c>
    </row>
    <row r="4827" spans="1:20">
      <c r="A4827">
        <v>3374900</v>
      </c>
      <c r="B4827" t="s">
        <v>24730</v>
      </c>
      <c r="C4827" t="str">
        <f>"9782895440413"</f>
        <v>9782895440413</v>
      </c>
      <c r="D4827" t="str">
        <f>"9782895442691"</f>
        <v>9782895442691</v>
      </c>
      <c r="E4827" t="s">
        <v>24608</v>
      </c>
      <c r="F4827" t="s">
        <v>24608</v>
      </c>
      <c r="G4827" s="1">
        <v>37712</v>
      </c>
      <c r="J4827" t="s">
        <v>24731</v>
      </c>
      <c r="K4827" t="s">
        <v>2387</v>
      </c>
      <c r="L4827" t="s">
        <v>24732</v>
      </c>
      <c r="N4827" t="s">
        <v>24733</v>
      </c>
      <c r="O4827" t="s">
        <v>94</v>
      </c>
      <c r="P4827">
        <v>13.99</v>
      </c>
      <c r="Q4827">
        <v>17.489999999999998</v>
      </c>
      <c r="R4827">
        <v>13.99</v>
      </c>
      <c r="S4827">
        <v>20.99</v>
      </c>
      <c r="T4827" t="s">
        <v>24734</v>
      </c>
    </row>
    <row r="4828" spans="1:20">
      <c r="A4828">
        <v>3374901</v>
      </c>
      <c r="B4828" t="s">
        <v>24735</v>
      </c>
      <c r="C4828" t="str">
        <f>"9782895440222"</f>
        <v>9782895440222</v>
      </c>
      <c r="D4828" t="str">
        <f>"9782895442547"</f>
        <v>9782895442547</v>
      </c>
      <c r="E4828" t="s">
        <v>24608</v>
      </c>
      <c r="F4828" t="s">
        <v>24608</v>
      </c>
      <c r="G4828" s="1">
        <v>37135</v>
      </c>
      <c r="J4828" t="s">
        <v>24736</v>
      </c>
      <c r="K4828" t="s">
        <v>12038</v>
      </c>
      <c r="L4828" t="s">
        <v>24737</v>
      </c>
      <c r="N4828" t="s">
        <v>24738</v>
      </c>
      <c r="O4828" t="s">
        <v>94</v>
      </c>
      <c r="P4828">
        <v>18.989999999999998</v>
      </c>
      <c r="Q4828">
        <v>23.74</v>
      </c>
      <c r="R4828">
        <v>18.989999999999998</v>
      </c>
      <c r="S4828">
        <v>28.49</v>
      </c>
      <c r="T4828" t="s">
        <v>24739</v>
      </c>
    </row>
    <row r="4829" spans="1:20">
      <c r="A4829">
        <v>3374902</v>
      </c>
      <c r="B4829" t="s">
        <v>24740</v>
      </c>
      <c r="C4829" t="str">
        <f>"9782921146876"</f>
        <v>9782921146876</v>
      </c>
      <c r="D4829" t="str">
        <f>"9782895442318"</f>
        <v>9782895442318</v>
      </c>
      <c r="E4829" t="s">
        <v>24608</v>
      </c>
      <c r="F4829" t="s">
        <v>24608</v>
      </c>
      <c r="G4829" s="1">
        <v>37288</v>
      </c>
      <c r="J4829" t="s">
        <v>24741</v>
      </c>
      <c r="K4829" t="s">
        <v>2260</v>
      </c>
      <c r="L4829" t="s">
        <v>24742</v>
      </c>
      <c r="N4829" t="s">
        <v>24743</v>
      </c>
      <c r="O4829" t="s">
        <v>94</v>
      </c>
      <c r="P4829">
        <v>29.99</v>
      </c>
      <c r="Q4829">
        <v>37.49</v>
      </c>
      <c r="R4829">
        <v>29.99</v>
      </c>
      <c r="S4829">
        <v>44.99</v>
      </c>
      <c r="T4829" t="s">
        <v>24744</v>
      </c>
    </row>
    <row r="4830" spans="1:20">
      <c r="A4830">
        <v>3374903</v>
      </c>
      <c r="B4830" t="s">
        <v>24745</v>
      </c>
      <c r="C4830" t="str">
        <f>"9782895440673"</f>
        <v>9782895440673</v>
      </c>
      <c r="D4830" t="str">
        <f>"9782895442943"</f>
        <v>9782895442943</v>
      </c>
      <c r="E4830" t="s">
        <v>24608</v>
      </c>
      <c r="F4830" t="s">
        <v>24608</v>
      </c>
      <c r="G4830" s="1">
        <v>38261</v>
      </c>
      <c r="J4830" t="s">
        <v>24636</v>
      </c>
      <c r="K4830" t="s">
        <v>10956</v>
      </c>
      <c r="L4830" t="s">
        <v>24746</v>
      </c>
      <c r="M4830">
        <v>70.400000000000006</v>
      </c>
      <c r="N4830" t="s">
        <v>24747</v>
      </c>
      <c r="O4830" t="s">
        <v>94</v>
      </c>
      <c r="P4830">
        <v>13.99</v>
      </c>
      <c r="Q4830">
        <v>17.489999999999998</v>
      </c>
      <c r="R4830">
        <v>13.99</v>
      </c>
      <c r="S4830">
        <v>20.99</v>
      </c>
      <c r="T4830" t="s">
        <v>24748</v>
      </c>
    </row>
    <row r="4831" spans="1:20">
      <c r="A4831">
        <v>3374904</v>
      </c>
      <c r="B4831" t="s">
        <v>24749</v>
      </c>
      <c r="C4831" t="str">
        <f>"9782895440437"</f>
        <v>9782895440437</v>
      </c>
      <c r="D4831" t="str">
        <f>"9782895442714"</f>
        <v>9782895442714</v>
      </c>
      <c r="E4831" t="s">
        <v>24608</v>
      </c>
      <c r="F4831" t="s">
        <v>24608</v>
      </c>
      <c r="G4831" s="1">
        <v>38047</v>
      </c>
      <c r="J4831" t="s">
        <v>24750</v>
      </c>
      <c r="K4831" t="s">
        <v>16769</v>
      </c>
      <c r="L4831" t="s">
        <v>24751</v>
      </c>
      <c r="M4831" t="s">
        <v>24752</v>
      </c>
      <c r="N4831" t="s">
        <v>24753</v>
      </c>
      <c r="O4831" t="s">
        <v>94</v>
      </c>
      <c r="P4831">
        <v>25.99</v>
      </c>
      <c r="Q4831">
        <v>32.49</v>
      </c>
      <c r="R4831">
        <v>25.99</v>
      </c>
      <c r="S4831">
        <v>38.99</v>
      </c>
      <c r="T4831" t="s">
        <v>24754</v>
      </c>
    </row>
    <row r="4832" spans="1:20">
      <c r="A4832">
        <v>3374905</v>
      </c>
      <c r="B4832" t="s">
        <v>24755</v>
      </c>
      <c r="C4832" t="str">
        <f>"9782921146463"</f>
        <v>9782921146463</v>
      </c>
      <c r="D4832" t="str">
        <f>"9782895442073"</f>
        <v>9782895442073</v>
      </c>
      <c r="E4832" t="s">
        <v>24608</v>
      </c>
      <c r="F4832" t="s">
        <v>24608</v>
      </c>
      <c r="G4832" s="1">
        <v>35855</v>
      </c>
      <c r="J4832" t="s">
        <v>24756</v>
      </c>
      <c r="K4832" t="s">
        <v>1082</v>
      </c>
      <c r="L4832" t="s">
        <v>24757</v>
      </c>
      <c r="N4832" t="s">
        <v>24758</v>
      </c>
      <c r="O4832" t="s">
        <v>94</v>
      </c>
      <c r="P4832">
        <v>26.99</v>
      </c>
      <c r="Q4832">
        <v>33.74</v>
      </c>
      <c r="R4832">
        <v>26.99</v>
      </c>
      <c r="S4832">
        <v>40.49</v>
      </c>
      <c r="T4832" t="s">
        <v>24759</v>
      </c>
    </row>
    <row r="4833" spans="1:20">
      <c r="A4833">
        <v>3374906</v>
      </c>
      <c r="B4833" t="s">
        <v>24760</v>
      </c>
      <c r="C4833" t="str">
        <f>"9782895441472"</f>
        <v>9782895441472</v>
      </c>
      <c r="D4833" t="str">
        <f>"9782895443599"</f>
        <v>9782895443599</v>
      </c>
      <c r="E4833" t="s">
        <v>24608</v>
      </c>
      <c r="F4833" t="s">
        <v>24608</v>
      </c>
      <c r="G4833" s="1">
        <v>40118</v>
      </c>
      <c r="J4833" t="s">
        <v>24761</v>
      </c>
      <c r="K4833" t="s">
        <v>15517</v>
      </c>
      <c r="L4833" t="s">
        <v>24762</v>
      </c>
      <c r="M4833" t="s">
        <v>24763</v>
      </c>
      <c r="N4833" t="s">
        <v>24764</v>
      </c>
      <c r="O4833" t="s">
        <v>94</v>
      </c>
      <c r="P4833">
        <v>21.99</v>
      </c>
      <c r="Q4833">
        <v>27.49</v>
      </c>
      <c r="R4833">
        <v>21.99</v>
      </c>
      <c r="S4833">
        <v>32.99</v>
      </c>
      <c r="T4833" t="s">
        <v>24765</v>
      </c>
    </row>
    <row r="4834" spans="1:20">
      <c r="A4834">
        <v>3374907</v>
      </c>
      <c r="B4834" t="s">
        <v>24766</v>
      </c>
      <c r="C4834" t="str">
        <f>"9782895440000"</f>
        <v>9782895440000</v>
      </c>
      <c r="D4834" t="str">
        <f>"9782895442400"</f>
        <v>9782895442400</v>
      </c>
      <c r="E4834" t="s">
        <v>24608</v>
      </c>
      <c r="F4834" t="s">
        <v>24608</v>
      </c>
      <c r="G4834" s="1">
        <v>36586</v>
      </c>
      <c r="J4834" t="s">
        <v>24767</v>
      </c>
      <c r="K4834" t="s">
        <v>305</v>
      </c>
      <c r="L4834" t="s">
        <v>24768</v>
      </c>
      <c r="N4834" t="s">
        <v>24769</v>
      </c>
      <c r="O4834" t="s">
        <v>94</v>
      </c>
      <c r="P4834">
        <v>21.99</v>
      </c>
      <c r="Q4834">
        <v>27.49</v>
      </c>
      <c r="R4834">
        <v>21.99</v>
      </c>
      <c r="S4834">
        <v>32.99</v>
      </c>
      <c r="T4834" t="s">
        <v>24770</v>
      </c>
    </row>
    <row r="4835" spans="1:20">
      <c r="A4835">
        <v>3374908</v>
      </c>
      <c r="B4835" t="s">
        <v>24771</v>
      </c>
      <c r="C4835" t="str">
        <f>"9782921146753"</f>
        <v>9782921146753</v>
      </c>
      <c r="D4835" t="str">
        <f>"9782895442240"</f>
        <v>9782895442240</v>
      </c>
      <c r="E4835" t="s">
        <v>24608</v>
      </c>
      <c r="F4835" t="s">
        <v>24608</v>
      </c>
      <c r="G4835" s="1">
        <v>36465</v>
      </c>
      <c r="J4835" t="s">
        <v>24772</v>
      </c>
      <c r="K4835" t="s">
        <v>7838</v>
      </c>
      <c r="L4835" t="s">
        <v>24773</v>
      </c>
      <c r="N4835" t="s">
        <v>24774</v>
      </c>
      <c r="O4835" t="s">
        <v>94</v>
      </c>
      <c r="P4835">
        <v>25.99</v>
      </c>
      <c r="Q4835">
        <v>32.49</v>
      </c>
      <c r="R4835">
        <v>25.99</v>
      </c>
      <c r="S4835">
        <v>38.99</v>
      </c>
      <c r="T4835" t="s">
        <v>24775</v>
      </c>
    </row>
    <row r="4836" spans="1:20">
      <c r="A4836">
        <v>3374909</v>
      </c>
      <c r="B4836" t="s">
        <v>24776</v>
      </c>
      <c r="C4836" t="str">
        <f>"9782895441656"</f>
        <v>9782895441656</v>
      </c>
      <c r="D4836" t="str">
        <f>"9782895443766"</f>
        <v>9782895443766</v>
      </c>
      <c r="E4836" t="s">
        <v>24608</v>
      </c>
      <c r="F4836" t="s">
        <v>24608</v>
      </c>
      <c r="G4836" s="1">
        <v>40695</v>
      </c>
      <c r="J4836" t="s">
        <v>24777</v>
      </c>
      <c r="K4836" t="s">
        <v>24778</v>
      </c>
      <c r="L4836" t="s">
        <v>24779</v>
      </c>
      <c r="N4836" t="s">
        <v>24780</v>
      </c>
      <c r="O4836" t="s">
        <v>94</v>
      </c>
      <c r="P4836">
        <v>29.99</v>
      </c>
      <c r="Q4836">
        <v>37.49</v>
      </c>
      <c r="R4836">
        <v>29.99</v>
      </c>
      <c r="S4836">
        <v>44.99</v>
      </c>
      <c r="T4836" t="s">
        <v>24781</v>
      </c>
    </row>
    <row r="4837" spans="1:20">
      <c r="A4837">
        <v>3374910</v>
      </c>
      <c r="B4837" t="s">
        <v>24782</v>
      </c>
      <c r="C4837" t="str">
        <f>"9782895441588"</f>
        <v>9782895441588</v>
      </c>
      <c r="D4837" t="str">
        <f>"9782895443681"</f>
        <v>9782895443681</v>
      </c>
      <c r="E4837" t="s">
        <v>24608</v>
      </c>
      <c r="F4837" t="s">
        <v>24608</v>
      </c>
      <c r="G4837" s="1">
        <v>39995</v>
      </c>
      <c r="J4837" t="s">
        <v>24626</v>
      </c>
      <c r="K4837" t="s">
        <v>2260</v>
      </c>
      <c r="L4837" t="s">
        <v>24783</v>
      </c>
      <c r="N4837" t="s">
        <v>24784</v>
      </c>
      <c r="O4837" t="s">
        <v>94</v>
      </c>
      <c r="P4837">
        <v>18.989999999999998</v>
      </c>
      <c r="Q4837">
        <v>23.74</v>
      </c>
      <c r="R4837">
        <v>18.989999999999998</v>
      </c>
      <c r="S4837">
        <v>28.49</v>
      </c>
      <c r="T4837" t="s">
        <v>24785</v>
      </c>
    </row>
    <row r="4838" spans="1:20">
      <c r="A4838">
        <v>3374911</v>
      </c>
      <c r="B4838" t="s">
        <v>24786</v>
      </c>
      <c r="C4838" t="str">
        <f>"9782895441274"</f>
        <v>9782895441274</v>
      </c>
      <c r="D4838" t="str">
        <f>"9782895443452"</f>
        <v>9782895443452</v>
      </c>
      <c r="E4838" t="s">
        <v>24608</v>
      </c>
      <c r="F4838" t="s">
        <v>24608</v>
      </c>
      <c r="G4838" s="1">
        <v>39692</v>
      </c>
      <c r="J4838" t="s">
        <v>24787</v>
      </c>
      <c r="K4838" t="s">
        <v>24788</v>
      </c>
      <c r="L4838" t="s">
        <v>24789</v>
      </c>
      <c r="N4838" t="s">
        <v>24790</v>
      </c>
      <c r="O4838" t="s">
        <v>94</v>
      </c>
      <c r="P4838">
        <v>18.989999999999998</v>
      </c>
      <c r="Q4838">
        <v>23.74</v>
      </c>
      <c r="R4838">
        <v>18.989999999999998</v>
      </c>
      <c r="S4838">
        <v>28.49</v>
      </c>
      <c r="T4838" t="s">
        <v>24791</v>
      </c>
    </row>
    <row r="4839" spans="1:20">
      <c r="A4839">
        <v>3374912</v>
      </c>
      <c r="B4839" t="s">
        <v>24792</v>
      </c>
      <c r="C4839" t="str">
        <f>"9782895441021"</f>
        <v>9782895441021</v>
      </c>
      <c r="D4839" t="str">
        <f>"9782895443223"</f>
        <v>9782895443223</v>
      </c>
      <c r="E4839" t="s">
        <v>24608</v>
      </c>
      <c r="F4839" t="s">
        <v>24608</v>
      </c>
      <c r="G4839" s="1">
        <v>39022</v>
      </c>
      <c r="J4839" t="s">
        <v>24793</v>
      </c>
      <c r="K4839" t="s">
        <v>291</v>
      </c>
      <c r="L4839" t="s">
        <v>24794</v>
      </c>
      <c r="N4839" t="s">
        <v>24795</v>
      </c>
      <c r="O4839" t="s">
        <v>94</v>
      </c>
      <c r="P4839">
        <v>21.99</v>
      </c>
      <c r="Q4839">
        <v>27.49</v>
      </c>
      <c r="R4839">
        <v>21.99</v>
      </c>
      <c r="S4839">
        <v>32.99</v>
      </c>
      <c r="T4839" t="s">
        <v>24796</v>
      </c>
    </row>
    <row r="4840" spans="1:20">
      <c r="A4840">
        <v>3374913</v>
      </c>
      <c r="B4840" t="s">
        <v>24797</v>
      </c>
      <c r="C4840" t="str">
        <f>"9782895441113"</f>
        <v>9782895441113</v>
      </c>
      <c r="D4840" t="str">
        <f>"9782895443308"</f>
        <v>9782895443308</v>
      </c>
      <c r="E4840" t="s">
        <v>24608</v>
      </c>
      <c r="F4840" t="s">
        <v>24608</v>
      </c>
      <c r="G4840" s="1">
        <v>39356</v>
      </c>
      <c r="J4840" t="s">
        <v>24798</v>
      </c>
      <c r="K4840" t="s">
        <v>2260</v>
      </c>
      <c r="L4840" t="s">
        <v>24799</v>
      </c>
      <c r="N4840" t="s">
        <v>24800</v>
      </c>
      <c r="O4840" t="s">
        <v>94</v>
      </c>
      <c r="P4840">
        <v>18.989999999999998</v>
      </c>
      <c r="Q4840">
        <v>23.74</v>
      </c>
      <c r="R4840">
        <v>18.989999999999998</v>
      </c>
      <c r="S4840">
        <v>28.49</v>
      </c>
      <c r="T4840" t="s">
        <v>24801</v>
      </c>
    </row>
    <row r="4841" spans="1:20">
      <c r="A4841">
        <v>3374914</v>
      </c>
      <c r="B4841" t="s">
        <v>24802</v>
      </c>
      <c r="C4841" t="str">
        <f>"9782895441106"</f>
        <v>9782895441106</v>
      </c>
      <c r="D4841" t="str">
        <f>"9782895443292"</f>
        <v>9782895443292</v>
      </c>
      <c r="E4841" t="s">
        <v>24608</v>
      </c>
      <c r="F4841" t="s">
        <v>24608</v>
      </c>
      <c r="G4841" s="1">
        <v>39326</v>
      </c>
      <c r="J4841" t="s">
        <v>24803</v>
      </c>
      <c r="K4841" t="s">
        <v>12038</v>
      </c>
      <c r="L4841" t="s">
        <v>24804</v>
      </c>
      <c r="N4841" t="s">
        <v>24805</v>
      </c>
      <c r="O4841" t="s">
        <v>94</v>
      </c>
      <c r="P4841">
        <v>25.99</v>
      </c>
      <c r="Q4841">
        <v>32.49</v>
      </c>
      <c r="R4841">
        <v>25.99</v>
      </c>
      <c r="S4841">
        <v>38.99</v>
      </c>
      <c r="T4841" t="s">
        <v>24806</v>
      </c>
    </row>
    <row r="4842" spans="1:20">
      <c r="A4842">
        <v>3374915</v>
      </c>
      <c r="B4842" t="s">
        <v>24807</v>
      </c>
      <c r="C4842" t="str">
        <f>"9782895440857"</f>
        <v>9782895440857</v>
      </c>
      <c r="D4842" t="str">
        <f>"9782895443063"</f>
        <v>9782895443063</v>
      </c>
      <c r="E4842" t="s">
        <v>24608</v>
      </c>
      <c r="F4842" t="s">
        <v>24608</v>
      </c>
      <c r="G4842" s="1">
        <v>38777</v>
      </c>
      <c r="J4842" t="s">
        <v>24808</v>
      </c>
      <c r="K4842" t="s">
        <v>1859</v>
      </c>
      <c r="L4842" t="s">
        <v>24809</v>
      </c>
      <c r="N4842" t="s">
        <v>24810</v>
      </c>
      <c r="O4842" t="s">
        <v>94</v>
      </c>
      <c r="P4842">
        <v>21.99</v>
      </c>
      <c r="Q4842">
        <v>27.49</v>
      </c>
      <c r="R4842">
        <v>21.99</v>
      </c>
      <c r="S4842">
        <v>32.99</v>
      </c>
      <c r="T4842" t="s">
        <v>24811</v>
      </c>
    </row>
    <row r="4843" spans="1:20">
      <c r="A4843">
        <v>3374916</v>
      </c>
      <c r="B4843" t="s">
        <v>24812</v>
      </c>
      <c r="C4843" t="str">
        <f>"9782895441779"</f>
        <v>9782895441779</v>
      </c>
      <c r="D4843" t="str">
        <f>"9782895444275"</f>
        <v>9782895444275</v>
      </c>
      <c r="E4843" t="s">
        <v>24608</v>
      </c>
      <c r="F4843" t="s">
        <v>24608</v>
      </c>
      <c r="G4843" s="1">
        <v>40603</v>
      </c>
      <c r="J4843" t="s">
        <v>24813</v>
      </c>
      <c r="K4843" t="s">
        <v>76</v>
      </c>
      <c r="L4843" t="s">
        <v>24814</v>
      </c>
      <c r="N4843" t="s">
        <v>24815</v>
      </c>
      <c r="O4843" t="s">
        <v>94</v>
      </c>
      <c r="P4843">
        <v>18.989999999999998</v>
      </c>
      <c r="Q4843">
        <v>23.74</v>
      </c>
      <c r="R4843">
        <v>18.989999999999998</v>
      </c>
      <c r="S4843">
        <v>28.49</v>
      </c>
      <c r="T4843" t="s">
        <v>24816</v>
      </c>
    </row>
    <row r="4844" spans="1:20">
      <c r="A4844">
        <v>3374917</v>
      </c>
      <c r="B4844" t="s">
        <v>24817</v>
      </c>
      <c r="C4844" t="str">
        <f>"9782895440758"</f>
        <v>9782895440758</v>
      </c>
      <c r="D4844" t="str">
        <f>"9782895443001"</f>
        <v>9782895443001</v>
      </c>
      <c r="E4844" t="s">
        <v>24608</v>
      </c>
      <c r="F4844" t="s">
        <v>24608</v>
      </c>
      <c r="G4844" s="1">
        <v>38565</v>
      </c>
      <c r="J4844" t="s">
        <v>24818</v>
      </c>
      <c r="K4844" t="s">
        <v>69</v>
      </c>
      <c r="L4844" t="s">
        <v>24819</v>
      </c>
      <c r="N4844" t="s">
        <v>24820</v>
      </c>
      <c r="O4844" t="s">
        <v>94</v>
      </c>
      <c r="P4844">
        <v>18.989999999999998</v>
      </c>
      <c r="Q4844">
        <v>23.74</v>
      </c>
      <c r="R4844">
        <v>18.989999999999998</v>
      </c>
      <c r="S4844">
        <v>28.49</v>
      </c>
      <c r="T4844" t="s">
        <v>24821</v>
      </c>
    </row>
    <row r="4845" spans="1:20">
      <c r="A4845">
        <v>3374918</v>
      </c>
      <c r="B4845" t="s">
        <v>24822</v>
      </c>
      <c r="C4845" t="str">
        <f>"9782895441991"</f>
        <v>9782895441991</v>
      </c>
      <c r="D4845" t="str">
        <f>"9782895444527"</f>
        <v>9782895444527</v>
      </c>
      <c r="E4845" t="s">
        <v>24608</v>
      </c>
      <c r="F4845" t="s">
        <v>24608</v>
      </c>
      <c r="G4845" s="1">
        <v>41183</v>
      </c>
      <c r="J4845" t="s">
        <v>24823</v>
      </c>
      <c r="K4845" t="s">
        <v>24824</v>
      </c>
      <c r="L4845" t="s">
        <v>24825</v>
      </c>
      <c r="N4845" t="s">
        <v>24826</v>
      </c>
      <c r="O4845" t="s">
        <v>94</v>
      </c>
      <c r="P4845">
        <v>18.989999999999998</v>
      </c>
      <c r="Q4845">
        <v>23.74</v>
      </c>
      <c r="R4845">
        <v>18.989999999999998</v>
      </c>
      <c r="S4845">
        <v>28.49</v>
      </c>
      <c r="T4845" t="s">
        <v>24827</v>
      </c>
    </row>
    <row r="4846" spans="1:20">
      <c r="A4846">
        <v>3374919</v>
      </c>
      <c r="B4846" t="s">
        <v>24828</v>
      </c>
      <c r="C4846" t="str">
        <f>"9782895441922"</f>
        <v>9782895441922</v>
      </c>
      <c r="D4846" t="str">
        <f>"9782895444442"</f>
        <v>9782895444442</v>
      </c>
      <c r="E4846" t="s">
        <v>24608</v>
      </c>
      <c r="F4846" t="s">
        <v>24608</v>
      </c>
      <c r="G4846" s="1">
        <v>41061</v>
      </c>
      <c r="J4846" t="s">
        <v>24787</v>
      </c>
      <c r="K4846" t="s">
        <v>24788</v>
      </c>
      <c r="L4846" t="s">
        <v>24829</v>
      </c>
      <c r="N4846" t="s">
        <v>24830</v>
      </c>
      <c r="O4846" t="s">
        <v>94</v>
      </c>
      <c r="P4846">
        <v>9.99</v>
      </c>
      <c r="Q4846">
        <v>12.49</v>
      </c>
      <c r="R4846">
        <v>9.99</v>
      </c>
      <c r="S4846">
        <v>14.99</v>
      </c>
      <c r="T4846" t="s">
        <v>24831</v>
      </c>
    </row>
    <row r="4847" spans="1:20">
      <c r="A4847">
        <v>3374920</v>
      </c>
      <c r="B4847" t="s">
        <v>24832</v>
      </c>
      <c r="C4847" t="str">
        <f>"9782921146982"</f>
        <v>9782921146982</v>
      </c>
      <c r="D4847" t="str">
        <f>"9782895442387"</f>
        <v>9782895442387</v>
      </c>
      <c r="E4847" t="s">
        <v>24608</v>
      </c>
      <c r="F4847" t="s">
        <v>24608</v>
      </c>
      <c r="G4847" s="1">
        <v>36647</v>
      </c>
      <c r="J4847" t="s">
        <v>24833</v>
      </c>
      <c r="K4847" t="s">
        <v>24834</v>
      </c>
      <c r="L4847" t="s">
        <v>24835</v>
      </c>
      <c r="N4847" t="s">
        <v>24836</v>
      </c>
      <c r="O4847" t="s">
        <v>94</v>
      </c>
      <c r="P4847">
        <v>29.99</v>
      </c>
      <c r="Q4847">
        <v>37.49</v>
      </c>
      <c r="R4847">
        <v>29.99</v>
      </c>
      <c r="S4847">
        <v>44.99</v>
      </c>
      <c r="T4847" t="s">
        <v>24837</v>
      </c>
    </row>
    <row r="4848" spans="1:20">
      <c r="A4848">
        <v>3374921</v>
      </c>
      <c r="B4848" t="s">
        <v>24838</v>
      </c>
      <c r="C4848" t="str">
        <f>"9782921146548"</f>
        <v>9782921146548</v>
      </c>
      <c r="D4848" t="str">
        <f>"9782895442158"</f>
        <v>9782895442158</v>
      </c>
      <c r="E4848" t="s">
        <v>24608</v>
      </c>
      <c r="F4848" t="s">
        <v>24608</v>
      </c>
      <c r="G4848" s="1">
        <v>35735</v>
      </c>
      <c r="J4848" t="s">
        <v>24626</v>
      </c>
      <c r="K4848" t="s">
        <v>467</v>
      </c>
      <c r="L4848" t="s">
        <v>24839</v>
      </c>
      <c r="N4848" t="s">
        <v>24628</v>
      </c>
      <c r="O4848" t="s">
        <v>94</v>
      </c>
      <c r="P4848">
        <v>11.99</v>
      </c>
      <c r="Q4848">
        <v>14.99</v>
      </c>
      <c r="R4848">
        <v>11.99</v>
      </c>
      <c r="S4848">
        <v>17.989999999999998</v>
      </c>
      <c r="T4848" t="s">
        <v>24840</v>
      </c>
    </row>
    <row r="4849" spans="1:20">
      <c r="A4849">
        <v>3374922</v>
      </c>
      <c r="B4849" t="s">
        <v>24841</v>
      </c>
      <c r="C4849" t="str">
        <f>"9782895440505"</f>
        <v>9782895440505</v>
      </c>
      <c r="D4849" t="str">
        <f>"9782895442783"</f>
        <v>9782895442783</v>
      </c>
      <c r="E4849" t="s">
        <v>24608</v>
      </c>
      <c r="F4849" t="s">
        <v>24608</v>
      </c>
      <c r="G4849" s="1">
        <v>38930</v>
      </c>
      <c r="J4849" t="s">
        <v>24842</v>
      </c>
      <c r="K4849" t="s">
        <v>12038</v>
      </c>
      <c r="L4849" t="s">
        <v>24843</v>
      </c>
      <c r="N4849" t="s">
        <v>24844</v>
      </c>
      <c r="O4849" t="s">
        <v>94</v>
      </c>
      <c r="P4849">
        <v>29.99</v>
      </c>
      <c r="Q4849">
        <v>37.49</v>
      </c>
      <c r="R4849">
        <v>29.99</v>
      </c>
      <c r="S4849">
        <v>44.99</v>
      </c>
      <c r="T4849" t="s">
        <v>24845</v>
      </c>
    </row>
    <row r="4850" spans="1:20">
      <c r="A4850">
        <v>3374923</v>
      </c>
      <c r="B4850" t="s">
        <v>24846</v>
      </c>
      <c r="C4850" t="str">
        <f>"9782895440253"</f>
        <v>9782895440253</v>
      </c>
      <c r="D4850" t="str">
        <f>"9782895442554"</f>
        <v>9782895442554</v>
      </c>
      <c r="E4850" t="s">
        <v>24608</v>
      </c>
      <c r="F4850" t="s">
        <v>24608</v>
      </c>
      <c r="G4850" s="1">
        <v>37288</v>
      </c>
      <c r="J4850" t="s">
        <v>24636</v>
      </c>
      <c r="K4850" t="s">
        <v>376</v>
      </c>
      <c r="L4850" t="s">
        <v>24847</v>
      </c>
      <c r="N4850" t="s">
        <v>24848</v>
      </c>
      <c r="O4850" t="s">
        <v>94</v>
      </c>
      <c r="P4850">
        <v>13.99</v>
      </c>
      <c r="Q4850">
        <v>17.489999999999998</v>
      </c>
      <c r="R4850">
        <v>13.99</v>
      </c>
      <c r="S4850">
        <v>20.99</v>
      </c>
      <c r="T4850" t="s">
        <v>24849</v>
      </c>
    </row>
    <row r="4851" spans="1:20">
      <c r="A4851">
        <v>3374924</v>
      </c>
      <c r="B4851" t="s">
        <v>24850</v>
      </c>
      <c r="C4851" t="str">
        <f>"9782921146883"</f>
        <v>9782921146883</v>
      </c>
      <c r="D4851" t="str">
        <f>"9782895442325"</f>
        <v>9782895442325</v>
      </c>
      <c r="E4851" t="s">
        <v>24608</v>
      </c>
      <c r="F4851" t="s">
        <v>24608</v>
      </c>
      <c r="G4851" s="1">
        <v>36495</v>
      </c>
      <c r="J4851" t="s">
        <v>24851</v>
      </c>
      <c r="K4851" t="s">
        <v>257</v>
      </c>
      <c r="L4851" t="s">
        <v>24852</v>
      </c>
      <c r="N4851" t="s">
        <v>24853</v>
      </c>
      <c r="O4851" t="s">
        <v>94</v>
      </c>
      <c r="P4851">
        <v>14.99</v>
      </c>
      <c r="Q4851">
        <v>18.739999999999998</v>
      </c>
      <c r="R4851">
        <v>14.99</v>
      </c>
      <c r="S4851">
        <v>22.49</v>
      </c>
      <c r="T4851" t="s">
        <v>24854</v>
      </c>
    </row>
    <row r="4852" spans="1:20">
      <c r="A4852">
        <v>3374925</v>
      </c>
      <c r="B4852" t="s">
        <v>24855</v>
      </c>
      <c r="C4852" t="str">
        <f>"9782895440680"</f>
        <v>9782895440680</v>
      </c>
      <c r="D4852" t="str">
        <f>"9782895442950"</f>
        <v>9782895442950</v>
      </c>
      <c r="E4852" t="s">
        <v>24608</v>
      </c>
      <c r="F4852" t="s">
        <v>24608</v>
      </c>
      <c r="G4852" s="1">
        <v>38353</v>
      </c>
      <c r="J4852" t="s">
        <v>24856</v>
      </c>
      <c r="K4852" t="s">
        <v>263</v>
      </c>
      <c r="L4852" t="s">
        <v>24857</v>
      </c>
      <c r="N4852" t="s">
        <v>24858</v>
      </c>
      <c r="O4852" t="s">
        <v>94</v>
      </c>
      <c r="P4852">
        <v>29.99</v>
      </c>
      <c r="Q4852">
        <v>37.49</v>
      </c>
      <c r="R4852">
        <v>29.99</v>
      </c>
      <c r="S4852">
        <v>44.99</v>
      </c>
      <c r="T4852" t="s">
        <v>24859</v>
      </c>
    </row>
    <row r="4853" spans="1:20">
      <c r="A4853">
        <v>3374926</v>
      </c>
      <c r="B4853" t="s">
        <v>24860</v>
      </c>
      <c r="C4853" t="str">
        <f>"9782921146470"</f>
        <v>9782921146470</v>
      </c>
      <c r="D4853" t="str">
        <f>"9782895442080"</f>
        <v>9782895442080</v>
      </c>
      <c r="E4853" t="s">
        <v>24608</v>
      </c>
      <c r="F4853" t="s">
        <v>24608</v>
      </c>
      <c r="G4853" s="1">
        <v>36039</v>
      </c>
      <c r="J4853" t="s">
        <v>24646</v>
      </c>
      <c r="K4853" t="s">
        <v>376</v>
      </c>
      <c r="L4853" t="s">
        <v>24647</v>
      </c>
      <c r="M4853">
        <v>362.10971000000001</v>
      </c>
      <c r="N4853" t="s">
        <v>24861</v>
      </c>
      <c r="O4853" t="s">
        <v>26</v>
      </c>
      <c r="P4853">
        <v>26.99</v>
      </c>
      <c r="Q4853">
        <v>33.74</v>
      </c>
      <c r="R4853">
        <v>26.99</v>
      </c>
      <c r="S4853">
        <v>40.49</v>
      </c>
      <c r="T4853" t="s">
        <v>24862</v>
      </c>
    </row>
    <row r="4854" spans="1:20">
      <c r="A4854">
        <v>3374927</v>
      </c>
      <c r="B4854" t="s">
        <v>24863</v>
      </c>
      <c r="C4854" t="str">
        <f>"9782895441182"</f>
        <v>9782895441182</v>
      </c>
      <c r="D4854" t="str">
        <f>"9782895443377"</f>
        <v>9782895443377</v>
      </c>
      <c r="E4854" t="s">
        <v>24608</v>
      </c>
      <c r="F4854" t="s">
        <v>24608</v>
      </c>
      <c r="G4854" s="1">
        <v>39356</v>
      </c>
      <c r="J4854" t="s">
        <v>24864</v>
      </c>
      <c r="K4854" t="s">
        <v>3176</v>
      </c>
      <c r="L4854" t="s">
        <v>24865</v>
      </c>
      <c r="M4854" t="s">
        <v>2156</v>
      </c>
      <c r="N4854" t="s">
        <v>24866</v>
      </c>
      <c r="O4854" t="s">
        <v>94</v>
      </c>
      <c r="P4854">
        <v>21.99</v>
      </c>
      <c r="Q4854">
        <v>27.49</v>
      </c>
      <c r="R4854">
        <v>21.99</v>
      </c>
      <c r="S4854">
        <v>32.99</v>
      </c>
      <c r="T4854" t="s">
        <v>24867</v>
      </c>
    </row>
    <row r="4855" spans="1:20">
      <c r="A4855">
        <v>3374928</v>
      </c>
      <c r="B4855" t="s">
        <v>24868</v>
      </c>
      <c r="C4855" t="str">
        <f>"9782895441601"</f>
        <v>9782895441601</v>
      </c>
      <c r="D4855" t="str">
        <f>"9782895443704"</f>
        <v>9782895443704</v>
      </c>
      <c r="E4855" t="s">
        <v>24608</v>
      </c>
      <c r="F4855" t="s">
        <v>24608</v>
      </c>
      <c r="G4855" s="1">
        <v>40026</v>
      </c>
      <c r="J4855" t="s">
        <v>24869</v>
      </c>
      <c r="K4855" t="s">
        <v>291</v>
      </c>
      <c r="L4855" t="s">
        <v>24870</v>
      </c>
      <c r="N4855" t="s">
        <v>24871</v>
      </c>
      <c r="O4855" t="s">
        <v>94</v>
      </c>
      <c r="P4855">
        <v>25.99</v>
      </c>
      <c r="Q4855">
        <v>32.49</v>
      </c>
      <c r="R4855">
        <v>25.99</v>
      </c>
      <c r="S4855">
        <v>38.99</v>
      </c>
      <c r="T4855" t="s">
        <v>24872</v>
      </c>
    </row>
    <row r="4856" spans="1:20">
      <c r="A4856">
        <v>3374929</v>
      </c>
      <c r="B4856" t="s">
        <v>24873</v>
      </c>
      <c r="C4856" t="str">
        <f>"9782895440949"</f>
        <v>9782895440949</v>
      </c>
      <c r="D4856" t="str">
        <f>"9782895443148"</f>
        <v>9782895443148</v>
      </c>
      <c r="E4856" t="s">
        <v>24608</v>
      </c>
      <c r="F4856" t="s">
        <v>24608</v>
      </c>
      <c r="G4856" s="1">
        <v>38808</v>
      </c>
      <c r="J4856" t="s">
        <v>24874</v>
      </c>
      <c r="K4856" t="s">
        <v>257</v>
      </c>
      <c r="L4856" t="s">
        <v>24875</v>
      </c>
      <c r="N4856" t="s">
        <v>24876</v>
      </c>
      <c r="O4856" t="s">
        <v>94</v>
      </c>
      <c r="P4856">
        <v>18.989999999999998</v>
      </c>
      <c r="Q4856">
        <v>23.74</v>
      </c>
      <c r="R4856">
        <v>18.989999999999998</v>
      </c>
      <c r="S4856">
        <v>28.49</v>
      </c>
      <c r="T4856" t="s">
        <v>24877</v>
      </c>
    </row>
    <row r="4857" spans="1:20">
      <c r="A4857">
        <v>3374930</v>
      </c>
      <c r="B4857" t="s">
        <v>24878</v>
      </c>
      <c r="C4857" t="str">
        <f>"9782895441663"</f>
        <v>9782895441663</v>
      </c>
      <c r="D4857" t="str">
        <f>"9782895443773"</f>
        <v>9782895443773</v>
      </c>
      <c r="E4857" t="s">
        <v>24608</v>
      </c>
      <c r="F4857" t="s">
        <v>24608</v>
      </c>
      <c r="G4857" s="1">
        <v>40269</v>
      </c>
      <c r="J4857" t="s">
        <v>24879</v>
      </c>
      <c r="K4857" t="s">
        <v>791</v>
      </c>
      <c r="L4857" t="s">
        <v>24880</v>
      </c>
      <c r="N4857" t="s">
        <v>24881</v>
      </c>
      <c r="O4857" t="s">
        <v>94</v>
      </c>
      <c r="P4857">
        <v>18.989999999999998</v>
      </c>
      <c r="Q4857">
        <v>23.74</v>
      </c>
      <c r="R4857">
        <v>18.989999999999998</v>
      </c>
      <c r="S4857">
        <v>28.49</v>
      </c>
      <c r="T4857" t="s">
        <v>24882</v>
      </c>
    </row>
    <row r="4858" spans="1:20">
      <c r="A4858">
        <v>3374931</v>
      </c>
      <c r="B4858" t="s">
        <v>24883</v>
      </c>
      <c r="C4858" t="str">
        <f>"9782895441380"</f>
        <v>9782895441380</v>
      </c>
      <c r="D4858" t="str">
        <f>"9782895443544"</f>
        <v>9782895443544</v>
      </c>
      <c r="E4858" t="s">
        <v>24608</v>
      </c>
      <c r="F4858" t="s">
        <v>24608</v>
      </c>
      <c r="G4858" s="1">
        <v>39904</v>
      </c>
      <c r="J4858" t="s">
        <v>24884</v>
      </c>
      <c r="K4858" t="s">
        <v>76</v>
      </c>
      <c r="L4858" t="s">
        <v>24885</v>
      </c>
      <c r="N4858" t="s">
        <v>24886</v>
      </c>
      <c r="O4858" t="s">
        <v>94</v>
      </c>
      <c r="P4858">
        <v>115.99</v>
      </c>
      <c r="Q4858">
        <v>144.99</v>
      </c>
      <c r="R4858">
        <v>115.99</v>
      </c>
      <c r="S4858">
        <v>173.99</v>
      </c>
      <c r="T4858" t="s">
        <v>24887</v>
      </c>
    </row>
    <row r="4859" spans="1:20">
      <c r="A4859">
        <v>3374932</v>
      </c>
      <c r="B4859" t="s">
        <v>24888</v>
      </c>
      <c r="C4859" t="str">
        <f>"9782895441120"</f>
        <v>9782895441120</v>
      </c>
      <c r="D4859" t="str">
        <f>"9782895443315"</f>
        <v>9782895443315</v>
      </c>
      <c r="E4859" t="s">
        <v>24608</v>
      </c>
      <c r="F4859" t="s">
        <v>24608</v>
      </c>
      <c r="G4859" s="1">
        <v>39083</v>
      </c>
      <c r="J4859" t="s">
        <v>24626</v>
      </c>
      <c r="K4859" t="s">
        <v>1892</v>
      </c>
      <c r="L4859" t="s">
        <v>24889</v>
      </c>
      <c r="N4859" t="s">
        <v>24890</v>
      </c>
      <c r="O4859" t="s">
        <v>94</v>
      </c>
      <c r="P4859">
        <v>18.989999999999998</v>
      </c>
      <c r="Q4859">
        <v>23.74</v>
      </c>
      <c r="R4859">
        <v>18.989999999999998</v>
      </c>
      <c r="S4859">
        <v>28.49</v>
      </c>
      <c r="T4859" t="s">
        <v>24891</v>
      </c>
    </row>
    <row r="4860" spans="1:20">
      <c r="A4860">
        <v>3374933</v>
      </c>
      <c r="B4860" t="s">
        <v>24892</v>
      </c>
      <c r="C4860" t="str">
        <f>"9782895441038"</f>
        <v>9782895441038</v>
      </c>
      <c r="D4860" t="str">
        <f>"9782895443230"</f>
        <v>9782895443230</v>
      </c>
      <c r="E4860" t="s">
        <v>24608</v>
      </c>
      <c r="F4860" t="s">
        <v>24608</v>
      </c>
      <c r="G4860" s="1">
        <v>39173</v>
      </c>
      <c r="J4860" t="s">
        <v>24761</v>
      </c>
      <c r="K4860" t="s">
        <v>305</v>
      </c>
      <c r="L4860" t="s">
        <v>24893</v>
      </c>
      <c r="N4860" t="s">
        <v>24894</v>
      </c>
      <c r="O4860" t="s">
        <v>94</v>
      </c>
      <c r="P4860">
        <v>29.99</v>
      </c>
      <c r="Q4860">
        <v>37.49</v>
      </c>
      <c r="R4860">
        <v>29.99</v>
      </c>
      <c r="S4860">
        <v>44.99</v>
      </c>
      <c r="T4860" t="s">
        <v>24895</v>
      </c>
    </row>
    <row r="4861" spans="1:20">
      <c r="A4861">
        <v>3374934</v>
      </c>
      <c r="B4861" t="s">
        <v>24896</v>
      </c>
      <c r="C4861" t="str">
        <f>"9782895441618"</f>
        <v>9782895441618</v>
      </c>
      <c r="D4861" t="str">
        <f>"9782895443711"</f>
        <v>9782895443711</v>
      </c>
      <c r="E4861" t="s">
        <v>24608</v>
      </c>
      <c r="F4861" t="s">
        <v>24608</v>
      </c>
      <c r="G4861" s="1">
        <v>40148</v>
      </c>
      <c r="J4861" t="s">
        <v>24897</v>
      </c>
      <c r="K4861" t="s">
        <v>24788</v>
      </c>
      <c r="L4861" t="s">
        <v>24898</v>
      </c>
      <c r="N4861" t="s">
        <v>24899</v>
      </c>
      <c r="O4861" t="s">
        <v>94</v>
      </c>
      <c r="P4861">
        <v>10.99</v>
      </c>
      <c r="Q4861">
        <v>13.74</v>
      </c>
      <c r="R4861">
        <v>10.99</v>
      </c>
      <c r="S4861">
        <v>16.489999999999998</v>
      </c>
      <c r="T4861" t="s">
        <v>24900</v>
      </c>
    </row>
    <row r="4862" spans="1:20">
      <c r="A4862">
        <v>3374935</v>
      </c>
      <c r="B4862" t="s">
        <v>24901</v>
      </c>
      <c r="C4862" t="str">
        <f>"9782895440864"</f>
        <v>9782895440864</v>
      </c>
      <c r="D4862" t="str">
        <f>"9782895443070"</f>
        <v>9782895443070</v>
      </c>
      <c r="E4862" t="s">
        <v>24608</v>
      </c>
      <c r="F4862" t="s">
        <v>24608</v>
      </c>
      <c r="G4862" s="1">
        <v>38777</v>
      </c>
      <c r="J4862" t="s">
        <v>24818</v>
      </c>
      <c r="K4862" t="s">
        <v>69</v>
      </c>
      <c r="L4862" t="s">
        <v>24902</v>
      </c>
      <c r="N4862" t="s">
        <v>24903</v>
      </c>
      <c r="O4862" t="s">
        <v>94</v>
      </c>
      <c r="P4862">
        <v>18.989999999999998</v>
      </c>
      <c r="Q4862">
        <v>23.74</v>
      </c>
      <c r="R4862">
        <v>18.989999999999998</v>
      </c>
      <c r="S4862">
        <v>28.49</v>
      </c>
      <c r="T4862" t="s">
        <v>24904</v>
      </c>
    </row>
    <row r="4863" spans="1:20">
      <c r="A4863">
        <v>3374936</v>
      </c>
      <c r="B4863" t="s">
        <v>24905</v>
      </c>
      <c r="C4863" t="str">
        <f>"9782895441854"</f>
        <v>9782895441854</v>
      </c>
      <c r="D4863" t="str">
        <f>"9782895444367"</f>
        <v>9782895444367</v>
      </c>
      <c r="E4863" t="s">
        <v>24608</v>
      </c>
      <c r="F4863" t="s">
        <v>24608</v>
      </c>
      <c r="G4863" s="1">
        <v>40817</v>
      </c>
      <c r="J4863" t="s">
        <v>24803</v>
      </c>
      <c r="K4863" t="s">
        <v>12038</v>
      </c>
      <c r="L4863" t="s">
        <v>24906</v>
      </c>
      <c r="N4863" t="s">
        <v>24907</v>
      </c>
      <c r="O4863" t="s">
        <v>94</v>
      </c>
      <c r="P4863">
        <v>29.99</v>
      </c>
      <c r="Q4863">
        <v>37.49</v>
      </c>
      <c r="R4863">
        <v>29.99</v>
      </c>
      <c r="S4863">
        <v>44.99</v>
      </c>
      <c r="T4863" t="s">
        <v>24908</v>
      </c>
    </row>
    <row r="4864" spans="1:20">
      <c r="A4864">
        <v>3374937</v>
      </c>
      <c r="B4864" t="s">
        <v>24909</v>
      </c>
      <c r="C4864" t="str">
        <f>"9782895441373"</f>
        <v>9782895441373</v>
      </c>
      <c r="D4864" t="str">
        <f>"9782895444282"</f>
        <v>9782895444282</v>
      </c>
      <c r="E4864" t="s">
        <v>24608</v>
      </c>
      <c r="F4864" t="s">
        <v>24608</v>
      </c>
      <c r="G4864" s="1">
        <v>40483</v>
      </c>
      <c r="J4864" t="s">
        <v>24910</v>
      </c>
      <c r="K4864" t="s">
        <v>291</v>
      </c>
      <c r="L4864" t="s">
        <v>24911</v>
      </c>
      <c r="M4864" t="s">
        <v>24912</v>
      </c>
      <c r="N4864" t="s">
        <v>24913</v>
      </c>
      <c r="O4864" t="s">
        <v>94</v>
      </c>
      <c r="P4864">
        <v>21.99</v>
      </c>
      <c r="Q4864">
        <v>27.49</v>
      </c>
      <c r="R4864">
        <v>21.99</v>
      </c>
      <c r="S4864">
        <v>32.99</v>
      </c>
      <c r="T4864" t="s">
        <v>24914</v>
      </c>
    </row>
    <row r="4865" spans="1:20">
      <c r="A4865">
        <v>3374938</v>
      </c>
      <c r="B4865" t="s">
        <v>24915</v>
      </c>
      <c r="C4865" t="str">
        <f>"9782895441793"</f>
        <v>9782895441793</v>
      </c>
      <c r="D4865" t="str">
        <f>"9782895444305"</f>
        <v>9782895444305</v>
      </c>
      <c r="E4865" t="s">
        <v>24608</v>
      </c>
      <c r="F4865" t="s">
        <v>24608</v>
      </c>
      <c r="G4865" s="1">
        <v>40817</v>
      </c>
      <c r="J4865" t="s">
        <v>24916</v>
      </c>
      <c r="K4865" t="s">
        <v>305</v>
      </c>
      <c r="L4865" t="s">
        <v>24917</v>
      </c>
      <c r="N4865" t="s">
        <v>24918</v>
      </c>
      <c r="O4865" t="s">
        <v>94</v>
      </c>
      <c r="P4865">
        <v>18.989999999999998</v>
      </c>
      <c r="Q4865">
        <v>23.74</v>
      </c>
      <c r="R4865">
        <v>18.989999999999998</v>
      </c>
      <c r="S4865">
        <v>28.49</v>
      </c>
      <c r="T4865" t="s">
        <v>24919</v>
      </c>
    </row>
    <row r="4866" spans="1:20">
      <c r="A4866">
        <v>3374939</v>
      </c>
      <c r="B4866" t="s">
        <v>24920</v>
      </c>
      <c r="C4866" t="str">
        <f>"9782895440581"</f>
        <v>9782895440581</v>
      </c>
      <c r="D4866" t="str">
        <f>"9782895442868"</f>
        <v>9782895442868</v>
      </c>
      <c r="E4866" t="s">
        <v>24608</v>
      </c>
      <c r="F4866" t="s">
        <v>24608</v>
      </c>
      <c r="G4866" s="1">
        <v>34455</v>
      </c>
      <c r="J4866" t="s">
        <v>24921</v>
      </c>
      <c r="K4866" t="s">
        <v>305</v>
      </c>
      <c r="L4866" t="s">
        <v>24922</v>
      </c>
      <c r="N4866" t="s">
        <v>24923</v>
      </c>
      <c r="O4866" t="s">
        <v>94</v>
      </c>
      <c r="P4866">
        <v>29.99</v>
      </c>
      <c r="Q4866">
        <v>37.49</v>
      </c>
      <c r="R4866">
        <v>29.99</v>
      </c>
      <c r="S4866">
        <v>44.99</v>
      </c>
      <c r="T4866" t="s">
        <v>24924</v>
      </c>
    </row>
    <row r="4867" spans="1:20">
      <c r="A4867">
        <v>3374940</v>
      </c>
      <c r="B4867" t="s">
        <v>24925</v>
      </c>
      <c r="C4867" t="str">
        <f>"9782895440338"</f>
        <v>9782895440338</v>
      </c>
      <c r="D4867" t="str">
        <f>"9782895442639"</f>
        <v>9782895442639</v>
      </c>
      <c r="E4867" t="s">
        <v>24608</v>
      </c>
      <c r="F4867" t="s">
        <v>24608</v>
      </c>
      <c r="G4867" s="1">
        <v>37561</v>
      </c>
      <c r="J4867" t="s">
        <v>24720</v>
      </c>
      <c r="K4867" t="s">
        <v>263</v>
      </c>
      <c r="L4867" t="s">
        <v>24926</v>
      </c>
      <c r="M4867" t="s">
        <v>24927</v>
      </c>
      <c r="N4867" t="s">
        <v>24928</v>
      </c>
      <c r="O4867" t="s">
        <v>94</v>
      </c>
      <c r="P4867">
        <v>21.99</v>
      </c>
      <c r="Q4867">
        <v>27.49</v>
      </c>
      <c r="R4867">
        <v>21.99</v>
      </c>
      <c r="S4867">
        <v>32.99</v>
      </c>
      <c r="T4867" t="s">
        <v>24929</v>
      </c>
    </row>
    <row r="4868" spans="1:20">
      <c r="A4868">
        <v>3374941</v>
      </c>
      <c r="B4868" t="s">
        <v>24930</v>
      </c>
      <c r="C4868" t="str">
        <f>"9782921146999"</f>
        <v>9782921146999</v>
      </c>
      <c r="D4868" t="str">
        <f>"9782895442394"</f>
        <v>9782895442394</v>
      </c>
      <c r="E4868" t="s">
        <v>24608</v>
      </c>
      <c r="F4868" t="s">
        <v>24608</v>
      </c>
      <c r="G4868" s="1">
        <v>37073</v>
      </c>
      <c r="J4868" t="s">
        <v>24931</v>
      </c>
      <c r="K4868" t="s">
        <v>10860</v>
      </c>
      <c r="L4868" t="s">
        <v>24932</v>
      </c>
      <c r="N4868" t="s">
        <v>24933</v>
      </c>
      <c r="O4868" t="s">
        <v>94</v>
      </c>
      <c r="P4868">
        <v>17.989999999999998</v>
      </c>
      <c r="Q4868">
        <v>22.49</v>
      </c>
      <c r="R4868">
        <v>17.989999999999998</v>
      </c>
      <c r="S4868">
        <v>26.99</v>
      </c>
      <c r="T4868" t="s">
        <v>24934</v>
      </c>
    </row>
    <row r="4869" spans="1:20">
      <c r="A4869">
        <v>3374942</v>
      </c>
      <c r="B4869" t="s">
        <v>24935</v>
      </c>
      <c r="C4869" t="str">
        <f>"9782895440109"</f>
        <v>9782895440109</v>
      </c>
      <c r="D4869" t="str">
        <f>"9782895442479"</f>
        <v>9782895442479</v>
      </c>
      <c r="E4869" t="s">
        <v>24608</v>
      </c>
      <c r="F4869" t="s">
        <v>24608</v>
      </c>
      <c r="G4869" s="1">
        <v>36951</v>
      </c>
      <c r="J4869" t="s">
        <v>24936</v>
      </c>
      <c r="K4869" t="s">
        <v>4081</v>
      </c>
      <c r="L4869" t="s">
        <v>24937</v>
      </c>
      <c r="N4869" t="s">
        <v>24938</v>
      </c>
      <c r="O4869" t="s">
        <v>94</v>
      </c>
      <c r="P4869">
        <v>29.99</v>
      </c>
      <c r="Q4869">
        <v>37.49</v>
      </c>
      <c r="R4869">
        <v>29.99</v>
      </c>
      <c r="S4869">
        <v>44.99</v>
      </c>
      <c r="T4869" t="s">
        <v>24939</v>
      </c>
    </row>
    <row r="4870" spans="1:20">
      <c r="A4870">
        <v>3374943</v>
      </c>
      <c r="B4870" t="s">
        <v>24940</v>
      </c>
      <c r="C4870" t="str">
        <f>"9782921146579"</f>
        <v>9782921146579</v>
      </c>
      <c r="D4870" t="str">
        <f>"9782895442165"</f>
        <v>9782895442165</v>
      </c>
      <c r="E4870" t="s">
        <v>24608</v>
      </c>
      <c r="F4870" t="s">
        <v>24608</v>
      </c>
      <c r="G4870" s="1">
        <v>35855</v>
      </c>
      <c r="J4870" t="s">
        <v>24884</v>
      </c>
      <c r="K4870" t="s">
        <v>257</v>
      </c>
      <c r="L4870" t="s">
        <v>24941</v>
      </c>
      <c r="N4870" t="s">
        <v>24942</v>
      </c>
      <c r="O4870" t="s">
        <v>94</v>
      </c>
      <c r="P4870">
        <v>9.99</v>
      </c>
      <c r="Q4870">
        <v>12.49</v>
      </c>
      <c r="R4870">
        <v>9.99</v>
      </c>
      <c r="S4870">
        <v>14.99</v>
      </c>
      <c r="T4870" t="s">
        <v>24943</v>
      </c>
    </row>
    <row r="4871" spans="1:20">
      <c r="A4871">
        <v>3374944</v>
      </c>
      <c r="B4871" t="s">
        <v>24944</v>
      </c>
      <c r="C4871" t="str">
        <f>"9782895440529"</f>
        <v>9782895440529</v>
      </c>
      <c r="D4871" t="str">
        <f>"9782895442806"</f>
        <v>9782895442806</v>
      </c>
      <c r="E4871" t="s">
        <v>24608</v>
      </c>
      <c r="F4871" t="s">
        <v>24608</v>
      </c>
      <c r="G4871" s="1">
        <v>38018</v>
      </c>
      <c r="J4871" t="s">
        <v>24636</v>
      </c>
      <c r="K4871" t="s">
        <v>291</v>
      </c>
      <c r="L4871" t="s">
        <v>24945</v>
      </c>
      <c r="N4871" t="s">
        <v>24946</v>
      </c>
      <c r="O4871" t="s">
        <v>94</v>
      </c>
      <c r="P4871">
        <v>13.99</v>
      </c>
      <c r="Q4871">
        <v>17.489999999999998</v>
      </c>
      <c r="R4871">
        <v>13.99</v>
      </c>
      <c r="S4871">
        <v>20.99</v>
      </c>
      <c r="T4871" t="s">
        <v>24947</v>
      </c>
    </row>
    <row r="4872" spans="1:20">
      <c r="A4872">
        <v>3374945</v>
      </c>
      <c r="B4872" t="s">
        <v>24948</v>
      </c>
      <c r="C4872" t="str">
        <f>"9782895440260"</f>
        <v>9782895440260</v>
      </c>
      <c r="D4872" t="str">
        <f>"9782895442561"</f>
        <v>9782895442561</v>
      </c>
      <c r="E4872" t="s">
        <v>24608</v>
      </c>
      <c r="F4872" t="s">
        <v>24608</v>
      </c>
      <c r="G4872" s="1">
        <v>37316</v>
      </c>
      <c r="J4872" t="s">
        <v>24949</v>
      </c>
      <c r="K4872" t="s">
        <v>110</v>
      </c>
      <c r="L4872" t="s">
        <v>24950</v>
      </c>
      <c r="N4872" t="s">
        <v>24951</v>
      </c>
      <c r="O4872" t="s">
        <v>94</v>
      </c>
      <c r="P4872">
        <v>18.989999999999998</v>
      </c>
      <c r="Q4872">
        <v>23.74</v>
      </c>
      <c r="R4872">
        <v>18.989999999999998</v>
      </c>
      <c r="S4872">
        <v>28.49</v>
      </c>
      <c r="T4872" t="s">
        <v>24952</v>
      </c>
    </row>
    <row r="4873" spans="1:20">
      <c r="A4873">
        <v>3374946</v>
      </c>
      <c r="B4873" t="s">
        <v>24953</v>
      </c>
      <c r="C4873" t="str">
        <f>"9782921146890"</f>
        <v>9782921146890</v>
      </c>
      <c r="D4873" t="str">
        <f>"9782895442332"</f>
        <v>9782895442332</v>
      </c>
      <c r="E4873" t="s">
        <v>24608</v>
      </c>
      <c r="F4873" t="s">
        <v>24608</v>
      </c>
      <c r="G4873" s="1">
        <v>36373</v>
      </c>
      <c r="J4873" t="s">
        <v>24851</v>
      </c>
      <c r="K4873" t="s">
        <v>257</v>
      </c>
      <c r="L4873" t="s">
        <v>24954</v>
      </c>
      <c r="N4873" t="s">
        <v>24955</v>
      </c>
      <c r="O4873" t="s">
        <v>94</v>
      </c>
      <c r="P4873">
        <v>14.99</v>
      </c>
      <c r="Q4873">
        <v>18.739999999999998</v>
      </c>
      <c r="R4873">
        <v>14.99</v>
      </c>
      <c r="S4873">
        <v>22.49</v>
      </c>
      <c r="T4873" t="s">
        <v>24956</v>
      </c>
    </row>
    <row r="4874" spans="1:20">
      <c r="A4874">
        <v>3374947</v>
      </c>
      <c r="B4874" t="s">
        <v>24957</v>
      </c>
      <c r="C4874" t="str">
        <f>"9782895441717"</f>
        <v>9782895441717</v>
      </c>
      <c r="D4874" t="str">
        <f>"9782895443858"</f>
        <v>9782895443858</v>
      </c>
      <c r="E4874" t="s">
        <v>24608</v>
      </c>
      <c r="F4874" t="s">
        <v>24608</v>
      </c>
      <c r="G4874" s="1">
        <v>40695</v>
      </c>
      <c r="J4874" t="s">
        <v>24958</v>
      </c>
      <c r="K4874" t="s">
        <v>305</v>
      </c>
      <c r="L4874" t="s">
        <v>24959</v>
      </c>
      <c r="N4874" t="s">
        <v>24960</v>
      </c>
      <c r="O4874" t="s">
        <v>94</v>
      </c>
      <c r="P4874">
        <v>29.99</v>
      </c>
      <c r="Q4874">
        <v>37.49</v>
      </c>
      <c r="R4874">
        <v>29.99</v>
      </c>
      <c r="S4874">
        <v>44.99</v>
      </c>
      <c r="T4874" t="s">
        <v>24961</v>
      </c>
    </row>
    <row r="4875" spans="1:20">
      <c r="A4875">
        <v>3374948</v>
      </c>
      <c r="B4875" t="s">
        <v>24962</v>
      </c>
      <c r="C4875" t="str">
        <f>"9782921146494"</f>
        <v>9782921146494</v>
      </c>
      <c r="D4875" t="str">
        <f>"9782895442103"</f>
        <v>9782895442103</v>
      </c>
      <c r="E4875" t="s">
        <v>24608</v>
      </c>
      <c r="F4875" t="s">
        <v>24608</v>
      </c>
      <c r="G4875" s="1">
        <v>35855</v>
      </c>
      <c r="J4875" t="s">
        <v>24646</v>
      </c>
      <c r="K4875" t="s">
        <v>1082</v>
      </c>
      <c r="L4875" t="s">
        <v>24647</v>
      </c>
      <c r="M4875">
        <v>362.10971000000001</v>
      </c>
      <c r="N4875" t="s">
        <v>24648</v>
      </c>
      <c r="O4875" t="s">
        <v>26</v>
      </c>
      <c r="P4875">
        <v>33.99</v>
      </c>
      <c r="Q4875">
        <v>42.49</v>
      </c>
      <c r="R4875">
        <v>33.99</v>
      </c>
      <c r="S4875">
        <v>50.99</v>
      </c>
      <c r="T4875" t="s">
        <v>24963</v>
      </c>
    </row>
    <row r="4876" spans="1:20">
      <c r="A4876">
        <v>3374949</v>
      </c>
      <c r="B4876" t="s">
        <v>24964</v>
      </c>
      <c r="C4876" t="str">
        <f>"9782895441526"</f>
        <v>9782895441526</v>
      </c>
      <c r="D4876" t="str">
        <f>"9782895443629"</f>
        <v>9782895443629</v>
      </c>
      <c r="E4876" t="s">
        <v>24608</v>
      </c>
      <c r="F4876" t="s">
        <v>24608</v>
      </c>
      <c r="G4876" s="1">
        <v>40148</v>
      </c>
      <c r="J4876" t="s">
        <v>24965</v>
      </c>
      <c r="K4876" t="s">
        <v>23</v>
      </c>
      <c r="L4876" t="s">
        <v>24966</v>
      </c>
      <c r="N4876" t="s">
        <v>24967</v>
      </c>
      <c r="O4876" t="s">
        <v>94</v>
      </c>
      <c r="P4876">
        <v>9.99</v>
      </c>
      <c r="Q4876">
        <v>12.49</v>
      </c>
      <c r="R4876">
        <v>9.99</v>
      </c>
      <c r="S4876">
        <v>14.99</v>
      </c>
      <c r="T4876" t="s">
        <v>24968</v>
      </c>
    </row>
    <row r="4877" spans="1:20">
      <c r="A4877">
        <v>3374950</v>
      </c>
      <c r="B4877" t="s">
        <v>24969</v>
      </c>
      <c r="C4877" t="str">
        <f>"9782895441199"</f>
        <v>9782895441199</v>
      </c>
      <c r="D4877" t="str">
        <f>"9782895443384"</f>
        <v>9782895443384</v>
      </c>
      <c r="E4877" t="s">
        <v>24608</v>
      </c>
      <c r="F4877" t="s">
        <v>24608</v>
      </c>
      <c r="G4877" s="1">
        <v>39356</v>
      </c>
      <c r="J4877" t="s">
        <v>24970</v>
      </c>
      <c r="K4877" t="s">
        <v>179</v>
      </c>
      <c r="L4877" t="s">
        <v>24971</v>
      </c>
      <c r="N4877" t="s">
        <v>24972</v>
      </c>
      <c r="O4877" t="s">
        <v>94</v>
      </c>
      <c r="P4877">
        <v>18.989999999999998</v>
      </c>
      <c r="Q4877">
        <v>23.74</v>
      </c>
      <c r="R4877">
        <v>18.989999999999998</v>
      </c>
      <c r="S4877">
        <v>28.49</v>
      </c>
      <c r="T4877" t="s">
        <v>24973</v>
      </c>
    </row>
    <row r="4878" spans="1:20">
      <c r="A4878">
        <v>3374951</v>
      </c>
      <c r="B4878" t="s">
        <v>24974</v>
      </c>
      <c r="C4878" t="str">
        <f>"9782895440956"</f>
        <v>9782895440956</v>
      </c>
      <c r="D4878" t="str">
        <f>"9782895443155"</f>
        <v>9782895443155</v>
      </c>
      <c r="E4878" t="s">
        <v>24608</v>
      </c>
      <c r="F4878" t="s">
        <v>24608</v>
      </c>
      <c r="G4878" s="1">
        <v>38838</v>
      </c>
      <c r="J4878" t="s">
        <v>24975</v>
      </c>
      <c r="K4878" t="s">
        <v>305</v>
      </c>
      <c r="L4878" t="s">
        <v>24976</v>
      </c>
      <c r="N4878" t="s">
        <v>24977</v>
      </c>
      <c r="O4878" t="s">
        <v>94</v>
      </c>
      <c r="P4878">
        <v>14.99</v>
      </c>
      <c r="Q4878">
        <v>18.739999999999998</v>
      </c>
      <c r="R4878">
        <v>14.99</v>
      </c>
      <c r="S4878">
        <v>22.49</v>
      </c>
      <c r="T4878" t="s">
        <v>24978</v>
      </c>
    </row>
    <row r="4879" spans="1:20">
      <c r="A4879">
        <v>3374952</v>
      </c>
      <c r="B4879" t="s">
        <v>24979</v>
      </c>
      <c r="C4879" t="str">
        <f>"9782895441670"</f>
        <v>9782895441670</v>
      </c>
      <c r="D4879" t="str">
        <f>"9782895443780"</f>
        <v>9782895443780</v>
      </c>
      <c r="E4879" t="s">
        <v>24608</v>
      </c>
      <c r="F4879" t="s">
        <v>24608</v>
      </c>
      <c r="G4879" s="1">
        <v>40575</v>
      </c>
      <c r="J4879" t="s">
        <v>24980</v>
      </c>
      <c r="K4879" t="s">
        <v>57</v>
      </c>
      <c r="L4879" t="s">
        <v>24981</v>
      </c>
      <c r="N4879" t="s">
        <v>24982</v>
      </c>
      <c r="O4879" t="s">
        <v>94</v>
      </c>
      <c r="P4879">
        <v>34.99</v>
      </c>
      <c r="Q4879">
        <v>43.74</v>
      </c>
      <c r="R4879">
        <v>34.99</v>
      </c>
      <c r="S4879">
        <v>52.49</v>
      </c>
      <c r="T4879" t="s">
        <v>24983</v>
      </c>
    </row>
    <row r="4880" spans="1:20">
      <c r="A4880">
        <v>3374953</v>
      </c>
      <c r="B4880" t="s">
        <v>24984</v>
      </c>
      <c r="C4880" t="str">
        <f>"9782895441403"</f>
        <v>9782895441403</v>
      </c>
      <c r="D4880" t="str">
        <f>"9782895443551"</f>
        <v>9782895443551</v>
      </c>
      <c r="E4880" t="s">
        <v>24608</v>
      </c>
      <c r="F4880" t="s">
        <v>24608</v>
      </c>
      <c r="G4880" s="1">
        <v>40026</v>
      </c>
      <c r="J4880" t="s">
        <v>24985</v>
      </c>
      <c r="K4880" t="s">
        <v>12038</v>
      </c>
      <c r="L4880" t="s">
        <v>24986</v>
      </c>
      <c r="N4880" t="s">
        <v>24987</v>
      </c>
      <c r="O4880" t="s">
        <v>94</v>
      </c>
      <c r="P4880">
        <v>29.99</v>
      </c>
      <c r="Q4880">
        <v>37.49</v>
      </c>
      <c r="R4880">
        <v>29.99</v>
      </c>
      <c r="S4880">
        <v>44.99</v>
      </c>
      <c r="T4880" t="s">
        <v>24988</v>
      </c>
    </row>
    <row r="4881" spans="1:20">
      <c r="A4881">
        <v>3374954</v>
      </c>
      <c r="B4881" t="s">
        <v>24989</v>
      </c>
      <c r="C4881" t="str">
        <f>"9782895441137"</f>
        <v>9782895441137</v>
      </c>
      <c r="D4881" t="str">
        <f>"9782895443322"</f>
        <v>9782895443322</v>
      </c>
      <c r="E4881" t="s">
        <v>24608</v>
      </c>
      <c r="F4881" t="s">
        <v>24608</v>
      </c>
      <c r="G4881" s="1">
        <v>39326</v>
      </c>
      <c r="J4881" t="s">
        <v>24990</v>
      </c>
      <c r="K4881" t="s">
        <v>263</v>
      </c>
      <c r="L4881" t="s">
        <v>24991</v>
      </c>
      <c r="M4881" t="s">
        <v>24992</v>
      </c>
      <c r="N4881" t="s">
        <v>24993</v>
      </c>
      <c r="O4881" t="s">
        <v>94</v>
      </c>
      <c r="P4881">
        <v>25.99</v>
      </c>
      <c r="Q4881">
        <v>32.49</v>
      </c>
      <c r="R4881">
        <v>25.99</v>
      </c>
      <c r="S4881">
        <v>38.99</v>
      </c>
      <c r="T4881" t="s">
        <v>24994</v>
      </c>
    </row>
    <row r="4882" spans="1:20">
      <c r="A4882">
        <v>3374955</v>
      </c>
      <c r="B4882" t="s">
        <v>24995</v>
      </c>
      <c r="C4882" t="str">
        <f>"9782895441441"</f>
        <v>9782895441441</v>
      </c>
      <c r="D4882" t="str">
        <f>"9782895444374"</f>
        <v>9782895444374</v>
      </c>
      <c r="E4882" t="s">
        <v>24608</v>
      </c>
      <c r="F4882" t="s">
        <v>24608</v>
      </c>
      <c r="G4882" s="1">
        <v>41183</v>
      </c>
      <c r="J4882" t="s">
        <v>24996</v>
      </c>
      <c r="K4882" t="s">
        <v>291</v>
      </c>
      <c r="L4882" t="s">
        <v>24997</v>
      </c>
      <c r="N4882" t="s">
        <v>24998</v>
      </c>
      <c r="O4882" t="s">
        <v>94</v>
      </c>
      <c r="P4882">
        <v>18.989999999999998</v>
      </c>
      <c r="Q4882">
        <v>23.74</v>
      </c>
      <c r="R4882">
        <v>18.989999999999998</v>
      </c>
      <c r="S4882">
        <v>28.49</v>
      </c>
      <c r="T4882" t="s">
        <v>24999</v>
      </c>
    </row>
    <row r="4883" spans="1:20">
      <c r="A4883">
        <v>3374956</v>
      </c>
      <c r="B4883" t="s">
        <v>25000</v>
      </c>
      <c r="C4883" t="str">
        <f>"9782895441809"</f>
        <v>9782895441809</v>
      </c>
      <c r="D4883" t="str">
        <f>"9782895444312"</f>
        <v>9782895444312</v>
      </c>
      <c r="E4883" t="s">
        <v>24608</v>
      </c>
      <c r="F4883" t="s">
        <v>24608</v>
      </c>
      <c r="G4883" s="1">
        <v>40603</v>
      </c>
      <c r="J4883" t="s">
        <v>25001</v>
      </c>
      <c r="K4883" t="s">
        <v>50</v>
      </c>
      <c r="L4883" t="s">
        <v>25002</v>
      </c>
      <c r="N4883" t="s">
        <v>25003</v>
      </c>
      <c r="O4883" t="s">
        <v>94</v>
      </c>
      <c r="P4883">
        <v>18.989999999999998</v>
      </c>
      <c r="Q4883">
        <v>23.74</v>
      </c>
      <c r="R4883">
        <v>18.989999999999998</v>
      </c>
      <c r="S4883">
        <v>28.49</v>
      </c>
      <c r="T4883" t="s">
        <v>25004</v>
      </c>
    </row>
    <row r="4884" spans="1:20">
      <c r="A4884">
        <v>3374957</v>
      </c>
      <c r="B4884" t="s">
        <v>25005</v>
      </c>
      <c r="C4884" t="str">
        <f>"9782895440345"</f>
        <v>9782895440345</v>
      </c>
      <c r="D4884" t="str">
        <f>"9782895442646"</f>
        <v>9782895442646</v>
      </c>
      <c r="E4884" t="s">
        <v>24608</v>
      </c>
      <c r="F4884" t="s">
        <v>24608</v>
      </c>
      <c r="G4884" s="1">
        <v>37530</v>
      </c>
      <c r="J4884" t="s">
        <v>25006</v>
      </c>
      <c r="K4884" t="s">
        <v>24615</v>
      </c>
      <c r="L4884" t="s">
        <v>25007</v>
      </c>
      <c r="N4884" t="s">
        <v>25008</v>
      </c>
      <c r="O4884" t="s">
        <v>94</v>
      </c>
      <c r="P4884">
        <v>25.99</v>
      </c>
      <c r="Q4884">
        <v>32.49</v>
      </c>
      <c r="R4884">
        <v>25.99</v>
      </c>
      <c r="S4884">
        <v>38.99</v>
      </c>
      <c r="T4884" t="s">
        <v>25009</v>
      </c>
    </row>
    <row r="4885" spans="1:20">
      <c r="A4885">
        <v>3374958</v>
      </c>
      <c r="B4885" t="s">
        <v>25010</v>
      </c>
      <c r="C4885" t="str">
        <f>"9782895440031"</f>
        <v>9782895440031</v>
      </c>
      <c r="D4885" t="str">
        <f>"9782895442417"</f>
        <v>9782895442417</v>
      </c>
      <c r="E4885" t="s">
        <v>24608</v>
      </c>
      <c r="F4885" t="s">
        <v>24608</v>
      </c>
      <c r="G4885" s="1">
        <v>36647</v>
      </c>
      <c r="J4885" t="s">
        <v>24851</v>
      </c>
      <c r="K4885" t="s">
        <v>257</v>
      </c>
      <c r="L4885" t="s">
        <v>25011</v>
      </c>
      <c r="N4885" t="s">
        <v>25012</v>
      </c>
      <c r="O4885" t="s">
        <v>94</v>
      </c>
      <c r="P4885">
        <v>14.99</v>
      </c>
      <c r="Q4885">
        <v>18.739999999999998</v>
      </c>
      <c r="R4885">
        <v>14.99</v>
      </c>
      <c r="S4885">
        <v>22.49</v>
      </c>
      <c r="T4885" t="s">
        <v>25013</v>
      </c>
    </row>
    <row r="4886" spans="1:20">
      <c r="A4886">
        <v>3374959</v>
      </c>
      <c r="B4886" t="s">
        <v>25014</v>
      </c>
      <c r="C4886" t="str">
        <f>"9782895440130"</f>
        <v>9782895440130</v>
      </c>
      <c r="D4886" t="str">
        <f>"9782895442486"</f>
        <v>9782895442486</v>
      </c>
      <c r="E4886" t="s">
        <v>24608</v>
      </c>
      <c r="F4886" t="s">
        <v>24608</v>
      </c>
      <c r="G4886" s="1">
        <v>36951</v>
      </c>
      <c r="J4886" t="s">
        <v>24636</v>
      </c>
      <c r="K4886" t="s">
        <v>305</v>
      </c>
      <c r="L4886" t="s">
        <v>25015</v>
      </c>
      <c r="N4886" t="s">
        <v>25016</v>
      </c>
      <c r="O4886" t="s">
        <v>94</v>
      </c>
      <c r="P4886">
        <v>18.989999999999998</v>
      </c>
      <c r="Q4886">
        <v>23.74</v>
      </c>
      <c r="R4886">
        <v>18.989999999999998</v>
      </c>
      <c r="S4886">
        <v>28.49</v>
      </c>
      <c r="T4886" t="s">
        <v>25017</v>
      </c>
    </row>
    <row r="4887" spans="1:20">
      <c r="A4887">
        <v>3374960</v>
      </c>
      <c r="B4887" t="s">
        <v>25018</v>
      </c>
      <c r="C4887" t="str">
        <f>"9782921146777"</f>
        <v>9782921146777</v>
      </c>
      <c r="D4887" t="str">
        <f>"9782895442257"</f>
        <v>9782895442257</v>
      </c>
      <c r="E4887" t="s">
        <v>24608</v>
      </c>
      <c r="F4887" t="s">
        <v>24608</v>
      </c>
      <c r="G4887" s="1">
        <v>36281</v>
      </c>
      <c r="J4887" t="s">
        <v>25019</v>
      </c>
      <c r="K4887" t="s">
        <v>263</v>
      </c>
      <c r="L4887" t="s">
        <v>25020</v>
      </c>
      <c r="N4887" t="s">
        <v>25021</v>
      </c>
      <c r="O4887" t="s">
        <v>94</v>
      </c>
      <c r="P4887">
        <v>14.99</v>
      </c>
      <c r="Q4887">
        <v>18.739999999999998</v>
      </c>
      <c r="R4887">
        <v>14.99</v>
      </c>
      <c r="S4887">
        <v>22.49</v>
      </c>
      <c r="T4887" t="s">
        <v>25022</v>
      </c>
    </row>
    <row r="4888" spans="1:20">
      <c r="A4888">
        <v>3374961</v>
      </c>
      <c r="B4888" t="s">
        <v>25023</v>
      </c>
      <c r="C4888" t="str">
        <f>"9782921146630"</f>
        <v>9782921146630</v>
      </c>
      <c r="D4888" t="str">
        <f>"9782895442172"</f>
        <v>9782895442172</v>
      </c>
      <c r="E4888" t="s">
        <v>24608</v>
      </c>
      <c r="F4888" t="s">
        <v>24608</v>
      </c>
      <c r="G4888" s="1">
        <v>35462</v>
      </c>
      <c r="J4888" t="s">
        <v>25024</v>
      </c>
      <c r="K4888" t="s">
        <v>2260</v>
      </c>
      <c r="L4888" t="s">
        <v>25025</v>
      </c>
      <c r="N4888" t="s">
        <v>25026</v>
      </c>
      <c r="O4888" t="s">
        <v>94</v>
      </c>
      <c r="P4888">
        <v>9.99</v>
      </c>
      <c r="Q4888">
        <v>12.49</v>
      </c>
      <c r="R4888">
        <v>9.99</v>
      </c>
      <c r="S4888">
        <v>14.99</v>
      </c>
      <c r="T4888" t="s">
        <v>25027</v>
      </c>
    </row>
    <row r="4889" spans="1:20">
      <c r="A4889">
        <v>3374962</v>
      </c>
      <c r="B4889" t="s">
        <v>25028</v>
      </c>
      <c r="C4889" t="str">
        <f>"9782895440536"</f>
        <v>9782895440536</v>
      </c>
      <c r="D4889" t="str">
        <f>"9782895442813"</f>
        <v>9782895442813</v>
      </c>
      <c r="E4889" t="s">
        <v>24608</v>
      </c>
      <c r="F4889" t="s">
        <v>24608</v>
      </c>
      <c r="G4889" s="1">
        <v>38018</v>
      </c>
      <c r="J4889" t="s">
        <v>25029</v>
      </c>
      <c r="K4889" t="s">
        <v>291</v>
      </c>
      <c r="L4889" t="s">
        <v>25030</v>
      </c>
      <c r="M4889" t="s">
        <v>25031</v>
      </c>
      <c r="N4889" t="s">
        <v>25032</v>
      </c>
      <c r="O4889" t="s">
        <v>94</v>
      </c>
      <c r="P4889">
        <v>13.99</v>
      </c>
      <c r="Q4889">
        <v>17.489999999999998</v>
      </c>
      <c r="R4889">
        <v>13.99</v>
      </c>
      <c r="S4889">
        <v>20.99</v>
      </c>
      <c r="T4889" t="s">
        <v>25033</v>
      </c>
    </row>
    <row r="4890" spans="1:20">
      <c r="A4890">
        <v>3374963</v>
      </c>
      <c r="B4890" t="s">
        <v>25034</v>
      </c>
      <c r="C4890" t="str">
        <f>"9782895441595"</f>
        <v>9782895441595</v>
      </c>
      <c r="D4890" t="str">
        <f>"9782895443698"</f>
        <v>9782895443698</v>
      </c>
      <c r="E4890" t="s">
        <v>24608</v>
      </c>
      <c r="F4890" t="s">
        <v>24608</v>
      </c>
      <c r="G4890" s="1">
        <v>40179</v>
      </c>
      <c r="J4890" t="s">
        <v>25035</v>
      </c>
      <c r="K4890" t="s">
        <v>291</v>
      </c>
      <c r="L4890" t="s">
        <v>25036</v>
      </c>
      <c r="N4890" t="s">
        <v>25037</v>
      </c>
      <c r="O4890" t="s">
        <v>94</v>
      </c>
      <c r="P4890">
        <v>25.99</v>
      </c>
      <c r="Q4890">
        <v>32.49</v>
      </c>
      <c r="R4890">
        <v>25.99</v>
      </c>
      <c r="S4890">
        <v>38.99</v>
      </c>
      <c r="T4890" t="s">
        <v>25038</v>
      </c>
    </row>
    <row r="4891" spans="1:20">
      <c r="A4891">
        <v>3374964</v>
      </c>
      <c r="B4891" t="s">
        <v>25039</v>
      </c>
      <c r="C4891" t="str">
        <f>"9782895441281"</f>
        <v>9782895441281</v>
      </c>
      <c r="D4891" t="str">
        <f>"9782895443469"</f>
        <v>9782895443469</v>
      </c>
      <c r="E4891" t="s">
        <v>24608</v>
      </c>
      <c r="F4891" t="s">
        <v>24608</v>
      </c>
      <c r="G4891" s="1">
        <v>39692</v>
      </c>
      <c r="J4891" t="s">
        <v>24626</v>
      </c>
      <c r="K4891" t="s">
        <v>467</v>
      </c>
      <c r="L4891" t="s">
        <v>25040</v>
      </c>
      <c r="N4891" t="s">
        <v>25041</v>
      </c>
      <c r="O4891" t="s">
        <v>94</v>
      </c>
      <c r="P4891">
        <v>18.989999999999998</v>
      </c>
      <c r="Q4891">
        <v>23.74</v>
      </c>
      <c r="R4891">
        <v>18.989999999999998</v>
      </c>
      <c r="S4891">
        <v>28.49</v>
      </c>
      <c r="T4891" t="s">
        <v>25042</v>
      </c>
    </row>
    <row r="4892" spans="1:20">
      <c r="A4892">
        <v>3374965</v>
      </c>
      <c r="B4892" t="s">
        <v>25043</v>
      </c>
      <c r="C4892" t="str">
        <f>"9782895441724"</f>
        <v>9782895441724</v>
      </c>
      <c r="D4892" t="str">
        <f>"9782895443865"</f>
        <v>9782895443865</v>
      </c>
      <c r="E4892" t="s">
        <v>24608</v>
      </c>
      <c r="F4892" t="s">
        <v>24608</v>
      </c>
      <c r="G4892" s="1">
        <v>41426</v>
      </c>
      <c r="J4892" t="s">
        <v>25044</v>
      </c>
      <c r="K4892" t="s">
        <v>2725</v>
      </c>
      <c r="L4892" t="s">
        <v>25045</v>
      </c>
      <c r="M4892">
        <v>333.79399999999998</v>
      </c>
      <c r="N4892" t="s">
        <v>25046</v>
      </c>
      <c r="O4892" t="s">
        <v>26</v>
      </c>
      <c r="P4892">
        <v>18.989999999999998</v>
      </c>
      <c r="Q4892">
        <v>23.74</v>
      </c>
      <c r="R4892">
        <v>18.989999999999998</v>
      </c>
      <c r="S4892">
        <v>28.49</v>
      </c>
      <c r="T4892" t="s">
        <v>25047</v>
      </c>
    </row>
    <row r="4893" spans="1:20">
      <c r="A4893">
        <v>3374966</v>
      </c>
      <c r="B4893" t="s">
        <v>25048</v>
      </c>
      <c r="C4893" t="str">
        <f>"9782921146500"</f>
        <v>9782921146500</v>
      </c>
      <c r="D4893" t="str">
        <f>"9782895442110"</f>
        <v>9782895442110</v>
      </c>
      <c r="E4893" t="s">
        <v>24608</v>
      </c>
      <c r="F4893" t="s">
        <v>24608</v>
      </c>
      <c r="G4893" s="1">
        <v>35855</v>
      </c>
      <c r="J4893" t="s">
        <v>24756</v>
      </c>
      <c r="K4893" t="s">
        <v>1082</v>
      </c>
      <c r="L4893" t="s">
        <v>25049</v>
      </c>
      <c r="N4893" t="s">
        <v>25050</v>
      </c>
      <c r="O4893" t="s">
        <v>94</v>
      </c>
      <c r="P4893">
        <v>33.99</v>
      </c>
      <c r="Q4893">
        <v>42.49</v>
      </c>
      <c r="R4893">
        <v>33.99</v>
      </c>
      <c r="S4893">
        <v>50.99</v>
      </c>
      <c r="T4893" t="s">
        <v>25051</v>
      </c>
    </row>
    <row r="4894" spans="1:20">
      <c r="A4894">
        <v>3374967</v>
      </c>
      <c r="B4894" t="s">
        <v>25052</v>
      </c>
      <c r="C4894" t="str">
        <f>"9782895441533"</f>
        <v>9782895441533</v>
      </c>
      <c r="D4894" t="str">
        <f>"9782895443636"</f>
        <v>9782895443636</v>
      </c>
      <c r="E4894" t="s">
        <v>24608</v>
      </c>
      <c r="F4894" t="s">
        <v>24608</v>
      </c>
      <c r="G4894" s="1">
        <v>40179</v>
      </c>
      <c r="J4894" t="s">
        <v>25053</v>
      </c>
      <c r="K4894" t="s">
        <v>2260</v>
      </c>
      <c r="L4894" t="s">
        <v>25054</v>
      </c>
      <c r="N4894" t="s">
        <v>25055</v>
      </c>
      <c r="O4894" t="s">
        <v>94</v>
      </c>
      <c r="P4894">
        <v>25.99</v>
      </c>
      <c r="Q4894">
        <v>32.49</v>
      </c>
      <c r="R4894">
        <v>25.99</v>
      </c>
      <c r="S4894">
        <v>38.99</v>
      </c>
      <c r="T4894" t="s">
        <v>25056</v>
      </c>
    </row>
    <row r="4895" spans="1:20">
      <c r="A4895">
        <v>3374968</v>
      </c>
      <c r="B4895" t="s">
        <v>25057</v>
      </c>
      <c r="C4895" t="str">
        <f>"9782895441212"</f>
        <v>9782895441212</v>
      </c>
      <c r="D4895" t="str">
        <f>"9782895443407"</f>
        <v>9782895443407</v>
      </c>
      <c r="E4895" t="s">
        <v>24608</v>
      </c>
      <c r="F4895" t="s">
        <v>24608</v>
      </c>
      <c r="G4895" s="1">
        <v>39356</v>
      </c>
      <c r="J4895" t="s">
        <v>24720</v>
      </c>
      <c r="K4895" t="s">
        <v>16707</v>
      </c>
      <c r="L4895" t="s">
        <v>25058</v>
      </c>
      <c r="N4895" t="s">
        <v>25059</v>
      </c>
      <c r="O4895" t="s">
        <v>94</v>
      </c>
      <c r="P4895">
        <v>21.99</v>
      </c>
      <c r="Q4895">
        <v>27.49</v>
      </c>
      <c r="R4895">
        <v>21.99</v>
      </c>
      <c r="S4895">
        <v>32.99</v>
      </c>
      <c r="T4895" t="s">
        <v>25060</v>
      </c>
    </row>
    <row r="4896" spans="1:20">
      <c r="A4896">
        <v>3374969</v>
      </c>
      <c r="B4896" t="s">
        <v>25061</v>
      </c>
      <c r="C4896" t="str">
        <f>"9782895441205"</f>
        <v>9782895441205</v>
      </c>
      <c r="D4896" t="str">
        <f>"9782895443391"</f>
        <v>9782895443391</v>
      </c>
      <c r="E4896" t="s">
        <v>24608</v>
      </c>
      <c r="F4896" t="s">
        <v>24608</v>
      </c>
      <c r="G4896" s="1">
        <v>39508</v>
      </c>
      <c r="J4896" t="s">
        <v>25062</v>
      </c>
      <c r="K4896" t="s">
        <v>7838</v>
      </c>
      <c r="L4896" t="s">
        <v>25063</v>
      </c>
      <c r="N4896" t="s">
        <v>25064</v>
      </c>
      <c r="O4896" t="s">
        <v>94</v>
      </c>
      <c r="P4896">
        <v>21.99</v>
      </c>
      <c r="Q4896">
        <v>27.49</v>
      </c>
      <c r="R4896">
        <v>21.99</v>
      </c>
      <c r="S4896">
        <v>32.99</v>
      </c>
      <c r="T4896" t="s">
        <v>25065</v>
      </c>
    </row>
    <row r="4897" spans="1:20">
      <c r="A4897">
        <v>3374970</v>
      </c>
      <c r="B4897" t="s">
        <v>25066</v>
      </c>
      <c r="C4897" t="str">
        <f>"9782895441502"</f>
        <v>9782895441502</v>
      </c>
      <c r="D4897" t="str">
        <f>"9782895443803"</f>
        <v>9782895443803</v>
      </c>
      <c r="E4897" t="s">
        <v>24608</v>
      </c>
      <c r="F4897" t="s">
        <v>24608</v>
      </c>
      <c r="G4897" s="1">
        <v>40391</v>
      </c>
      <c r="J4897" t="s">
        <v>24842</v>
      </c>
      <c r="K4897" t="s">
        <v>257</v>
      </c>
      <c r="L4897" t="s">
        <v>25067</v>
      </c>
      <c r="N4897" t="s">
        <v>25068</v>
      </c>
      <c r="O4897" t="s">
        <v>94</v>
      </c>
      <c r="P4897">
        <v>25.99</v>
      </c>
      <c r="Q4897">
        <v>32.49</v>
      </c>
      <c r="R4897">
        <v>25.99</v>
      </c>
      <c r="S4897">
        <v>38.99</v>
      </c>
      <c r="T4897" t="s">
        <v>25069</v>
      </c>
    </row>
    <row r="4898" spans="1:20">
      <c r="A4898">
        <v>3374971</v>
      </c>
      <c r="B4898" t="s">
        <v>25070</v>
      </c>
      <c r="C4898" t="str">
        <f>"9782895440963"</f>
        <v>9782895440963</v>
      </c>
      <c r="D4898" t="str">
        <f>"9782895443162"</f>
        <v>9782895443162</v>
      </c>
      <c r="E4898" t="s">
        <v>24608</v>
      </c>
      <c r="F4898" t="s">
        <v>24608</v>
      </c>
      <c r="G4898" s="1">
        <v>36039</v>
      </c>
      <c r="J4898" t="s">
        <v>24975</v>
      </c>
      <c r="K4898" t="s">
        <v>899</v>
      </c>
      <c r="L4898" t="s">
        <v>25071</v>
      </c>
      <c r="M4898">
        <v>303.48329999999999</v>
      </c>
      <c r="N4898" t="s">
        <v>24977</v>
      </c>
      <c r="O4898" t="s">
        <v>26</v>
      </c>
      <c r="P4898">
        <v>14.99</v>
      </c>
      <c r="Q4898">
        <v>18.739999999999998</v>
      </c>
      <c r="R4898">
        <v>14.99</v>
      </c>
      <c r="S4898">
        <v>22.49</v>
      </c>
      <c r="T4898" t="s">
        <v>25072</v>
      </c>
    </row>
    <row r="4899" spans="1:20">
      <c r="A4899">
        <v>3374972</v>
      </c>
      <c r="B4899" t="s">
        <v>25073</v>
      </c>
      <c r="C4899" t="str">
        <f>"9782895440765"</f>
        <v>9782895440765</v>
      </c>
      <c r="D4899" t="str">
        <f>"9782895443018"</f>
        <v>9782895443018</v>
      </c>
      <c r="E4899" t="s">
        <v>24608</v>
      </c>
      <c r="F4899" t="s">
        <v>24608</v>
      </c>
      <c r="G4899" s="1">
        <v>38384</v>
      </c>
      <c r="J4899" t="s">
        <v>25074</v>
      </c>
      <c r="K4899" t="s">
        <v>155</v>
      </c>
      <c r="L4899" t="s">
        <v>25075</v>
      </c>
      <c r="N4899" t="s">
        <v>25076</v>
      </c>
      <c r="O4899" t="s">
        <v>94</v>
      </c>
      <c r="P4899">
        <v>25.99</v>
      </c>
      <c r="Q4899">
        <v>32.49</v>
      </c>
      <c r="R4899">
        <v>25.99</v>
      </c>
      <c r="S4899">
        <v>38.99</v>
      </c>
      <c r="T4899" t="s">
        <v>25077</v>
      </c>
    </row>
    <row r="4900" spans="1:20">
      <c r="A4900">
        <v>3374973</v>
      </c>
      <c r="B4900" t="s">
        <v>25078</v>
      </c>
      <c r="C4900" t="str">
        <f>"9782895441939"</f>
        <v>9782895441939</v>
      </c>
      <c r="D4900" t="str">
        <f>"9782895444459"</f>
        <v>9782895444459</v>
      </c>
      <c r="E4900" t="s">
        <v>24608</v>
      </c>
      <c r="F4900" t="s">
        <v>24608</v>
      </c>
      <c r="G4900" s="1">
        <v>41030</v>
      </c>
      <c r="J4900" t="s">
        <v>25079</v>
      </c>
      <c r="K4900" t="s">
        <v>24615</v>
      </c>
      <c r="L4900" t="s">
        <v>25080</v>
      </c>
      <c r="M4900">
        <v>69.072000000000003</v>
      </c>
      <c r="N4900" t="s">
        <v>25081</v>
      </c>
      <c r="O4900" t="s">
        <v>94</v>
      </c>
      <c r="P4900">
        <v>25.99</v>
      </c>
      <c r="Q4900">
        <v>32.49</v>
      </c>
      <c r="R4900">
        <v>25.99</v>
      </c>
      <c r="S4900">
        <v>38.99</v>
      </c>
      <c r="T4900" t="s">
        <v>25082</v>
      </c>
    </row>
    <row r="4901" spans="1:20">
      <c r="A4901">
        <v>3374974</v>
      </c>
      <c r="B4901" t="s">
        <v>25083</v>
      </c>
      <c r="C4901" t="str">
        <f>"9782895440895"</f>
        <v>9782895440895</v>
      </c>
      <c r="D4901" t="str">
        <f>"9782895443100"</f>
        <v>9782895443100</v>
      </c>
      <c r="E4901" t="s">
        <v>24608</v>
      </c>
      <c r="F4901" t="s">
        <v>24608</v>
      </c>
      <c r="G4901" s="1">
        <v>38777</v>
      </c>
      <c r="J4901" t="s">
        <v>24842</v>
      </c>
      <c r="K4901" t="s">
        <v>12038</v>
      </c>
      <c r="L4901" t="s">
        <v>25084</v>
      </c>
      <c r="N4901" t="s">
        <v>25085</v>
      </c>
      <c r="O4901" t="s">
        <v>94</v>
      </c>
      <c r="P4901">
        <v>29.99</v>
      </c>
      <c r="Q4901">
        <v>37.49</v>
      </c>
      <c r="R4901">
        <v>29.99</v>
      </c>
      <c r="S4901">
        <v>44.99</v>
      </c>
      <c r="T4901" t="s">
        <v>25086</v>
      </c>
    </row>
    <row r="4902" spans="1:20">
      <c r="A4902">
        <v>3374975</v>
      </c>
      <c r="B4902" t="s">
        <v>25087</v>
      </c>
      <c r="C4902" t="str">
        <f>"9782895441861"</f>
        <v>9782895441861</v>
      </c>
      <c r="D4902" t="str">
        <f>"9782895444381"</f>
        <v>9782895444381</v>
      </c>
      <c r="E4902" t="s">
        <v>24608</v>
      </c>
      <c r="F4902" t="s">
        <v>24608</v>
      </c>
      <c r="G4902" s="1">
        <v>41000</v>
      </c>
      <c r="J4902" t="s">
        <v>24842</v>
      </c>
      <c r="K4902" t="s">
        <v>12038</v>
      </c>
      <c r="L4902" t="s">
        <v>25088</v>
      </c>
      <c r="N4902" t="s">
        <v>25089</v>
      </c>
      <c r="O4902" t="s">
        <v>94</v>
      </c>
      <c r="P4902">
        <v>25.99</v>
      </c>
      <c r="Q4902">
        <v>32.49</v>
      </c>
      <c r="R4902">
        <v>25.99</v>
      </c>
      <c r="S4902">
        <v>38.99</v>
      </c>
      <c r="T4902" t="s">
        <v>25090</v>
      </c>
    </row>
    <row r="4903" spans="1:20">
      <c r="A4903">
        <v>3374976</v>
      </c>
      <c r="B4903" t="s">
        <v>25091</v>
      </c>
      <c r="C4903" t="str">
        <f>"9782895440703"</f>
        <v>9782895440703</v>
      </c>
      <c r="D4903" t="str">
        <f>"9782895442967"</f>
        <v>9782895442967</v>
      </c>
      <c r="E4903" t="s">
        <v>24608</v>
      </c>
      <c r="F4903" t="s">
        <v>24608</v>
      </c>
      <c r="G4903" s="1">
        <v>38412</v>
      </c>
      <c r="J4903" t="s">
        <v>24736</v>
      </c>
      <c r="K4903" t="s">
        <v>12038</v>
      </c>
      <c r="L4903" t="s">
        <v>25092</v>
      </c>
      <c r="N4903" t="s">
        <v>25093</v>
      </c>
      <c r="O4903" t="s">
        <v>94</v>
      </c>
      <c r="P4903">
        <v>21.99</v>
      </c>
      <c r="Q4903">
        <v>27.49</v>
      </c>
      <c r="R4903">
        <v>21.99</v>
      </c>
      <c r="S4903">
        <v>32.99</v>
      </c>
      <c r="T4903" t="s">
        <v>25094</v>
      </c>
    </row>
    <row r="4904" spans="1:20">
      <c r="A4904">
        <v>3374977</v>
      </c>
      <c r="B4904" t="s">
        <v>25095</v>
      </c>
      <c r="C4904" t="str">
        <f>"9782895440604"</f>
        <v>9782895440604</v>
      </c>
      <c r="D4904" t="str">
        <f>"9782895442882"</f>
        <v>9782895442882</v>
      </c>
      <c r="E4904" t="s">
        <v>24608</v>
      </c>
      <c r="F4904" t="s">
        <v>24608</v>
      </c>
      <c r="G4904" s="1">
        <v>40664</v>
      </c>
      <c r="J4904" t="s">
        <v>25096</v>
      </c>
      <c r="K4904" t="s">
        <v>263</v>
      </c>
      <c r="L4904" t="s">
        <v>25097</v>
      </c>
      <c r="N4904" t="s">
        <v>25098</v>
      </c>
      <c r="O4904" t="s">
        <v>94</v>
      </c>
      <c r="P4904">
        <v>18.989999999999998</v>
      </c>
      <c r="Q4904">
        <v>23.74</v>
      </c>
      <c r="R4904">
        <v>18.989999999999998</v>
      </c>
      <c r="S4904">
        <v>28.49</v>
      </c>
      <c r="T4904" t="s">
        <v>25099</v>
      </c>
    </row>
    <row r="4905" spans="1:20">
      <c r="A4905">
        <v>3374978</v>
      </c>
      <c r="B4905" t="s">
        <v>25100</v>
      </c>
      <c r="C4905" t="str">
        <f>"9782921146487"</f>
        <v>9782921146487</v>
      </c>
      <c r="D4905" t="str">
        <f>"9782895442097"</f>
        <v>9782895442097</v>
      </c>
      <c r="E4905" t="s">
        <v>24608</v>
      </c>
      <c r="F4905" t="s">
        <v>24608</v>
      </c>
      <c r="G4905" s="1">
        <v>35855</v>
      </c>
      <c r="J4905" t="s">
        <v>24756</v>
      </c>
      <c r="K4905" t="s">
        <v>1082</v>
      </c>
      <c r="L4905" t="s">
        <v>24757</v>
      </c>
      <c r="N4905" t="s">
        <v>25050</v>
      </c>
      <c r="O4905" t="s">
        <v>94</v>
      </c>
      <c r="P4905">
        <v>33.99</v>
      </c>
      <c r="Q4905">
        <v>42.49</v>
      </c>
      <c r="R4905">
        <v>33.99</v>
      </c>
      <c r="S4905">
        <v>50.99</v>
      </c>
      <c r="T4905" t="s">
        <v>25101</v>
      </c>
    </row>
    <row r="4906" spans="1:20">
      <c r="A4906">
        <v>3374979</v>
      </c>
      <c r="B4906" t="s">
        <v>25102</v>
      </c>
      <c r="C4906" t="str">
        <f>"9782895440451"</f>
        <v>9782895440451</v>
      </c>
      <c r="D4906" t="str">
        <f>"9782895442738"</f>
        <v>9782895442738</v>
      </c>
      <c r="E4906" t="s">
        <v>24608</v>
      </c>
      <c r="F4906" t="s">
        <v>24608</v>
      </c>
      <c r="G4906" s="1">
        <v>37865</v>
      </c>
      <c r="J4906" t="s">
        <v>25103</v>
      </c>
      <c r="K4906" t="s">
        <v>263</v>
      </c>
      <c r="L4906" t="s">
        <v>25104</v>
      </c>
      <c r="M4906">
        <v>306.7</v>
      </c>
      <c r="N4906" t="s">
        <v>25105</v>
      </c>
      <c r="O4906" t="s">
        <v>94</v>
      </c>
      <c r="P4906">
        <v>11.99</v>
      </c>
      <c r="Q4906">
        <v>14.99</v>
      </c>
      <c r="R4906">
        <v>11.99</v>
      </c>
      <c r="S4906">
        <v>17.989999999999998</v>
      </c>
      <c r="T4906" t="s">
        <v>25106</v>
      </c>
    </row>
    <row r="4907" spans="1:20">
      <c r="A4907">
        <v>3374980</v>
      </c>
      <c r="B4907" t="s">
        <v>25107</v>
      </c>
      <c r="C4907" t="str">
        <f>"9782895440352"</f>
        <v>9782895440352</v>
      </c>
      <c r="D4907" t="str">
        <f>"9782895442653"</f>
        <v>9782895442653</v>
      </c>
      <c r="E4907" t="s">
        <v>24608</v>
      </c>
      <c r="F4907" t="s">
        <v>24608</v>
      </c>
      <c r="G4907" s="1">
        <v>38047</v>
      </c>
      <c r="J4907" t="s">
        <v>25108</v>
      </c>
      <c r="K4907" t="s">
        <v>25109</v>
      </c>
      <c r="L4907" t="s">
        <v>25110</v>
      </c>
      <c r="M4907" t="s">
        <v>25111</v>
      </c>
      <c r="N4907" t="s">
        <v>25112</v>
      </c>
      <c r="O4907" t="s">
        <v>94</v>
      </c>
      <c r="P4907">
        <v>18.989999999999998</v>
      </c>
      <c r="Q4907">
        <v>23.74</v>
      </c>
      <c r="R4907">
        <v>18.989999999999998</v>
      </c>
      <c r="S4907">
        <v>28.49</v>
      </c>
      <c r="T4907" t="s">
        <v>25113</v>
      </c>
    </row>
    <row r="4908" spans="1:20">
      <c r="A4908">
        <v>3374981</v>
      </c>
      <c r="B4908" t="s">
        <v>25114</v>
      </c>
      <c r="C4908" t="str">
        <f>"9782895440048"</f>
        <v>9782895440048</v>
      </c>
      <c r="D4908" t="str">
        <f>"9782895442424"</f>
        <v>9782895442424</v>
      </c>
      <c r="E4908" t="s">
        <v>24608</v>
      </c>
      <c r="F4908" t="s">
        <v>24608</v>
      </c>
      <c r="G4908" s="1">
        <v>36617</v>
      </c>
      <c r="J4908" t="s">
        <v>25115</v>
      </c>
      <c r="K4908" t="s">
        <v>791</v>
      </c>
      <c r="L4908" t="s">
        <v>25116</v>
      </c>
      <c r="N4908" t="s">
        <v>25117</v>
      </c>
      <c r="O4908" t="s">
        <v>94</v>
      </c>
      <c r="P4908">
        <v>25.99</v>
      </c>
      <c r="Q4908">
        <v>32.49</v>
      </c>
      <c r="R4908">
        <v>25.99</v>
      </c>
      <c r="S4908">
        <v>38.99</v>
      </c>
      <c r="T4908" t="s">
        <v>25118</v>
      </c>
    </row>
    <row r="4909" spans="1:20">
      <c r="A4909">
        <v>3374982</v>
      </c>
      <c r="B4909" t="s">
        <v>25119</v>
      </c>
      <c r="C4909" t="str">
        <f>"9782895440147"</f>
        <v>9782895440147</v>
      </c>
      <c r="D4909" t="str">
        <f>"9782895442493"</f>
        <v>9782895442493</v>
      </c>
      <c r="E4909" t="s">
        <v>24608</v>
      </c>
      <c r="F4909" t="s">
        <v>24608</v>
      </c>
      <c r="G4909" s="1">
        <v>36951</v>
      </c>
      <c r="J4909" t="s">
        <v>25120</v>
      </c>
      <c r="K4909" t="s">
        <v>16769</v>
      </c>
      <c r="L4909" t="s">
        <v>25121</v>
      </c>
      <c r="N4909" t="s">
        <v>25122</v>
      </c>
      <c r="O4909" t="s">
        <v>94</v>
      </c>
      <c r="P4909">
        <v>29.99</v>
      </c>
      <c r="Q4909">
        <v>37.49</v>
      </c>
      <c r="R4909">
        <v>29.99</v>
      </c>
      <c r="S4909">
        <v>44.99</v>
      </c>
      <c r="T4909" t="s">
        <v>25123</v>
      </c>
    </row>
    <row r="4910" spans="1:20">
      <c r="A4910">
        <v>3374983</v>
      </c>
      <c r="B4910" t="s">
        <v>25124</v>
      </c>
      <c r="C4910" t="str">
        <f>"9782895440543"</f>
        <v>9782895440543</v>
      </c>
      <c r="D4910" t="str">
        <f>"9782895442820"</f>
        <v>9782895442820</v>
      </c>
      <c r="E4910" t="s">
        <v>24608</v>
      </c>
      <c r="F4910" t="s">
        <v>24608</v>
      </c>
      <c r="G4910" s="1">
        <v>38078</v>
      </c>
      <c r="J4910" t="s">
        <v>25125</v>
      </c>
      <c r="K4910" t="s">
        <v>1464</v>
      </c>
      <c r="L4910" t="s">
        <v>25126</v>
      </c>
      <c r="N4910" t="s">
        <v>25127</v>
      </c>
      <c r="O4910" t="s">
        <v>94</v>
      </c>
      <c r="P4910">
        <v>18.989999999999998</v>
      </c>
      <c r="Q4910">
        <v>23.74</v>
      </c>
      <c r="R4910">
        <v>18.989999999999998</v>
      </c>
      <c r="S4910">
        <v>28.49</v>
      </c>
      <c r="T4910" t="s">
        <v>25128</v>
      </c>
    </row>
    <row r="4911" spans="1:20">
      <c r="A4911">
        <v>3374984</v>
      </c>
      <c r="B4911" t="s">
        <v>25129</v>
      </c>
      <c r="C4911" t="str">
        <f>"9782921146784"</f>
        <v>9782921146784</v>
      </c>
      <c r="D4911" t="str">
        <f>"9782895442264"</f>
        <v>9782895442264</v>
      </c>
      <c r="E4911" t="s">
        <v>24608</v>
      </c>
      <c r="F4911" t="s">
        <v>24608</v>
      </c>
      <c r="G4911" s="1">
        <v>36251</v>
      </c>
      <c r="J4911" t="s">
        <v>25130</v>
      </c>
      <c r="K4911" t="s">
        <v>305</v>
      </c>
      <c r="L4911" t="s">
        <v>25131</v>
      </c>
      <c r="N4911" t="s">
        <v>25132</v>
      </c>
      <c r="O4911" t="s">
        <v>94</v>
      </c>
      <c r="P4911">
        <v>18.989999999999998</v>
      </c>
      <c r="Q4911">
        <v>23.74</v>
      </c>
      <c r="R4911">
        <v>18.989999999999998</v>
      </c>
      <c r="S4911">
        <v>28.49</v>
      </c>
      <c r="T4911" t="s">
        <v>25133</v>
      </c>
    </row>
    <row r="4912" spans="1:20">
      <c r="A4912">
        <v>3374985</v>
      </c>
      <c r="B4912" t="s">
        <v>25134</v>
      </c>
      <c r="C4912" t="str">
        <f>"9782895440628"</f>
        <v>9782895440628</v>
      </c>
      <c r="D4912" t="str">
        <f>"9782895442905"</f>
        <v>9782895442905</v>
      </c>
      <c r="E4912" t="s">
        <v>24608</v>
      </c>
      <c r="F4912" t="s">
        <v>24608</v>
      </c>
      <c r="G4912" s="1">
        <v>38292</v>
      </c>
      <c r="J4912" t="s">
        <v>25135</v>
      </c>
      <c r="K4912" t="s">
        <v>24615</v>
      </c>
      <c r="L4912" t="s">
        <v>25136</v>
      </c>
      <c r="M4912">
        <v>69.53</v>
      </c>
      <c r="N4912" t="s">
        <v>25137</v>
      </c>
      <c r="O4912" t="s">
        <v>26</v>
      </c>
      <c r="P4912">
        <v>18.989999999999998</v>
      </c>
      <c r="Q4912">
        <v>23.74</v>
      </c>
      <c r="R4912">
        <v>18.989999999999998</v>
      </c>
      <c r="S4912">
        <v>28.49</v>
      </c>
      <c r="T4912" t="s">
        <v>25138</v>
      </c>
    </row>
    <row r="4913" spans="1:20">
      <c r="A4913">
        <v>3374986</v>
      </c>
      <c r="B4913" t="s">
        <v>25139</v>
      </c>
      <c r="C4913" t="str">
        <f>"9782921146371"</f>
        <v>9782921146371</v>
      </c>
      <c r="D4913" t="str">
        <f>"9782895442035"</f>
        <v>9782895442035</v>
      </c>
      <c r="E4913" t="s">
        <v>24608</v>
      </c>
      <c r="F4913" t="s">
        <v>24608</v>
      </c>
      <c r="G4913" s="1">
        <v>35462</v>
      </c>
      <c r="J4913" t="s">
        <v>25140</v>
      </c>
      <c r="K4913" t="s">
        <v>2260</v>
      </c>
      <c r="L4913" t="s">
        <v>25141</v>
      </c>
      <c r="N4913" t="s">
        <v>25142</v>
      </c>
      <c r="O4913" t="s">
        <v>94</v>
      </c>
      <c r="P4913">
        <v>9.99</v>
      </c>
      <c r="Q4913">
        <v>12.49</v>
      </c>
      <c r="R4913">
        <v>9.99</v>
      </c>
      <c r="S4913">
        <v>14.99</v>
      </c>
      <c r="T4913" t="s">
        <v>25143</v>
      </c>
    </row>
    <row r="4914" spans="1:20">
      <c r="A4914">
        <v>3374987</v>
      </c>
      <c r="B4914" t="s">
        <v>25144</v>
      </c>
      <c r="C4914" t="str">
        <f>"9782895441304"</f>
        <v>9782895441304</v>
      </c>
      <c r="D4914" t="str">
        <f>"9782895443476"</f>
        <v>9782895443476</v>
      </c>
      <c r="E4914" t="s">
        <v>24608</v>
      </c>
      <c r="F4914" t="s">
        <v>24608</v>
      </c>
      <c r="G4914" s="1">
        <v>39753</v>
      </c>
      <c r="J4914" t="s">
        <v>24818</v>
      </c>
      <c r="K4914" t="s">
        <v>24834</v>
      </c>
      <c r="L4914" t="s">
        <v>25145</v>
      </c>
      <c r="N4914" t="s">
        <v>25146</v>
      </c>
      <c r="O4914" t="s">
        <v>94</v>
      </c>
      <c r="P4914">
        <v>21.99</v>
      </c>
      <c r="Q4914">
        <v>27.49</v>
      </c>
      <c r="R4914">
        <v>21.99</v>
      </c>
      <c r="S4914">
        <v>32.99</v>
      </c>
      <c r="T4914" t="s">
        <v>25147</v>
      </c>
    </row>
    <row r="4915" spans="1:20">
      <c r="A4915">
        <v>3374988</v>
      </c>
      <c r="B4915" t="s">
        <v>25148</v>
      </c>
      <c r="C4915" t="str">
        <f>"9782895441045"</f>
        <v>9782895441045</v>
      </c>
      <c r="D4915" t="str">
        <f>"9782895443247"</f>
        <v>9782895443247</v>
      </c>
      <c r="E4915" t="s">
        <v>24608</v>
      </c>
      <c r="F4915" t="s">
        <v>24608</v>
      </c>
      <c r="G4915" s="1">
        <v>39173</v>
      </c>
      <c r="J4915" t="s">
        <v>25149</v>
      </c>
      <c r="K4915" t="s">
        <v>2136</v>
      </c>
      <c r="L4915" t="s">
        <v>25150</v>
      </c>
      <c r="N4915" t="s">
        <v>25151</v>
      </c>
      <c r="O4915" t="s">
        <v>94</v>
      </c>
      <c r="P4915">
        <v>18.989999999999998</v>
      </c>
      <c r="Q4915">
        <v>23.74</v>
      </c>
      <c r="R4915">
        <v>18.989999999999998</v>
      </c>
      <c r="S4915">
        <v>28.49</v>
      </c>
      <c r="T4915" t="s">
        <v>25152</v>
      </c>
    </row>
    <row r="4916" spans="1:20">
      <c r="A4916">
        <v>3374989</v>
      </c>
      <c r="B4916" t="s">
        <v>25153</v>
      </c>
      <c r="C4916" t="str">
        <f>"9782895441731"</f>
        <v>9782895441731</v>
      </c>
      <c r="D4916" t="str">
        <f>"9782895443872"</f>
        <v>9782895443872</v>
      </c>
      <c r="E4916" t="s">
        <v>24608</v>
      </c>
      <c r="F4916" t="s">
        <v>24608</v>
      </c>
      <c r="G4916" s="1">
        <v>40483</v>
      </c>
      <c r="J4916" t="s">
        <v>24823</v>
      </c>
      <c r="K4916" t="s">
        <v>416</v>
      </c>
      <c r="L4916" t="s">
        <v>25154</v>
      </c>
      <c r="M4916" t="s">
        <v>25155</v>
      </c>
      <c r="N4916" t="s">
        <v>25156</v>
      </c>
      <c r="O4916" t="s">
        <v>94</v>
      </c>
      <c r="P4916">
        <v>18.989999999999998</v>
      </c>
      <c r="Q4916">
        <v>23.74</v>
      </c>
      <c r="R4916">
        <v>18.989999999999998</v>
      </c>
      <c r="S4916">
        <v>28.49</v>
      </c>
      <c r="T4916" t="s">
        <v>25157</v>
      </c>
    </row>
    <row r="4917" spans="1:20">
      <c r="A4917">
        <v>3374990</v>
      </c>
      <c r="B4917" t="s">
        <v>25158</v>
      </c>
      <c r="C4917" t="str">
        <f>"9782921146715"</f>
        <v>9782921146715</v>
      </c>
      <c r="D4917" t="str">
        <f>"9782895442202"</f>
        <v>9782895442202</v>
      </c>
      <c r="E4917" t="s">
        <v>24608</v>
      </c>
      <c r="F4917" t="s">
        <v>24608</v>
      </c>
      <c r="G4917" s="1">
        <v>35886</v>
      </c>
      <c r="J4917" t="s">
        <v>25140</v>
      </c>
      <c r="K4917" t="s">
        <v>2260</v>
      </c>
      <c r="L4917" t="s">
        <v>25159</v>
      </c>
      <c r="M4917">
        <v>617.1</v>
      </c>
      <c r="N4917" t="s">
        <v>25160</v>
      </c>
      <c r="O4917" t="s">
        <v>26</v>
      </c>
      <c r="P4917">
        <v>9.99</v>
      </c>
      <c r="Q4917">
        <v>12.49</v>
      </c>
      <c r="R4917">
        <v>9.99</v>
      </c>
      <c r="S4917">
        <v>14.99</v>
      </c>
      <c r="T4917" t="s">
        <v>25161</v>
      </c>
    </row>
    <row r="4918" spans="1:20">
      <c r="A4918">
        <v>3374991</v>
      </c>
      <c r="B4918" t="s">
        <v>25162</v>
      </c>
      <c r="C4918" t="str">
        <f>"9782895441625"</f>
        <v>9782895441625</v>
      </c>
      <c r="D4918" t="str">
        <f>"9782895443728"</f>
        <v>9782895443728</v>
      </c>
      <c r="E4918" t="s">
        <v>24608</v>
      </c>
      <c r="F4918" t="s">
        <v>24608</v>
      </c>
      <c r="G4918" s="1">
        <v>40087</v>
      </c>
      <c r="J4918" t="s">
        <v>25163</v>
      </c>
      <c r="K4918" t="s">
        <v>25164</v>
      </c>
      <c r="L4918" t="s">
        <v>25165</v>
      </c>
      <c r="M4918" t="s">
        <v>25166</v>
      </c>
      <c r="N4918" t="s">
        <v>25167</v>
      </c>
      <c r="O4918" t="s">
        <v>94</v>
      </c>
      <c r="P4918">
        <v>18.989999999999998</v>
      </c>
      <c r="Q4918">
        <v>23.74</v>
      </c>
      <c r="R4918">
        <v>18.989999999999998</v>
      </c>
      <c r="S4918">
        <v>28.49</v>
      </c>
      <c r="T4918" t="s">
        <v>25168</v>
      </c>
    </row>
    <row r="4919" spans="1:20">
      <c r="A4919">
        <v>3374992</v>
      </c>
      <c r="B4919" t="s">
        <v>25169</v>
      </c>
      <c r="C4919" t="str">
        <f>"9782895441540"</f>
        <v>9782895441540</v>
      </c>
      <c r="D4919" t="str">
        <f>"9782895443643"</f>
        <v>9782895443643</v>
      </c>
      <c r="E4919" t="s">
        <v>24608</v>
      </c>
      <c r="F4919" t="s">
        <v>24608</v>
      </c>
      <c r="G4919" s="1">
        <v>39873</v>
      </c>
      <c r="J4919" t="s">
        <v>25170</v>
      </c>
      <c r="K4919" t="s">
        <v>25171</v>
      </c>
      <c r="L4919" t="s">
        <v>25172</v>
      </c>
      <c r="M4919" t="s">
        <v>25173</v>
      </c>
      <c r="N4919" t="s">
        <v>25174</v>
      </c>
      <c r="O4919" t="s">
        <v>26</v>
      </c>
      <c r="P4919">
        <v>18.989999999999998</v>
      </c>
      <c r="Q4919">
        <v>23.74</v>
      </c>
      <c r="R4919">
        <v>18.989999999999998</v>
      </c>
      <c r="S4919">
        <v>28.49</v>
      </c>
      <c r="T4919" t="s">
        <v>25175</v>
      </c>
    </row>
    <row r="4920" spans="1:20">
      <c r="A4920">
        <v>3374993</v>
      </c>
      <c r="B4920" t="s">
        <v>25176</v>
      </c>
      <c r="C4920" t="str">
        <f>"9782895440871"</f>
        <v>9782895440871</v>
      </c>
      <c r="D4920" t="str">
        <f>"9782895443087"</f>
        <v>9782895443087</v>
      </c>
      <c r="E4920" t="s">
        <v>24608</v>
      </c>
      <c r="F4920" t="s">
        <v>24608</v>
      </c>
      <c r="G4920" s="1">
        <v>38749</v>
      </c>
      <c r="J4920" t="s">
        <v>25177</v>
      </c>
      <c r="K4920" t="s">
        <v>3230</v>
      </c>
      <c r="L4920" t="s">
        <v>25178</v>
      </c>
      <c r="N4920" t="s">
        <v>25179</v>
      </c>
      <c r="O4920" t="s">
        <v>94</v>
      </c>
      <c r="P4920">
        <v>25.99</v>
      </c>
      <c r="Q4920">
        <v>32.49</v>
      </c>
      <c r="R4920">
        <v>25.99</v>
      </c>
      <c r="S4920">
        <v>38.99</v>
      </c>
      <c r="T4920" t="s">
        <v>25180</v>
      </c>
    </row>
    <row r="4921" spans="1:20">
      <c r="A4921">
        <v>3374994</v>
      </c>
      <c r="B4921" t="s">
        <v>25181</v>
      </c>
      <c r="C4921" t="str">
        <f>"9782895441236"</f>
        <v>9782895441236</v>
      </c>
      <c r="D4921" t="str">
        <f>"9782895443414"</f>
        <v>9782895443414</v>
      </c>
      <c r="E4921" t="s">
        <v>24608</v>
      </c>
      <c r="F4921" t="s">
        <v>24608</v>
      </c>
      <c r="G4921" s="1">
        <v>39814</v>
      </c>
      <c r="J4921" t="s">
        <v>24720</v>
      </c>
      <c r="K4921" t="s">
        <v>12038</v>
      </c>
      <c r="L4921" t="s">
        <v>25182</v>
      </c>
      <c r="N4921" t="s">
        <v>25183</v>
      </c>
      <c r="O4921" t="s">
        <v>94</v>
      </c>
      <c r="P4921">
        <v>21.99</v>
      </c>
      <c r="Q4921">
        <v>27.49</v>
      </c>
      <c r="R4921">
        <v>21.99</v>
      </c>
      <c r="S4921">
        <v>32.99</v>
      </c>
      <c r="T4921" t="s">
        <v>25184</v>
      </c>
    </row>
    <row r="4922" spans="1:20">
      <c r="A4922">
        <v>3374995</v>
      </c>
      <c r="B4922" t="s">
        <v>25185</v>
      </c>
      <c r="C4922" t="str">
        <f>"9782895441786"</f>
        <v>9782895441786</v>
      </c>
      <c r="D4922" t="str">
        <f>"9782895444299"</f>
        <v>9782895444299</v>
      </c>
      <c r="E4922" t="s">
        <v>24608</v>
      </c>
      <c r="F4922" t="s">
        <v>24608</v>
      </c>
      <c r="G4922" s="1">
        <v>40422</v>
      </c>
      <c r="J4922" t="s">
        <v>25186</v>
      </c>
      <c r="K4922" t="s">
        <v>263</v>
      </c>
      <c r="L4922" t="s">
        <v>25187</v>
      </c>
      <c r="N4922" t="s">
        <v>25188</v>
      </c>
      <c r="O4922" t="s">
        <v>94</v>
      </c>
      <c r="P4922">
        <v>29.99</v>
      </c>
      <c r="Q4922">
        <v>37.49</v>
      </c>
      <c r="R4922">
        <v>29.99</v>
      </c>
      <c r="S4922">
        <v>44.99</v>
      </c>
      <c r="T4922" t="s">
        <v>25189</v>
      </c>
    </row>
    <row r="4923" spans="1:20">
      <c r="A4923">
        <v>3374996</v>
      </c>
      <c r="B4923" t="s">
        <v>25190</v>
      </c>
      <c r="C4923" t="str">
        <f>"9782895441489"</f>
        <v>9782895441489</v>
      </c>
      <c r="D4923" t="str">
        <f>"9782895443810"</f>
        <v>9782895443810</v>
      </c>
      <c r="E4923" t="s">
        <v>24608</v>
      </c>
      <c r="F4923" t="s">
        <v>24608</v>
      </c>
      <c r="G4923" s="1">
        <v>40391</v>
      </c>
      <c r="J4923" t="s">
        <v>25191</v>
      </c>
      <c r="K4923" t="s">
        <v>291</v>
      </c>
      <c r="L4923" t="s">
        <v>25192</v>
      </c>
      <c r="N4923" t="s">
        <v>25193</v>
      </c>
      <c r="O4923" t="s">
        <v>94</v>
      </c>
      <c r="P4923">
        <v>18.989999999999998</v>
      </c>
      <c r="Q4923">
        <v>23.74</v>
      </c>
      <c r="R4923">
        <v>18.989999999999998</v>
      </c>
      <c r="S4923">
        <v>28.49</v>
      </c>
      <c r="T4923" t="s">
        <v>25194</v>
      </c>
    </row>
    <row r="4924" spans="1:20">
      <c r="A4924">
        <v>3374997</v>
      </c>
      <c r="B4924" t="s">
        <v>25195</v>
      </c>
      <c r="C4924" t="str">
        <f>"9782895443025"</f>
        <v>9782895443025</v>
      </c>
      <c r="D4924" t="str">
        <f>"9782895444466"</f>
        <v>9782895444466</v>
      </c>
      <c r="E4924" t="s">
        <v>24608</v>
      </c>
      <c r="F4924" t="s">
        <v>24608</v>
      </c>
      <c r="G4924" s="1">
        <v>38504</v>
      </c>
      <c r="J4924" t="s">
        <v>25196</v>
      </c>
      <c r="K4924" t="s">
        <v>2260</v>
      </c>
      <c r="L4924" t="s">
        <v>25197</v>
      </c>
      <c r="N4924" t="s">
        <v>25198</v>
      </c>
      <c r="O4924" t="s">
        <v>94</v>
      </c>
      <c r="P4924">
        <v>25.99</v>
      </c>
      <c r="Q4924">
        <v>32.49</v>
      </c>
      <c r="R4924">
        <v>25.99</v>
      </c>
      <c r="S4924">
        <v>38.99</v>
      </c>
      <c r="T4924" t="s">
        <v>25199</v>
      </c>
    </row>
    <row r="4925" spans="1:20">
      <c r="A4925">
        <v>3374998</v>
      </c>
      <c r="B4925" t="s">
        <v>25200</v>
      </c>
      <c r="C4925" t="str">
        <f>"9782895441885"</f>
        <v>9782895441885</v>
      </c>
      <c r="D4925" t="str">
        <f>"9782895444404"</f>
        <v>9782895444404</v>
      </c>
      <c r="E4925" t="s">
        <v>24608</v>
      </c>
      <c r="F4925" t="s">
        <v>24608</v>
      </c>
      <c r="G4925" s="1">
        <v>40817</v>
      </c>
      <c r="J4925" t="s">
        <v>24793</v>
      </c>
      <c r="K4925" t="s">
        <v>291</v>
      </c>
      <c r="L4925" t="s">
        <v>25201</v>
      </c>
      <c r="N4925" t="s">
        <v>25202</v>
      </c>
      <c r="O4925" t="s">
        <v>94</v>
      </c>
      <c r="P4925">
        <v>29.99</v>
      </c>
      <c r="Q4925">
        <v>37.49</v>
      </c>
      <c r="R4925">
        <v>29.99</v>
      </c>
      <c r="S4925">
        <v>44.99</v>
      </c>
      <c r="T4925" t="s">
        <v>25203</v>
      </c>
    </row>
    <row r="4926" spans="1:20">
      <c r="A4926">
        <v>3374999</v>
      </c>
      <c r="B4926" t="s">
        <v>25204</v>
      </c>
      <c r="C4926" t="str">
        <f>"9782895440277"</f>
        <v>9782895440277</v>
      </c>
      <c r="D4926" t="str">
        <f>"9782895442578"</f>
        <v>9782895442578</v>
      </c>
      <c r="E4926" t="s">
        <v>24608</v>
      </c>
      <c r="F4926" t="s">
        <v>24608</v>
      </c>
      <c r="G4926" s="1">
        <v>37377</v>
      </c>
      <c r="J4926" t="s">
        <v>24856</v>
      </c>
      <c r="K4926" t="s">
        <v>263</v>
      </c>
      <c r="L4926" t="s">
        <v>25205</v>
      </c>
      <c r="N4926" t="s">
        <v>25206</v>
      </c>
      <c r="O4926" t="s">
        <v>94</v>
      </c>
      <c r="P4926">
        <v>21.99</v>
      </c>
      <c r="Q4926">
        <v>27.49</v>
      </c>
      <c r="R4926">
        <v>21.99</v>
      </c>
      <c r="S4926">
        <v>32.99</v>
      </c>
      <c r="T4926" t="s">
        <v>25207</v>
      </c>
    </row>
    <row r="4927" spans="1:20">
      <c r="A4927">
        <v>3375000</v>
      </c>
      <c r="B4927" t="s">
        <v>25208</v>
      </c>
      <c r="C4927" t="str">
        <f>"9782921146906"</f>
        <v>9782921146906</v>
      </c>
      <c r="D4927" t="str">
        <f>"9782895442349"</f>
        <v>9782895442349</v>
      </c>
      <c r="E4927" t="s">
        <v>24608</v>
      </c>
      <c r="F4927" t="s">
        <v>24608</v>
      </c>
      <c r="G4927" s="1">
        <v>36373</v>
      </c>
      <c r="J4927" t="s">
        <v>25209</v>
      </c>
      <c r="K4927" t="s">
        <v>291</v>
      </c>
      <c r="L4927" t="s">
        <v>25210</v>
      </c>
      <c r="M4927" t="s">
        <v>25211</v>
      </c>
      <c r="N4927" t="s">
        <v>25212</v>
      </c>
      <c r="O4927" t="s">
        <v>94</v>
      </c>
      <c r="P4927">
        <v>25.99</v>
      </c>
      <c r="Q4927">
        <v>32.49</v>
      </c>
      <c r="R4927">
        <v>25.99</v>
      </c>
      <c r="S4927">
        <v>38.99</v>
      </c>
      <c r="T4927" t="s">
        <v>25213</v>
      </c>
    </row>
    <row r="4928" spans="1:20">
      <c r="A4928">
        <v>3375001</v>
      </c>
      <c r="B4928" t="s">
        <v>25214</v>
      </c>
      <c r="C4928" t="str">
        <f>"9782895440710"</f>
        <v>9782895440710</v>
      </c>
      <c r="D4928" t="str">
        <f>"9782895442974"</f>
        <v>9782895442974</v>
      </c>
      <c r="E4928" t="s">
        <v>24608</v>
      </c>
      <c r="F4928" t="s">
        <v>24608</v>
      </c>
      <c r="G4928" s="1">
        <v>38412</v>
      </c>
      <c r="J4928" t="s">
        <v>25215</v>
      </c>
      <c r="K4928" t="s">
        <v>12038</v>
      </c>
      <c r="L4928" t="s">
        <v>25216</v>
      </c>
      <c r="N4928" t="s">
        <v>25217</v>
      </c>
      <c r="O4928" t="s">
        <v>94</v>
      </c>
      <c r="P4928">
        <v>21.99</v>
      </c>
      <c r="Q4928">
        <v>27.49</v>
      </c>
      <c r="R4928">
        <v>21.99</v>
      </c>
      <c r="S4928">
        <v>32.99</v>
      </c>
      <c r="T4928" t="s">
        <v>25218</v>
      </c>
    </row>
    <row r="4929" spans="1:20">
      <c r="A4929">
        <v>3375002</v>
      </c>
      <c r="B4929" t="s">
        <v>25219</v>
      </c>
      <c r="C4929" t="str">
        <f>"9782895440376"</f>
        <v>9782895440376</v>
      </c>
      <c r="D4929" t="str">
        <f>"9782895442660"</f>
        <v>9782895442660</v>
      </c>
      <c r="E4929" t="s">
        <v>24608</v>
      </c>
      <c r="F4929" t="s">
        <v>24608</v>
      </c>
      <c r="G4929" s="1">
        <v>37681</v>
      </c>
      <c r="J4929" t="s">
        <v>24949</v>
      </c>
      <c r="K4929" t="s">
        <v>57</v>
      </c>
      <c r="L4929" t="s">
        <v>25220</v>
      </c>
      <c r="N4929" t="s">
        <v>25221</v>
      </c>
      <c r="O4929" t="s">
        <v>94</v>
      </c>
      <c r="P4929">
        <v>18.989999999999998</v>
      </c>
      <c r="Q4929">
        <v>23.74</v>
      </c>
      <c r="R4929">
        <v>18.989999999999998</v>
      </c>
      <c r="S4929">
        <v>28.49</v>
      </c>
      <c r="T4929" t="s">
        <v>25222</v>
      </c>
    </row>
    <row r="4930" spans="1:20">
      <c r="A4930">
        <v>3375003</v>
      </c>
      <c r="B4930" t="s">
        <v>25223</v>
      </c>
      <c r="C4930" t="str">
        <f>"9782895440468"</f>
        <v>9782895440468</v>
      </c>
      <c r="D4930" t="str">
        <f>"9782895442745"</f>
        <v>9782895442745</v>
      </c>
      <c r="E4930" t="s">
        <v>24608</v>
      </c>
      <c r="F4930" t="s">
        <v>24608</v>
      </c>
      <c r="G4930" s="1">
        <v>37865</v>
      </c>
      <c r="J4930" t="s">
        <v>25103</v>
      </c>
      <c r="K4930" t="s">
        <v>15517</v>
      </c>
      <c r="L4930" t="s">
        <v>25224</v>
      </c>
      <c r="M4930" t="s">
        <v>25225</v>
      </c>
      <c r="N4930" t="s">
        <v>25226</v>
      </c>
      <c r="O4930" t="s">
        <v>94</v>
      </c>
      <c r="P4930">
        <v>11.99</v>
      </c>
      <c r="Q4930">
        <v>14.99</v>
      </c>
      <c r="R4930">
        <v>11.99</v>
      </c>
      <c r="S4930">
        <v>17.989999999999998</v>
      </c>
      <c r="T4930" t="s">
        <v>25227</v>
      </c>
    </row>
    <row r="4931" spans="1:20">
      <c r="A4931">
        <v>3375004</v>
      </c>
      <c r="B4931" t="s">
        <v>25228</v>
      </c>
      <c r="C4931" t="str">
        <f>"9782895440178"</f>
        <v>9782895440178</v>
      </c>
      <c r="D4931" t="str">
        <f>"9782895442516"</f>
        <v>9782895442516</v>
      </c>
      <c r="E4931" t="s">
        <v>24608</v>
      </c>
      <c r="F4931" t="s">
        <v>24608</v>
      </c>
      <c r="G4931" s="1">
        <v>36951</v>
      </c>
      <c r="J4931" t="s">
        <v>25229</v>
      </c>
      <c r="K4931" t="s">
        <v>330</v>
      </c>
      <c r="L4931" t="s">
        <v>25230</v>
      </c>
      <c r="N4931" t="s">
        <v>25231</v>
      </c>
      <c r="O4931" t="s">
        <v>94</v>
      </c>
      <c r="P4931">
        <v>10.99</v>
      </c>
      <c r="Q4931">
        <v>13.74</v>
      </c>
      <c r="R4931">
        <v>10.99</v>
      </c>
      <c r="S4931">
        <v>16.489999999999998</v>
      </c>
      <c r="T4931" t="s">
        <v>25232</v>
      </c>
    </row>
    <row r="4932" spans="1:20">
      <c r="A4932">
        <v>3375005</v>
      </c>
      <c r="B4932" t="s">
        <v>25233</v>
      </c>
      <c r="C4932" t="str">
        <f>"9782895440055"</f>
        <v>9782895440055</v>
      </c>
      <c r="D4932" t="str">
        <f>"9782895442431"</f>
        <v>9782895442431</v>
      </c>
      <c r="E4932" t="s">
        <v>24608</v>
      </c>
      <c r="F4932" t="s">
        <v>24608</v>
      </c>
      <c r="G4932" s="1">
        <v>36739</v>
      </c>
      <c r="J4932" t="s">
        <v>25234</v>
      </c>
      <c r="K4932" t="s">
        <v>263</v>
      </c>
      <c r="L4932" t="s">
        <v>25235</v>
      </c>
      <c r="N4932" t="s">
        <v>25236</v>
      </c>
      <c r="O4932" t="s">
        <v>94</v>
      </c>
      <c r="P4932">
        <v>29.99</v>
      </c>
      <c r="Q4932">
        <v>37.49</v>
      </c>
      <c r="R4932">
        <v>29.99</v>
      </c>
      <c r="S4932">
        <v>44.99</v>
      </c>
      <c r="T4932" t="s">
        <v>25237</v>
      </c>
    </row>
    <row r="4933" spans="1:20">
      <c r="A4933">
        <v>3375006</v>
      </c>
      <c r="B4933" t="s">
        <v>25238</v>
      </c>
      <c r="C4933" t="str">
        <f>"9782921146791"</f>
        <v>9782921146791</v>
      </c>
      <c r="D4933" t="str">
        <f>"9782895442271"</f>
        <v>9782895442271</v>
      </c>
      <c r="E4933" t="s">
        <v>24608</v>
      </c>
      <c r="F4933" t="s">
        <v>24608</v>
      </c>
      <c r="G4933" s="1">
        <v>36220</v>
      </c>
      <c r="J4933" t="s">
        <v>25239</v>
      </c>
      <c r="K4933" t="s">
        <v>25240</v>
      </c>
      <c r="L4933" t="s">
        <v>25241</v>
      </c>
      <c r="N4933" t="s">
        <v>25242</v>
      </c>
      <c r="O4933" t="s">
        <v>94</v>
      </c>
      <c r="P4933">
        <v>18.989999999999998</v>
      </c>
      <c r="Q4933">
        <v>23.74</v>
      </c>
      <c r="R4933">
        <v>18.989999999999998</v>
      </c>
      <c r="S4933">
        <v>28.49</v>
      </c>
      <c r="T4933" t="s">
        <v>25243</v>
      </c>
    </row>
    <row r="4934" spans="1:20">
      <c r="A4934">
        <v>3375007</v>
      </c>
      <c r="B4934" t="s">
        <v>25244</v>
      </c>
      <c r="C4934" t="str">
        <f>"9782921146388"</f>
        <v>9782921146388</v>
      </c>
      <c r="D4934" t="str">
        <f>"9782895442042"</f>
        <v>9782895442042</v>
      </c>
      <c r="E4934" t="s">
        <v>24608</v>
      </c>
      <c r="F4934" t="s">
        <v>24608</v>
      </c>
      <c r="G4934" s="1">
        <v>35462</v>
      </c>
      <c r="J4934" t="s">
        <v>25140</v>
      </c>
      <c r="K4934" t="s">
        <v>2260</v>
      </c>
      <c r="L4934" t="s">
        <v>25245</v>
      </c>
      <c r="N4934" t="s">
        <v>25246</v>
      </c>
      <c r="O4934" t="s">
        <v>94</v>
      </c>
      <c r="P4934">
        <v>9.99</v>
      </c>
      <c r="Q4934">
        <v>12.49</v>
      </c>
      <c r="R4934">
        <v>9.99</v>
      </c>
      <c r="S4934">
        <v>14.99</v>
      </c>
      <c r="T4934" t="s">
        <v>25247</v>
      </c>
    </row>
    <row r="4935" spans="1:20">
      <c r="A4935">
        <v>3375008</v>
      </c>
      <c r="B4935" t="s">
        <v>25248</v>
      </c>
      <c r="C4935" t="str">
        <f>"9782895441410"</f>
        <v>9782895441410</v>
      </c>
      <c r="D4935" t="str">
        <f>"9782895443568"</f>
        <v>9782895443568</v>
      </c>
      <c r="E4935" t="s">
        <v>24608</v>
      </c>
      <c r="F4935" t="s">
        <v>24608</v>
      </c>
      <c r="G4935" s="1">
        <v>40118</v>
      </c>
      <c r="J4935" t="s">
        <v>25249</v>
      </c>
      <c r="K4935" t="s">
        <v>263</v>
      </c>
      <c r="L4935" t="s">
        <v>25250</v>
      </c>
      <c r="M4935">
        <v>307.7209714</v>
      </c>
      <c r="N4935" t="s">
        <v>25251</v>
      </c>
      <c r="O4935" t="s">
        <v>94</v>
      </c>
      <c r="P4935">
        <v>20.99</v>
      </c>
      <c r="Q4935">
        <v>26.24</v>
      </c>
      <c r="R4935">
        <v>20.99</v>
      </c>
      <c r="S4935">
        <v>31.49</v>
      </c>
      <c r="T4935" t="s">
        <v>25252</v>
      </c>
    </row>
    <row r="4936" spans="1:20">
      <c r="A4936">
        <v>3375009</v>
      </c>
      <c r="B4936" t="s">
        <v>25253</v>
      </c>
      <c r="C4936" t="str">
        <f>"9782895441311"</f>
        <v>9782895441311</v>
      </c>
      <c r="D4936" t="str">
        <f>"9782895443483"</f>
        <v>9782895443483</v>
      </c>
      <c r="E4936" t="s">
        <v>24608</v>
      </c>
      <c r="F4936" t="s">
        <v>24608</v>
      </c>
      <c r="G4936" s="1">
        <v>39722</v>
      </c>
      <c r="J4936" t="s">
        <v>25254</v>
      </c>
      <c r="K4936" t="s">
        <v>2260</v>
      </c>
      <c r="L4936" t="s">
        <v>25255</v>
      </c>
      <c r="N4936" t="s">
        <v>25256</v>
      </c>
      <c r="O4936" t="s">
        <v>94</v>
      </c>
      <c r="P4936">
        <v>20.99</v>
      </c>
      <c r="Q4936">
        <v>26.24</v>
      </c>
      <c r="R4936">
        <v>20.99</v>
      </c>
      <c r="S4936">
        <v>31.49</v>
      </c>
      <c r="T4936" t="s">
        <v>25257</v>
      </c>
    </row>
    <row r="4937" spans="1:20">
      <c r="A4937">
        <v>3375010</v>
      </c>
      <c r="B4937" t="s">
        <v>25258</v>
      </c>
      <c r="C4937" t="str">
        <f>"9782895441144"</f>
        <v>9782895441144</v>
      </c>
      <c r="D4937" t="str">
        <f>"9782895443339"</f>
        <v>9782895443339</v>
      </c>
      <c r="E4937" t="s">
        <v>24608</v>
      </c>
      <c r="F4937" t="s">
        <v>24608</v>
      </c>
      <c r="G4937" s="1">
        <v>39448</v>
      </c>
      <c r="J4937" t="s">
        <v>24842</v>
      </c>
      <c r="K4937" t="s">
        <v>12038</v>
      </c>
      <c r="L4937" t="s">
        <v>25259</v>
      </c>
      <c r="N4937" t="s">
        <v>24738</v>
      </c>
      <c r="O4937" t="s">
        <v>94</v>
      </c>
      <c r="P4937">
        <v>29.99</v>
      </c>
      <c r="Q4937">
        <v>37.49</v>
      </c>
      <c r="R4937">
        <v>29.99</v>
      </c>
      <c r="S4937">
        <v>44.99</v>
      </c>
      <c r="T4937" t="s">
        <v>25260</v>
      </c>
    </row>
    <row r="4938" spans="1:20">
      <c r="A4938">
        <v>3375011</v>
      </c>
      <c r="B4938" t="s">
        <v>25261</v>
      </c>
      <c r="C4938" t="str">
        <f>"9782895441069"</f>
        <v>9782895441069</v>
      </c>
      <c r="D4938" t="str">
        <f>"9782895443254"</f>
        <v>9782895443254</v>
      </c>
      <c r="E4938" t="s">
        <v>24608</v>
      </c>
      <c r="F4938" t="s">
        <v>24608</v>
      </c>
      <c r="G4938" s="1">
        <v>39173</v>
      </c>
      <c r="J4938" t="s">
        <v>24813</v>
      </c>
      <c r="K4938" t="s">
        <v>76</v>
      </c>
      <c r="L4938" t="s">
        <v>25262</v>
      </c>
      <c r="N4938" t="s">
        <v>25263</v>
      </c>
      <c r="O4938" t="s">
        <v>94</v>
      </c>
      <c r="P4938">
        <v>18.989999999999998</v>
      </c>
      <c r="Q4938">
        <v>23.74</v>
      </c>
      <c r="R4938">
        <v>18.989999999999998</v>
      </c>
      <c r="S4938">
        <v>28.49</v>
      </c>
      <c r="T4938" t="s">
        <v>25264</v>
      </c>
    </row>
    <row r="4939" spans="1:20">
      <c r="A4939">
        <v>3375012</v>
      </c>
      <c r="B4939" t="s">
        <v>25265</v>
      </c>
      <c r="C4939" t="str">
        <f>"9782895441632"</f>
        <v>9782895441632</v>
      </c>
      <c r="D4939" t="str">
        <f>"9782895443735"</f>
        <v>9782895443735</v>
      </c>
      <c r="E4939" t="s">
        <v>24608</v>
      </c>
      <c r="F4939" t="s">
        <v>24608</v>
      </c>
      <c r="G4939" s="1">
        <v>40238</v>
      </c>
      <c r="J4939" t="s">
        <v>25266</v>
      </c>
      <c r="K4939" t="s">
        <v>305</v>
      </c>
      <c r="L4939" t="s">
        <v>25267</v>
      </c>
      <c r="N4939" t="s">
        <v>25268</v>
      </c>
      <c r="O4939" t="s">
        <v>94</v>
      </c>
      <c r="P4939">
        <v>18.989999999999998</v>
      </c>
      <c r="Q4939">
        <v>23.74</v>
      </c>
      <c r="R4939">
        <v>18.989999999999998</v>
      </c>
      <c r="S4939">
        <v>28.49</v>
      </c>
      <c r="T4939" t="s">
        <v>25269</v>
      </c>
    </row>
    <row r="4940" spans="1:20">
      <c r="A4940">
        <v>3375013</v>
      </c>
      <c r="B4940" t="s">
        <v>25270</v>
      </c>
      <c r="C4940" t="str">
        <f>"9782895441557"</f>
        <v>9782895441557</v>
      </c>
      <c r="D4940" t="str">
        <f>"9782895443650"</f>
        <v>9782895443650</v>
      </c>
      <c r="E4940" t="s">
        <v>24608</v>
      </c>
      <c r="F4940" t="s">
        <v>24608</v>
      </c>
      <c r="G4940" s="1">
        <v>40087</v>
      </c>
      <c r="J4940" t="s">
        <v>24803</v>
      </c>
      <c r="K4940" t="s">
        <v>11256</v>
      </c>
      <c r="L4940" t="s">
        <v>25271</v>
      </c>
      <c r="N4940" t="s">
        <v>25272</v>
      </c>
      <c r="O4940" t="s">
        <v>94</v>
      </c>
      <c r="P4940">
        <v>21.99</v>
      </c>
      <c r="Q4940">
        <v>27.49</v>
      </c>
      <c r="R4940">
        <v>21.99</v>
      </c>
      <c r="S4940">
        <v>32.99</v>
      </c>
      <c r="T4940" t="s">
        <v>25273</v>
      </c>
    </row>
    <row r="4941" spans="1:20">
      <c r="A4941">
        <v>3375014</v>
      </c>
      <c r="B4941" t="s">
        <v>25274</v>
      </c>
      <c r="C4941" t="str">
        <f>"9782895440888"</f>
        <v>9782895440888</v>
      </c>
      <c r="D4941" t="str">
        <f>"9782895443094"</f>
        <v>9782895443094</v>
      </c>
      <c r="E4941" t="s">
        <v>24608</v>
      </c>
      <c r="F4941" t="s">
        <v>24608</v>
      </c>
      <c r="G4941" s="1">
        <v>38777</v>
      </c>
      <c r="J4941" t="s">
        <v>25275</v>
      </c>
      <c r="K4941" t="s">
        <v>1464</v>
      </c>
      <c r="L4941" t="s">
        <v>25276</v>
      </c>
      <c r="N4941" t="s">
        <v>25277</v>
      </c>
      <c r="O4941" t="s">
        <v>94</v>
      </c>
      <c r="P4941">
        <v>21.99</v>
      </c>
      <c r="Q4941">
        <v>27.49</v>
      </c>
      <c r="R4941">
        <v>21.99</v>
      </c>
      <c r="S4941">
        <v>32.99</v>
      </c>
      <c r="T4941" t="s">
        <v>25278</v>
      </c>
    </row>
    <row r="4942" spans="1:20">
      <c r="A4942">
        <v>3375015</v>
      </c>
      <c r="B4942" t="s">
        <v>25279</v>
      </c>
      <c r="C4942" t="str">
        <f>"9782895441335"</f>
        <v>9782895441335</v>
      </c>
      <c r="D4942" t="str">
        <f>"9782895443506"</f>
        <v>9782895443506</v>
      </c>
      <c r="E4942" t="s">
        <v>24608</v>
      </c>
      <c r="F4942" t="s">
        <v>24608</v>
      </c>
      <c r="G4942" s="1">
        <v>39722</v>
      </c>
      <c r="J4942" t="s">
        <v>25280</v>
      </c>
      <c r="K4942" t="s">
        <v>1127</v>
      </c>
      <c r="L4942" t="s">
        <v>25281</v>
      </c>
      <c r="N4942" t="s">
        <v>25282</v>
      </c>
      <c r="O4942" t="s">
        <v>94</v>
      </c>
      <c r="P4942">
        <v>40.99</v>
      </c>
      <c r="Q4942">
        <v>51.24</v>
      </c>
      <c r="R4942">
        <v>40.99</v>
      </c>
      <c r="S4942">
        <v>61.49</v>
      </c>
      <c r="T4942" t="s">
        <v>25283</v>
      </c>
    </row>
    <row r="4943" spans="1:20">
      <c r="A4943">
        <v>3375016</v>
      </c>
      <c r="B4943" t="s">
        <v>25284</v>
      </c>
      <c r="C4943" t="str">
        <f>"9782895441243"</f>
        <v>9782895441243</v>
      </c>
      <c r="D4943" t="str">
        <f>"9782895443421"</f>
        <v>9782895443421</v>
      </c>
      <c r="E4943" t="s">
        <v>24608</v>
      </c>
      <c r="F4943" t="s">
        <v>24608</v>
      </c>
      <c r="G4943" s="1">
        <v>39539</v>
      </c>
      <c r="J4943" t="s">
        <v>25170</v>
      </c>
      <c r="K4943" t="s">
        <v>110</v>
      </c>
      <c r="L4943" t="s">
        <v>25285</v>
      </c>
      <c r="N4943" t="s">
        <v>25286</v>
      </c>
      <c r="O4943" t="s">
        <v>94</v>
      </c>
      <c r="P4943">
        <v>18.989999999999998</v>
      </c>
      <c r="Q4943">
        <v>23.74</v>
      </c>
      <c r="R4943">
        <v>18.989999999999998</v>
      </c>
      <c r="S4943">
        <v>28.49</v>
      </c>
      <c r="T4943" t="s">
        <v>25287</v>
      </c>
    </row>
    <row r="4944" spans="1:20">
      <c r="A4944">
        <v>3375017</v>
      </c>
      <c r="B4944" t="s">
        <v>25288</v>
      </c>
      <c r="C4944" t="str">
        <f>"9782895441076"</f>
        <v>9782895441076</v>
      </c>
      <c r="D4944" t="str">
        <f>"9782895443261"</f>
        <v>9782895443261</v>
      </c>
      <c r="E4944" t="s">
        <v>24608</v>
      </c>
      <c r="F4944" t="s">
        <v>24608</v>
      </c>
      <c r="G4944" s="1">
        <v>39356</v>
      </c>
      <c r="J4944" t="s">
        <v>24710</v>
      </c>
      <c r="K4944" t="s">
        <v>2260</v>
      </c>
      <c r="L4944" t="s">
        <v>25289</v>
      </c>
      <c r="N4944" t="s">
        <v>25290</v>
      </c>
      <c r="O4944" t="s">
        <v>94</v>
      </c>
      <c r="P4944">
        <v>20.99</v>
      </c>
      <c r="Q4944">
        <v>26.24</v>
      </c>
      <c r="R4944">
        <v>20.99</v>
      </c>
      <c r="S4944">
        <v>31.49</v>
      </c>
      <c r="T4944" t="s">
        <v>25291</v>
      </c>
    </row>
    <row r="4945" spans="1:20">
      <c r="A4945">
        <v>3375018</v>
      </c>
      <c r="B4945" t="s">
        <v>25292</v>
      </c>
      <c r="C4945" t="str">
        <f>"9782895440826"</f>
        <v>9782895440826</v>
      </c>
      <c r="D4945" t="str">
        <f>"9782895443032"</f>
        <v>9782895443032</v>
      </c>
      <c r="E4945" t="s">
        <v>24608</v>
      </c>
      <c r="F4945" t="s">
        <v>24608</v>
      </c>
      <c r="G4945" s="1">
        <v>38626</v>
      </c>
      <c r="J4945" t="s">
        <v>25293</v>
      </c>
      <c r="K4945" t="s">
        <v>467</v>
      </c>
      <c r="L4945" t="s">
        <v>25294</v>
      </c>
      <c r="M4945">
        <v>328.714</v>
      </c>
      <c r="N4945" t="s">
        <v>25295</v>
      </c>
      <c r="O4945" t="s">
        <v>94</v>
      </c>
      <c r="P4945">
        <v>25.99</v>
      </c>
      <c r="Q4945">
        <v>32.49</v>
      </c>
      <c r="R4945">
        <v>25.99</v>
      </c>
      <c r="S4945">
        <v>38.99</v>
      </c>
      <c r="T4945" t="s">
        <v>25296</v>
      </c>
    </row>
    <row r="4946" spans="1:20">
      <c r="A4946">
        <v>3375019</v>
      </c>
      <c r="B4946" t="s">
        <v>25297</v>
      </c>
      <c r="C4946" t="str">
        <f>"9782895441946"</f>
        <v>9782895441946</v>
      </c>
      <c r="D4946" t="str">
        <f>"9782895444473"</f>
        <v>9782895444473</v>
      </c>
      <c r="E4946" t="s">
        <v>24608</v>
      </c>
      <c r="F4946" t="s">
        <v>24608</v>
      </c>
      <c r="G4946" s="1">
        <v>41153</v>
      </c>
      <c r="J4946" t="s">
        <v>25149</v>
      </c>
      <c r="K4946" t="s">
        <v>305</v>
      </c>
      <c r="L4946" t="s">
        <v>25298</v>
      </c>
      <c r="N4946" t="s">
        <v>25299</v>
      </c>
      <c r="O4946" t="s">
        <v>94</v>
      </c>
      <c r="P4946">
        <v>18.989999999999998</v>
      </c>
      <c r="Q4946">
        <v>23.74</v>
      </c>
      <c r="R4946">
        <v>18.989999999999998</v>
      </c>
      <c r="S4946">
        <v>28.49</v>
      </c>
      <c r="T4946" t="s">
        <v>25300</v>
      </c>
    </row>
    <row r="4947" spans="1:20">
      <c r="A4947">
        <v>3375020</v>
      </c>
      <c r="B4947" t="s">
        <v>25301</v>
      </c>
      <c r="C4947" t="str">
        <f>"9782895441823"</f>
        <v>9782895441823</v>
      </c>
      <c r="D4947" t="str">
        <f>"9782895449782"</f>
        <v>9782895449782</v>
      </c>
      <c r="E4947" t="s">
        <v>24608</v>
      </c>
      <c r="F4947" t="s">
        <v>24608</v>
      </c>
      <c r="G4947" s="1">
        <v>40664</v>
      </c>
      <c r="J4947" t="s">
        <v>25302</v>
      </c>
      <c r="K4947" t="s">
        <v>278</v>
      </c>
      <c r="L4947" t="s">
        <v>25303</v>
      </c>
      <c r="M4947">
        <v>339.37139999999999</v>
      </c>
      <c r="N4947" t="s">
        <v>25304</v>
      </c>
      <c r="O4947" t="s">
        <v>94</v>
      </c>
      <c r="P4947">
        <v>33.99</v>
      </c>
      <c r="Q4947">
        <v>42.49</v>
      </c>
      <c r="R4947">
        <v>33.99</v>
      </c>
      <c r="S4947">
        <v>50.99</v>
      </c>
      <c r="T4947" t="s">
        <v>25305</v>
      </c>
    </row>
    <row r="4948" spans="1:20">
      <c r="A4948">
        <v>3375021</v>
      </c>
      <c r="B4948" t="s">
        <v>25306</v>
      </c>
      <c r="C4948" t="str">
        <f>"9782895441816"</f>
        <v>9782895441816</v>
      </c>
      <c r="D4948" t="str">
        <f>"9782895444329"</f>
        <v>9782895444329</v>
      </c>
      <c r="E4948" t="s">
        <v>24608</v>
      </c>
      <c r="F4948" t="s">
        <v>24608</v>
      </c>
      <c r="G4948" s="1">
        <v>40634</v>
      </c>
      <c r="J4948" t="s">
        <v>25307</v>
      </c>
      <c r="K4948" t="s">
        <v>24788</v>
      </c>
      <c r="L4948" t="s">
        <v>25308</v>
      </c>
      <c r="N4948" t="s">
        <v>25309</v>
      </c>
      <c r="O4948" t="s">
        <v>94</v>
      </c>
      <c r="P4948">
        <v>25.99</v>
      </c>
      <c r="Q4948">
        <v>32.49</v>
      </c>
      <c r="R4948">
        <v>25.99</v>
      </c>
      <c r="S4948">
        <v>38.99</v>
      </c>
      <c r="T4948" t="s">
        <v>25310</v>
      </c>
    </row>
    <row r="4949" spans="1:20">
      <c r="A4949">
        <v>3375022</v>
      </c>
      <c r="B4949" t="s">
        <v>25311</v>
      </c>
      <c r="C4949" t="str">
        <f>"9782895444534"</f>
        <v>9782895444534</v>
      </c>
      <c r="D4949" t="str">
        <f>"9782895445005"</f>
        <v>9782895445005</v>
      </c>
      <c r="E4949" t="s">
        <v>24608</v>
      </c>
      <c r="F4949" t="s">
        <v>24608</v>
      </c>
      <c r="G4949" s="1">
        <v>41395</v>
      </c>
      <c r="J4949" t="s">
        <v>25312</v>
      </c>
      <c r="K4949" t="s">
        <v>1471</v>
      </c>
      <c r="L4949" t="s">
        <v>25313</v>
      </c>
      <c r="N4949" t="s">
        <v>25314</v>
      </c>
      <c r="O4949" t="s">
        <v>94</v>
      </c>
      <c r="P4949">
        <v>21.99</v>
      </c>
      <c r="Q4949">
        <v>27.49</v>
      </c>
      <c r="R4949">
        <v>21.99</v>
      </c>
      <c r="S4949">
        <v>32.99</v>
      </c>
      <c r="T4949" t="s">
        <v>25315</v>
      </c>
    </row>
    <row r="4950" spans="1:20">
      <c r="A4950">
        <v>3375023</v>
      </c>
      <c r="B4950" t="s">
        <v>25316</v>
      </c>
      <c r="C4950" t="str">
        <f>"9782921146692"</f>
        <v>9782921146692</v>
      </c>
      <c r="D4950" t="str">
        <f>"9782895442189"</f>
        <v>9782895442189</v>
      </c>
      <c r="E4950" t="s">
        <v>24608</v>
      </c>
      <c r="F4950" t="s">
        <v>24608</v>
      </c>
      <c r="G4950" s="1">
        <v>35947</v>
      </c>
      <c r="J4950" t="s">
        <v>25317</v>
      </c>
      <c r="K4950" t="s">
        <v>24615</v>
      </c>
      <c r="L4950" t="s">
        <v>25318</v>
      </c>
      <c r="N4950" t="s">
        <v>25008</v>
      </c>
      <c r="O4950" t="s">
        <v>94</v>
      </c>
      <c r="P4950">
        <v>29.99</v>
      </c>
      <c r="Q4950">
        <v>37.49</v>
      </c>
      <c r="R4950">
        <v>29.99</v>
      </c>
      <c r="S4950">
        <v>44.99</v>
      </c>
      <c r="T4950" t="s">
        <v>25319</v>
      </c>
    </row>
    <row r="4951" spans="1:20">
      <c r="A4951">
        <v>3375024</v>
      </c>
      <c r="B4951" t="s">
        <v>25320</v>
      </c>
      <c r="C4951" t="str">
        <f>"9782895440284"</f>
        <v>9782895440284</v>
      </c>
      <c r="D4951" t="str">
        <f>"9782895442585"</f>
        <v>9782895442585</v>
      </c>
      <c r="E4951" t="s">
        <v>24608</v>
      </c>
      <c r="F4951" t="s">
        <v>24608</v>
      </c>
      <c r="G4951" s="1">
        <v>37347</v>
      </c>
      <c r="J4951" t="s">
        <v>25120</v>
      </c>
      <c r="K4951" t="s">
        <v>10860</v>
      </c>
      <c r="L4951" t="s">
        <v>25321</v>
      </c>
      <c r="N4951" t="s">
        <v>25322</v>
      </c>
      <c r="O4951" t="s">
        <v>94</v>
      </c>
      <c r="P4951">
        <v>13.99</v>
      </c>
      <c r="Q4951">
        <v>17.489999999999998</v>
      </c>
      <c r="R4951">
        <v>13.99</v>
      </c>
      <c r="S4951">
        <v>20.99</v>
      </c>
      <c r="T4951" t="s">
        <v>25323</v>
      </c>
    </row>
    <row r="4952" spans="1:20">
      <c r="A4952">
        <v>3375025</v>
      </c>
      <c r="B4952" t="s">
        <v>25324</v>
      </c>
      <c r="C4952" t="str">
        <f>"9782921146920"</f>
        <v>9782921146920</v>
      </c>
      <c r="D4952" t="str">
        <f>"9782895442356"</f>
        <v>9782895442356</v>
      </c>
      <c r="E4952" t="s">
        <v>24608</v>
      </c>
      <c r="F4952" t="s">
        <v>24608</v>
      </c>
      <c r="G4952" s="1">
        <v>36617</v>
      </c>
      <c r="J4952" t="s">
        <v>25325</v>
      </c>
      <c r="K4952" t="s">
        <v>291</v>
      </c>
      <c r="L4952" t="s">
        <v>25326</v>
      </c>
      <c r="M4952" t="s">
        <v>25327</v>
      </c>
      <c r="N4952" t="s">
        <v>25328</v>
      </c>
      <c r="O4952" t="s">
        <v>26</v>
      </c>
      <c r="P4952">
        <v>49.99</v>
      </c>
      <c r="Q4952">
        <v>62.49</v>
      </c>
      <c r="R4952">
        <v>49.99</v>
      </c>
      <c r="S4952">
        <v>74.989999999999995</v>
      </c>
      <c r="T4952" t="s">
        <v>25329</v>
      </c>
    </row>
    <row r="4953" spans="1:20">
      <c r="A4953">
        <v>3375026</v>
      </c>
      <c r="B4953" t="s">
        <v>25330</v>
      </c>
      <c r="C4953" t="str">
        <f>"9782921146517"</f>
        <v>9782921146517</v>
      </c>
      <c r="D4953" t="str">
        <f>"9782895442127"</f>
        <v>9782895442127</v>
      </c>
      <c r="E4953" t="s">
        <v>24608</v>
      </c>
      <c r="F4953" t="s">
        <v>24608</v>
      </c>
      <c r="G4953" s="1">
        <v>36039</v>
      </c>
      <c r="J4953" t="s">
        <v>24646</v>
      </c>
      <c r="K4953" t="s">
        <v>25331</v>
      </c>
      <c r="L4953" t="s">
        <v>25332</v>
      </c>
      <c r="M4953">
        <v>338.4336210971</v>
      </c>
      <c r="N4953" t="s">
        <v>25333</v>
      </c>
      <c r="O4953" t="s">
        <v>26</v>
      </c>
      <c r="P4953">
        <v>33.99</v>
      </c>
      <c r="Q4953">
        <v>42.49</v>
      </c>
      <c r="R4953">
        <v>33.99</v>
      </c>
      <c r="S4953">
        <v>50.99</v>
      </c>
      <c r="T4953" t="s">
        <v>25334</v>
      </c>
    </row>
    <row r="4954" spans="1:20">
      <c r="A4954">
        <v>3375027</v>
      </c>
      <c r="B4954" t="s">
        <v>25335</v>
      </c>
      <c r="C4954" t="str">
        <f>"9782895440727"</f>
        <v>9782895440727</v>
      </c>
      <c r="D4954" t="str">
        <f>"9782895442981"</f>
        <v>9782895442981</v>
      </c>
      <c r="E4954" t="s">
        <v>24608</v>
      </c>
      <c r="F4954" t="s">
        <v>24608</v>
      </c>
      <c r="G4954" s="1">
        <v>38412</v>
      </c>
      <c r="J4954" t="s">
        <v>25336</v>
      </c>
      <c r="K4954" t="s">
        <v>2260</v>
      </c>
      <c r="L4954" t="s">
        <v>25337</v>
      </c>
      <c r="N4954" t="s">
        <v>25338</v>
      </c>
      <c r="O4954" t="s">
        <v>94</v>
      </c>
      <c r="P4954">
        <v>21.99</v>
      </c>
      <c r="Q4954">
        <v>27.49</v>
      </c>
      <c r="R4954">
        <v>21.99</v>
      </c>
      <c r="S4954">
        <v>32.99</v>
      </c>
      <c r="T4954" t="s">
        <v>25339</v>
      </c>
    </row>
    <row r="4955" spans="1:20">
      <c r="A4955">
        <v>3375028</v>
      </c>
      <c r="B4955" t="s">
        <v>25340</v>
      </c>
      <c r="C4955" t="str">
        <f>"9782895440475"</f>
        <v>9782895440475</v>
      </c>
      <c r="D4955" t="str">
        <f>"9782895442752"</f>
        <v>9782895442752</v>
      </c>
      <c r="E4955" t="s">
        <v>24608</v>
      </c>
      <c r="F4955" t="s">
        <v>24608</v>
      </c>
      <c r="G4955" s="1">
        <v>37926</v>
      </c>
      <c r="J4955" t="s">
        <v>25341</v>
      </c>
      <c r="K4955" t="s">
        <v>263</v>
      </c>
      <c r="L4955" t="s">
        <v>25342</v>
      </c>
      <c r="M4955" t="s">
        <v>25343</v>
      </c>
      <c r="N4955" t="s">
        <v>25344</v>
      </c>
      <c r="O4955" t="s">
        <v>94</v>
      </c>
      <c r="P4955">
        <v>25.99</v>
      </c>
      <c r="Q4955">
        <v>32.49</v>
      </c>
      <c r="R4955">
        <v>25.99</v>
      </c>
      <c r="S4955">
        <v>38.99</v>
      </c>
      <c r="T4955" t="s">
        <v>25345</v>
      </c>
    </row>
    <row r="4956" spans="1:20">
      <c r="A4956">
        <v>3375029</v>
      </c>
      <c r="B4956" t="s">
        <v>25346</v>
      </c>
      <c r="C4956" t="str">
        <f>"9782895440185"</f>
        <v>9782895440185</v>
      </c>
      <c r="D4956" t="str">
        <f>"9782895442523"</f>
        <v>9782895442523</v>
      </c>
      <c r="E4956" t="s">
        <v>24608</v>
      </c>
      <c r="F4956" t="s">
        <v>24608</v>
      </c>
      <c r="G4956" s="1">
        <v>37288</v>
      </c>
      <c r="J4956" t="s">
        <v>24636</v>
      </c>
      <c r="K4956" t="s">
        <v>305</v>
      </c>
      <c r="L4956" t="s">
        <v>25347</v>
      </c>
      <c r="N4956" t="s">
        <v>25348</v>
      </c>
      <c r="O4956" t="s">
        <v>94</v>
      </c>
      <c r="P4956">
        <v>13.99</v>
      </c>
      <c r="Q4956">
        <v>17.489999999999998</v>
      </c>
      <c r="R4956">
        <v>13.99</v>
      </c>
      <c r="S4956">
        <v>20.99</v>
      </c>
      <c r="T4956" t="s">
        <v>25349</v>
      </c>
    </row>
    <row r="4957" spans="1:20">
      <c r="A4957">
        <v>3375030</v>
      </c>
      <c r="B4957" t="s">
        <v>25350</v>
      </c>
      <c r="C4957" t="str">
        <f>"9782895440970"</f>
        <v>9782895440970</v>
      </c>
      <c r="D4957" t="str">
        <f>"9782895443179"</f>
        <v>9782895443179</v>
      </c>
      <c r="E4957" t="s">
        <v>24608</v>
      </c>
      <c r="F4957" t="s">
        <v>24608</v>
      </c>
      <c r="G4957" s="1">
        <v>38991</v>
      </c>
      <c r="J4957" t="s">
        <v>25351</v>
      </c>
      <c r="K4957" t="s">
        <v>1127</v>
      </c>
      <c r="L4957" t="s">
        <v>25352</v>
      </c>
      <c r="N4957" t="s">
        <v>25353</v>
      </c>
      <c r="O4957" t="s">
        <v>94</v>
      </c>
      <c r="P4957">
        <v>21.99</v>
      </c>
      <c r="Q4957">
        <v>27.49</v>
      </c>
      <c r="R4957">
        <v>21.99</v>
      </c>
      <c r="S4957">
        <v>32.99</v>
      </c>
      <c r="T4957" t="s">
        <v>25354</v>
      </c>
    </row>
    <row r="4958" spans="1:20">
      <c r="A4958">
        <v>3375031</v>
      </c>
      <c r="B4958" t="s">
        <v>25355</v>
      </c>
      <c r="C4958" t="str">
        <f>"9782895441458"</f>
        <v>9782895441458</v>
      </c>
      <c r="D4958" t="str">
        <f>"9782895443575"</f>
        <v>9782895443575</v>
      </c>
      <c r="E4958" t="s">
        <v>24608</v>
      </c>
      <c r="F4958" t="s">
        <v>24608</v>
      </c>
      <c r="G4958" s="1">
        <v>39934</v>
      </c>
      <c r="J4958" t="s">
        <v>25356</v>
      </c>
      <c r="K4958" t="s">
        <v>69</v>
      </c>
      <c r="L4958" t="s">
        <v>25357</v>
      </c>
      <c r="N4958" t="s">
        <v>25358</v>
      </c>
      <c r="O4958" t="s">
        <v>94</v>
      </c>
      <c r="P4958">
        <v>29.99</v>
      </c>
      <c r="Q4958">
        <v>37.49</v>
      </c>
      <c r="R4958">
        <v>29.99</v>
      </c>
      <c r="S4958">
        <v>44.99</v>
      </c>
      <c r="T4958" t="s">
        <v>25359</v>
      </c>
    </row>
    <row r="4959" spans="1:20">
      <c r="A4959">
        <v>3375032</v>
      </c>
      <c r="B4959" t="s">
        <v>25360</v>
      </c>
      <c r="C4959" t="str">
        <f>"9782895441328"</f>
        <v>9782895441328</v>
      </c>
      <c r="D4959" t="str">
        <f>"9782895443490"</f>
        <v>9782895443490</v>
      </c>
      <c r="E4959" t="s">
        <v>24608</v>
      </c>
      <c r="F4959" t="s">
        <v>24608</v>
      </c>
      <c r="G4959" s="1">
        <v>39753</v>
      </c>
      <c r="J4959" t="s">
        <v>25361</v>
      </c>
      <c r="K4959" t="s">
        <v>25362</v>
      </c>
      <c r="L4959" t="s">
        <v>25363</v>
      </c>
      <c r="M4959">
        <v>333.91009714</v>
      </c>
      <c r="N4959" t="s">
        <v>25364</v>
      </c>
      <c r="O4959" t="s">
        <v>94</v>
      </c>
      <c r="P4959">
        <v>32.99</v>
      </c>
      <c r="Q4959">
        <v>41.24</v>
      </c>
      <c r="R4959">
        <v>32.99</v>
      </c>
      <c r="S4959">
        <v>49.49</v>
      </c>
      <c r="T4959" t="s">
        <v>25365</v>
      </c>
    </row>
    <row r="4960" spans="1:20">
      <c r="A4960">
        <v>3375033</v>
      </c>
      <c r="B4960" t="s">
        <v>25366</v>
      </c>
      <c r="C4960" t="str">
        <f>"9782895441151"</f>
        <v>9782895441151</v>
      </c>
      <c r="D4960" t="str">
        <f>"9782895443346"</f>
        <v>9782895443346</v>
      </c>
      <c r="E4960" t="s">
        <v>24608</v>
      </c>
      <c r="F4960" t="s">
        <v>24608</v>
      </c>
      <c r="G4960" s="1">
        <v>39508</v>
      </c>
      <c r="J4960" t="s">
        <v>25367</v>
      </c>
      <c r="K4960" t="s">
        <v>263</v>
      </c>
      <c r="L4960" t="s">
        <v>25368</v>
      </c>
      <c r="N4960" t="s">
        <v>25369</v>
      </c>
      <c r="O4960" t="s">
        <v>94</v>
      </c>
      <c r="P4960">
        <v>21.99</v>
      </c>
      <c r="Q4960">
        <v>27.49</v>
      </c>
      <c r="R4960">
        <v>21.99</v>
      </c>
      <c r="S4960">
        <v>32.99</v>
      </c>
      <c r="T4960" t="s">
        <v>25370</v>
      </c>
    </row>
    <row r="4961" spans="1:20">
      <c r="A4961">
        <v>3375034</v>
      </c>
      <c r="B4961" t="s">
        <v>25371</v>
      </c>
      <c r="C4961" t="str">
        <f>"9782895440918"</f>
        <v>9782895440918</v>
      </c>
      <c r="D4961" t="str">
        <f>"9782895443117"</f>
        <v>9782895443117</v>
      </c>
      <c r="E4961" t="s">
        <v>24608</v>
      </c>
      <c r="F4961" t="s">
        <v>24608</v>
      </c>
      <c r="G4961" s="1">
        <v>38777</v>
      </c>
      <c r="J4961" t="s">
        <v>25074</v>
      </c>
      <c r="K4961" t="s">
        <v>791</v>
      </c>
      <c r="L4961" t="s">
        <v>25372</v>
      </c>
      <c r="N4961" t="s">
        <v>25373</v>
      </c>
      <c r="O4961" t="s">
        <v>94</v>
      </c>
      <c r="P4961">
        <v>25.99</v>
      </c>
      <c r="Q4961">
        <v>32.49</v>
      </c>
      <c r="R4961">
        <v>25.99</v>
      </c>
      <c r="S4961">
        <v>38.99</v>
      </c>
      <c r="T4961" t="s">
        <v>25374</v>
      </c>
    </row>
    <row r="4962" spans="1:20">
      <c r="A4962">
        <v>3375035</v>
      </c>
      <c r="B4962" t="s">
        <v>25375</v>
      </c>
      <c r="C4962" t="str">
        <f>"9782921146555"</f>
        <v>9782921146555</v>
      </c>
      <c r="D4962" t="str">
        <f>"9782895443742"</f>
        <v>9782895443742</v>
      </c>
      <c r="E4962" t="s">
        <v>24608</v>
      </c>
      <c r="F4962" t="s">
        <v>24608</v>
      </c>
      <c r="G4962" s="1">
        <v>35855</v>
      </c>
      <c r="J4962" t="s">
        <v>25376</v>
      </c>
      <c r="K4962" t="s">
        <v>305</v>
      </c>
      <c r="L4962" t="s">
        <v>25377</v>
      </c>
      <c r="N4962" t="s">
        <v>25378</v>
      </c>
      <c r="O4962" t="s">
        <v>94</v>
      </c>
      <c r="P4962">
        <v>29.99</v>
      </c>
      <c r="Q4962">
        <v>37.49</v>
      </c>
      <c r="R4962">
        <v>29.99</v>
      </c>
      <c r="S4962">
        <v>44.99</v>
      </c>
      <c r="T4962" t="s">
        <v>25379</v>
      </c>
    </row>
    <row r="4963" spans="1:20">
      <c r="A4963">
        <v>3375036</v>
      </c>
      <c r="B4963" t="s">
        <v>25380</v>
      </c>
      <c r="C4963" t="str">
        <f>"9782895441342"</f>
        <v>9782895441342</v>
      </c>
      <c r="D4963" t="str">
        <f>"9782895443513"</f>
        <v>9782895443513</v>
      </c>
      <c r="E4963" t="s">
        <v>24608</v>
      </c>
      <c r="F4963" t="s">
        <v>24608</v>
      </c>
      <c r="G4963" s="1">
        <v>39722</v>
      </c>
      <c r="J4963" t="s">
        <v>25381</v>
      </c>
      <c r="K4963" t="s">
        <v>25382</v>
      </c>
      <c r="L4963" t="s">
        <v>25383</v>
      </c>
      <c r="M4963" t="s">
        <v>24681</v>
      </c>
      <c r="N4963" t="s">
        <v>25384</v>
      </c>
      <c r="O4963" t="s">
        <v>94</v>
      </c>
      <c r="P4963">
        <v>21.99</v>
      </c>
      <c r="Q4963">
        <v>27.49</v>
      </c>
      <c r="R4963">
        <v>21.99</v>
      </c>
      <c r="S4963">
        <v>32.99</v>
      </c>
      <c r="T4963" t="s">
        <v>25385</v>
      </c>
    </row>
    <row r="4964" spans="1:20">
      <c r="A4964">
        <v>3375037</v>
      </c>
      <c r="B4964" t="s">
        <v>25386</v>
      </c>
      <c r="C4964" t="str">
        <f>"9782895441878"</f>
        <v>9782895441878</v>
      </c>
      <c r="D4964" t="str">
        <f>"9782895444398"</f>
        <v>9782895444398</v>
      </c>
      <c r="E4964" t="s">
        <v>24608</v>
      </c>
      <c r="F4964" t="s">
        <v>24608</v>
      </c>
      <c r="G4964" s="1">
        <v>40909</v>
      </c>
      <c r="J4964" t="s">
        <v>25387</v>
      </c>
      <c r="K4964" t="s">
        <v>4081</v>
      </c>
      <c r="L4964" t="s">
        <v>25388</v>
      </c>
      <c r="N4964" t="s">
        <v>25389</v>
      </c>
      <c r="O4964" t="s">
        <v>94</v>
      </c>
      <c r="P4964">
        <v>18.989999999999998</v>
      </c>
      <c r="Q4964">
        <v>23.74</v>
      </c>
      <c r="R4964">
        <v>18.989999999999998</v>
      </c>
      <c r="S4964">
        <v>28.49</v>
      </c>
      <c r="T4964" t="s">
        <v>25390</v>
      </c>
    </row>
    <row r="4965" spans="1:20">
      <c r="A4965">
        <v>3375038</v>
      </c>
      <c r="B4965" t="s">
        <v>25391</v>
      </c>
      <c r="C4965" t="str">
        <f>"9782895441953"</f>
        <v>9782895441953</v>
      </c>
      <c r="D4965" t="str">
        <f>"9782895444480"</f>
        <v>9782895444480</v>
      </c>
      <c r="E4965" t="s">
        <v>24608</v>
      </c>
      <c r="F4965" t="s">
        <v>24608</v>
      </c>
      <c r="G4965" s="1">
        <v>41275</v>
      </c>
      <c r="J4965" t="s">
        <v>25392</v>
      </c>
      <c r="K4965" t="s">
        <v>2260</v>
      </c>
      <c r="L4965" t="s">
        <v>25393</v>
      </c>
      <c r="N4965" t="s">
        <v>25394</v>
      </c>
      <c r="O4965" t="s">
        <v>94</v>
      </c>
      <c r="P4965">
        <v>18.989999999999998</v>
      </c>
      <c r="Q4965">
        <v>23.74</v>
      </c>
      <c r="R4965">
        <v>18.989999999999998</v>
      </c>
      <c r="S4965">
        <v>28.49</v>
      </c>
      <c r="T4965" t="s">
        <v>25395</v>
      </c>
    </row>
    <row r="4966" spans="1:20">
      <c r="A4966">
        <v>3375039</v>
      </c>
      <c r="B4966" t="s">
        <v>25396</v>
      </c>
      <c r="C4966" t="str">
        <f>"9782921146227"</f>
        <v>9782921146227</v>
      </c>
      <c r="D4966" t="str">
        <f>"9782895445012"</f>
        <v>9782895445012</v>
      </c>
      <c r="E4966" t="s">
        <v>24608</v>
      </c>
      <c r="F4966" t="s">
        <v>24608</v>
      </c>
      <c r="G4966" s="1">
        <v>34578</v>
      </c>
      <c r="J4966" t="s">
        <v>25397</v>
      </c>
      <c r="K4966" t="s">
        <v>110</v>
      </c>
      <c r="L4966" t="s">
        <v>25398</v>
      </c>
      <c r="N4966" t="s">
        <v>25399</v>
      </c>
      <c r="O4966" t="s">
        <v>94</v>
      </c>
      <c r="P4966">
        <v>18.989999999999998</v>
      </c>
      <c r="Q4966">
        <v>23.74</v>
      </c>
      <c r="R4966">
        <v>18.989999999999998</v>
      </c>
      <c r="S4966">
        <v>28.49</v>
      </c>
      <c r="T4966" t="s">
        <v>25400</v>
      </c>
    </row>
    <row r="4967" spans="1:20">
      <c r="A4967">
        <v>3375040</v>
      </c>
      <c r="B4967" t="s">
        <v>25401</v>
      </c>
      <c r="C4967" t="str">
        <f>"9782895440611"</f>
        <v>9782895440611</v>
      </c>
      <c r="D4967" t="str">
        <f>"9782895442899"</f>
        <v>9782895442899</v>
      </c>
      <c r="E4967" t="s">
        <v>24608</v>
      </c>
      <c r="F4967" t="s">
        <v>24608</v>
      </c>
      <c r="G4967" s="1">
        <v>38292</v>
      </c>
      <c r="J4967" t="s">
        <v>25135</v>
      </c>
      <c r="K4967" t="s">
        <v>24615</v>
      </c>
      <c r="L4967" t="s">
        <v>25402</v>
      </c>
      <c r="N4967" t="s">
        <v>25403</v>
      </c>
      <c r="O4967" t="s">
        <v>94</v>
      </c>
      <c r="P4967">
        <v>18.989999999999998</v>
      </c>
      <c r="Q4967">
        <v>23.74</v>
      </c>
      <c r="R4967">
        <v>18.989999999999998</v>
      </c>
      <c r="S4967">
        <v>28.49</v>
      </c>
      <c r="T4967" t="s">
        <v>25404</v>
      </c>
    </row>
    <row r="4968" spans="1:20">
      <c r="A4968">
        <v>3375041</v>
      </c>
      <c r="B4968" t="s">
        <v>25405</v>
      </c>
      <c r="C4968" t="str">
        <f>"9782921146708"</f>
        <v>9782921146708</v>
      </c>
      <c r="D4968" t="str">
        <f>"9782895442196"</f>
        <v>9782895442196</v>
      </c>
      <c r="E4968" t="s">
        <v>24608</v>
      </c>
      <c r="F4968" t="s">
        <v>24608</v>
      </c>
      <c r="G4968" s="1">
        <v>35886</v>
      </c>
      <c r="J4968" t="s">
        <v>25140</v>
      </c>
      <c r="K4968" t="s">
        <v>2260</v>
      </c>
      <c r="L4968" t="s">
        <v>25406</v>
      </c>
      <c r="M4968">
        <v>616.87</v>
      </c>
      <c r="N4968" t="s">
        <v>25407</v>
      </c>
      <c r="O4968" t="s">
        <v>26</v>
      </c>
      <c r="P4968">
        <v>9.99</v>
      </c>
      <c r="Q4968">
        <v>12.49</v>
      </c>
      <c r="R4968">
        <v>9.99</v>
      </c>
      <c r="S4968">
        <v>14.99</v>
      </c>
      <c r="T4968" t="s">
        <v>25408</v>
      </c>
    </row>
    <row r="4969" spans="1:20">
      <c r="A4969">
        <v>3375042</v>
      </c>
      <c r="B4969" t="s">
        <v>25409</v>
      </c>
      <c r="C4969" t="str">
        <f>"9782895440550"</f>
        <v>9782895440550</v>
      </c>
      <c r="D4969" t="str">
        <f>"9782895442837"</f>
        <v>9782895442837</v>
      </c>
      <c r="E4969" t="s">
        <v>24608</v>
      </c>
      <c r="F4969" t="s">
        <v>24608</v>
      </c>
      <c r="G4969" s="1">
        <v>38078</v>
      </c>
      <c r="J4969" t="s">
        <v>25410</v>
      </c>
      <c r="K4969" t="s">
        <v>1322</v>
      </c>
      <c r="L4969" t="s">
        <v>25411</v>
      </c>
      <c r="M4969" t="s">
        <v>25412</v>
      </c>
      <c r="N4969" t="s">
        <v>25413</v>
      </c>
      <c r="O4969" t="s">
        <v>94</v>
      </c>
      <c r="P4969">
        <v>13.99</v>
      </c>
      <c r="Q4969">
        <v>17.489999999999998</v>
      </c>
      <c r="R4969">
        <v>13.99</v>
      </c>
      <c r="S4969">
        <v>20.99</v>
      </c>
      <c r="T4969" t="s">
        <v>25414</v>
      </c>
    </row>
    <row r="4970" spans="1:20">
      <c r="A4970">
        <v>3375043</v>
      </c>
      <c r="B4970" t="s">
        <v>25415</v>
      </c>
      <c r="C4970" t="str">
        <f>"9782895440307"</f>
        <v>9782895440307</v>
      </c>
      <c r="D4970" t="str">
        <f>"9782895442608"</f>
        <v>9782895442608</v>
      </c>
      <c r="E4970" t="s">
        <v>24608</v>
      </c>
      <c r="F4970" t="s">
        <v>24608</v>
      </c>
      <c r="G4970" s="1">
        <v>37316</v>
      </c>
      <c r="J4970" t="s">
        <v>25317</v>
      </c>
      <c r="K4970" t="s">
        <v>24615</v>
      </c>
      <c r="L4970" t="s">
        <v>25416</v>
      </c>
      <c r="N4970" t="s">
        <v>25417</v>
      </c>
      <c r="O4970" t="s">
        <v>94</v>
      </c>
      <c r="P4970">
        <v>18.989999999999998</v>
      </c>
      <c r="Q4970">
        <v>23.74</v>
      </c>
      <c r="R4970">
        <v>18.989999999999998</v>
      </c>
      <c r="S4970">
        <v>28.49</v>
      </c>
      <c r="T4970" t="s">
        <v>25418</v>
      </c>
    </row>
    <row r="4971" spans="1:20">
      <c r="A4971">
        <v>3375044</v>
      </c>
      <c r="B4971" t="s">
        <v>25419</v>
      </c>
      <c r="C4971" t="str">
        <f>"9782895440291"</f>
        <v>9782895440291</v>
      </c>
      <c r="D4971" t="str">
        <f>"9782895442592"</f>
        <v>9782895442592</v>
      </c>
      <c r="E4971" t="s">
        <v>24608</v>
      </c>
      <c r="F4971" t="s">
        <v>24608</v>
      </c>
      <c r="G4971" s="1">
        <v>37530</v>
      </c>
      <c r="J4971" t="s">
        <v>24761</v>
      </c>
      <c r="K4971" t="s">
        <v>423</v>
      </c>
      <c r="L4971" t="s">
        <v>25420</v>
      </c>
      <c r="M4971">
        <v>333.79</v>
      </c>
      <c r="N4971" t="s">
        <v>25421</v>
      </c>
      <c r="O4971" t="s">
        <v>94</v>
      </c>
      <c r="P4971">
        <v>21.99</v>
      </c>
      <c r="Q4971">
        <v>27.49</v>
      </c>
      <c r="R4971">
        <v>21.99</v>
      </c>
      <c r="S4971">
        <v>32.99</v>
      </c>
      <c r="T4971" t="s">
        <v>25422</v>
      </c>
    </row>
    <row r="4972" spans="1:20">
      <c r="A4972">
        <v>3375045</v>
      </c>
      <c r="B4972" t="s">
        <v>25423</v>
      </c>
      <c r="C4972" t="str">
        <f>"9782921146937"</f>
        <v>9782921146937</v>
      </c>
      <c r="D4972" t="str">
        <f>"9782895442363"</f>
        <v>9782895442363</v>
      </c>
      <c r="E4972" t="s">
        <v>24608</v>
      </c>
      <c r="F4972" t="s">
        <v>24608</v>
      </c>
      <c r="G4972" s="1">
        <v>36557</v>
      </c>
      <c r="J4972" t="s">
        <v>25424</v>
      </c>
      <c r="K4972" t="s">
        <v>2260</v>
      </c>
      <c r="L4972" t="s">
        <v>25425</v>
      </c>
      <c r="N4972" t="s">
        <v>25426</v>
      </c>
      <c r="O4972" t="s">
        <v>94</v>
      </c>
      <c r="P4972">
        <v>29.99</v>
      </c>
      <c r="Q4972">
        <v>37.49</v>
      </c>
      <c r="R4972">
        <v>29.99</v>
      </c>
      <c r="S4972">
        <v>44.99</v>
      </c>
      <c r="T4972" t="s">
        <v>25427</v>
      </c>
    </row>
    <row r="4973" spans="1:20">
      <c r="A4973">
        <v>3375046</v>
      </c>
      <c r="B4973" t="s">
        <v>25428</v>
      </c>
      <c r="C4973" t="str">
        <f>"9782895440062"</f>
        <v>9782895440062</v>
      </c>
      <c r="D4973" t="str">
        <f>"9782895442448"</f>
        <v>9782895442448</v>
      </c>
      <c r="E4973" t="s">
        <v>24608</v>
      </c>
      <c r="F4973" t="s">
        <v>24608</v>
      </c>
      <c r="G4973" s="1">
        <v>36526</v>
      </c>
      <c r="J4973" t="s">
        <v>25429</v>
      </c>
      <c r="K4973" t="s">
        <v>16707</v>
      </c>
      <c r="L4973" t="s">
        <v>25430</v>
      </c>
      <c r="N4973" t="s">
        <v>25431</v>
      </c>
      <c r="O4973" t="s">
        <v>94</v>
      </c>
      <c r="P4973">
        <v>14.99</v>
      </c>
      <c r="Q4973">
        <v>18.739999999999998</v>
      </c>
      <c r="R4973">
        <v>14.99</v>
      </c>
      <c r="S4973">
        <v>22.49</v>
      </c>
      <c r="T4973" t="s">
        <v>25432</v>
      </c>
    </row>
    <row r="4974" spans="1:20">
      <c r="A4974">
        <v>3375047</v>
      </c>
      <c r="B4974" t="s">
        <v>25433</v>
      </c>
      <c r="C4974" t="str">
        <f>"9782895441366"</f>
        <v>9782895441366</v>
      </c>
      <c r="D4974" t="str">
        <f>"9782895443889"</f>
        <v>9782895443889</v>
      </c>
      <c r="E4974" t="s">
        <v>24608</v>
      </c>
      <c r="F4974" t="s">
        <v>24608</v>
      </c>
      <c r="G4974" s="1">
        <v>40452</v>
      </c>
      <c r="J4974" t="s">
        <v>25312</v>
      </c>
      <c r="K4974" t="s">
        <v>1471</v>
      </c>
      <c r="L4974" t="s">
        <v>25434</v>
      </c>
      <c r="N4974" t="s">
        <v>25435</v>
      </c>
      <c r="O4974" t="s">
        <v>94</v>
      </c>
      <c r="P4974">
        <v>21.99</v>
      </c>
      <c r="Q4974">
        <v>27.49</v>
      </c>
      <c r="R4974">
        <v>21.99</v>
      </c>
      <c r="S4974">
        <v>32.99</v>
      </c>
      <c r="T4974" t="s">
        <v>25436</v>
      </c>
    </row>
    <row r="4975" spans="1:20">
      <c r="A4975">
        <v>3375048</v>
      </c>
      <c r="B4975" t="s">
        <v>25437</v>
      </c>
      <c r="C4975" t="str">
        <f>"9782921146722"</f>
        <v>9782921146722</v>
      </c>
      <c r="D4975" t="str">
        <f>"9782895442219"</f>
        <v>9782895442219</v>
      </c>
      <c r="E4975" t="s">
        <v>24608</v>
      </c>
      <c r="F4975" t="s">
        <v>24608</v>
      </c>
      <c r="G4975" s="1">
        <v>36192</v>
      </c>
      <c r="J4975" t="s">
        <v>25140</v>
      </c>
      <c r="K4975" t="s">
        <v>2260</v>
      </c>
      <c r="L4975" t="s">
        <v>25438</v>
      </c>
      <c r="M4975">
        <v>616.75</v>
      </c>
      <c r="N4975" t="s">
        <v>25439</v>
      </c>
      <c r="O4975" t="s">
        <v>26</v>
      </c>
      <c r="P4975">
        <v>9.99</v>
      </c>
      <c r="Q4975">
        <v>12.49</v>
      </c>
      <c r="R4975">
        <v>9.99</v>
      </c>
      <c r="S4975">
        <v>14.99</v>
      </c>
      <c r="T4975" t="s">
        <v>25440</v>
      </c>
    </row>
    <row r="4976" spans="1:20">
      <c r="A4976">
        <v>3375049</v>
      </c>
      <c r="B4976" t="s">
        <v>25441</v>
      </c>
      <c r="C4976" t="str">
        <f>"9782921146524"</f>
        <v>9782921146524</v>
      </c>
      <c r="D4976" t="str">
        <f>"9782895442134"</f>
        <v>9782895442134</v>
      </c>
      <c r="E4976" t="s">
        <v>24608</v>
      </c>
      <c r="F4976" t="s">
        <v>24608</v>
      </c>
      <c r="G4976" s="1">
        <v>36039</v>
      </c>
      <c r="J4976" t="s">
        <v>24756</v>
      </c>
      <c r="K4976" t="s">
        <v>376</v>
      </c>
      <c r="L4976" t="s">
        <v>25442</v>
      </c>
      <c r="N4976" t="s">
        <v>25443</v>
      </c>
      <c r="O4976" t="s">
        <v>94</v>
      </c>
      <c r="P4976">
        <v>33.99</v>
      </c>
      <c r="Q4976">
        <v>42.49</v>
      </c>
      <c r="R4976">
        <v>33.99</v>
      </c>
      <c r="S4976">
        <v>50.99</v>
      </c>
      <c r="T4976" t="s">
        <v>25444</v>
      </c>
    </row>
    <row r="4977" spans="1:20">
      <c r="A4977">
        <v>3375050</v>
      </c>
      <c r="B4977" t="s">
        <v>25445</v>
      </c>
      <c r="C4977" t="str">
        <f>"9782895440192"</f>
        <v>9782895440192</v>
      </c>
      <c r="D4977" t="str">
        <f>"9782895442530"</f>
        <v>9782895442530</v>
      </c>
      <c r="E4977" t="s">
        <v>24608</v>
      </c>
      <c r="F4977" t="s">
        <v>24608</v>
      </c>
      <c r="G4977" s="1">
        <v>37165</v>
      </c>
      <c r="J4977" t="s">
        <v>25446</v>
      </c>
      <c r="K4977" t="s">
        <v>24615</v>
      </c>
      <c r="L4977" t="s">
        <v>25447</v>
      </c>
      <c r="N4977" t="s">
        <v>25448</v>
      </c>
      <c r="O4977" t="s">
        <v>94</v>
      </c>
      <c r="P4977">
        <v>21.99</v>
      </c>
      <c r="Q4977">
        <v>27.49</v>
      </c>
      <c r="R4977">
        <v>21.99</v>
      </c>
      <c r="S4977">
        <v>32.99</v>
      </c>
      <c r="T4977" t="s">
        <v>25449</v>
      </c>
    </row>
    <row r="4978" spans="1:20">
      <c r="A4978">
        <v>3375051</v>
      </c>
      <c r="B4978" t="s">
        <v>25450</v>
      </c>
      <c r="C4978" t="str">
        <f>"9782921146869"</f>
        <v>9782921146869</v>
      </c>
      <c r="D4978" t="str">
        <f>"9782895442301"</f>
        <v>9782895442301</v>
      </c>
      <c r="E4978" t="s">
        <v>24608</v>
      </c>
      <c r="F4978" t="s">
        <v>24608</v>
      </c>
      <c r="G4978" s="1">
        <v>36586</v>
      </c>
      <c r="J4978" t="s">
        <v>24626</v>
      </c>
      <c r="K4978" t="s">
        <v>467</v>
      </c>
      <c r="L4978" t="s">
        <v>24627</v>
      </c>
      <c r="N4978" t="s">
        <v>24628</v>
      </c>
      <c r="O4978" t="s">
        <v>94</v>
      </c>
      <c r="P4978">
        <v>11.99</v>
      </c>
      <c r="Q4978">
        <v>14.99</v>
      </c>
      <c r="R4978">
        <v>11.99</v>
      </c>
      <c r="S4978">
        <v>17.989999999999998</v>
      </c>
      <c r="T4978" t="s">
        <v>25451</v>
      </c>
    </row>
    <row r="4979" spans="1:20">
      <c r="A4979">
        <v>3375052</v>
      </c>
      <c r="B4979" t="s">
        <v>25452</v>
      </c>
      <c r="C4979" t="str">
        <f>"9782895441687"</f>
        <v>9782895441687</v>
      </c>
      <c r="D4979" t="str">
        <f>"9782895443827"</f>
        <v>9782895443827</v>
      </c>
      <c r="E4979" t="s">
        <v>24608</v>
      </c>
      <c r="F4979" t="s">
        <v>24608</v>
      </c>
      <c r="G4979" s="1">
        <v>40422</v>
      </c>
      <c r="J4979" t="s">
        <v>25044</v>
      </c>
      <c r="K4979" t="s">
        <v>11057</v>
      </c>
      <c r="L4979" t="s">
        <v>25453</v>
      </c>
      <c r="N4979" t="s">
        <v>25454</v>
      </c>
      <c r="O4979" t="s">
        <v>94</v>
      </c>
      <c r="P4979">
        <v>18.989999999999998</v>
      </c>
      <c r="Q4979">
        <v>23.74</v>
      </c>
      <c r="R4979">
        <v>18.989999999999998</v>
      </c>
      <c r="S4979">
        <v>28.49</v>
      </c>
      <c r="T4979" t="s">
        <v>25455</v>
      </c>
    </row>
    <row r="4980" spans="1:20">
      <c r="A4980">
        <v>3375053</v>
      </c>
      <c r="B4980" t="s">
        <v>25456</v>
      </c>
      <c r="C4980" t="str">
        <f>"9782895440987"</f>
        <v>9782895440987</v>
      </c>
      <c r="D4980" t="str">
        <f>"9782895443186"</f>
        <v>9782895443186</v>
      </c>
      <c r="E4980" t="s">
        <v>24608</v>
      </c>
      <c r="F4980" t="s">
        <v>24608</v>
      </c>
      <c r="G4980" s="1">
        <v>38991</v>
      </c>
      <c r="J4980" t="s">
        <v>25457</v>
      </c>
      <c r="K4980" t="s">
        <v>12038</v>
      </c>
      <c r="L4980" t="s">
        <v>25458</v>
      </c>
      <c r="N4980" t="s">
        <v>25459</v>
      </c>
      <c r="O4980" t="s">
        <v>94</v>
      </c>
      <c r="P4980">
        <v>21.99</v>
      </c>
      <c r="Q4980">
        <v>27.49</v>
      </c>
      <c r="R4980">
        <v>21.99</v>
      </c>
      <c r="S4980">
        <v>32.99</v>
      </c>
      <c r="T4980" t="s">
        <v>25460</v>
      </c>
    </row>
    <row r="4981" spans="1:20">
      <c r="A4981">
        <v>3375054</v>
      </c>
      <c r="B4981" t="s">
        <v>25461</v>
      </c>
      <c r="C4981" t="str">
        <f>"9782895441465"</f>
        <v>9782895441465</v>
      </c>
      <c r="D4981" t="str">
        <f>"9782895443582"</f>
        <v>9782895443582</v>
      </c>
      <c r="E4981" t="s">
        <v>24608</v>
      </c>
      <c r="F4981" t="s">
        <v>24608</v>
      </c>
      <c r="G4981" s="1">
        <v>39934</v>
      </c>
      <c r="J4981" t="s">
        <v>24958</v>
      </c>
      <c r="K4981" t="s">
        <v>305</v>
      </c>
      <c r="L4981" t="s">
        <v>25462</v>
      </c>
      <c r="N4981" t="s">
        <v>25463</v>
      </c>
      <c r="O4981" t="s">
        <v>94</v>
      </c>
      <c r="P4981">
        <v>20.99</v>
      </c>
      <c r="Q4981">
        <v>26.24</v>
      </c>
      <c r="R4981">
        <v>20.99</v>
      </c>
      <c r="S4981">
        <v>31.49</v>
      </c>
      <c r="T4981" t="s">
        <v>25464</v>
      </c>
    </row>
    <row r="4982" spans="1:20">
      <c r="A4982">
        <v>3375055</v>
      </c>
      <c r="B4982" t="s">
        <v>25465</v>
      </c>
      <c r="C4982" t="str">
        <f>"9782895441168"</f>
        <v>9782895441168</v>
      </c>
      <c r="D4982" t="str">
        <f>"9782895443353"</f>
        <v>9782895443353</v>
      </c>
      <c r="E4982" t="s">
        <v>24608</v>
      </c>
      <c r="F4982" t="s">
        <v>24608</v>
      </c>
      <c r="G4982" s="1">
        <v>39356</v>
      </c>
      <c r="J4982" t="s">
        <v>24631</v>
      </c>
      <c r="K4982" t="s">
        <v>305</v>
      </c>
      <c r="L4982" t="s">
        <v>25466</v>
      </c>
      <c r="N4982" t="s">
        <v>25467</v>
      </c>
      <c r="O4982" t="s">
        <v>94</v>
      </c>
      <c r="P4982">
        <v>21.99</v>
      </c>
      <c r="Q4982">
        <v>27.49</v>
      </c>
      <c r="R4982">
        <v>21.99</v>
      </c>
      <c r="S4982">
        <v>32.99</v>
      </c>
      <c r="T4982" t="s">
        <v>25468</v>
      </c>
    </row>
    <row r="4983" spans="1:20">
      <c r="A4983">
        <v>3375056</v>
      </c>
      <c r="B4983" t="s">
        <v>25469</v>
      </c>
      <c r="C4983" t="str">
        <f>"9782895440925"</f>
        <v>9782895440925</v>
      </c>
      <c r="D4983" t="str">
        <f>"9782895443124"</f>
        <v>9782895443124</v>
      </c>
      <c r="E4983" t="s">
        <v>24608</v>
      </c>
      <c r="F4983" t="s">
        <v>24608</v>
      </c>
      <c r="G4983" s="1">
        <v>38808</v>
      </c>
      <c r="J4983" t="s">
        <v>25470</v>
      </c>
      <c r="K4983" t="s">
        <v>257</v>
      </c>
      <c r="L4983" t="s">
        <v>25471</v>
      </c>
      <c r="N4983" t="s">
        <v>25472</v>
      </c>
      <c r="O4983" t="s">
        <v>94</v>
      </c>
      <c r="P4983">
        <v>18.989999999999998</v>
      </c>
      <c r="Q4983">
        <v>23.74</v>
      </c>
      <c r="R4983">
        <v>18.989999999999998</v>
      </c>
      <c r="S4983">
        <v>28.49</v>
      </c>
      <c r="T4983" t="s">
        <v>25473</v>
      </c>
    </row>
    <row r="4984" spans="1:20">
      <c r="A4984">
        <v>3375057</v>
      </c>
      <c r="B4984" t="s">
        <v>25474</v>
      </c>
      <c r="C4984" t="str">
        <f>"9782895441359"</f>
        <v>9782895441359</v>
      </c>
      <c r="D4984" t="str">
        <f>"9782895443520"</f>
        <v>9782895443520</v>
      </c>
      <c r="E4984" t="s">
        <v>24608</v>
      </c>
      <c r="F4984" t="s">
        <v>24608</v>
      </c>
      <c r="G4984" s="1">
        <v>39783</v>
      </c>
      <c r="J4984" t="s">
        <v>24614</v>
      </c>
      <c r="K4984" t="s">
        <v>24615</v>
      </c>
      <c r="L4984" t="s">
        <v>25475</v>
      </c>
      <c r="N4984" t="s">
        <v>25476</v>
      </c>
      <c r="O4984" t="s">
        <v>94</v>
      </c>
      <c r="P4984">
        <v>29.99</v>
      </c>
      <c r="Q4984">
        <v>37.49</v>
      </c>
      <c r="R4984">
        <v>29.99</v>
      </c>
      <c r="S4984">
        <v>44.99</v>
      </c>
      <c r="T4984" t="s">
        <v>25477</v>
      </c>
    </row>
    <row r="4985" spans="1:20">
      <c r="A4985">
        <v>3375058</v>
      </c>
      <c r="B4985" t="s">
        <v>25478</v>
      </c>
      <c r="C4985" t="str">
        <f>"9782895441977"</f>
        <v>9782895441977</v>
      </c>
      <c r="D4985" t="str">
        <f>"9782895444503"</f>
        <v>9782895444503</v>
      </c>
      <c r="E4985" t="s">
        <v>24608</v>
      </c>
      <c r="F4985" t="s">
        <v>24608</v>
      </c>
      <c r="G4985" s="1">
        <v>41153</v>
      </c>
      <c r="J4985" t="s">
        <v>24626</v>
      </c>
      <c r="K4985" t="s">
        <v>291</v>
      </c>
      <c r="L4985" t="s">
        <v>25479</v>
      </c>
      <c r="N4985" t="s">
        <v>25480</v>
      </c>
      <c r="O4985" t="s">
        <v>94</v>
      </c>
      <c r="P4985">
        <v>14.99</v>
      </c>
      <c r="Q4985">
        <v>18.739999999999998</v>
      </c>
      <c r="R4985">
        <v>14.99</v>
      </c>
      <c r="S4985">
        <v>22.49</v>
      </c>
      <c r="T4985" t="s">
        <v>25481</v>
      </c>
    </row>
    <row r="4986" spans="1:20">
      <c r="A4986">
        <v>3375059</v>
      </c>
      <c r="B4986" t="s">
        <v>25482</v>
      </c>
      <c r="C4986" t="str">
        <f>"9782895441830"</f>
        <v>9782895441830</v>
      </c>
      <c r="D4986" t="str">
        <f>"9782895444343"</f>
        <v>9782895444343</v>
      </c>
      <c r="E4986" t="s">
        <v>24608</v>
      </c>
      <c r="F4986" t="s">
        <v>24608</v>
      </c>
      <c r="G4986" s="1">
        <v>40817</v>
      </c>
      <c r="J4986" t="s">
        <v>25410</v>
      </c>
      <c r="K4986" t="s">
        <v>155</v>
      </c>
      <c r="L4986" t="s">
        <v>25483</v>
      </c>
      <c r="N4986" t="s">
        <v>25484</v>
      </c>
      <c r="O4986" t="s">
        <v>94</v>
      </c>
      <c r="P4986">
        <v>25.99</v>
      </c>
      <c r="Q4986">
        <v>32.49</v>
      </c>
      <c r="R4986">
        <v>25.99</v>
      </c>
      <c r="S4986">
        <v>38.99</v>
      </c>
      <c r="T4986" t="s">
        <v>25485</v>
      </c>
    </row>
    <row r="4987" spans="1:20">
      <c r="A4987">
        <v>3375060</v>
      </c>
      <c r="B4987" t="s">
        <v>25486</v>
      </c>
      <c r="C4987" t="str">
        <f>"9782895440383"</f>
        <v>9782895440383</v>
      </c>
      <c r="D4987" t="str">
        <f>"9782895442677"</f>
        <v>9782895442677</v>
      </c>
      <c r="E4987" t="s">
        <v>24608</v>
      </c>
      <c r="F4987" t="s">
        <v>24608</v>
      </c>
      <c r="G4987" s="1">
        <v>38047</v>
      </c>
      <c r="J4987" t="s">
        <v>24884</v>
      </c>
      <c r="K4987" t="s">
        <v>12038</v>
      </c>
      <c r="L4987" t="s">
        <v>25487</v>
      </c>
      <c r="N4987" t="s">
        <v>25488</v>
      </c>
      <c r="O4987" t="s">
        <v>94</v>
      </c>
      <c r="P4987">
        <v>14.99</v>
      </c>
      <c r="Q4987">
        <v>18.739999999999998</v>
      </c>
      <c r="R4987">
        <v>14.99</v>
      </c>
      <c r="S4987">
        <v>22.49</v>
      </c>
      <c r="T4987" t="s">
        <v>25489</v>
      </c>
    </row>
    <row r="4988" spans="1:20">
      <c r="A4988">
        <v>3375061</v>
      </c>
      <c r="B4988" t="s">
        <v>25490</v>
      </c>
      <c r="C4988" t="str">
        <f>"9782895440567"</f>
        <v>9782895440567</v>
      </c>
      <c r="D4988" t="str">
        <f>"9782895442844"</f>
        <v>9782895442844</v>
      </c>
      <c r="E4988" t="s">
        <v>24608</v>
      </c>
      <c r="F4988" t="s">
        <v>24608</v>
      </c>
      <c r="G4988" s="1">
        <v>38443</v>
      </c>
      <c r="J4988" t="s">
        <v>24813</v>
      </c>
      <c r="K4988" t="s">
        <v>76</v>
      </c>
      <c r="L4988" t="s">
        <v>25491</v>
      </c>
      <c r="N4988" t="s">
        <v>25492</v>
      </c>
      <c r="O4988" t="s">
        <v>94</v>
      </c>
      <c r="P4988">
        <v>14.99</v>
      </c>
      <c r="Q4988">
        <v>18.739999999999998</v>
      </c>
      <c r="R4988">
        <v>14.99</v>
      </c>
      <c r="S4988">
        <v>22.49</v>
      </c>
      <c r="T4988" t="s">
        <v>25493</v>
      </c>
    </row>
    <row r="4989" spans="1:20">
      <c r="A4989">
        <v>3375062</v>
      </c>
      <c r="B4989" t="s">
        <v>25494</v>
      </c>
      <c r="C4989" t="str">
        <f>"9782921146845"</f>
        <v>9782921146845</v>
      </c>
      <c r="D4989" t="str">
        <f>"9782895442288"</f>
        <v>9782895442288</v>
      </c>
      <c r="E4989" t="s">
        <v>24608</v>
      </c>
      <c r="F4989" t="s">
        <v>24608</v>
      </c>
      <c r="G4989" s="1">
        <v>36404</v>
      </c>
      <c r="J4989" t="s">
        <v>25495</v>
      </c>
      <c r="K4989" t="s">
        <v>3219</v>
      </c>
      <c r="L4989" t="s">
        <v>25496</v>
      </c>
      <c r="M4989" t="s">
        <v>25497</v>
      </c>
      <c r="N4989" t="s">
        <v>25498</v>
      </c>
      <c r="O4989" t="s">
        <v>94</v>
      </c>
      <c r="P4989">
        <v>25.99</v>
      </c>
      <c r="Q4989">
        <v>32.49</v>
      </c>
      <c r="R4989">
        <v>25.99</v>
      </c>
      <c r="S4989">
        <v>38.99</v>
      </c>
      <c r="T4989" t="s">
        <v>25499</v>
      </c>
    </row>
    <row r="4990" spans="1:20">
      <c r="A4990">
        <v>3375063</v>
      </c>
      <c r="B4990" t="s">
        <v>25500</v>
      </c>
      <c r="C4990" t="str">
        <f>"9782921146449"</f>
        <v>9782921146449</v>
      </c>
      <c r="D4990" t="str">
        <f>"9782895442059"</f>
        <v>9782895442059</v>
      </c>
      <c r="E4990" t="s">
        <v>24608</v>
      </c>
      <c r="F4990" t="s">
        <v>24608</v>
      </c>
      <c r="G4990" s="1">
        <v>35855</v>
      </c>
      <c r="J4990" t="s">
        <v>24756</v>
      </c>
      <c r="K4990" t="s">
        <v>2260</v>
      </c>
      <c r="L4990" t="s">
        <v>25501</v>
      </c>
      <c r="N4990" t="s">
        <v>25502</v>
      </c>
      <c r="O4990" t="s">
        <v>94</v>
      </c>
      <c r="P4990">
        <v>30.99</v>
      </c>
      <c r="Q4990">
        <v>38.74</v>
      </c>
      <c r="R4990">
        <v>30.99</v>
      </c>
      <c r="S4990">
        <v>46.49</v>
      </c>
      <c r="T4990" t="s">
        <v>25503</v>
      </c>
    </row>
    <row r="4991" spans="1:20">
      <c r="A4991">
        <v>3375064</v>
      </c>
      <c r="B4991" t="s">
        <v>25504</v>
      </c>
      <c r="C4991" t="str">
        <f>"9782895440314"</f>
        <v>9782895440314</v>
      </c>
      <c r="D4991" t="str">
        <f>"9782895442615"</f>
        <v>9782895442615</v>
      </c>
      <c r="E4991" t="s">
        <v>24608</v>
      </c>
      <c r="F4991" t="s">
        <v>24608</v>
      </c>
      <c r="G4991" s="1">
        <v>37316</v>
      </c>
      <c r="J4991" t="s">
        <v>25505</v>
      </c>
      <c r="K4991" t="s">
        <v>24615</v>
      </c>
      <c r="L4991" t="s">
        <v>25506</v>
      </c>
      <c r="M4991" t="s">
        <v>25507</v>
      </c>
      <c r="N4991" t="s">
        <v>25508</v>
      </c>
      <c r="O4991" t="s">
        <v>94</v>
      </c>
      <c r="P4991">
        <v>21.99</v>
      </c>
      <c r="Q4991">
        <v>27.49</v>
      </c>
      <c r="R4991">
        <v>21.99</v>
      </c>
      <c r="S4991">
        <v>32.99</v>
      </c>
      <c r="T4991" t="s">
        <v>25509</v>
      </c>
    </row>
    <row r="4992" spans="1:20">
      <c r="A4992">
        <v>3375065</v>
      </c>
      <c r="B4992" t="s">
        <v>25510</v>
      </c>
      <c r="C4992" t="str">
        <f>"9782895440086"</f>
        <v>9782895440086</v>
      </c>
      <c r="D4992" t="str">
        <f>"9782895442455"</f>
        <v>9782895442455</v>
      </c>
      <c r="E4992" t="s">
        <v>24608</v>
      </c>
      <c r="F4992" t="s">
        <v>24608</v>
      </c>
      <c r="G4992" s="1">
        <v>36800</v>
      </c>
      <c r="J4992" t="s">
        <v>25511</v>
      </c>
      <c r="K4992" t="s">
        <v>291</v>
      </c>
      <c r="L4992" t="s">
        <v>25512</v>
      </c>
      <c r="M4992" t="s">
        <v>25513</v>
      </c>
      <c r="N4992" t="s">
        <v>25514</v>
      </c>
      <c r="O4992" t="s">
        <v>94</v>
      </c>
      <c r="P4992">
        <v>21.99</v>
      </c>
      <c r="Q4992">
        <v>27.49</v>
      </c>
      <c r="R4992">
        <v>21.99</v>
      </c>
      <c r="S4992">
        <v>32.99</v>
      </c>
      <c r="T4992" t="s">
        <v>25515</v>
      </c>
    </row>
    <row r="4993" spans="1:20">
      <c r="A4993">
        <v>3375066</v>
      </c>
      <c r="B4993" t="s">
        <v>25516</v>
      </c>
      <c r="C4993" t="str">
        <f>"9782921146975"</f>
        <v>9782921146975</v>
      </c>
      <c r="D4993" t="str">
        <f>"9782895442370"</f>
        <v>9782895442370</v>
      </c>
      <c r="E4993" t="s">
        <v>24608</v>
      </c>
      <c r="F4993" t="s">
        <v>24608</v>
      </c>
      <c r="G4993" s="1">
        <v>36586</v>
      </c>
      <c r="J4993" t="s">
        <v>25457</v>
      </c>
      <c r="K4993" t="s">
        <v>791</v>
      </c>
      <c r="L4993" t="s">
        <v>25517</v>
      </c>
      <c r="N4993" t="s">
        <v>25518</v>
      </c>
      <c r="O4993" t="s">
        <v>94</v>
      </c>
      <c r="P4993">
        <v>21.99</v>
      </c>
      <c r="Q4993">
        <v>27.49</v>
      </c>
      <c r="R4993">
        <v>21.99</v>
      </c>
      <c r="S4993">
        <v>32.99</v>
      </c>
      <c r="T4993" t="s">
        <v>25519</v>
      </c>
    </row>
    <row r="4994" spans="1:20">
      <c r="A4994">
        <v>3375067</v>
      </c>
      <c r="B4994" t="s">
        <v>25520</v>
      </c>
      <c r="C4994" t="str">
        <f>"9782921146739"</f>
        <v>9782921146739</v>
      </c>
      <c r="D4994" t="str">
        <f>"9782895442226"</f>
        <v>9782895442226</v>
      </c>
      <c r="E4994" t="s">
        <v>24608</v>
      </c>
      <c r="F4994" t="s">
        <v>24608</v>
      </c>
      <c r="G4994" s="1">
        <v>36069</v>
      </c>
      <c r="J4994" t="s">
        <v>25521</v>
      </c>
      <c r="K4994" t="s">
        <v>263</v>
      </c>
      <c r="L4994" t="s">
        <v>25522</v>
      </c>
      <c r="N4994" t="s">
        <v>25523</v>
      </c>
      <c r="O4994" t="s">
        <v>94</v>
      </c>
      <c r="P4994">
        <v>14.99</v>
      </c>
      <c r="Q4994">
        <v>18.739999999999998</v>
      </c>
      <c r="R4994">
        <v>14.99</v>
      </c>
      <c r="S4994">
        <v>22.49</v>
      </c>
      <c r="T4994" t="s">
        <v>25524</v>
      </c>
    </row>
    <row r="4995" spans="1:20">
      <c r="A4995">
        <v>3375068</v>
      </c>
      <c r="B4995" t="s">
        <v>25525</v>
      </c>
      <c r="C4995" t="str">
        <f>"9782921146531"</f>
        <v>9782921146531</v>
      </c>
      <c r="D4995" t="str">
        <f>"9782895442141"</f>
        <v>9782895442141</v>
      </c>
      <c r="E4995" t="s">
        <v>24608</v>
      </c>
      <c r="F4995" t="s">
        <v>24608</v>
      </c>
      <c r="G4995" s="1">
        <v>36039</v>
      </c>
      <c r="J4995" t="s">
        <v>24646</v>
      </c>
      <c r="K4995" t="s">
        <v>376</v>
      </c>
      <c r="L4995" t="s">
        <v>25526</v>
      </c>
      <c r="M4995">
        <v>362.10971000000001</v>
      </c>
      <c r="N4995" t="s">
        <v>24648</v>
      </c>
      <c r="O4995" t="s">
        <v>26</v>
      </c>
      <c r="P4995">
        <v>33.99</v>
      </c>
      <c r="Q4995">
        <v>42.49</v>
      </c>
      <c r="R4995">
        <v>33.99</v>
      </c>
      <c r="S4995">
        <v>50.99</v>
      </c>
      <c r="T4995" t="s">
        <v>25527</v>
      </c>
    </row>
    <row r="4996" spans="1:20">
      <c r="A4996">
        <v>3375069</v>
      </c>
      <c r="B4996" t="s">
        <v>25528</v>
      </c>
      <c r="C4996" t="str">
        <f>"9782895441564"</f>
        <v>9782895441564</v>
      </c>
      <c r="D4996" t="str">
        <f>"9782895443667"</f>
        <v>9782895443667</v>
      </c>
      <c r="E4996" t="s">
        <v>24608</v>
      </c>
      <c r="F4996" t="s">
        <v>24608</v>
      </c>
      <c r="G4996" s="1">
        <v>40179</v>
      </c>
      <c r="J4996" t="s">
        <v>25470</v>
      </c>
      <c r="K4996" t="s">
        <v>291</v>
      </c>
      <c r="L4996" t="s">
        <v>25529</v>
      </c>
      <c r="N4996" t="s">
        <v>25530</v>
      </c>
      <c r="O4996" t="s">
        <v>94</v>
      </c>
      <c r="P4996">
        <v>21.99</v>
      </c>
      <c r="Q4996">
        <v>27.49</v>
      </c>
      <c r="R4996">
        <v>21.99</v>
      </c>
      <c r="S4996">
        <v>32.99</v>
      </c>
      <c r="T4996" t="s">
        <v>25531</v>
      </c>
    </row>
    <row r="4997" spans="1:20">
      <c r="A4997">
        <v>3375070</v>
      </c>
      <c r="B4997" t="s">
        <v>25532</v>
      </c>
      <c r="C4997" t="str">
        <f>"9782895441250"</f>
        <v>9782895441250</v>
      </c>
      <c r="D4997" t="str">
        <f>"9782895443438"</f>
        <v>9782895443438</v>
      </c>
      <c r="E4997" t="s">
        <v>24608</v>
      </c>
      <c r="F4997" t="s">
        <v>24608</v>
      </c>
      <c r="G4997" s="1">
        <v>39539</v>
      </c>
      <c r="J4997" t="s">
        <v>24823</v>
      </c>
      <c r="K4997" t="s">
        <v>305</v>
      </c>
      <c r="L4997" t="s">
        <v>25533</v>
      </c>
      <c r="N4997" t="s">
        <v>25534</v>
      </c>
      <c r="O4997" t="s">
        <v>94</v>
      </c>
      <c r="P4997">
        <v>18.989999999999998</v>
      </c>
      <c r="Q4997">
        <v>23.74</v>
      </c>
      <c r="R4997">
        <v>18.989999999999998</v>
      </c>
      <c r="S4997">
        <v>28.49</v>
      </c>
      <c r="T4997" t="s">
        <v>25535</v>
      </c>
    </row>
    <row r="4998" spans="1:20">
      <c r="A4998">
        <v>3375071</v>
      </c>
      <c r="B4998" t="s">
        <v>25536</v>
      </c>
      <c r="C4998" t="str">
        <f>"9782895441007"</f>
        <v>9782895441007</v>
      </c>
      <c r="D4998" t="str">
        <f>"9782895443209"</f>
        <v>9782895443209</v>
      </c>
      <c r="E4998" t="s">
        <v>24608</v>
      </c>
      <c r="F4998" t="s">
        <v>24608</v>
      </c>
      <c r="G4998" s="1">
        <v>38961</v>
      </c>
      <c r="J4998" t="s">
        <v>25537</v>
      </c>
      <c r="K4998" t="s">
        <v>1892</v>
      </c>
      <c r="L4998" t="s">
        <v>25538</v>
      </c>
      <c r="N4998" t="s">
        <v>25539</v>
      </c>
      <c r="O4998" t="s">
        <v>94</v>
      </c>
      <c r="P4998">
        <v>18.989999999999998</v>
      </c>
      <c r="Q4998">
        <v>23.74</v>
      </c>
      <c r="R4998">
        <v>18.989999999999998</v>
      </c>
      <c r="S4998">
        <v>28.49</v>
      </c>
      <c r="T4998" t="s">
        <v>25540</v>
      </c>
    </row>
    <row r="4999" spans="1:20">
      <c r="A4999">
        <v>3375072</v>
      </c>
      <c r="B4999" t="s">
        <v>25541</v>
      </c>
      <c r="C4999" t="str">
        <f>"9782895440994"</f>
        <v>9782895440994</v>
      </c>
      <c r="D4999" t="str">
        <f>"9782895443193"</f>
        <v>9782895443193</v>
      </c>
      <c r="E4999" t="s">
        <v>24608</v>
      </c>
      <c r="F4999" t="s">
        <v>24608</v>
      </c>
      <c r="G4999" s="1">
        <v>39630</v>
      </c>
      <c r="J4999" t="s">
        <v>25542</v>
      </c>
      <c r="K4999" t="s">
        <v>1471</v>
      </c>
      <c r="L4999" t="s">
        <v>25543</v>
      </c>
      <c r="M4999">
        <v>769.92</v>
      </c>
      <c r="N4999" t="s">
        <v>25544</v>
      </c>
      <c r="O4999" t="s">
        <v>94</v>
      </c>
      <c r="P4999">
        <v>25.99</v>
      </c>
      <c r="Q4999">
        <v>32.49</v>
      </c>
      <c r="R4999">
        <v>25.99</v>
      </c>
      <c r="S4999">
        <v>38.99</v>
      </c>
      <c r="T4999" t="s">
        <v>25545</v>
      </c>
    </row>
    <row r="5000" spans="1:20">
      <c r="A5000">
        <v>3375073</v>
      </c>
      <c r="B5000" t="s">
        <v>25546</v>
      </c>
      <c r="C5000" t="str">
        <f>"9782895441083"</f>
        <v>9782895441083</v>
      </c>
      <c r="D5000" t="str">
        <f>"9782895443278"</f>
        <v>9782895443278</v>
      </c>
      <c r="E5000" t="s">
        <v>24608</v>
      </c>
      <c r="F5000" t="s">
        <v>24608</v>
      </c>
      <c r="G5000" s="1">
        <v>39142</v>
      </c>
      <c r="J5000" t="s">
        <v>25547</v>
      </c>
      <c r="K5000" t="s">
        <v>467</v>
      </c>
      <c r="L5000" t="s">
        <v>25548</v>
      </c>
      <c r="N5000" t="s">
        <v>25549</v>
      </c>
      <c r="O5000" t="s">
        <v>94</v>
      </c>
      <c r="P5000">
        <v>18.989999999999998</v>
      </c>
      <c r="Q5000">
        <v>23.74</v>
      </c>
      <c r="R5000">
        <v>18.989999999999998</v>
      </c>
      <c r="S5000">
        <v>28.49</v>
      </c>
      <c r="T5000" t="s">
        <v>25550</v>
      </c>
    </row>
    <row r="5001" spans="1:20">
      <c r="A5001">
        <v>3375074</v>
      </c>
      <c r="B5001" t="s">
        <v>25551</v>
      </c>
      <c r="C5001" t="str">
        <f>"9782895441496"</f>
        <v>9782895441496</v>
      </c>
      <c r="D5001" t="str">
        <f>"9782895443605"</f>
        <v>9782895443605</v>
      </c>
      <c r="E5001" t="s">
        <v>24608</v>
      </c>
      <c r="F5001" t="s">
        <v>24608</v>
      </c>
      <c r="G5001" s="1">
        <v>39904</v>
      </c>
      <c r="J5001" t="s">
        <v>24823</v>
      </c>
      <c r="K5001" t="s">
        <v>423</v>
      </c>
      <c r="L5001" t="s">
        <v>25552</v>
      </c>
      <c r="M5001">
        <v>333.79097139999999</v>
      </c>
      <c r="N5001" t="s">
        <v>25553</v>
      </c>
      <c r="O5001" t="s">
        <v>94</v>
      </c>
      <c r="P5001">
        <v>18.989999999999998</v>
      </c>
      <c r="Q5001">
        <v>23.74</v>
      </c>
      <c r="R5001">
        <v>18.989999999999998</v>
      </c>
      <c r="S5001">
        <v>28.49</v>
      </c>
      <c r="T5001" t="s">
        <v>25554</v>
      </c>
    </row>
    <row r="5002" spans="1:20">
      <c r="A5002">
        <v>3375075</v>
      </c>
      <c r="B5002" t="s">
        <v>25555</v>
      </c>
      <c r="C5002" t="str">
        <f>"9782895440833"</f>
        <v>9782895440833</v>
      </c>
      <c r="D5002" t="str">
        <f>"9782895443049"</f>
        <v>9782895443049</v>
      </c>
      <c r="E5002" t="s">
        <v>24608</v>
      </c>
      <c r="F5002" t="s">
        <v>24608</v>
      </c>
      <c r="G5002" s="1">
        <v>38626</v>
      </c>
      <c r="J5002" t="s">
        <v>25556</v>
      </c>
      <c r="K5002" t="s">
        <v>1471</v>
      </c>
      <c r="L5002" t="s">
        <v>25557</v>
      </c>
      <c r="N5002" t="s">
        <v>25558</v>
      </c>
      <c r="O5002" t="s">
        <v>94</v>
      </c>
      <c r="P5002">
        <v>21.99</v>
      </c>
      <c r="Q5002">
        <v>27.49</v>
      </c>
      <c r="R5002">
        <v>21.99</v>
      </c>
      <c r="S5002">
        <v>32.99</v>
      </c>
      <c r="T5002" t="s">
        <v>25559</v>
      </c>
    </row>
    <row r="5003" spans="1:20">
      <c r="A5003">
        <v>3375076</v>
      </c>
      <c r="B5003" t="s">
        <v>25560</v>
      </c>
      <c r="C5003" t="str">
        <f>"9782895441175"</f>
        <v>9782895441175</v>
      </c>
      <c r="D5003" t="str">
        <f>"9782895443360"</f>
        <v>9782895443360</v>
      </c>
      <c r="E5003" t="s">
        <v>24608</v>
      </c>
      <c r="F5003" t="s">
        <v>24608</v>
      </c>
      <c r="G5003" s="1">
        <v>39326</v>
      </c>
      <c r="J5003" t="s">
        <v>25376</v>
      </c>
      <c r="K5003" t="s">
        <v>3951</v>
      </c>
      <c r="L5003" t="s">
        <v>25561</v>
      </c>
      <c r="N5003" t="s">
        <v>25562</v>
      </c>
      <c r="O5003" t="s">
        <v>94</v>
      </c>
      <c r="P5003">
        <v>25.99</v>
      </c>
      <c r="Q5003">
        <v>32.49</v>
      </c>
      <c r="R5003">
        <v>25.99</v>
      </c>
      <c r="S5003">
        <v>38.99</v>
      </c>
      <c r="T5003" t="s">
        <v>25563</v>
      </c>
    </row>
    <row r="5004" spans="1:20">
      <c r="A5004">
        <v>3375077</v>
      </c>
      <c r="B5004" t="s">
        <v>25564</v>
      </c>
      <c r="C5004" t="str">
        <f>"9782895440932"</f>
        <v>9782895440932</v>
      </c>
      <c r="D5004" t="str">
        <f>"9782895443131"</f>
        <v>9782895443131</v>
      </c>
      <c r="E5004" t="s">
        <v>24608</v>
      </c>
      <c r="F5004" t="s">
        <v>24608</v>
      </c>
      <c r="G5004" s="1">
        <v>40057</v>
      </c>
      <c r="J5004" t="s">
        <v>25079</v>
      </c>
      <c r="K5004" t="s">
        <v>24615</v>
      </c>
      <c r="L5004" t="s">
        <v>25565</v>
      </c>
      <c r="M5004" t="s">
        <v>25566</v>
      </c>
      <c r="N5004" t="s">
        <v>25567</v>
      </c>
      <c r="O5004" t="s">
        <v>94</v>
      </c>
      <c r="P5004">
        <v>25.99</v>
      </c>
      <c r="Q5004">
        <v>32.49</v>
      </c>
      <c r="R5004">
        <v>25.99</v>
      </c>
      <c r="S5004">
        <v>38.99</v>
      </c>
      <c r="T5004" t="s">
        <v>25568</v>
      </c>
    </row>
    <row r="5005" spans="1:20">
      <c r="A5005">
        <v>3375078</v>
      </c>
      <c r="B5005" t="s">
        <v>25569</v>
      </c>
      <c r="C5005" t="str">
        <f>"9782895441908"</f>
        <v>9782895441908</v>
      </c>
      <c r="D5005" t="str">
        <f>"9782895444428"</f>
        <v>9782895444428</v>
      </c>
      <c r="E5005" t="s">
        <v>24608</v>
      </c>
      <c r="F5005" t="s">
        <v>24608</v>
      </c>
      <c r="G5005" s="1">
        <v>41000</v>
      </c>
      <c r="J5005" t="s">
        <v>25570</v>
      </c>
      <c r="K5005" t="s">
        <v>76</v>
      </c>
      <c r="L5005" t="s">
        <v>25571</v>
      </c>
      <c r="N5005" t="s">
        <v>25572</v>
      </c>
      <c r="O5005" t="s">
        <v>94</v>
      </c>
      <c r="P5005">
        <v>47.99</v>
      </c>
      <c r="Q5005">
        <v>59.99</v>
      </c>
      <c r="R5005">
        <v>47.99</v>
      </c>
      <c r="S5005">
        <v>71.989999999999995</v>
      </c>
      <c r="T5005" t="s">
        <v>25573</v>
      </c>
    </row>
    <row r="5006" spans="1:20">
      <c r="A5006">
        <v>3375079</v>
      </c>
      <c r="B5006" t="s">
        <v>25574</v>
      </c>
      <c r="C5006" t="str">
        <f>"9782895441984"</f>
        <v>9782895441984</v>
      </c>
      <c r="D5006" t="str">
        <f>"9782895444510"</f>
        <v>9782895444510</v>
      </c>
      <c r="E5006" t="s">
        <v>24608</v>
      </c>
      <c r="F5006" t="s">
        <v>24608</v>
      </c>
      <c r="G5006" s="1">
        <v>41214</v>
      </c>
      <c r="J5006" t="s">
        <v>25575</v>
      </c>
      <c r="K5006" t="s">
        <v>12038</v>
      </c>
      <c r="L5006" t="s">
        <v>25576</v>
      </c>
      <c r="N5006" t="s">
        <v>25577</v>
      </c>
      <c r="O5006" t="s">
        <v>94</v>
      </c>
      <c r="P5006">
        <v>18.989999999999998</v>
      </c>
      <c r="Q5006">
        <v>23.74</v>
      </c>
      <c r="R5006">
        <v>18.989999999999998</v>
      </c>
      <c r="S5006">
        <v>28.49</v>
      </c>
      <c r="T5006" t="s">
        <v>25578</v>
      </c>
    </row>
    <row r="5007" spans="1:20">
      <c r="A5007">
        <v>3375080</v>
      </c>
      <c r="B5007" t="s">
        <v>25579</v>
      </c>
      <c r="C5007" t="str">
        <f>"9782895441847"</f>
        <v>9782895441847</v>
      </c>
      <c r="D5007" t="str">
        <f>"9782895444350"</f>
        <v>9782895444350</v>
      </c>
      <c r="E5007" t="s">
        <v>24608</v>
      </c>
      <c r="F5007" t="s">
        <v>24608</v>
      </c>
      <c r="G5007" s="1">
        <v>40817</v>
      </c>
      <c r="J5007" t="s">
        <v>25580</v>
      </c>
      <c r="K5007" t="s">
        <v>30</v>
      </c>
      <c r="L5007" t="s">
        <v>25581</v>
      </c>
      <c r="N5007" t="s">
        <v>25582</v>
      </c>
      <c r="O5007" t="s">
        <v>94</v>
      </c>
      <c r="P5007">
        <v>18.989999999999998</v>
      </c>
      <c r="Q5007">
        <v>23.74</v>
      </c>
      <c r="R5007">
        <v>18.989999999999998</v>
      </c>
      <c r="S5007">
        <v>28.49</v>
      </c>
      <c r="T5007" t="s">
        <v>25583</v>
      </c>
    </row>
    <row r="5008" spans="1:20">
      <c r="A5008">
        <v>3375081</v>
      </c>
      <c r="B5008" t="s">
        <v>25584</v>
      </c>
      <c r="C5008" t="str">
        <f>"9782895441892"</f>
        <v>9782895441892</v>
      </c>
      <c r="D5008" t="str">
        <f>"9782895444411"</f>
        <v>9782895444411</v>
      </c>
      <c r="E5008" t="s">
        <v>24608</v>
      </c>
      <c r="F5008" t="s">
        <v>24608</v>
      </c>
      <c r="G5008" s="1">
        <v>40878</v>
      </c>
      <c r="J5008" t="s">
        <v>25585</v>
      </c>
      <c r="K5008" t="s">
        <v>291</v>
      </c>
      <c r="L5008" t="s">
        <v>25586</v>
      </c>
      <c r="N5008" t="s">
        <v>25587</v>
      </c>
      <c r="O5008" t="s">
        <v>94</v>
      </c>
      <c r="P5008">
        <v>25.99</v>
      </c>
      <c r="Q5008">
        <v>32.49</v>
      </c>
      <c r="R5008">
        <v>25.99</v>
      </c>
      <c r="S5008">
        <v>38.99</v>
      </c>
      <c r="T5008" t="s">
        <v>25588</v>
      </c>
    </row>
    <row r="5009" spans="1:20">
      <c r="A5009">
        <v>3375082</v>
      </c>
      <c r="B5009" t="s">
        <v>25589</v>
      </c>
      <c r="C5009" t="str">
        <f>"9782895440642"</f>
        <v>9782895440642</v>
      </c>
      <c r="D5009" t="str">
        <f>"9782895442912"</f>
        <v>9782895442912</v>
      </c>
      <c r="E5009" t="s">
        <v>24608</v>
      </c>
      <c r="F5009" t="s">
        <v>24608</v>
      </c>
      <c r="G5009" s="1">
        <v>38231</v>
      </c>
      <c r="J5009" t="s">
        <v>25590</v>
      </c>
      <c r="K5009" t="s">
        <v>416</v>
      </c>
      <c r="L5009" t="s">
        <v>25591</v>
      </c>
      <c r="M5009" t="s">
        <v>25592</v>
      </c>
      <c r="N5009" t="s">
        <v>25593</v>
      </c>
      <c r="O5009" t="s">
        <v>94</v>
      </c>
      <c r="P5009">
        <v>21.99</v>
      </c>
      <c r="Q5009">
        <v>27.49</v>
      </c>
      <c r="R5009">
        <v>21.99</v>
      </c>
      <c r="S5009">
        <v>32.99</v>
      </c>
      <c r="T5009" t="s">
        <v>25594</v>
      </c>
    </row>
    <row r="5010" spans="1:20">
      <c r="A5010">
        <v>3375083</v>
      </c>
      <c r="B5010" t="s">
        <v>25595</v>
      </c>
      <c r="C5010" t="str">
        <f>"9782895441748"</f>
        <v>9782895441748</v>
      </c>
      <c r="D5010" t="str">
        <f>"9782895444251"</f>
        <v>9782895444251</v>
      </c>
      <c r="E5010" t="s">
        <v>24608</v>
      </c>
      <c r="F5010" t="s">
        <v>24608</v>
      </c>
      <c r="G5010" s="1">
        <v>40452</v>
      </c>
      <c r="J5010" t="s">
        <v>25596</v>
      </c>
      <c r="K5010" t="s">
        <v>12038</v>
      </c>
      <c r="L5010" t="s">
        <v>25597</v>
      </c>
      <c r="N5010" t="s">
        <v>25217</v>
      </c>
      <c r="O5010" t="s">
        <v>94</v>
      </c>
      <c r="P5010">
        <v>18.989999999999998</v>
      </c>
      <c r="Q5010">
        <v>23.74</v>
      </c>
      <c r="R5010">
        <v>18.989999999999998</v>
      </c>
      <c r="S5010">
        <v>28.49</v>
      </c>
      <c r="T5010" t="s">
        <v>25598</v>
      </c>
    </row>
    <row r="5011" spans="1:20">
      <c r="A5011">
        <v>3375084</v>
      </c>
      <c r="B5011" t="s">
        <v>25599</v>
      </c>
      <c r="C5011" t="str">
        <f>"9782895444633"</f>
        <v>9782895444633</v>
      </c>
      <c r="D5011" t="str">
        <f>"9782895445128"</f>
        <v>9782895445128</v>
      </c>
      <c r="E5011" t="s">
        <v>24608</v>
      </c>
      <c r="F5011" t="s">
        <v>24608</v>
      </c>
      <c r="G5011" s="1">
        <v>41548</v>
      </c>
      <c r="J5011" t="s">
        <v>25600</v>
      </c>
      <c r="K5011" t="s">
        <v>2387</v>
      </c>
      <c r="L5011" t="s">
        <v>25601</v>
      </c>
      <c r="M5011">
        <v>640.41</v>
      </c>
      <c r="N5011" t="s">
        <v>25602</v>
      </c>
      <c r="O5011" t="s">
        <v>94</v>
      </c>
      <c r="P5011">
        <v>0</v>
      </c>
      <c r="Q5011">
        <v>0</v>
      </c>
      <c r="R5011">
        <v>0</v>
      </c>
      <c r="S5011">
        <v>0</v>
      </c>
      <c r="T5011" t="s">
        <v>25603</v>
      </c>
    </row>
    <row r="5012" spans="1:20">
      <c r="A5012">
        <v>3375085</v>
      </c>
      <c r="B5012" t="s">
        <v>25604</v>
      </c>
      <c r="C5012" t="str">
        <f>"9782895444589"</f>
        <v>9782895444589</v>
      </c>
      <c r="D5012" t="str">
        <f>"9782895445074"</f>
        <v>9782895445074</v>
      </c>
      <c r="E5012" t="s">
        <v>24608</v>
      </c>
      <c r="F5012" t="s">
        <v>24608</v>
      </c>
      <c r="G5012" s="1">
        <v>41548</v>
      </c>
      <c r="J5012" t="s">
        <v>24787</v>
      </c>
      <c r="K5012" t="s">
        <v>16769</v>
      </c>
      <c r="L5012" t="s">
        <v>25605</v>
      </c>
      <c r="M5012">
        <v>520</v>
      </c>
      <c r="N5012" t="s">
        <v>24899</v>
      </c>
      <c r="O5012" t="s">
        <v>94</v>
      </c>
      <c r="P5012">
        <v>9.99</v>
      </c>
      <c r="Q5012">
        <v>12.49</v>
      </c>
      <c r="R5012">
        <v>9.99</v>
      </c>
      <c r="S5012">
        <v>14.99</v>
      </c>
      <c r="T5012" t="s">
        <v>25606</v>
      </c>
    </row>
    <row r="5013" spans="1:20">
      <c r="A5013">
        <v>3375086</v>
      </c>
      <c r="B5013" t="s">
        <v>25607</v>
      </c>
      <c r="C5013" t="str">
        <f>"9782895444619"</f>
        <v>9782895444619</v>
      </c>
      <c r="D5013" t="str">
        <f>"9782895445111"</f>
        <v>9782895445111</v>
      </c>
      <c r="E5013" t="s">
        <v>24608</v>
      </c>
      <c r="F5013" t="s">
        <v>24608</v>
      </c>
      <c r="G5013" s="1">
        <v>41518</v>
      </c>
      <c r="J5013" t="s">
        <v>25376</v>
      </c>
      <c r="K5013" t="s">
        <v>25608</v>
      </c>
      <c r="L5013" t="s">
        <v>25609</v>
      </c>
      <c r="M5013">
        <v>634.96180973000003</v>
      </c>
      <c r="N5013" t="s">
        <v>25610</v>
      </c>
      <c r="O5013" t="s">
        <v>94</v>
      </c>
      <c r="P5013">
        <v>21.99</v>
      </c>
      <c r="Q5013">
        <v>27.49</v>
      </c>
      <c r="R5013">
        <v>21.99</v>
      </c>
      <c r="S5013">
        <v>32.99</v>
      </c>
      <c r="T5013" t="s">
        <v>25611</v>
      </c>
    </row>
    <row r="5014" spans="1:20">
      <c r="A5014">
        <v>3375087</v>
      </c>
      <c r="B5014" t="s">
        <v>25612</v>
      </c>
      <c r="C5014" t="str">
        <f>"9782895444565"</f>
        <v>9782895444565</v>
      </c>
      <c r="D5014" t="str">
        <f>"9782895445043"</f>
        <v>9782895445043</v>
      </c>
      <c r="E5014" t="s">
        <v>24608</v>
      </c>
      <c r="F5014" t="s">
        <v>24608</v>
      </c>
      <c r="G5014" s="1">
        <v>41548</v>
      </c>
      <c r="J5014" t="s">
        <v>25613</v>
      </c>
      <c r="K5014" t="s">
        <v>2260</v>
      </c>
      <c r="L5014" t="s">
        <v>25614</v>
      </c>
      <c r="M5014">
        <v>616.99405000000002</v>
      </c>
      <c r="N5014" t="s">
        <v>25615</v>
      </c>
      <c r="O5014" t="s">
        <v>94</v>
      </c>
      <c r="P5014">
        <v>18.989999999999998</v>
      </c>
      <c r="Q5014">
        <v>23.74</v>
      </c>
      <c r="R5014">
        <v>18.989999999999998</v>
      </c>
      <c r="S5014">
        <v>28.49</v>
      </c>
      <c r="T5014" t="s">
        <v>25616</v>
      </c>
    </row>
    <row r="5015" spans="1:20">
      <c r="A5015">
        <v>3375088</v>
      </c>
      <c r="B5015" t="s">
        <v>25617</v>
      </c>
      <c r="C5015" t="str">
        <f>"9782895444602"</f>
        <v>9782895444602</v>
      </c>
      <c r="D5015" t="str">
        <f>"9782895445098"</f>
        <v>9782895445098</v>
      </c>
      <c r="E5015" t="s">
        <v>24608</v>
      </c>
      <c r="F5015" t="s">
        <v>24608</v>
      </c>
      <c r="G5015" s="1">
        <v>41548</v>
      </c>
      <c r="J5015" t="s">
        <v>25001</v>
      </c>
      <c r="K5015" t="s">
        <v>2260</v>
      </c>
      <c r="L5015" t="s">
        <v>25618</v>
      </c>
      <c r="M5015">
        <v>617.02319999999997</v>
      </c>
      <c r="N5015" t="s">
        <v>25619</v>
      </c>
      <c r="O5015" t="s">
        <v>94</v>
      </c>
      <c r="P5015">
        <v>13.99</v>
      </c>
      <c r="Q5015">
        <v>17.489999999999998</v>
      </c>
      <c r="R5015">
        <v>13.99</v>
      </c>
      <c r="S5015">
        <v>20.99</v>
      </c>
      <c r="T5015" t="s">
        <v>25620</v>
      </c>
    </row>
    <row r="5016" spans="1:20">
      <c r="A5016">
        <v>3375089</v>
      </c>
      <c r="B5016" t="s">
        <v>25621</v>
      </c>
      <c r="C5016" t="str">
        <f>"9782895444640"</f>
        <v>9782895444640</v>
      </c>
      <c r="D5016" t="str">
        <f>"9782895445135"</f>
        <v>9782895445135</v>
      </c>
      <c r="E5016" t="s">
        <v>24608</v>
      </c>
      <c r="F5016" t="s">
        <v>24608</v>
      </c>
      <c r="G5016" s="1">
        <v>41518</v>
      </c>
      <c r="J5016" t="s">
        <v>25622</v>
      </c>
      <c r="K5016" t="s">
        <v>24788</v>
      </c>
      <c r="L5016" t="s">
        <v>25623</v>
      </c>
      <c r="M5016">
        <v>523.01</v>
      </c>
      <c r="N5016" t="s">
        <v>25624</v>
      </c>
      <c r="O5016" t="s">
        <v>94</v>
      </c>
      <c r="P5016">
        <v>24.99</v>
      </c>
      <c r="Q5016">
        <v>31.24</v>
      </c>
      <c r="R5016">
        <v>24.99</v>
      </c>
      <c r="S5016">
        <v>37.49</v>
      </c>
      <c r="T5016" t="s">
        <v>25625</v>
      </c>
    </row>
    <row r="5017" spans="1:20">
      <c r="A5017">
        <v>3375090</v>
      </c>
      <c r="B5017" t="s">
        <v>25626</v>
      </c>
      <c r="C5017" t="str">
        <f>"9782895444558"</f>
        <v>9782895444558</v>
      </c>
      <c r="D5017" t="str">
        <f>"9782895445036"</f>
        <v>9782895445036</v>
      </c>
      <c r="E5017" t="s">
        <v>24608</v>
      </c>
      <c r="F5017" t="s">
        <v>24608</v>
      </c>
      <c r="G5017" s="1">
        <v>41487</v>
      </c>
      <c r="J5017" t="s">
        <v>25627</v>
      </c>
      <c r="K5017" t="s">
        <v>263</v>
      </c>
      <c r="L5017" t="s">
        <v>25628</v>
      </c>
      <c r="N5017" t="s">
        <v>25629</v>
      </c>
      <c r="O5017" t="s">
        <v>94</v>
      </c>
      <c r="P5017">
        <v>29.99</v>
      </c>
      <c r="Q5017">
        <v>37.49</v>
      </c>
      <c r="R5017">
        <v>29.99</v>
      </c>
      <c r="S5017">
        <v>44.99</v>
      </c>
      <c r="T5017" t="s">
        <v>25630</v>
      </c>
    </row>
    <row r="5018" spans="1:20">
      <c r="A5018">
        <v>3385978</v>
      </c>
      <c r="B5018" t="s">
        <v>25631</v>
      </c>
      <c r="C5018" t="str">
        <f>"9780887510854"</f>
        <v>9780887510854</v>
      </c>
      <c r="D5018" t="str">
        <f>""</f>
        <v/>
      </c>
      <c r="E5018" t="s">
        <v>25632</v>
      </c>
      <c r="F5018" t="s">
        <v>25632</v>
      </c>
      <c r="G5018" s="1">
        <v>36861</v>
      </c>
      <c r="J5018" t="s">
        <v>25633</v>
      </c>
      <c r="K5018" t="s">
        <v>257</v>
      </c>
      <c r="L5018" t="s">
        <v>25634</v>
      </c>
      <c r="M5018">
        <v>371.3</v>
      </c>
      <c r="N5018" t="s">
        <v>25635</v>
      </c>
      <c r="O5018" t="s">
        <v>26</v>
      </c>
      <c r="R5018">
        <v>25.5</v>
      </c>
      <c r="S5018">
        <v>38.25</v>
      </c>
      <c r="T5018" t="s">
        <v>25636</v>
      </c>
    </row>
    <row r="5019" spans="1:20">
      <c r="A5019">
        <v>3385982</v>
      </c>
      <c r="B5019" t="s">
        <v>25637</v>
      </c>
      <c r="C5019" t="str">
        <f>"9780887510816"</f>
        <v>9780887510816</v>
      </c>
      <c r="D5019" t="str">
        <f>""</f>
        <v/>
      </c>
      <c r="E5019" t="s">
        <v>25632</v>
      </c>
      <c r="F5019" t="s">
        <v>25632</v>
      </c>
      <c r="G5019" s="1">
        <v>36861</v>
      </c>
      <c r="J5019" t="s">
        <v>25633</v>
      </c>
      <c r="K5019" t="s">
        <v>257</v>
      </c>
      <c r="L5019" t="s">
        <v>25638</v>
      </c>
      <c r="M5019">
        <v>371.3</v>
      </c>
      <c r="N5019" t="s">
        <v>25635</v>
      </c>
      <c r="O5019" t="s">
        <v>26</v>
      </c>
      <c r="R5019">
        <v>25.5</v>
      </c>
      <c r="S5019">
        <v>38.25</v>
      </c>
      <c r="T5019" t="s">
        <v>25639</v>
      </c>
    </row>
    <row r="5020" spans="1:20">
      <c r="A5020">
        <v>3385983</v>
      </c>
      <c r="B5020" t="s">
        <v>25640</v>
      </c>
      <c r="C5020" t="str">
        <f>"9780887510878"</f>
        <v>9780887510878</v>
      </c>
      <c r="D5020" t="str">
        <f>""</f>
        <v/>
      </c>
      <c r="E5020" t="s">
        <v>25632</v>
      </c>
      <c r="F5020" t="s">
        <v>25632</v>
      </c>
      <c r="G5020" s="1">
        <v>36495</v>
      </c>
      <c r="J5020" t="s">
        <v>25641</v>
      </c>
      <c r="K5020" t="s">
        <v>257</v>
      </c>
      <c r="L5020" t="s">
        <v>25642</v>
      </c>
      <c r="M5020" t="s">
        <v>25643</v>
      </c>
      <c r="N5020" t="s">
        <v>25644</v>
      </c>
      <c r="O5020" t="s">
        <v>26</v>
      </c>
      <c r="R5020">
        <v>27.5</v>
      </c>
      <c r="S5020">
        <v>41.25</v>
      </c>
      <c r="T5020" t="s">
        <v>25645</v>
      </c>
    </row>
    <row r="5021" spans="1:20">
      <c r="A5021">
        <v>3386000</v>
      </c>
      <c r="B5021" t="s">
        <v>25646</v>
      </c>
      <c r="C5021" t="str">
        <f>"9780887511226"</f>
        <v>9780887511226</v>
      </c>
      <c r="D5021" t="str">
        <f>""</f>
        <v/>
      </c>
      <c r="E5021" t="s">
        <v>25632</v>
      </c>
      <c r="F5021" t="s">
        <v>25647</v>
      </c>
      <c r="G5021" s="1">
        <v>41091</v>
      </c>
      <c r="H5021">
        <v>3</v>
      </c>
      <c r="I5021" t="s">
        <v>25648</v>
      </c>
      <c r="J5021" t="s">
        <v>25649</v>
      </c>
      <c r="K5021" t="s">
        <v>4081</v>
      </c>
      <c r="L5021" t="s">
        <v>25650</v>
      </c>
      <c r="M5021" t="s">
        <v>25651</v>
      </c>
      <c r="N5021" t="s">
        <v>25652</v>
      </c>
      <c r="O5021" t="s">
        <v>26</v>
      </c>
      <c r="R5021">
        <v>18.95</v>
      </c>
      <c r="S5021">
        <v>28.43</v>
      </c>
      <c r="T5021" t="s">
        <v>25653</v>
      </c>
    </row>
    <row r="5022" spans="1:20">
      <c r="A5022">
        <v>3386001</v>
      </c>
      <c r="B5022" t="s">
        <v>25654</v>
      </c>
      <c r="C5022" t="str">
        <f>"9780887511240"</f>
        <v>9780887511240</v>
      </c>
      <c r="D5022" t="str">
        <f>""</f>
        <v/>
      </c>
      <c r="E5022" t="s">
        <v>25632</v>
      </c>
      <c r="F5022" t="s">
        <v>25655</v>
      </c>
      <c r="G5022" s="1">
        <v>41426</v>
      </c>
      <c r="J5022" t="s">
        <v>25656</v>
      </c>
      <c r="K5022" t="s">
        <v>4081</v>
      </c>
      <c r="L5022" t="s">
        <v>25657</v>
      </c>
      <c r="N5022" t="s">
        <v>25658</v>
      </c>
      <c r="O5022" t="s">
        <v>26</v>
      </c>
      <c r="R5022">
        <v>28</v>
      </c>
      <c r="S5022">
        <v>42</v>
      </c>
      <c r="T5022" t="s">
        <v>25659</v>
      </c>
    </row>
    <row r="5023" spans="1:20">
      <c r="A5023">
        <v>3398638</v>
      </c>
      <c r="B5023" t="s">
        <v>25660</v>
      </c>
      <c r="C5023" t="str">
        <f>""</f>
        <v/>
      </c>
      <c r="D5023" t="str">
        <f>"9782764409190"</f>
        <v>9782764409190</v>
      </c>
      <c r="E5023" t="s">
        <v>25661</v>
      </c>
      <c r="F5023" t="s">
        <v>25662</v>
      </c>
      <c r="G5023" s="1">
        <v>41122</v>
      </c>
      <c r="J5023" t="s">
        <v>25663</v>
      </c>
      <c r="K5023" t="s">
        <v>791</v>
      </c>
      <c r="L5023" t="s">
        <v>25664</v>
      </c>
      <c r="N5023" t="s">
        <v>25665</v>
      </c>
      <c r="O5023" t="s">
        <v>26</v>
      </c>
      <c r="Q5023">
        <v>12.49</v>
      </c>
      <c r="R5023">
        <v>9.99</v>
      </c>
      <c r="S5023">
        <v>14.99</v>
      </c>
      <c r="T5023" t="s">
        <v>25666</v>
      </c>
    </row>
    <row r="5024" spans="1:20">
      <c r="A5024">
        <v>3398639</v>
      </c>
      <c r="B5024" t="s">
        <v>25667</v>
      </c>
      <c r="C5024" t="str">
        <f>""</f>
        <v/>
      </c>
      <c r="D5024" t="str">
        <f>"9782764409046"</f>
        <v>9782764409046</v>
      </c>
      <c r="E5024" t="s">
        <v>25661</v>
      </c>
      <c r="F5024" t="s">
        <v>25662</v>
      </c>
      <c r="G5024" s="1">
        <v>41122</v>
      </c>
      <c r="I5024" t="s">
        <v>25668</v>
      </c>
      <c r="J5024" t="s">
        <v>25663</v>
      </c>
      <c r="K5024" t="s">
        <v>12038</v>
      </c>
      <c r="L5024" t="s">
        <v>25669</v>
      </c>
      <c r="N5024" t="s">
        <v>25670</v>
      </c>
      <c r="O5024" t="s">
        <v>26</v>
      </c>
      <c r="Q5024">
        <v>16.239999999999998</v>
      </c>
      <c r="R5024">
        <v>12.99</v>
      </c>
      <c r="S5024">
        <v>19.489999999999998</v>
      </c>
      <c r="T5024" t="s">
        <v>25671</v>
      </c>
    </row>
    <row r="5025" spans="1:20">
      <c r="A5025">
        <v>3398640</v>
      </c>
      <c r="B5025" t="s">
        <v>25672</v>
      </c>
      <c r="C5025" t="str">
        <f>""</f>
        <v/>
      </c>
      <c r="D5025" t="str">
        <f>"9782764409213"</f>
        <v>9782764409213</v>
      </c>
      <c r="E5025" t="s">
        <v>25661</v>
      </c>
      <c r="F5025" t="s">
        <v>25662</v>
      </c>
      <c r="G5025" s="1">
        <v>41122</v>
      </c>
      <c r="J5025" t="s">
        <v>25663</v>
      </c>
      <c r="K5025" t="s">
        <v>155</v>
      </c>
      <c r="L5025" t="s">
        <v>25673</v>
      </c>
      <c r="N5025" t="s">
        <v>25674</v>
      </c>
      <c r="O5025" t="s">
        <v>26</v>
      </c>
      <c r="Q5025">
        <v>12.49</v>
      </c>
      <c r="R5025">
        <v>9.99</v>
      </c>
      <c r="S5025">
        <v>14.99</v>
      </c>
      <c r="T5025" t="s">
        <v>25675</v>
      </c>
    </row>
    <row r="5026" spans="1:20">
      <c r="A5026">
        <v>3398641</v>
      </c>
      <c r="B5026" t="s">
        <v>25676</v>
      </c>
      <c r="C5026" t="str">
        <f>""</f>
        <v/>
      </c>
      <c r="D5026" t="str">
        <f>"9782764411896"</f>
        <v>9782764411896</v>
      </c>
      <c r="E5026" t="s">
        <v>25661</v>
      </c>
      <c r="F5026" t="s">
        <v>25662</v>
      </c>
      <c r="G5026" s="1">
        <v>41334</v>
      </c>
      <c r="J5026" t="s">
        <v>25663</v>
      </c>
      <c r="K5026" t="s">
        <v>376</v>
      </c>
      <c r="L5026" t="s">
        <v>25677</v>
      </c>
      <c r="N5026" t="s">
        <v>25678</v>
      </c>
      <c r="O5026" t="s">
        <v>26</v>
      </c>
      <c r="Q5026">
        <v>33.74</v>
      </c>
      <c r="R5026">
        <v>26.99</v>
      </c>
      <c r="S5026">
        <v>40.49</v>
      </c>
      <c r="T5026" t="s">
        <v>25679</v>
      </c>
    </row>
    <row r="5027" spans="1:20">
      <c r="A5027">
        <v>3398642</v>
      </c>
      <c r="B5027" t="s">
        <v>25680</v>
      </c>
      <c r="C5027" t="str">
        <f>"9782890379701"</f>
        <v>9782890379701</v>
      </c>
      <c r="D5027" t="str">
        <f>"9782764411667"</f>
        <v>9782764411667</v>
      </c>
      <c r="E5027" t="s">
        <v>25662</v>
      </c>
      <c r="F5027" t="s">
        <v>25662</v>
      </c>
      <c r="G5027" s="1">
        <v>36100</v>
      </c>
      <c r="J5027" t="s">
        <v>25663</v>
      </c>
      <c r="K5027" t="s">
        <v>263</v>
      </c>
      <c r="L5027" t="s">
        <v>25681</v>
      </c>
      <c r="N5027" t="s">
        <v>25682</v>
      </c>
      <c r="O5027" t="s">
        <v>94</v>
      </c>
      <c r="Q5027">
        <v>12.49</v>
      </c>
      <c r="R5027">
        <v>9.99</v>
      </c>
      <c r="S5027">
        <v>14.99</v>
      </c>
      <c r="T5027" t="s">
        <v>25683</v>
      </c>
    </row>
    <row r="5028" spans="1:20">
      <c r="A5028">
        <v>3398643</v>
      </c>
      <c r="B5028" t="s">
        <v>25684</v>
      </c>
      <c r="C5028" t="str">
        <f>"9782764408346"</f>
        <v>9782764408346</v>
      </c>
      <c r="D5028" t="str">
        <f>"9782764411438"</f>
        <v>9782764411438</v>
      </c>
      <c r="E5028" t="s">
        <v>25662</v>
      </c>
      <c r="F5028" t="s">
        <v>25662</v>
      </c>
      <c r="G5028" s="1">
        <v>38596</v>
      </c>
      <c r="I5028" t="s">
        <v>25685</v>
      </c>
      <c r="J5028" t="s">
        <v>25663</v>
      </c>
      <c r="K5028" t="s">
        <v>24788</v>
      </c>
      <c r="L5028" t="s">
        <v>25686</v>
      </c>
      <c r="N5028" t="s">
        <v>25687</v>
      </c>
      <c r="O5028" t="s">
        <v>94</v>
      </c>
      <c r="Q5028">
        <v>11.24</v>
      </c>
      <c r="R5028">
        <v>8.99</v>
      </c>
      <c r="S5028">
        <v>13.49</v>
      </c>
      <c r="T5028" t="s">
        <v>25688</v>
      </c>
    </row>
    <row r="5029" spans="1:20">
      <c r="A5029">
        <v>3398644</v>
      </c>
      <c r="B5029" t="s">
        <v>25689</v>
      </c>
      <c r="C5029" t="str">
        <f>"9782764408148"</f>
        <v>9782764408148</v>
      </c>
      <c r="D5029" t="str">
        <f>"9782764411834"</f>
        <v>9782764411834</v>
      </c>
      <c r="E5029" t="s">
        <v>25661</v>
      </c>
      <c r="F5029" t="s">
        <v>25662</v>
      </c>
      <c r="G5029" s="1">
        <v>37926</v>
      </c>
      <c r="J5029" t="s">
        <v>25690</v>
      </c>
      <c r="K5029" t="s">
        <v>4081</v>
      </c>
      <c r="L5029" t="s">
        <v>25691</v>
      </c>
      <c r="N5029" t="s">
        <v>25692</v>
      </c>
      <c r="O5029" t="s">
        <v>26</v>
      </c>
      <c r="Q5029">
        <v>18.739999999999998</v>
      </c>
      <c r="R5029">
        <v>14.99</v>
      </c>
      <c r="S5029">
        <v>22.49</v>
      </c>
      <c r="T5029" t="s">
        <v>25693</v>
      </c>
    </row>
    <row r="5030" spans="1:20">
      <c r="A5030">
        <v>3398645</v>
      </c>
      <c r="B5030" t="s">
        <v>25694</v>
      </c>
      <c r="C5030" t="str">
        <f>"9782764408261"</f>
        <v>9782764408261</v>
      </c>
      <c r="D5030" t="str">
        <f>"9782764411520"</f>
        <v>9782764411520</v>
      </c>
      <c r="E5030" t="s">
        <v>25662</v>
      </c>
      <c r="F5030" t="s">
        <v>25662</v>
      </c>
      <c r="G5030" s="1">
        <v>38384</v>
      </c>
      <c r="I5030" t="s">
        <v>25695</v>
      </c>
      <c r="J5030" t="s">
        <v>25663</v>
      </c>
      <c r="K5030" t="s">
        <v>11256</v>
      </c>
      <c r="L5030" t="s">
        <v>25696</v>
      </c>
      <c r="N5030" t="s">
        <v>25697</v>
      </c>
      <c r="O5030" t="s">
        <v>94</v>
      </c>
      <c r="Q5030">
        <v>11.24</v>
      </c>
      <c r="R5030">
        <v>8.99</v>
      </c>
      <c r="S5030">
        <v>13.49</v>
      </c>
      <c r="T5030" t="s">
        <v>25698</v>
      </c>
    </row>
    <row r="5031" spans="1:20">
      <c r="A5031">
        <v>3398646</v>
      </c>
      <c r="B5031" t="s">
        <v>25699</v>
      </c>
      <c r="C5031" t="str">
        <f>"9782764408414"</f>
        <v>9782764408414</v>
      </c>
      <c r="D5031" t="str">
        <f>"9782764411360"</f>
        <v>9782764411360</v>
      </c>
      <c r="E5031" t="s">
        <v>25662</v>
      </c>
      <c r="F5031" t="s">
        <v>25662</v>
      </c>
      <c r="G5031" s="1">
        <v>38991</v>
      </c>
      <c r="I5031" t="s">
        <v>25700</v>
      </c>
      <c r="J5031" t="s">
        <v>25663</v>
      </c>
      <c r="K5031" t="s">
        <v>1471</v>
      </c>
      <c r="L5031" t="s">
        <v>25701</v>
      </c>
      <c r="N5031" t="s">
        <v>25702</v>
      </c>
      <c r="O5031" t="s">
        <v>94</v>
      </c>
      <c r="Q5031">
        <v>16.239999999999998</v>
      </c>
      <c r="R5031">
        <v>12.99</v>
      </c>
      <c r="S5031">
        <v>19.489999999999998</v>
      </c>
      <c r="T5031" t="s">
        <v>25703</v>
      </c>
    </row>
    <row r="5032" spans="1:20">
      <c r="A5032">
        <v>3398647</v>
      </c>
      <c r="B5032" t="s">
        <v>25704</v>
      </c>
      <c r="C5032" t="str">
        <f>"9782764408452"</f>
        <v>9782764408452</v>
      </c>
      <c r="D5032" t="str">
        <f>"9782764411131"</f>
        <v>9782764411131</v>
      </c>
      <c r="E5032" t="s">
        <v>25662</v>
      </c>
      <c r="F5032" t="s">
        <v>25662</v>
      </c>
      <c r="G5032" s="1">
        <v>38930</v>
      </c>
      <c r="J5032" t="s">
        <v>25663</v>
      </c>
      <c r="K5032" t="s">
        <v>791</v>
      </c>
      <c r="L5032" t="s">
        <v>25705</v>
      </c>
      <c r="N5032" t="s">
        <v>25706</v>
      </c>
      <c r="O5032" t="s">
        <v>94</v>
      </c>
      <c r="Q5032">
        <v>16.239999999999998</v>
      </c>
      <c r="R5032">
        <v>12.99</v>
      </c>
      <c r="S5032">
        <v>19.489999999999998</v>
      </c>
      <c r="T5032" t="s">
        <v>25707</v>
      </c>
    </row>
    <row r="5033" spans="1:20">
      <c r="A5033">
        <v>3398648</v>
      </c>
      <c r="B5033" t="s">
        <v>25708</v>
      </c>
      <c r="C5033" t="str">
        <f>""</f>
        <v/>
      </c>
      <c r="D5033" t="str">
        <f>"9782764408933"</f>
        <v>9782764408933</v>
      </c>
      <c r="E5033" t="s">
        <v>25661</v>
      </c>
      <c r="F5033" t="s">
        <v>25662</v>
      </c>
      <c r="G5033" s="1">
        <v>41153</v>
      </c>
      <c r="I5033" t="s">
        <v>25709</v>
      </c>
      <c r="J5033" t="s">
        <v>25663</v>
      </c>
      <c r="K5033" t="s">
        <v>791</v>
      </c>
      <c r="L5033" t="s">
        <v>25710</v>
      </c>
      <c r="N5033" t="s">
        <v>25711</v>
      </c>
      <c r="O5033" t="s">
        <v>26</v>
      </c>
      <c r="Q5033">
        <v>16.239999999999998</v>
      </c>
      <c r="R5033">
        <v>12.99</v>
      </c>
      <c r="S5033">
        <v>19.489999999999998</v>
      </c>
      <c r="T5033" t="s">
        <v>25712</v>
      </c>
    </row>
    <row r="5034" spans="1:20">
      <c r="A5034">
        <v>3398649</v>
      </c>
      <c r="B5034" t="s">
        <v>25713</v>
      </c>
      <c r="C5034" t="str">
        <f>"9782764408650"</f>
        <v>9782764408650</v>
      </c>
      <c r="D5034" t="str">
        <f>"9782764410929"</f>
        <v>9782764410929</v>
      </c>
      <c r="E5034" t="s">
        <v>25662</v>
      </c>
      <c r="F5034" t="s">
        <v>25662</v>
      </c>
      <c r="G5034" s="1">
        <v>40238</v>
      </c>
      <c r="J5034" t="s">
        <v>25663</v>
      </c>
      <c r="K5034" t="s">
        <v>1082</v>
      </c>
      <c r="L5034" t="s">
        <v>25714</v>
      </c>
      <c r="N5034" t="s">
        <v>25715</v>
      </c>
      <c r="O5034" t="s">
        <v>94</v>
      </c>
      <c r="Q5034">
        <v>33.74</v>
      </c>
      <c r="R5034">
        <v>26.99</v>
      </c>
      <c r="S5034">
        <v>40.49</v>
      </c>
      <c r="T5034" t="s">
        <v>25716</v>
      </c>
    </row>
    <row r="5035" spans="1:20">
      <c r="A5035">
        <v>3398650</v>
      </c>
      <c r="B5035" t="s">
        <v>25717</v>
      </c>
      <c r="C5035" t="str">
        <f>""</f>
        <v/>
      </c>
      <c r="D5035" t="str">
        <f>"9782764409053"</f>
        <v>9782764409053</v>
      </c>
      <c r="E5035" t="s">
        <v>25661</v>
      </c>
      <c r="F5035" t="s">
        <v>25662</v>
      </c>
      <c r="G5035" s="1">
        <v>41122</v>
      </c>
      <c r="I5035" t="s">
        <v>25668</v>
      </c>
      <c r="J5035" t="s">
        <v>25663</v>
      </c>
      <c r="K5035" t="s">
        <v>1471</v>
      </c>
      <c r="L5035" t="s">
        <v>25701</v>
      </c>
      <c r="N5035" t="s">
        <v>25702</v>
      </c>
      <c r="O5035" t="s">
        <v>26</v>
      </c>
      <c r="Q5035">
        <v>16.239999999999998</v>
      </c>
      <c r="R5035">
        <v>12.99</v>
      </c>
      <c r="S5035">
        <v>19.489999999999998</v>
      </c>
      <c r="T5035" t="s">
        <v>25718</v>
      </c>
    </row>
    <row r="5036" spans="1:20">
      <c r="A5036">
        <v>3398651</v>
      </c>
      <c r="B5036" t="s">
        <v>25719</v>
      </c>
      <c r="C5036" t="str">
        <f>"9782764408582"</f>
        <v>9782764408582</v>
      </c>
      <c r="D5036" t="str">
        <f>"9782764411049"</f>
        <v>9782764411049</v>
      </c>
      <c r="E5036" t="s">
        <v>25661</v>
      </c>
      <c r="F5036" t="s">
        <v>25662</v>
      </c>
      <c r="G5036" s="1">
        <v>39661</v>
      </c>
      <c r="J5036" t="s">
        <v>25690</v>
      </c>
      <c r="K5036" t="s">
        <v>7075</v>
      </c>
      <c r="L5036" t="s">
        <v>25720</v>
      </c>
      <c r="N5036" t="s">
        <v>25721</v>
      </c>
      <c r="O5036" t="s">
        <v>26</v>
      </c>
      <c r="Q5036">
        <v>21.24</v>
      </c>
      <c r="R5036">
        <v>16.989999999999998</v>
      </c>
      <c r="S5036">
        <v>25.49</v>
      </c>
      <c r="T5036" t="s">
        <v>25722</v>
      </c>
    </row>
    <row r="5037" spans="1:20">
      <c r="A5037">
        <v>3398652</v>
      </c>
      <c r="B5037" t="s">
        <v>25723</v>
      </c>
      <c r="C5037" t="str">
        <f>"9782764402382"</f>
        <v>9782764402382</v>
      </c>
      <c r="D5037" t="str">
        <f>"9782764411674"</f>
        <v>9782764411674</v>
      </c>
      <c r="E5037" t="s">
        <v>25662</v>
      </c>
      <c r="F5037" t="s">
        <v>25662</v>
      </c>
      <c r="G5037" s="1">
        <v>37681</v>
      </c>
      <c r="J5037" t="s">
        <v>25663</v>
      </c>
      <c r="K5037" t="s">
        <v>69</v>
      </c>
      <c r="L5037" t="s">
        <v>25724</v>
      </c>
      <c r="N5037" t="s">
        <v>25725</v>
      </c>
      <c r="O5037" t="s">
        <v>94</v>
      </c>
      <c r="Q5037">
        <v>16.239999999999998</v>
      </c>
      <c r="R5037">
        <v>12.99</v>
      </c>
      <c r="S5037">
        <v>19.489999999999998</v>
      </c>
      <c r="T5037" t="s">
        <v>25726</v>
      </c>
    </row>
    <row r="5038" spans="1:20">
      <c r="A5038">
        <v>3398653</v>
      </c>
      <c r="B5038" t="s">
        <v>25727</v>
      </c>
      <c r="C5038" t="str">
        <f>"9782764408353"</f>
        <v>9782764408353</v>
      </c>
      <c r="D5038" t="str">
        <f>"9782764411445"</f>
        <v>9782764411445</v>
      </c>
      <c r="E5038" t="s">
        <v>25662</v>
      </c>
      <c r="F5038" t="s">
        <v>25662</v>
      </c>
      <c r="G5038" s="1">
        <v>38596</v>
      </c>
      <c r="J5038" t="s">
        <v>25690</v>
      </c>
      <c r="K5038" t="s">
        <v>4081</v>
      </c>
      <c r="L5038" t="s">
        <v>25728</v>
      </c>
      <c r="N5038" t="s">
        <v>25729</v>
      </c>
      <c r="O5038" t="s">
        <v>94</v>
      </c>
      <c r="Q5038">
        <v>13.74</v>
      </c>
      <c r="R5038">
        <v>10.99</v>
      </c>
      <c r="S5038">
        <v>16.489999999999998</v>
      </c>
      <c r="T5038" t="s">
        <v>25730</v>
      </c>
    </row>
    <row r="5039" spans="1:20">
      <c r="A5039">
        <v>3398654</v>
      </c>
      <c r="B5039" t="s">
        <v>25731</v>
      </c>
      <c r="C5039" t="str">
        <f>"9782764411209"</f>
        <v>9782764411209</v>
      </c>
      <c r="D5039" t="str">
        <f>"9782764411612"</f>
        <v>9782764411612</v>
      </c>
      <c r="E5039" t="s">
        <v>25662</v>
      </c>
      <c r="F5039" t="s">
        <v>25662</v>
      </c>
      <c r="G5039" s="1">
        <v>41153</v>
      </c>
      <c r="J5039" t="s">
        <v>25663</v>
      </c>
      <c r="K5039" t="s">
        <v>12038</v>
      </c>
      <c r="L5039" t="s">
        <v>25732</v>
      </c>
      <c r="N5039" t="s">
        <v>25733</v>
      </c>
      <c r="O5039" t="s">
        <v>94</v>
      </c>
      <c r="Q5039">
        <v>24.99</v>
      </c>
      <c r="R5039">
        <v>19.989999999999998</v>
      </c>
      <c r="S5039">
        <v>29.99</v>
      </c>
      <c r="T5039" t="s">
        <v>25734</v>
      </c>
    </row>
    <row r="5040" spans="1:20">
      <c r="A5040">
        <v>3398655</v>
      </c>
      <c r="B5040" t="s">
        <v>25735</v>
      </c>
      <c r="C5040" t="str">
        <f>""</f>
        <v/>
      </c>
      <c r="D5040" t="str">
        <f>"9782764408773"</f>
        <v>9782764408773</v>
      </c>
      <c r="E5040" t="s">
        <v>25661</v>
      </c>
      <c r="F5040" t="s">
        <v>25662</v>
      </c>
      <c r="G5040" s="1">
        <v>41091</v>
      </c>
      <c r="I5040" t="s">
        <v>25736</v>
      </c>
      <c r="J5040" t="s">
        <v>25690</v>
      </c>
      <c r="K5040" t="s">
        <v>1471</v>
      </c>
      <c r="L5040" t="s">
        <v>25737</v>
      </c>
      <c r="N5040" t="s">
        <v>25738</v>
      </c>
      <c r="O5040" t="s">
        <v>26</v>
      </c>
      <c r="Q5040">
        <v>11.24</v>
      </c>
      <c r="R5040">
        <v>8.99</v>
      </c>
      <c r="S5040">
        <v>13.49</v>
      </c>
      <c r="T5040" t="s">
        <v>25739</v>
      </c>
    </row>
    <row r="5041" spans="1:20">
      <c r="A5041">
        <v>3398656</v>
      </c>
      <c r="B5041" t="s">
        <v>25740</v>
      </c>
      <c r="C5041" t="str">
        <f>""</f>
        <v/>
      </c>
      <c r="D5041" t="str">
        <f>"9782764408940"</f>
        <v>9782764408940</v>
      </c>
      <c r="E5041" t="s">
        <v>25661</v>
      </c>
      <c r="F5041" t="s">
        <v>25662</v>
      </c>
      <c r="G5041" s="1">
        <v>41122</v>
      </c>
      <c r="I5041" t="s">
        <v>25709</v>
      </c>
      <c r="J5041" t="s">
        <v>25663</v>
      </c>
      <c r="K5041" t="s">
        <v>57</v>
      </c>
      <c r="L5041" t="s">
        <v>25741</v>
      </c>
      <c r="N5041" t="s">
        <v>25742</v>
      </c>
      <c r="O5041" t="s">
        <v>26</v>
      </c>
      <c r="Q5041">
        <v>16.239999999999998</v>
      </c>
      <c r="R5041">
        <v>12.99</v>
      </c>
      <c r="S5041">
        <v>19.489999999999998</v>
      </c>
      <c r="T5041" t="s">
        <v>25743</v>
      </c>
    </row>
    <row r="5042" spans="1:20">
      <c r="A5042">
        <v>3398657</v>
      </c>
      <c r="B5042" t="s">
        <v>25744</v>
      </c>
      <c r="C5042" t="str">
        <f>"9782764408568"</f>
        <v>9782764408568</v>
      </c>
      <c r="D5042" t="str">
        <f>"9782764409367"</f>
        <v>9782764409367</v>
      </c>
      <c r="E5042" t="s">
        <v>25662</v>
      </c>
      <c r="F5042" t="s">
        <v>25662</v>
      </c>
      <c r="G5042" s="1">
        <v>39722</v>
      </c>
      <c r="J5042" t="s">
        <v>25663</v>
      </c>
      <c r="K5042" t="s">
        <v>25745</v>
      </c>
      <c r="L5042" t="s">
        <v>25746</v>
      </c>
      <c r="N5042" t="s">
        <v>25747</v>
      </c>
      <c r="O5042" t="s">
        <v>94</v>
      </c>
      <c r="Q5042">
        <v>16.239999999999998</v>
      </c>
      <c r="R5042">
        <v>12.99</v>
      </c>
      <c r="S5042">
        <v>19.489999999999998</v>
      </c>
      <c r="T5042" t="s">
        <v>25748</v>
      </c>
    </row>
    <row r="5043" spans="1:20">
      <c r="A5043">
        <v>3398658</v>
      </c>
      <c r="B5043" t="s">
        <v>25749</v>
      </c>
      <c r="C5043" t="str">
        <f>""</f>
        <v/>
      </c>
      <c r="D5043" t="str">
        <f>"9782764409138"</f>
        <v>9782764409138</v>
      </c>
      <c r="E5043" t="s">
        <v>25661</v>
      </c>
      <c r="F5043" t="s">
        <v>25662</v>
      </c>
      <c r="G5043" s="1">
        <v>41122</v>
      </c>
      <c r="I5043" t="s">
        <v>25750</v>
      </c>
      <c r="J5043" t="s">
        <v>25663</v>
      </c>
      <c r="K5043" t="s">
        <v>155</v>
      </c>
      <c r="L5043" t="s">
        <v>25751</v>
      </c>
      <c r="N5043" t="s">
        <v>25752</v>
      </c>
      <c r="O5043" t="s">
        <v>26</v>
      </c>
      <c r="Q5043">
        <v>11.24</v>
      </c>
      <c r="R5043">
        <v>8.99</v>
      </c>
      <c r="S5043">
        <v>13.49</v>
      </c>
      <c r="T5043" t="s">
        <v>25753</v>
      </c>
    </row>
    <row r="5044" spans="1:20">
      <c r="A5044">
        <v>3398659</v>
      </c>
      <c r="B5044" t="s">
        <v>25754</v>
      </c>
      <c r="C5044" t="str">
        <f>"9782764408612"</f>
        <v>9782764408612</v>
      </c>
      <c r="D5044" t="str">
        <f>"9782764410998"</f>
        <v>9782764410998</v>
      </c>
      <c r="E5044" t="s">
        <v>25662</v>
      </c>
      <c r="F5044" t="s">
        <v>25662</v>
      </c>
      <c r="G5044" s="1">
        <v>40057</v>
      </c>
      <c r="I5044" t="s">
        <v>25755</v>
      </c>
      <c r="J5044" t="s">
        <v>25690</v>
      </c>
      <c r="K5044" t="s">
        <v>1471</v>
      </c>
      <c r="L5044" t="s">
        <v>25737</v>
      </c>
      <c r="N5044" t="s">
        <v>25756</v>
      </c>
      <c r="O5044" t="s">
        <v>94</v>
      </c>
      <c r="Q5044">
        <v>11.24</v>
      </c>
      <c r="R5044">
        <v>8.99</v>
      </c>
      <c r="S5044">
        <v>13.49</v>
      </c>
      <c r="T5044" t="s">
        <v>25757</v>
      </c>
    </row>
    <row r="5045" spans="1:20">
      <c r="A5045">
        <v>3398660</v>
      </c>
      <c r="B5045" t="s">
        <v>25758</v>
      </c>
      <c r="C5045" t="str">
        <f>"9782764408605"</f>
        <v>9782764408605</v>
      </c>
      <c r="D5045" t="str">
        <f>"9782764409305"</f>
        <v>9782764409305</v>
      </c>
      <c r="E5045" t="s">
        <v>25662</v>
      </c>
      <c r="F5045" t="s">
        <v>25662</v>
      </c>
      <c r="G5045" s="1">
        <v>40057</v>
      </c>
      <c r="J5045" t="s">
        <v>25663</v>
      </c>
      <c r="K5045" t="s">
        <v>791</v>
      </c>
      <c r="L5045" t="s">
        <v>25759</v>
      </c>
      <c r="N5045" t="s">
        <v>25760</v>
      </c>
      <c r="O5045" t="s">
        <v>94</v>
      </c>
      <c r="Q5045">
        <v>21.24</v>
      </c>
      <c r="R5045">
        <v>16.989999999999998</v>
      </c>
      <c r="S5045">
        <v>25.49</v>
      </c>
      <c r="T5045" t="s">
        <v>25761</v>
      </c>
    </row>
    <row r="5046" spans="1:20">
      <c r="A5046">
        <v>3398661</v>
      </c>
      <c r="B5046" t="s">
        <v>25762</v>
      </c>
      <c r="C5046" t="str">
        <f>"9782764408728"</f>
        <v>9782764408728</v>
      </c>
      <c r="D5046" t="str">
        <f>"9782764410936"</f>
        <v>9782764410936</v>
      </c>
      <c r="E5046" t="s">
        <v>25661</v>
      </c>
      <c r="F5046" t="s">
        <v>25662</v>
      </c>
      <c r="G5046" s="1">
        <v>40391</v>
      </c>
      <c r="J5046" t="s">
        <v>25690</v>
      </c>
      <c r="K5046" t="s">
        <v>4081</v>
      </c>
      <c r="L5046" t="s">
        <v>25763</v>
      </c>
      <c r="N5046" t="s">
        <v>25764</v>
      </c>
      <c r="O5046" t="s">
        <v>485</v>
      </c>
      <c r="Q5046">
        <v>11.24</v>
      </c>
      <c r="R5046">
        <v>8.99</v>
      </c>
      <c r="S5046">
        <v>13.49</v>
      </c>
      <c r="T5046" t="s">
        <v>25765</v>
      </c>
    </row>
    <row r="5047" spans="1:20">
      <c r="A5047">
        <v>3398662</v>
      </c>
      <c r="B5047" t="s">
        <v>25766</v>
      </c>
      <c r="C5047" t="str">
        <f>""</f>
        <v/>
      </c>
      <c r="D5047" t="str">
        <f>"9782764409060"</f>
        <v>9782764409060</v>
      </c>
      <c r="E5047" t="s">
        <v>25661</v>
      </c>
      <c r="F5047" t="s">
        <v>25662</v>
      </c>
      <c r="G5047" s="1">
        <v>41122</v>
      </c>
      <c r="I5047" t="s">
        <v>25668</v>
      </c>
      <c r="J5047" t="s">
        <v>25663</v>
      </c>
      <c r="K5047" t="s">
        <v>12038</v>
      </c>
      <c r="L5047" t="s">
        <v>25767</v>
      </c>
      <c r="N5047" t="s">
        <v>25768</v>
      </c>
      <c r="O5047" t="s">
        <v>26</v>
      </c>
      <c r="Q5047">
        <v>16.239999999999998</v>
      </c>
      <c r="R5047">
        <v>12.99</v>
      </c>
      <c r="S5047">
        <v>19.489999999999998</v>
      </c>
      <c r="T5047" t="s">
        <v>25769</v>
      </c>
    </row>
    <row r="5048" spans="1:20">
      <c r="A5048">
        <v>3398663</v>
      </c>
      <c r="B5048" t="s">
        <v>25770</v>
      </c>
      <c r="C5048" t="str">
        <f>"9782764408391"</f>
        <v>9782764408391</v>
      </c>
      <c r="D5048" t="str">
        <f>"9782764411056"</f>
        <v>9782764411056</v>
      </c>
      <c r="E5048" t="s">
        <v>25662</v>
      </c>
      <c r="F5048" t="s">
        <v>25662</v>
      </c>
      <c r="G5048" s="1">
        <v>38657</v>
      </c>
      <c r="I5048" t="s">
        <v>25771</v>
      </c>
      <c r="J5048" t="s">
        <v>25663</v>
      </c>
      <c r="K5048" t="s">
        <v>110</v>
      </c>
      <c r="L5048" t="s">
        <v>25772</v>
      </c>
      <c r="N5048" t="s">
        <v>25773</v>
      </c>
      <c r="O5048" t="s">
        <v>94</v>
      </c>
      <c r="Q5048">
        <v>16.239999999999998</v>
      </c>
      <c r="R5048">
        <v>12.99</v>
      </c>
      <c r="S5048">
        <v>19.489999999999998</v>
      </c>
      <c r="T5048" t="s">
        <v>25774</v>
      </c>
    </row>
    <row r="5049" spans="1:20">
      <c r="A5049">
        <v>3398664</v>
      </c>
      <c r="B5049" t="s">
        <v>25775</v>
      </c>
      <c r="C5049" t="str">
        <f>"9782764408179"</f>
        <v>9782764408179</v>
      </c>
      <c r="D5049" t="str">
        <f>"9782764411681"</f>
        <v>9782764411681</v>
      </c>
      <c r="E5049" t="s">
        <v>25662</v>
      </c>
      <c r="F5049" t="s">
        <v>25662</v>
      </c>
      <c r="G5049" s="1">
        <v>38047</v>
      </c>
      <c r="J5049" t="s">
        <v>25663</v>
      </c>
      <c r="K5049" t="s">
        <v>30</v>
      </c>
      <c r="L5049" t="s">
        <v>25776</v>
      </c>
      <c r="N5049" t="s">
        <v>25777</v>
      </c>
      <c r="O5049" t="s">
        <v>94</v>
      </c>
      <c r="Q5049">
        <v>16.239999999999998</v>
      </c>
      <c r="R5049">
        <v>12.99</v>
      </c>
      <c r="S5049">
        <v>19.489999999999998</v>
      </c>
      <c r="T5049" t="s">
        <v>25778</v>
      </c>
    </row>
    <row r="5050" spans="1:20">
      <c r="A5050">
        <v>3398665</v>
      </c>
      <c r="B5050" t="s">
        <v>25779</v>
      </c>
      <c r="C5050" t="str">
        <f>"9782764408360"</f>
        <v>9782764408360</v>
      </c>
      <c r="D5050" t="str">
        <f>"9782764411452"</f>
        <v>9782764411452</v>
      </c>
      <c r="E5050" t="s">
        <v>25661</v>
      </c>
      <c r="F5050" t="s">
        <v>25662</v>
      </c>
      <c r="G5050" s="1">
        <v>38596</v>
      </c>
      <c r="J5050" t="s">
        <v>25690</v>
      </c>
      <c r="K5050" t="s">
        <v>4081</v>
      </c>
      <c r="L5050" t="s">
        <v>25728</v>
      </c>
      <c r="N5050" t="s">
        <v>25729</v>
      </c>
      <c r="O5050" t="s">
        <v>26</v>
      </c>
      <c r="Q5050">
        <v>16.239999999999998</v>
      </c>
      <c r="R5050">
        <v>12.99</v>
      </c>
      <c r="S5050">
        <v>19.489999999999998</v>
      </c>
      <c r="T5050" t="s">
        <v>25780</v>
      </c>
    </row>
    <row r="5051" spans="1:20">
      <c r="A5051">
        <v>3398666</v>
      </c>
      <c r="B5051" t="s">
        <v>25781</v>
      </c>
      <c r="C5051" t="str">
        <f>""</f>
        <v/>
      </c>
      <c r="D5051" t="str">
        <f>"9782764408858"</f>
        <v>9782764408858</v>
      </c>
      <c r="E5051" t="s">
        <v>25661</v>
      </c>
      <c r="F5051" t="s">
        <v>25662</v>
      </c>
      <c r="G5051" s="1">
        <v>41091</v>
      </c>
      <c r="I5051" t="s">
        <v>25736</v>
      </c>
      <c r="J5051" t="s">
        <v>25690</v>
      </c>
      <c r="K5051" t="s">
        <v>25782</v>
      </c>
      <c r="L5051" t="s">
        <v>25783</v>
      </c>
      <c r="N5051" t="s">
        <v>25784</v>
      </c>
      <c r="O5051" t="s">
        <v>26</v>
      </c>
      <c r="Q5051">
        <v>11.24</v>
      </c>
      <c r="R5051">
        <v>8.99</v>
      </c>
      <c r="S5051">
        <v>13.49</v>
      </c>
      <c r="T5051" t="s">
        <v>25785</v>
      </c>
    </row>
    <row r="5052" spans="1:20">
      <c r="A5052">
        <v>3398667</v>
      </c>
      <c r="B5052" t="s">
        <v>25786</v>
      </c>
      <c r="C5052" t="str">
        <f>""</f>
        <v/>
      </c>
      <c r="D5052" t="str">
        <f>"9782764408780"</f>
        <v>9782764408780</v>
      </c>
      <c r="E5052" t="s">
        <v>25661</v>
      </c>
      <c r="F5052" t="s">
        <v>25662</v>
      </c>
      <c r="G5052" s="1">
        <v>41091</v>
      </c>
      <c r="I5052" t="s">
        <v>25736</v>
      </c>
      <c r="J5052" t="s">
        <v>25690</v>
      </c>
      <c r="K5052" t="s">
        <v>25745</v>
      </c>
      <c r="L5052" t="s">
        <v>25787</v>
      </c>
      <c r="N5052" t="s">
        <v>25788</v>
      </c>
      <c r="O5052" t="s">
        <v>26</v>
      </c>
      <c r="Q5052">
        <v>11.24</v>
      </c>
      <c r="R5052">
        <v>8.99</v>
      </c>
      <c r="S5052">
        <v>13.49</v>
      </c>
      <c r="T5052" t="s">
        <v>25789</v>
      </c>
    </row>
    <row r="5053" spans="1:20">
      <c r="A5053">
        <v>3398668</v>
      </c>
      <c r="B5053" t="s">
        <v>25790</v>
      </c>
      <c r="C5053" t="str">
        <f>""</f>
        <v/>
      </c>
      <c r="D5053" t="str">
        <f>"9782764409145"</f>
        <v>9782764409145</v>
      </c>
      <c r="E5053" t="s">
        <v>25661</v>
      </c>
      <c r="F5053" t="s">
        <v>25662</v>
      </c>
      <c r="G5053" s="1">
        <v>41122</v>
      </c>
      <c r="J5053" t="s">
        <v>25663</v>
      </c>
      <c r="K5053" t="s">
        <v>155</v>
      </c>
      <c r="L5053" t="s">
        <v>25791</v>
      </c>
      <c r="N5053" t="s">
        <v>25792</v>
      </c>
      <c r="O5053" t="s">
        <v>26</v>
      </c>
      <c r="Q5053">
        <v>12.49</v>
      </c>
      <c r="R5053">
        <v>9.99</v>
      </c>
      <c r="S5053">
        <v>14.99</v>
      </c>
      <c r="T5053" t="s">
        <v>25793</v>
      </c>
    </row>
    <row r="5054" spans="1:20">
      <c r="A5054">
        <v>3398669</v>
      </c>
      <c r="B5054" t="s">
        <v>25794</v>
      </c>
      <c r="C5054" t="str">
        <f>"9782764408667"</f>
        <v>9782764408667</v>
      </c>
      <c r="D5054" t="str">
        <f>"9782764410943"</f>
        <v>9782764410943</v>
      </c>
      <c r="E5054" t="s">
        <v>25661</v>
      </c>
      <c r="F5054" t="s">
        <v>25662</v>
      </c>
      <c r="G5054" s="1">
        <v>40391</v>
      </c>
      <c r="J5054" t="s">
        <v>25690</v>
      </c>
      <c r="K5054" t="s">
        <v>25795</v>
      </c>
      <c r="L5054" t="s">
        <v>25796</v>
      </c>
      <c r="M5054" t="s">
        <v>25797</v>
      </c>
      <c r="N5054" t="s">
        <v>25798</v>
      </c>
      <c r="O5054" t="s">
        <v>26</v>
      </c>
      <c r="Q5054">
        <v>11.24</v>
      </c>
      <c r="R5054">
        <v>8.99</v>
      </c>
      <c r="S5054">
        <v>13.49</v>
      </c>
      <c r="T5054" t="s">
        <v>25799</v>
      </c>
    </row>
    <row r="5055" spans="1:20">
      <c r="A5055">
        <v>3398670</v>
      </c>
      <c r="B5055" t="s">
        <v>25800</v>
      </c>
      <c r="C5055" t="str">
        <f>"9782764408421"</f>
        <v>9782764408421</v>
      </c>
      <c r="D5055" t="str">
        <f>"9782764411537"</f>
        <v>9782764411537</v>
      </c>
      <c r="E5055" t="s">
        <v>25662</v>
      </c>
      <c r="F5055" t="s">
        <v>25662</v>
      </c>
      <c r="G5055" s="1">
        <v>38808</v>
      </c>
      <c r="I5055" t="s">
        <v>25695</v>
      </c>
      <c r="J5055" t="s">
        <v>25663</v>
      </c>
      <c r="K5055" t="s">
        <v>23</v>
      </c>
      <c r="L5055" t="s">
        <v>25801</v>
      </c>
      <c r="N5055" t="s">
        <v>25752</v>
      </c>
      <c r="O5055" t="s">
        <v>94</v>
      </c>
      <c r="Q5055">
        <v>11.24</v>
      </c>
      <c r="R5055">
        <v>8.99</v>
      </c>
      <c r="S5055">
        <v>13.49</v>
      </c>
      <c r="T5055" t="s">
        <v>25802</v>
      </c>
    </row>
    <row r="5056" spans="1:20">
      <c r="A5056">
        <v>3398671</v>
      </c>
      <c r="B5056" t="s">
        <v>25803</v>
      </c>
      <c r="C5056" t="str">
        <f>"9782890379534"</f>
        <v>9782890379534</v>
      </c>
      <c r="D5056" t="str">
        <f>"9782764411377"</f>
        <v>9782764411377</v>
      </c>
      <c r="E5056" t="s">
        <v>25662</v>
      </c>
      <c r="F5056" t="s">
        <v>25662</v>
      </c>
      <c r="G5056" s="1">
        <v>36495</v>
      </c>
      <c r="J5056" t="s">
        <v>25663</v>
      </c>
      <c r="K5056" t="s">
        <v>25745</v>
      </c>
      <c r="L5056" t="s">
        <v>25804</v>
      </c>
      <c r="N5056" t="s">
        <v>25805</v>
      </c>
      <c r="O5056" t="s">
        <v>94</v>
      </c>
      <c r="Q5056">
        <v>4.99</v>
      </c>
      <c r="R5056">
        <v>3.99</v>
      </c>
      <c r="S5056">
        <v>5.99</v>
      </c>
      <c r="T5056" t="s">
        <v>25806</v>
      </c>
    </row>
    <row r="5057" spans="1:20">
      <c r="A5057">
        <v>3398672</v>
      </c>
      <c r="B5057" t="s">
        <v>25807</v>
      </c>
      <c r="C5057" t="str">
        <f>"9782764408247"</f>
        <v>9782764408247</v>
      </c>
      <c r="D5057" t="str">
        <f>"9782764411148"</f>
        <v>9782764411148</v>
      </c>
      <c r="E5057" t="s">
        <v>25662</v>
      </c>
      <c r="F5057" t="s">
        <v>25662</v>
      </c>
      <c r="G5057" s="1">
        <v>38261</v>
      </c>
      <c r="J5057" t="s">
        <v>25663</v>
      </c>
      <c r="K5057" t="s">
        <v>24788</v>
      </c>
      <c r="L5057" t="s">
        <v>25808</v>
      </c>
      <c r="N5057" t="s">
        <v>25809</v>
      </c>
      <c r="O5057" t="s">
        <v>94</v>
      </c>
      <c r="Q5057">
        <v>16.239999999999998</v>
      </c>
      <c r="R5057">
        <v>12.99</v>
      </c>
      <c r="S5057">
        <v>19.489999999999998</v>
      </c>
      <c r="T5057" t="s">
        <v>25810</v>
      </c>
    </row>
    <row r="5058" spans="1:20">
      <c r="A5058">
        <v>3398673</v>
      </c>
      <c r="B5058" t="s">
        <v>25811</v>
      </c>
      <c r="C5058" t="str">
        <f>"9782764408230"</f>
        <v>9782764408230</v>
      </c>
      <c r="D5058" t="str">
        <f>"9782764411063"</f>
        <v>9782764411063</v>
      </c>
      <c r="E5058" t="s">
        <v>25662</v>
      </c>
      <c r="F5058" t="s">
        <v>25662</v>
      </c>
      <c r="G5058" s="1">
        <v>38200</v>
      </c>
      <c r="J5058" t="s">
        <v>25690</v>
      </c>
      <c r="K5058" t="s">
        <v>4081</v>
      </c>
      <c r="L5058" t="s">
        <v>25812</v>
      </c>
      <c r="N5058" t="s">
        <v>25813</v>
      </c>
      <c r="O5058" t="s">
        <v>94</v>
      </c>
      <c r="Q5058">
        <v>24.99</v>
      </c>
      <c r="R5058">
        <v>19.989999999999998</v>
      </c>
      <c r="S5058">
        <v>29.99</v>
      </c>
      <c r="T5058" t="s">
        <v>25814</v>
      </c>
    </row>
    <row r="5059" spans="1:20">
      <c r="A5059">
        <v>3398674</v>
      </c>
      <c r="B5059" t="s">
        <v>25815</v>
      </c>
      <c r="C5059" t="str">
        <f>""</f>
        <v/>
      </c>
      <c r="D5059" t="str">
        <f>"9782764411704"</f>
        <v>9782764411704</v>
      </c>
      <c r="E5059" t="s">
        <v>25661</v>
      </c>
      <c r="F5059" t="s">
        <v>25662</v>
      </c>
      <c r="G5059" s="1">
        <v>41153</v>
      </c>
      <c r="I5059" t="s">
        <v>25816</v>
      </c>
      <c r="J5059" t="s">
        <v>25663</v>
      </c>
      <c r="K5059" t="s">
        <v>50</v>
      </c>
      <c r="L5059" t="s">
        <v>25817</v>
      </c>
      <c r="N5059" t="s">
        <v>25818</v>
      </c>
      <c r="O5059" t="s">
        <v>26</v>
      </c>
      <c r="Q5059">
        <v>11.24</v>
      </c>
      <c r="R5059">
        <v>8.99</v>
      </c>
      <c r="S5059">
        <v>13.49</v>
      </c>
      <c r="T5059" t="s">
        <v>25819</v>
      </c>
    </row>
    <row r="5060" spans="1:20">
      <c r="A5060">
        <v>3398675</v>
      </c>
      <c r="B5060" t="s">
        <v>25820</v>
      </c>
      <c r="C5060" t="str">
        <f>"9782764408643"</f>
        <v>9782764408643</v>
      </c>
      <c r="D5060" t="str">
        <f>"9782764411001"</f>
        <v>9782764411001</v>
      </c>
      <c r="E5060" t="s">
        <v>25662</v>
      </c>
      <c r="F5060" t="s">
        <v>25662</v>
      </c>
      <c r="G5060" s="1">
        <v>40057</v>
      </c>
      <c r="I5060" t="s">
        <v>25755</v>
      </c>
      <c r="J5060" t="s">
        <v>25690</v>
      </c>
      <c r="K5060" t="s">
        <v>1625</v>
      </c>
      <c r="L5060" t="s">
        <v>25787</v>
      </c>
      <c r="M5060" t="s">
        <v>25821</v>
      </c>
      <c r="N5060" t="s">
        <v>25822</v>
      </c>
      <c r="O5060" t="s">
        <v>94</v>
      </c>
      <c r="Q5060">
        <v>11.24</v>
      </c>
      <c r="R5060">
        <v>8.99</v>
      </c>
      <c r="S5060">
        <v>13.49</v>
      </c>
      <c r="T5060" t="s">
        <v>25823</v>
      </c>
    </row>
    <row r="5061" spans="1:20">
      <c r="A5061">
        <v>3398676</v>
      </c>
      <c r="B5061" t="s">
        <v>25824</v>
      </c>
      <c r="C5061" t="str">
        <f>""</f>
        <v/>
      </c>
      <c r="D5061" t="str">
        <f>"9782764408865"</f>
        <v>9782764408865</v>
      </c>
      <c r="E5061" t="s">
        <v>25661</v>
      </c>
      <c r="F5061" t="s">
        <v>25662</v>
      </c>
      <c r="G5061" s="1">
        <v>41091</v>
      </c>
      <c r="I5061" t="s">
        <v>25736</v>
      </c>
      <c r="J5061" t="s">
        <v>25690</v>
      </c>
      <c r="K5061" t="s">
        <v>76</v>
      </c>
      <c r="L5061" t="s">
        <v>25825</v>
      </c>
      <c r="N5061" t="s">
        <v>25826</v>
      </c>
      <c r="O5061" t="s">
        <v>26</v>
      </c>
      <c r="Q5061">
        <v>11.24</v>
      </c>
      <c r="R5061">
        <v>8.99</v>
      </c>
      <c r="S5061">
        <v>13.49</v>
      </c>
      <c r="T5061" t="s">
        <v>25827</v>
      </c>
    </row>
    <row r="5062" spans="1:20">
      <c r="A5062">
        <v>3398677</v>
      </c>
      <c r="B5062" t="s">
        <v>25828</v>
      </c>
      <c r="C5062" t="str">
        <f>""</f>
        <v/>
      </c>
      <c r="D5062" t="str">
        <f>"9782764408803"</f>
        <v>9782764408803</v>
      </c>
      <c r="E5062" t="s">
        <v>25661</v>
      </c>
      <c r="F5062" t="s">
        <v>25662</v>
      </c>
      <c r="G5062" s="1">
        <v>41091</v>
      </c>
      <c r="I5062" t="s">
        <v>25736</v>
      </c>
      <c r="J5062" t="s">
        <v>25690</v>
      </c>
      <c r="K5062" t="s">
        <v>305</v>
      </c>
      <c r="L5062" t="s">
        <v>25829</v>
      </c>
      <c r="N5062" t="s">
        <v>25830</v>
      </c>
      <c r="O5062" t="s">
        <v>26</v>
      </c>
      <c r="Q5062">
        <v>11.24</v>
      </c>
      <c r="R5062">
        <v>8.99</v>
      </c>
      <c r="S5062">
        <v>13.49</v>
      </c>
      <c r="T5062" t="s">
        <v>25831</v>
      </c>
    </row>
    <row r="5063" spans="1:20">
      <c r="A5063">
        <v>3398678</v>
      </c>
      <c r="B5063" t="s">
        <v>25832</v>
      </c>
      <c r="C5063" t="str">
        <f>""</f>
        <v/>
      </c>
      <c r="D5063" t="str">
        <f>"9782764409152"</f>
        <v>9782764409152</v>
      </c>
      <c r="E5063" t="s">
        <v>25661</v>
      </c>
      <c r="F5063" t="s">
        <v>25662</v>
      </c>
      <c r="G5063" s="1">
        <v>41122</v>
      </c>
      <c r="J5063" t="s">
        <v>25663</v>
      </c>
      <c r="K5063" t="s">
        <v>155</v>
      </c>
      <c r="L5063" t="s">
        <v>25833</v>
      </c>
      <c r="N5063" t="s">
        <v>25834</v>
      </c>
      <c r="O5063" t="s">
        <v>26</v>
      </c>
      <c r="Q5063">
        <v>12.49</v>
      </c>
      <c r="R5063">
        <v>9.99</v>
      </c>
      <c r="S5063">
        <v>14.99</v>
      </c>
      <c r="T5063" t="s">
        <v>25835</v>
      </c>
    </row>
    <row r="5064" spans="1:20">
      <c r="A5064">
        <v>3398679</v>
      </c>
      <c r="B5064" t="s">
        <v>25836</v>
      </c>
      <c r="C5064" t="str">
        <f>""</f>
        <v/>
      </c>
      <c r="D5064" t="str">
        <f>"9782764409008"</f>
        <v>9782764409008</v>
      </c>
      <c r="E5064" t="s">
        <v>25661</v>
      </c>
      <c r="F5064" t="s">
        <v>25662</v>
      </c>
      <c r="G5064" s="1">
        <v>41153</v>
      </c>
      <c r="J5064" t="s">
        <v>25663</v>
      </c>
      <c r="K5064" t="s">
        <v>25782</v>
      </c>
      <c r="L5064" t="s">
        <v>25837</v>
      </c>
      <c r="M5064" t="s">
        <v>25838</v>
      </c>
      <c r="N5064" t="s">
        <v>25839</v>
      </c>
      <c r="O5064" t="s">
        <v>26</v>
      </c>
      <c r="Q5064">
        <v>21.24</v>
      </c>
      <c r="R5064">
        <v>16.989999999999998</v>
      </c>
      <c r="S5064">
        <v>25.49</v>
      </c>
      <c r="T5064" t="s">
        <v>25840</v>
      </c>
    </row>
    <row r="5065" spans="1:20">
      <c r="A5065">
        <v>3398680</v>
      </c>
      <c r="B5065" t="s">
        <v>25841</v>
      </c>
      <c r="C5065" t="str">
        <f>"9782764408384"</f>
        <v>9782764408384</v>
      </c>
      <c r="D5065" t="str">
        <f>"9782764410950"</f>
        <v>9782764410950</v>
      </c>
      <c r="E5065" t="s">
        <v>25661</v>
      </c>
      <c r="F5065" t="s">
        <v>25662</v>
      </c>
      <c r="G5065" s="1">
        <v>38718</v>
      </c>
      <c r="J5065" t="s">
        <v>25690</v>
      </c>
      <c r="K5065" t="s">
        <v>7075</v>
      </c>
      <c r="L5065" t="s">
        <v>25842</v>
      </c>
      <c r="N5065" t="s">
        <v>25798</v>
      </c>
      <c r="O5065" t="s">
        <v>26</v>
      </c>
      <c r="Q5065">
        <v>16.239999999999998</v>
      </c>
      <c r="R5065">
        <v>12.99</v>
      </c>
      <c r="S5065">
        <v>19.489999999999998</v>
      </c>
      <c r="T5065" t="s">
        <v>25843</v>
      </c>
    </row>
    <row r="5066" spans="1:20">
      <c r="A5066">
        <v>3398681</v>
      </c>
      <c r="B5066" t="s">
        <v>25844</v>
      </c>
      <c r="C5066" t="str">
        <f>"9782764408063"</f>
        <v>9782764408063</v>
      </c>
      <c r="D5066" t="str">
        <f>"9782764411629"</f>
        <v>9782764411629</v>
      </c>
      <c r="E5066" t="s">
        <v>25662</v>
      </c>
      <c r="F5066" t="s">
        <v>25662</v>
      </c>
      <c r="G5066" s="1">
        <v>37530</v>
      </c>
      <c r="J5066" t="s">
        <v>25663</v>
      </c>
      <c r="K5066" t="s">
        <v>1150</v>
      </c>
      <c r="L5066" t="s">
        <v>25845</v>
      </c>
      <c r="N5066" t="s">
        <v>25846</v>
      </c>
      <c r="O5066" t="s">
        <v>94</v>
      </c>
      <c r="Q5066">
        <v>16.239999999999998</v>
      </c>
      <c r="R5066">
        <v>12.99</v>
      </c>
      <c r="S5066">
        <v>19.489999999999998</v>
      </c>
      <c r="T5066" t="s">
        <v>25847</v>
      </c>
    </row>
    <row r="5067" spans="1:20">
      <c r="A5067">
        <v>3398682</v>
      </c>
      <c r="B5067" t="s">
        <v>25848</v>
      </c>
      <c r="C5067" t="str">
        <f>"9782764408254"</f>
        <v>9782764408254</v>
      </c>
      <c r="D5067" t="str">
        <f>"9782764411384"</f>
        <v>9782764411384</v>
      </c>
      <c r="E5067" t="s">
        <v>25662</v>
      </c>
      <c r="F5067" t="s">
        <v>25662</v>
      </c>
      <c r="G5067" s="1">
        <v>38443</v>
      </c>
      <c r="J5067" t="s">
        <v>25663</v>
      </c>
      <c r="K5067" t="s">
        <v>16769</v>
      </c>
      <c r="L5067" t="s">
        <v>25849</v>
      </c>
      <c r="N5067" t="s">
        <v>25850</v>
      </c>
      <c r="O5067" t="s">
        <v>94</v>
      </c>
      <c r="Q5067">
        <v>16.239999999999998</v>
      </c>
      <c r="R5067">
        <v>12.99</v>
      </c>
      <c r="S5067">
        <v>19.489999999999998</v>
      </c>
      <c r="T5067" t="s">
        <v>25851</v>
      </c>
    </row>
    <row r="5068" spans="1:20">
      <c r="A5068">
        <v>3398683</v>
      </c>
      <c r="B5068" t="s">
        <v>25852</v>
      </c>
      <c r="C5068" t="str">
        <f>"9782764408131"</f>
        <v>9782764408131</v>
      </c>
      <c r="D5068" t="str">
        <f>"9782764411070"</f>
        <v>9782764411070</v>
      </c>
      <c r="E5068" t="s">
        <v>25661</v>
      </c>
      <c r="F5068" t="s">
        <v>25662</v>
      </c>
      <c r="G5068" s="1">
        <v>37438</v>
      </c>
      <c r="J5068" t="s">
        <v>25690</v>
      </c>
      <c r="K5068" t="s">
        <v>7075</v>
      </c>
      <c r="L5068" t="s">
        <v>25853</v>
      </c>
      <c r="N5068" t="s">
        <v>25721</v>
      </c>
      <c r="O5068" t="s">
        <v>26</v>
      </c>
      <c r="Q5068">
        <v>24.99</v>
      </c>
      <c r="R5068">
        <v>19.989999999999998</v>
      </c>
      <c r="S5068">
        <v>29.99</v>
      </c>
      <c r="T5068" t="s">
        <v>25854</v>
      </c>
    </row>
    <row r="5069" spans="1:20">
      <c r="A5069">
        <v>3398684</v>
      </c>
      <c r="B5069" t="s">
        <v>25855</v>
      </c>
      <c r="C5069" t="str">
        <f>"9782764408186"</f>
        <v>9782764408186</v>
      </c>
      <c r="D5069" t="str">
        <f>"9782764411322"</f>
        <v>9782764411322</v>
      </c>
      <c r="E5069" t="s">
        <v>25662</v>
      </c>
      <c r="F5069" t="s">
        <v>25662</v>
      </c>
      <c r="G5069" s="1">
        <v>38108</v>
      </c>
      <c r="I5069" t="s">
        <v>25700</v>
      </c>
      <c r="J5069" t="s">
        <v>25663</v>
      </c>
      <c r="K5069" t="s">
        <v>12038</v>
      </c>
      <c r="L5069" t="s">
        <v>25669</v>
      </c>
      <c r="N5069" t="s">
        <v>25670</v>
      </c>
      <c r="O5069" t="s">
        <v>94</v>
      </c>
      <c r="Q5069">
        <v>16.239999999999998</v>
      </c>
      <c r="R5069">
        <v>12.99</v>
      </c>
      <c r="S5069">
        <v>19.489999999999998</v>
      </c>
      <c r="T5069" t="s">
        <v>25856</v>
      </c>
    </row>
    <row r="5070" spans="1:20">
      <c r="A5070">
        <v>3398685</v>
      </c>
      <c r="B5070" t="s">
        <v>25857</v>
      </c>
      <c r="C5070" t="str">
        <f>""</f>
        <v/>
      </c>
      <c r="D5070" t="str">
        <f>"9782764408957"</f>
        <v>9782764408957</v>
      </c>
      <c r="E5070" t="s">
        <v>25661</v>
      </c>
      <c r="F5070" t="s">
        <v>25662</v>
      </c>
      <c r="G5070" s="1">
        <v>41153</v>
      </c>
      <c r="J5070" t="s">
        <v>25663</v>
      </c>
      <c r="K5070" t="s">
        <v>791</v>
      </c>
      <c r="L5070" t="s">
        <v>25858</v>
      </c>
      <c r="N5070" t="s">
        <v>25706</v>
      </c>
      <c r="O5070" t="s">
        <v>26</v>
      </c>
      <c r="Q5070">
        <v>16.239999999999998</v>
      </c>
      <c r="R5070">
        <v>12.99</v>
      </c>
      <c r="S5070">
        <v>19.489999999999998</v>
      </c>
      <c r="T5070" t="s">
        <v>25859</v>
      </c>
    </row>
    <row r="5071" spans="1:20">
      <c r="A5071">
        <v>3398686</v>
      </c>
      <c r="B5071" t="s">
        <v>25860</v>
      </c>
      <c r="C5071" t="str">
        <f>""</f>
        <v/>
      </c>
      <c r="D5071" t="str">
        <f>"9782764408872"</f>
        <v>9782764408872</v>
      </c>
      <c r="E5071" t="s">
        <v>25661</v>
      </c>
      <c r="F5071" t="s">
        <v>25662</v>
      </c>
      <c r="G5071" s="1">
        <v>41091</v>
      </c>
      <c r="I5071" t="s">
        <v>25736</v>
      </c>
      <c r="J5071" t="s">
        <v>25690</v>
      </c>
      <c r="K5071" t="s">
        <v>1471</v>
      </c>
      <c r="L5071" t="s">
        <v>25861</v>
      </c>
      <c r="N5071" t="s">
        <v>25862</v>
      </c>
      <c r="O5071" t="s">
        <v>26</v>
      </c>
      <c r="Q5071">
        <v>11.24</v>
      </c>
      <c r="R5071">
        <v>8.99</v>
      </c>
      <c r="S5071">
        <v>13.49</v>
      </c>
      <c r="T5071" t="s">
        <v>25863</v>
      </c>
    </row>
    <row r="5072" spans="1:20">
      <c r="A5072">
        <v>3398687</v>
      </c>
      <c r="B5072" t="s">
        <v>25864</v>
      </c>
      <c r="C5072" t="str">
        <f>""</f>
        <v/>
      </c>
      <c r="D5072" t="str">
        <f>"9782764408810"</f>
        <v>9782764408810</v>
      </c>
      <c r="E5072" t="s">
        <v>25661</v>
      </c>
      <c r="F5072" t="s">
        <v>25662</v>
      </c>
      <c r="G5072" s="1">
        <v>41091</v>
      </c>
      <c r="I5072" t="s">
        <v>25736</v>
      </c>
      <c r="J5072" t="s">
        <v>25690</v>
      </c>
      <c r="K5072" t="s">
        <v>11057</v>
      </c>
      <c r="L5072" t="s">
        <v>25865</v>
      </c>
      <c r="N5072" t="s">
        <v>25866</v>
      </c>
      <c r="O5072" t="s">
        <v>26</v>
      </c>
      <c r="Q5072">
        <v>11.24</v>
      </c>
      <c r="R5072">
        <v>8.99</v>
      </c>
      <c r="S5072">
        <v>13.49</v>
      </c>
      <c r="T5072" t="s">
        <v>25867</v>
      </c>
    </row>
    <row r="5073" spans="1:20">
      <c r="A5073">
        <v>3398688</v>
      </c>
      <c r="B5073" t="s">
        <v>25868</v>
      </c>
      <c r="C5073" t="str">
        <f>""</f>
        <v/>
      </c>
      <c r="D5073" t="str">
        <f>"9782764409077"</f>
        <v>9782764409077</v>
      </c>
      <c r="E5073" t="s">
        <v>25661</v>
      </c>
      <c r="F5073" t="s">
        <v>25662</v>
      </c>
      <c r="G5073" s="1">
        <v>41122</v>
      </c>
      <c r="I5073" t="s">
        <v>25816</v>
      </c>
      <c r="J5073" t="s">
        <v>25663</v>
      </c>
      <c r="K5073" t="s">
        <v>136</v>
      </c>
      <c r="L5073" t="s">
        <v>25869</v>
      </c>
      <c r="N5073" t="s">
        <v>25870</v>
      </c>
      <c r="O5073" t="s">
        <v>26</v>
      </c>
      <c r="Q5073">
        <v>11.24</v>
      </c>
      <c r="R5073">
        <v>8.99</v>
      </c>
      <c r="S5073">
        <v>13.49</v>
      </c>
      <c r="T5073" t="s">
        <v>25871</v>
      </c>
    </row>
    <row r="5074" spans="1:20">
      <c r="A5074">
        <v>3398689</v>
      </c>
      <c r="B5074" t="s">
        <v>25872</v>
      </c>
      <c r="C5074" t="str">
        <f>""</f>
        <v/>
      </c>
      <c r="D5074" t="str">
        <f>"9782764409015"</f>
        <v>9782764409015</v>
      </c>
      <c r="E5074" t="s">
        <v>25661</v>
      </c>
      <c r="F5074" t="s">
        <v>25662</v>
      </c>
      <c r="G5074" s="1">
        <v>41122</v>
      </c>
      <c r="I5074" t="s">
        <v>25668</v>
      </c>
      <c r="J5074" t="s">
        <v>25663</v>
      </c>
      <c r="K5074" t="s">
        <v>791</v>
      </c>
      <c r="L5074" t="s">
        <v>25873</v>
      </c>
      <c r="N5074" t="s">
        <v>25874</v>
      </c>
      <c r="O5074" t="s">
        <v>26</v>
      </c>
      <c r="Q5074">
        <v>16.239999999999998</v>
      </c>
      <c r="R5074">
        <v>12.99</v>
      </c>
      <c r="S5074">
        <v>19.489999999999998</v>
      </c>
      <c r="T5074" t="s">
        <v>25875</v>
      </c>
    </row>
    <row r="5075" spans="1:20">
      <c r="A5075">
        <v>3398690</v>
      </c>
      <c r="B5075" t="s">
        <v>25876</v>
      </c>
      <c r="C5075" t="str">
        <f>"9782764400579"</f>
        <v>9782764400579</v>
      </c>
      <c r="D5075" t="str">
        <f>"9782764411698"</f>
        <v>9782764411698</v>
      </c>
      <c r="E5075" t="s">
        <v>25662</v>
      </c>
      <c r="F5075" t="s">
        <v>25662</v>
      </c>
      <c r="G5075" s="1">
        <v>36739</v>
      </c>
      <c r="J5075" t="s">
        <v>25663</v>
      </c>
      <c r="K5075" t="s">
        <v>1150</v>
      </c>
      <c r="L5075" t="s">
        <v>25877</v>
      </c>
      <c r="N5075" t="s">
        <v>25878</v>
      </c>
      <c r="O5075" t="s">
        <v>94</v>
      </c>
      <c r="Q5075">
        <v>16.239999999999998</v>
      </c>
      <c r="R5075">
        <v>12.99</v>
      </c>
      <c r="S5075">
        <v>19.489999999999998</v>
      </c>
      <c r="T5075" t="s">
        <v>25879</v>
      </c>
    </row>
    <row r="5076" spans="1:20">
      <c r="A5076">
        <v>3398691</v>
      </c>
      <c r="B5076" t="s">
        <v>25880</v>
      </c>
      <c r="C5076" t="str">
        <f>"9782890379756"</f>
        <v>9782890379756</v>
      </c>
      <c r="D5076" t="str">
        <f>"9782764411636"</f>
        <v>9782764411636</v>
      </c>
      <c r="E5076" t="s">
        <v>25662</v>
      </c>
      <c r="F5076" t="s">
        <v>25662</v>
      </c>
      <c r="G5076" s="1">
        <v>36251</v>
      </c>
      <c r="J5076" t="s">
        <v>25663</v>
      </c>
      <c r="K5076" t="s">
        <v>23</v>
      </c>
      <c r="L5076" t="s">
        <v>25881</v>
      </c>
      <c r="N5076" t="s">
        <v>25882</v>
      </c>
      <c r="O5076" t="s">
        <v>94</v>
      </c>
      <c r="Q5076">
        <v>12.49</v>
      </c>
      <c r="R5076">
        <v>9.99</v>
      </c>
      <c r="S5076">
        <v>14.99</v>
      </c>
      <c r="T5076" t="s">
        <v>25883</v>
      </c>
    </row>
    <row r="5077" spans="1:20">
      <c r="A5077">
        <v>3398692</v>
      </c>
      <c r="B5077" t="s">
        <v>25884</v>
      </c>
      <c r="C5077" t="str">
        <f>"9782764410899"</f>
        <v>9782764410899</v>
      </c>
      <c r="D5077" t="str">
        <f>"9782764411407"</f>
        <v>9782764411407</v>
      </c>
      <c r="E5077" t="s">
        <v>25662</v>
      </c>
      <c r="F5077" t="s">
        <v>25662</v>
      </c>
      <c r="G5077" s="1">
        <v>40787</v>
      </c>
      <c r="J5077" t="s">
        <v>25690</v>
      </c>
      <c r="K5077" t="s">
        <v>25745</v>
      </c>
      <c r="L5077" t="s">
        <v>25885</v>
      </c>
      <c r="N5077" t="s">
        <v>25886</v>
      </c>
      <c r="O5077" t="s">
        <v>94</v>
      </c>
      <c r="Q5077">
        <v>12.49</v>
      </c>
      <c r="R5077">
        <v>9.99</v>
      </c>
      <c r="S5077">
        <v>14.99</v>
      </c>
      <c r="T5077" t="s">
        <v>25887</v>
      </c>
    </row>
    <row r="5078" spans="1:20">
      <c r="A5078">
        <v>3398693</v>
      </c>
      <c r="B5078" t="s">
        <v>25888</v>
      </c>
      <c r="C5078" t="str">
        <f>"9782764408445"</f>
        <v>9782764408445</v>
      </c>
      <c r="D5078" t="str">
        <f>"9782764411391"</f>
        <v>9782764411391</v>
      </c>
      <c r="E5078" t="s">
        <v>25662</v>
      </c>
      <c r="F5078" t="s">
        <v>25662</v>
      </c>
      <c r="G5078" s="1">
        <v>38930</v>
      </c>
      <c r="J5078" t="s">
        <v>25663</v>
      </c>
      <c r="K5078" t="s">
        <v>3230</v>
      </c>
      <c r="L5078" t="s">
        <v>25889</v>
      </c>
      <c r="N5078" t="s">
        <v>25890</v>
      </c>
      <c r="O5078" t="s">
        <v>94</v>
      </c>
      <c r="Q5078">
        <v>16.239999999999998</v>
      </c>
      <c r="R5078">
        <v>12.99</v>
      </c>
      <c r="S5078">
        <v>19.489999999999998</v>
      </c>
      <c r="T5078" t="s">
        <v>25891</v>
      </c>
    </row>
    <row r="5079" spans="1:20">
      <c r="A5079">
        <v>3398694</v>
      </c>
      <c r="B5079" t="s">
        <v>25892</v>
      </c>
      <c r="C5079" t="str">
        <f>""</f>
        <v/>
      </c>
      <c r="D5079" t="str">
        <f>"9782764408797"</f>
        <v>9782764408797</v>
      </c>
      <c r="E5079" t="s">
        <v>25661</v>
      </c>
      <c r="F5079" t="s">
        <v>25662</v>
      </c>
      <c r="G5079" s="1">
        <v>41091</v>
      </c>
      <c r="I5079" t="s">
        <v>25736</v>
      </c>
      <c r="J5079" t="s">
        <v>25690</v>
      </c>
      <c r="K5079" t="s">
        <v>23</v>
      </c>
      <c r="L5079" t="s">
        <v>25893</v>
      </c>
      <c r="N5079" t="s">
        <v>25894</v>
      </c>
      <c r="O5079" t="s">
        <v>26</v>
      </c>
      <c r="Q5079">
        <v>11.24</v>
      </c>
      <c r="R5079">
        <v>8.99</v>
      </c>
      <c r="S5079">
        <v>13.49</v>
      </c>
      <c r="T5079" t="s">
        <v>25895</v>
      </c>
    </row>
    <row r="5080" spans="1:20">
      <c r="A5080">
        <v>3398695</v>
      </c>
      <c r="B5080" t="s">
        <v>25896</v>
      </c>
      <c r="C5080" t="str">
        <f>"9782764400166"</f>
        <v>9782764400166</v>
      </c>
      <c r="D5080" t="str">
        <f>"9782764411100"</f>
        <v>9782764411100</v>
      </c>
      <c r="E5080" t="s">
        <v>25662</v>
      </c>
      <c r="F5080" t="s">
        <v>25662</v>
      </c>
      <c r="G5080" s="1">
        <v>37165</v>
      </c>
      <c r="I5080" t="s">
        <v>25771</v>
      </c>
      <c r="J5080" t="s">
        <v>25663</v>
      </c>
      <c r="K5080" t="s">
        <v>16769</v>
      </c>
      <c r="L5080" t="s">
        <v>25897</v>
      </c>
      <c r="N5080" t="s">
        <v>25898</v>
      </c>
      <c r="O5080" t="s">
        <v>94</v>
      </c>
      <c r="Q5080">
        <v>16.239999999999998</v>
      </c>
      <c r="R5080">
        <v>12.99</v>
      </c>
      <c r="S5080">
        <v>19.489999999999998</v>
      </c>
      <c r="T5080" t="s">
        <v>25899</v>
      </c>
    </row>
    <row r="5081" spans="1:20">
      <c r="A5081">
        <v>3398696</v>
      </c>
      <c r="B5081" t="s">
        <v>25900</v>
      </c>
      <c r="C5081" t="str">
        <f>""</f>
        <v/>
      </c>
      <c r="D5081" t="str">
        <f>"9782764408964"</f>
        <v>9782764408964</v>
      </c>
      <c r="E5081" t="s">
        <v>25661</v>
      </c>
      <c r="F5081" t="s">
        <v>25662</v>
      </c>
      <c r="G5081" s="1">
        <v>41122</v>
      </c>
      <c r="J5081" t="s">
        <v>25663</v>
      </c>
      <c r="K5081" t="s">
        <v>24788</v>
      </c>
      <c r="L5081" t="s">
        <v>25901</v>
      </c>
      <c r="N5081" t="s">
        <v>25902</v>
      </c>
      <c r="O5081" t="s">
        <v>26</v>
      </c>
      <c r="Q5081">
        <v>21.24</v>
      </c>
      <c r="R5081">
        <v>16.989999999999998</v>
      </c>
      <c r="S5081">
        <v>25.49</v>
      </c>
      <c r="T5081" t="s">
        <v>25903</v>
      </c>
    </row>
    <row r="5082" spans="1:20">
      <c r="A5082">
        <v>3398697</v>
      </c>
      <c r="B5082" t="s">
        <v>25904</v>
      </c>
      <c r="C5082" t="str">
        <f>""</f>
        <v/>
      </c>
      <c r="D5082" t="str">
        <f>"9782764408902"</f>
        <v>9782764408902</v>
      </c>
      <c r="E5082" t="s">
        <v>25661</v>
      </c>
      <c r="F5082" t="s">
        <v>25662</v>
      </c>
      <c r="G5082" s="1">
        <v>41122</v>
      </c>
      <c r="I5082" t="s">
        <v>25709</v>
      </c>
      <c r="J5082" t="s">
        <v>25663</v>
      </c>
      <c r="K5082" t="s">
        <v>30</v>
      </c>
      <c r="L5082" t="s">
        <v>25905</v>
      </c>
      <c r="N5082" t="s">
        <v>25906</v>
      </c>
      <c r="O5082" t="s">
        <v>26</v>
      </c>
      <c r="Q5082">
        <v>16.239999999999998</v>
      </c>
      <c r="R5082">
        <v>12.99</v>
      </c>
      <c r="S5082">
        <v>19.489999999999998</v>
      </c>
      <c r="T5082" t="s">
        <v>25907</v>
      </c>
    </row>
    <row r="5083" spans="1:20">
      <c r="A5083">
        <v>3398698</v>
      </c>
      <c r="B5083" t="s">
        <v>25908</v>
      </c>
      <c r="C5083" t="str">
        <f>""</f>
        <v/>
      </c>
      <c r="D5083" t="str">
        <f>"9782764409084"</f>
        <v>9782764409084</v>
      </c>
      <c r="E5083" t="s">
        <v>25661</v>
      </c>
      <c r="F5083" t="s">
        <v>25662</v>
      </c>
      <c r="G5083" s="1">
        <v>41122</v>
      </c>
      <c r="I5083" t="s">
        <v>25816</v>
      </c>
      <c r="J5083" t="s">
        <v>25663</v>
      </c>
      <c r="K5083" t="s">
        <v>16769</v>
      </c>
      <c r="L5083" t="s">
        <v>25909</v>
      </c>
      <c r="N5083" t="s">
        <v>25910</v>
      </c>
      <c r="O5083" t="s">
        <v>26</v>
      </c>
      <c r="Q5083">
        <v>11.24</v>
      </c>
      <c r="R5083">
        <v>8.99</v>
      </c>
      <c r="S5083">
        <v>13.49</v>
      </c>
      <c r="T5083" t="s">
        <v>25911</v>
      </c>
    </row>
    <row r="5084" spans="1:20">
      <c r="A5084">
        <v>3398699</v>
      </c>
      <c r="B5084" t="s">
        <v>25912</v>
      </c>
      <c r="C5084" t="str">
        <f>"9782764408056"</f>
        <v>9782764408056</v>
      </c>
      <c r="D5084" t="str">
        <f>"9782764409411"</f>
        <v>9782764409411</v>
      </c>
      <c r="E5084" t="s">
        <v>25661</v>
      </c>
      <c r="F5084" t="s">
        <v>25662</v>
      </c>
      <c r="G5084" s="1">
        <v>37438</v>
      </c>
      <c r="J5084" t="s">
        <v>25690</v>
      </c>
      <c r="K5084" t="s">
        <v>7075</v>
      </c>
      <c r="L5084" t="s">
        <v>25913</v>
      </c>
      <c r="N5084" t="s">
        <v>25798</v>
      </c>
      <c r="O5084" t="s">
        <v>26</v>
      </c>
      <c r="Q5084">
        <v>24.99</v>
      </c>
      <c r="R5084">
        <v>19.989999999999998</v>
      </c>
      <c r="S5084">
        <v>29.99</v>
      </c>
      <c r="T5084" t="s">
        <v>25914</v>
      </c>
    </row>
    <row r="5085" spans="1:20">
      <c r="A5085">
        <v>3398700</v>
      </c>
      <c r="B5085" t="s">
        <v>25915</v>
      </c>
      <c r="C5085" t="str">
        <f>""</f>
        <v/>
      </c>
      <c r="D5085" t="str">
        <f>"9782764409022"</f>
        <v>9782764409022</v>
      </c>
      <c r="E5085" t="s">
        <v>25661</v>
      </c>
      <c r="F5085" t="s">
        <v>25662</v>
      </c>
      <c r="G5085" s="1">
        <v>41122</v>
      </c>
      <c r="I5085" t="s">
        <v>25668</v>
      </c>
      <c r="J5085" t="s">
        <v>25663</v>
      </c>
      <c r="K5085" t="s">
        <v>791</v>
      </c>
      <c r="L5085" t="s">
        <v>25916</v>
      </c>
      <c r="N5085" t="s">
        <v>25917</v>
      </c>
      <c r="O5085" t="s">
        <v>26</v>
      </c>
      <c r="Q5085">
        <v>16.239999999999998</v>
      </c>
      <c r="R5085">
        <v>12.99</v>
      </c>
      <c r="S5085">
        <v>19.489999999999998</v>
      </c>
      <c r="T5085" t="s">
        <v>25918</v>
      </c>
    </row>
    <row r="5086" spans="1:20">
      <c r="A5086">
        <v>3398701</v>
      </c>
      <c r="B5086" t="s">
        <v>25919</v>
      </c>
      <c r="C5086" t="str">
        <f>"9782890379619"</f>
        <v>9782890379619</v>
      </c>
      <c r="D5086" t="str">
        <f>"9782764411476"</f>
        <v>9782764411476</v>
      </c>
      <c r="E5086" t="s">
        <v>25662</v>
      </c>
      <c r="F5086" t="s">
        <v>25662</v>
      </c>
      <c r="G5086" s="1">
        <v>36100</v>
      </c>
      <c r="J5086" t="s">
        <v>25663</v>
      </c>
      <c r="K5086" t="s">
        <v>155</v>
      </c>
      <c r="L5086" t="s">
        <v>25920</v>
      </c>
      <c r="N5086" t="s">
        <v>25834</v>
      </c>
      <c r="O5086" t="s">
        <v>94</v>
      </c>
      <c r="Q5086">
        <v>12.49</v>
      </c>
      <c r="R5086">
        <v>9.99</v>
      </c>
      <c r="S5086">
        <v>14.99</v>
      </c>
      <c r="T5086" t="s">
        <v>25921</v>
      </c>
    </row>
    <row r="5087" spans="1:20">
      <c r="A5087">
        <v>3398702</v>
      </c>
      <c r="B5087" t="s">
        <v>25922</v>
      </c>
      <c r="C5087" t="str">
        <f>"9782764408629"</f>
        <v>9782764408629</v>
      </c>
      <c r="D5087" t="str">
        <f>"9782764411018"</f>
        <v>9782764411018</v>
      </c>
      <c r="E5087" t="s">
        <v>25662</v>
      </c>
      <c r="F5087" t="s">
        <v>25662</v>
      </c>
      <c r="G5087" s="1">
        <v>40057</v>
      </c>
      <c r="I5087" t="s">
        <v>25755</v>
      </c>
      <c r="J5087" t="s">
        <v>25690</v>
      </c>
      <c r="K5087" t="s">
        <v>23</v>
      </c>
      <c r="L5087" t="s">
        <v>25923</v>
      </c>
      <c r="M5087" t="s">
        <v>25924</v>
      </c>
      <c r="N5087" t="s">
        <v>25925</v>
      </c>
      <c r="O5087" t="s">
        <v>94</v>
      </c>
      <c r="Q5087">
        <v>11.24</v>
      </c>
      <c r="R5087">
        <v>8.99</v>
      </c>
      <c r="S5087">
        <v>13.49</v>
      </c>
      <c r="T5087" t="s">
        <v>25926</v>
      </c>
    </row>
    <row r="5088" spans="1:20">
      <c r="A5088">
        <v>3398703</v>
      </c>
      <c r="B5088" t="s">
        <v>25927</v>
      </c>
      <c r="C5088" t="str">
        <f>"9782890379688"</f>
        <v>9782890379688</v>
      </c>
      <c r="D5088" t="str">
        <f>"9782764411643"</f>
        <v>9782764411643</v>
      </c>
      <c r="E5088" t="s">
        <v>25662</v>
      </c>
      <c r="F5088" t="s">
        <v>25662</v>
      </c>
      <c r="G5088" s="1">
        <v>36100</v>
      </c>
      <c r="J5088" t="s">
        <v>25663</v>
      </c>
      <c r="K5088" t="s">
        <v>179</v>
      </c>
      <c r="L5088" t="s">
        <v>25928</v>
      </c>
      <c r="N5088" t="s">
        <v>25929</v>
      </c>
      <c r="O5088" t="s">
        <v>94</v>
      </c>
      <c r="Q5088">
        <v>12.49</v>
      </c>
      <c r="R5088">
        <v>9.99</v>
      </c>
      <c r="S5088">
        <v>14.99</v>
      </c>
      <c r="T5088" t="s">
        <v>25930</v>
      </c>
    </row>
    <row r="5089" spans="1:20">
      <c r="A5089">
        <v>3398704</v>
      </c>
      <c r="B5089" t="s">
        <v>25931</v>
      </c>
      <c r="C5089" t="str">
        <f>"9782764408469"</f>
        <v>9782764408469</v>
      </c>
      <c r="D5089" t="str">
        <f>"9782764411414"</f>
        <v>9782764411414</v>
      </c>
      <c r="E5089" t="s">
        <v>25662</v>
      </c>
      <c r="F5089" t="s">
        <v>25662</v>
      </c>
      <c r="G5089" s="1">
        <v>39083</v>
      </c>
      <c r="I5089" t="s">
        <v>25685</v>
      </c>
      <c r="J5089" t="s">
        <v>25663</v>
      </c>
      <c r="K5089" t="s">
        <v>179</v>
      </c>
      <c r="L5089" t="s">
        <v>25932</v>
      </c>
      <c r="N5089" t="s">
        <v>25933</v>
      </c>
      <c r="O5089" t="s">
        <v>94</v>
      </c>
      <c r="Q5089">
        <v>11.24</v>
      </c>
      <c r="R5089">
        <v>8.99</v>
      </c>
      <c r="S5089">
        <v>13.49</v>
      </c>
      <c r="T5089" t="s">
        <v>25934</v>
      </c>
    </row>
    <row r="5090" spans="1:20">
      <c r="A5090">
        <v>3398705</v>
      </c>
      <c r="B5090" t="s">
        <v>25935</v>
      </c>
      <c r="C5090" t="str">
        <f>""</f>
        <v/>
      </c>
      <c r="D5090" t="str">
        <f>"9782764408971"</f>
        <v>9782764408971</v>
      </c>
      <c r="E5090" t="s">
        <v>25661</v>
      </c>
      <c r="F5090" t="s">
        <v>25662</v>
      </c>
      <c r="G5090" s="1">
        <v>41153</v>
      </c>
      <c r="J5090" t="s">
        <v>25663</v>
      </c>
      <c r="K5090" t="s">
        <v>1150</v>
      </c>
      <c r="L5090" t="s">
        <v>25936</v>
      </c>
      <c r="N5090" t="s">
        <v>25937</v>
      </c>
      <c r="O5090" t="s">
        <v>26</v>
      </c>
      <c r="Q5090">
        <v>16.239999999999998</v>
      </c>
      <c r="R5090">
        <v>12.99</v>
      </c>
      <c r="S5090">
        <v>19.489999999999998</v>
      </c>
      <c r="T5090" t="s">
        <v>25938</v>
      </c>
    </row>
    <row r="5091" spans="1:20">
      <c r="A5091">
        <v>3398706</v>
      </c>
      <c r="B5091" t="s">
        <v>25939</v>
      </c>
      <c r="C5091" t="str">
        <f>""</f>
        <v/>
      </c>
      <c r="D5091" t="str">
        <f>"9782764409169"</f>
        <v>9782764409169</v>
      </c>
      <c r="E5091" t="s">
        <v>25661</v>
      </c>
      <c r="F5091" t="s">
        <v>25662</v>
      </c>
      <c r="G5091" s="1">
        <v>41122</v>
      </c>
      <c r="J5091" t="s">
        <v>25663</v>
      </c>
      <c r="K5091" t="s">
        <v>791</v>
      </c>
      <c r="L5091" t="s">
        <v>25940</v>
      </c>
      <c r="N5091" t="s">
        <v>25929</v>
      </c>
      <c r="O5091" t="s">
        <v>26</v>
      </c>
      <c r="Q5091">
        <v>12.49</v>
      </c>
      <c r="R5091">
        <v>9.99</v>
      </c>
      <c r="S5091">
        <v>14.99</v>
      </c>
      <c r="T5091" t="s">
        <v>25941</v>
      </c>
    </row>
    <row r="5092" spans="1:20">
      <c r="A5092">
        <v>3398707</v>
      </c>
      <c r="B5092" t="s">
        <v>25942</v>
      </c>
      <c r="C5092" t="str">
        <f>"9782764408483"</f>
        <v>9782764408483</v>
      </c>
      <c r="D5092" t="str">
        <f>"9782764409107"</f>
        <v>9782764409107</v>
      </c>
      <c r="E5092" t="s">
        <v>25662</v>
      </c>
      <c r="F5092" t="s">
        <v>25662</v>
      </c>
      <c r="G5092" s="1">
        <v>39295</v>
      </c>
      <c r="I5092" t="s">
        <v>25816</v>
      </c>
      <c r="J5092" t="s">
        <v>25663</v>
      </c>
      <c r="K5092" t="s">
        <v>11256</v>
      </c>
      <c r="L5092" t="s">
        <v>25943</v>
      </c>
      <c r="N5092" t="s">
        <v>25944</v>
      </c>
      <c r="O5092" t="s">
        <v>94</v>
      </c>
      <c r="Q5092">
        <v>11.24</v>
      </c>
      <c r="R5092">
        <v>8.99</v>
      </c>
      <c r="S5092">
        <v>13.49</v>
      </c>
      <c r="T5092" t="s">
        <v>25945</v>
      </c>
    </row>
    <row r="5093" spans="1:20">
      <c r="A5093">
        <v>3398708</v>
      </c>
      <c r="B5093" t="s">
        <v>25946</v>
      </c>
      <c r="C5093" t="str">
        <f>"9782764408537"</f>
        <v>9782764408537</v>
      </c>
      <c r="D5093" t="str">
        <f>"9782764410967"</f>
        <v>9782764410967</v>
      </c>
      <c r="E5093" t="s">
        <v>25661</v>
      </c>
      <c r="F5093" t="s">
        <v>25662</v>
      </c>
      <c r="G5093" s="1">
        <v>39295</v>
      </c>
      <c r="J5093" t="s">
        <v>25690</v>
      </c>
      <c r="K5093" t="s">
        <v>4081</v>
      </c>
      <c r="L5093" t="s">
        <v>25947</v>
      </c>
      <c r="N5093" t="s">
        <v>25764</v>
      </c>
      <c r="O5093" t="s">
        <v>485</v>
      </c>
      <c r="Q5093">
        <v>18.739999999999998</v>
      </c>
      <c r="R5093">
        <v>14.99</v>
      </c>
      <c r="S5093">
        <v>22.49</v>
      </c>
      <c r="T5093" t="s">
        <v>25948</v>
      </c>
    </row>
    <row r="5094" spans="1:20">
      <c r="A5094">
        <v>3398709</v>
      </c>
      <c r="B5094" t="s">
        <v>25949</v>
      </c>
      <c r="C5094" t="str">
        <f>""</f>
        <v/>
      </c>
      <c r="D5094" t="str">
        <f>"9782764409091"</f>
        <v>9782764409091</v>
      </c>
      <c r="E5094" t="s">
        <v>25661</v>
      </c>
      <c r="F5094" t="s">
        <v>25662</v>
      </c>
      <c r="G5094" s="1">
        <v>41122</v>
      </c>
      <c r="I5094" t="s">
        <v>25816</v>
      </c>
      <c r="J5094" t="s">
        <v>25663</v>
      </c>
      <c r="K5094" t="s">
        <v>179</v>
      </c>
      <c r="L5094" t="s">
        <v>25932</v>
      </c>
      <c r="N5094" t="s">
        <v>25933</v>
      </c>
      <c r="O5094" t="s">
        <v>26</v>
      </c>
      <c r="Q5094">
        <v>11.24</v>
      </c>
      <c r="R5094">
        <v>8.99</v>
      </c>
      <c r="S5094">
        <v>13.49</v>
      </c>
      <c r="T5094" t="s">
        <v>25950</v>
      </c>
    </row>
    <row r="5095" spans="1:20">
      <c r="A5095">
        <v>3398710</v>
      </c>
      <c r="B5095" t="s">
        <v>25951</v>
      </c>
      <c r="C5095" t="str">
        <f>"9782764408049"</f>
        <v>9782764408049</v>
      </c>
      <c r="D5095" t="str">
        <f>"9782764411087"</f>
        <v>9782764411087</v>
      </c>
      <c r="E5095" t="s">
        <v>25662</v>
      </c>
      <c r="F5095" t="s">
        <v>25662</v>
      </c>
      <c r="G5095" s="1">
        <v>37347</v>
      </c>
      <c r="I5095" t="s">
        <v>25771</v>
      </c>
      <c r="J5095" t="s">
        <v>25663</v>
      </c>
      <c r="K5095" t="s">
        <v>791</v>
      </c>
      <c r="L5095" t="s">
        <v>25952</v>
      </c>
      <c r="N5095" t="s">
        <v>25953</v>
      </c>
      <c r="O5095" t="s">
        <v>94</v>
      </c>
      <c r="Q5095">
        <v>16.239999999999998</v>
      </c>
      <c r="R5095">
        <v>12.99</v>
      </c>
      <c r="S5095">
        <v>19.489999999999998</v>
      </c>
      <c r="T5095" t="s">
        <v>25954</v>
      </c>
    </row>
    <row r="5096" spans="1:20">
      <c r="A5096">
        <v>3398711</v>
      </c>
      <c r="B5096" t="s">
        <v>25955</v>
      </c>
      <c r="C5096" t="str">
        <f>"9782890379770"</f>
        <v>9782890379770</v>
      </c>
      <c r="D5096" t="str">
        <f>"9782764411483"</f>
        <v>9782764411483</v>
      </c>
      <c r="E5096" t="s">
        <v>25662</v>
      </c>
      <c r="F5096" t="s">
        <v>25662</v>
      </c>
      <c r="G5096" s="1">
        <v>36251</v>
      </c>
      <c r="J5096" t="s">
        <v>25663</v>
      </c>
      <c r="K5096" t="s">
        <v>791</v>
      </c>
      <c r="L5096" t="s">
        <v>25956</v>
      </c>
      <c r="N5096" t="s">
        <v>25957</v>
      </c>
      <c r="O5096" t="s">
        <v>94</v>
      </c>
      <c r="Q5096">
        <v>12.49</v>
      </c>
      <c r="R5096">
        <v>9.99</v>
      </c>
      <c r="S5096">
        <v>14.99</v>
      </c>
      <c r="T5096" t="s">
        <v>25958</v>
      </c>
    </row>
    <row r="5097" spans="1:20">
      <c r="A5097">
        <v>3398712</v>
      </c>
      <c r="B5097" t="s">
        <v>25959</v>
      </c>
      <c r="C5097" t="str">
        <f>"9782764408544"</f>
        <v>9782764408544</v>
      </c>
      <c r="D5097" t="str">
        <f>"9782764411339"</f>
        <v>9782764411339</v>
      </c>
      <c r="E5097" t="s">
        <v>25662</v>
      </c>
      <c r="F5097" t="s">
        <v>25662</v>
      </c>
      <c r="G5097" s="1">
        <v>39356</v>
      </c>
      <c r="I5097" t="s">
        <v>25700</v>
      </c>
      <c r="J5097" t="s">
        <v>25663</v>
      </c>
      <c r="K5097" t="s">
        <v>12038</v>
      </c>
      <c r="L5097" t="s">
        <v>25960</v>
      </c>
      <c r="N5097" t="s">
        <v>25768</v>
      </c>
      <c r="O5097" t="s">
        <v>94</v>
      </c>
      <c r="Q5097">
        <v>16.239999999999998</v>
      </c>
      <c r="R5097">
        <v>12.99</v>
      </c>
      <c r="S5097">
        <v>19.489999999999998</v>
      </c>
      <c r="T5097" t="s">
        <v>25961</v>
      </c>
    </row>
    <row r="5098" spans="1:20">
      <c r="A5098">
        <v>3398713</v>
      </c>
      <c r="B5098" t="s">
        <v>25962</v>
      </c>
      <c r="C5098" t="str">
        <f>"9782764408636"</f>
        <v>9782764408636</v>
      </c>
      <c r="D5098" t="str">
        <f>"9782764411025"</f>
        <v>9782764411025</v>
      </c>
      <c r="E5098" t="s">
        <v>25662</v>
      </c>
      <c r="F5098" t="s">
        <v>25662</v>
      </c>
      <c r="G5098" s="1">
        <v>40057</v>
      </c>
      <c r="I5098" t="s">
        <v>25755</v>
      </c>
      <c r="J5098" t="s">
        <v>25690</v>
      </c>
      <c r="K5098" t="s">
        <v>25963</v>
      </c>
      <c r="L5098" t="s">
        <v>25964</v>
      </c>
      <c r="M5098" t="s">
        <v>25965</v>
      </c>
      <c r="N5098" t="s">
        <v>25966</v>
      </c>
      <c r="O5098" t="s">
        <v>94</v>
      </c>
      <c r="Q5098">
        <v>11.24</v>
      </c>
      <c r="R5098">
        <v>8.99</v>
      </c>
      <c r="S5098">
        <v>13.49</v>
      </c>
      <c r="T5098" t="s">
        <v>25967</v>
      </c>
    </row>
    <row r="5099" spans="1:20">
      <c r="A5099">
        <v>3398714</v>
      </c>
      <c r="B5099" t="s">
        <v>25968</v>
      </c>
      <c r="C5099" t="str">
        <f>"9782890379817"</f>
        <v>9782890379817</v>
      </c>
      <c r="D5099" t="str">
        <f>"9782764411650"</f>
        <v>9782764411650</v>
      </c>
      <c r="E5099" t="s">
        <v>25662</v>
      </c>
      <c r="F5099" t="s">
        <v>25662</v>
      </c>
      <c r="G5099" s="1">
        <v>36251</v>
      </c>
      <c r="J5099" t="s">
        <v>25663</v>
      </c>
      <c r="K5099" t="s">
        <v>23</v>
      </c>
      <c r="L5099" t="s">
        <v>25969</v>
      </c>
      <c r="N5099" t="s">
        <v>25970</v>
      </c>
      <c r="O5099" t="s">
        <v>94</v>
      </c>
      <c r="Q5099">
        <v>12.49</v>
      </c>
      <c r="R5099">
        <v>9.99</v>
      </c>
      <c r="S5099">
        <v>14.99</v>
      </c>
      <c r="T5099" t="s">
        <v>25971</v>
      </c>
    </row>
    <row r="5100" spans="1:20">
      <c r="A5100">
        <v>3398715</v>
      </c>
      <c r="B5100" t="s">
        <v>25972</v>
      </c>
      <c r="C5100" t="str">
        <f>"9782764408438"</f>
        <v>9782764408438</v>
      </c>
      <c r="D5100" t="str">
        <f>"9782764411421"</f>
        <v>9782764411421</v>
      </c>
      <c r="E5100" t="s">
        <v>25662</v>
      </c>
      <c r="F5100" t="s">
        <v>25662</v>
      </c>
      <c r="G5100" s="1">
        <v>38991</v>
      </c>
      <c r="I5100" t="s">
        <v>25685</v>
      </c>
      <c r="J5100" t="s">
        <v>25663</v>
      </c>
      <c r="K5100" t="s">
        <v>136</v>
      </c>
      <c r="L5100" t="s">
        <v>25869</v>
      </c>
      <c r="N5100" t="s">
        <v>25870</v>
      </c>
      <c r="O5100" t="s">
        <v>94</v>
      </c>
      <c r="Q5100">
        <v>11.24</v>
      </c>
      <c r="R5100">
        <v>8.99</v>
      </c>
      <c r="S5100">
        <v>13.49</v>
      </c>
      <c r="T5100" t="s">
        <v>25973</v>
      </c>
    </row>
    <row r="5101" spans="1:20">
      <c r="A5101">
        <v>3398716</v>
      </c>
      <c r="B5101" t="s">
        <v>25974</v>
      </c>
      <c r="C5101" t="str">
        <f>""</f>
        <v/>
      </c>
      <c r="D5101" t="str">
        <f>"9782764408889"</f>
        <v>9782764408889</v>
      </c>
      <c r="E5101" t="s">
        <v>25661</v>
      </c>
      <c r="F5101" t="s">
        <v>25662</v>
      </c>
      <c r="G5101" s="1">
        <v>41091</v>
      </c>
      <c r="I5101" t="s">
        <v>25736</v>
      </c>
      <c r="J5101" t="s">
        <v>25690</v>
      </c>
      <c r="K5101" t="s">
        <v>305</v>
      </c>
      <c r="L5101" t="s">
        <v>25975</v>
      </c>
      <c r="N5101" t="s">
        <v>25976</v>
      </c>
      <c r="O5101" t="s">
        <v>26</v>
      </c>
      <c r="Q5101">
        <v>11.24</v>
      </c>
      <c r="R5101">
        <v>8.99</v>
      </c>
      <c r="S5101">
        <v>13.49</v>
      </c>
      <c r="T5101" t="s">
        <v>25977</v>
      </c>
    </row>
    <row r="5102" spans="1:20">
      <c r="A5102">
        <v>3398717</v>
      </c>
      <c r="B5102" t="s">
        <v>25978</v>
      </c>
      <c r="C5102" t="str">
        <f>""</f>
        <v/>
      </c>
      <c r="D5102" t="str">
        <f>"9782764408827"</f>
        <v>9782764408827</v>
      </c>
      <c r="E5102" t="s">
        <v>25661</v>
      </c>
      <c r="F5102" t="s">
        <v>25662</v>
      </c>
      <c r="G5102" s="1">
        <v>41091</v>
      </c>
      <c r="I5102" t="s">
        <v>25736</v>
      </c>
      <c r="J5102" t="s">
        <v>25690</v>
      </c>
      <c r="K5102" t="s">
        <v>387</v>
      </c>
      <c r="L5102" t="s">
        <v>25979</v>
      </c>
      <c r="N5102" t="s">
        <v>25980</v>
      </c>
      <c r="O5102" t="s">
        <v>26</v>
      </c>
      <c r="Q5102">
        <v>11.24</v>
      </c>
      <c r="R5102">
        <v>8.99</v>
      </c>
      <c r="S5102">
        <v>13.49</v>
      </c>
      <c r="T5102" t="s">
        <v>25981</v>
      </c>
    </row>
    <row r="5103" spans="1:20">
      <c r="A5103">
        <v>3398718</v>
      </c>
      <c r="B5103" t="s">
        <v>25982</v>
      </c>
      <c r="C5103" t="str">
        <f>""</f>
        <v/>
      </c>
      <c r="D5103" t="str">
        <f>"9782764409176"</f>
        <v>9782764409176</v>
      </c>
      <c r="E5103" t="s">
        <v>25661</v>
      </c>
      <c r="F5103" t="s">
        <v>25662</v>
      </c>
      <c r="G5103" s="1">
        <v>41122</v>
      </c>
      <c r="J5103" t="s">
        <v>25663</v>
      </c>
      <c r="K5103" t="s">
        <v>155</v>
      </c>
      <c r="L5103" t="s">
        <v>25983</v>
      </c>
      <c r="N5103" t="s">
        <v>25984</v>
      </c>
      <c r="O5103" t="s">
        <v>26</v>
      </c>
      <c r="Q5103">
        <v>12.49</v>
      </c>
      <c r="R5103">
        <v>9.99</v>
      </c>
      <c r="S5103">
        <v>14.99</v>
      </c>
      <c r="T5103" t="s">
        <v>25985</v>
      </c>
    </row>
    <row r="5104" spans="1:20">
      <c r="A5104">
        <v>3398719</v>
      </c>
      <c r="B5104" t="s">
        <v>25986</v>
      </c>
      <c r="C5104" t="str">
        <f>""</f>
        <v/>
      </c>
      <c r="D5104" t="str">
        <f>"9782764409114"</f>
        <v>9782764409114</v>
      </c>
      <c r="E5104" t="s">
        <v>25661</v>
      </c>
      <c r="F5104" t="s">
        <v>25662</v>
      </c>
      <c r="G5104" s="1">
        <v>41153</v>
      </c>
      <c r="I5104" t="s">
        <v>25750</v>
      </c>
      <c r="J5104" t="s">
        <v>25663</v>
      </c>
      <c r="K5104" t="s">
        <v>3230</v>
      </c>
      <c r="L5104" t="s">
        <v>25987</v>
      </c>
      <c r="N5104" t="s">
        <v>25988</v>
      </c>
      <c r="O5104" t="s">
        <v>26</v>
      </c>
      <c r="Q5104">
        <v>11.24</v>
      </c>
      <c r="R5104">
        <v>8.99</v>
      </c>
      <c r="S5104">
        <v>13.49</v>
      </c>
      <c r="T5104" t="s">
        <v>25989</v>
      </c>
    </row>
    <row r="5105" spans="1:20">
      <c r="A5105">
        <v>3398720</v>
      </c>
      <c r="B5105" t="s">
        <v>25990</v>
      </c>
      <c r="C5105" t="str">
        <f>"9782764408599"</f>
        <v>9782764408599</v>
      </c>
      <c r="D5105" t="str">
        <f>"9782764410974"</f>
        <v>9782764410974</v>
      </c>
      <c r="E5105" t="s">
        <v>25661</v>
      </c>
      <c r="F5105" t="s">
        <v>25662</v>
      </c>
      <c r="G5105" s="1">
        <v>39965</v>
      </c>
      <c r="J5105" t="s">
        <v>25690</v>
      </c>
      <c r="K5105" t="s">
        <v>4081</v>
      </c>
      <c r="L5105" t="s">
        <v>25991</v>
      </c>
      <c r="N5105" t="s">
        <v>25992</v>
      </c>
      <c r="O5105" t="s">
        <v>25993</v>
      </c>
      <c r="Q5105">
        <v>18.739999999999998</v>
      </c>
      <c r="R5105">
        <v>14.99</v>
      </c>
      <c r="S5105">
        <v>22.49</v>
      </c>
      <c r="T5105" t="s">
        <v>25994</v>
      </c>
    </row>
    <row r="5106" spans="1:20">
      <c r="A5106">
        <v>3398721</v>
      </c>
      <c r="B5106" t="s">
        <v>25995</v>
      </c>
      <c r="C5106" t="str">
        <f>"9782764408674"</f>
        <v>9782764408674</v>
      </c>
      <c r="D5106" t="str">
        <f>"9782764410912"</f>
        <v>9782764410912</v>
      </c>
      <c r="E5106" t="s">
        <v>25662</v>
      </c>
      <c r="F5106" t="s">
        <v>25662</v>
      </c>
      <c r="G5106" s="1">
        <v>40452</v>
      </c>
      <c r="J5106" t="s">
        <v>25663</v>
      </c>
      <c r="K5106" t="s">
        <v>791</v>
      </c>
      <c r="L5106" t="s">
        <v>25996</v>
      </c>
      <c r="N5106" t="s">
        <v>25997</v>
      </c>
      <c r="O5106" t="s">
        <v>94</v>
      </c>
      <c r="Q5106">
        <v>18.739999999999998</v>
      </c>
      <c r="R5106">
        <v>14.99</v>
      </c>
      <c r="S5106">
        <v>22.49</v>
      </c>
      <c r="T5106" t="s">
        <v>25998</v>
      </c>
    </row>
    <row r="5107" spans="1:20">
      <c r="A5107">
        <v>3398722</v>
      </c>
      <c r="B5107" t="s">
        <v>25999</v>
      </c>
      <c r="C5107" t="str">
        <f>"9782764408032"</f>
        <v>9782764408032</v>
      </c>
      <c r="D5107" t="str">
        <f>"9782764411094"</f>
        <v>9782764411094</v>
      </c>
      <c r="E5107" t="s">
        <v>25662</v>
      </c>
      <c r="F5107" t="s">
        <v>25662</v>
      </c>
      <c r="G5107" s="1">
        <v>37165</v>
      </c>
      <c r="I5107" t="s">
        <v>25771</v>
      </c>
      <c r="J5107" t="s">
        <v>25663</v>
      </c>
      <c r="K5107" t="s">
        <v>3951</v>
      </c>
      <c r="L5107" t="s">
        <v>26000</v>
      </c>
      <c r="N5107" t="s">
        <v>26001</v>
      </c>
      <c r="O5107" t="s">
        <v>94</v>
      </c>
      <c r="Q5107">
        <v>16.239999999999998</v>
      </c>
      <c r="R5107">
        <v>12.99</v>
      </c>
      <c r="S5107">
        <v>19.489999999999998</v>
      </c>
      <c r="T5107" t="s">
        <v>26002</v>
      </c>
    </row>
    <row r="5108" spans="1:20">
      <c r="A5108">
        <v>3398723</v>
      </c>
      <c r="B5108" t="s">
        <v>26003</v>
      </c>
      <c r="C5108" t="str">
        <f>"9782890379794"</f>
        <v>9782890379794</v>
      </c>
      <c r="D5108" t="str">
        <f>"9782764411506"</f>
        <v>9782764411506</v>
      </c>
      <c r="E5108" t="s">
        <v>25662</v>
      </c>
      <c r="F5108" t="s">
        <v>25662</v>
      </c>
      <c r="G5108" s="1">
        <v>36251</v>
      </c>
      <c r="J5108" t="s">
        <v>25663</v>
      </c>
      <c r="K5108" t="s">
        <v>791</v>
      </c>
      <c r="L5108" t="s">
        <v>26004</v>
      </c>
      <c r="N5108" t="s">
        <v>26005</v>
      </c>
      <c r="O5108" t="s">
        <v>94</v>
      </c>
      <c r="Q5108">
        <v>12.49</v>
      </c>
      <c r="R5108">
        <v>9.99</v>
      </c>
      <c r="S5108">
        <v>14.99</v>
      </c>
      <c r="T5108" t="s">
        <v>26006</v>
      </c>
    </row>
    <row r="5109" spans="1:20">
      <c r="A5109">
        <v>3398724</v>
      </c>
      <c r="B5109" t="s">
        <v>26007</v>
      </c>
      <c r="C5109" t="str">
        <f>"9782890379541"</f>
        <v>9782890379541</v>
      </c>
      <c r="D5109" t="str">
        <f>"9782764411490"</f>
        <v>9782764411490</v>
      </c>
      <c r="E5109" t="s">
        <v>25662</v>
      </c>
      <c r="F5109" t="s">
        <v>25662</v>
      </c>
      <c r="G5109" s="1">
        <v>36100</v>
      </c>
      <c r="J5109" t="s">
        <v>25663</v>
      </c>
      <c r="K5109" t="s">
        <v>23</v>
      </c>
      <c r="L5109" t="s">
        <v>26008</v>
      </c>
      <c r="N5109" t="s">
        <v>26009</v>
      </c>
      <c r="O5109" t="s">
        <v>94</v>
      </c>
      <c r="Q5109">
        <v>12.49</v>
      </c>
      <c r="R5109">
        <v>9.99</v>
      </c>
      <c r="S5109">
        <v>14.99</v>
      </c>
      <c r="T5109" t="s">
        <v>26010</v>
      </c>
    </row>
    <row r="5110" spans="1:20">
      <c r="A5110">
        <v>3398725</v>
      </c>
      <c r="B5110" t="s">
        <v>26011</v>
      </c>
      <c r="C5110" t="str">
        <f>"9782764403082"</f>
        <v>9782764403082</v>
      </c>
      <c r="D5110" t="str">
        <f>"9782764411346"</f>
        <v>9782764411346</v>
      </c>
      <c r="E5110" t="s">
        <v>25662</v>
      </c>
      <c r="F5110" t="s">
        <v>25662</v>
      </c>
      <c r="G5110" s="1">
        <v>37956</v>
      </c>
      <c r="I5110" t="s">
        <v>25700</v>
      </c>
      <c r="J5110" t="s">
        <v>25663</v>
      </c>
      <c r="K5110" t="s">
        <v>16769</v>
      </c>
      <c r="L5110" t="s">
        <v>26012</v>
      </c>
      <c r="N5110" t="s">
        <v>26013</v>
      </c>
      <c r="O5110" t="s">
        <v>94</v>
      </c>
      <c r="Q5110">
        <v>16.239999999999998</v>
      </c>
      <c r="R5110">
        <v>12.99</v>
      </c>
      <c r="S5110">
        <v>19.489999999999998</v>
      </c>
      <c r="T5110" t="s">
        <v>26014</v>
      </c>
    </row>
    <row r="5111" spans="1:20">
      <c r="A5111">
        <v>3398726</v>
      </c>
      <c r="B5111" t="s">
        <v>26015</v>
      </c>
      <c r="C5111" t="str">
        <f>"9782764408025"</f>
        <v>9782764408025</v>
      </c>
      <c r="D5111" t="str">
        <f>"9782764411117"</f>
        <v>9782764411117</v>
      </c>
      <c r="E5111" t="s">
        <v>25662</v>
      </c>
      <c r="F5111" t="s">
        <v>25662</v>
      </c>
      <c r="G5111" s="1">
        <v>37165</v>
      </c>
      <c r="I5111" t="s">
        <v>25771</v>
      </c>
      <c r="J5111" t="s">
        <v>25663</v>
      </c>
      <c r="K5111" t="s">
        <v>30</v>
      </c>
      <c r="L5111" t="s">
        <v>26016</v>
      </c>
      <c r="N5111" t="s">
        <v>26017</v>
      </c>
      <c r="O5111" t="s">
        <v>94</v>
      </c>
      <c r="Q5111">
        <v>16.239999999999998</v>
      </c>
      <c r="R5111">
        <v>12.99</v>
      </c>
      <c r="S5111">
        <v>19.489999999999998</v>
      </c>
      <c r="T5111" t="s">
        <v>26018</v>
      </c>
    </row>
    <row r="5112" spans="1:20">
      <c r="A5112">
        <v>3398727</v>
      </c>
      <c r="B5112" t="s">
        <v>26019</v>
      </c>
      <c r="C5112" t="str">
        <f>"9782764408575"</f>
        <v>9782764408575</v>
      </c>
      <c r="D5112" t="str">
        <f>"9782764411032"</f>
        <v>9782764411032</v>
      </c>
      <c r="E5112" t="s">
        <v>25662</v>
      </c>
      <c r="F5112" t="s">
        <v>25662</v>
      </c>
      <c r="G5112" s="1">
        <v>39722</v>
      </c>
      <c r="J5112" t="s">
        <v>25663</v>
      </c>
      <c r="K5112" t="s">
        <v>3230</v>
      </c>
      <c r="L5112" t="s">
        <v>26020</v>
      </c>
      <c r="N5112" t="s">
        <v>26021</v>
      </c>
      <c r="O5112" t="s">
        <v>94</v>
      </c>
      <c r="Q5112">
        <v>21.24</v>
      </c>
      <c r="R5112">
        <v>16.989999999999998</v>
      </c>
      <c r="S5112">
        <v>25.49</v>
      </c>
      <c r="T5112" t="s">
        <v>26022</v>
      </c>
    </row>
    <row r="5113" spans="1:20">
      <c r="A5113">
        <v>3398728</v>
      </c>
      <c r="B5113" t="s">
        <v>26023</v>
      </c>
      <c r="C5113" t="str">
        <f>""</f>
        <v/>
      </c>
      <c r="D5113" t="str">
        <f>"9782764408896"</f>
        <v>9782764408896</v>
      </c>
      <c r="E5113" t="s">
        <v>25661</v>
      </c>
      <c r="F5113" t="s">
        <v>25662</v>
      </c>
      <c r="G5113" s="1">
        <v>41214</v>
      </c>
      <c r="J5113" t="s">
        <v>25663</v>
      </c>
      <c r="K5113" t="s">
        <v>3230</v>
      </c>
      <c r="L5113" t="s">
        <v>26024</v>
      </c>
      <c r="N5113" t="s">
        <v>26025</v>
      </c>
      <c r="O5113" t="s">
        <v>26</v>
      </c>
      <c r="Q5113">
        <v>21.24</v>
      </c>
      <c r="R5113">
        <v>16.989999999999998</v>
      </c>
      <c r="S5113">
        <v>25.49</v>
      </c>
      <c r="T5113" t="s">
        <v>26026</v>
      </c>
    </row>
    <row r="5114" spans="1:20">
      <c r="A5114">
        <v>3398729</v>
      </c>
      <c r="B5114" t="s">
        <v>26027</v>
      </c>
      <c r="C5114" t="str">
        <f>""</f>
        <v/>
      </c>
      <c r="D5114" t="str">
        <f>"9782764408834"</f>
        <v>9782764408834</v>
      </c>
      <c r="E5114" t="s">
        <v>25661</v>
      </c>
      <c r="F5114" t="s">
        <v>25662</v>
      </c>
      <c r="G5114" s="1">
        <v>41091</v>
      </c>
      <c r="I5114" t="s">
        <v>25736</v>
      </c>
      <c r="J5114" t="s">
        <v>25690</v>
      </c>
      <c r="K5114" t="s">
        <v>1150</v>
      </c>
      <c r="L5114" t="s">
        <v>26028</v>
      </c>
      <c r="N5114" t="s">
        <v>26029</v>
      </c>
      <c r="O5114" t="s">
        <v>26</v>
      </c>
      <c r="Q5114">
        <v>11.24</v>
      </c>
      <c r="R5114">
        <v>8.99</v>
      </c>
      <c r="S5114">
        <v>13.49</v>
      </c>
      <c r="T5114" t="s">
        <v>26030</v>
      </c>
    </row>
    <row r="5115" spans="1:20">
      <c r="A5115">
        <v>3398730</v>
      </c>
      <c r="B5115" t="s">
        <v>26031</v>
      </c>
      <c r="C5115" t="str">
        <f>""</f>
        <v/>
      </c>
      <c r="D5115" t="str">
        <f>"9782764408919"</f>
        <v>9782764408919</v>
      </c>
      <c r="E5115" t="s">
        <v>25661</v>
      </c>
      <c r="F5115" t="s">
        <v>25662</v>
      </c>
      <c r="G5115" s="1">
        <v>41122</v>
      </c>
      <c r="I5115" t="s">
        <v>25709</v>
      </c>
      <c r="J5115" t="s">
        <v>25663</v>
      </c>
      <c r="K5115" t="s">
        <v>16769</v>
      </c>
      <c r="L5115" t="s">
        <v>26032</v>
      </c>
      <c r="N5115" t="s">
        <v>26033</v>
      </c>
      <c r="O5115" t="s">
        <v>26</v>
      </c>
      <c r="Q5115">
        <v>16.239999999999998</v>
      </c>
      <c r="R5115">
        <v>12.99</v>
      </c>
      <c r="S5115">
        <v>19.489999999999998</v>
      </c>
      <c r="T5115" t="s">
        <v>26034</v>
      </c>
    </row>
    <row r="5116" spans="1:20">
      <c r="A5116">
        <v>3398731</v>
      </c>
      <c r="B5116" t="s">
        <v>26035</v>
      </c>
      <c r="C5116" t="str">
        <f>""</f>
        <v/>
      </c>
      <c r="D5116" t="str">
        <f>"9782764409183"</f>
        <v>9782764409183</v>
      </c>
      <c r="E5116" t="s">
        <v>25661</v>
      </c>
      <c r="F5116" t="s">
        <v>25662</v>
      </c>
      <c r="G5116" s="1">
        <v>41122</v>
      </c>
      <c r="J5116" t="s">
        <v>25663</v>
      </c>
      <c r="K5116" t="s">
        <v>23</v>
      </c>
      <c r="L5116" t="s">
        <v>26036</v>
      </c>
      <c r="N5116" t="s">
        <v>26037</v>
      </c>
      <c r="O5116" t="s">
        <v>26</v>
      </c>
      <c r="Q5116">
        <v>12.49</v>
      </c>
      <c r="R5116">
        <v>9.99</v>
      </c>
      <c r="S5116">
        <v>14.99</v>
      </c>
      <c r="T5116" t="s">
        <v>26038</v>
      </c>
    </row>
    <row r="5117" spans="1:20">
      <c r="A5117">
        <v>3398732</v>
      </c>
      <c r="B5117" t="s">
        <v>26039</v>
      </c>
      <c r="C5117" t="str">
        <f>""</f>
        <v/>
      </c>
      <c r="D5117" t="str">
        <f>"9782764409039"</f>
        <v>9782764409039</v>
      </c>
      <c r="E5117" t="s">
        <v>25661</v>
      </c>
      <c r="F5117" t="s">
        <v>25662</v>
      </c>
      <c r="G5117" s="1">
        <v>41122</v>
      </c>
      <c r="I5117" t="s">
        <v>25668</v>
      </c>
      <c r="J5117" t="s">
        <v>25663</v>
      </c>
      <c r="K5117" t="s">
        <v>16769</v>
      </c>
      <c r="L5117" t="s">
        <v>26040</v>
      </c>
      <c r="N5117" t="s">
        <v>26041</v>
      </c>
      <c r="O5117" t="s">
        <v>26</v>
      </c>
      <c r="Q5117">
        <v>16.239999999999998</v>
      </c>
      <c r="R5117">
        <v>12.99</v>
      </c>
      <c r="S5117">
        <v>19.489999999999998</v>
      </c>
      <c r="T5117" t="s">
        <v>26042</v>
      </c>
    </row>
    <row r="5118" spans="1:20">
      <c r="A5118">
        <v>3398733</v>
      </c>
      <c r="B5118" t="s">
        <v>26043</v>
      </c>
      <c r="C5118" t="str">
        <f>""</f>
        <v/>
      </c>
      <c r="D5118" t="str">
        <f>"9782764409121"</f>
        <v>9782764409121</v>
      </c>
      <c r="E5118" t="s">
        <v>25661</v>
      </c>
      <c r="F5118" t="s">
        <v>25662</v>
      </c>
      <c r="G5118" s="1">
        <v>41153</v>
      </c>
      <c r="I5118" t="s">
        <v>25750</v>
      </c>
      <c r="J5118" t="s">
        <v>25663</v>
      </c>
      <c r="K5118" t="s">
        <v>11256</v>
      </c>
      <c r="L5118" t="s">
        <v>25696</v>
      </c>
      <c r="N5118" t="s">
        <v>25697</v>
      </c>
      <c r="O5118" t="s">
        <v>26</v>
      </c>
      <c r="Q5118">
        <v>11.24</v>
      </c>
      <c r="R5118">
        <v>8.99</v>
      </c>
      <c r="S5118">
        <v>13.49</v>
      </c>
      <c r="T5118" t="s">
        <v>26044</v>
      </c>
    </row>
    <row r="5119" spans="1:20">
      <c r="A5119">
        <v>3398734</v>
      </c>
      <c r="B5119" t="s">
        <v>26045</v>
      </c>
      <c r="C5119" t="str">
        <f>"9782890378841"</f>
        <v>9782890378841</v>
      </c>
      <c r="D5119" t="str">
        <f>"9782764410981"</f>
        <v>9782764410981</v>
      </c>
      <c r="E5119" t="s">
        <v>25662</v>
      </c>
      <c r="F5119" t="s">
        <v>25662</v>
      </c>
      <c r="G5119" s="1">
        <v>37500</v>
      </c>
      <c r="J5119" t="s">
        <v>25663</v>
      </c>
      <c r="K5119" t="s">
        <v>25745</v>
      </c>
      <c r="L5119" t="s">
        <v>26046</v>
      </c>
      <c r="N5119" t="s">
        <v>26047</v>
      </c>
      <c r="O5119" t="s">
        <v>94</v>
      </c>
      <c r="Q5119">
        <v>33.74</v>
      </c>
      <c r="R5119">
        <v>26.99</v>
      </c>
      <c r="S5119">
        <v>40.49</v>
      </c>
      <c r="T5119" t="s">
        <v>26048</v>
      </c>
    </row>
    <row r="5120" spans="1:20">
      <c r="A5120">
        <v>3398735</v>
      </c>
      <c r="B5120" t="s">
        <v>26049</v>
      </c>
      <c r="C5120" t="str">
        <f>"9782764408117"</f>
        <v>9782764408117</v>
      </c>
      <c r="D5120" t="str">
        <f>"9782764411827"</f>
        <v>9782764411827</v>
      </c>
      <c r="E5120" t="s">
        <v>25662</v>
      </c>
      <c r="F5120" t="s">
        <v>25662</v>
      </c>
      <c r="G5120" s="1">
        <v>37926</v>
      </c>
      <c r="J5120" t="s">
        <v>25690</v>
      </c>
      <c r="K5120" t="s">
        <v>4081</v>
      </c>
      <c r="L5120" t="s">
        <v>26050</v>
      </c>
      <c r="N5120" t="s">
        <v>25692</v>
      </c>
      <c r="O5120" t="s">
        <v>94</v>
      </c>
      <c r="Q5120">
        <v>18.739999999999998</v>
      </c>
      <c r="R5120">
        <v>14.99</v>
      </c>
      <c r="S5120">
        <v>22.49</v>
      </c>
      <c r="T5120" t="s">
        <v>26051</v>
      </c>
    </row>
    <row r="5121" spans="1:20">
      <c r="A5121">
        <v>3398736</v>
      </c>
      <c r="B5121" t="s">
        <v>26052</v>
      </c>
      <c r="C5121" t="str">
        <f>"9782764408124"</f>
        <v>9782764408124</v>
      </c>
      <c r="D5121" t="str">
        <f>"9782764411353"</f>
        <v>9782764411353</v>
      </c>
      <c r="E5121" t="s">
        <v>25662</v>
      </c>
      <c r="F5121" t="s">
        <v>25662</v>
      </c>
      <c r="G5121" s="1">
        <v>38108</v>
      </c>
      <c r="I5121" t="s">
        <v>25700</v>
      </c>
      <c r="J5121" t="s">
        <v>25663</v>
      </c>
      <c r="K5121" t="s">
        <v>791</v>
      </c>
      <c r="L5121" t="s">
        <v>25873</v>
      </c>
      <c r="N5121" t="s">
        <v>25933</v>
      </c>
      <c r="O5121" t="s">
        <v>94</v>
      </c>
      <c r="Q5121">
        <v>16.239999999999998</v>
      </c>
      <c r="R5121">
        <v>12.99</v>
      </c>
      <c r="S5121">
        <v>19.489999999999998</v>
      </c>
      <c r="T5121" t="s">
        <v>26053</v>
      </c>
    </row>
    <row r="5122" spans="1:20">
      <c r="A5122">
        <v>3398737</v>
      </c>
      <c r="B5122" t="s">
        <v>26054</v>
      </c>
      <c r="C5122" t="str">
        <f>"9782764408520"</f>
        <v>9782764408520</v>
      </c>
      <c r="D5122" t="str">
        <f>"9782764411124"</f>
        <v>9782764411124</v>
      </c>
      <c r="E5122" t="s">
        <v>25662</v>
      </c>
      <c r="F5122" t="s">
        <v>25662</v>
      </c>
      <c r="G5122" s="1">
        <v>39326</v>
      </c>
      <c r="J5122" t="s">
        <v>25663</v>
      </c>
      <c r="K5122" t="s">
        <v>24788</v>
      </c>
      <c r="L5122" t="s">
        <v>26055</v>
      </c>
      <c r="N5122" t="s">
        <v>26056</v>
      </c>
      <c r="O5122" t="s">
        <v>94</v>
      </c>
      <c r="Q5122">
        <v>21.24</v>
      </c>
      <c r="R5122">
        <v>16.989999999999998</v>
      </c>
      <c r="S5122">
        <v>25.49</v>
      </c>
      <c r="T5122" t="s">
        <v>26057</v>
      </c>
    </row>
    <row r="5123" spans="1:20">
      <c r="A5123">
        <v>3398738</v>
      </c>
      <c r="B5123" t="s">
        <v>26058</v>
      </c>
      <c r="C5123" t="str">
        <f>""</f>
        <v/>
      </c>
      <c r="D5123" t="str">
        <f>"9782764408988"</f>
        <v>9782764408988</v>
      </c>
      <c r="E5123" t="s">
        <v>25661</v>
      </c>
      <c r="F5123" t="s">
        <v>25662</v>
      </c>
      <c r="G5123" s="1">
        <v>41122</v>
      </c>
      <c r="J5123" t="s">
        <v>25663</v>
      </c>
      <c r="K5123" t="s">
        <v>25745</v>
      </c>
      <c r="L5123" t="s">
        <v>26059</v>
      </c>
      <c r="N5123" t="s">
        <v>26060</v>
      </c>
      <c r="O5123" t="s">
        <v>26</v>
      </c>
      <c r="Q5123">
        <v>33.74</v>
      </c>
      <c r="R5123">
        <v>26.99</v>
      </c>
      <c r="S5123">
        <v>40.49</v>
      </c>
      <c r="T5123" t="s">
        <v>26061</v>
      </c>
    </row>
    <row r="5124" spans="1:20">
      <c r="A5124">
        <v>3398739</v>
      </c>
      <c r="B5124" t="s">
        <v>26062</v>
      </c>
      <c r="C5124" t="str">
        <f>""</f>
        <v/>
      </c>
      <c r="D5124" t="str">
        <f>"9782764408926"</f>
        <v>9782764408926</v>
      </c>
      <c r="E5124" t="s">
        <v>25661</v>
      </c>
      <c r="F5124" t="s">
        <v>25662</v>
      </c>
      <c r="G5124" s="1">
        <v>41122</v>
      </c>
      <c r="I5124" t="s">
        <v>25709</v>
      </c>
      <c r="J5124" t="s">
        <v>25663</v>
      </c>
      <c r="K5124" t="s">
        <v>791</v>
      </c>
      <c r="L5124" t="s">
        <v>26063</v>
      </c>
      <c r="N5124" t="s">
        <v>26064</v>
      </c>
      <c r="O5124" t="s">
        <v>26</v>
      </c>
      <c r="Q5124">
        <v>16.239999999999998</v>
      </c>
      <c r="R5124">
        <v>12.99</v>
      </c>
      <c r="S5124">
        <v>19.489999999999998</v>
      </c>
      <c r="T5124" t="s">
        <v>26065</v>
      </c>
    </row>
    <row r="5125" spans="1:20">
      <c r="A5125">
        <v>3398740</v>
      </c>
      <c r="B5125" t="s">
        <v>26066</v>
      </c>
      <c r="C5125" t="str">
        <f>""</f>
        <v/>
      </c>
      <c r="D5125" t="str">
        <f>"9782764408841"</f>
        <v>9782764408841</v>
      </c>
      <c r="E5125" t="s">
        <v>25661</v>
      </c>
      <c r="F5125" t="s">
        <v>25662</v>
      </c>
      <c r="G5125" s="1">
        <v>41091</v>
      </c>
      <c r="I5125" t="s">
        <v>25736</v>
      </c>
      <c r="J5125" t="s">
        <v>25690</v>
      </c>
      <c r="K5125" t="s">
        <v>16769</v>
      </c>
      <c r="L5125" t="s">
        <v>26067</v>
      </c>
      <c r="N5125" t="s">
        <v>26068</v>
      </c>
      <c r="O5125" t="s">
        <v>26</v>
      </c>
      <c r="Q5125">
        <v>11.24</v>
      </c>
      <c r="R5125">
        <v>8.99</v>
      </c>
      <c r="S5125">
        <v>13.49</v>
      </c>
      <c r="T5125" t="s">
        <v>26069</v>
      </c>
    </row>
    <row r="5126" spans="1:20">
      <c r="A5126">
        <v>3398741</v>
      </c>
      <c r="B5126" t="s">
        <v>26070</v>
      </c>
      <c r="C5126" t="str">
        <f>""</f>
        <v/>
      </c>
      <c r="D5126" t="str">
        <f>"9782764409206"</f>
        <v>9782764409206</v>
      </c>
      <c r="E5126" t="s">
        <v>25661</v>
      </c>
      <c r="F5126" t="s">
        <v>25662</v>
      </c>
      <c r="G5126" s="1">
        <v>41122</v>
      </c>
      <c r="J5126" t="s">
        <v>25663</v>
      </c>
      <c r="K5126" t="s">
        <v>179</v>
      </c>
      <c r="L5126" t="s">
        <v>26071</v>
      </c>
      <c r="N5126" t="s">
        <v>26072</v>
      </c>
      <c r="O5126" t="s">
        <v>26</v>
      </c>
      <c r="Q5126">
        <v>12.49</v>
      </c>
      <c r="R5126">
        <v>9.99</v>
      </c>
      <c r="S5126">
        <v>14.99</v>
      </c>
      <c r="T5126" t="s">
        <v>26073</v>
      </c>
    </row>
    <row r="5127" spans="1:20">
      <c r="A5127">
        <v>3411575</v>
      </c>
      <c r="B5127" t="s">
        <v>26074</v>
      </c>
      <c r="C5127" t="str">
        <f>"9780888643575"</f>
        <v>9780888643575</v>
      </c>
      <c r="D5127" t="str">
        <f>"9781459303607"</f>
        <v>9781459303607</v>
      </c>
      <c r="E5127" t="s">
        <v>26075</v>
      </c>
      <c r="F5127" t="s">
        <v>26075</v>
      </c>
      <c r="G5127" s="1">
        <v>36130</v>
      </c>
      <c r="J5127" t="s">
        <v>26076</v>
      </c>
      <c r="K5127" t="s">
        <v>263</v>
      </c>
      <c r="L5127" t="s">
        <v>26077</v>
      </c>
      <c r="N5127" t="s">
        <v>26078</v>
      </c>
      <c r="O5127" t="s">
        <v>26</v>
      </c>
      <c r="P5127">
        <v>19.95</v>
      </c>
      <c r="Q5127">
        <v>24.94</v>
      </c>
      <c r="R5127">
        <v>19.95</v>
      </c>
      <c r="S5127">
        <v>29.93</v>
      </c>
      <c r="T5127" t="s">
        <v>26079</v>
      </c>
    </row>
    <row r="5128" spans="1:20">
      <c r="A5128">
        <v>3411576</v>
      </c>
      <c r="B5128" t="s">
        <v>26080</v>
      </c>
      <c r="C5128" t="str">
        <f>"9780888642899"</f>
        <v>9780888642899</v>
      </c>
      <c r="D5128" t="str">
        <f>"9781459303652"</f>
        <v>9781459303652</v>
      </c>
      <c r="E5128" t="s">
        <v>26075</v>
      </c>
      <c r="F5128" t="s">
        <v>26075</v>
      </c>
      <c r="G5128" s="1">
        <v>35551</v>
      </c>
      <c r="J5128" t="s">
        <v>26081</v>
      </c>
      <c r="K5128" t="s">
        <v>1464</v>
      </c>
      <c r="L5128" t="s">
        <v>26082</v>
      </c>
      <c r="M5128">
        <v>813.54</v>
      </c>
      <c r="N5128" t="s">
        <v>26083</v>
      </c>
      <c r="O5128" t="s">
        <v>26</v>
      </c>
      <c r="P5128">
        <v>24.95</v>
      </c>
      <c r="Q5128">
        <v>31.19</v>
      </c>
      <c r="R5128">
        <v>24.95</v>
      </c>
      <c r="S5128">
        <v>37.43</v>
      </c>
      <c r="T5128" t="s">
        <v>26084</v>
      </c>
    </row>
    <row r="5129" spans="1:20">
      <c r="A5129">
        <v>3411577</v>
      </c>
      <c r="B5129" t="s">
        <v>26085</v>
      </c>
      <c r="C5129" t="str">
        <f>"9780888642400"</f>
        <v>9780888642400</v>
      </c>
      <c r="D5129" t="str">
        <f>"9781459304437"</f>
        <v>9781459304437</v>
      </c>
      <c r="E5129" t="s">
        <v>26075</v>
      </c>
      <c r="F5129" t="s">
        <v>26075</v>
      </c>
      <c r="G5129" s="1">
        <v>33939</v>
      </c>
      <c r="J5129" t="s">
        <v>26086</v>
      </c>
      <c r="K5129" t="s">
        <v>4081</v>
      </c>
      <c r="L5129" t="s">
        <v>26087</v>
      </c>
      <c r="N5129" t="s">
        <v>26088</v>
      </c>
      <c r="O5129" t="s">
        <v>26</v>
      </c>
      <c r="P5129">
        <v>34.950000000000003</v>
      </c>
      <c r="Q5129">
        <v>43.69</v>
      </c>
      <c r="R5129">
        <v>34.950000000000003</v>
      </c>
      <c r="S5129">
        <v>52.43</v>
      </c>
      <c r="T5129" t="s">
        <v>26089</v>
      </c>
    </row>
    <row r="5130" spans="1:20">
      <c r="A5130">
        <v>3411578</v>
      </c>
      <c r="B5130" t="s">
        <v>26090</v>
      </c>
      <c r="C5130" t="str">
        <f>"9780888641168"</f>
        <v>9780888641168</v>
      </c>
      <c r="D5130" t="str">
        <f>"9781459304246"</f>
        <v>9781459304246</v>
      </c>
      <c r="E5130" t="s">
        <v>26075</v>
      </c>
      <c r="F5130" t="s">
        <v>26075</v>
      </c>
      <c r="G5130" s="1">
        <v>31747</v>
      </c>
      <c r="J5130" t="s">
        <v>26091</v>
      </c>
      <c r="K5130" t="s">
        <v>1464</v>
      </c>
      <c r="L5130" t="s">
        <v>26092</v>
      </c>
      <c r="N5130" t="s">
        <v>26093</v>
      </c>
      <c r="O5130" t="s">
        <v>26</v>
      </c>
      <c r="P5130">
        <v>25</v>
      </c>
      <c r="Q5130">
        <v>31.25</v>
      </c>
      <c r="R5130">
        <v>25</v>
      </c>
      <c r="S5130">
        <v>37.5</v>
      </c>
      <c r="T5130" t="s">
        <v>26094</v>
      </c>
    </row>
    <row r="5131" spans="1:20">
      <c r="A5131">
        <v>3411579</v>
      </c>
      <c r="B5131" t="s">
        <v>26095</v>
      </c>
      <c r="C5131" t="str">
        <f>"9780888642240"</f>
        <v>9780888642240</v>
      </c>
      <c r="D5131" t="str">
        <f>"9781459304840"</f>
        <v>9781459304840</v>
      </c>
      <c r="E5131" t="s">
        <v>26075</v>
      </c>
      <c r="F5131" t="s">
        <v>26075</v>
      </c>
      <c r="G5131" s="1">
        <v>33208</v>
      </c>
      <c r="J5131" t="s">
        <v>26096</v>
      </c>
      <c r="K5131" t="s">
        <v>291</v>
      </c>
      <c r="L5131" t="s">
        <v>26097</v>
      </c>
      <c r="N5131" t="s">
        <v>26098</v>
      </c>
      <c r="O5131" t="s">
        <v>26</v>
      </c>
      <c r="P5131">
        <v>9.5</v>
      </c>
      <c r="Q5131">
        <v>11.88</v>
      </c>
      <c r="R5131">
        <v>9.5</v>
      </c>
      <c r="S5131">
        <v>14.25</v>
      </c>
      <c r="T5131" t="s">
        <v>26099</v>
      </c>
    </row>
    <row r="5132" spans="1:20">
      <c r="A5132">
        <v>3411580</v>
      </c>
      <c r="B5132" t="s">
        <v>26100</v>
      </c>
      <c r="C5132" t="str">
        <f>"9780888642349"</f>
        <v>9780888642349</v>
      </c>
      <c r="D5132" t="str">
        <f>"9781459304390"</f>
        <v>9781459304390</v>
      </c>
      <c r="E5132" t="s">
        <v>26075</v>
      </c>
      <c r="F5132" t="s">
        <v>26075</v>
      </c>
      <c r="G5132" s="1">
        <v>33208</v>
      </c>
      <c r="J5132" t="s">
        <v>26101</v>
      </c>
      <c r="K5132" t="s">
        <v>23</v>
      </c>
      <c r="L5132" t="s">
        <v>26102</v>
      </c>
      <c r="N5132" t="s">
        <v>26103</v>
      </c>
      <c r="O5132" t="s">
        <v>26</v>
      </c>
      <c r="P5132">
        <v>82</v>
      </c>
      <c r="Q5132">
        <v>102.5</v>
      </c>
      <c r="R5132">
        <v>82</v>
      </c>
      <c r="S5132">
        <v>123</v>
      </c>
      <c r="T5132" t="s">
        <v>26104</v>
      </c>
    </row>
    <row r="5133" spans="1:20">
      <c r="A5133">
        <v>3411581</v>
      </c>
      <c r="B5133" t="s">
        <v>26105</v>
      </c>
      <c r="C5133" t="str">
        <f>"9780888642530"</f>
        <v>9780888642530</v>
      </c>
      <c r="D5133" t="str">
        <f>"9781459334427"</f>
        <v>9781459334427</v>
      </c>
      <c r="E5133" t="s">
        <v>26075</v>
      </c>
      <c r="F5133" t="s">
        <v>26075</v>
      </c>
      <c r="G5133" s="1">
        <v>34304</v>
      </c>
      <c r="J5133" t="s">
        <v>26106</v>
      </c>
      <c r="K5133" t="s">
        <v>291</v>
      </c>
      <c r="L5133" t="s">
        <v>26107</v>
      </c>
      <c r="M5133">
        <v>938</v>
      </c>
      <c r="N5133" t="s">
        <v>26108</v>
      </c>
      <c r="O5133" t="s">
        <v>26</v>
      </c>
      <c r="P5133">
        <v>19.95</v>
      </c>
      <c r="Q5133">
        <v>24.94</v>
      </c>
      <c r="R5133">
        <v>19.95</v>
      </c>
      <c r="S5133">
        <v>29.93</v>
      </c>
      <c r="T5133" t="s">
        <v>26109</v>
      </c>
    </row>
    <row r="5134" spans="1:20">
      <c r="A5134">
        <v>3411582</v>
      </c>
      <c r="B5134" t="s">
        <v>26110</v>
      </c>
      <c r="C5134" t="str">
        <f>"9780888642455"</f>
        <v>9780888642455</v>
      </c>
      <c r="D5134" t="str">
        <f>"9781459304031"</f>
        <v>9781459304031</v>
      </c>
      <c r="E5134" t="s">
        <v>26075</v>
      </c>
      <c r="F5134" t="s">
        <v>26075</v>
      </c>
      <c r="G5134" s="1">
        <v>33939</v>
      </c>
      <c r="J5134" t="s">
        <v>26111</v>
      </c>
      <c r="K5134" t="s">
        <v>305</v>
      </c>
      <c r="L5134" t="s">
        <v>26112</v>
      </c>
      <c r="N5134" t="s">
        <v>26113</v>
      </c>
      <c r="O5134" t="s">
        <v>26</v>
      </c>
      <c r="P5134">
        <v>39.950000000000003</v>
      </c>
      <c r="Q5134">
        <v>49.94</v>
      </c>
      <c r="R5134">
        <v>39.950000000000003</v>
      </c>
      <c r="S5134">
        <v>59.93</v>
      </c>
      <c r="T5134" t="s">
        <v>26114</v>
      </c>
    </row>
    <row r="5135" spans="1:20">
      <c r="A5135">
        <v>3411583</v>
      </c>
      <c r="B5135" t="s">
        <v>26115</v>
      </c>
      <c r="C5135" t="str">
        <f>"9780888643155"</f>
        <v>9780888643155</v>
      </c>
      <c r="D5135" t="str">
        <f>"9781459303614"</f>
        <v>9781459303614</v>
      </c>
      <c r="E5135" t="s">
        <v>26075</v>
      </c>
      <c r="F5135" t="s">
        <v>26075</v>
      </c>
      <c r="G5135" s="1">
        <v>36220</v>
      </c>
      <c r="J5135" t="s">
        <v>26116</v>
      </c>
      <c r="K5135" t="s">
        <v>257</v>
      </c>
      <c r="L5135" t="s">
        <v>26117</v>
      </c>
      <c r="M5135">
        <v>379</v>
      </c>
      <c r="N5135" t="s">
        <v>26118</v>
      </c>
      <c r="O5135" t="s">
        <v>26</v>
      </c>
      <c r="P5135">
        <v>19.95</v>
      </c>
      <c r="Q5135">
        <v>24.94</v>
      </c>
      <c r="R5135">
        <v>19.95</v>
      </c>
      <c r="S5135">
        <v>29.93</v>
      </c>
      <c r="T5135" t="s">
        <v>26119</v>
      </c>
    </row>
    <row r="5136" spans="1:20">
      <c r="A5136">
        <v>3411584</v>
      </c>
      <c r="B5136" t="s">
        <v>26120</v>
      </c>
      <c r="C5136" t="str">
        <f>"9780888642264"</f>
        <v>9780888642264</v>
      </c>
      <c r="D5136" t="str">
        <f>"9781459300798"</f>
        <v>9781459300798</v>
      </c>
      <c r="E5136" t="s">
        <v>26075</v>
      </c>
      <c r="F5136" t="s">
        <v>26075</v>
      </c>
      <c r="G5136" s="1">
        <v>33573</v>
      </c>
      <c r="J5136" t="s">
        <v>26121</v>
      </c>
      <c r="K5136" t="s">
        <v>1471</v>
      </c>
      <c r="L5136" t="s">
        <v>26122</v>
      </c>
      <c r="N5136" t="s">
        <v>26123</v>
      </c>
      <c r="O5136" t="s">
        <v>26</v>
      </c>
      <c r="P5136">
        <v>27.5</v>
      </c>
      <c r="Q5136">
        <v>34.380000000000003</v>
      </c>
      <c r="R5136">
        <v>27.5</v>
      </c>
      <c r="S5136">
        <v>41.25</v>
      </c>
      <c r="T5136" t="s">
        <v>26124</v>
      </c>
    </row>
    <row r="5137" spans="1:20">
      <c r="A5137">
        <v>3411585</v>
      </c>
      <c r="B5137" t="s">
        <v>26125</v>
      </c>
      <c r="C5137" t="str">
        <f>"9780888640277"</f>
        <v>9780888640277</v>
      </c>
      <c r="D5137" t="str">
        <f>"9781459304710"</f>
        <v>9781459304710</v>
      </c>
      <c r="E5137" t="s">
        <v>26075</v>
      </c>
      <c r="F5137" t="s">
        <v>26075</v>
      </c>
      <c r="G5137" s="1">
        <v>29921</v>
      </c>
      <c r="J5137" t="s">
        <v>26126</v>
      </c>
      <c r="K5137" t="s">
        <v>257</v>
      </c>
      <c r="L5137" t="s">
        <v>26127</v>
      </c>
      <c r="N5137" t="s">
        <v>26128</v>
      </c>
      <c r="O5137" t="s">
        <v>26</v>
      </c>
      <c r="P5137">
        <v>12.5</v>
      </c>
      <c r="Q5137">
        <v>15.63</v>
      </c>
      <c r="R5137">
        <v>12.5</v>
      </c>
      <c r="S5137">
        <v>18.75</v>
      </c>
      <c r="T5137" t="s">
        <v>26129</v>
      </c>
    </row>
    <row r="5138" spans="1:20">
      <c r="A5138">
        <v>3411586</v>
      </c>
      <c r="B5138" t="s">
        <v>26130</v>
      </c>
      <c r="C5138" t="str">
        <f>"9780888641144"</f>
        <v>9780888641144</v>
      </c>
      <c r="D5138" t="str">
        <f>"9781459304253"</f>
        <v>9781459304253</v>
      </c>
      <c r="E5138" t="s">
        <v>26075</v>
      </c>
      <c r="F5138" t="s">
        <v>26075</v>
      </c>
      <c r="G5138" s="1">
        <v>31747</v>
      </c>
      <c r="J5138" t="s">
        <v>26131</v>
      </c>
      <c r="K5138" t="s">
        <v>257</v>
      </c>
      <c r="L5138" t="s">
        <v>26132</v>
      </c>
      <c r="N5138" t="s">
        <v>26133</v>
      </c>
      <c r="O5138" t="s">
        <v>26</v>
      </c>
      <c r="P5138">
        <v>12.5</v>
      </c>
      <c r="Q5138">
        <v>15.63</v>
      </c>
      <c r="R5138">
        <v>12.5</v>
      </c>
      <c r="S5138">
        <v>18.75</v>
      </c>
      <c r="T5138" t="s">
        <v>26134</v>
      </c>
    </row>
    <row r="5139" spans="1:20">
      <c r="A5139">
        <v>3411587</v>
      </c>
      <c r="B5139" t="s">
        <v>26135</v>
      </c>
      <c r="C5139" t="str">
        <f>"9780888642639"</f>
        <v>9780888642639</v>
      </c>
      <c r="D5139" t="str">
        <f>"9781459300705"</f>
        <v>9781459300705</v>
      </c>
      <c r="E5139" t="s">
        <v>26075</v>
      </c>
      <c r="F5139" t="s">
        <v>26075</v>
      </c>
      <c r="G5139" s="1">
        <v>36526</v>
      </c>
      <c r="I5139" t="s">
        <v>26136</v>
      </c>
      <c r="J5139" t="s">
        <v>26137</v>
      </c>
      <c r="K5139" t="s">
        <v>1892</v>
      </c>
      <c r="L5139" t="s">
        <v>26138</v>
      </c>
      <c r="N5139" t="s">
        <v>26139</v>
      </c>
      <c r="O5139" t="s">
        <v>26</v>
      </c>
      <c r="P5139">
        <v>24.95</v>
      </c>
      <c r="Q5139">
        <v>31.19</v>
      </c>
      <c r="R5139">
        <v>24.95</v>
      </c>
      <c r="S5139">
        <v>37.43</v>
      </c>
      <c r="T5139" t="s">
        <v>26140</v>
      </c>
    </row>
    <row r="5140" spans="1:20">
      <c r="A5140">
        <v>3411588</v>
      </c>
      <c r="B5140" t="s">
        <v>26141</v>
      </c>
      <c r="C5140" t="str">
        <f>"9780888644190"</f>
        <v>9780888644190</v>
      </c>
      <c r="D5140" t="str">
        <f>"9781459303812"</f>
        <v>9781459303812</v>
      </c>
      <c r="E5140" t="s">
        <v>26075</v>
      </c>
      <c r="F5140" t="s">
        <v>26075</v>
      </c>
      <c r="G5140" s="1">
        <v>38209</v>
      </c>
      <c r="I5140" t="s">
        <v>26142</v>
      </c>
      <c r="J5140" t="s">
        <v>26143</v>
      </c>
      <c r="K5140" t="s">
        <v>23</v>
      </c>
      <c r="L5140" t="s">
        <v>26144</v>
      </c>
      <c r="M5140">
        <v>595.73299999999995</v>
      </c>
      <c r="N5140" t="s">
        <v>26145</v>
      </c>
      <c r="O5140" t="s">
        <v>26</v>
      </c>
      <c r="P5140">
        <v>29.95</v>
      </c>
      <c r="Q5140">
        <v>37.44</v>
      </c>
      <c r="R5140">
        <v>29.95</v>
      </c>
      <c r="S5140">
        <v>44.93</v>
      </c>
      <c r="T5140" t="s">
        <v>26146</v>
      </c>
    </row>
    <row r="5141" spans="1:20">
      <c r="A5141">
        <v>3411589</v>
      </c>
      <c r="B5141" t="s">
        <v>26147</v>
      </c>
      <c r="C5141" t="str">
        <f>"9780888640178"</f>
        <v>9780888640178</v>
      </c>
      <c r="D5141" t="str">
        <f>"9781459304611"</f>
        <v>9781459304611</v>
      </c>
      <c r="E5141" t="s">
        <v>26075</v>
      </c>
      <c r="F5141" t="s">
        <v>26075</v>
      </c>
      <c r="G5141" s="1">
        <v>28095</v>
      </c>
      <c r="J5141" t="s">
        <v>26148</v>
      </c>
      <c r="K5141" t="s">
        <v>305</v>
      </c>
      <c r="L5141" t="s">
        <v>26149</v>
      </c>
      <c r="N5141" t="s">
        <v>26150</v>
      </c>
      <c r="O5141" t="s">
        <v>26</v>
      </c>
      <c r="P5141">
        <v>8.5</v>
      </c>
      <c r="Q5141">
        <v>10.63</v>
      </c>
      <c r="R5141">
        <v>8.5</v>
      </c>
      <c r="S5141">
        <v>12.75</v>
      </c>
      <c r="T5141" t="s">
        <v>26151</v>
      </c>
    </row>
    <row r="5142" spans="1:20">
      <c r="A5142">
        <v>3411590</v>
      </c>
      <c r="B5142" t="s">
        <v>26152</v>
      </c>
      <c r="C5142" t="str">
        <f>"9780888640420"</f>
        <v>9780888640420</v>
      </c>
      <c r="D5142" t="str">
        <f>"9781459304055"</f>
        <v>9781459304055</v>
      </c>
      <c r="E5142" t="s">
        <v>26075</v>
      </c>
      <c r="F5142" t="s">
        <v>26075</v>
      </c>
      <c r="G5142" s="1">
        <v>30651</v>
      </c>
      <c r="J5142" t="s">
        <v>26153</v>
      </c>
      <c r="K5142" t="s">
        <v>330</v>
      </c>
      <c r="L5142" t="s">
        <v>26154</v>
      </c>
      <c r="N5142" t="s">
        <v>26155</v>
      </c>
      <c r="O5142" t="s">
        <v>26</v>
      </c>
      <c r="P5142">
        <v>15</v>
      </c>
      <c r="Q5142">
        <v>18.75</v>
      </c>
      <c r="R5142">
        <v>15</v>
      </c>
      <c r="S5142">
        <v>22.5</v>
      </c>
      <c r="T5142" t="s">
        <v>26156</v>
      </c>
    </row>
    <row r="5143" spans="1:20">
      <c r="A5143">
        <v>3411591</v>
      </c>
      <c r="B5143" t="s">
        <v>26157</v>
      </c>
      <c r="C5143" t="str">
        <f>"9780888642318"</f>
        <v>9780888642318</v>
      </c>
      <c r="D5143" t="str">
        <f>"9781459304536"</f>
        <v>9781459304536</v>
      </c>
      <c r="E5143" t="s">
        <v>26075</v>
      </c>
      <c r="F5143" t="s">
        <v>26075</v>
      </c>
      <c r="G5143" s="1">
        <v>32843</v>
      </c>
      <c r="J5143" t="s">
        <v>26158</v>
      </c>
      <c r="K5143" t="s">
        <v>2260</v>
      </c>
      <c r="L5143" t="s">
        <v>26159</v>
      </c>
      <c r="N5143" t="s">
        <v>26160</v>
      </c>
      <c r="O5143" t="s">
        <v>26</v>
      </c>
      <c r="P5143">
        <v>17.5</v>
      </c>
      <c r="Q5143">
        <v>21.88</v>
      </c>
      <c r="R5143">
        <v>17.5</v>
      </c>
      <c r="S5143">
        <v>26.25</v>
      </c>
      <c r="T5143" t="s">
        <v>26161</v>
      </c>
    </row>
    <row r="5144" spans="1:20">
      <c r="A5144">
        <v>3411592</v>
      </c>
      <c r="B5144" t="s">
        <v>26162</v>
      </c>
      <c r="C5144" t="str">
        <f>"9780888640314"</f>
        <v>9780888640314</v>
      </c>
      <c r="D5144" t="str">
        <f>"9781459304772"</f>
        <v>9781459304772</v>
      </c>
      <c r="E5144" t="s">
        <v>26075</v>
      </c>
      <c r="F5144" t="s">
        <v>26075</v>
      </c>
      <c r="G5144" s="1">
        <v>30286</v>
      </c>
      <c r="J5144" t="s">
        <v>26163</v>
      </c>
      <c r="K5144" t="s">
        <v>291</v>
      </c>
      <c r="L5144" t="s">
        <v>26164</v>
      </c>
      <c r="N5144" t="s">
        <v>26165</v>
      </c>
      <c r="O5144" t="s">
        <v>26</v>
      </c>
      <c r="P5144">
        <v>15</v>
      </c>
      <c r="Q5144">
        <v>18.75</v>
      </c>
      <c r="R5144">
        <v>15</v>
      </c>
      <c r="S5144">
        <v>22.5</v>
      </c>
      <c r="T5144" t="s">
        <v>26166</v>
      </c>
    </row>
    <row r="5145" spans="1:20">
      <c r="A5145">
        <v>3411593</v>
      </c>
      <c r="B5145" t="s">
        <v>26167</v>
      </c>
      <c r="C5145" t="str">
        <f>"9780888641175"</f>
        <v>9780888641175</v>
      </c>
      <c r="D5145" t="str">
        <f>"9781459304826"</f>
        <v>9781459304826</v>
      </c>
      <c r="E5145" t="s">
        <v>26075</v>
      </c>
      <c r="F5145" t="s">
        <v>26075</v>
      </c>
      <c r="G5145" s="1">
        <v>32112</v>
      </c>
      <c r="J5145" t="s">
        <v>26168</v>
      </c>
      <c r="K5145" t="s">
        <v>4347</v>
      </c>
      <c r="L5145" t="s">
        <v>26169</v>
      </c>
      <c r="N5145" t="s">
        <v>26170</v>
      </c>
      <c r="O5145" t="s">
        <v>26</v>
      </c>
      <c r="P5145">
        <v>14.95</v>
      </c>
      <c r="Q5145">
        <v>18.690000000000001</v>
      </c>
      <c r="R5145">
        <v>14.95</v>
      </c>
      <c r="S5145">
        <v>22.43</v>
      </c>
      <c r="T5145" t="s">
        <v>26171</v>
      </c>
    </row>
    <row r="5146" spans="1:20">
      <c r="A5146">
        <v>3411594</v>
      </c>
      <c r="B5146" t="s">
        <v>26172</v>
      </c>
      <c r="C5146" t="str">
        <f>"9780888642646"</f>
        <v>9780888642646</v>
      </c>
      <c r="D5146" t="str">
        <f>"9781459300712"</f>
        <v>9781459300712</v>
      </c>
      <c r="E5146" t="s">
        <v>26075</v>
      </c>
      <c r="F5146" t="s">
        <v>26075</v>
      </c>
      <c r="G5146" s="1">
        <v>34304</v>
      </c>
      <c r="J5146" t="s">
        <v>26173</v>
      </c>
      <c r="K5146" t="s">
        <v>305</v>
      </c>
      <c r="L5146" t="s">
        <v>26174</v>
      </c>
      <c r="N5146" t="s">
        <v>26175</v>
      </c>
      <c r="O5146" t="s">
        <v>26</v>
      </c>
      <c r="P5146">
        <v>24.95</v>
      </c>
      <c r="Q5146">
        <v>31.19</v>
      </c>
      <c r="R5146">
        <v>24.95</v>
      </c>
      <c r="S5146">
        <v>37.43</v>
      </c>
      <c r="T5146" t="s">
        <v>26176</v>
      </c>
    </row>
    <row r="5147" spans="1:20">
      <c r="A5147">
        <v>3411595</v>
      </c>
      <c r="B5147" t="s">
        <v>26177</v>
      </c>
      <c r="C5147" t="str">
        <f>"9780888642431"</f>
        <v>9780888642431</v>
      </c>
      <c r="D5147" t="str">
        <f>"9781459300958"</f>
        <v>9781459300958</v>
      </c>
      <c r="E5147" t="s">
        <v>26075</v>
      </c>
      <c r="F5147" t="s">
        <v>26075</v>
      </c>
      <c r="G5147" s="1">
        <v>33604</v>
      </c>
      <c r="J5147" t="s">
        <v>26178</v>
      </c>
      <c r="K5147" t="s">
        <v>467</v>
      </c>
      <c r="L5147" t="s">
        <v>26179</v>
      </c>
      <c r="M5147">
        <v>320.97122999999999</v>
      </c>
      <c r="N5147" t="s">
        <v>26180</v>
      </c>
      <c r="O5147" t="s">
        <v>26</v>
      </c>
      <c r="P5147">
        <v>19.95</v>
      </c>
      <c r="Q5147">
        <v>24.94</v>
      </c>
      <c r="R5147">
        <v>19.95</v>
      </c>
      <c r="S5147">
        <v>29.93</v>
      </c>
      <c r="T5147" t="s">
        <v>26181</v>
      </c>
    </row>
    <row r="5148" spans="1:20">
      <c r="A5148">
        <v>3411596</v>
      </c>
      <c r="B5148" t="s">
        <v>26182</v>
      </c>
      <c r="C5148" t="str">
        <f>"9780888640123"</f>
        <v>9780888640123</v>
      </c>
      <c r="D5148" t="str">
        <f>"9781459304185"</f>
        <v>9781459304185</v>
      </c>
      <c r="E5148" t="s">
        <v>26075</v>
      </c>
      <c r="F5148" t="s">
        <v>26075</v>
      </c>
      <c r="G5148" s="1">
        <v>27364</v>
      </c>
      <c r="J5148" t="s">
        <v>26183</v>
      </c>
      <c r="K5148" t="s">
        <v>7075</v>
      </c>
      <c r="L5148" t="s">
        <v>26184</v>
      </c>
      <c r="N5148" t="s">
        <v>26185</v>
      </c>
      <c r="O5148" t="s">
        <v>26</v>
      </c>
      <c r="P5148">
        <v>30</v>
      </c>
      <c r="Q5148">
        <v>37.5</v>
      </c>
      <c r="R5148">
        <v>30</v>
      </c>
      <c r="S5148">
        <v>45</v>
      </c>
      <c r="T5148" t="s">
        <v>26186</v>
      </c>
    </row>
    <row r="5149" spans="1:20">
      <c r="A5149">
        <v>3411597</v>
      </c>
      <c r="B5149" t="s">
        <v>26187</v>
      </c>
      <c r="C5149" t="str">
        <f>"9780888640185"</f>
        <v>9780888640185</v>
      </c>
      <c r="D5149" t="str">
        <f>"9781459304468"</f>
        <v>9781459304468</v>
      </c>
      <c r="E5149" t="s">
        <v>26075</v>
      </c>
      <c r="F5149" t="s">
        <v>26075</v>
      </c>
      <c r="G5149" s="1">
        <v>28095</v>
      </c>
      <c r="J5149" t="s">
        <v>26188</v>
      </c>
      <c r="K5149" t="s">
        <v>1464</v>
      </c>
      <c r="L5149" t="s">
        <v>26189</v>
      </c>
      <c r="N5149" t="s">
        <v>26190</v>
      </c>
      <c r="O5149" t="s">
        <v>26</v>
      </c>
      <c r="P5149">
        <v>5</v>
      </c>
      <c r="Q5149">
        <v>6.25</v>
      </c>
      <c r="R5149">
        <v>5</v>
      </c>
      <c r="S5149">
        <v>7.5</v>
      </c>
      <c r="T5149" t="s">
        <v>26191</v>
      </c>
    </row>
    <row r="5150" spans="1:20">
      <c r="A5150">
        <v>3411598</v>
      </c>
      <c r="B5150" t="s">
        <v>26192</v>
      </c>
      <c r="C5150" t="str">
        <f>"9780888642523"</f>
        <v>9780888642523</v>
      </c>
      <c r="D5150" t="str">
        <f>"9781459303706"</f>
        <v>9781459303706</v>
      </c>
      <c r="E5150" t="s">
        <v>26075</v>
      </c>
      <c r="F5150" t="s">
        <v>26075</v>
      </c>
      <c r="G5150" s="1">
        <v>34700</v>
      </c>
      <c r="I5150" t="s">
        <v>26136</v>
      </c>
      <c r="J5150" t="s">
        <v>26193</v>
      </c>
      <c r="K5150" t="s">
        <v>1892</v>
      </c>
      <c r="L5150" t="s">
        <v>26194</v>
      </c>
      <c r="M5150">
        <v>271.00970999999998</v>
      </c>
      <c r="N5150" t="s">
        <v>26195</v>
      </c>
      <c r="O5150" t="s">
        <v>26</v>
      </c>
      <c r="P5150">
        <v>34.950000000000003</v>
      </c>
      <c r="Q5150">
        <v>43.69</v>
      </c>
      <c r="R5150">
        <v>34.950000000000003</v>
      </c>
      <c r="S5150">
        <v>52.43</v>
      </c>
      <c r="T5150" t="s">
        <v>26196</v>
      </c>
    </row>
    <row r="5151" spans="1:20">
      <c r="A5151">
        <v>3411599</v>
      </c>
      <c r="B5151" t="s">
        <v>26197</v>
      </c>
      <c r="C5151" t="str">
        <f>"9780888642257"</f>
        <v>9780888642257</v>
      </c>
      <c r="D5151" t="str">
        <f>"9781459300590"</f>
        <v>9781459300590</v>
      </c>
      <c r="E5151" t="s">
        <v>26075</v>
      </c>
      <c r="F5151" t="s">
        <v>26075</v>
      </c>
      <c r="G5151" s="1">
        <v>33239</v>
      </c>
      <c r="J5151" t="s">
        <v>26198</v>
      </c>
      <c r="K5151" t="s">
        <v>1550</v>
      </c>
      <c r="L5151" t="s">
        <v>26199</v>
      </c>
      <c r="M5151">
        <v>305.69710700000002</v>
      </c>
      <c r="N5151" t="s">
        <v>26200</v>
      </c>
      <c r="O5151" t="s">
        <v>26</v>
      </c>
      <c r="P5151">
        <v>16.95</v>
      </c>
      <c r="Q5151">
        <v>21.19</v>
      </c>
      <c r="R5151">
        <v>16.95</v>
      </c>
      <c r="S5151">
        <v>25.43</v>
      </c>
      <c r="T5151" t="s">
        <v>26201</v>
      </c>
    </row>
    <row r="5152" spans="1:20">
      <c r="A5152">
        <v>3411600</v>
      </c>
      <c r="B5152" t="s">
        <v>26202</v>
      </c>
      <c r="C5152" t="str">
        <f>"9780888640475"</f>
        <v>9780888640475</v>
      </c>
      <c r="D5152" t="str">
        <f>"9781459304062"</f>
        <v>9781459304062</v>
      </c>
      <c r="E5152" t="s">
        <v>26075</v>
      </c>
      <c r="F5152" t="s">
        <v>26075</v>
      </c>
      <c r="G5152" s="1">
        <v>30651</v>
      </c>
      <c r="J5152" t="s">
        <v>26203</v>
      </c>
      <c r="K5152" t="s">
        <v>179</v>
      </c>
      <c r="L5152" t="s">
        <v>26204</v>
      </c>
      <c r="N5152" t="s">
        <v>26205</v>
      </c>
      <c r="O5152" t="s">
        <v>26</v>
      </c>
      <c r="P5152">
        <v>15</v>
      </c>
      <c r="Q5152">
        <v>18.75</v>
      </c>
      <c r="R5152">
        <v>15</v>
      </c>
      <c r="S5152">
        <v>22.5</v>
      </c>
      <c r="T5152" t="s">
        <v>26206</v>
      </c>
    </row>
    <row r="5153" spans="1:20">
      <c r="A5153">
        <v>3411601</v>
      </c>
      <c r="B5153" t="s">
        <v>26207</v>
      </c>
      <c r="C5153" t="str">
        <f>"9780888643124"</f>
        <v>9780888643124</v>
      </c>
      <c r="D5153" t="str">
        <f>"9781459303621"</f>
        <v>9781459303621</v>
      </c>
      <c r="E5153" t="s">
        <v>26075</v>
      </c>
      <c r="F5153" t="s">
        <v>26075</v>
      </c>
      <c r="G5153" s="1">
        <v>36465</v>
      </c>
      <c r="J5153" t="s">
        <v>26208</v>
      </c>
      <c r="K5153" t="s">
        <v>263</v>
      </c>
      <c r="L5153" t="s">
        <v>26209</v>
      </c>
      <c r="M5153">
        <v>306.87200000000001</v>
      </c>
      <c r="N5153" t="s">
        <v>26210</v>
      </c>
      <c r="O5153" t="s">
        <v>26</v>
      </c>
      <c r="P5153">
        <v>24.95</v>
      </c>
      <c r="Q5153">
        <v>31.19</v>
      </c>
      <c r="R5153">
        <v>24.95</v>
      </c>
      <c r="S5153">
        <v>37.43</v>
      </c>
      <c r="T5153" t="s">
        <v>26211</v>
      </c>
    </row>
    <row r="5154" spans="1:20">
      <c r="A5154">
        <v>3411602</v>
      </c>
      <c r="B5154" t="s">
        <v>26212</v>
      </c>
      <c r="C5154" t="str">
        <f>"9780888642288"</f>
        <v>9780888642288</v>
      </c>
      <c r="D5154" t="str">
        <f>"9781459304345"</f>
        <v>9781459304345</v>
      </c>
      <c r="E5154" t="s">
        <v>26075</v>
      </c>
      <c r="F5154" t="s">
        <v>26075</v>
      </c>
      <c r="G5154" s="1">
        <v>32478</v>
      </c>
      <c r="J5154" t="s">
        <v>26213</v>
      </c>
      <c r="K5154" t="s">
        <v>26214</v>
      </c>
      <c r="L5154" t="s">
        <v>26215</v>
      </c>
      <c r="N5154" t="s">
        <v>26216</v>
      </c>
      <c r="O5154" t="s">
        <v>26</v>
      </c>
      <c r="P5154">
        <v>15</v>
      </c>
      <c r="Q5154">
        <v>18.75</v>
      </c>
      <c r="R5154">
        <v>15</v>
      </c>
      <c r="S5154">
        <v>22.5</v>
      </c>
      <c r="T5154" t="s">
        <v>26217</v>
      </c>
    </row>
    <row r="5155" spans="1:20">
      <c r="A5155">
        <v>3411603</v>
      </c>
      <c r="B5155" t="s">
        <v>26218</v>
      </c>
      <c r="C5155" t="str">
        <f>"9780888640925"</f>
        <v>9780888640925</v>
      </c>
      <c r="D5155" t="str">
        <f>"9781459303973"</f>
        <v>9781459303973</v>
      </c>
      <c r="E5155" t="s">
        <v>26075</v>
      </c>
      <c r="F5155" t="s">
        <v>26075</v>
      </c>
      <c r="G5155" s="1">
        <v>31382</v>
      </c>
      <c r="J5155" t="s">
        <v>26219</v>
      </c>
      <c r="K5155" t="s">
        <v>4081</v>
      </c>
      <c r="L5155" t="s">
        <v>26220</v>
      </c>
      <c r="N5155" t="s">
        <v>26221</v>
      </c>
      <c r="O5155" t="s">
        <v>26</v>
      </c>
      <c r="P5155">
        <v>12.5</v>
      </c>
      <c r="Q5155">
        <v>15.63</v>
      </c>
      <c r="R5155">
        <v>12.5</v>
      </c>
      <c r="S5155">
        <v>18.75</v>
      </c>
      <c r="T5155" t="s">
        <v>26222</v>
      </c>
    </row>
    <row r="5156" spans="1:20">
      <c r="A5156">
        <v>3411604</v>
      </c>
      <c r="B5156" t="s">
        <v>26223</v>
      </c>
      <c r="C5156" t="str">
        <f>"9780888640727"</f>
        <v>9780888640727</v>
      </c>
      <c r="D5156" t="str">
        <f>"9781459304413"</f>
        <v>9781459304413</v>
      </c>
      <c r="E5156" t="s">
        <v>26075</v>
      </c>
      <c r="F5156" t="s">
        <v>26075</v>
      </c>
      <c r="G5156" s="1">
        <v>29556</v>
      </c>
      <c r="J5156" t="s">
        <v>26224</v>
      </c>
      <c r="K5156" t="s">
        <v>291</v>
      </c>
      <c r="L5156" t="s">
        <v>26225</v>
      </c>
      <c r="N5156" t="s">
        <v>26226</v>
      </c>
      <c r="O5156" t="s">
        <v>26</v>
      </c>
      <c r="P5156">
        <v>16.95</v>
      </c>
      <c r="Q5156">
        <v>21.19</v>
      </c>
      <c r="R5156">
        <v>16.95</v>
      </c>
      <c r="S5156">
        <v>25.43</v>
      </c>
      <c r="T5156" t="s">
        <v>26227</v>
      </c>
    </row>
    <row r="5157" spans="1:20">
      <c r="A5157">
        <v>3411605</v>
      </c>
      <c r="B5157" t="s">
        <v>26228</v>
      </c>
      <c r="C5157" t="str">
        <f>"9780888642066"</f>
        <v>9780888642066</v>
      </c>
      <c r="D5157" t="str">
        <f>"9781459304543"</f>
        <v>9781459304543</v>
      </c>
      <c r="E5157" t="s">
        <v>26075</v>
      </c>
      <c r="F5157" t="s">
        <v>26075</v>
      </c>
      <c r="G5157" s="1">
        <v>32843</v>
      </c>
      <c r="J5157" t="s">
        <v>26229</v>
      </c>
      <c r="K5157" t="s">
        <v>525</v>
      </c>
      <c r="L5157" t="s">
        <v>26230</v>
      </c>
      <c r="N5157" t="s">
        <v>26231</v>
      </c>
      <c r="O5157" t="s">
        <v>26</v>
      </c>
      <c r="P5157">
        <v>24.95</v>
      </c>
      <c r="Q5157">
        <v>31.19</v>
      </c>
      <c r="R5157">
        <v>24.95</v>
      </c>
      <c r="S5157">
        <v>37.43</v>
      </c>
      <c r="T5157" t="s">
        <v>26232</v>
      </c>
    </row>
    <row r="5158" spans="1:20">
      <c r="A5158">
        <v>3411606</v>
      </c>
      <c r="B5158" t="s">
        <v>26233</v>
      </c>
      <c r="C5158" t="str">
        <f>"9780888642363"</f>
        <v>9780888642363</v>
      </c>
      <c r="D5158" t="str">
        <f>"9781459304383"</f>
        <v>9781459304383</v>
      </c>
      <c r="E5158" t="s">
        <v>26075</v>
      </c>
      <c r="F5158" t="s">
        <v>26075</v>
      </c>
      <c r="G5158" s="1">
        <v>33573</v>
      </c>
      <c r="J5158" t="s">
        <v>26234</v>
      </c>
      <c r="K5158" t="s">
        <v>23</v>
      </c>
      <c r="L5158" t="s">
        <v>26235</v>
      </c>
      <c r="N5158" t="s">
        <v>26236</v>
      </c>
      <c r="O5158" t="s">
        <v>26</v>
      </c>
      <c r="P5158">
        <v>34.950000000000003</v>
      </c>
      <c r="Q5158">
        <v>43.69</v>
      </c>
      <c r="R5158">
        <v>34.950000000000003</v>
      </c>
      <c r="S5158">
        <v>52.43</v>
      </c>
      <c r="T5158" t="s">
        <v>26237</v>
      </c>
    </row>
    <row r="5159" spans="1:20">
      <c r="A5159">
        <v>3411607</v>
      </c>
      <c r="B5159" t="s">
        <v>26238</v>
      </c>
      <c r="C5159" t="str">
        <f>"9780888641496"</f>
        <v>9780888641496</v>
      </c>
      <c r="D5159" t="str">
        <f>"9781459304741"</f>
        <v>9781459304741</v>
      </c>
      <c r="E5159" t="s">
        <v>26075</v>
      </c>
      <c r="F5159" t="s">
        <v>26075</v>
      </c>
      <c r="G5159" s="1">
        <v>32478</v>
      </c>
      <c r="J5159" t="s">
        <v>26239</v>
      </c>
      <c r="K5159" t="s">
        <v>291</v>
      </c>
      <c r="L5159" t="s">
        <v>26240</v>
      </c>
      <c r="N5159" t="s">
        <v>26241</v>
      </c>
      <c r="O5159" t="s">
        <v>26</v>
      </c>
      <c r="P5159">
        <v>12.5</v>
      </c>
      <c r="Q5159">
        <v>15.63</v>
      </c>
      <c r="R5159">
        <v>12.5</v>
      </c>
      <c r="S5159">
        <v>18.75</v>
      </c>
      <c r="T5159" t="s">
        <v>26242</v>
      </c>
    </row>
    <row r="5160" spans="1:20">
      <c r="A5160">
        <v>3411608</v>
      </c>
      <c r="B5160" t="s">
        <v>26243</v>
      </c>
      <c r="C5160" t="str">
        <f>"9780888640031"</f>
        <v>9780888640031</v>
      </c>
      <c r="D5160" t="str">
        <f>"9781459304208"</f>
        <v>9781459304208</v>
      </c>
      <c r="E5160" t="s">
        <v>26075</v>
      </c>
      <c r="F5160" t="s">
        <v>26075</v>
      </c>
      <c r="G5160" s="1">
        <v>26999</v>
      </c>
      <c r="J5160" t="s">
        <v>26244</v>
      </c>
      <c r="K5160" t="s">
        <v>155</v>
      </c>
      <c r="L5160" t="s">
        <v>26245</v>
      </c>
      <c r="N5160" t="s">
        <v>26246</v>
      </c>
      <c r="O5160" t="s">
        <v>26</v>
      </c>
      <c r="P5160">
        <v>13.5</v>
      </c>
      <c r="Q5160">
        <v>16.88</v>
      </c>
      <c r="R5160">
        <v>13.5</v>
      </c>
      <c r="S5160">
        <v>20.25</v>
      </c>
      <c r="T5160" t="s">
        <v>26247</v>
      </c>
    </row>
    <row r="5161" spans="1:20">
      <c r="A5161">
        <v>3411609</v>
      </c>
      <c r="B5161" t="s">
        <v>26248</v>
      </c>
      <c r="C5161" t="str">
        <f>"9780888641342"</f>
        <v>9780888641342</v>
      </c>
      <c r="D5161" t="str">
        <f>"9781459303768"</f>
        <v>9781459303768</v>
      </c>
      <c r="E5161" t="s">
        <v>26075</v>
      </c>
      <c r="F5161" t="s">
        <v>26075</v>
      </c>
      <c r="G5161" s="1">
        <v>32112</v>
      </c>
      <c r="J5161" t="s">
        <v>26249</v>
      </c>
      <c r="K5161" t="s">
        <v>263</v>
      </c>
      <c r="L5161" t="s">
        <v>26250</v>
      </c>
      <c r="N5161" t="s">
        <v>26251</v>
      </c>
      <c r="O5161" t="s">
        <v>26</v>
      </c>
      <c r="P5161">
        <v>11.5</v>
      </c>
      <c r="Q5161">
        <v>14.38</v>
      </c>
      <c r="R5161">
        <v>11.5</v>
      </c>
      <c r="S5161">
        <v>17.25</v>
      </c>
      <c r="T5161" t="s">
        <v>26252</v>
      </c>
    </row>
    <row r="5162" spans="1:20">
      <c r="A5162">
        <v>3411610</v>
      </c>
      <c r="B5162" t="s">
        <v>26253</v>
      </c>
      <c r="C5162" t="str">
        <f>"9780888640017"</f>
        <v>9780888640017</v>
      </c>
      <c r="D5162" t="str">
        <f>"9781459304673"</f>
        <v>9781459304673</v>
      </c>
      <c r="E5162" t="s">
        <v>26075</v>
      </c>
      <c r="F5162" t="s">
        <v>26075</v>
      </c>
      <c r="G5162" s="1">
        <v>25903</v>
      </c>
      <c r="J5162" t="s">
        <v>26254</v>
      </c>
      <c r="L5162" t="s">
        <v>26255</v>
      </c>
      <c r="N5162" t="s">
        <v>26256</v>
      </c>
      <c r="O5162" t="s">
        <v>26</v>
      </c>
      <c r="P5162">
        <v>15</v>
      </c>
      <c r="Q5162">
        <v>18.75</v>
      </c>
      <c r="R5162">
        <v>15</v>
      </c>
      <c r="S5162">
        <v>22.5</v>
      </c>
      <c r="T5162" t="s">
        <v>26257</v>
      </c>
    </row>
    <row r="5163" spans="1:20">
      <c r="A5163">
        <v>3411611</v>
      </c>
      <c r="B5163" t="s">
        <v>26258</v>
      </c>
      <c r="C5163" t="str">
        <f>"9780888643025"</f>
        <v>9780888643025</v>
      </c>
      <c r="D5163" t="str">
        <f>"9781459304628"</f>
        <v>9781459304628</v>
      </c>
      <c r="E5163" t="s">
        <v>26075</v>
      </c>
      <c r="F5163" t="s">
        <v>26075</v>
      </c>
      <c r="G5163" s="1">
        <v>35765</v>
      </c>
      <c r="J5163" t="s">
        <v>26259</v>
      </c>
      <c r="K5163" t="s">
        <v>291</v>
      </c>
      <c r="L5163" t="s">
        <v>26260</v>
      </c>
      <c r="N5163" t="s">
        <v>26261</v>
      </c>
      <c r="O5163" t="s">
        <v>26</v>
      </c>
      <c r="P5163">
        <v>29.95</v>
      </c>
      <c r="Q5163">
        <v>37.44</v>
      </c>
      <c r="R5163">
        <v>29.95</v>
      </c>
      <c r="S5163">
        <v>44.93</v>
      </c>
      <c r="T5163" t="s">
        <v>26262</v>
      </c>
    </row>
    <row r="5164" spans="1:20">
      <c r="A5164">
        <v>3411612</v>
      </c>
      <c r="B5164" t="s">
        <v>26263</v>
      </c>
      <c r="C5164" t="str">
        <f>"9780888640826"</f>
        <v>9780888640826</v>
      </c>
      <c r="D5164" t="str">
        <f>"9781459304093"</f>
        <v>9781459304093</v>
      </c>
      <c r="E5164" t="s">
        <v>26075</v>
      </c>
      <c r="F5164" t="s">
        <v>26075</v>
      </c>
      <c r="G5164" s="1">
        <v>30651</v>
      </c>
      <c r="J5164" t="s">
        <v>26264</v>
      </c>
      <c r="K5164" t="s">
        <v>291</v>
      </c>
      <c r="L5164" t="s">
        <v>26265</v>
      </c>
      <c r="N5164" t="s">
        <v>26266</v>
      </c>
      <c r="O5164" t="s">
        <v>26</v>
      </c>
      <c r="P5164">
        <v>24.95</v>
      </c>
      <c r="Q5164">
        <v>31.19</v>
      </c>
      <c r="R5164">
        <v>24.95</v>
      </c>
      <c r="S5164">
        <v>37.43</v>
      </c>
      <c r="T5164" t="s">
        <v>26267</v>
      </c>
    </row>
    <row r="5165" spans="1:20">
      <c r="A5165">
        <v>3411613</v>
      </c>
      <c r="B5165" t="s">
        <v>26268</v>
      </c>
      <c r="C5165" t="str">
        <f>"9780888640345"</f>
        <v>9780888640345</v>
      </c>
      <c r="D5165" t="str">
        <f>"9781459304307"</f>
        <v>9781459304307</v>
      </c>
      <c r="E5165" t="s">
        <v>26075</v>
      </c>
      <c r="F5165" t="s">
        <v>26075</v>
      </c>
      <c r="G5165" s="1">
        <v>30286</v>
      </c>
      <c r="J5165" t="s">
        <v>26269</v>
      </c>
      <c r="K5165" t="s">
        <v>1892</v>
      </c>
      <c r="L5165" t="s">
        <v>26270</v>
      </c>
      <c r="N5165" t="s">
        <v>26271</v>
      </c>
      <c r="O5165" t="s">
        <v>26</v>
      </c>
      <c r="P5165">
        <v>16.95</v>
      </c>
      <c r="Q5165">
        <v>21.19</v>
      </c>
      <c r="R5165">
        <v>16.95</v>
      </c>
      <c r="S5165">
        <v>25.43</v>
      </c>
      <c r="T5165" t="s">
        <v>26272</v>
      </c>
    </row>
    <row r="5166" spans="1:20">
      <c r="A5166">
        <v>3411614</v>
      </c>
      <c r="B5166" t="s">
        <v>26273</v>
      </c>
      <c r="C5166" t="str">
        <f>"9780888642394"</f>
        <v>9780888642394</v>
      </c>
      <c r="D5166" t="str">
        <f>"9781459301160"</f>
        <v>9781459301160</v>
      </c>
      <c r="E5166" t="s">
        <v>26075</v>
      </c>
      <c r="F5166" t="s">
        <v>26075</v>
      </c>
      <c r="G5166" s="1">
        <v>33939</v>
      </c>
      <c r="J5166" t="s">
        <v>26274</v>
      </c>
      <c r="K5166" t="s">
        <v>2260</v>
      </c>
      <c r="L5166" t="s">
        <v>26275</v>
      </c>
      <c r="N5166" t="s">
        <v>26276</v>
      </c>
      <c r="O5166" t="s">
        <v>26</v>
      </c>
      <c r="P5166">
        <v>11.5</v>
      </c>
      <c r="Q5166">
        <v>14.38</v>
      </c>
      <c r="R5166">
        <v>11.5</v>
      </c>
      <c r="S5166">
        <v>17.25</v>
      </c>
      <c r="T5166" t="s">
        <v>26277</v>
      </c>
    </row>
    <row r="5167" spans="1:20">
      <c r="A5167">
        <v>3411615</v>
      </c>
      <c r="B5167" t="s">
        <v>26278</v>
      </c>
      <c r="C5167" t="str">
        <f>"9780888640680"</f>
        <v>9780888640680</v>
      </c>
      <c r="D5167" t="str">
        <f>"9781459303966"</f>
        <v>9781459303966</v>
      </c>
      <c r="E5167" t="s">
        <v>26075</v>
      </c>
      <c r="F5167" t="s">
        <v>26075</v>
      </c>
      <c r="G5167" s="1">
        <v>28825</v>
      </c>
      <c r="J5167" t="s">
        <v>26279</v>
      </c>
      <c r="K5167" t="s">
        <v>7075</v>
      </c>
      <c r="L5167" t="s">
        <v>26280</v>
      </c>
      <c r="N5167" t="s">
        <v>26281</v>
      </c>
      <c r="O5167" t="s">
        <v>26</v>
      </c>
      <c r="P5167">
        <v>7.5</v>
      </c>
      <c r="Q5167">
        <v>9.3800000000000008</v>
      </c>
      <c r="R5167">
        <v>7.5</v>
      </c>
      <c r="S5167">
        <v>11.25</v>
      </c>
      <c r="T5167" t="s">
        <v>26282</v>
      </c>
    </row>
    <row r="5168" spans="1:20">
      <c r="A5168">
        <v>3411616</v>
      </c>
      <c r="B5168" t="s">
        <v>26283</v>
      </c>
      <c r="C5168" t="str">
        <f>"9780888642189"</f>
        <v>9780888642189</v>
      </c>
      <c r="D5168" t="str">
        <f>"9781459301115"</f>
        <v>9781459301115</v>
      </c>
      <c r="E5168" t="s">
        <v>26075</v>
      </c>
      <c r="F5168" t="s">
        <v>26075</v>
      </c>
      <c r="G5168" s="1">
        <v>33939</v>
      </c>
      <c r="J5168" t="s">
        <v>26284</v>
      </c>
      <c r="K5168" t="s">
        <v>291</v>
      </c>
      <c r="L5168" t="s">
        <v>26285</v>
      </c>
      <c r="N5168" t="s">
        <v>26286</v>
      </c>
      <c r="O5168" t="s">
        <v>26</v>
      </c>
      <c r="P5168">
        <v>10</v>
      </c>
      <c r="Q5168">
        <v>12.5</v>
      </c>
      <c r="R5168">
        <v>10</v>
      </c>
      <c r="S5168">
        <v>15</v>
      </c>
      <c r="T5168" t="s">
        <v>26287</v>
      </c>
    </row>
    <row r="5169" spans="1:20">
      <c r="A5169">
        <v>3411617</v>
      </c>
      <c r="B5169" t="s">
        <v>26288</v>
      </c>
      <c r="C5169" t="str">
        <f>"9780888640321"</f>
        <v>9780888640321</v>
      </c>
      <c r="D5169" t="str">
        <f>"9781459304048"</f>
        <v>9781459304048</v>
      </c>
      <c r="E5169" t="s">
        <v>26075</v>
      </c>
      <c r="F5169" t="s">
        <v>26075</v>
      </c>
      <c r="G5169" s="1">
        <v>30286</v>
      </c>
      <c r="J5169" t="s">
        <v>26289</v>
      </c>
      <c r="K5169" t="s">
        <v>1859</v>
      </c>
      <c r="L5169" t="s">
        <v>26290</v>
      </c>
      <c r="N5169" t="s">
        <v>26291</v>
      </c>
      <c r="O5169" t="s">
        <v>26</v>
      </c>
      <c r="P5169">
        <v>7.5</v>
      </c>
      <c r="Q5169">
        <v>9.3800000000000008</v>
      </c>
      <c r="R5169">
        <v>7.5</v>
      </c>
      <c r="S5169">
        <v>11.25</v>
      </c>
      <c r="T5169" t="s">
        <v>26292</v>
      </c>
    </row>
    <row r="5170" spans="1:20">
      <c r="A5170">
        <v>3411618</v>
      </c>
      <c r="B5170" t="s">
        <v>26293</v>
      </c>
      <c r="C5170" t="str">
        <f>"9780888642301"</f>
        <v>9780888642301</v>
      </c>
      <c r="D5170" t="str">
        <f>"9781459304550"</f>
        <v>9781459304550</v>
      </c>
      <c r="E5170" t="s">
        <v>26075</v>
      </c>
      <c r="F5170" t="s">
        <v>26075</v>
      </c>
      <c r="G5170" s="1">
        <v>32843</v>
      </c>
      <c r="J5170" t="s">
        <v>26294</v>
      </c>
      <c r="K5170" t="s">
        <v>2260</v>
      </c>
      <c r="L5170" t="s">
        <v>26295</v>
      </c>
      <c r="N5170" t="s">
        <v>26296</v>
      </c>
      <c r="O5170" t="s">
        <v>26</v>
      </c>
      <c r="P5170">
        <v>12.5</v>
      </c>
      <c r="Q5170">
        <v>15.63</v>
      </c>
      <c r="R5170">
        <v>12.5</v>
      </c>
      <c r="S5170">
        <v>18.75</v>
      </c>
      <c r="T5170" t="s">
        <v>26297</v>
      </c>
    </row>
    <row r="5171" spans="1:20">
      <c r="A5171">
        <v>3411619</v>
      </c>
      <c r="B5171" t="s">
        <v>26298</v>
      </c>
      <c r="C5171" t="str">
        <f>"9780888642172"</f>
        <v>9780888642172</v>
      </c>
      <c r="D5171" t="str">
        <f>"9781459301108"</f>
        <v>9781459301108</v>
      </c>
      <c r="E5171" t="s">
        <v>26075</v>
      </c>
      <c r="F5171" t="s">
        <v>26075</v>
      </c>
      <c r="G5171" s="1">
        <v>33208</v>
      </c>
      <c r="J5171" t="s">
        <v>26299</v>
      </c>
      <c r="K5171" t="s">
        <v>291</v>
      </c>
      <c r="L5171" t="s">
        <v>26300</v>
      </c>
      <c r="N5171" t="s">
        <v>26301</v>
      </c>
      <c r="O5171" t="s">
        <v>26</v>
      </c>
      <c r="P5171">
        <v>15</v>
      </c>
      <c r="Q5171">
        <v>18.75</v>
      </c>
      <c r="R5171">
        <v>15</v>
      </c>
      <c r="S5171">
        <v>22.5</v>
      </c>
      <c r="T5171" t="s">
        <v>26302</v>
      </c>
    </row>
    <row r="5172" spans="1:20">
      <c r="A5172">
        <v>3411620</v>
      </c>
      <c r="B5172" t="s">
        <v>26303</v>
      </c>
      <c r="C5172" t="str">
        <f>"9780888640239"</f>
        <v>9780888640239</v>
      </c>
      <c r="D5172" t="str">
        <f>"9781459304635"</f>
        <v>9781459304635</v>
      </c>
      <c r="E5172" t="s">
        <v>26075</v>
      </c>
      <c r="F5172" t="s">
        <v>26075</v>
      </c>
      <c r="G5172" s="1">
        <v>28460</v>
      </c>
      <c r="J5172" t="s">
        <v>26304</v>
      </c>
      <c r="K5172" t="s">
        <v>1471</v>
      </c>
      <c r="L5172" t="s">
        <v>26305</v>
      </c>
      <c r="N5172" t="s">
        <v>26306</v>
      </c>
      <c r="O5172" t="s">
        <v>26</v>
      </c>
      <c r="P5172">
        <v>12.5</v>
      </c>
      <c r="Q5172">
        <v>15.63</v>
      </c>
      <c r="R5172">
        <v>12.5</v>
      </c>
      <c r="S5172">
        <v>18.75</v>
      </c>
      <c r="T5172" t="s">
        <v>26307</v>
      </c>
    </row>
    <row r="5173" spans="1:20">
      <c r="A5173">
        <v>3411621</v>
      </c>
      <c r="B5173" t="s">
        <v>26308</v>
      </c>
      <c r="C5173" t="str">
        <f>"9780888642943"</f>
        <v>9780888642943</v>
      </c>
      <c r="D5173" t="str">
        <f>"9781459303683"</f>
        <v>9781459303683</v>
      </c>
      <c r="E5173" t="s">
        <v>26075</v>
      </c>
      <c r="F5173" t="s">
        <v>26075</v>
      </c>
      <c r="G5173" s="1">
        <v>36526</v>
      </c>
      <c r="I5173" t="s">
        <v>26309</v>
      </c>
      <c r="J5173" t="s">
        <v>26310</v>
      </c>
      <c r="K5173" t="s">
        <v>305</v>
      </c>
      <c r="L5173" t="s">
        <v>26311</v>
      </c>
      <c r="N5173" t="s">
        <v>26312</v>
      </c>
      <c r="O5173" t="s">
        <v>26</v>
      </c>
      <c r="P5173">
        <v>21.95</v>
      </c>
      <c r="Q5173">
        <v>27.44</v>
      </c>
      <c r="R5173">
        <v>21.95</v>
      </c>
      <c r="S5173">
        <v>32.93</v>
      </c>
      <c r="T5173" t="s">
        <v>26313</v>
      </c>
    </row>
    <row r="5174" spans="1:20">
      <c r="A5174">
        <v>3411622</v>
      </c>
      <c r="B5174" t="s">
        <v>26314</v>
      </c>
      <c r="C5174" t="str">
        <f>"9780888641397"</f>
        <v>9780888641397</v>
      </c>
      <c r="D5174" t="str">
        <f>"9781459304369"</f>
        <v>9781459304369</v>
      </c>
      <c r="E5174" t="s">
        <v>26075</v>
      </c>
      <c r="F5174" t="s">
        <v>26075</v>
      </c>
      <c r="G5174" s="1">
        <v>32478</v>
      </c>
      <c r="J5174" t="s">
        <v>26315</v>
      </c>
      <c r="K5174" t="s">
        <v>1471</v>
      </c>
      <c r="L5174" t="s">
        <v>26316</v>
      </c>
      <c r="N5174" t="s">
        <v>26317</v>
      </c>
      <c r="O5174" t="s">
        <v>26</v>
      </c>
      <c r="P5174">
        <v>34.950000000000003</v>
      </c>
      <c r="Q5174">
        <v>43.69</v>
      </c>
      <c r="R5174">
        <v>34.950000000000003</v>
      </c>
      <c r="S5174">
        <v>52.43</v>
      </c>
      <c r="T5174" t="s">
        <v>26318</v>
      </c>
    </row>
    <row r="5175" spans="1:20">
      <c r="A5175">
        <v>3411623</v>
      </c>
      <c r="B5175" t="s">
        <v>26319</v>
      </c>
      <c r="C5175" t="str">
        <f>"9780888640291"</f>
        <v>9780888640291</v>
      </c>
      <c r="D5175" t="str">
        <f>"9781459304512"</f>
        <v>9781459304512</v>
      </c>
      <c r="E5175" t="s">
        <v>26075</v>
      </c>
      <c r="F5175" t="s">
        <v>26075</v>
      </c>
      <c r="G5175" s="1">
        <v>29921</v>
      </c>
      <c r="J5175" t="s">
        <v>26320</v>
      </c>
      <c r="K5175" t="s">
        <v>1471</v>
      </c>
      <c r="L5175" t="s">
        <v>26321</v>
      </c>
      <c r="N5175" t="s">
        <v>26322</v>
      </c>
      <c r="O5175" t="s">
        <v>26</v>
      </c>
      <c r="P5175">
        <v>12.5</v>
      </c>
      <c r="Q5175">
        <v>15.63</v>
      </c>
      <c r="R5175">
        <v>12.5</v>
      </c>
      <c r="S5175">
        <v>18.75</v>
      </c>
      <c r="T5175" t="s">
        <v>26323</v>
      </c>
    </row>
    <row r="5176" spans="1:20">
      <c r="A5176">
        <v>3411624</v>
      </c>
      <c r="B5176" t="s">
        <v>26324</v>
      </c>
      <c r="C5176" t="str">
        <f>"9780888642110"</f>
        <v>9780888642110</v>
      </c>
      <c r="D5176" t="str">
        <f>"9781459304567"</f>
        <v>9781459304567</v>
      </c>
      <c r="E5176" t="s">
        <v>26075</v>
      </c>
      <c r="F5176" t="s">
        <v>26075</v>
      </c>
      <c r="G5176" s="1">
        <v>32843</v>
      </c>
      <c r="J5176" t="s">
        <v>26325</v>
      </c>
      <c r="K5176" t="s">
        <v>291</v>
      </c>
      <c r="L5176" t="s">
        <v>26326</v>
      </c>
      <c r="N5176" t="s">
        <v>26327</v>
      </c>
      <c r="O5176" t="s">
        <v>26</v>
      </c>
      <c r="P5176">
        <v>17.5</v>
      </c>
      <c r="Q5176">
        <v>21.88</v>
      </c>
      <c r="R5176">
        <v>17.5</v>
      </c>
      <c r="S5176">
        <v>26.25</v>
      </c>
      <c r="T5176" t="s">
        <v>26328</v>
      </c>
    </row>
    <row r="5177" spans="1:20">
      <c r="A5177">
        <v>3411625</v>
      </c>
      <c r="B5177" t="s">
        <v>26329</v>
      </c>
      <c r="C5177" t="str">
        <f>"9780888641328"</f>
        <v>9780888641328</v>
      </c>
      <c r="D5177" t="str">
        <f>"9781459303751"</f>
        <v>9781459303751</v>
      </c>
      <c r="E5177" t="s">
        <v>26075</v>
      </c>
      <c r="F5177" t="s">
        <v>26075</v>
      </c>
      <c r="G5177" s="1">
        <v>32112</v>
      </c>
      <c r="J5177" t="s">
        <v>15141</v>
      </c>
      <c r="K5177" t="s">
        <v>263</v>
      </c>
      <c r="L5177" t="s">
        <v>26330</v>
      </c>
      <c r="N5177" t="s">
        <v>26331</v>
      </c>
      <c r="O5177" t="s">
        <v>26</v>
      </c>
      <c r="P5177">
        <v>13.5</v>
      </c>
      <c r="Q5177">
        <v>16.88</v>
      </c>
      <c r="R5177">
        <v>13.5</v>
      </c>
      <c r="S5177">
        <v>20.25</v>
      </c>
      <c r="T5177" t="s">
        <v>26332</v>
      </c>
    </row>
    <row r="5178" spans="1:20">
      <c r="A5178">
        <v>3411626</v>
      </c>
      <c r="B5178" t="s">
        <v>26333</v>
      </c>
      <c r="C5178" t="str">
        <f>"9780888640406"</f>
        <v>9780888640406</v>
      </c>
      <c r="D5178" t="str">
        <f>"9781459304284"</f>
        <v>9781459304284</v>
      </c>
      <c r="E5178" t="s">
        <v>26075</v>
      </c>
      <c r="F5178" t="s">
        <v>26075</v>
      </c>
      <c r="G5178" s="1">
        <v>30286</v>
      </c>
      <c r="J5178" t="s">
        <v>26334</v>
      </c>
      <c r="K5178" t="s">
        <v>76</v>
      </c>
      <c r="L5178" t="s">
        <v>26335</v>
      </c>
      <c r="N5178" t="s">
        <v>26336</v>
      </c>
      <c r="O5178" t="s">
        <v>26</v>
      </c>
      <c r="P5178">
        <v>7.5</v>
      </c>
      <c r="Q5178">
        <v>9.3800000000000008</v>
      </c>
      <c r="R5178">
        <v>7.5</v>
      </c>
      <c r="S5178">
        <v>11.25</v>
      </c>
      <c r="T5178" t="s">
        <v>26337</v>
      </c>
    </row>
    <row r="5179" spans="1:20">
      <c r="A5179">
        <v>3411627</v>
      </c>
      <c r="B5179" t="s">
        <v>26338</v>
      </c>
      <c r="C5179" t="str">
        <f>"9780888642998"</f>
        <v>9780888642998</v>
      </c>
      <c r="D5179" t="str">
        <f>"9781459304376"</f>
        <v>9781459304376</v>
      </c>
      <c r="E5179" t="s">
        <v>26075</v>
      </c>
      <c r="F5179" t="s">
        <v>26075</v>
      </c>
      <c r="G5179" s="1">
        <v>35765</v>
      </c>
      <c r="J5179" t="s">
        <v>26339</v>
      </c>
      <c r="K5179" t="s">
        <v>550</v>
      </c>
      <c r="L5179" t="s">
        <v>26340</v>
      </c>
      <c r="M5179">
        <v>306.90971000000002</v>
      </c>
      <c r="N5179" t="s">
        <v>26341</v>
      </c>
      <c r="O5179" t="s">
        <v>26</v>
      </c>
      <c r="P5179">
        <v>34.950000000000003</v>
      </c>
      <c r="Q5179">
        <v>43.69</v>
      </c>
      <c r="R5179">
        <v>34.950000000000003</v>
      </c>
      <c r="S5179">
        <v>52.43</v>
      </c>
      <c r="T5179" t="s">
        <v>26342</v>
      </c>
    </row>
    <row r="5180" spans="1:20">
      <c r="A5180">
        <v>3411628</v>
      </c>
      <c r="B5180" t="s">
        <v>26343</v>
      </c>
      <c r="C5180" t="str">
        <f>"9780888640468"</f>
        <v>9780888640468</v>
      </c>
      <c r="D5180" t="str">
        <f>"9781459304086"</f>
        <v>9781459304086</v>
      </c>
      <c r="E5180" t="s">
        <v>26075</v>
      </c>
      <c r="F5180" t="s">
        <v>26075</v>
      </c>
      <c r="G5180" s="1">
        <v>30651</v>
      </c>
      <c r="J5180" t="s">
        <v>26096</v>
      </c>
      <c r="L5180" t="s">
        <v>26344</v>
      </c>
      <c r="N5180" t="s">
        <v>26345</v>
      </c>
      <c r="O5180" t="s">
        <v>26</v>
      </c>
      <c r="P5180">
        <v>12.5</v>
      </c>
      <c r="Q5180">
        <v>15.63</v>
      </c>
      <c r="R5180">
        <v>12.5</v>
      </c>
      <c r="S5180">
        <v>18.75</v>
      </c>
      <c r="T5180" t="s">
        <v>26346</v>
      </c>
    </row>
    <row r="5181" spans="1:20">
      <c r="A5181">
        <v>3411629</v>
      </c>
      <c r="B5181" t="s">
        <v>26347</v>
      </c>
      <c r="C5181" t="str">
        <f>"9780888642585"</f>
        <v>9780888642585</v>
      </c>
      <c r="D5181" t="str">
        <f>"9781459300989"</f>
        <v>9781459300989</v>
      </c>
      <c r="E5181" t="s">
        <v>26075</v>
      </c>
      <c r="F5181" t="s">
        <v>26075</v>
      </c>
      <c r="G5181" s="1">
        <v>33939</v>
      </c>
      <c r="J5181" t="s">
        <v>26348</v>
      </c>
      <c r="K5181" t="s">
        <v>263</v>
      </c>
      <c r="L5181" t="s">
        <v>26349</v>
      </c>
      <c r="N5181" t="s">
        <v>26350</v>
      </c>
      <c r="O5181" t="s">
        <v>26</v>
      </c>
      <c r="P5181">
        <v>8.5</v>
      </c>
      <c r="Q5181">
        <v>10.63</v>
      </c>
      <c r="R5181">
        <v>8.5</v>
      </c>
      <c r="S5181">
        <v>12.75</v>
      </c>
      <c r="T5181" t="s">
        <v>26351</v>
      </c>
    </row>
    <row r="5182" spans="1:20">
      <c r="A5182">
        <v>3411630</v>
      </c>
      <c r="B5182" t="s">
        <v>26352</v>
      </c>
      <c r="C5182" t="str">
        <f>"9780888640116"</f>
        <v>9780888640116</v>
      </c>
      <c r="D5182" t="str">
        <f>"9781459304161"</f>
        <v>9781459304161</v>
      </c>
      <c r="E5182" t="s">
        <v>26075</v>
      </c>
      <c r="F5182" t="s">
        <v>26075</v>
      </c>
      <c r="G5182" s="1">
        <v>27729</v>
      </c>
      <c r="J5182" t="s">
        <v>26353</v>
      </c>
      <c r="K5182" t="s">
        <v>155</v>
      </c>
      <c r="L5182" t="s">
        <v>26354</v>
      </c>
      <c r="N5182" t="s">
        <v>26355</v>
      </c>
      <c r="O5182" t="s">
        <v>26</v>
      </c>
      <c r="P5182">
        <v>4</v>
      </c>
      <c r="Q5182">
        <v>5</v>
      </c>
      <c r="R5182">
        <v>4</v>
      </c>
      <c r="S5182">
        <v>6</v>
      </c>
      <c r="T5182" t="s">
        <v>26356</v>
      </c>
    </row>
    <row r="5183" spans="1:20">
      <c r="A5183">
        <v>3411631</v>
      </c>
      <c r="B5183" t="s">
        <v>26357</v>
      </c>
      <c r="C5183" t="str">
        <f>"9780888643131"</f>
        <v>9780888643131</v>
      </c>
      <c r="D5183" t="str">
        <f>"9781459303645"</f>
        <v>9781459303645</v>
      </c>
      <c r="E5183" t="s">
        <v>26075</v>
      </c>
      <c r="F5183" t="s">
        <v>26075</v>
      </c>
      <c r="G5183" s="1">
        <v>35765</v>
      </c>
      <c r="J5183" t="s">
        <v>26358</v>
      </c>
      <c r="K5183" t="s">
        <v>291</v>
      </c>
      <c r="L5183" t="s">
        <v>26359</v>
      </c>
      <c r="N5183" t="s">
        <v>26360</v>
      </c>
      <c r="O5183" t="s">
        <v>26</v>
      </c>
      <c r="P5183">
        <v>14.95</v>
      </c>
      <c r="Q5183">
        <v>18.690000000000001</v>
      </c>
      <c r="R5183">
        <v>14.95</v>
      </c>
      <c r="S5183">
        <v>22.43</v>
      </c>
      <c r="T5183" t="s">
        <v>26361</v>
      </c>
    </row>
    <row r="5184" spans="1:20">
      <c r="A5184">
        <v>3411632</v>
      </c>
      <c r="B5184" t="s">
        <v>26362</v>
      </c>
      <c r="C5184" t="str">
        <f>"9780888642677"</f>
        <v>9780888642677</v>
      </c>
      <c r="D5184" t="str">
        <f>"9781459303676"</f>
        <v>9781459303676</v>
      </c>
      <c r="E5184" t="s">
        <v>26075</v>
      </c>
      <c r="F5184" t="s">
        <v>26075</v>
      </c>
      <c r="G5184" s="1">
        <v>36526</v>
      </c>
      <c r="I5184" t="s">
        <v>26136</v>
      </c>
      <c r="J5184" t="s">
        <v>26363</v>
      </c>
      <c r="K5184" t="s">
        <v>1892</v>
      </c>
      <c r="L5184" t="s">
        <v>26364</v>
      </c>
      <c r="N5184" t="s">
        <v>26365</v>
      </c>
      <c r="O5184" t="s">
        <v>26</v>
      </c>
      <c r="P5184">
        <v>29.95</v>
      </c>
      <c r="Q5184">
        <v>37.44</v>
      </c>
      <c r="R5184">
        <v>29.95</v>
      </c>
      <c r="S5184">
        <v>44.93</v>
      </c>
      <c r="T5184" t="s">
        <v>26366</v>
      </c>
    </row>
    <row r="5185" spans="1:20">
      <c r="A5185">
        <v>3411633</v>
      </c>
      <c r="B5185" t="s">
        <v>26367</v>
      </c>
      <c r="C5185" t="str">
        <f>"9780888640611"</f>
        <v>9780888640611</v>
      </c>
      <c r="D5185" t="str">
        <f>"9781459304420"</f>
        <v>9781459304420</v>
      </c>
      <c r="E5185" t="s">
        <v>26075</v>
      </c>
      <c r="F5185" t="s">
        <v>26075</v>
      </c>
      <c r="G5185" s="1">
        <v>29556</v>
      </c>
      <c r="J5185" t="s">
        <v>26368</v>
      </c>
      <c r="K5185" t="s">
        <v>3994</v>
      </c>
      <c r="L5185" t="s">
        <v>26369</v>
      </c>
      <c r="N5185" t="s">
        <v>26370</v>
      </c>
      <c r="O5185" t="s">
        <v>26</v>
      </c>
      <c r="P5185">
        <v>10</v>
      </c>
      <c r="Q5185">
        <v>12.5</v>
      </c>
      <c r="R5185">
        <v>10</v>
      </c>
      <c r="S5185">
        <v>15</v>
      </c>
      <c r="T5185" t="s">
        <v>26371</v>
      </c>
    </row>
    <row r="5186" spans="1:20">
      <c r="A5186">
        <v>3411634</v>
      </c>
      <c r="B5186" t="s">
        <v>26372</v>
      </c>
      <c r="C5186" t="str">
        <f>"9780888640819"</f>
        <v>9780888640819</v>
      </c>
      <c r="D5186" t="str">
        <f>"9781459303928"</f>
        <v>9781459303928</v>
      </c>
      <c r="E5186" t="s">
        <v>26075</v>
      </c>
      <c r="F5186" t="s">
        <v>26075</v>
      </c>
      <c r="G5186" s="1">
        <v>29190</v>
      </c>
      <c r="J5186" t="s">
        <v>26373</v>
      </c>
      <c r="K5186" t="s">
        <v>1464</v>
      </c>
      <c r="L5186" t="s">
        <v>26374</v>
      </c>
      <c r="N5186" t="s">
        <v>26375</v>
      </c>
      <c r="O5186" t="s">
        <v>26</v>
      </c>
      <c r="P5186">
        <v>8</v>
      </c>
      <c r="Q5186">
        <v>10</v>
      </c>
      <c r="R5186">
        <v>8</v>
      </c>
      <c r="S5186">
        <v>12</v>
      </c>
      <c r="T5186" t="s">
        <v>26376</v>
      </c>
    </row>
    <row r="5187" spans="1:20">
      <c r="A5187">
        <v>3411635</v>
      </c>
      <c r="B5187" t="s">
        <v>26377</v>
      </c>
      <c r="C5187" t="str">
        <f>"9780888641076"</f>
        <v>9780888641076</v>
      </c>
      <c r="D5187" t="str">
        <f>"9781459303980"</f>
        <v>9781459303980</v>
      </c>
      <c r="E5187" t="s">
        <v>26075</v>
      </c>
      <c r="F5187" t="s">
        <v>26075</v>
      </c>
      <c r="G5187" s="1">
        <v>31382</v>
      </c>
      <c r="J5187" t="s">
        <v>26378</v>
      </c>
      <c r="K5187" t="s">
        <v>1464</v>
      </c>
      <c r="L5187" t="s">
        <v>26379</v>
      </c>
      <c r="N5187" t="s">
        <v>26380</v>
      </c>
      <c r="O5187" t="s">
        <v>26</v>
      </c>
      <c r="P5187">
        <v>12.5</v>
      </c>
      <c r="Q5187">
        <v>15.63</v>
      </c>
      <c r="R5187">
        <v>12.5</v>
      </c>
      <c r="S5187">
        <v>18.75</v>
      </c>
      <c r="T5187" t="s">
        <v>26381</v>
      </c>
    </row>
    <row r="5188" spans="1:20">
      <c r="A5188">
        <v>3411636</v>
      </c>
      <c r="B5188" t="s">
        <v>26382</v>
      </c>
      <c r="C5188" t="str">
        <f>"9780888640086"</f>
        <v>9780888640086</v>
      </c>
      <c r="D5188" t="str">
        <f>"9781459304215"</f>
        <v>9781459304215</v>
      </c>
      <c r="E5188" t="s">
        <v>26075</v>
      </c>
      <c r="F5188" t="s">
        <v>26075</v>
      </c>
      <c r="G5188" s="1">
        <v>26999</v>
      </c>
      <c r="J5188" t="s">
        <v>26383</v>
      </c>
      <c r="K5188" t="s">
        <v>263</v>
      </c>
      <c r="L5188" t="s">
        <v>26384</v>
      </c>
      <c r="N5188" t="s">
        <v>26385</v>
      </c>
      <c r="O5188" t="s">
        <v>26</v>
      </c>
      <c r="P5188">
        <v>7</v>
      </c>
      <c r="Q5188">
        <v>8.75</v>
      </c>
      <c r="R5188">
        <v>7</v>
      </c>
      <c r="S5188">
        <v>10.5</v>
      </c>
      <c r="T5188" t="s">
        <v>26386</v>
      </c>
    </row>
    <row r="5189" spans="1:20">
      <c r="A5189">
        <v>3411637</v>
      </c>
      <c r="B5189" t="s">
        <v>26387</v>
      </c>
      <c r="C5189" t="str">
        <f>"9780888640772"</f>
        <v>9780888640772</v>
      </c>
      <c r="D5189" t="str">
        <f>"9781459304444"</f>
        <v>9781459304444</v>
      </c>
      <c r="E5189" t="s">
        <v>26075</v>
      </c>
      <c r="F5189" t="s">
        <v>26075</v>
      </c>
      <c r="G5189" s="1">
        <v>36526</v>
      </c>
      <c r="I5189" t="s">
        <v>26388</v>
      </c>
      <c r="J5189" t="s">
        <v>26284</v>
      </c>
      <c r="K5189" t="s">
        <v>291</v>
      </c>
      <c r="L5189" t="s">
        <v>26389</v>
      </c>
      <c r="N5189" t="s">
        <v>26390</v>
      </c>
      <c r="O5189" t="s">
        <v>26</v>
      </c>
      <c r="P5189">
        <v>5</v>
      </c>
      <c r="Q5189">
        <v>6.25</v>
      </c>
      <c r="R5189">
        <v>5</v>
      </c>
      <c r="S5189">
        <v>7.5</v>
      </c>
      <c r="T5189" t="s">
        <v>26391</v>
      </c>
    </row>
    <row r="5190" spans="1:20">
      <c r="A5190">
        <v>3411638</v>
      </c>
      <c r="B5190" t="s">
        <v>26392</v>
      </c>
      <c r="C5190" t="str">
        <f>"9780888640437"</f>
        <v>9780888640437</v>
      </c>
      <c r="D5190" t="str">
        <f>"9781459303799"</f>
        <v>9781459303799</v>
      </c>
      <c r="E5190" t="s">
        <v>26075</v>
      </c>
      <c r="F5190" t="s">
        <v>26075</v>
      </c>
      <c r="G5190" s="1">
        <v>30651</v>
      </c>
      <c r="J5190" t="s">
        <v>26393</v>
      </c>
      <c r="K5190" t="s">
        <v>1464</v>
      </c>
      <c r="L5190" t="s">
        <v>26394</v>
      </c>
      <c r="N5190" t="s">
        <v>26395</v>
      </c>
      <c r="O5190" t="s">
        <v>26</v>
      </c>
      <c r="P5190">
        <v>21</v>
      </c>
      <c r="Q5190">
        <v>26.25</v>
      </c>
      <c r="R5190">
        <v>21</v>
      </c>
      <c r="S5190">
        <v>31.5</v>
      </c>
      <c r="T5190" t="s">
        <v>26396</v>
      </c>
    </row>
    <row r="5191" spans="1:20">
      <c r="A5191">
        <v>3411639</v>
      </c>
      <c r="B5191" t="s">
        <v>26397</v>
      </c>
      <c r="C5191" t="str">
        <f>"9780888641182"</f>
        <v>9780888641182</v>
      </c>
      <c r="D5191" t="str">
        <f>"9781459303775"</f>
        <v>9781459303775</v>
      </c>
      <c r="E5191" t="s">
        <v>26075</v>
      </c>
      <c r="F5191" t="s">
        <v>26075</v>
      </c>
      <c r="G5191" s="1">
        <v>32112</v>
      </c>
      <c r="J5191" t="s">
        <v>26393</v>
      </c>
      <c r="K5191" t="s">
        <v>263</v>
      </c>
      <c r="L5191" t="s">
        <v>26398</v>
      </c>
      <c r="N5191" t="s">
        <v>26399</v>
      </c>
      <c r="O5191" t="s">
        <v>26</v>
      </c>
      <c r="P5191">
        <v>24.95</v>
      </c>
      <c r="Q5191">
        <v>31.19</v>
      </c>
      <c r="R5191">
        <v>24.95</v>
      </c>
      <c r="S5191">
        <v>37.43</v>
      </c>
      <c r="T5191" t="s">
        <v>26400</v>
      </c>
    </row>
    <row r="5192" spans="1:20">
      <c r="A5192">
        <v>3411640</v>
      </c>
      <c r="B5192" t="s">
        <v>26401</v>
      </c>
      <c r="C5192" t="str">
        <f>"9780888640888"</f>
        <v>9780888640888</v>
      </c>
      <c r="D5192" t="str">
        <f>"9781459303997"</f>
        <v>9781459303997</v>
      </c>
      <c r="E5192" t="s">
        <v>26075</v>
      </c>
      <c r="F5192" t="s">
        <v>26075</v>
      </c>
      <c r="G5192" s="1">
        <v>31382</v>
      </c>
      <c r="J5192" t="s">
        <v>26402</v>
      </c>
      <c r="K5192" t="s">
        <v>1471</v>
      </c>
      <c r="L5192" t="s">
        <v>26403</v>
      </c>
      <c r="N5192" t="s">
        <v>26404</v>
      </c>
      <c r="O5192" t="s">
        <v>26</v>
      </c>
      <c r="P5192">
        <v>10.5</v>
      </c>
      <c r="Q5192">
        <v>13.13</v>
      </c>
      <c r="R5192">
        <v>10.5</v>
      </c>
      <c r="S5192">
        <v>15.75</v>
      </c>
      <c r="T5192" t="s">
        <v>26405</v>
      </c>
    </row>
    <row r="5193" spans="1:20">
      <c r="A5193">
        <v>3411641</v>
      </c>
      <c r="B5193" t="s">
        <v>26406</v>
      </c>
      <c r="C5193" t="str">
        <f>"9780888640741"</f>
        <v>9780888640741</v>
      </c>
      <c r="D5193" t="str">
        <f>"9781459304642"</f>
        <v>9781459304642</v>
      </c>
      <c r="E5193" t="s">
        <v>26075</v>
      </c>
      <c r="F5193" t="s">
        <v>26075</v>
      </c>
      <c r="G5193" s="1">
        <v>26999</v>
      </c>
      <c r="H5193">
        <v>3</v>
      </c>
      <c r="J5193" t="s">
        <v>26407</v>
      </c>
      <c r="K5193" t="s">
        <v>3951</v>
      </c>
      <c r="L5193" t="s">
        <v>26408</v>
      </c>
      <c r="N5193" t="s">
        <v>26409</v>
      </c>
      <c r="O5193" t="s">
        <v>26</v>
      </c>
      <c r="P5193">
        <v>35</v>
      </c>
      <c r="Q5193">
        <v>43.75</v>
      </c>
      <c r="R5193">
        <v>35</v>
      </c>
      <c r="S5193">
        <v>52.5</v>
      </c>
      <c r="T5193" t="s">
        <v>26410</v>
      </c>
    </row>
    <row r="5194" spans="1:20">
      <c r="A5194">
        <v>3411642</v>
      </c>
      <c r="B5194" t="s">
        <v>26411</v>
      </c>
      <c r="C5194" t="str">
        <f>"9780888641267"</f>
        <v>9780888641267</v>
      </c>
      <c r="D5194" t="str">
        <f>"9781459304222"</f>
        <v>9781459304222</v>
      </c>
      <c r="E5194" t="s">
        <v>26075</v>
      </c>
      <c r="F5194" t="s">
        <v>26075</v>
      </c>
      <c r="G5194" s="1">
        <v>32112</v>
      </c>
      <c r="J5194" t="s">
        <v>26412</v>
      </c>
      <c r="K5194" t="s">
        <v>76</v>
      </c>
      <c r="L5194" t="s">
        <v>26413</v>
      </c>
      <c r="N5194" t="s">
        <v>26414</v>
      </c>
      <c r="O5194" t="s">
        <v>26</v>
      </c>
      <c r="P5194">
        <v>40</v>
      </c>
      <c r="Q5194">
        <v>50</v>
      </c>
      <c r="R5194">
        <v>40</v>
      </c>
      <c r="S5194">
        <v>60</v>
      </c>
      <c r="T5194" t="s">
        <v>26415</v>
      </c>
    </row>
    <row r="5195" spans="1:20">
      <c r="A5195">
        <v>3411643</v>
      </c>
      <c r="B5195" t="s">
        <v>26416</v>
      </c>
      <c r="C5195" t="str">
        <f>"9780888641212"</f>
        <v>9780888641212</v>
      </c>
      <c r="D5195" t="str">
        <f>"9781459304475"</f>
        <v>9781459304475</v>
      </c>
      <c r="E5195" t="s">
        <v>26075</v>
      </c>
      <c r="F5195" t="s">
        <v>26075</v>
      </c>
      <c r="G5195" s="1">
        <v>28126</v>
      </c>
      <c r="J5195" t="s">
        <v>26417</v>
      </c>
      <c r="K5195" t="s">
        <v>791</v>
      </c>
      <c r="L5195" t="s">
        <v>26418</v>
      </c>
      <c r="M5195">
        <v>574.52639999999997</v>
      </c>
      <c r="N5195" t="s">
        <v>26419</v>
      </c>
      <c r="O5195" t="s">
        <v>26</v>
      </c>
      <c r="P5195">
        <v>45</v>
      </c>
      <c r="Q5195">
        <v>56.25</v>
      </c>
      <c r="R5195">
        <v>45</v>
      </c>
      <c r="S5195">
        <v>67.5</v>
      </c>
      <c r="T5195" t="s">
        <v>26420</v>
      </c>
    </row>
    <row r="5196" spans="1:20">
      <c r="A5196">
        <v>3411644</v>
      </c>
      <c r="B5196" t="s">
        <v>26421</v>
      </c>
      <c r="C5196" t="str">
        <f>"9780888640192"</f>
        <v>9780888640192</v>
      </c>
      <c r="D5196" t="str">
        <f>"9781459304697"</f>
        <v>9781459304697</v>
      </c>
      <c r="E5196" t="s">
        <v>26075</v>
      </c>
      <c r="F5196" t="s">
        <v>26075</v>
      </c>
      <c r="G5196" s="1">
        <v>28095</v>
      </c>
      <c r="J5196" t="s">
        <v>26422</v>
      </c>
      <c r="K5196" t="s">
        <v>1464</v>
      </c>
      <c r="L5196" t="s">
        <v>26423</v>
      </c>
      <c r="N5196" t="s">
        <v>26424</v>
      </c>
      <c r="O5196" t="s">
        <v>26</v>
      </c>
      <c r="P5196">
        <v>12.5</v>
      </c>
      <c r="Q5196">
        <v>15.63</v>
      </c>
      <c r="R5196">
        <v>12.5</v>
      </c>
      <c r="S5196">
        <v>18.75</v>
      </c>
      <c r="T5196" t="s">
        <v>26425</v>
      </c>
    </row>
    <row r="5197" spans="1:20">
      <c r="A5197">
        <v>3411645</v>
      </c>
      <c r="B5197" t="s">
        <v>26426</v>
      </c>
      <c r="C5197" t="str">
        <f>"9780888642035"</f>
        <v>9780888642035</v>
      </c>
      <c r="D5197" t="str">
        <f>"9781459304598"</f>
        <v>9781459304598</v>
      </c>
      <c r="E5197" t="s">
        <v>26075</v>
      </c>
      <c r="F5197" t="s">
        <v>26075</v>
      </c>
      <c r="G5197" s="1">
        <v>32478</v>
      </c>
      <c r="J5197" t="s">
        <v>26427</v>
      </c>
      <c r="K5197" t="s">
        <v>291</v>
      </c>
      <c r="L5197" t="s">
        <v>26428</v>
      </c>
      <c r="N5197" t="s">
        <v>26429</v>
      </c>
      <c r="O5197" t="s">
        <v>26</v>
      </c>
      <c r="P5197">
        <v>14.95</v>
      </c>
      <c r="Q5197">
        <v>18.690000000000001</v>
      </c>
      <c r="R5197">
        <v>14.95</v>
      </c>
      <c r="S5197">
        <v>22.43</v>
      </c>
      <c r="T5197" t="s">
        <v>26430</v>
      </c>
    </row>
    <row r="5198" spans="1:20">
      <c r="A5198">
        <v>3411646</v>
      </c>
      <c r="B5198" t="s">
        <v>26431</v>
      </c>
      <c r="C5198" t="str">
        <f>"9780888642479"</f>
        <v>9780888642479</v>
      </c>
      <c r="D5198" t="str">
        <f>"9781459304833"</f>
        <v>9781459304833</v>
      </c>
      <c r="E5198" t="s">
        <v>26075</v>
      </c>
      <c r="F5198" t="s">
        <v>26075</v>
      </c>
      <c r="G5198" s="1">
        <v>36526</v>
      </c>
      <c r="I5198" t="s">
        <v>26309</v>
      </c>
      <c r="J5198" t="s">
        <v>26432</v>
      </c>
      <c r="K5198" t="s">
        <v>305</v>
      </c>
      <c r="L5198" t="s">
        <v>26433</v>
      </c>
      <c r="N5198" t="s">
        <v>26434</v>
      </c>
      <c r="O5198" t="s">
        <v>26</v>
      </c>
      <c r="P5198">
        <v>16.95</v>
      </c>
      <c r="Q5198">
        <v>21.19</v>
      </c>
      <c r="R5198">
        <v>16.95</v>
      </c>
      <c r="S5198">
        <v>25.43</v>
      </c>
      <c r="T5198" t="s">
        <v>26435</v>
      </c>
    </row>
    <row r="5199" spans="1:20">
      <c r="A5199">
        <v>3411647</v>
      </c>
      <c r="B5199" t="s">
        <v>26436</v>
      </c>
      <c r="C5199" t="str">
        <f>"9780888641311"</f>
        <v>9780888641311</v>
      </c>
      <c r="D5199" t="str">
        <f>"9781459304239"</f>
        <v>9781459304239</v>
      </c>
      <c r="E5199" t="s">
        <v>26075</v>
      </c>
      <c r="F5199" t="s">
        <v>26075</v>
      </c>
      <c r="G5199" s="1">
        <v>32448</v>
      </c>
      <c r="J5199" t="s">
        <v>14605</v>
      </c>
      <c r="K5199" t="s">
        <v>1464</v>
      </c>
      <c r="L5199" t="s">
        <v>26437</v>
      </c>
      <c r="M5199">
        <v>844</v>
      </c>
      <c r="N5199" t="s">
        <v>26438</v>
      </c>
      <c r="O5199" t="s">
        <v>26</v>
      </c>
      <c r="P5199">
        <v>12.5</v>
      </c>
      <c r="Q5199">
        <v>15.63</v>
      </c>
      <c r="R5199">
        <v>12.5</v>
      </c>
      <c r="S5199">
        <v>18.75</v>
      </c>
      <c r="T5199" t="s">
        <v>26439</v>
      </c>
    </row>
    <row r="5200" spans="1:20">
      <c r="A5200">
        <v>3411648</v>
      </c>
      <c r="B5200" t="s">
        <v>26440</v>
      </c>
      <c r="C5200" t="str">
        <f>"9780888644299"</f>
        <v>9780888644299</v>
      </c>
      <c r="D5200" t="str">
        <f>"9781459302976"</f>
        <v>9781459302976</v>
      </c>
      <c r="E5200" t="s">
        <v>26075</v>
      </c>
      <c r="F5200" t="s">
        <v>26075</v>
      </c>
      <c r="G5200" s="1">
        <v>38292</v>
      </c>
      <c r="J5200" t="s">
        <v>26441</v>
      </c>
      <c r="K5200" t="s">
        <v>278</v>
      </c>
      <c r="L5200" t="s">
        <v>26442</v>
      </c>
      <c r="M5200" t="s">
        <v>26443</v>
      </c>
      <c r="N5200" t="s">
        <v>26444</v>
      </c>
      <c r="O5200" t="s">
        <v>26</v>
      </c>
      <c r="P5200">
        <v>34.950000000000003</v>
      </c>
      <c r="Q5200">
        <v>43.69</v>
      </c>
      <c r="R5200">
        <v>34.950000000000003</v>
      </c>
      <c r="S5200">
        <v>52.43</v>
      </c>
      <c r="T5200" t="s">
        <v>26445</v>
      </c>
    </row>
    <row r="5201" spans="1:20">
      <c r="A5201">
        <v>3411649</v>
      </c>
      <c r="B5201" t="s">
        <v>26446</v>
      </c>
      <c r="C5201" t="str">
        <f>"9780888643087"</f>
        <v>9780888643087</v>
      </c>
      <c r="D5201" t="str">
        <f>"9781459303362"</f>
        <v>9781459303362</v>
      </c>
      <c r="E5201" t="s">
        <v>26075</v>
      </c>
      <c r="F5201" t="s">
        <v>26075</v>
      </c>
      <c r="G5201" s="1">
        <v>35947</v>
      </c>
      <c r="J5201" t="s">
        <v>26447</v>
      </c>
      <c r="K5201" t="s">
        <v>26448</v>
      </c>
      <c r="L5201" t="s">
        <v>26449</v>
      </c>
      <c r="M5201">
        <v>577.63097123</v>
      </c>
      <c r="N5201" t="s">
        <v>26450</v>
      </c>
      <c r="O5201" t="s">
        <v>26</v>
      </c>
      <c r="P5201">
        <v>24.95</v>
      </c>
      <c r="Q5201">
        <v>31.19</v>
      </c>
      <c r="R5201">
        <v>24.95</v>
      </c>
      <c r="S5201">
        <v>37.43</v>
      </c>
      <c r="T5201" t="s">
        <v>26451</v>
      </c>
    </row>
    <row r="5202" spans="1:20">
      <c r="A5202">
        <v>3411650</v>
      </c>
      <c r="B5202" t="s">
        <v>26452</v>
      </c>
      <c r="C5202" t="str">
        <f>"9780888643230"</f>
        <v>9780888643230</v>
      </c>
      <c r="D5202" t="str">
        <f>"9781459303515"</f>
        <v>9781459303515</v>
      </c>
      <c r="E5202" t="s">
        <v>26075</v>
      </c>
      <c r="F5202" t="s">
        <v>26075</v>
      </c>
      <c r="G5202" s="1">
        <v>36861</v>
      </c>
      <c r="J5202" t="s">
        <v>26453</v>
      </c>
      <c r="K5202" t="s">
        <v>110</v>
      </c>
      <c r="L5202" t="s">
        <v>26454</v>
      </c>
      <c r="N5202" t="s">
        <v>26455</v>
      </c>
      <c r="O5202" t="s">
        <v>26</v>
      </c>
      <c r="P5202">
        <v>35</v>
      </c>
      <c r="Q5202">
        <v>43.75</v>
      </c>
      <c r="R5202">
        <v>35</v>
      </c>
      <c r="S5202">
        <v>52.5</v>
      </c>
      <c r="T5202" t="s">
        <v>26456</v>
      </c>
    </row>
    <row r="5203" spans="1:20">
      <c r="A5203">
        <v>3411651</v>
      </c>
      <c r="B5203" t="s">
        <v>26457</v>
      </c>
      <c r="C5203" t="str">
        <f>"9780888643483"</f>
        <v>9780888643483</v>
      </c>
      <c r="D5203" t="str">
        <f>"9781459303225"</f>
        <v>9781459303225</v>
      </c>
      <c r="E5203" t="s">
        <v>26075</v>
      </c>
      <c r="F5203" t="s">
        <v>26075</v>
      </c>
      <c r="G5203" s="1">
        <v>36647</v>
      </c>
      <c r="I5203" t="s">
        <v>26458</v>
      </c>
      <c r="J5203" t="s">
        <v>26459</v>
      </c>
      <c r="K5203" t="s">
        <v>2387</v>
      </c>
      <c r="L5203" t="s">
        <v>26460</v>
      </c>
      <c r="M5203">
        <v>641.65480000000002</v>
      </c>
      <c r="N5203" t="s">
        <v>26461</v>
      </c>
      <c r="O5203" t="s">
        <v>26</v>
      </c>
      <c r="P5203">
        <v>14.95</v>
      </c>
      <c r="Q5203">
        <v>18.690000000000001</v>
      </c>
      <c r="R5203">
        <v>14.95</v>
      </c>
      <c r="S5203">
        <v>22.43</v>
      </c>
      <c r="T5203" t="s">
        <v>26462</v>
      </c>
    </row>
    <row r="5204" spans="1:20">
      <c r="A5204">
        <v>3411652</v>
      </c>
      <c r="B5204" t="s">
        <v>26463</v>
      </c>
      <c r="C5204" t="str">
        <f>"9780888643629"</f>
        <v>9780888643629</v>
      </c>
      <c r="D5204" t="str">
        <f>"9781459303447"</f>
        <v>9781459303447</v>
      </c>
      <c r="E5204" t="s">
        <v>26075</v>
      </c>
      <c r="F5204" t="s">
        <v>26075</v>
      </c>
      <c r="G5204" s="1">
        <v>36800</v>
      </c>
      <c r="J5204" t="s">
        <v>26464</v>
      </c>
      <c r="K5204" t="s">
        <v>1835</v>
      </c>
      <c r="L5204" t="s">
        <v>26465</v>
      </c>
      <c r="M5204">
        <v>770.1</v>
      </c>
      <c r="N5204" t="s">
        <v>26466</v>
      </c>
      <c r="O5204" t="s">
        <v>26</v>
      </c>
      <c r="P5204">
        <v>34.950000000000003</v>
      </c>
      <c r="Q5204">
        <v>43.69</v>
      </c>
      <c r="R5204">
        <v>34.950000000000003</v>
      </c>
      <c r="S5204">
        <v>52.43</v>
      </c>
      <c r="T5204" t="s">
        <v>26467</v>
      </c>
    </row>
    <row r="5205" spans="1:20">
      <c r="A5205">
        <v>3411653</v>
      </c>
      <c r="B5205" t="s">
        <v>26468</v>
      </c>
      <c r="C5205" t="str">
        <f>"9780888643667"</f>
        <v>9780888643667</v>
      </c>
      <c r="D5205" t="str">
        <f>"9781459303744"</f>
        <v>9781459303744</v>
      </c>
      <c r="E5205" t="s">
        <v>26075</v>
      </c>
      <c r="F5205" t="s">
        <v>26075</v>
      </c>
      <c r="G5205" s="1">
        <v>37257</v>
      </c>
      <c r="K5205" t="s">
        <v>525</v>
      </c>
      <c r="L5205" t="s">
        <v>26469</v>
      </c>
      <c r="M5205">
        <v>344.71032100000002</v>
      </c>
      <c r="N5205" t="s">
        <v>26470</v>
      </c>
      <c r="O5205" t="s">
        <v>26</v>
      </c>
      <c r="P5205">
        <v>39.950000000000003</v>
      </c>
      <c r="Q5205">
        <v>49.94</v>
      </c>
      <c r="R5205">
        <v>39.950000000000003</v>
      </c>
      <c r="S5205">
        <v>59.93</v>
      </c>
      <c r="T5205" t="s">
        <v>26471</v>
      </c>
    </row>
    <row r="5206" spans="1:20">
      <c r="A5206">
        <v>3411654</v>
      </c>
      <c r="B5206" t="s">
        <v>26472</v>
      </c>
      <c r="C5206" t="str">
        <f>"9780888643759"</f>
        <v>9780888643759</v>
      </c>
      <c r="D5206" t="str">
        <f>"9781459304109"</f>
        <v>9781459304109</v>
      </c>
      <c r="E5206" t="s">
        <v>26075</v>
      </c>
      <c r="F5206" t="s">
        <v>26075</v>
      </c>
      <c r="G5206" s="1">
        <v>37653</v>
      </c>
      <c r="J5206" t="s">
        <v>26473</v>
      </c>
      <c r="K5206" t="s">
        <v>26474</v>
      </c>
      <c r="L5206" t="s">
        <v>26475</v>
      </c>
      <c r="M5206">
        <v>613.70870000000002</v>
      </c>
      <c r="N5206" t="s">
        <v>26476</v>
      </c>
      <c r="O5206" t="s">
        <v>26</v>
      </c>
      <c r="P5206">
        <v>89.95</v>
      </c>
      <c r="Q5206">
        <v>112.44</v>
      </c>
      <c r="R5206">
        <v>89.95</v>
      </c>
      <c r="S5206">
        <v>134.93</v>
      </c>
      <c r="T5206" t="s">
        <v>26477</v>
      </c>
    </row>
    <row r="5207" spans="1:20">
      <c r="A5207">
        <v>3411655</v>
      </c>
      <c r="B5207" t="s">
        <v>26478</v>
      </c>
      <c r="C5207" t="str">
        <f>"9780888643797"</f>
        <v>9780888643797</v>
      </c>
      <c r="D5207" t="str">
        <f>"9781459303317"</f>
        <v>9781459303317</v>
      </c>
      <c r="E5207" t="s">
        <v>26075</v>
      </c>
      <c r="F5207" t="s">
        <v>26075</v>
      </c>
      <c r="G5207" s="1">
        <v>37012</v>
      </c>
      <c r="I5207" t="s">
        <v>26458</v>
      </c>
      <c r="J5207" t="s">
        <v>26479</v>
      </c>
      <c r="K5207" t="s">
        <v>2387</v>
      </c>
      <c r="L5207" t="s">
        <v>26480</v>
      </c>
      <c r="M5207">
        <v>641.35619999999994</v>
      </c>
      <c r="N5207" t="s">
        <v>26481</v>
      </c>
      <c r="O5207" t="s">
        <v>26</v>
      </c>
      <c r="P5207">
        <v>14.95</v>
      </c>
      <c r="Q5207">
        <v>18.690000000000001</v>
      </c>
      <c r="R5207">
        <v>14.95</v>
      </c>
      <c r="S5207">
        <v>22.43</v>
      </c>
      <c r="T5207" t="s">
        <v>26482</v>
      </c>
    </row>
    <row r="5208" spans="1:20">
      <c r="A5208">
        <v>3411656</v>
      </c>
      <c r="B5208" t="s">
        <v>26483</v>
      </c>
      <c r="C5208" t="str">
        <f>"9780888643964"</f>
        <v>9780888643964</v>
      </c>
      <c r="D5208" t="str">
        <f>"9781459300880"</f>
        <v>9781459300880</v>
      </c>
      <c r="E5208" t="s">
        <v>26075</v>
      </c>
      <c r="F5208" t="s">
        <v>26075</v>
      </c>
      <c r="G5208" s="1">
        <v>37803</v>
      </c>
      <c r="J5208" t="s">
        <v>26484</v>
      </c>
      <c r="K5208" t="s">
        <v>4081</v>
      </c>
      <c r="L5208" t="s">
        <v>26485</v>
      </c>
      <c r="M5208" t="s">
        <v>26486</v>
      </c>
      <c r="N5208" t="s">
        <v>26487</v>
      </c>
      <c r="O5208" t="s">
        <v>26</v>
      </c>
      <c r="P5208">
        <v>45</v>
      </c>
      <c r="Q5208">
        <v>56.25</v>
      </c>
      <c r="R5208">
        <v>45</v>
      </c>
      <c r="S5208">
        <v>67.5</v>
      </c>
      <c r="T5208" t="s">
        <v>26488</v>
      </c>
    </row>
    <row r="5209" spans="1:20">
      <c r="A5209">
        <v>3411657</v>
      </c>
      <c r="B5209" t="s">
        <v>26489</v>
      </c>
      <c r="C5209" t="str">
        <f>"9780888643971"</f>
        <v>9780888643971</v>
      </c>
      <c r="D5209" t="str">
        <f>"9780888645227"</f>
        <v>9780888645227</v>
      </c>
      <c r="E5209" t="s">
        <v>26075</v>
      </c>
      <c r="F5209" t="s">
        <v>26075</v>
      </c>
      <c r="G5209" s="1">
        <v>37653</v>
      </c>
      <c r="J5209" t="s">
        <v>26490</v>
      </c>
      <c r="K5209" t="s">
        <v>3219</v>
      </c>
      <c r="L5209" t="s">
        <v>26491</v>
      </c>
      <c r="M5209" t="s">
        <v>26492</v>
      </c>
      <c r="N5209" t="s">
        <v>26493</v>
      </c>
      <c r="O5209" t="s">
        <v>26</v>
      </c>
      <c r="P5209">
        <v>29.95</v>
      </c>
      <c r="Q5209">
        <v>37.44</v>
      </c>
      <c r="R5209">
        <v>29.95</v>
      </c>
      <c r="S5209">
        <v>44.93</v>
      </c>
      <c r="T5209" t="s">
        <v>26494</v>
      </c>
    </row>
    <row r="5210" spans="1:20">
      <c r="A5210">
        <v>3411658</v>
      </c>
      <c r="B5210" t="s">
        <v>26495</v>
      </c>
      <c r="C5210" t="str">
        <f>"9780888644046"</f>
        <v>9780888644046</v>
      </c>
      <c r="D5210" t="str">
        <f>"9781459304116"</f>
        <v>9781459304116</v>
      </c>
      <c r="E5210" t="s">
        <v>26075</v>
      </c>
      <c r="F5210" t="s">
        <v>26075</v>
      </c>
      <c r="G5210" s="1">
        <v>37653</v>
      </c>
      <c r="I5210" t="s">
        <v>26496</v>
      </c>
      <c r="J5210" t="s">
        <v>26497</v>
      </c>
      <c r="K5210" t="s">
        <v>1464</v>
      </c>
      <c r="L5210" t="s">
        <v>26498</v>
      </c>
      <c r="M5210">
        <v>811.54</v>
      </c>
      <c r="N5210" t="s">
        <v>1546</v>
      </c>
      <c r="O5210" t="s">
        <v>26</v>
      </c>
      <c r="P5210">
        <v>19.95</v>
      </c>
      <c r="Q5210">
        <v>24.94</v>
      </c>
      <c r="R5210">
        <v>19.95</v>
      </c>
      <c r="S5210">
        <v>29.93</v>
      </c>
      <c r="T5210" t="s">
        <v>26499</v>
      </c>
    </row>
    <row r="5211" spans="1:20">
      <c r="A5211">
        <v>3411659</v>
      </c>
      <c r="B5211" t="s">
        <v>26500</v>
      </c>
      <c r="C5211" t="str">
        <f>"9780888644114"</f>
        <v>9780888644114</v>
      </c>
      <c r="D5211" t="str">
        <f>"9781459303713"</f>
        <v>9781459303713</v>
      </c>
      <c r="E5211" t="s">
        <v>26075</v>
      </c>
      <c r="F5211" t="s">
        <v>26075</v>
      </c>
      <c r="G5211" s="1">
        <v>37987</v>
      </c>
      <c r="I5211" t="s">
        <v>26501</v>
      </c>
      <c r="J5211" t="s">
        <v>26502</v>
      </c>
      <c r="K5211" t="s">
        <v>10956</v>
      </c>
      <c r="L5211" t="s">
        <v>26503</v>
      </c>
      <c r="M5211" t="s">
        <v>26504</v>
      </c>
      <c r="N5211" t="s">
        <v>26505</v>
      </c>
      <c r="O5211" t="s">
        <v>26</v>
      </c>
      <c r="P5211">
        <v>45</v>
      </c>
      <c r="Q5211">
        <v>56.25</v>
      </c>
      <c r="R5211">
        <v>45</v>
      </c>
      <c r="S5211">
        <v>67.5</v>
      </c>
      <c r="T5211" t="s">
        <v>26506</v>
      </c>
    </row>
    <row r="5212" spans="1:20">
      <c r="A5212">
        <v>3411660</v>
      </c>
      <c r="B5212" t="s">
        <v>26507</v>
      </c>
      <c r="C5212" t="str">
        <f>"9780888644152"</f>
        <v>9780888644152</v>
      </c>
      <c r="D5212" t="str">
        <f>"9781459303720"</f>
        <v>9781459303720</v>
      </c>
      <c r="E5212" t="s">
        <v>26075</v>
      </c>
      <c r="F5212" t="s">
        <v>26075</v>
      </c>
      <c r="G5212" s="1">
        <v>37987</v>
      </c>
      <c r="J5212" t="s">
        <v>26508</v>
      </c>
      <c r="K5212" t="s">
        <v>1464</v>
      </c>
      <c r="L5212" t="s">
        <v>26509</v>
      </c>
      <c r="M5212" t="s">
        <v>26510</v>
      </c>
      <c r="N5212" t="s">
        <v>26511</v>
      </c>
      <c r="O5212" t="s">
        <v>26</v>
      </c>
      <c r="P5212">
        <v>34.950000000000003</v>
      </c>
      <c r="Q5212">
        <v>43.69</v>
      </c>
      <c r="R5212">
        <v>34.950000000000003</v>
      </c>
      <c r="S5212">
        <v>52.43</v>
      </c>
      <c r="T5212" t="s">
        <v>26512</v>
      </c>
    </row>
    <row r="5213" spans="1:20">
      <c r="A5213">
        <v>3411661</v>
      </c>
      <c r="B5213" t="s">
        <v>26513</v>
      </c>
      <c r="C5213" t="str">
        <f>"9780888644183"</f>
        <v>9780888644183</v>
      </c>
      <c r="D5213" t="str">
        <f>"9781459303829"</f>
        <v>9781459303829</v>
      </c>
      <c r="E5213" t="s">
        <v>26075</v>
      </c>
      <c r="F5213" t="s">
        <v>26075</v>
      </c>
      <c r="G5213" s="1">
        <v>38231</v>
      </c>
      <c r="J5213" t="s">
        <v>26514</v>
      </c>
      <c r="K5213" t="s">
        <v>1471</v>
      </c>
      <c r="L5213" t="s">
        <v>26515</v>
      </c>
      <c r="M5213">
        <v>749.09709999999995</v>
      </c>
      <c r="N5213" t="s">
        <v>26516</v>
      </c>
      <c r="O5213" t="s">
        <v>26</v>
      </c>
      <c r="P5213">
        <v>60</v>
      </c>
      <c r="Q5213">
        <v>75</v>
      </c>
      <c r="R5213">
        <v>60</v>
      </c>
      <c r="S5213">
        <v>90</v>
      </c>
      <c r="T5213" t="s">
        <v>26517</v>
      </c>
    </row>
    <row r="5214" spans="1:20">
      <c r="A5214">
        <v>3411662</v>
      </c>
      <c r="B5214" t="s">
        <v>26518</v>
      </c>
      <c r="C5214" t="str">
        <f>"9780888644213"</f>
        <v>9780888644213</v>
      </c>
      <c r="D5214" t="str">
        <f>"9781459300019"</f>
        <v>9781459300019</v>
      </c>
      <c r="E5214" t="s">
        <v>26075</v>
      </c>
      <c r="F5214" t="s">
        <v>26075</v>
      </c>
      <c r="G5214" s="1">
        <v>38231</v>
      </c>
      <c r="J5214" t="s">
        <v>26081</v>
      </c>
      <c r="K5214" t="s">
        <v>1464</v>
      </c>
      <c r="L5214" t="s">
        <v>26519</v>
      </c>
      <c r="M5214" t="s">
        <v>26520</v>
      </c>
      <c r="N5214" t="s">
        <v>26521</v>
      </c>
      <c r="O5214" t="s">
        <v>26</v>
      </c>
      <c r="P5214">
        <v>34.950000000000003</v>
      </c>
      <c r="Q5214">
        <v>43.69</v>
      </c>
      <c r="R5214">
        <v>34.950000000000003</v>
      </c>
      <c r="S5214">
        <v>52.43</v>
      </c>
      <c r="T5214" t="s">
        <v>26522</v>
      </c>
    </row>
    <row r="5215" spans="1:20">
      <c r="A5215">
        <v>3411663</v>
      </c>
      <c r="B5215" t="s">
        <v>26523</v>
      </c>
      <c r="C5215" t="str">
        <f>"9780888644220"</f>
        <v>9780888644220</v>
      </c>
      <c r="D5215" t="str">
        <f>"9780888645272"</f>
        <v>9780888645272</v>
      </c>
      <c r="E5215" t="s">
        <v>26075</v>
      </c>
      <c r="F5215" t="s">
        <v>26075</v>
      </c>
      <c r="G5215" s="1">
        <v>38078</v>
      </c>
      <c r="J5215" t="s">
        <v>26524</v>
      </c>
      <c r="K5215" t="s">
        <v>2498</v>
      </c>
      <c r="L5215" t="s">
        <v>26525</v>
      </c>
      <c r="M5215">
        <v>174.2</v>
      </c>
      <c r="N5215" t="s">
        <v>26526</v>
      </c>
      <c r="O5215" t="s">
        <v>26</v>
      </c>
      <c r="P5215">
        <v>49.95</v>
      </c>
      <c r="Q5215">
        <v>62.44</v>
      </c>
      <c r="R5215">
        <v>49.95</v>
      </c>
      <c r="S5215">
        <v>74.930000000000007</v>
      </c>
      <c r="T5215" t="s">
        <v>26527</v>
      </c>
    </row>
    <row r="5216" spans="1:20">
      <c r="A5216">
        <v>3411664</v>
      </c>
      <c r="B5216" t="s">
        <v>26528</v>
      </c>
      <c r="C5216" t="str">
        <f>"9780888644268"</f>
        <v>9780888644268</v>
      </c>
      <c r="D5216" t="str">
        <f>"9781459301214"</f>
        <v>9781459301214</v>
      </c>
      <c r="E5216" t="s">
        <v>26075</v>
      </c>
      <c r="F5216" t="s">
        <v>26075</v>
      </c>
      <c r="G5216" s="1">
        <v>38200</v>
      </c>
      <c r="I5216" t="s">
        <v>26496</v>
      </c>
      <c r="J5216" t="s">
        <v>26529</v>
      </c>
      <c r="K5216" t="s">
        <v>1464</v>
      </c>
      <c r="L5216" t="s">
        <v>26530</v>
      </c>
      <c r="M5216">
        <v>811.54</v>
      </c>
      <c r="N5216" t="s">
        <v>26531</v>
      </c>
      <c r="O5216" t="s">
        <v>26</v>
      </c>
      <c r="P5216">
        <v>24.95</v>
      </c>
      <c r="Q5216">
        <v>31.19</v>
      </c>
      <c r="R5216">
        <v>24.95</v>
      </c>
      <c r="S5216">
        <v>37.43</v>
      </c>
      <c r="T5216" t="s">
        <v>26532</v>
      </c>
    </row>
    <row r="5217" spans="1:20">
      <c r="A5217">
        <v>3411665</v>
      </c>
      <c r="B5217" t="s">
        <v>26533</v>
      </c>
      <c r="C5217" t="str">
        <f>"9780888643902"</f>
        <v>9780888643902</v>
      </c>
      <c r="D5217" t="str">
        <f>"9781459303874"</f>
        <v>9781459303874</v>
      </c>
      <c r="E5217" t="s">
        <v>26075</v>
      </c>
      <c r="F5217" t="s">
        <v>26075</v>
      </c>
      <c r="G5217" s="1">
        <v>37408</v>
      </c>
      <c r="J5217" t="s">
        <v>26534</v>
      </c>
      <c r="K5217" t="s">
        <v>1471</v>
      </c>
      <c r="L5217" t="s">
        <v>26535</v>
      </c>
      <c r="M5217">
        <v>791.430971</v>
      </c>
      <c r="N5217" t="s">
        <v>26536</v>
      </c>
      <c r="O5217" t="s">
        <v>26</v>
      </c>
      <c r="P5217">
        <v>75</v>
      </c>
      <c r="Q5217">
        <v>93.75</v>
      </c>
      <c r="R5217">
        <v>75</v>
      </c>
      <c r="S5217">
        <v>112.5</v>
      </c>
      <c r="T5217" t="s">
        <v>26537</v>
      </c>
    </row>
    <row r="5218" spans="1:20">
      <c r="A5218">
        <v>3411666</v>
      </c>
      <c r="B5218" t="s">
        <v>26538</v>
      </c>
      <c r="C5218" t="str">
        <f>"9780888644381"</f>
        <v>9780888644381</v>
      </c>
      <c r="D5218" t="str">
        <f>"9781459303249"</f>
        <v>9781459303249</v>
      </c>
      <c r="E5218" t="s">
        <v>26075</v>
      </c>
      <c r="F5218" t="s">
        <v>26075</v>
      </c>
      <c r="G5218" s="1">
        <v>38518</v>
      </c>
      <c r="J5218" t="s">
        <v>26539</v>
      </c>
      <c r="K5218" t="s">
        <v>263</v>
      </c>
      <c r="L5218" t="s">
        <v>26540</v>
      </c>
      <c r="M5218" t="s">
        <v>26541</v>
      </c>
      <c r="N5218" t="s">
        <v>26542</v>
      </c>
      <c r="O5218" t="s">
        <v>26</v>
      </c>
      <c r="P5218">
        <v>24.95</v>
      </c>
      <c r="Q5218">
        <v>31.19</v>
      </c>
      <c r="R5218">
        <v>24.95</v>
      </c>
      <c r="S5218">
        <v>37.43</v>
      </c>
      <c r="T5218" t="s">
        <v>26543</v>
      </c>
    </row>
    <row r="5219" spans="1:20">
      <c r="A5219">
        <v>3411667</v>
      </c>
      <c r="B5219" t="s">
        <v>26544</v>
      </c>
      <c r="C5219" t="str">
        <f>"9780888644336"</f>
        <v>9780888644336</v>
      </c>
      <c r="D5219" t="str">
        <f>"9781459301429"</f>
        <v>9781459301429</v>
      </c>
      <c r="E5219" t="s">
        <v>26075</v>
      </c>
      <c r="F5219" t="s">
        <v>26075</v>
      </c>
      <c r="G5219" s="1">
        <v>38292</v>
      </c>
      <c r="J5219" t="s">
        <v>16885</v>
      </c>
      <c r="K5219" t="s">
        <v>1530</v>
      </c>
      <c r="L5219" t="s">
        <v>26545</v>
      </c>
      <c r="M5219" t="s">
        <v>26546</v>
      </c>
      <c r="N5219" t="s">
        <v>26547</v>
      </c>
      <c r="O5219" t="s">
        <v>26</v>
      </c>
      <c r="P5219">
        <v>34.950000000000003</v>
      </c>
      <c r="Q5219">
        <v>43.69</v>
      </c>
      <c r="R5219">
        <v>34.950000000000003</v>
      </c>
      <c r="S5219">
        <v>52.43</v>
      </c>
      <c r="T5219" t="s">
        <v>26548</v>
      </c>
    </row>
    <row r="5220" spans="1:20">
      <c r="A5220">
        <v>3411668</v>
      </c>
      <c r="B5220" t="s">
        <v>26549</v>
      </c>
      <c r="C5220" t="str">
        <f>"9780888644237"</f>
        <v>9780888644237</v>
      </c>
      <c r="D5220" t="str">
        <f>"9781459303737"</f>
        <v>9781459303737</v>
      </c>
      <c r="E5220" t="s">
        <v>26075</v>
      </c>
      <c r="F5220" t="s">
        <v>26075</v>
      </c>
      <c r="G5220" s="1">
        <v>38183</v>
      </c>
      <c r="J5220" t="s">
        <v>26550</v>
      </c>
      <c r="K5220" t="s">
        <v>291</v>
      </c>
      <c r="L5220" t="s">
        <v>26551</v>
      </c>
      <c r="M5220" t="s">
        <v>26552</v>
      </c>
      <c r="N5220" t="s">
        <v>26553</v>
      </c>
      <c r="O5220" t="s">
        <v>26</v>
      </c>
      <c r="P5220">
        <v>49.95</v>
      </c>
      <c r="Q5220">
        <v>62.44</v>
      </c>
      <c r="R5220">
        <v>49.95</v>
      </c>
      <c r="S5220">
        <v>74.930000000000007</v>
      </c>
      <c r="T5220" t="s">
        <v>26554</v>
      </c>
    </row>
    <row r="5221" spans="1:20">
      <c r="A5221">
        <v>3411669</v>
      </c>
      <c r="B5221" t="s">
        <v>26555</v>
      </c>
      <c r="C5221" t="str">
        <f>"9780888644398"</f>
        <v>9780888644398</v>
      </c>
      <c r="D5221" t="str">
        <f>"9781459303423"</f>
        <v>9781459303423</v>
      </c>
      <c r="E5221" t="s">
        <v>26075</v>
      </c>
      <c r="F5221" t="s">
        <v>26075</v>
      </c>
      <c r="G5221" s="1">
        <v>38443</v>
      </c>
      <c r="J5221" t="s">
        <v>26556</v>
      </c>
      <c r="K5221" t="s">
        <v>26557</v>
      </c>
      <c r="L5221" t="s">
        <v>26558</v>
      </c>
      <c r="M5221" t="s">
        <v>26559</v>
      </c>
      <c r="N5221" t="s">
        <v>26560</v>
      </c>
      <c r="O5221" t="s">
        <v>26</v>
      </c>
      <c r="P5221">
        <v>34.950000000000003</v>
      </c>
      <c r="Q5221">
        <v>43.69</v>
      </c>
      <c r="R5221">
        <v>34.950000000000003</v>
      </c>
      <c r="S5221">
        <v>52.43</v>
      </c>
      <c r="T5221" t="s">
        <v>26561</v>
      </c>
    </row>
    <row r="5222" spans="1:20">
      <c r="A5222">
        <v>3411670</v>
      </c>
      <c r="B5222" t="s">
        <v>26562</v>
      </c>
      <c r="C5222" t="str">
        <f>"9780888644435"</f>
        <v>9780888644435</v>
      </c>
      <c r="D5222" t="str">
        <f>"9781459302556"</f>
        <v>9781459302556</v>
      </c>
      <c r="E5222" t="s">
        <v>26075</v>
      </c>
      <c r="F5222" t="s">
        <v>26075</v>
      </c>
      <c r="G5222" s="1">
        <v>38473</v>
      </c>
      <c r="I5222" t="s">
        <v>26496</v>
      </c>
      <c r="J5222" t="s">
        <v>26563</v>
      </c>
      <c r="K5222" t="s">
        <v>1464</v>
      </c>
      <c r="L5222" t="s">
        <v>26564</v>
      </c>
      <c r="M5222" t="s">
        <v>26565</v>
      </c>
      <c r="N5222" t="s">
        <v>26566</v>
      </c>
      <c r="O5222" t="s">
        <v>26</v>
      </c>
      <c r="P5222">
        <v>34.950000000000003</v>
      </c>
      <c r="Q5222">
        <v>43.69</v>
      </c>
      <c r="R5222">
        <v>34.950000000000003</v>
      </c>
      <c r="S5222">
        <v>52.43</v>
      </c>
      <c r="T5222" t="s">
        <v>26567</v>
      </c>
    </row>
    <row r="5223" spans="1:20">
      <c r="A5223">
        <v>3411671</v>
      </c>
      <c r="B5223" t="s">
        <v>26568</v>
      </c>
      <c r="C5223" t="str">
        <f>"9780888644367"</f>
        <v>9780888644367</v>
      </c>
      <c r="D5223" t="str">
        <f>"9781459302563"</f>
        <v>9781459302563</v>
      </c>
      <c r="E5223" t="s">
        <v>26075</v>
      </c>
      <c r="F5223" t="s">
        <v>26075</v>
      </c>
      <c r="G5223" s="1">
        <v>38487</v>
      </c>
      <c r="J5223" t="s">
        <v>26569</v>
      </c>
      <c r="K5223" t="s">
        <v>291</v>
      </c>
      <c r="L5223" t="s">
        <v>26570</v>
      </c>
      <c r="M5223" t="s">
        <v>24290</v>
      </c>
      <c r="N5223" t="s">
        <v>26571</v>
      </c>
      <c r="O5223" t="s">
        <v>26</v>
      </c>
      <c r="P5223">
        <v>32.950000000000003</v>
      </c>
      <c r="Q5223">
        <v>41.19</v>
      </c>
      <c r="R5223">
        <v>32.950000000000003</v>
      </c>
      <c r="S5223">
        <v>49.43</v>
      </c>
      <c r="T5223" t="s">
        <v>26572</v>
      </c>
    </row>
    <row r="5224" spans="1:20">
      <c r="A5224">
        <v>3411672</v>
      </c>
      <c r="B5224" t="s">
        <v>26573</v>
      </c>
      <c r="C5224" t="str">
        <f>"9780888644503"</f>
        <v>9780888644503</v>
      </c>
      <c r="D5224" t="str">
        <f>"9781459303256"</f>
        <v>9781459303256</v>
      </c>
      <c r="E5224" t="s">
        <v>26075</v>
      </c>
      <c r="F5224" t="s">
        <v>26075</v>
      </c>
      <c r="G5224" s="1">
        <v>38568</v>
      </c>
      <c r="I5224" t="s">
        <v>26496</v>
      </c>
      <c r="J5224" t="s">
        <v>26574</v>
      </c>
      <c r="K5224" t="s">
        <v>1464</v>
      </c>
      <c r="L5224" t="s">
        <v>26575</v>
      </c>
      <c r="M5224" t="s">
        <v>1545</v>
      </c>
      <c r="N5224" t="s">
        <v>26576</v>
      </c>
      <c r="O5224" t="s">
        <v>26</v>
      </c>
      <c r="P5224">
        <v>24.95</v>
      </c>
      <c r="Q5224">
        <v>31.19</v>
      </c>
      <c r="R5224">
        <v>24.95</v>
      </c>
      <c r="S5224">
        <v>37.43</v>
      </c>
      <c r="T5224" t="s">
        <v>26577</v>
      </c>
    </row>
    <row r="5225" spans="1:20">
      <c r="A5225">
        <v>3411673</v>
      </c>
      <c r="B5225" t="s">
        <v>26578</v>
      </c>
      <c r="C5225" t="str">
        <f>"9780888644060"</f>
        <v>9780888644060</v>
      </c>
      <c r="D5225" t="str">
        <f>"9781459304123"</f>
        <v>9781459304123</v>
      </c>
      <c r="E5225" t="s">
        <v>26075</v>
      </c>
      <c r="F5225" t="s">
        <v>26075</v>
      </c>
      <c r="G5225" s="1">
        <v>37622</v>
      </c>
      <c r="I5225" t="s">
        <v>26136</v>
      </c>
      <c r="J5225" t="s">
        <v>26579</v>
      </c>
      <c r="K5225" t="s">
        <v>1892</v>
      </c>
      <c r="L5225" t="s">
        <v>26580</v>
      </c>
      <c r="M5225" t="s">
        <v>26581</v>
      </c>
      <c r="N5225" t="s">
        <v>26582</v>
      </c>
      <c r="O5225" t="s">
        <v>26</v>
      </c>
      <c r="P5225">
        <v>39.950000000000003</v>
      </c>
      <c r="Q5225">
        <v>49.94</v>
      </c>
      <c r="R5225">
        <v>39.950000000000003</v>
      </c>
      <c r="S5225">
        <v>59.93</v>
      </c>
      <c r="T5225" t="s">
        <v>26583</v>
      </c>
    </row>
    <row r="5226" spans="1:20">
      <c r="A5226">
        <v>3411674</v>
      </c>
      <c r="B5226" t="s">
        <v>26584</v>
      </c>
      <c r="C5226" t="str">
        <f>"9780888644145"</f>
        <v>9780888644145</v>
      </c>
      <c r="D5226" t="str">
        <f>"9781459303867"</f>
        <v>9781459303867</v>
      </c>
      <c r="E5226" t="s">
        <v>26075</v>
      </c>
      <c r="F5226" t="s">
        <v>26075</v>
      </c>
      <c r="G5226" s="1">
        <v>38078</v>
      </c>
      <c r="J5226" t="s">
        <v>26585</v>
      </c>
      <c r="K5226" t="s">
        <v>568</v>
      </c>
      <c r="L5226" t="s">
        <v>26586</v>
      </c>
      <c r="M5226">
        <v>303.66000000000003</v>
      </c>
      <c r="N5226" t="s">
        <v>26587</v>
      </c>
      <c r="O5226" t="s">
        <v>26</v>
      </c>
      <c r="P5226">
        <v>39.950000000000003</v>
      </c>
      <c r="Q5226">
        <v>49.94</v>
      </c>
      <c r="R5226">
        <v>39.950000000000003</v>
      </c>
      <c r="S5226">
        <v>59.93</v>
      </c>
      <c r="T5226" t="s">
        <v>26588</v>
      </c>
    </row>
    <row r="5227" spans="1:20">
      <c r="A5227">
        <v>3411675</v>
      </c>
      <c r="B5227" t="s">
        <v>26589</v>
      </c>
      <c r="C5227" t="str">
        <f>"9780888641113"</f>
        <v>9780888641113</v>
      </c>
      <c r="D5227" t="str">
        <f>"9781459304451"</f>
        <v>9781459304451</v>
      </c>
      <c r="E5227" t="s">
        <v>26075</v>
      </c>
      <c r="F5227" t="s">
        <v>26075</v>
      </c>
      <c r="G5227" s="1">
        <v>29921</v>
      </c>
      <c r="J5227" t="s">
        <v>26590</v>
      </c>
      <c r="K5227" t="s">
        <v>305</v>
      </c>
      <c r="L5227" t="s">
        <v>26591</v>
      </c>
      <c r="N5227" t="s">
        <v>26592</v>
      </c>
      <c r="O5227" t="s">
        <v>26</v>
      </c>
      <c r="P5227">
        <v>16.95</v>
      </c>
      <c r="Q5227">
        <v>21.19</v>
      </c>
      <c r="R5227">
        <v>16.95</v>
      </c>
      <c r="S5227">
        <v>25.43</v>
      </c>
      <c r="T5227" t="s">
        <v>26593</v>
      </c>
    </row>
    <row r="5228" spans="1:20">
      <c r="A5228">
        <v>3411676</v>
      </c>
      <c r="B5228" t="s">
        <v>26594</v>
      </c>
      <c r="C5228" t="str">
        <f>"9780888640215"</f>
        <v>9780888640215</v>
      </c>
      <c r="D5228" t="str">
        <f>"9781459304604"</f>
        <v>9781459304604</v>
      </c>
      <c r="E5228" t="s">
        <v>26075</v>
      </c>
      <c r="F5228" t="s">
        <v>26075</v>
      </c>
      <c r="G5228" s="1">
        <v>28095</v>
      </c>
      <c r="J5228" t="s">
        <v>26595</v>
      </c>
      <c r="K5228" t="s">
        <v>4081</v>
      </c>
      <c r="L5228" t="s">
        <v>26596</v>
      </c>
      <c r="N5228" t="s">
        <v>26597</v>
      </c>
      <c r="O5228" t="s">
        <v>26</v>
      </c>
      <c r="P5228">
        <v>5</v>
      </c>
      <c r="Q5228">
        <v>6.25</v>
      </c>
      <c r="R5228">
        <v>5</v>
      </c>
      <c r="S5228">
        <v>7.5</v>
      </c>
      <c r="T5228" t="s">
        <v>26598</v>
      </c>
    </row>
    <row r="5229" spans="1:20">
      <c r="A5229">
        <v>3411677</v>
      </c>
      <c r="B5229" t="s">
        <v>26599</v>
      </c>
      <c r="C5229" t="str">
        <f>"9780888640802"</f>
        <v>9780888640802</v>
      </c>
      <c r="D5229" t="str">
        <f>"9781459304291"</f>
        <v>9781459304291</v>
      </c>
      <c r="E5229" t="s">
        <v>26075</v>
      </c>
      <c r="F5229" t="s">
        <v>26075</v>
      </c>
      <c r="G5229" s="1">
        <v>36526</v>
      </c>
      <c r="I5229" t="s">
        <v>26388</v>
      </c>
      <c r="J5229" t="s">
        <v>26600</v>
      </c>
      <c r="K5229" t="s">
        <v>1464</v>
      </c>
      <c r="L5229" t="s">
        <v>26601</v>
      </c>
      <c r="N5229" t="s">
        <v>26602</v>
      </c>
      <c r="O5229" t="s">
        <v>26</v>
      </c>
      <c r="P5229">
        <v>6.95</v>
      </c>
      <c r="Q5229">
        <v>8.69</v>
      </c>
      <c r="R5229">
        <v>6.95</v>
      </c>
      <c r="S5229">
        <v>10.43</v>
      </c>
      <c r="T5229" t="s">
        <v>26603</v>
      </c>
    </row>
    <row r="5230" spans="1:20">
      <c r="A5230">
        <v>3411678</v>
      </c>
      <c r="B5230" t="s">
        <v>26604</v>
      </c>
      <c r="C5230" t="str">
        <f>"9780888642509"</f>
        <v>9780888642509</v>
      </c>
      <c r="D5230" t="str">
        <f>"9781459301436"</f>
        <v>9781459301436</v>
      </c>
      <c r="E5230" t="s">
        <v>26075</v>
      </c>
      <c r="F5230" t="s">
        <v>26075</v>
      </c>
      <c r="G5230" s="1">
        <v>33573</v>
      </c>
      <c r="J5230" t="s">
        <v>26605</v>
      </c>
      <c r="K5230" t="s">
        <v>257</v>
      </c>
      <c r="L5230" t="s">
        <v>26606</v>
      </c>
      <c r="N5230" t="s">
        <v>26607</v>
      </c>
      <c r="O5230" t="s">
        <v>26</v>
      </c>
      <c r="P5230">
        <v>14.95</v>
      </c>
      <c r="Q5230">
        <v>18.690000000000001</v>
      </c>
      <c r="R5230">
        <v>14.95</v>
      </c>
      <c r="S5230">
        <v>22.43</v>
      </c>
      <c r="T5230" t="s">
        <v>26608</v>
      </c>
    </row>
    <row r="5231" spans="1:20">
      <c r="A5231">
        <v>3411679</v>
      </c>
      <c r="B5231" t="s">
        <v>26609</v>
      </c>
      <c r="C5231" t="str">
        <f>"9780888642578"</f>
        <v>9780888642578</v>
      </c>
      <c r="D5231" t="str">
        <f>"9781459304581"</f>
        <v>9781459304581</v>
      </c>
      <c r="E5231" t="s">
        <v>26075</v>
      </c>
      <c r="F5231" t="s">
        <v>26075</v>
      </c>
      <c r="G5231" s="1">
        <v>32478</v>
      </c>
      <c r="J5231" t="s">
        <v>26610</v>
      </c>
      <c r="K5231" t="s">
        <v>525</v>
      </c>
      <c r="L5231" t="s">
        <v>26611</v>
      </c>
      <c r="N5231" t="s">
        <v>26612</v>
      </c>
      <c r="O5231" t="s">
        <v>26</v>
      </c>
      <c r="P5231">
        <v>19.95</v>
      </c>
      <c r="Q5231">
        <v>24.94</v>
      </c>
      <c r="R5231">
        <v>19.95</v>
      </c>
      <c r="S5231">
        <v>29.93</v>
      </c>
      <c r="T5231" t="s">
        <v>26613</v>
      </c>
    </row>
    <row r="5232" spans="1:20">
      <c r="A5232">
        <v>3411680</v>
      </c>
      <c r="B5232" t="s">
        <v>26614</v>
      </c>
      <c r="C5232" t="str">
        <f>"9780888643063"</f>
        <v>9780888643063</v>
      </c>
      <c r="D5232" t="str">
        <f>"9781459303638"</f>
        <v>9781459303638</v>
      </c>
      <c r="E5232" t="s">
        <v>26075</v>
      </c>
      <c r="F5232" t="s">
        <v>26075</v>
      </c>
      <c r="G5232" s="1">
        <v>36220</v>
      </c>
      <c r="J5232" t="s">
        <v>26615</v>
      </c>
      <c r="K5232" t="s">
        <v>278</v>
      </c>
      <c r="L5232" t="s">
        <v>26616</v>
      </c>
      <c r="M5232">
        <v>336.36097100000001</v>
      </c>
      <c r="N5232" t="s">
        <v>26617</v>
      </c>
      <c r="O5232" t="s">
        <v>26</v>
      </c>
      <c r="P5232">
        <v>29.95</v>
      </c>
      <c r="Q5232">
        <v>37.44</v>
      </c>
      <c r="R5232">
        <v>29.95</v>
      </c>
      <c r="S5232">
        <v>44.93</v>
      </c>
      <c r="T5232" t="s">
        <v>26618</v>
      </c>
    </row>
    <row r="5233" spans="1:20">
      <c r="A5233">
        <v>3411681</v>
      </c>
      <c r="B5233" t="s">
        <v>26619</v>
      </c>
      <c r="C5233" t="str">
        <f>"9780888640093"</f>
        <v>9780888640093</v>
      </c>
      <c r="D5233" t="str">
        <f>"9781459304192"</f>
        <v>9781459304192</v>
      </c>
      <c r="E5233" t="s">
        <v>26075</v>
      </c>
      <c r="F5233" t="s">
        <v>26075</v>
      </c>
      <c r="G5233" s="1">
        <v>27364</v>
      </c>
      <c r="J5233" t="s">
        <v>26383</v>
      </c>
      <c r="K5233" t="s">
        <v>263</v>
      </c>
      <c r="L5233" t="s">
        <v>26620</v>
      </c>
      <c r="N5233" t="s">
        <v>26621</v>
      </c>
      <c r="O5233" t="s">
        <v>26</v>
      </c>
      <c r="P5233">
        <v>8.5</v>
      </c>
      <c r="Q5233">
        <v>10.63</v>
      </c>
      <c r="R5233">
        <v>8.5</v>
      </c>
      <c r="S5233">
        <v>12.75</v>
      </c>
      <c r="T5233" t="s">
        <v>26622</v>
      </c>
    </row>
    <row r="5234" spans="1:20">
      <c r="A5234">
        <v>3411682</v>
      </c>
      <c r="B5234" t="s">
        <v>26623</v>
      </c>
      <c r="C5234" t="str">
        <f>"9780888641243"</f>
        <v>9780888641243</v>
      </c>
      <c r="D5234" t="str">
        <f>"9781459304260"</f>
        <v>9781459304260</v>
      </c>
      <c r="E5234" t="s">
        <v>26075</v>
      </c>
      <c r="F5234" t="s">
        <v>26075</v>
      </c>
      <c r="G5234" s="1">
        <v>31747</v>
      </c>
      <c r="J5234" t="s">
        <v>26624</v>
      </c>
      <c r="K5234" t="s">
        <v>525</v>
      </c>
      <c r="L5234" t="s">
        <v>26625</v>
      </c>
      <c r="N5234" t="s">
        <v>26626</v>
      </c>
      <c r="O5234" t="s">
        <v>26</v>
      </c>
      <c r="P5234">
        <v>11.5</v>
      </c>
      <c r="Q5234">
        <v>14.38</v>
      </c>
      <c r="R5234">
        <v>11.5</v>
      </c>
      <c r="S5234">
        <v>17.25</v>
      </c>
      <c r="T5234" t="s">
        <v>26627</v>
      </c>
    </row>
    <row r="5235" spans="1:20">
      <c r="A5235">
        <v>3411683</v>
      </c>
      <c r="B5235" t="s">
        <v>26628</v>
      </c>
      <c r="C5235" t="str">
        <f>"9780888640161"</f>
        <v>9780888640161</v>
      </c>
      <c r="D5235" t="str">
        <f>"9781459303935"</f>
        <v>9781459303935</v>
      </c>
      <c r="E5235" t="s">
        <v>26075</v>
      </c>
      <c r="F5235" t="s">
        <v>26075</v>
      </c>
      <c r="G5235" s="1">
        <v>28825</v>
      </c>
      <c r="J5235" t="s">
        <v>26629</v>
      </c>
      <c r="K5235" t="s">
        <v>7075</v>
      </c>
      <c r="L5235" t="s">
        <v>26630</v>
      </c>
      <c r="N5235" t="s">
        <v>26631</v>
      </c>
      <c r="O5235" t="s">
        <v>26</v>
      </c>
      <c r="P5235">
        <v>7.5</v>
      </c>
      <c r="Q5235">
        <v>9.3800000000000008</v>
      </c>
      <c r="R5235">
        <v>7.5</v>
      </c>
      <c r="S5235">
        <v>11.25</v>
      </c>
      <c r="T5235" t="s">
        <v>26632</v>
      </c>
    </row>
    <row r="5236" spans="1:20">
      <c r="A5236">
        <v>3411684</v>
      </c>
      <c r="B5236" t="s">
        <v>26633</v>
      </c>
      <c r="C5236" t="str">
        <f>"9780888641465"</f>
        <v>9780888641465</v>
      </c>
      <c r="D5236" t="str">
        <f>"9781459304314"</f>
        <v>9781459304314</v>
      </c>
      <c r="E5236" t="s">
        <v>26075</v>
      </c>
      <c r="F5236" t="s">
        <v>26075</v>
      </c>
      <c r="G5236" s="1">
        <v>32843</v>
      </c>
      <c r="J5236" t="s">
        <v>26378</v>
      </c>
      <c r="K5236" t="s">
        <v>1464</v>
      </c>
      <c r="L5236" t="s">
        <v>26634</v>
      </c>
      <c r="N5236" t="s">
        <v>26635</v>
      </c>
      <c r="O5236" t="s">
        <v>26</v>
      </c>
      <c r="P5236">
        <v>12.5</v>
      </c>
      <c r="Q5236">
        <v>15.63</v>
      </c>
      <c r="R5236">
        <v>12.5</v>
      </c>
      <c r="S5236">
        <v>18.75</v>
      </c>
      <c r="T5236" t="s">
        <v>26636</v>
      </c>
    </row>
    <row r="5237" spans="1:20">
      <c r="A5237">
        <v>3411685</v>
      </c>
      <c r="B5237" t="s">
        <v>26637</v>
      </c>
      <c r="C5237" t="str">
        <f>"9780888642417"</f>
        <v>9780888642417</v>
      </c>
      <c r="D5237" t="str">
        <f>"9781459300866"</f>
        <v>9781459300866</v>
      </c>
      <c r="E5237" t="s">
        <v>26075</v>
      </c>
      <c r="F5237" t="s">
        <v>26075</v>
      </c>
      <c r="G5237" s="1">
        <v>34669</v>
      </c>
      <c r="J5237" t="s">
        <v>26638</v>
      </c>
      <c r="K5237" t="s">
        <v>291</v>
      </c>
      <c r="L5237" t="s">
        <v>26639</v>
      </c>
      <c r="N5237" t="s">
        <v>26640</v>
      </c>
      <c r="O5237" t="s">
        <v>26</v>
      </c>
      <c r="P5237">
        <v>29.95</v>
      </c>
      <c r="Q5237">
        <v>37.44</v>
      </c>
      <c r="R5237">
        <v>29.95</v>
      </c>
      <c r="S5237">
        <v>44.93</v>
      </c>
      <c r="T5237" t="s">
        <v>26641</v>
      </c>
    </row>
    <row r="5238" spans="1:20">
      <c r="A5238">
        <v>3411686</v>
      </c>
      <c r="B5238" t="s">
        <v>26642</v>
      </c>
      <c r="C5238" t="str">
        <f>"9780888641472"</f>
        <v>9780888641472</v>
      </c>
      <c r="D5238" t="str">
        <f>"9781459304352"</f>
        <v>9781459304352</v>
      </c>
      <c r="E5238" t="s">
        <v>26075</v>
      </c>
      <c r="F5238" t="s">
        <v>26075</v>
      </c>
      <c r="G5238" s="1">
        <v>32478</v>
      </c>
      <c r="J5238" t="s">
        <v>26643</v>
      </c>
      <c r="K5238" t="s">
        <v>1471</v>
      </c>
      <c r="L5238" t="s">
        <v>26644</v>
      </c>
      <c r="N5238" t="s">
        <v>26645</v>
      </c>
      <c r="O5238" t="s">
        <v>26</v>
      </c>
      <c r="P5238">
        <v>30</v>
      </c>
      <c r="Q5238">
        <v>37.5</v>
      </c>
      <c r="R5238">
        <v>30</v>
      </c>
      <c r="S5238">
        <v>45</v>
      </c>
      <c r="T5238" t="s">
        <v>26646</v>
      </c>
    </row>
    <row r="5239" spans="1:20">
      <c r="A5239">
        <v>3411687</v>
      </c>
      <c r="B5239" t="s">
        <v>26647</v>
      </c>
      <c r="C5239" t="str">
        <f>"9780888640352"</f>
        <v>9780888640352</v>
      </c>
      <c r="D5239" t="str">
        <f>"9781459303805"</f>
        <v>9781459303805</v>
      </c>
      <c r="E5239" t="s">
        <v>26075</v>
      </c>
      <c r="F5239" t="s">
        <v>26075</v>
      </c>
      <c r="G5239" s="1">
        <v>30286</v>
      </c>
      <c r="J5239" t="s">
        <v>26648</v>
      </c>
      <c r="K5239" t="s">
        <v>291</v>
      </c>
      <c r="L5239" t="s">
        <v>26649</v>
      </c>
      <c r="N5239" t="s">
        <v>26650</v>
      </c>
      <c r="O5239" t="s">
        <v>26</v>
      </c>
      <c r="P5239">
        <v>15</v>
      </c>
      <c r="Q5239">
        <v>18.75</v>
      </c>
      <c r="R5239">
        <v>15</v>
      </c>
      <c r="S5239">
        <v>22.5</v>
      </c>
      <c r="T5239" t="s">
        <v>26651</v>
      </c>
    </row>
    <row r="5240" spans="1:20">
      <c r="A5240">
        <v>3411688</v>
      </c>
      <c r="B5240" t="s">
        <v>26652</v>
      </c>
      <c r="C5240" t="str">
        <f>"9780888640376"</f>
        <v>9780888640376</v>
      </c>
      <c r="D5240" t="str">
        <f>"9781459304079"</f>
        <v>9781459304079</v>
      </c>
      <c r="E5240" t="s">
        <v>26075</v>
      </c>
      <c r="F5240" t="s">
        <v>26075</v>
      </c>
      <c r="G5240" s="1">
        <v>30651</v>
      </c>
      <c r="J5240" t="s">
        <v>26653</v>
      </c>
      <c r="K5240" t="s">
        <v>291</v>
      </c>
      <c r="L5240" t="s">
        <v>26654</v>
      </c>
      <c r="N5240" t="s">
        <v>26655</v>
      </c>
      <c r="O5240" t="s">
        <v>26</v>
      </c>
      <c r="P5240">
        <v>15</v>
      </c>
      <c r="Q5240">
        <v>18.75</v>
      </c>
      <c r="R5240">
        <v>15</v>
      </c>
      <c r="S5240">
        <v>22.5</v>
      </c>
      <c r="T5240" t="s">
        <v>26656</v>
      </c>
    </row>
    <row r="5241" spans="1:20">
      <c r="A5241">
        <v>3411689</v>
      </c>
      <c r="B5241" t="s">
        <v>26657</v>
      </c>
      <c r="C5241" t="str">
        <f>"9780888640604"</f>
        <v>9780888640604</v>
      </c>
      <c r="D5241" t="str">
        <f>"9781459303959"</f>
        <v>9781459303959</v>
      </c>
      <c r="E5241" t="s">
        <v>26075</v>
      </c>
      <c r="F5241" t="s">
        <v>26075</v>
      </c>
      <c r="G5241" s="1">
        <v>28825</v>
      </c>
      <c r="J5241" t="s">
        <v>26658</v>
      </c>
      <c r="K5241" t="s">
        <v>791</v>
      </c>
      <c r="L5241" t="s">
        <v>26659</v>
      </c>
      <c r="N5241" t="s">
        <v>26660</v>
      </c>
      <c r="O5241" t="s">
        <v>26</v>
      </c>
      <c r="P5241">
        <v>6.5</v>
      </c>
      <c r="Q5241">
        <v>8.1300000000000008</v>
      </c>
      <c r="R5241">
        <v>6.5</v>
      </c>
      <c r="S5241">
        <v>9.75</v>
      </c>
      <c r="T5241" t="s">
        <v>26661</v>
      </c>
    </row>
    <row r="5242" spans="1:20">
      <c r="A5242">
        <v>3411690</v>
      </c>
      <c r="B5242" t="s">
        <v>26662</v>
      </c>
      <c r="C5242" t="str">
        <f>"9781551950129"</f>
        <v>9781551950129</v>
      </c>
      <c r="D5242" t="str">
        <f>"9781459303690"</f>
        <v>9781459303690</v>
      </c>
      <c r="E5242" t="s">
        <v>26075</v>
      </c>
      <c r="F5242" t="s">
        <v>26075</v>
      </c>
      <c r="G5242" s="1">
        <v>35034</v>
      </c>
      <c r="J5242" t="s">
        <v>26663</v>
      </c>
      <c r="K5242" t="s">
        <v>257</v>
      </c>
      <c r="L5242" t="s">
        <v>26664</v>
      </c>
      <c r="N5242" t="s">
        <v>26665</v>
      </c>
      <c r="O5242" t="s">
        <v>26</v>
      </c>
      <c r="P5242">
        <v>5</v>
      </c>
      <c r="Q5242">
        <v>6.25</v>
      </c>
      <c r="R5242">
        <v>5</v>
      </c>
      <c r="S5242">
        <v>7.5</v>
      </c>
      <c r="T5242" t="s">
        <v>26666</v>
      </c>
    </row>
    <row r="5243" spans="1:20">
      <c r="A5243">
        <v>3411691</v>
      </c>
      <c r="B5243" t="s">
        <v>26667</v>
      </c>
      <c r="C5243" t="str">
        <f>"9780888642042"</f>
        <v>9780888642042</v>
      </c>
      <c r="D5243" t="str">
        <f>"9781459304758"</f>
        <v>9781459304758</v>
      </c>
      <c r="E5243" t="s">
        <v>26075</v>
      </c>
      <c r="F5243" t="s">
        <v>26075</v>
      </c>
      <c r="G5243" s="1">
        <v>32843</v>
      </c>
      <c r="J5243" t="s">
        <v>26668</v>
      </c>
      <c r="K5243" t="s">
        <v>4081</v>
      </c>
      <c r="L5243" t="s">
        <v>26669</v>
      </c>
      <c r="N5243" t="s">
        <v>26670</v>
      </c>
      <c r="O5243" t="s">
        <v>26</v>
      </c>
      <c r="P5243">
        <v>9.5</v>
      </c>
      <c r="Q5243">
        <v>11.88</v>
      </c>
      <c r="R5243">
        <v>9.5</v>
      </c>
      <c r="S5243">
        <v>14.25</v>
      </c>
      <c r="T5243" t="s">
        <v>26671</v>
      </c>
    </row>
    <row r="5244" spans="1:20">
      <c r="A5244">
        <v>3411692</v>
      </c>
      <c r="B5244" t="s">
        <v>26672</v>
      </c>
      <c r="C5244" t="str">
        <f>"9780888640260"</f>
        <v>9780888640260</v>
      </c>
      <c r="D5244" t="str">
        <f>"9781459304529"</f>
        <v>9781459304529</v>
      </c>
      <c r="E5244" t="s">
        <v>26075</v>
      </c>
      <c r="F5244" t="s">
        <v>26075</v>
      </c>
      <c r="G5244" s="1">
        <v>29921</v>
      </c>
      <c r="J5244" t="s">
        <v>26673</v>
      </c>
      <c r="K5244" t="s">
        <v>1464</v>
      </c>
      <c r="L5244" t="s">
        <v>26674</v>
      </c>
      <c r="N5244" t="s">
        <v>26675</v>
      </c>
      <c r="O5244" t="s">
        <v>26</v>
      </c>
      <c r="P5244">
        <v>7.5</v>
      </c>
      <c r="Q5244">
        <v>9.3800000000000008</v>
      </c>
      <c r="R5244">
        <v>7.5</v>
      </c>
      <c r="S5244">
        <v>11.25</v>
      </c>
      <c r="T5244" t="s">
        <v>26676</v>
      </c>
    </row>
    <row r="5245" spans="1:20">
      <c r="A5245">
        <v>3411693</v>
      </c>
      <c r="B5245" t="s">
        <v>26677</v>
      </c>
      <c r="C5245" t="str">
        <f>"9780888641359"</f>
        <v>9780888641359</v>
      </c>
      <c r="D5245" t="str">
        <f>"9781459304338"</f>
        <v>9781459304338</v>
      </c>
      <c r="E5245" t="s">
        <v>26075</v>
      </c>
      <c r="F5245" t="s">
        <v>26075</v>
      </c>
      <c r="G5245" s="1">
        <v>32478</v>
      </c>
      <c r="J5245" t="s">
        <v>26678</v>
      </c>
      <c r="K5245" t="s">
        <v>1464</v>
      </c>
      <c r="L5245" t="s">
        <v>26679</v>
      </c>
      <c r="N5245" t="s">
        <v>26680</v>
      </c>
      <c r="O5245" t="s">
        <v>26</v>
      </c>
      <c r="P5245">
        <v>30</v>
      </c>
      <c r="Q5245">
        <v>37.5</v>
      </c>
      <c r="R5245">
        <v>30</v>
      </c>
      <c r="S5245">
        <v>45</v>
      </c>
      <c r="T5245" t="s">
        <v>26681</v>
      </c>
    </row>
    <row r="5246" spans="1:20">
      <c r="A5246">
        <v>3411694</v>
      </c>
      <c r="B5246" t="s">
        <v>26682</v>
      </c>
      <c r="C5246" t="str">
        <f>"9780888642370"</f>
        <v>9780888642370</v>
      </c>
      <c r="D5246" t="str">
        <f>"9781459300781"</f>
        <v>9781459300781</v>
      </c>
      <c r="E5246" t="s">
        <v>26075</v>
      </c>
      <c r="F5246" t="s">
        <v>26075</v>
      </c>
      <c r="G5246" s="1">
        <v>33604</v>
      </c>
      <c r="I5246" t="s">
        <v>26683</v>
      </c>
      <c r="J5246" t="s">
        <v>26684</v>
      </c>
      <c r="K5246" t="s">
        <v>26685</v>
      </c>
      <c r="L5246" t="s">
        <v>26686</v>
      </c>
      <c r="M5246">
        <v>305.89707099999998</v>
      </c>
      <c r="N5246" t="s">
        <v>26687</v>
      </c>
      <c r="O5246" t="s">
        <v>26</v>
      </c>
      <c r="P5246">
        <v>16.95</v>
      </c>
      <c r="Q5246">
        <v>21.19</v>
      </c>
      <c r="R5246">
        <v>16.95</v>
      </c>
      <c r="S5246">
        <v>25.43</v>
      </c>
      <c r="T5246" t="s">
        <v>26688</v>
      </c>
    </row>
    <row r="5247" spans="1:20">
      <c r="A5247">
        <v>3411695</v>
      </c>
      <c r="B5247" t="s">
        <v>26689</v>
      </c>
      <c r="C5247" t="str">
        <f>"9780888644251"</f>
        <v>9780888644251</v>
      </c>
      <c r="D5247" t="str">
        <f>"9781459300743"</f>
        <v>9781459300743</v>
      </c>
      <c r="E5247" t="s">
        <v>26075</v>
      </c>
      <c r="F5247" t="s">
        <v>26075</v>
      </c>
      <c r="G5247" s="1">
        <v>38047</v>
      </c>
      <c r="I5247" t="s">
        <v>26496</v>
      </c>
      <c r="J5247" t="s">
        <v>26690</v>
      </c>
      <c r="K5247" t="s">
        <v>1464</v>
      </c>
      <c r="L5247" t="s">
        <v>26691</v>
      </c>
      <c r="M5247" t="s">
        <v>1460</v>
      </c>
      <c r="N5247" t="s">
        <v>26692</v>
      </c>
      <c r="O5247" t="s">
        <v>26</v>
      </c>
      <c r="P5247">
        <v>24.95</v>
      </c>
      <c r="Q5247">
        <v>31.19</v>
      </c>
      <c r="R5247">
        <v>24.95</v>
      </c>
      <c r="S5247">
        <v>37.43</v>
      </c>
      <c r="T5247" t="s">
        <v>26693</v>
      </c>
    </row>
    <row r="5248" spans="1:20">
      <c r="A5248">
        <v>3411696</v>
      </c>
      <c r="B5248" t="s">
        <v>26694</v>
      </c>
      <c r="C5248" t="str">
        <f>"9780888641441"</f>
        <v>9780888641441</v>
      </c>
      <c r="D5248" t="str">
        <f>"9781459304321"</f>
        <v>9781459304321</v>
      </c>
      <c r="E5248" t="s">
        <v>26075</v>
      </c>
      <c r="F5248" t="s">
        <v>26075</v>
      </c>
      <c r="G5248" s="1">
        <v>32873</v>
      </c>
      <c r="J5248" t="s">
        <v>26695</v>
      </c>
      <c r="K5248" t="s">
        <v>291</v>
      </c>
      <c r="L5248" t="s">
        <v>26696</v>
      </c>
      <c r="M5248">
        <v>940.81</v>
      </c>
      <c r="N5248" t="s">
        <v>26697</v>
      </c>
      <c r="O5248" t="s">
        <v>26</v>
      </c>
      <c r="P5248">
        <v>7.5</v>
      </c>
      <c r="Q5248">
        <v>9.3800000000000008</v>
      </c>
      <c r="R5248">
        <v>7.5</v>
      </c>
      <c r="S5248">
        <v>11.25</v>
      </c>
      <c r="T5248" t="s">
        <v>26698</v>
      </c>
    </row>
    <row r="5249" spans="1:20">
      <c r="A5249">
        <v>3411697</v>
      </c>
      <c r="B5249" t="s">
        <v>26699</v>
      </c>
      <c r="C5249" t="str">
        <f>"9780888642608"</f>
        <v>9780888642608</v>
      </c>
      <c r="D5249" t="str">
        <f>"9781459300491"</f>
        <v>9781459300491</v>
      </c>
      <c r="E5249" t="s">
        <v>26075</v>
      </c>
      <c r="F5249" t="s">
        <v>26075</v>
      </c>
      <c r="G5249" s="1">
        <v>34304</v>
      </c>
      <c r="J5249" t="s">
        <v>26700</v>
      </c>
      <c r="K5249" t="s">
        <v>263</v>
      </c>
      <c r="L5249" t="s">
        <v>26701</v>
      </c>
      <c r="N5249" t="s">
        <v>26702</v>
      </c>
      <c r="O5249" t="s">
        <v>26</v>
      </c>
      <c r="P5249">
        <v>24.95</v>
      </c>
      <c r="Q5249">
        <v>31.19</v>
      </c>
      <c r="R5249">
        <v>24.95</v>
      </c>
      <c r="S5249">
        <v>37.43</v>
      </c>
      <c r="T5249" t="s">
        <v>26703</v>
      </c>
    </row>
    <row r="5250" spans="1:20">
      <c r="A5250">
        <v>3411698</v>
      </c>
      <c r="B5250" t="s">
        <v>26704</v>
      </c>
      <c r="C5250" t="str">
        <f>"9780888640697"</f>
        <v>9780888640697</v>
      </c>
      <c r="D5250" t="str">
        <f>"9781459303911"</f>
        <v>9781459303911</v>
      </c>
      <c r="E5250" t="s">
        <v>26075</v>
      </c>
      <c r="F5250" t="s">
        <v>26075</v>
      </c>
      <c r="G5250" s="1">
        <v>29190</v>
      </c>
      <c r="J5250" t="s">
        <v>26705</v>
      </c>
      <c r="K5250" t="s">
        <v>291</v>
      </c>
      <c r="L5250" t="s">
        <v>26706</v>
      </c>
      <c r="N5250" t="s">
        <v>26707</v>
      </c>
      <c r="O5250" t="s">
        <v>26</v>
      </c>
      <c r="P5250">
        <v>7.5</v>
      </c>
      <c r="Q5250">
        <v>9.3800000000000008</v>
      </c>
      <c r="R5250">
        <v>7.5</v>
      </c>
      <c r="S5250">
        <v>11.25</v>
      </c>
      <c r="T5250" t="s">
        <v>26708</v>
      </c>
    </row>
    <row r="5251" spans="1:20">
      <c r="A5251">
        <v>3411699</v>
      </c>
      <c r="B5251" t="s">
        <v>26709</v>
      </c>
      <c r="C5251" t="str">
        <f>"9780888642684"</f>
        <v>9780888642684</v>
      </c>
      <c r="D5251" t="str">
        <f>"9781459300873"</f>
        <v>9781459300873</v>
      </c>
      <c r="E5251" t="s">
        <v>26075</v>
      </c>
      <c r="F5251" t="s">
        <v>26075</v>
      </c>
      <c r="G5251" s="1">
        <v>34700</v>
      </c>
      <c r="I5251" t="s">
        <v>26501</v>
      </c>
      <c r="J5251" t="s">
        <v>26710</v>
      </c>
      <c r="K5251" t="s">
        <v>263</v>
      </c>
      <c r="L5251" t="s">
        <v>26711</v>
      </c>
      <c r="M5251">
        <v>307.76097123</v>
      </c>
      <c r="N5251" t="s">
        <v>26712</v>
      </c>
      <c r="O5251" t="s">
        <v>26</v>
      </c>
      <c r="P5251">
        <v>24.95</v>
      </c>
      <c r="Q5251">
        <v>31.19</v>
      </c>
      <c r="R5251">
        <v>24.95</v>
      </c>
      <c r="S5251">
        <v>37.43</v>
      </c>
      <c r="T5251" t="s">
        <v>26713</v>
      </c>
    </row>
    <row r="5252" spans="1:20">
      <c r="A5252">
        <v>3411700</v>
      </c>
      <c r="B5252" t="s">
        <v>26714</v>
      </c>
      <c r="C5252" t="str">
        <f>"9780888640574"</f>
        <v>9780888640574</v>
      </c>
      <c r="D5252" t="str">
        <f>"9781459304789"</f>
        <v>9781459304789</v>
      </c>
      <c r="E5252" t="s">
        <v>26075</v>
      </c>
      <c r="F5252" t="s">
        <v>26075</v>
      </c>
      <c r="G5252" s="1">
        <v>30286</v>
      </c>
      <c r="J5252" t="s">
        <v>26715</v>
      </c>
      <c r="K5252" t="s">
        <v>1150</v>
      </c>
      <c r="L5252" t="s">
        <v>26716</v>
      </c>
      <c r="N5252" t="s">
        <v>26717</v>
      </c>
      <c r="O5252" t="s">
        <v>26</v>
      </c>
      <c r="P5252">
        <v>5</v>
      </c>
      <c r="Q5252">
        <v>6.25</v>
      </c>
      <c r="R5252">
        <v>5</v>
      </c>
      <c r="S5252">
        <v>7.5</v>
      </c>
      <c r="T5252" t="s">
        <v>26718</v>
      </c>
    </row>
    <row r="5253" spans="1:20">
      <c r="A5253">
        <v>3411701</v>
      </c>
      <c r="B5253" t="s">
        <v>26719</v>
      </c>
      <c r="C5253" t="str">
        <f>"9780888640512"</f>
        <v>9780888640512</v>
      </c>
      <c r="D5253" t="str">
        <f>"9781459303942"</f>
        <v>9781459303942</v>
      </c>
      <c r="E5253" t="s">
        <v>26075</v>
      </c>
      <c r="F5253" t="s">
        <v>26075</v>
      </c>
      <c r="G5253" s="1">
        <v>28825</v>
      </c>
      <c r="J5253" t="s">
        <v>26106</v>
      </c>
      <c r="K5253" t="s">
        <v>291</v>
      </c>
      <c r="L5253" t="s">
        <v>26720</v>
      </c>
      <c r="N5253" t="s">
        <v>26721</v>
      </c>
      <c r="O5253" t="s">
        <v>26</v>
      </c>
      <c r="P5253">
        <v>12.5</v>
      </c>
      <c r="Q5253">
        <v>15.63</v>
      </c>
      <c r="R5253">
        <v>12.5</v>
      </c>
      <c r="S5253">
        <v>18.75</v>
      </c>
      <c r="T5253" t="s">
        <v>26722</v>
      </c>
    </row>
    <row r="5254" spans="1:20">
      <c r="A5254">
        <v>3411702</v>
      </c>
      <c r="B5254" t="s">
        <v>26723</v>
      </c>
      <c r="C5254" t="str">
        <f>"9780888640451"</f>
        <v>9780888640451</v>
      </c>
      <c r="D5254" t="str">
        <f>"9781459303782"</f>
        <v>9781459303782</v>
      </c>
      <c r="E5254" t="s">
        <v>26075</v>
      </c>
      <c r="F5254" t="s">
        <v>26075</v>
      </c>
      <c r="G5254" s="1">
        <v>30651</v>
      </c>
      <c r="J5254" t="s">
        <v>26724</v>
      </c>
      <c r="K5254" t="s">
        <v>257</v>
      </c>
      <c r="L5254" t="s">
        <v>26725</v>
      </c>
      <c r="N5254" t="s">
        <v>26726</v>
      </c>
      <c r="O5254" t="s">
        <v>26</v>
      </c>
      <c r="P5254">
        <v>7.5</v>
      </c>
      <c r="Q5254">
        <v>9.3800000000000008</v>
      </c>
      <c r="R5254">
        <v>7.5</v>
      </c>
      <c r="S5254">
        <v>11.25</v>
      </c>
      <c r="T5254" t="s">
        <v>26727</v>
      </c>
    </row>
    <row r="5255" spans="1:20">
      <c r="A5255">
        <v>3411703</v>
      </c>
      <c r="B5255" t="s">
        <v>26728</v>
      </c>
      <c r="C5255" t="str">
        <f>"9780888640673"</f>
        <v>9780888640673</v>
      </c>
      <c r="D5255" t="str">
        <f>"9781459303904"</f>
        <v>9781459303904</v>
      </c>
      <c r="E5255" t="s">
        <v>26075</v>
      </c>
      <c r="F5255" t="s">
        <v>26075</v>
      </c>
      <c r="G5255" s="1">
        <v>29190</v>
      </c>
      <c r="J5255" t="s">
        <v>26729</v>
      </c>
      <c r="K5255" t="s">
        <v>1471</v>
      </c>
      <c r="L5255" t="s">
        <v>26730</v>
      </c>
      <c r="N5255" t="s">
        <v>26731</v>
      </c>
      <c r="O5255" t="s">
        <v>26</v>
      </c>
      <c r="P5255">
        <v>25</v>
      </c>
      <c r="Q5255">
        <v>31.25</v>
      </c>
      <c r="R5255">
        <v>25</v>
      </c>
      <c r="S5255">
        <v>37.5</v>
      </c>
      <c r="T5255" t="s">
        <v>26732</v>
      </c>
    </row>
    <row r="5256" spans="1:20">
      <c r="A5256">
        <v>3411704</v>
      </c>
      <c r="B5256" t="s">
        <v>26733</v>
      </c>
      <c r="C5256" t="str">
        <f>"9780888640864"</f>
        <v>9780888640864</v>
      </c>
      <c r="D5256" t="str">
        <f>"9781459304000"</f>
        <v>9781459304000</v>
      </c>
      <c r="E5256" t="s">
        <v>26075</v>
      </c>
      <c r="F5256" t="s">
        <v>26075</v>
      </c>
      <c r="G5256" s="1">
        <v>31017</v>
      </c>
      <c r="J5256" t="s">
        <v>26734</v>
      </c>
      <c r="K5256" t="s">
        <v>291</v>
      </c>
      <c r="L5256" t="s">
        <v>26735</v>
      </c>
      <c r="N5256" t="s">
        <v>26736</v>
      </c>
      <c r="O5256" t="s">
        <v>26</v>
      </c>
      <c r="P5256">
        <v>24.95</v>
      </c>
      <c r="Q5256">
        <v>31.19</v>
      </c>
      <c r="R5256">
        <v>24.95</v>
      </c>
      <c r="S5256">
        <v>37.43</v>
      </c>
      <c r="T5256" t="s">
        <v>26737</v>
      </c>
    </row>
    <row r="5257" spans="1:20">
      <c r="A5257">
        <v>3411705</v>
      </c>
      <c r="B5257" t="s">
        <v>26738</v>
      </c>
      <c r="C5257" t="str">
        <f>"9780888642653"</f>
        <v>9780888642653</v>
      </c>
      <c r="D5257" t="str">
        <f>"9781459301658"</f>
        <v>9781459301658</v>
      </c>
      <c r="E5257" t="s">
        <v>26075</v>
      </c>
      <c r="F5257" t="s">
        <v>26075</v>
      </c>
      <c r="G5257" s="1">
        <v>34669</v>
      </c>
      <c r="J5257" t="s">
        <v>26739</v>
      </c>
      <c r="K5257" t="s">
        <v>1464</v>
      </c>
      <c r="L5257" t="s">
        <v>26740</v>
      </c>
      <c r="N5257" t="s">
        <v>26741</v>
      </c>
      <c r="O5257" t="s">
        <v>26</v>
      </c>
      <c r="P5257">
        <v>19.95</v>
      </c>
      <c r="Q5257">
        <v>24.94</v>
      </c>
      <c r="R5257">
        <v>19.95</v>
      </c>
      <c r="S5257">
        <v>29.93</v>
      </c>
      <c r="T5257" t="s">
        <v>26742</v>
      </c>
    </row>
    <row r="5258" spans="1:20">
      <c r="A5258">
        <v>3411706</v>
      </c>
      <c r="B5258" t="s">
        <v>26743</v>
      </c>
      <c r="C5258" t="str">
        <f>"9780888642158"</f>
        <v>9780888642158</v>
      </c>
      <c r="D5258" t="str">
        <f>"9781459304666"</f>
        <v>9781459304666</v>
      </c>
      <c r="E5258" t="s">
        <v>26075</v>
      </c>
      <c r="F5258" t="s">
        <v>26075</v>
      </c>
      <c r="G5258" s="1">
        <v>33208</v>
      </c>
      <c r="J5258" t="s">
        <v>26744</v>
      </c>
      <c r="K5258" t="s">
        <v>3230</v>
      </c>
      <c r="L5258" t="s">
        <v>26745</v>
      </c>
      <c r="N5258" t="s">
        <v>26746</v>
      </c>
      <c r="O5258" t="s">
        <v>26</v>
      </c>
      <c r="P5258">
        <v>75</v>
      </c>
      <c r="Q5258">
        <v>93.75</v>
      </c>
      <c r="R5258">
        <v>75</v>
      </c>
      <c r="S5258">
        <v>112.5</v>
      </c>
      <c r="T5258" t="s">
        <v>26747</v>
      </c>
    </row>
    <row r="5259" spans="1:20">
      <c r="A5259">
        <v>3411707</v>
      </c>
      <c r="B5259" t="s">
        <v>26748</v>
      </c>
      <c r="C5259" t="str">
        <f>"9780888641373"</f>
        <v>9780888641373</v>
      </c>
      <c r="D5259" t="str">
        <f>"9781459304802"</f>
        <v>9781459304802</v>
      </c>
      <c r="E5259" t="s">
        <v>26075</v>
      </c>
      <c r="F5259" t="s">
        <v>26075</v>
      </c>
      <c r="G5259" s="1">
        <v>32112</v>
      </c>
      <c r="J5259" t="s">
        <v>26749</v>
      </c>
      <c r="K5259" t="s">
        <v>7075</v>
      </c>
      <c r="L5259" t="s">
        <v>26750</v>
      </c>
      <c r="N5259" t="s">
        <v>26751</v>
      </c>
      <c r="O5259" t="s">
        <v>26</v>
      </c>
      <c r="P5259">
        <v>14.5</v>
      </c>
      <c r="Q5259">
        <v>18.13</v>
      </c>
      <c r="R5259">
        <v>14.5</v>
      </c>
      <c r="S5259">
        <v>21.75</v>
      </c>
      <c r="T5259" t="s">
        <v>26752</v>
      </c>
    </row>
    <row r="5260" spans="1:20">
      <c r="A5260">
        <v>3411708</v>
      </c>
      <c r="B5260" t="s">
        <v>26753</v>
      </c>
      <c r="C5260" t="str">
        <f>"9780888643056"</f>
        <v>9780888643056</v>
      </c>
      <c r="D5260" t="str">
        <f>"9781459303669"</f>
        <v>9781459303669</v>
      </c>
      <c r="E5260" t="s">
        <v>26075</v>
      </c>
      <c r="F5260" t="s">
        <v>26075</v>
      </c>
      <c r="G5260" s="1">
        <v>35551</v>
      </c>
      <c r="J5260" t="s">
        <v>26754</v>
      </c>
      <c r="K5260" t="s">
        <v>291</v>
      </c>
      <c r="L5260" t="s">
        <v>26755</v>
      </c>
      <c r="M5260">
        <v>943.08799999999997</v>
      </c>
      <c r="N5260" t="s">
        <v>26756</v>
      </c>
      <c r="O5260" t="s">
        <v>26</v>
      </c>
      <c r="P5260">
        <v>29.95</v>
      </c>
      <c r="Q5260">
        <v>37.44</v>
      </c>
      <c r="R5260">
        <v>29.95</v>
      </c>
      <c r="S5260">
        <v>44.93</v>
      </c>
      <c r="T5260" t="s">
        <v>26757</v>
      </c>
    </row>
    <row r="5261" spans="1:20">
      <c r="A5261">
        <v>3411709</v>
      </c>
      <c r="B5261" t="s">
        <v>26758</v>
      </c>
      <c r="C5261" t="str">
        <f>"9780888641274"</f>
        <v>9780888641274</v>
      </c>
      <c r="D5261" t="str">
        <f>"9781459304819"</f>
        <v>9781459304819</v>
      </c>
      <c r="E5261" t="s">
        <v>26075</v>
      </c>
      <c r="F5261" t="s">
        <v>26075</v>
      </c>
      <c r="G5261" s="1">
        <v>32112</v>
      </c>
      <c r="J5261" t="s">
        <v>26759</v>
      </c>
      <c r="K5261" t="s">
        <v>4081</v>
      </c>
      <c r="L5261" t="s">
        <v>26760</v>
      </c>
      <c r="N5261" t="s">
        <v>26761</v>
      </c>
      <c r="O5261" t="s">
        <v>26</v>
      </c>
      <c r="P5261">
        <v>6.5</v>
      </c>
      <c r="Q5261">
        <v>8.1300000000000008</v>
      </c>
      <c r="R5261">
        <v>6.5</v>
      </c>
      <c r="S5261">
        <v>9.75</v>
      </c>
      <c r="T5261" t="s">
        <v>26762</v>
      </c>
    </row>
    <row r="5262" spans="1:20">
      <c r="A5262">
        <v>3411710</v>
      </c>
      <c r="B5262" t="s">
        <v>26763</v>
      </c>
      <c r="C5262" t="str">
        <f>"9780888640895"</f>
        <v>9780888640895</v>
      </c>
      <c r="D5262" t="str">
        <f>"9781459304017"</f>
        <v>9781459304017</v>
      </c>
      <c r="E5262" t="s">
        <v>26075</v>
      </c>
      <c r="F5262" t="s">
        <v>26075</v>
      </c>
      <c r="G5262" s="1">
        <v>31017</v>
      </c>
      <c r="J5262" t="s">
        <v>26764</v>
      </c>
      <c r="K5262" t="s">
        <v>179</v>
      </c>
      <c r="L5262" t="s">
        <v>26765</v>
      </c>
      <c r="N5262" t="s">
        <v>26766</v>
      </c>
      <c r="O5262" t="s">
        <v>26</v>
      </c>
      <c r="P5262">
        <v>34.950000000000003</v>
      </c>
      <c r="Q5262">
        <v>43.69</v>
      </c>
      <c r="R5262">
        <v>34.950000000000003</v>
      </c>
      <c r="S5262">
        <v>52.43</v>
      </c>
      <c r="T5262" t="s">
        <v>26767</v>
      </c>
    </row>
    <row r="5263" spans="1:20">
      <c r="A5263">
        <v>3411711</v>
      </c>
      <c r="B5263" t="s">
        <v>26768</v>
      </c>
      <c r="C5263" t="str">
        <f>"9780888641090"</f>
        <v>9780888641090</v>
      </c>
      <c r="D5263" t="str">
        <f>"9781459304277"</f>
        <v>9781459304277</v>
      </c>
      <c r="E5263" t="s">
        <v>26075</v>
      </c>
      <c r="F5263" t="s">
        <v>26075</v>
      </c>
      <c r="G5263" s="1">
        <v>31747</v>
      </c>
      <c r="J5263" t="s">
        <v>26769</v>
      </c>
      <c r="K5263" t="s">
        <v>1892</v>
      </c>
      <c r="L5263" t="s">
        <v>26770</v>
      </c>
      <c r="N5263" t="s">
        <v>26771</v>
      </c>
      <c r="O5263" t="s">
        <v>26</v>
      </c>
      <c r="P5263">
        <v>8.5</v>
      </c>
      <c r="Q5263">
        <v>10.63</v>
      </c>
      <c r="R5263">
        <v>8.5</v>
      </c>
      <c r="S5263">
        <v>12.75</v>
      </c>
      <c r="T5263" t="s">
        <v>26772</v>
      </c>
    </row>
    <row r="5264" spans="1:20">
      <c r="A5264">
        <v>3411712</v>
      </c>
      <c r="B5264" t="s">
        <v>26773</v>
      </c>
      <c r="C5264" t="str">
        <f>"9780888642127"</f>
        <v>9780888642127</v>
      </c>
      <c r="D5264" t="str">
        <f>"9781459304765"</f>
        <v>9781459304765</v>
      </c>
      <c r="E5264" t="s">
        <v>26075</v>
      </c>
      <c r="F5264" t="s">
        <v>26075</v>
      </c>
      <c r="G5264" s="1">
        <v>32843</v>
      </c>
      <c r="J5264" t="s">
        <v>26774</v>
      </c>
      <c r="K5264" t="s">
        <v>291</v>
      </c>
      <c r="L5264" t="s">
        <v>26775</v>
      </c>
      <c r="N5264" t="s">
        <v>26776</v>
      </c>
      <c r="O5264" t="s">
        <v>26</v>
      </c>
      <c r="P5264">
        <v>15</v>
      </c>
      <c r="Q5264">
        <v>18.75</v>
      </c>
      <c r="R5264">
        <v>15</v>
      </c>
      <c r="S5264">
        <v>22.5</v>
      </c>
      <c r="T5264" t="s">
        <v>26777</v>
      </c>
    </row>
    <row r="5265" spans="1:20">
      <c r="A5265">
        <v>3411713</v>
      </c>
      <c r="B5265" t="s">
        <v>26778</v>
      </c>
      <c r="C5265" t="str">
        <f>"9780888640253"</f>
        <v>9780888640253</v>
      </c>
      <c r="D5265" t="str">
        <f>"9781459304796"</f>
        <v>9781459304796</v>
      </c>
      <c r="E5265" t="s">
        <v>26075</v>
      </c>
      <c r="F5265" t="s">
        <v>26075</v>
      </c>
      <c r="G5265" s="1">
        <v>29556</v>
      </c>
      <c r="J5265" t="s">
        <v>26779</v>
      </c>
      <c r="K5265" t="s">
        <v>257</v>
      </c>
      <c r="L5265" t="s">
        <v>26780</v>
      </c>
      <c r="N5265" t="s">
        <v>26781</v>
      </c>
      <c r="O5265" t="s">
        <v>26</v>
      </c>
      <c r="P5265">
        <v>25</v>
      </c>
      <c r="Q5265">
        <v>31.25</v>
      </c>
      <c r="R5265">
        <v>25</v>
      </c>
      <c r="S5265">
        <v>37.5</v>
      </c>
      <c r="T5265" t="s">
        <v>26782</v>
      </c>
    </row>
    <row r="5266" spans="1:20">
      <c r="A5266">
        <v>3411714</v>
      </c>
      <c r="B5266" t="s">
        <v>26783</v>
      </c>
      <c r="C5266" t="str">
        <f>"9780888640109"</f>
        <v>9780888640109</v>
      </c>
      <c r="D5266" t="str">
        <f>"9781459304178"</f>
        <v>9781459304178</v>
      </c>
      <c r="E5266" t="s">
        <v>26075</v>
      </c>
      <c r="F5266" t="s">
        <v>26075</v>
      </c>
      <c r="G5266" s="1">
        <v>27364</v>
      </c>
      <c r="J5266" t="s">
        <v>26279</v>
      </c>
      <c r="K5266" t="s">
        <v>7075</v>
      </c>
      <c r="L5266" t="s">
        <v>26784</v>
      </c>
      <c r="N5266" t="s">
        <v>26281</v>
      </c>
      <c r="O5266" t="s">
        <v>26</v>
      </c>
      <c r="P5266">
        <v>7.5</v>
      </c>
      <c r="Q5266">
        <v>9.3800000000000008</v>
      </c>
      <c r="R5266">
        <v>7.5</v>
      </c>
      <c r="S5266">
        <v>11.25</v>
      </c>
      <c r="T5266" t="s">
        <v>26785</v>
      </c>
    </row>
    <row r="5267" spans="1:20">
      <c r="A5267">
        <v>3411715</v>
      </c>
      <c r="B5267" t="s">
        <v>26786</v>
      </c>
      <c r="C5267" t="str">
        <f>"9780888642561"</f>
        <v>9780888642561</v>
      </c>
      <c r="D5267" t="str">
        <f>"9781459300965"</f>
        <v>9781459300965</v>
      </c>
      <c r="E5267" t="s">
        <v>26075</v>
      </c>
      <c r="F5267" t="s">
        <v>26075</v>
      </c>
      <c r="G5267" s="1">
        <v>34304</v>
      </c>
      <c r="J5267" t="s">
        <v>26787</v>
      </c>
      <c r="K5267" t="s">
        <v>305</v>
      </c>
      <c r="L5267" t="s">
        <v>26788</v>
      </c>
      <c r="N5267" t="s">
        <v>26789</v>
      </c>
      <c r="O5267" t="s">
        <v>26</v>
      </c>
      <c r="P5267">
        <v>11.5</v>
      </c>
      <c r="Q5267">
        <v>14.38</v>
      </c>
      <c r="R5267">
        <v>11.5</v>
      </c>
      <c r="S5267">
        <v>17.25</v>
      </c>
      <c r="T5267" t="s">
        <v>26790</v>
      </c>
    </row>
    <row r="5268" spans="1:20">
      <c r="A5268">
        <v>3411716</v>
      </c>
      <c r="B5268" t="s">
        <v>26791</v>
      </c>
      <c r="C5268" t="str">
        <f>"9780888642325"</f>
        <v>9780888642325</v>
      </c>
      <c r="D5268" t="str">
        <f>"9781459334410"</f>
        <v>9781459334410</v>
      </c>
      <c r="E5268" t="s">
        <v>26075</v>
      </c>
      <c r="F5268" t="s">
        <v>26075</v>
      </c>
      <c r="G5268" s="1">
        <v>32843</v>
      </c>
      <c r="J5268" t="s">
        <v>26792</v>
      </c>
      <c r="K5268" t="s">
        <v>305</v>
      </c>
      <c r="L5268" t="s">
        <v>26793</v>
      </c>
      <c r="N5268" t="s">
        <v>26794</v>
      </c>
      <c r="O5268" t="s">
        <v>26</v>
      </c>
      <c r="P5268">
        <v>16.95</v>
      </c>
      <c r="Q5268">
        <v>21.19</v>
      </c>
      <c r="R5268">
        <v>16.95</v>
      </c>
      <c r="S5268">
        <v>25.43</v>
      </c>
      <c r="T5268" t="s">
        <v>26795</v>
      </c>
    </row>
    <row r="5269" spans="1:20">
      <c r="A5269">
        <v>3411717</v>
      </c>
      <c r="B5269" t="s">
        <v>26796</v>
      </c>
      <c r="C5269" t="str">
        <f>"9780888642547"</f>
        <v>9780888642547</v>
      </c>
      <c r="D5269" t="str">
        <f>"9781459304024"</f>
        <v>9781459304024</v>
      </c>
      <c r="E5269" t="s">
        <v>26075</v>
      </c>
      <c r="F5269" t="s">
        <v>26075</v>
      </c>
      <c r="G5269" s="1">
        <v>33939</v>
      </c>
      <c r="J5269" t="s">
        <v>26076</v>
      </c>
      <c r="K5269" t="s">
        <v>467</v>
      </c>
      <c r="L5269" t="s">
        <v>26797</v>
      </c>
      <c r="N5269" t="s">
        <v>26798</v>
      </c>
      <c r="O5269" t="s">
        <v>26</v>
      </c>
      <c r="P5269">
        <v>5</v>
      </c>
      <c r="Q5269">
        <v>6.25</v>
      </c>
      <c r="R5269">
        <v>5</v>
      </c>
      <c r="S5269">
        <v>7.5</v>
      </c>
      <c r="T5269" t="s">
        <v>26799</v>
      </c>
    </row>
    <row r="5270" spans="1:20">
      <c r="A5270">
        <v>3411955</v>
      </c>
      <c r="B5270" t="s">
        <v>26800</v>
      </c>
      <c r="C5270" t="str">
        <f>"9780774808989"</f>
        <v>9780774808989</v>
      </c>
      <c r="D5270" t="str">
        <f>"9780774850520"</f>
        <v>9780774850520</v>
      </c>
      <c r="E5270" t="s">
        <v>26801</v>
      </c>
      <c r="F5270" t="s">
        <v>26801</v>
      </c>
      <c r="G5270" s="1">
        <v>37987</v>
      </c>
      <c r="J5270" t="s">
        <v>26802</v>
      </c>
      <c r="K5270" t="s">
        <v>291</v>
      </c>
      <c r="L5270" t="s">
        <v>26803</v>
      </c>
      <c r="M5270">
        <v>952.05</v>
      </c>
      <c r="N5270" t="s">
        <v>26804</v>
      </c>
      <c r="O5270" t="s">
        <v>26</v>
      </c>
      <c r="R5270">
        <v>99</v>
      </c>
      <c r="T5270" t="s">
        <v>26805</v>
      </c>
    </row>
    <row r="5271" spans="1:20">
      <c r="A5271">
        <v>3411956</v>
      </c>
      <c r="B5271" t="s">
        <v>26806</v>
      </c>
      <c r="C5271" t="str">
        <f>"9780774808507"</f>
        <v>9780774808507</v>
      </c>
      <c r="D5271" t="str">
        <f>"9780774850124"</f>
        <v>9780774850124</v>
      </c>
      <c r="E5271" t="s">
        <v>26801</v>
      </c>
      <c r="F5271" t="s">
        <v>26801</v>
      </c>
      <c r="G5271" s="1">
        <v>37377</v>
      </c>
      <c r="J5271" t="s">
        <v>26807</v>
      </c>
      <c r="K5271" t="s">
        <v>263</v>
      </c>
      <c r="L5271" t="s">
        <v>26808</v>
      </c>
      <c r="M5271">
        <v>307.12</v>
      </c>
      <c r="N5271" t="s">
        <v>26809</v>
      </c>
      <c r="O5271" t="s">
        <v>26</v>
      </c>
      <c r="R5271">
        <v>99</v>
      </c>
      <c r="T5271" t="s">
        <v>26810</v>
      </c>
    </row>
    <row r="5272" spans="1:20">
      <c r="A5272">
        <v>3411957</v>
      </c>
      <c r="B5272" t="s">
        <v>26811</v>
      </c>
      <c r="C5272" t="str">
        <f>"9780774806886"</f>
        <v>9780774806886</v>
      </c>
      <c r="D5272" t="str">
        <f>"9780774850636"</f>
        <v>9780774850636</v>
      </c>
      <c r="E5272" t="s">
        <v>26801</v>
      </c>
      <c r="F5272" t="s">
        <v>26801</v>
      </c>
      <c r="G5272" s="1">
        <v>36800</v>
      </c>
      <c r="J5272" t="s">
        <v>26812</v>
      </c>
      <c r="K5272" t="s">
        <v>727</v>
      </c>
      <c r="L5272" t="s">
        <v>26813</v>
      </c>
      <c r="M5272" t="s">
        <v>26814</v>
      </c>
      <c r="N5272" t="s">
        <v>26815</v>
      </c>
      <c r="O5272" t="s">
        <v>26</v>
      </c>
      <c r="R5272">
        <v>99</v>
      </c>
      <c r="T5272" t="s">
        <v>26816</v>
      </c>
    </row>
    <row r="5273" spans="1:20">
      <c r="A5273">
        <v>3411958</v>
      </c>
      <c r="B5273" t="s">
        <v>26817</v>
      </c>
      <c r="C5273" t="str">
        <f>"9780774810425"</f>
        <v>9780774810425</v>
      </c>
      <c r="D5273" t="str">
        <f>"9780774850575"</f>
        <v>9780774850575</v>
      </c>
      <c r="E5273" t="s">
        <v>26801</v>
      </c>
      <c r="F5273" t="s">
        <v>26801</v>
      </c>
      <c r="G5273" s="1">
        <v>39356</v>
      </c>
      <c r="I5273" t="s">
        <v>26818</v>
      </c>
      <c r="J5273" t="s">
        <v>26819</v>
      </c>
      <c r="K5273" t="s">
        <v>525</v>
      </c>
      <c r="L5273" t="s">
        <v>26820</v>
      </c>
      <c r="M5273">
        <v>342.71</v>
      </c>
      <c r="N5273" t="s">
        <v>26821</v>
      </c>
      <c r="O5273" t="s">
        <v>26</v>
      </c>
      <c r="R5273">
        <v>99</v>
      </c>
      <c r="T5273" t="s">
        <v>26822</v>
      </c>
    </row>
    <row r="5274" spans="1:20">
      <c r="A5274">
        <v>3411959</v>
      </c>
      <c r="B5274" t="s">
        <v>26823</v>
      </c>
      <c r="C5274" t="str">
        <f>"9780774808118"</f>
        <v>9780774808118</v>
      </c>
      <c r="D5274" t="str">
        <f>"9780774850643"</f>
        <v>9780774850643</v>
      </c>
      <c r="E5274" t="s">
        <v>26801</v>
      </c>
      <c r="F5274" t="s">
        <v>26801</v>
      </c>
      <c r="G5274" s="1">
        <v>36526</v>
      </c>
      <c r="J5274" t="s">
        <v>26824</v>
      </c>
      <c r="K5274" t="s">
        <v>291</v>
      </c>
      <c r="L5274" t="s">
        <v>26825</v>
      </c>
      <c r="M5274" t="s">
        <v>26826</v>
      </c>
      <c r="N5274" t="s">
        <v>26827</v>
      </c>
      <c r="O5274" t="s">
        <v>26</v>
      </c>
      <c r="R5274">
        <v>99</v>
      </c>
      <c r="T5274" t="s">
        <v>26828</v>
      </c>
    </row>
    <row r="5275" spans="1:20">
      <c r="A5275">
        <v>3411960</v>
      </c>
      <c r="B5275" t="s">
        <v>26829</v>
      </c>
      <c r="C5275" t="str">
        <f>"9780774809627"</f>
        <v>9780774809627</v>
      </c>
      <c r="D5275" t="str">
        <f>"9780774850384"</f>
        <v>9780774850384</v>
      </c>
      <c r="E5275" t="s">
        <v>26801</v>
      </c>
      <c r="F5275" t="s">
        <v>26801</v>
      </c>
      <c r="G5275" s="1">
        <v>39356</v>
      </c>
      <c r="J5275" t="s">
        <v>26830</v>
      </c>
      <c r="K5275" t="s">
        <v>26831</v>
      </c>
      <c r="L5275" t="s">
        <v>26832</v>
      </c>
      <c r="M5275" t="s">
        <v>26833</v>
      </c>
      <c r="N5275" t="s">
        <v>26834</v>
      </c>
      <c r="O5275" t="s">
        <v>26</v>
      </c>
      <c r="R5275">
        <v>99</v>
      </c>
      <c r="T5275" t="s">
        <v>26835</v>
      </c>
    </row>
    <row r="5276" spans="1:20">
      <c r="A5276">
        <v>3411961</v>
      </c>
      <c r="B5276" t="s">
        <v>26836</v>
      </c>
      <c r="C5276" t="str">
        <f>"9780774809986"</f>
        <v>9780774809986</v>
      </c>
      <c r="D5276" t="str">
        <f>"9780774850582"</f>
        <v>9780774850582</v>
      </c>
      <c r="E5276" t="s">
        <v>26801</v>
      </c>
      <c r="F5276" t="s">
        <v>26801</v>
      </c>
      <c r="G5276" s="1">
        <v>37742</v>
      </c>
      <c r="J5276" t="s">
        <v>26837</v>
      </c>
      <c r="K5276" t="s">
        <v>416</v>
      </c>
      <c r="L5276" t="s">
        <v>26838</v>
      </c>
      <c r="M5276" t="s">
        <v>26839</v>
      </c>
      <c r="N5276" t="s">
        <v>26840</v>
      </c>
      <c r="O5276" t="s">
        <v>26</v>
      </c>
      <c r="R5276">
        <v>99</v>
      </c>
      <c r="T5276" t="s">
        <v>26841</v>
      </c>
    </row>
    <row r="5277" spans="1:20">
      <c r="A5277">
        <v>3411962</v>
      </c>
      <c r="B5277" t="s">
        <v>26842</v>
      </c>
      <c r="C5277" t="str">
        <f>"9780774809504"</f>
        <v>9780774809504</v>
      </c>
      <c r="D5277" t="str">
        <f>"9780774850278"</f>
        <v>9780774850278</v>
      </c>
      <c r="E5277" t="s">
        <v>26801</v>
      </c>
      <c r="F5277" t="s">
        <v>26801</v>
      </c>
      <c r="G5277" s="1">
        <v>37408</v>
      </c>
      <c r="I5277" t="s">
        <v>26843</v>
      </c>
      <c r="J5277" t="s">
        <v>26844</v>
      </c>
      <c r="K5277" t="s">
        <v>2114</v>
      </c>
      <c r="L5277" t="s">
        <v>26845</v>
      </c>
      <c r="M5277" t="s">
        <v>26846</v>
      </c>
      <c r="N5277" t="s">
        <v>26847</v>
      </c>
      <c r="O5277" t="s">
        <v>26</v>
      </c>
      <c r="R5277">
        <v>99</v>
      </c>
      <c r="T5277" t="s">
        <v>26848</v>
      </c>
    </row>
    <row r="5278" spans="1:20">
      <c r="A5278">
        <v>3411963</v>
      </c>
      <c r="B5278" t="s">
        <v>26849</v>
      </c>
      <c r="C5278" t="str">
        <f>"9780774808200"</f>
        <v>9780774808200</v>
      </c>
      <c r="D5278" t="str">
        <f>"9780774850018"</f>
        <v>9780774850018</v>
      </c>
      <c r="E5278" t="s">
        <v>26801</v>
      </c>
      <c r="F5278" t="s">
        <v>26801</v>
      </c>
      <c r="G5278" s="1">
        <v>37288</v>
      </c>
      <c r="J5278" t="s">
        <v>26850</v>
      </c>
      <c r="K5278" t="s">
        <v>263</v>
      </c>
      <c r="L5278" t="s">
        <v>26851</v>
      </c>
      <c r="M5278" t="s">
        <v>26852</v>
      </c>
      <c r="N5278" t="s">
        <v>26853</v>
      </c>
      <c r="O5278" t="s">
        <v>26</v>
      </c>
      <c r="R5278">
        <v>99</v>
      </c>
      <c r="T5278" t="s">
        <v>26854</v>
      </c>
    </row>
    <row r="5279" spans="1:20">
      <c r="A5279">
        <v>3411964</v>
      </c>
      <c r="B5279" t="s">
        <v>26855</v>
      </c>
      <c r="C5279" t="str">
        <f>"9780774808187"</f>
        <v>9780774808187</v>
      </c>
      <c r="D5279" t="str">
        <f>"9780774850148"</f>
        <v>9780774850148</v>
      </c>
      <c r="E5279" t="s">
        <v>26801</v>
      </c>
      <c r="F5279" t="s">
        <v>26801</v>
      </c>
      <c r="G5279" s="1">
        <v>37257</v>
      </c>
      <c r="J5279" t="s">
        <v>26856</v>
      </c>
      <c r="K5279" t="s">
        <v>550</v>
      </c>
      <c r="L5279" t="s">
        <v>26857</v>
      </c>
      <c r="M5279" t="s">
        <v>26858</v>
      </c>
      <c r="N5279" t="s">
        <v>26859</v>
      </c>
      <c r="O5279" t="s">
        <v>26</v>
      </c>
      <c r="R5279">
        <v>99</v>
      </c>
      <c r="T5279" t="s">
        <v>26860</v>
      </c>
    </row>
    <row r="5280" spans="1:20">
      <c r="A5280">
        <v>3411965</v>
      </c>
      <c r="B5280" t="s">
        <v>26861</v>
      </c>
      <c r="C5280" t="str">
        <f>"9780774808804"</f>
        <v>9780774808804</v>
      </c>
      <c r="D5280" t="str">
        <f>"9780774850223"</f>
        <v>9780774850223</v>
      </c>
      <c r="E5280" t="s">
        <v>26801</v>
      </c>
      <c r="F5280" t="s">
        <v>26801</v>
      </c>
      <c r="G5280" s="1">
        <v>37377</v>
      </c>
      <c r="J5280" t="s">
        <v>26862</v>
      </c>
      <c r="K5280" t="s">
        <v>568</v>
      </c>
      <c r="L5280" t="s">
        <v>26863</v>
      </c>
      <c r="M5280" t="s">
        <v>26864</v>
      </c>
      <c r="N5280" t="s">
        <v>26865</v>
      </c>
      <c r="O5280" t="s">
        <v>26</v>
      </c>
      <c r="R5280">
        <v>99</v>
      </c>
      <c r="T5280" t="s">
        <v>26866</v>
      </c>
    </row>
    <row r="5281" spans="1:20">
      <c r="A5281">
        <v>3411966</v>
      </c>
      <c r="B5281" t="s">
        <v>26867</v>
      </c>
      <c r="C5281" t="str">
        <f>"9780774807395"</f>
        <v>9780774807395</v>
      </c>
      <c r="D5281" t="str">
        <f>"9780774850742"</f>
        <v>9780774850742</v>
      </c>
      <c r="E5281" t="s">
        <v>26801</v>
      </c>
      <c r="F5281" t="s">
        <v>26801</v>
      </c>
      <c r="G5281" s="1">
        <v>36586</v>
      </c>
      <c r="J5281" t="s">
        <v>26868</v>
      </c>
      <c r="K5281" t="s">
        <v>4347</v>
      </c>
      <c r="L5281" t="s">
        <v>26869</v>
      </c>
      <c r="M5281" t="s">
        <v>26870</v>
      </c>
      <c r="N5281" t="s">
        <v>26871</v>
      </c>
      <c r="O5281" t="s">
        <v>26</v>
      </c>
      <c r="R5281">
        <v>115</v>
      </c>
      <c r="T5281" t="s">
        <v>26872</v>
      </c>
    </row>
    <row r="5282" spans="1:20">
      <c r="A5282">
        <v>3411967</v>
      </c>
      <c r="B5282" t="s">
        <v>26873</v>
      </c>
      <c r="C5282" t="str">
        <f>"9780774808422"</f>
        <v>9780774808422</v>
      </c>
      <c r="D5282" t="str">
        <f>"9780774850070"</f>
        <v>9780774850070</v>
      </c>
      <c r="E5282" t="s">
        <v>26801</v>
      </c>
      <c r="F5282" t="s">
        <v>26801</v>
      </c>
      <c r="G5282" s="1">
        <v>37257</v>
      </c>
      <c r="J5282" t="s">
        <v>15350</v>
      </c>
      <c r="K5282" t="s">
        <v>263</v>
      </c>
      <c r="L5282" t="s">
        <v>26874</v>
      </c>
      <c r="M5282">
        <v>305.42</v>
      </c>
      <c r="N5282" t="s">
        <v>26875</v>
      </c>
      <c r="O5282" t="s">
        <v>26</v>
      </c>
      <c r="R5282">
        <v>99</v>
      </c>
      <c r="T5282" t="s">
        <v>26876</v>
      </c>
    </row>
    <row r="5283" spans="1:20">
      <c r="A5283">
        <v>3411968</v>
      </c>
      <c r="B5283" t="s">
        <v>26877</v>
      </c>
      <c r="C5283" t="str">
        <f>"9780774808361"</f>
        <v>9780774808361</v>
      </c>
      <c r="D5283" t="str">
        <f>"9780774850025"</f>
        <v>9780774850025</v>
      </c>
      <c r="E5283" t="s">
        <v>26801</v>
      </c>
      <c r="F5283" t="s">
        <v>26801</v>
      </c>
      <c r="G5283" s="1">
        <v>37257</v>
      </c>
      <c r="I5283" t="s">
        <v>26843</v>
      </c>
      <c r="J5283" t="s">
        <v>26878</v>
      </c>
      <c r="K5283" t="s">
        <v>1011</v>
      </c>
      <c r="L5283" t="s">
        <v>26879</v>
      </c>
      <c r="M5283">
        <v>333.7</v>
      </c>
      <c r="N5283" t="s">
        <v>26880</v>
      </c>
      <c r="O5283" t="s">
        <v>26</v>
      </c>
      <c r="R5283">
        <v>99</v>
      </c>
      <c r="T5283" t="s">
        <v>26881</v>
      </c>
    </row>
    <row r="5284" spans="1:20">
      <c r="A5284">
        <v>3411969</v>
      </c>
      <c r="B5284" t="s">
        <v>26882</v>
      </c>
      <c r="C5284" t="str">
        <f>"9780774809894"</f>
        <v>9780774809894</v>
      </c>
      <c r="D5284" t="str">
        <f>"9780774850490"</f>
        <v>9780774850490</v>
      </c>
      <c r="E5284" t="s">
        <v>26801</v>
      </c>
      <c r="F5284" t="s">
        <v>26801</v>
      </c>
      <c r="G5284" s="1">
        <v>37987</v>
      </c>
      <c r="J5284" t="s">
        <v>26883</v>
      </c>
      <c r="K5284" t="s">
        <v>291</v>
      </c>
      <c r="L5284" t="s">
        <v>26884</v>
      </c>
      <c r="M5284" t="s">
        <v>26885</v>
      </c>
      <c r="N5284" t="s">
        <v>26886</v>
      </c>
      <c r="O5284" t="s">
        <v>26</v>
      </c>
      <c r="R5284">
        <v>99</v>
      </c>
      <c r="T5284" t="s">
        <v>26887</v>
      </c>
    </row>
    <row r="5285" spans="1:20">
      <c r="A5285">
        <v>3411970</v>
      </c>
      <c r="B5285" t="s">
        <v>26888</v>
      </c>
      <c r="C5285" t="str">
        <f>"9780774809924"</f>
        <v>9780774809924</v>
      </c>
      <c r="D5285" t="str">
        <f>"9780774850377"</f>
        <v>9780774850377</v>
      </c>
      <c r="E5285" t="s">
        <v>26801</v>
      </c>
      <c r="F5285" t="s">
        <v>26801</v>
      </c>
      <c r="G5285" s="1">
        <v>37530</v>
      </c>
      <c r="I5285" t="s">
        <v>26889</v>
      </c>
      <c r="J5285" t="s">
        <v>26890</v>
      </c>
      <c r="K5285" t="s">
        <v>416</v>
      </c>
      <c r="L5285" t="s">
        <v>26891</v>
      </c>
      <c r="M5285">
        <v>337</v>
      </c>
      <c r="N5285" t="s">
        <v>26892</v>
      </c>
      <c r="O5285" t="s">
        <v>26</v>
      </c>
      <c r="R5285">
        <v>99</v>
      </c>
      <c r="T5285" t="s">
        <v>26893</v>
      </c>
    </row>
    <row r="5286" spans="1:20">
      <c r="A5286">
        <v>3411971</v>
      </c>
      <c r="B5286" t="s">
        <v>26894</v>
      </c>
      <c r="C5286" t="str">
        <f>"9780774807739"</f>
        <v>9780774807739</v>
      </c>
      <c r="D5286" t="str">
        <f>"9780774850704"</f>
        <v>9780774850704</v>
      </c>
      <c r="E5286" t="s">
        <v>26801</v>
      </c>
      <c r="F5286" t="s">
        <v>26801</v>
      </c>
      <c r="G5286" s="1">
        <v>36831</v>
      </c>
      <c r="J5286" t="s">
        <v>26895</v>
      </c>
      <c r="K5286" t="s">
        <v>568</v>
      </c>
      <c r="L5286" t="s">
        <v>26896</v>
      </c>
      <c r="M5286" t="s">
        <v>26897</v>
      </c>
      <c r="N5286" t="s">
        <v>26898</v>
      </c>
      <c r="O5286" t="s">
        <v>26</v>
      </c>
      <c r="R5286">
        <v>99</v>
      </c>
      <c r="T5286" t="s">
        <v>26899</v>
      </c>
    </row>
    <row r="5287" spans="1:20">
      <c r="A5287">
        <v>3411972</v>
      </c>
      <c r="B5287" t="s">
        <v>26900</v>
      </c>
      <c r="C5287" t="str">
        <f>"9780774808705"</f>
        <v>9780774808705</v>
      </c>
      <c r="D5287" t="str">
        <f>"9780774850162"</f>
        <v>9780774850162</v>
      </c>
      <c r="E5287" t="s">
        <v>26801</v>
      </c>
      <c r="F5287" t="s">
        <v>26801</v>
      </c>
      <c r="G5287" s="1">
        <v>37622</v>
      </c>
      <c r="J5287" t="s">
        <v>26901</v>
      </c>
      <c r="K5287" t="s">
        <v>26902</v>
      </c>
      <c r="L5287" t="s">
        <v>26903</v>
      </c>
      <c r="M5287" t="s">
        <v>26904</v>
      </c>
      <c r="N5287" t="s">
        <v>26905</v>
      </c>
      <c r="O5287" t="s">
        <v>26</v>
      </c>
      <c r="R5287">
        <v>99</v>
      </c>
      <c r="T5287" t="s">
        <v>26906</v>
      </c>
    </row>
    <row r="5288" spans="1:20">
      <c r="A5288">
        <v>3411973</v>
      </c>
      <c r="B5288" t="s">
        <v>26907</v>
      </c>
      <c r="C5288" t="str">
        <f>"9780774809870"</f>
        <v>9780774809870</v>
      </c>
      <c r="D5288" t="str">
        <f>"9780774850414"</f>
        <v>9780774850414</v>
      </c>
      <c r="E5288" t="s">
        <v>26801</v>
      </c>
      <c r="F5288" t="s">
        <v>26801</v>
      </c>
      <c r="G5288" s="1">
        <v>37803</v>
      </c>
      <c r="J5288" t="s">
        <v>26908</v>
      </c>
      <c r="K5288" t="s">
        <v>467</v>
      </c>
      <c r="L5288" t="s">
        <v>26909</v>
      </c>
      <c r="M5288" t="s">
        <v>26910</v>
      </c>
      <c r="N5288" t="s">
        <v>26911</v>
      </c>
      <c r="O5288" t="s">
        <v>26</v>
      </c>
      <c r="R5288">
        <v>99</v>
      </c>
      <c r="T5288" t="s">
        <v>26912</v>
      </c>
    </row>
    <row r="5289" spans="1:20">
      <c r="A5289">
        <v>3411974</v>
      </c>
      <c r="B5289" t="s">
        <v>26913</v>
      </c>
      <c r="C5289" t="str">
        <f>"9780774808828"</f>
        <v>9780774808828</v>
      </c>
      <c r="D5289" t="str">
        <f>"9780774850315"</f>
        <v>9780774850315</v>
      </c>
      <c r="E5289" t="s">
        <v>26801</v>
      </c>
      <c r="F5289" t="s">
        <v>26801</v>
      </c>
      <c r="G5289" s="1">
        <v>37622</v>
      </c>
      <c r="J5289" t="s">
        <v>26914</v>
      </c>
      <c r="K5289" t="s">
        <v>574</v>
      </c>
      <c r="L5289" t="s">
        <v>26915</v>
      </c>
      <c r="M5289">
        <v>338.47634980952</v>
      </c>
      <c r="N5289" t="s">
        <v>26916</v>
      </c>
      <c r="O5289" t="s">
        <v>26</v>
      </c>
      <c r="R5289">
        <v>99</v>
      </c>
      <c r="T5289" t="s">
        <v>26917</v>
      </c>
    </row>
    <row r="5290" spans="1:20">
      <c r="A5290">
        <v>3411975</v>
      </c>
      <c r="B5290" t="s">
        <v>26918</v>
      </c>
      <c r="C5290" t="str">
        <f>"9780774808040"</f>
        <v>9780774808040</v>
      </c>
      <c r="D5290" t="str">
        <f>"9780774850766"</f>
        <v>9780774850766</v>
      </c>
      <c r="E5290" t="s">
        <v>26801</v>
      </c>
      <c r="F5290" t="s">
        <v>26801</v>
      </c>
      <c r="G5290" s="1">
        <v>37012</v>
      </c>
      <c r="J5290" t="s">
        <v>14229</v>
      </c>
      <c r="K5290" t="s">
        <v>291</v>
      </c>
      <c r="L5290" t="s">
        <v>26919</v>
      </c>
      <c r="M5290" t="s">
        <v>26920</v>
      </c>
      <c r="N5290" t="s">
        <v>26921</v>
      </c>
      <c r="O5290" t="s">
        <v>26</v>
      </c>
      <c r="R5290">
        <v>99</v>
      </c>
      <c r="T5290" t="s">
        <v>26922</v>
      </c>
    </row>
    <row r="5291" spans="1:20">
      <c r="A5291">
        <v>3411976</v>
      </c>
      <c r="B5291" t="s">
        <v>26923</v>
      </c>
      <c r="C5291" t="str">
        <f>"9780774808903"</f>
        <v>9780774808903</v>
      </c>
      <c r="D5291" t="str">
        <f>"9780774850209"</f>
        <v>9780774850209</v>
      </c>
      <c r="E5291" t="s">
        <v>26801</v>
      </c>
      <c r="F5291" t="s">
        <v>26801</v>
      </c>
      <c r="G5291" s="1">
        <v>39356</v>
      </c>
      <c r="I5291" t="s">
        <v>26924</v>
      </c>
      <c r="J5291" t="s">
        <v>26925</v>
      </c>
      <c r="K5291" t="s">
        <v>291</v>
      </c>
      <c r="L5291" t="s">
        <v>26926</v>
      </c>
      <c r="M5291" t="s">
        <v>26927</v>
      </c>
      <c r="N5291" t="s">
        <v>26928</v>
      </c>
      <c r="O5291" t="s">
        <v>26</v>
      </c>
      <c r="R5291">
        <v>99</v>
      </c>
      <c r="T5291" t="s">
        <v>26929</v>
      </c>
    </row>
    <row r="5292" spans="1:20">
      <c r="A5292">
        <v>3411977</v>
      </c>
      <c r="B5292" t="s">
        <v>26930</v>
      </c>
      <c r="C5292" t="str">
        <f>"9780774809047"</f>
        <v>9780774809047</v>
      </c>
      <c r="D5292" t="str">
        <f>"9780774850292"</f>
        <v>9780774850292</v>
      </c>
      <c r="E5292" t="s">
        <v>26801</v>
      </c>
      <c r="F5292" t="s">
        <v>26801</v>
      </c>
      <c r="G5292" s="1">
        <v>37622</v>
      </c>
      <c r="J5292" t="s">
        <v>22758</v>
      </c>
      <c r="K5292" t="s">
        <v>6813</v>
      </c>
      <c r="L5292" t="s">
        <v>26931</v>
      </c>
      <c r="M5292">
        <v>306.60000000000002</v>
      </c>
      <c r="N5292" t="s">
        <v>26932</v>
      </c>
      <c r="O5292" t="s">
        <v>26</v>
      </c>
      <c r="R5292">
        <v>99</v>
      </c>
      <c r="T5292" t="s">
        <v>26933</v>
      </c>
    </row>
    <row r="5293" spans="1:20">
      <c r="A5293">
        <v>3411978</v>
      </c>
      <c r="B5293" t="s">
        <v>26934</v>
      </c>
      <c r="C5293" t="str">
        <f>"9780774808347"</f>
        <v>9780774808347</v>
      </c>
      <c r="D5293" t="str">
        <f>"9780774850049"</f>
        <v>9780774850049</v>
      </c>
      <c r="E5293" t="s">
        <v>26801</v>
      </c>
      <c r="F5293" t="s">
        <v>26801</v>
      </c>
      <c r="G5293" s="1">
        <v>39356</v>
      </c>
      <c r="I5293" t="s">
        <v>26935</v>
      </c>
      <c r="J5293" t="s">
        <v>26936</v>
      </c>
      <c r="K5293" t="s">
        <v>26937</v>
      </c>
      <c r="L5293" t="s">
        <v>26938</v>
      </c>
      <c r="M5293">
        <v>331.41329999999999</v>
      </c>
      <c r="N5293" t="s">
        <v>26939</v>
      </c>
      <c r="O5293" t="s">
        <v>26</v>
      </c>
      <c r="R5293">
        <v>99</v>
      </c>
      <c r="T5293" t="s">
        <v>26940</v>
      </c>
    </row>
    <row r="5294" spans="1:20">
      <c r="A5294">
        <v>3411979</v>
      </c>
      <c r="B5294" t="s">
        <v>26941</v>
      </c>
      <c r="C5294" t="str">
        <f>"9780774807029"</f>
        <v>9780774807029</v>
      </c>
      <c r="D5294" t="str">
        <f>"9780774850728"</f>
        <v>9780774850728</v>
      </c>
      <c r="E5294" t="s">
        <v>26801</v>
      </c>
      <c r="F5294" t="s">
        <v>26801</v>
      </c>
      <c r="G5294" s="1">
        <v>36251</v>
      </c>
      <c r="J5294" t="s">
        <v>26942</v>
      </c>
      <c r="K5294" t="s">
        <v>6444</v>
      </c>
      <c r="L5294" t="s">
        <v>26943</v>
      </c>
      <c r="M5294">
        <v>327.73070999999999</v>
      </c>
      <c r="N5294" t="s">
        <v>26944</v>
      </c>
      <c r="O5294" t="s">
        <v>26</v>
      </c>
      <c r="R5294">
        <v>99</v>
      </c>
      <c r="T5294" t="s">
        <v>26945</v>
      </c>
    </row>
    <row r="5295" spans="1:20">
      <c r="A5295">
        <v>3411980</v>
      </c>
      <c r="B5295" t="s">
        <v>26946</v>
      </c>
      <c r="C5295" t="str">
        <f>"9780774808767"</f>
        <v>9780774808767</v>
      </c>
      <c r="D5295" t="str">
        <f>"9780774850216"</f>
        <v>9780774850216</v>
      </c>
      <c r="E5295" t="s">
        <v>26801</v>
      </c>
      <c r="F5295" t="s">
        <v>26801</v>
      </c>
      <c r="G5295" s="1">
        <v>37622</v>
      </c>
      <c r="J5295" t="s">
        <v>26947</v>
      </c>
      <c r="K5295" t="s">
        <v>291</v>
      </c>
      <c r="L5295" t="s">
        <v>26948</v>
      </c>
      <c r="M5295" t="s">
        <v>26949</v>
      </c>
      <c r="N5295" t="s">
        <v>26950</v>
      </c>
      <c r="O5295" t="s">
        <v>26</v>
      </c>
      <c r="R5295">
        <v>99</v>
      </c>
      <c r="T5295" t="s">
        <v>26951</v>
      </c>
    </row>
    <row r="5296" spans="1:20">
      <c r="A5296">
        <v>3411981</v>
      </c>
      <c r="B5296" t="s">
        <v>26952</v>
      </c>
      <c r="C5296" t="str">
        <f>"9780774808880"</f>
        <v>9780774808880</v>
      </c>
      <c r="D5296" t="str">
        <f>"9780774850360"</f>
        <v>9780774850360</v>
      </c>
      <c r="E5296" t="s">
        <v>26801</v>
      </c>
      <c r="F5296" t="s">
        <v>26801</v>
      </c>
      <c r="G5296" s="1">
        <v>39356</v>
      </c>
      <c r="I5296" t="s">
        <v>26924</v>
      </c>
      <c r="J5296" t="s">
        <v>26953</v>
      </c>
      <c r="K5296" t="s">
        <v>4347</v>
      </c>
      <c r="L5296" t="s">
        <v>26954</v>
      </c>
      <c r="M5296" t="s">
        <v>26955</v>
      </c>
      <c r="N5296" t="s">
        <v>26956</v>
      </c>
      <c r="O5296" t="s">
        <v>26</v>
      </c>
      <c r="R5296">
        <v>115</v>
      </c>
      <c r="T5296" t="s">
        <v>26957</v>
      </c>
    </row>
    <row r="5297" spans="1:20">
      <c r="A5297">
        <v>3411982</v>
      </c>
      <c r="B5297" t="s">
        <v>26958</v>
      </c>
      <c r="C5297" t="str">
        <f>"9780774808460"</f>
        <v>9780774808460</v>
      </c>
      <c r="D5297" t="str">
        <f>"9780774850094"</f>
        <v>9780774850094</v>
      </c>
      <c r="E5297" t="s">
        <v>26801</v>
      </c>
      <c r="F5297" t="s">
        <v>26801</v>
      </c>
      <c r="G5297" s="1">
        <v>37377</v>
      </c>
      <c r="J5297" t="s">
        <v>26959</v>
      </c>
      <c r="K5297" t="s">
        <v>416</v>
      </c>
      <c r="L5297" t="s">
        <v>26960</v>
      </c>
      <c r="M5297">
        <v>331.25</v>
      </c>
      <c r="N5297" t="s">
        <v>26961</v>
      </c>
      <c r="O5297" t="s">
        <v>26</v>
      </c>
      <c r="R5297">
        <v>99</v>
      </c>
      <c r="T5297" t="s">
        <v>26962</v>
      </c>
    </row>
    <row r="5298" spans="1:20">
      <c r="A5298">
        <v>3411983</v>
      </c>
      <c r="B5298" t="s">
        <v>26963</v>
      </c>
      <c r="C5298" t="str">
        <f>"9780774809023"</f>
        <v>9780774809023</v>
      </c>
      <c r="D5298" t="str">
        <f>"9780774850407"</f>
        <v>9780774850407</v>
      </c>
      <c r="E5298" t="s">
        <v>26801</v>
      </c>
      <c r="F5298" t="s">
        <v>26801</v>
      </c>
      <c r="G5298" s="1">
        <v>37530</v>
      </c>
      <c r="J5298" t="s">
        <v>26964</v>
      </c>
      <c r="K5298" t="s">
        <v>1471</v>
      </c>
      <c r="L5298" t="s">
        <v>26965</v>
      </c>
      <c r="M5298" t="s">
        <v>26966</v>
      </c>
      <c r="N5298" t="s">
        <v>26967</v>
      </c>
      <c r="O5298" t="s">
        <v>26</v>
      </c>
      <c r="R5298">
        <v>110</v>
      </c>
      <c r="T5298" t="s">
        <v>26968</v>
      </c>
    </row>
    <row r="5299" spans="1:20">
      <c r="A5299">
        <v>3411984</v>
      </c>
      <c r="B5299" t="s">
        <v>26969</v>
      </c>
      <c r="C5299" t="str">
        <f>"9780774808323"</f>
        <v>9780774808323</v>
      </c>
      <c r="D5299" t="str">
        <f>"9780774850001"</f>
        <v>9780774850001</v>
      </c>
      <c r="E5299" t="s">
        <v>26801</v>
      </c>
      <c r="F5299" t="s">
        <v>26801</v>
      </c>
      <c r="G5299" s="1">
        <v>36923</v>
      </c>
      <c r="I5299" t="s">
        <v>26970</v>
      </c>
      <c r="J5299" t="s">
        <v>26971</v>
      </c>
      <c r="K5299" t="s">
        <v>291</v>
      </c>
      <c r="L5299" t="s">
        <v>26972</v>
      </c>
      <c r="M5299">
        <v>971.20100000000002</v>
      </c>
      <c r="N5299" t="s">
        <v>26973</v>
      </c>
      <c r="O5299" t="s">
        <v>26</v>
      </c>
      <c r="R5299">
        <v>99</v>
      </c>
      <c r="T5299" t="s">
        <v>26974</v>
      </c>
    </row>
    <row r="5300" spans="1:20">
      <c r="A5300">
        <v>3411985</v>
      </c>
      <c r="B5300" t="s">
        <v>26975</v>
      </c>
      <c r="C5300" t="str">
        <f>"9780774809771"</f>
        <v>9780774809771</v>
      </c>
      <c r="D5300" t="str">
        <f>"9780774850391"</f>
        <v>9780774850391</v>
      </c>
      <c r="E5300" t="s">
        <v>26801</v>
      </c>
      <c r="F5300" t="s">
        <v>26801</v>
      </c>
      <c r="G5300" s="1">
        <v>37803</v>
      </c>
      <c r="J5300" t="s">
        <v>26976</v>
      </c>
      <c r="K5300" t="s">
        <v>21854</v>
      </c>
      <c r="L5300" t="s">
        <v>26977</v>
      </c>
      <c r="M5300">
        <v>306.48</v>
      </c>
      <c r="N5300" t="s">
        <v>26978</v>
      </c>
      <c r="O5300" t="s">
        <v>26</v>
      </c>
      <c r="R5300">
        <v>99</v>
      </c>
      <c r="T5300" t="s">
        <v>26979</v>
      </c>
    </row>
    <row r="5301" spans="1:20">
      <c r="A5301">
        <v>3411986</v>
      </c>
      <c r="B5301" t="s">
        <v>26980</v>
      </c>
      <c r="C5301" t="str">
        <f>"9780774807777"</f>
        <v>9780774807777</v>
      </c>
      <c r="D5301" t="str">
        <f>"9780774850803"</f>
        <v>9780774850803</v>
      </c>
      <c r="E5301" t="s">
        <v>26801</v>
      </c>
      <c r="F5301" t="s">
        <v>26801</v>
      </c>
      <c r="G5301" s="1">
        <v>36586</v>
      </c>
      <c r="J5301" t="s">
        <v>26981</v>
      </c>
      <c r="K5301" t="s">
        <v>467</v>
      </c>
      <c r="L5301" t="s">
        <v>26982</v>
      </c>
      <c r="M5301">
        <v>324.27100000000002</v>
      </c>
      <c r="N5301" t="s">
        <v>26983</v>
      </c>
      <c r="O5301" t="s">
        <v>26</v>
      </c>
      <c r="R5301">
        <v>99</v>
      </c>
      <c r="T5301" t="s">
        <v>26984</v>
      </c>
    </row>
    <row r="5302" spans="1:20">
      <c r="A5302">
        <v>3411987</v>
      </c>
      <c r="B5302" t="s">
        <v>26985</v>
      </c>
      <c r="C5302" t="str">
        <f>"9780774808941"</f>
        <v>9780774808941</v>
      </c>
      <c r="D5302" t="str">
        <f>"9780774850247"</f>
        <v>9780774850247</v>
      </c>
      <c r="E5302" t="s">
        <v>26801</v>
      </c>
      <c r="F5302" t="s">
        <v>26801</v>
      </c>
      <c r="G5302" s="1">
        <v>37622</v>
      </c>
      <c r="I5302" t="s">
        <v>26986</v>
      </c>
      <c r="J5302" t="s">
        <v>26987</v>
      </c>
      <c r="K5302" t="s">
        <v>305</v>
      </c>
      <c r="L5302" t="s">
        <v>26988</v>
      </c>
      <c r="M5302" t="s">
        <v>26989</v>
      </c>
      <c r="N5302" t="s">
        <v>26990</v>
      </c>
      <c r="O5302" t="s">
        <v>26</v>
      </c>
      <c r="R5302">
        <v>99</v>
      </c>
      <c r="T5302" t="s">
        <v>26991</v>
      </c>
    </row>
    <row r="5303" spans="1:20">
      <c r="A5303">
        <v>3411988</v>
      </c>
      <c r="B5303" t="s">
        <v>26992</v>
      </c>
      <c r="C5303" t="str">
        <f>"9780774808743"</f>
        <v>9780774808743</v>
      </c>
      <c r="D5303" t="str">
        <f>"9780774850186"</f>
        <v>9780774850186</v>
      </c>
      <c r="E5303" t="s">
        <v>26801</v>
      </c>
      <c r="F5303" t="s">
        <v>26801</v>
      </c>
      <c r="G5303" s="1">
        <v>39356</v>
      </c>
      <c r="J5303" t="s">
        <v>26993</v>
      </c>
      <c r="K5303" t="s">
        <v>1550</v>
      </c>
      <c r="L5303" t="s">
        <v>26994</v>
      </c>
      <c r="M5303">
        <v>306.09500000000003</v>
      </c>
      <c r="N5303" t="s">
        <v>26995</v>
      </c>
      <c r="O5303" t="s">
        <v>26</v>
      </c>
      <c r="R5303">
        <v>99</v>
      </c>
      <c r="T5303" t="s">
        <v>26996</v>
      </c>
    </row>
    <row r="5304" spans="1:20">
      <c r="A5304">
        <v>3411989</v>
      </c>
      <c r="B5304" t="s">
        <v>26997</v>
      </c>
      <c r="C5304" t="str">
        <f>"9780774808019"</f>
        <v>9780774808019</v>
      </c>
      <c r="D5304" t="str">
        <f>"9780774852470"</f>
        <v>9780774852470</v>
      </c>
      <c r="E5304" t="s">
        <v>26801</v>
      </c>
      <c r="F5304" t="s">
        <v>26801</v>
      </c>
      <c r="G5304" s="1">
        <v>36861</v>
      </c>
      <c r="J5304" t="s">
        <v>26998</v>
      </c>
      <c r="K5304" t="s">
        <v>467</v>
      </c>
      <c r="L5304" t="s">
        <v>26999</v>
      </c>
      <c r="M5304">
        <v>321.8</v>
      </c>
      <c r="N5304" t="s">
        <v>27000</v>
      </c>
      <c r="O5304" t="s">
        <v>26</v>
      </c>
      <c r="R5304">
        <v>99</v>
      </c>
      <c r="T5304" t="s">
        <v>27001</v>
      </c>
    </row>
    <row r="5305" spans="1:20">
      <c r="A5305">
        <v>3411990</v>
      </c>
      <c r="B5305" t="s">
        <v>27002</v>
      </c>
      <c r="C5305" t="str">
        <f>"9780774808842"</f>
        <v>9780774808842</v>
      </c>
      <c r="D5305" t="str">
        <f>"9780774850254"</f>
        <v>9780774850254</v>
      </c>
      <c r="E5305" t="s">
        <v>26801</v>
      </c>
      <c r="F5305" t="s">
        <v>26801</v>
      </c>
      <c r="G5305" s="1">
        <v>37408</v>
      </c>
      <c r="I5305" t="s">
        <v>26818</v>
      </c>
      <c r="J5305" t="s">
        <v>26819</v>
      </c>
      <c r="K5305" t="s">
        <v>525</v>
      </c>
      <c r="L5305" t="s">
        <v>27003</v>
      </c>
      <c r="M5305">
        <v>346.012</v>
      </c>
      <c r="N5305" t="s">
        <v>27004</v>
      </c>
      <c r="O5305" t="s">
        <v>26</v>
      </c>
      <c r="R5305">
        <v>99</v>
      </c>
      <c r="T5305" t="s">
        <v>27005</v>
      </c>
    </row>
    <row r="5306" spans="1:20">
      <c r="A5306">
        <v>3411991</v>
      </c>
      <c r="B5306" t="s">
        <v>27006</v>
      </c>
      <c r="C5306" t="str">
        <f>"9780774807821"</f>
        <v>9780774807821</v>
      </c>
      <c r="D5306" t="str">
        <f>"9780774852012"</f>
        <v>9780774852012</v>
      </c>
      <c r="E5306" t="s">
        <v>26801</v>
      </c>
      <c r="F5306" t="s">
        <v>26801</v>
      </c>
      <c r="G5306" s="1">
        <v>36923</v>
      </c>
      <c r="J5306" t="s">
        <v>27007</v>
      </c>
      <c r="K5306" t="s">
        <v>2982</v>
      </c>
      <c r="L5306" t="s">
        <v>27008</v>
      </c>
      <c r="M5306">
        <v>371.82</v>
      </c>
      <c r="N5306" t="s">
        <v>27009</v>
      </c>
      <c r="O5306" t="s">
        <v>26</v>
      </c>
      <c r="R5306">
        <v>99</v>
      </c>
      <c r="T5306" t="s">
        <v>27010</v>
      </c>
    </row>
    <row r="5307" spans="1:20">
      <c r="A5307">
        <v>3411992</v>
      </c>
      <c r="B5307" t="s">
        <v>27011</v>
      </c>
      <c r="C5307" t="str">
        <f>"9780774809856"</f>
        <v>9780774809856</v>
      </c>
      <c r="D5307" t="str">
        <f>"9780774850551"</f>
        <v>9780774850551</v>
      </c>
      <c r="E5307" t="s">
        <v>26801</v>
      </c>
      <c r="F5307" t="s">
        <v>26801</v>
      </c>
      <c r="G5307" s="1">
        <v>37987</v>
      </c>
      <c r="J5307" t="s">
        <v>27012</v>
      </c>
      <c r="K5307" t="s">
        <v>330</v>
      </c>
      <c r="L5307" t="s">
        <v>27013</v>
      </c>
      <c r="M5307">
        <v>363.70970999999997</v>
      </c>
      <c r="N5307" t="s">
        <v>27014</v>
      </c>
      <c r="O5307" t="s">
        <v>26</v>
      </c>
      <c r="R5307">
        <v>99</v>
      </c>
      <c r="T5307" t="s">
        <v>27015</v>
      </c>
    </row>
    <row r="5308" spans="1:20">
      <c r="A5308">
        <v>3411993</v>
      </c>
      <c r="B5308" t="s">
        <v>27016</v>
      </c>
      <c r="C5308" t="str">
        <f>"9780774809658"</f>
        <v>9780774809658</v>
      </c>
      <c r="D5308" t="str">
        <f>"9780774850421"</f>
        <v>9780774850421</v>
      </c>
      <c r="E5308" t="s">
        <v>26801</v>
      </c>
      <c r="F5308" t="s">
        <v>26801</v>
      </c>
      <c r="G5308" s="1">
        <v>37803</v>
      </c>
      <c r="J5308" t="s">
        <v>27017</v>
      </c>
      <c r="K5308" t="s">
        <v>568</v>
      </c>
      <c r="L5308" t="s">
        <v>27018</v>
      </c>
      <c r="M5308" t="s">
        <v>27019</v>
      </c>
      <c r="N5308" t="s">
        <v>27020</v>
      </c>
      <c r="O5308" t="s">
        <v>26</v>
      </c>
      <c r="R5308">
        <v>99</v>
      </c>
      <c r="T5308" t="s">
        <v>27021</v>
      </c>
    </row>
    <row r="5309" spans="1:20">
      <c r="A5309">
        <v>3411994</v>
      </c>
      <c r="B5309" t="s">
        <v>27022</v>
      </c>
      <c r="C5309" t="str">
        <f>"9780774809603"</f>
        <v>9780774809603</v>
      </c>
      <c r="D5309" t="str">
        <f>"9780774850452"</f>
        <v>9780774850452</v>
      </c>
      <c r="E5309" t="s">
        <v>26801</v>
      </c>
      <c r="F5309" t="s">
        <v>26801</v>
      </c>
      <c r="G5309" s="1">
        <v>39356</v>
      </c>
      <c r="J5309" t="s">
        <v>27023</v>
      </c>
      <c r="K5309" t="s">
        <v>27024</v>
      </c>
      <c r="L5309" t="s">
        <v>27025</v>
      </c>
      <c r="M5309" t="s">
        <v>27026</v>
      </c>
      <c r="N5309" t="s">
        <v>27027</v>
      </c>
      <c r="O5309" t="s">
        <v>26</v>
      </c>
      <c r="R5309">
        <v>115</v>
      </c>
      <c r="T5309" t="s">
        <v>27028</v>
      </c>
    </row>
    <row r="5310" spans="1:20">
      <c r="A5310">
        <v>3411995</v>
      </c>
      <c r="B5310" t="s">
        <v>27029</v>
      </c>
      <c r="C5310" t="str">
        <f>"9780774809672"</f>
        <v>9780774809672</v>
      </c>
      <c r="D5310" t="str">
        <f>"9780774850322"</f>
        <v>9780774850322</v>
      </c>
      <c r="E5310" t="s">
        <v>26801</v>
      </c>
      <c r="F5310" t="s">
        <v>26801</v>
      </c>
      <c r="G5310" s="1">
        <v>37469</v>
      </c>
      <c r="J5310" t="s">
        <v>27030</v>
      </c>
      <c r="K5310" t="s">
        <v>2811</v>
      </c>
      <c r="L5310" t="s">
        <v>27031</v>
      </c>
      <c r="M5310">
        <v>384.8</v>
      </c>
      <c r="N5310" t="s">
        <v>27032</v>
      </c>
      <c r="O5310" t="s">
        <v>26</v>
      </c>
      <c r="R5310">
        <v>99</v>
      </c>
      <c r="T5310" t="s">
        <v>27033</v>
      </c>
    </row>
    <row r="5311" spans="1:20">
      <c r="A5311">
        <v>3411996</v>
      </c>
      <c r="B5311" t="s">
        <v>27034</v>
      </c>
      <c r="C5311" t="str">
        <f>"9780774807906"</f>
        <v>9780774807906</v>
      </c>
      <c r="D5311" t="str">
        <f>"9780774850797"</f>
        <v>9780774850797</v>
      </c>
      <c r="E5311" t="s">
        <v>26801</v>
      </c>
      <c r="F5311" t="s">
        <v>26801</v>
      </c>
      <c r="G5311" s="1">
        <v>36923</v>
      </c>
      <c r="J5311" t="s">
        <v>27035</v>
      </c>
      <c r="K5311" t="s">
        <v>467</v>
      </c>
      <c r="L5311" t="s">
        <v>27036</v>
      </c>
      <c r="M5311" t="s">
        <v>27037</v>
      </c>
      <c r="N5311" t="s">
        <v>27038</v>
      </c>
      <c r="O5311" t="s">
        <v>26</v>
      </c>
      <c r="R5311">
        <v>99</v>
      </c>
      <c r="T5311" t="s">
        <v>27039</v>
      </c>
    </row>
    <row r="5312" spans="1:20">
      <c r="A5312">
        <v>3411997</v>
      </c>
      <c r="B5312" t="s">
        <v>27040</v>
      </c>
      <c r="C5312" t="str">
        <f>"9780774807869"</f>
        <v>9780774807869</v>
      </c>
      <c r="D5312" t="str">
        <f>"9780774850698"</f>
        <v>9780774850698</v>
      </c>
      <c r="E5312" t="s">
        <v>26801</v>
      </c>
      <c r="F5312" t="s">
        <v>26801</v>
      </c>
      <c r="G5312" s="1">
        <v>36923</v>
      </c>
      <c r="J5312" t="s">
        <v>27041</v>
      </c>
      <c r="K5312" t="s">
        <v>757</v>
      </c>
      <c r="L5312" t="s">
        <v>27042</v>
      </c>
      <c r="M5312">
        <v>333.7</v>
      </c>
      <c r="N5312" t="s">
        <v>27043</v>
      </c>
      <c r="O5312" t="s">
        <v>26</v>
      </c>
      <c r="R5312">
        <v>99</v>
      </c>
      <c r="T5312" t="s">
        <v>27044</v>
      </c>
    </row>
    <row r="5313" spans="1:20">
      <c r="A5313">
        <v>3411998</v>
      </c>
      <c r="B5313" t="s">
        <v>27045</v>
      </c>
      <c r="C5313" t="str">
        <f>"9780774808583"</f>
        <v>9780774808583</v>
      </c>
      <c r="D5313" t="str">
        <f>"9780774850131"</f>
        <v>9780774850131</v>
      </c>
      <c r="E5313" t="s">
        <v>26801</v>
      </c>
      <c r="F5313" t="s">
        <v>26801</v>
      </c>
      <c r="G5313" s="1">
        <v>37377</v>
      </c>
      <c r="J5313" t="s">
        <v>17741</v>
      </c>
      <c r="K5313" t="s">
        <v>263</v>
      </c>
      <c r="L5313" t="s">
        <v>27046</v>
      </c>
      <c r="M5313">
        <v>307.74</v>
      </c>
      <c r="N5313" t="s">
        <v>27047</v>
      </c>
      <c r="O5313" t="s">
        <v>26</v>
      </c>
      <c r="R5313">
        <v>99</v>
      </c>
      <c r="T5313" t="s">
        <v>27048</v>
      </c>
    </row>
    <row r="5314" spans="1:20">
      <c r="A5314">
        <v>3411999</v>
      </c>
      <c r="B5314" t="s">
        <v>27049</v>
      </c>
      <c r="C5314" t="str">
        <f>"9780774809542"</f>
        <v>9780774809542</v>
      </c>
      <c r="D5314" t="str">
        <f>"9780774850445"</f>
        <v>9780774850445</v>
      </c>
      <c r="E5314" t="s">
        <v>26801</v>
      </c>
      <c r="F5314" t="s">
        <v>26801</v>
      </c>
      <c r="G5314" s="1">
        <v>37803</v>
      </c>
      <c r="J5314" t="s">
        <v>27050</v>
      </c>
      <c r="K5314" t="s">
        <v>7781</v>
      </c>
      <c r="L5314" t="s">
        <v>27051</v>
      </c>
      <c r="M5314" t="s">
        <v>27052</v>
      </c>
      <c r="N5314" t="s">
        <v>27053</v>
      </c>
      <c r="O5314" t="s">
        <v>26</v>
      </c>
      <c r="R5314">
        <v>99</v>
      </c>
      <c r="T5314" t="s">
        <v>27054</v>
      </c>
    </row>
    <row r="5315" spans="1:20">
      <c r="A5315">
        <v>3412000</v>
      </c>
      <c r="B5315" t="s">
        <v>27055</v>
      </c>
      <c r="C5315" t="str">
        <f>"9780774807654"</f>
        <v>9780774807654</v>
      </c>
      <c r="D5315" t="str">
        <f>"9780774850612"</f>
        <v>9780774850612</v>
      </c>
      <c r="E5315" t="s">
        <v>26801</v>
      </c>
      <c r="F5315" t="s">
        <v>26801</v>
      </c>
      <c r="G5315" s="1">
        <v>36800</v>
      </c>
      <c r="J5315" t="s">
        <v>27056</v>
      </c>
      <c r="K5315" t="s">
        <v>1297</v>
      </c>
      <c r="L5315" t="s">
        <v>27057</v>
      </c>
      <c r="M5315" t="s">
        <v>27058</v>
      </c>
      <c r="N5315" t="s">
        <v>27059</v>
      </c>
      <c r="O5315" t="s">
        <v>26</v>
      </c>
      <c r="R5315">
        <v>99</v>
      </c>
      <c r="T5315" t="s">
        <v>27060</v>
      </c>
    </row>
    <row r="5316" spans="1:20">
      <c r="A5316">
        <v>3412001</v>
      </c>
      <c r="B5316" t="s">
        <v>27061</v>
      </c>
      <c r="C5316" t="str">
        <f>"9780774807180"</f>
        <v>9780774807180</v>
      </c>
      <c r="D5316" t="str">
        <f>"9780774850629"</f>
        <v>9780774850629</v>
      </c>
      <c r="E5316" t="s">
        <v>26801</v>
      </c>
      <c r="F5316" t="s">
        <v>26801</v>
      </c>
      <c r="G5316" s="1">
        <v>36557</v>
      </c>
      <c r="J5316" t="s">
        <v>27062</v>
      </c>
      <c r="K5316" t="s">
        <v>525</v>
      </c>
      <c r="L5316" t="s">
        <v>27063</v>
      </c>
      <c r="M5316" t="s">
        <v>27064</v>
      </c>
      <c r="N5316" t="s">
        <v>27065</v>
      </c>
      <c r="O5316" t="s">
        <v>26</v>
      </c>
      <c r="R5316">
        <v>99</v>
      </c>
      <c r="T5316" t="s">
        <v>27066</v>
      </c>
    </row>
    <row r="5317" spans="1:20">
      <c r="A5317">
        <v>3412002</v>
      </c>
      <c r="B5317" t="s">
        <v>27067</v>
      </c>
      <c r="C5317" t="str">
        <f>"9780774810067"</f>
        <v>9780774810067</v>
      </c>
      <c r="D5317" t="str">
        <f>"9780774850513"</f>
        <v>9780774850513</v>
      </c>
      <c r="E5317" t="s">
        <v>26801</v>
      </c>
      <c r="F5317" t="s">
        <v>26801</v>
      </c>
      <c r="G5317" s="1">
        <v>37987</v>
      </c>
      <c r="J5317" t="s">
        <v>27068</v>
      </c>
      <c r="K5317" t="s">
        <v>27069</v>
      </c>
      <c r="L5317" t="s">
        <v>27070</v>
      </c>
      <c r="M5317" t="s">
        <v>27071</v>
      </c>
      <c r="N5317" t="s">
        <v>27072</v>
      </c>
      <c r="O5317" t="s">
        <v>26</v>
      </c>
      <c r="R5317">
        <v>99</v>
      </c>
      <c r="T5317" t="s">
        <v>27073</v>
      </c>
    </row>
    <row r="5318" spans="1:20">
      <c r="A5318">
        <v>3412003</v>
      </c>
      <c r="B5318" t="s">
        <v>27074</v>
      </c>
      <c r="C5318" t="str">
        <f>"9780774809566"</f>
        <v>9780774809566</v>
      </c>
      <c r="D5318" t="str">
        <f>"9780774850346"</f>
        <v>9780774850346</v>
      </c>
      <c r="E5318" t="s">
        <v>26801</v>
      </c>
      <c r="F5318" t="s">
        <v>26801</v>
      </c>
      <c r="G5318" s="1">
        <v>39356</v>
      </c>
      <c r="I5318" t="s">
        <v>26935</v>
      </c>
      <c r="J5318" t="s">
        <v>27075</v>
      </c>
      <c r="K5318" t="s">
        <v>525</v>
      </c>
      <c r="L5318" t="s">
        <v>27076</v>
      </c>
      <c r="M5318" t="s">
        <v>27077</v>
      </c>
      <c r="N5318" t="s">
        <v>27078</v>
      </c>
      <c r="O5318" t="s">
        <v>26</v>
      </c>
      <c r="R5318">
        <v>99</v>
      </c>
      <c r="T5318" t="s">
        <v>27079</v>
      </c>
    </row>
    <row r="5319" spans="1:20">
      <c r="A5319">
        <v>3412004</v>
      </c>
      <c r="B5319" t="s">
        <v>27080</v>
      </c>
      <c r="C5319" t="str">
        <f>"9780774808071"</f>
        <v>9780774808071</v>
      </c>
      <c r="D5319" t="str">
        <f>"9780774850605"</f>
        <v>9780774850605</v>
      </c>
      <c r="E5319" t="s">
        <v>26801</v>
      </c>
      <c r="F5319" t="s">
        <v>26801</v>
      </c>
      <c r="G5319" s="1">
        <v>37012</v>
      </c>
      <c r="J5319" t="s">
        <v>27081</v>
      </c>
      <c r="K5319" t="s">
        <v>257</v>
      </c>
      <c r="L5319" t="s">
        <v>27082</v>
      </c>
      <c r="M5319">
        <v>378</v>
      </c>
      <c r="N5319" t="s">
        <v>27083</v>
      </c>
      <c r="O5319" t="s">
        <v>26</v>
      </c>
      <c r="R5319">
        <v>99</v>
      </c>
      <c r="T5319" t="s">
        <v>27084</v>
      </c>
    </row>
    <row r="5320" spans="1:20">
      <c r="A5320">
        <v>3412005</v>
      </c>
      <c r="B5320" t="s">
        <v>27085</v>
      </c>
      <c r="C5320" t="str">
        <f>"9780774810173"</f>
        <v>9780774810173</v>
      </c>
      <c r="D5320" t="str">
        <f>"9780774850568"</f>
        <v>9780774850568</v>
      </c>
      <c r="E5320" t="s">
        <v>26801</v>
      </c>
      <c r="F5320" t="s">
        <v>26801</v>
      </c>
      <c r="G5320" s="1">
        <v>37987</v>
      </c>
      <c r="J5320" t="s">
        <v>27086</v>
      </c>
      <c r="K5320" t="s">
        <v>27087</v>
      </c>
      <c r="L5320" t="s">
        <v>27088</v>
      </c>
      <c r="M5320" t="s">
        <v>27089</v>
      </c>
      <c r="N5320" t="s">
        <v>27090</v>
      </c>
      <c r="O5320" t="s">
        <v>26</v>
      </c>
      <c r="R5320">
        <v>99</v>
      </c>
      <c r="T5320" t="s">
        <v>27091</v>
      </c>
    </row>
    <row r="5321" spans="1:20">
      <c r="A5321">
        <v>3412006</v>
      </c>
      <c r="B5321" t="s">
        <v>27092</v>
      </c>
      <c r="C5321" t="str">
        <f>"9780774809528"</f>
        <v>9780774809528</v>
      </c>
      <c r="D5321" t="str">
        <f>"9780774850308"</f>
        <v>9780774850308</v>
      </c>
      <c r="E5321" t="s">
        <v>26801</v>
      </c>
      <c r="F5321" t="s">
        <v>26801</v>
      </c>
      <c r="G5321" s="1">
        <v>37622</v>
      </c>
      <c r="J5321" t="s">
        <v>27093</v>
      </c>
      <c r="K5321" t="s">
        <v>1892</v>
      </c>
      <c r="L5321" t="s">
        <v>27094</v>
      </c>
      <c r="M5321" t="s">
        <v>27095</v>
      </c>
      <c r="N5321" t="s">
        <v>27096</v>
      </c>
      <c r="O5321" t="s">
        <v>26</v>
      </c>
      <c r="R5321">
        <v>99</v>
      </c>
      <c r="T5321" t="s">
        <v>27097</v>
      </c>
    </row>
    <row r="5322" spans="1:20">
      <c r="A5322">
        <v>3412007</v>
      </c>
      <c r="B5322" t="s">
        <v>27098</v>
      </c>
      <c r="C5322" t="str">
        <f>"9780774808729"</f>
        <v>9780774808729</v>
      </c>
      <c r="D5322" t="str">
        <f>"9780774850179"</f>
        <v>9780774850179</v>
      </c>
      <c r="E5322" t="s">
        <v>26801</v>
      </c>
      <c r="F5322" t="s">
        <v>26801</v>
      </c>
      <c r="G5322" s="1">
        <v>37347</v>
      </c>
      <c r="J5322" t="s">
        <v>27099</v>
      </c>
      <c r="K5322" t="s">
        <v>263</v>
      </c>
      <c r="L5322" t="s">
        <v>27100</v>
      </c>
      <c r="M5322">
        <v>363.44</v>
      </c>
      <c r="N5322" t="s">
        <v>27101</v>
      </c>
      <c r="O5322" t="s">
        <v>26</v>
      </c>
      <c r="R5322">
        <v>99</v>
      </c>
      <c r="T5322" t="s">
        <v>27102</v>
      </c>
    </row>
    <row r="5323" spans="1:20">
      <c r="A5323">
        <v>3412008</v>
      </c>
      <c r="B5323" t="s">
        <v>27103</v>
      </c>
      <c r="C5323" t="str">
        <f>"9780774808521"</f>
        <v>9780774808521</v>
      </c>
      <c r="D5323" t="str">
        <f>"9780774850100"</f>
        <v>9780774850100</v>
      </c>
      <c r="E5323" t="s">
        <v>26801</v>
      </c>
      <c r="F5323" t="s">
        <v>26801</v>
      </c>
      <c r="G5323" s="1">
        <v>37165</v>
      </c>
      <c r="I5323" t="s">
        <v>26970</v>
      </c>
      <c r="J5323" t="s">
        <v>27104</v>
      </c>
      <c r="K5323" t="s">
        <v>291</v>
      </c>
      <c r="L5323" t="s">
        <v>27105</v>
      </c>
      <c r="M5323" t="s">
        <v>27106</v>
      </c>
      <c r="N5323" t="s">
        <v>27107</v>
      </c>
      <c r="O5323" t="s">
        <v>26</v>
      </c>
      <c r="R5323">
        <v>99</v>
      </c>
      <c r="T5323" t="s">
        <v>27108</v>
      </c>
    </row>
    <row r="5324" spans="1:20">
      <c r="A5324">
        <v>3412009</v>
      </c>
      <c r="B5324" t="s">
        <v>27109</v>
      </c>
      <c r="C5324" t="str">
        <f>"9780774808927"</f>
        <v>9780774808927</v>
      </c>
      <c r="D5324" t="str">
        <f>"9780774850285"</f>
        <v>9780774850285</v>
      </c>
      <c r="E5324" t="s">
        <v>26801</v>
      </c>
      <c r="F5324" t="s">
        <v>26801</v>
      </c>
      <c r="G5324" s="1">
        <v>37622</v>
      </c>
      <c r="J5324" t="s">
        <v>27110</v>
      </c>
      <c r="K5324" t="s">
        <v>27111</v>
      </c>
      <c r="L5324" t="s">
        <v>27112</v>
      </c>
      <c r="M5324" t="s">
        <v>27113</v>
      </c>
      <c r="N5324" t="s">
        <v>27114</v>
      </c>
      <c r="O5324" t="s">
        <v>26</v>
      </c>
      <c r="R5324">
        <v>99</v>
      </c>
      <c r="T5324" t="s">
        <v>27115</v>
      </c>
    </row>
    <row r="5325" spans="1:20">
      <c r="A5325">
        <v>3412010</v>
      </c>
      <c r="B5325" t="s">
        <v>27116</v>
      </c>
      <c r="C5325" t="str">
        <f>"9780774809733"</f>
        <v>9780774809733</v>
      </c>
      <c r="D5325" t="str">
        <f>"9780774850469"</f>
        <v>9780774850469</v>
      </c>
      <c r="E5325" t="s">
        <v>26801</v>
      </c>
      <c r="F5325" t="s">
        <v>26801</v>
      </c>
      <c r="G5325" s="1">
        <v>37622</v>
      </c>
      <c r="J5325" t="s">
        <v>27117</v>
      </c>
      <c r="K5325" t="s">
        <v>291</v>
      </c>
      <c r="L5325" t="s">
        <v>27118</v>
      </c>
      <c r="M5325" t="s">
        <v>27119</v>
      </c>
      <c r="N5325" t="s">
        <v>27120</v>
      </c>
      <c r="O5325" t="s">
        <v>26</v>
      </c>
      <c r="R5325">
        <v>99</v>
      </c>
      <c r="T5325" t="s">
        <v>27121</v>
      </c>
    </row>
    <row r="5326" spans="1:20">
      <c r="A5326">
        <v>3412011</v>
      </c>
      <c r="B5326" t="s">
        <v>27122</v>
      </c>
      <c r="C5326" t="str">
        <f>"9780774810081"</f>
        <v>9780774810081</v>
      </c>
      <c r="D5326" t="str">
        <f>"9780774850544"</f>
        <v>9780774850544</v>
      </c>
      <c r="E5326" t="s">
        <v>26801</v>
      </c>
      <c r="F5326" t="s">
        <v>26801</v>
      </c>
      <c r="G5326" s="1">
        <v>39387</v>
      </c>
      <c r="I5326" t="s">
        <v>26924</v>
      </c>
      <c r="J5326" t="s">
        <v>27123</v>
      </c>
      <c r="K5326" t="s">
        <v>291</v>
      </c>
      <c r="L5326" t="s">
        <v>27124</v>
      </c>
      <c r="M5326" t="s">
        <v>27125</v>
      </c>
      <c r="N5326" t="s">
        <v>27126</v>
      </c>
      <c r="O5326" t="s">
        <v>26</v>
      </c>
      <c r="R5326">
        <v>99</v>
      </c>
      <c r="T5326" t="s">
        <v>27127</v>
      </c>
    </row>
    <row r="5327" spans="1:20">
      <c r="A5327">
        <v>3412012</v>
      </c>
      <c r="B5327" t="s">
        <v>27128</v>
      </c>
      <c r="C5327" t="str">
        <f>"9780774808408"</f>
        <v>9780774808408</v>
      </c>
      <c r="D5327" t="str">
        <f>"9780774850063"</f>
        <v>9780774850063</v>
      </c>
      <c r="E5327" t="s">
        <v>26801</v>
      </c>
      <c r="F5327" t="s">
        <v>26801</v>
      </c>
      <c r="G5327" s="1">
        <v>39356</v>
      </c>
      <c r="I5327" t="s">
        <v>27129</v>
      </c>
      <c r="J5327" t="s">
        <v>27130</v>
      </c>
      <c r="K5327" t="s">
        <v>263</v>
      </c>
      <c r="L5327" t="s">
        <v>27131</v>
      </c>
      <c r="M5327" t="s">
        <v>27132</v>
      </c>
      <c r="N5327" t="s">
        <v>27133</v>
      </c>
      <c r="O5327" t="s">
        <v>26</v>
      </c>
      <c r="R5327">
        <v>99</v>
      </c>
      <c r="T5327" t="s">
        <v>27134</v>
      </c>
    </row>
    <row r="5328" spans="1:20">
      <c r="A5328">
        <v>3412013</v>
      </c>
      <c r="B5328" t="s">
        <v>27135</v>
      </c>
      <c r="C5328" t="str">
        <f>"9780774808385"</f>
        <v>9780774808385</v>
      </c>
      <c r="D5328" t="str">
        <f>"9780774850056"</f>
        <v>9780774850056</v>
      </c>
      <c r="E5328" t="s">
        <v>26801</v>
      </c>
      <c r="F5328" t="s">
        <v>26801</v>
      </c>
      <c r="G5328" s="1">
        <v>37257</v>
      </c>
      <c r="I5328" t="s">
        <v>27129</v>
      </c>
      <c r="J5328" t="s">
        <v>27136</v>
      </c>
      <c r="K5328" t="s">
        <v>467</v>
      </c>
      <c r="L5328" t="s">
        <v>27137</v>
      </c>
      <c r="M5328">
        <v>320.95100000000002</v>
      </c>
      <c r="N5328" t="s">
        <v>27138</v>
      </c>
      <c r="O5328" t="s">
        <v>26</v>
      </c>
      <c r="R5328">
        <v>99</v>
      </c>
      <c r="T5328" t="s">
        <v>27139</v>
      </c>
    </row>
    <row r="5329" spans="1:20">
      <c r="A5329">
        <v>3412014</v>
      </c>
      <c r="B5329" t="s">
        <v>27140</v>
      </c>
      <c r="C5329" t="str">
        <f>"9780774808965"</f>
        <v>9780774808965</v>
      </c>
      <c r="D5329" t="str">
        <f>"9780774850339"</f>
        <v>9780774850339</v>
      </c>
      <c r="E5329" t="s">
        <v>26801</v>
      </c>
      <c r="F5329" t="s">
        <v>26801</v>
      </c>
      <c r="G5329" s="1">
        <v>37622</v>
      </c>
      <c r="J5329" t="s">
        <v>27141</v>
      </c>
      <c r="K5329" t="s">
        <v>4403</v>
      </c>
      <c r="L5329" t="s">
        <v>27142</v>
      </c>
      <c r="M5329">
        <v>179.3</v>
      </c>
      <c r="N5329" t="s">
        <v>27143</v>
      </c>
      <c r="O5329" t="s">
        <v>26</v>
      </c>
      <c r="R5329">
        <v>99</v>
      </c>
      <c r="T5329" t="s">
        <v>27144</v>
      </c>
    </row>
    <row r="5330" spans="1:20">
      <c r="A5330">
        <v>3412015</v>
      </c>
      <c r="B5330" t="s">
        <v>27145</v>
      </c>
      <c r="C5330" t="str">
        <f>"9780774809009"</f>
        <v>9780774809009</v>
      </c>
      <c r="D5330" t="str">
        <f>"9780774850230"</f>
        <v>9780774850230</v>
      </c>
      <c r="E5330" t="s">
        <v>26801</v>
      </c>
      <c r="F5330" t="s">
        <v>26801</v>
      </c>
      <c r="G5330" s="1">
        <v>37622</v>
      </c>
      <c r="I5330" t="s">
        <v>26889</v>
      </c>
      <c r="J5330" t="s">
        <v>27146</v>
      </c>
      <c r="K5330" t="s">
        <v>291</v>
      </c>
      <c r="L5330" t="s">
        <v>27147</v>
      </c>
      <c r="M5330">
        <v>971.1</v>
      </c>
      <c r="N5330" t="s">
        <v>27148</v>
      </c>
      <c r="O5330" t="s">
        <v>26</v>
      </c>
      <c r="R5330">
        <v>99</v>
      </c>
      <c r="T5330" t="s">
        <v>27149</v>
      </c>
    </row>
    <row r="5331" spans="1:20">
      <c r="A5331">
        <v>3412016</v>
      </c>
      <c r="B5331" t="s">
        <v>27150</v>
      </c>
      <c r="C5331" t="str">
        <f>"9780774809580"</f>
        <v>9780774809580</v>
      </c>
      <c r="D5331" t="str">
        <f>"9780774850353"</f>
        <v>9780774850353</v>
      </c>
      <c r="E5331" t="s">
        <v>26801</v>
      </c>
      <c r="F5331" t="s">
        <v>26801</v>
      </c>
      <c r="G5331" s="1">
        <v>37622</v>
      </c>
      <c r="J5331" t="s">
        <v>27151</v>
      </c>
      <c r="K5331" t="s">
        <v>263</v>
      </c>
      <c r="L5331" t="s">
        <v>27152</v>
      </c>
      <c r="M5331" t="s">
        <v>27153</v>
      </c>
      <c r="N5331" t="s">
        <v>27154</v>
      </c>
      <c r="O5331" t="s">
        <v>26</v>
      </c>
      <c r="R5331">
        <v>99</v>
      </c>
      <c r="T5331" t="s">
        <v>27155</v>
      </c>
    </row>
    <row r="5332" spans="1:20">
      <c r="A5332">
        <v>3412017</v>
      </c>
      <c r="B5332" t="s">
        <v>27156</v>
      </c>
      <c r="C5332" t="str">
        <f>"9780774807302"</f>
        <v>9780774807302</v>
      </c>
      <c r="D5332" t="str">
        <f>"9780774850711"</f>
        <v>9780774850711</v>
      </c>
      <c r="E5332" t="s">
        <v>26801</v>
      </c>
      <c r="F5332" t="s">
        <v>26801</v>
      </c>
      <c r="G5332" s="1">
        <v>36647</v>
      </c>
      <c r="J5332" t="s">
        <v>27157</v>
      </c>
      <c r="K5332" t="s">
        <v>291</v>
      </c>
      <c r="L5332" t="s">
        <v>27158</v>
      </c>
      <c r="M5332" t="s">
        <v>27159</v>
      </c>
      <c r="N5332" t="s">
        <v>27160</v>
      </c>
      <c r="O5332" t="s">
        <v>26</v>
      </c>
      <c r="R5332">
        <v>99</v>
      </c>
      <c r="T5332" t="s">
        <v>27161</v>
      </c>
    </row>
    <row r="5333" spans="1:20">
      <c r="A5333">
        <v>3412018</v>
      </c>
      <c r="B5333" t="s">
        <v>27162</v>
      </c>
      <c r="C5333" t="str">
        <f>"9780774808620"</f>
        <v>9780774808620</v>
      </c>
      <c r="D5333" t="str">
        <f>"9780774850087"</f>
        <v>9780774850087</v>
      </c>
      <c r="E5333" t="s">
        <v>26801</v>
      </c>
      <c r="F5333" t="s">
        <v>26801</v>
      </c>
      <c r="G5333" s="1">
        <v>37135</v>
      </c>
      <c r="I5333" t="s">
        <v>26986</v>
      </c>
      <c r="J5333" t="s">
        <v>27163</v>
      </c>
      <c r="K5333" t="s">
        <v>6444</v>
      </c>
      <c r="L5333" t="s">
        <v>27164</v>
      </c>
      <c r="M5333">
        <v>327.71</v>
      </c>
      <c r="N5333" t="s">
        <v>27165</v>
      </c>
      <c r="O5333" t="s">
        <v>26</v>
      </c>
      <c r="R5333">
        <v>99</v>
      </c>
      <c r="T5333" t="s">
        <v>27166</v>
      </c>
    </row>
    <row r="5334" spans="1:20">
      <c r="A5334">
        <v>3412019</v>
      </c>
      <c r="B5334" t="s">
        <v>27167</v>
      </c>
      <c r="C5334" t="str">
        <f>"9780774809795"</f>
        <v>9780774809795</v>
      </c>
      <c r="D5334" t="str">
        <f>"9780774850483"</f>
        <v>9780774850483</v>
      </c>
      <c r="E5334" t="s">
        <v>26801</v>
      </c>
      <c r="F5334" t="s">
        <v>26801</v>
      </c>
      <c r="G5334" s="1">
        <v>37681</v>
      </c>
      <c r="J5334" t="s">
        <v>27168</v>
      </c>
      <c r="K5334" t="s">
        <v>291</v>
      </c>
      <c r="L5334" t="s">
        <v>27169</v>
      </c>
      <c r="M5334" t="s">
        <v>27170</v>
      </c>
      <c r="N5334" t="s">
        <v>27171</v>
      </c>
      <c r="O5334" t="s">
        <v>26</v>
      </c>
      <c r="R5334">
        <v>99</v>
      </c>
      <c r="T5334" t="s">
        <v>27172</v>
      </c>
    </row>
    <row r="5335" spans="1:20">
      <c r="A5335">
        <v>3412020</v>
      </c>
      <c r="B5335" t="s">
        <v>27173</v>
      </c>
      <c r="C5335" t="str">
        <f>"9780774810234"</f>
        <v>9780774810234</v>
      </c>
      <c r="D5335" t="str">
        <f>"9780774850506"</f>
        <v>9780774850506</v>
      </c>
      <c r="E5335" t="s">
        <v>26801</v>
      </c>
      <c r="F5335" t="s">
        <v>26801</v>
      </c>
      <c r="G5335" s="1">
        <v>37987</v>
      </c>
      <c r="J5335" t="s">
        <v>27174</v>
      </c>
      <c r="K5335" t="s">
        <v>257</v>
      </c>
      <c r="L5335" t="s">
        <v>27175</v>
      </c>
      <c r="M5335">
        <v>378.71</v>
      </c>
      <c r="N5335" t="s">
        <v>27176</v>
      </c>
      <c r="O5335" t="s">
        <v>26</v>
      </c>
      <c r="R5335">
        <v>99</v>
      </c>
      <c r="T5335" t="s">
        <v>27177</v>
      </c>
    </row>
    <row r="5336" spans="1:20">
      <c r="A5336">
        <v>3412021</v>
      </c>
      <c r="B5336" t="s">
        <v>27178</v>
      </c>
      <c r="C5336" t="str">
        <f>"9780774809696"</f>
        <v>9780774809696</v>
      </c>
      <c r="D5336" t="str">
        <f>"9780774850438"</f>
        <v>9780774850438</v>
      </c>
      <c r="E5336" t="s">
        <v>26801</v>
      </c>
      <c r="F5336" t="s">
        <v>26801</v>
      </c>
      <c r="G5336" s="1">
        <v>37803</v>
      </c>
      <c r="J5336" t="s">
        <v>27179</v>
      </c>
      <c r="K5336" t="s">
        <v>416</v>
      </c>
      <c r="L5336" t="s">
        <v>27180</v>
      </c>
      <c r="M5336">
        <v>331.25</v>
      </c>
      <c r="N5336" t="s">
        <v>27181</v>
      </c>
      <c r="O5336" t="s">
        <v>26</v>
      </c>
      <c r="R5336">
        <v>99</v>
      </c>
      <c r="T5336" t="s">
        <v>27182</v>
      </c>
    </row>
    <row r="5337" spans="1:20">
      <c r="A5337">
        <v>3412022</v>
      </c>
      <c r="B5337" t="s">
        <v>27183</v>
      </c>
      <c r="C5337" t="str">
        <f>"9780774808606"</f>
        <v>9780774808606</v>
      </c>
      <c r="D5337" t="str">
        <f>"9780774850155"</f>
        <v>9780774850155</v>
      </c>
      <c r="E5337" t="s">
        <v>26801</v>
      </c>
      <c r="F5337" t="s">
        <v>26801</v>
      </c>
      <c r="G5337" s="1">
        <v>37257</v>
      </c>
      <c r="J5337" t="s">
        <v>27184</v>
      </c>
      <c r="K5337" t="s">
        <v>1550</v>
      </c>
      <c r="L5337" t="s">
        <v>27185</v>
      </c>
      <c r="M5337" t="s">
        <v>27186</v>
      </c>
      <c r="N5337" t="s">
        <v>27187</v>
      </c>
      <c r="O5337" t="s">
        <v>26</v>
      </c>
      <c r="R5337">
        <v>99</v>
      </c>
      <c r="T5337" t="s">
        <v>27188</v>
      </c>
    </row>
    <row r="5338" spans="1:20">
      <c r="A5338">
        <v>3412023</v>
      </c>
      <c r="B5338" t="s">
        <v>27189</v>
      </c>
      <c r="C5338" t="str">
        <f>"9780774808866"</f>
        <v>9780774808866</v>
      </c>
      <c r="D5338" t="str">
        <f>"9780774850261"</f>
        <v>9780774850261</v>
      </c>
      <c r="E5338" t="s">
        <v>26801</v>
      </c>
      <c r="F5338" t="s">
        <v>26801</v>
      </c>
      <c r="G5338" s="1">
        <v>39356</v>
      </c>
      <c r="I5338" t="s">
        <v>26935</v>
      </c>
      <c r="J5338" t="s">
        <v>27190</v>
      </c>
      <c r="K5338" t="s">
        <v>263</v>
      </c>
      <c r="L5338" t="s">
        <v>27191</v>
      </c>
      <c r="M5338">
        <v>303.33097099999998</v>
      </c>
      <c r="N5338" t="s">
        <v>27192</v>
      </c>
      <c r="O5338" t="s">
        <v>26</v>
      </c>
      <c r="R5338">
        <v>99</v>
      </c>
      <c r="T5338" t="s">
        <v>27193</v>
      </c>
    </row>
    <row r="5339" spans="1:20">
      <c r="A5339">
        <v>3412024</v>
      </c>
      <c r="B5339" t="s">
        <v>27194</v>
      </c>
      <c r="C5339" t="str">
        <f>"9780774809757"</f>
        <v>9780774809757</v>
      </c>
      <c r="D5339" t="str">
        <f>"9780774850476"</f>
        <v>9780774850476</v>
      </c>
      <c r="E5339" t="s">
        <v>26801</v>
      </c>
      <c r="F5339" t="s">
        <v>26801</v>
      </c>
      <c r="G5339" s="1">
        <v>37803</v>
      </c>
      <c r="J5339" t="s">
        <v>27195</v>
      </c>
      <c r="K5339" t="s">
        <v>6444</v>
      </c>
      <c r="L5339" t="s">
        <v>27196</v>
      </c>
      <c r="M5339" t="s">
        <v>24172</v>
      </c>
      <c r="N5339" t="s">
        <v>27197</v>
      </c>
      <c r="O5339" t="s">
        <v>26</v>
      </c>
      <c r="R5339">
        <v>99</v>
      </c>
      <c r="T5339" t="s">
        <v>27198</v>
      </c>
    </row>
    <row r="5340" spans="1:20">
      <c r="A5340">
        <v>3412025</v>
      </c>
      <c r="B5340" t="s">
        <v>27199</v>
      </c>
      <c r="C5340" t="str">
        <f>"9780774811569"</f>
        <v>9780774811569</v>
      </c>
      <c r="D5340" t="str">
        <f>"9780774851558"</f>
        <v>9780774851558</v>
      </c>
      <c r="E5340" t="s">
        <v>26801</v>
      </c>
      <c r="F5340" t="s">
        <v>26801</v>
      </c>
      <c r="G5340" s="1">
        <v>38718</v>
      </c>
      <c r="J5340" t="s">
        <v>27141</v>
      </c>
      <c r="K5340" t="s">
        <v>27200</v>
      </c>
      <c r="L5340" t="s">
        <v>27201</v>
      </c>
      <c r="M5340" t="s">
        <v>6293</v>
      </c>
      <c r="N5340" t="s">
        <v>27202</v>
      </c>
      <c r="O5340" t="s">
        <v>26</v>
      </c>
      <c r="R5340">
        <v>99</v>
      </c>
      <c r="T5340" t="s">
        <v>27203</v>
      </c>
    </row>
    <row r="5341" spans="1:20">
      <c r="A5341">
        <v>3412026</v>
      </c>
      <c r="B5341" t="s">
        <v>27204</v>
      </c>
      <c r="C5341" t="str">
        <f>"9780774809337"</f>
        <v>9780774809337</v>
      </c>
      <c r="D5341" t="str">
        <f>"9780774850940"</f>
        <v>9780774850940</v>
      </c>
      <c r="E5341" t="s">
        <v>26801</v>
      </c>
      <c r="F5341" t="s">
        <v>26801</v>
      </c>
      <c r="G5341" s="1">
        <v>37956</v>
      </c>
      <c r="J5341" t="s">
        <v>27205</v>
      </c>
      <c r="K5341" t="s">
        <v>467</v>
      </c>
      <c r="L5341" t="s">
        <v>27206</v>
      </c>
      <c r="M5341">
        <v>320.8</v>
      </c>
      <c r="N5341" t="s">
        <v>27207</v>
      </c>
      <c r="O5341" t="s">
        <v>26</v>
      </c>
      <c r="R5341">
        <v>99</v>
      </c>
      <c r="T5341" t="s">
        <v>27208</v>
      </c>
    </row>
    <row r="5342" spans="1:20">
      <c r="A5342">
        <v>3412027</v>
      </c>
      <c r="B5342" t="s">
        <v>27209</v>
      </c>
      <c r="C5342" t="str">
        <f>"9780774810746"</f>
        <v>9780774810746</v>
      </c>
      <c r="D5342" t="str">
        <f>"9780774851251"</f>
        <v>9780774851251</v>
      </c>
      <c r="E5342" t="s">
        <v>26801</v>
      </c>
      <c r="F5342" t="s">
        <v>26801</v>
      </c>
      <c r="G5342" s="1">
        <v>37956</v>
      </c>
      <c r="J5342" t="s">
        <v>27210</v>
      </c>
      <c r="K5342" t="s">
        <v>1530</v>
      </c>
      <c r="L5342" t="s">
        <v>27211</v>
      </c>
      <c r="M5342" t="s">
        <v>27212</v>
      </c>
      <c r="N5342" t="s">
        <v>27213</v>
      </c>
      <c r="O5342" t="s">
        <v>26</v>
      </c>
      <c r="R5342">
        <v>99</v>
      </c>
      <c r="T5342" t="s">
        <v>27214</v>
      </c>
    </row>
    <row r="5343" spans="1:20">
      <c r="A5343">
        <v>3412028</v>
      </c>
      <c r="B5343" t="s">
        <v>27215</v>
      </c>
      <c r="C5343" t="str">
        <f>"9780774810944"</f>
        <v>9780774810944</v>
      </c>
      <c r="D5343" t="str">
        <f>"9780774851114"</f>
        <v>9780774851114</v>
      </c>
      <c r="E5343" t="s">
        <v>26801</v>
      </c>
      <c r="F5343" t="s">
        <v>26801</v>
      </c>
      <c r="G5343" s="1">
        <v>38200</v>
      </c>
      <c r="J5343" t="s">
        <v>27216</v>
      </c>
      <c r="K5343" t="s">
        <v>291</v>
      </c>
      <c r="L5343" t="s">
        <v>27217</v>
      </c>
      <c r="M5343" t="s">
        <v>27218</v>
      </c>
      <c r="N5343" t="s">
        <v>27219</v>
      </c>
      <c r="O5343" t="s">
        <v>26</v>
      </c>
      <c r="R5343">
        <v>99</v>
      </c>
      <c r="T5343" t="s">
        <v>27220</v>
      </c>
    </row>
    <row r="5344" spans="1:20">
      <c r="A5344">
        <v>3412029</v>
      </c>
      <c r="B5344" t="s">
        <v>27221</v>
      </c>
      <c r="C5344" t="str">
        <f>"9780774810685"</f>
        <v>9780774810685</v>
      </c>
      <c r="D5344" t="str">
        <f>"9780774851350"</f>
        <v>9780774851350</v>
      </c>
      <c r="E5344" t="s">
        <v>26801</v>
      </c>
      <c r="F5344" t="s">
        <v>26801</v>
      </c>
      <c r="G5344" s="1">
        <v>38534</v>
      </c>
      <c r="J5344" t="s">
        <v>27222</v>
      </c>
      <c r="K5344" t="s">
        <v>467</v>
      </c>
      <c r="L5344" t="s">
        <v>27223</v>
      </c>
      <c r="M5344">
        <v>320.971</v>
      </c>
      <c r="N5344" t="s">
        <v>27224</v>
      </c>
      <c r="O5344" t="s">
        <v>26</v>
      </c>
      <c r="R5344">
        <v>99</v>
      </c>
      <c r="T5344" t="s">
        <v>27225</v>
      </c>
    </row>
    <row r="5345" spans="1:20">
      <c r="A5345">
        <v>3412030</v>
      </c>
      <c r="B5345" t="s">
        <v>27226</v>
      </c>
      <c r="C5345" t="str">
        <f>"9780774810760"</f>
        <v>9780774810760</v>
      </c>
      <c r="D5345" t="str">
        <f>"9780774851152"</f>
        <v>9780774851152</v>
      </c>
      <c r="E5345" t="s">
        <v>26801</v>
      </c>
      <c r="F5345" t="s">
        <v>26801</v>
      </c>
      <c r="G5345" s="1">
        <v>37956</v>
      </c>
      <c r="I5345" t="s">
        <v>26935</v>
      </c>
      <c r="J5345" t="s">
        <v>27227</v>
      </c>
      <c r="K5345" t="s">
        <v>263</v>
      </c>
      <c r="L5345" t="s">
        <v>27228</v>
      </c>
      <c r="M5345" t="s">
        <v>27229</v>
      </c>
      <c r="N5345" t="s">
        <v>27230</v>
      </c>
      <c r="O5345" t="s">
        <v>26</v>
      </c>
      <c r="R5345">
        <v>99</v>
      </c>
      <c r="T5345" t="s">
        <v>27231</v>
      </c>
    </row>
    <row r="5346" spans="1:20">
      <c r="A5346">
        <v>3412031</v>
      </c>
      <c r="B5346" t="s">
        <v>27232</v>
      </c>
      <c r="C5346" t="str">
        <f>"9780774811316"</f>
        <v>9780774811316</v>
      </c>
      <c r="D5346" t="str">
        <f>"9780774851633"</f>
        <v>9780774851633</v>
      </c>
      <c r="E5346" t="s">
        <v>26801</v>
      </c>
      <c r="F5346" t="s">
        <v>26801</v>
      </c>
      <c r="G5346" s="1">
        <v>38412</v>
      </c>
      <c r="I5346" t="s">
        <v>26935</v>
      </c>
      <c r="J5346" t="s">
        <v>27233</v>
      </c>
      <c r="K5346" t="s">
        <v>525</v>
      </c>
      <c r="L5346" t="s">
        <v>27234</v>
      </c>
      <c r="M5346" t="s">
        <v>27235</v>
      </c>
      <c r="N5346" t="s">
        <v>27236</v>
      </c>
      <c r="O5346" t="s">
        <v>26</v>
      </c>
      <c r="R5346">
        <v>115</v>
      </c>
      <c r="T5346" t="s">
        <v>27237</v>
      </c>
    </row>
    <row r="5347" spans="1:20">
      <c r="A5347">
        <v>3412032</v>
      </c>
      <c r="B5347" t="s">
        <v>27238</v>
      </c>
      <c r="C5347" t="str">
        <f>"9780774810524"</f>
        <v>9780774810524</v>
      </c>
      <c r="D5347" t="str">
        <f>"9780774851060"</f>
        <v>9780774851060</v>
      </c>
      <c r="E5347" t="s">
        <v>26801</v>
      </c>
      <c r="F5347" t="s">
        <v>26801</v>
      </c>
      <c r="G5347" s="1">
        <v>38122</v>
      </c>
      <c r="I5347" t="s">
        <v>26935</v>
      </c>
      <c r="J5347" t="s">
        <v>27239</v>
      </c>
      <c r="K5347" t="s">
        <v>525</v>
      </c>
      <c r="L5347" t="s">
        <v>27240</v>
      </c>
      <c r="M5347" t="s">
        <v>27241</v>
      </c>
      <c r="N5347" t="s">
        <v>27242</v>
      </c>
      <c r="O5347" t="s">
        <v>26</v>
      </c>
      <c r="R5347">
        <v>99</v>
      </c>
      <c r="T5347" t="s">
        <v>27243</v>
      </c>
    </row>
    <row r="5348" spans="1:20">
      <c r="A5348">
        <v>3412033</v>
      </c>
      <c r="B5348" t="s">
        <v>27244</v>
      </c>
      <c r="C5348" t="str">
        <f>"9780774809429"</f>
        <v>9780774809429</v>
      </c>
      <c r="D5348" t="str">
        <f>"9780774850902"</f>
        <v>9780774850902</v>
      </c>
      <c r="E5348" t="s">
        <v>26801</v>
      </c>
      <c r="F5348" t="s">
        <v>26801</v>
      </c>
      <c r="G5348" s="1">
        <v>37956</v>
      </c>
      <c r="I5348" t="s">
        <v>26935</v>
      </c>
      <c r="J5348" t="s">
        <v>27245</v>
      </c>
      <c r="K5348" t="s">
        <v>1186</v>
      </c>
      <c r="L5348" t="s">
        <v>27246</v>
      </c>
      <c r="M5348" t="s">
        <v>27247</v>
      </c>
      <c r="N5348" t="s">
        <v>27248</v>
      </c>
      <c r="O5348" t="s">
        <v>26</v>
      </c>
      <c r="R5348">
        <v>99</v>
      </c>
      <c r="T5348" t="s">
        <v>27249</v>
      </c>
    </row>
    <row r="5349" spans="1:20">
      <c r="A5349">
        <v>3412034</v>
      </c>
      <c r="B5349" t="s">
        <v>27250</v>
      </c>
      <c r="C5349" t="str">
        <f>"9780774809467"</f>
        <v>9780774809467</v>
      </c>
      <c r="D5349" t="str">
        <f>"9780774850896"</f>
        <v>9780774850896</v>
      </c>
      <c r="E5349" t="s">
        <v>26801</v>
      </c>
      <c r="F5349" t="s">
        <v>26801</v>
      </c>
      <c r="G5349" s="1">
        <v>37956</v>
      </c>
      <c r="I5349" t="s">
        <v>26935</v>
      </c>
      <c r="J5349" t="s">
        <v>27251</v>
      </c>
      <c r="K5349" t="s">
        <v>14194</v>
      </c>
      <c r="L5349" t="s">
        <v>27252</v>
      </c>
      <c r="M5349" t="s">
        <v>21679</v>
      </c>
      <c r="N5349" t="s">
        <v>27253</v>
      </c>
      <c r="O5349" t="s">
        <v>26</v>
      </c>
      <c r="R5349">
        <v>99</v>
      </c>
      <c r="T5349" t="s">
        <v>27254</v>
      </c>
    </row>
    <row r="5350" spans="1:20">
      <c r="A5350">
        <v>3412035</v>
      </c>
      <c r="B5350" t="s">
        <v>27255</v>
      </c>
      <c r="C5350" t="str">
        <f>"9780774811606"</f>
        <v>9780774811606</v>
      </c>
      <c r="D5350" t="str">
        <f>"9780774851480"</f>
        <v>9780774851480</v>
      </c>
      <c r="E5350" t="s">
        <v>26801</v>
      </c>
      <c r="F5350" t="s">
        <v>26801</v>
      </c>
      <c r="G5350" s="1">
        <v>38322</v>
      </c>
      <c r="J5350" t="s">
        <v>27256</v>
      </c>
      <c r="K5350" t="s">
        <v>263</v>
      </c>
      <c r="L5350" t="s">
        <v>27257</v>
      </c>
      <c r="M5350" t="s">
        <v>27258</v>
      </c>
      <c r="N5350" t="s">
        <v>27259</v>
      </c>
      <c r="O5350" t="s">
        <v>26</v>
      </c>
      <c r="R5350">
        <v>99</v>
      </c>
      <c r="T5350" t="s">
        <v>27260</v>
      </c>
    </row>
    <row r="5351" spans="1:20">
      <c r="A5351">
        <v>3412036</v>
      </c>
      <c r="B5351" t="s">
        <v>27261</v>
      </c>
      <c r="C5351" t="str">
        <f>"9780774811545"</f>
        <v>9780774811545</v>
      </c>
      <c r="D5351" t="str">
        <f>"9780774851541"</f>
        <v>9780774851541</v>
      </c>
      <c r="E5351" t="s">
        <v>26801</v>
      </c>
      <c r="F5351" t="s">
        <v>26801</v>
      </c>
      <c r="G5351" s="1">
        <v>38322</v>
      </c>
      <c r="I5351" t="s">
        <v>26935</v>
      </c>
      <c r="J5351" t="s">
        <v>27262</v>
      </c>
      <c r="K5351" t="s">
        <v>525</v>
      </c>
      <c r="L5351" t="s">
        <v>27263</v>
      </c>
      <c r="M5351" t="s">
        <v>27264</v>
      </c>
      <c r="N5351" t="s">
        <v>27265</v>
      </c>
      <c r="O5351" t="s">
        <v>26</v>
      </c>
      <c r="R5351">
        <v>99</v>
      </c>
      <c r="T5351" t="s">
        <v>27266</v>
      </c>
    </row>
    <row r="5352" spans="1:20">
      <c r="A5352">
        <v>3412037</v>
      </c>
      <c r="B5352" t="s">
        <v>27267</v>
      </c>
      <c r="C5352" t="str">
        <f>"9780774811620"</f>
        <v>9780774811620</v>
      </c>
      <c r="D5352" t="str">
        <f>"9780774851466"</f>
        <v>9780774851466</v>
      </c>
      <c r="E5352" t="s">
        <v>26801</v>
      </c>
      <c r="F5352" t="s">
        <v>26801</v>
      </c>
      <c r="G5352" s="1">
        <v>38322</v>
      </c>
      <c r="I5352" t="s">
        <v>26935</v>
      </c>
      <c r="J5352" t="s">
        <v>27268</v>
      </c>
      <c r="K5352" t="s">
        <v>525</v>
      </c>
      <c r="L5352" t="s">
        <v>27269</v>
      </c>
      <c r="M5352" t="s">
        <v>27270</v>
      </c>
      <c r="N5352" t="s">
        <v>27271</v>
      </c>
      <c r="O5352" t="s">
        <v>26</v>
      </c>
      <c r="R5352">
        <v>115</v>
      </c>
      <c r="T5352" t="s">
        <v>27272</v>
      </c>
    </row>
    <row r="5353" spans="1:20">
      <c r="A5353">
        <v>3412038</v>
      </c>
      <c r="B5353" t="s">
        <v>27273</v>
      </c>
      <c r="C5353" t="str">
        <f>"9780774811040"</f>
        <v>9780774811040</v>
      </c>
      <c r="D5353" t="str">
        <f>"9780774851183"</f>
        <v>9780774851183</v>
      </c>
      <c r="E5353" t="s">
        <v>26801</v>
      </c>
      <c r="F5353" t="s">
        <v>26801</v>
      </c>
      <c r="G5353" s="1">
        <v>38261</v>
      </c>
      <c r="J5353" t="s">
        <v>27274</v>
      </c>
      <c r="K5353" t="s">
        <v>574</v>
      </c>
      <c r="L5353" t="s">
        <v>27275</v>
      </c>
      <c r="M5353" t="s">
        <v>27276</v>
      </c>
      <c r="N5353" t="s">
        <v>27277</v>
      </c>
      <c r="O5353" t="s">
        <v>26</v>
      </c>
      <c r="R5353">
        <v>99</v>
      </c>
      <c r="T5353" t="s">
        <v>27278</v>
      </c>
    </row>
    <row r="5354" spans="1:20">
      <c r="A5354">
        <v>3412039</v>
      </c>
      <c r="B5354" t="s">
        <v>27279</v>
      </c>
      <c r="C5354" t="str">
        <f>"9780774810708"</f>
        <v>9780774810708</v>
      </c>
      <c r="D5354" t="str">
        <f>"9780774851206"</f>
        <v>9780774851206</v>
      </c>
      <c r="E5354" t="s">
        <v>26801</v>
      </c>
      <c r="F5354" t="s">
        <v>26801</v>
      </c>
      <c r="G5354" s="1">
        <v>38261</v>
      </c>
      <c r="J5354" t="s">
        <v>27280</v>
      </c>
      <c r="K5354" t="s">
        <v>263</v>
      </c>
      <c r="L5354" t="s">
        <v>27281</v>
      </c>
      <c r="M5354" t="s">
        <v>27282</v>
      </c>
      <c r="N5354" t="s">
        <v>27283</v>
      </c>
      <c r="O5354" t="s">
        <v>26</v>
      </c>
      <c r="R5354">
        <v>99</v>
      </c>
      <c r="T5354" t="s">
        <v>27284</v>
      </c>
    </row>
    <row r="5355" spans="1:20">
      <c r="A5355">
        <v>3412040</v>
      </c>
      <c r="B5355" t="s">
        <v>27285</v>
      </c>
      <c r="C5355" t="str">
        <f>"9780774809122"</f>
        <v>9780774809122</v>
      </c>
      <c r="D5355" t="str">
        <f>"9780774851077"</f>
        <v>9780774851077</v>
      </c>
      <c r="E5355" t="s">
        <v>26801</v>
      </c>
      <c r="F5355" t="s">
        <v>26801</v>
      </c>
      <c r="G5355" s="1">
        <v>37956</v>
      </c>
      <c r="J5355" t="s">
        <v>27286</v>
      </c>
      <c r="K5355" t="s">
        <v>291</v>
      </c>
      <c r="L5355" t="s">
        <v>27287</v>
      </c>
      <c r="M5355" t="s">
        <v>27288</v>
      </c>
      <c r="N5355" t="s">
        <v>27289</v>
      </c>
      <c r="O5355" t="s">
        <v>26</v>
      </c>
      <c r="R5355">
        <v>99</v>
      </c>
      <c r="T5355" t="s">
        <v>27290</v>
      </c>
    </row>
    <row r="5356" spans="1:20">
      <c r="A5356">
        <v>3412041</v>
      </c>
      <c r="B5356" t="s">
        <v>27291</v>
      </c>
      <c r="C5356" t="str">
        <f>"9780774810500"</f>
        <v>9780774810500</v>
      </c>
      <c r="D5356" t="str">
        <f>"9780774851015"</f>
        <v>9780774851015</v>
      </c>
      <c r="E5356" t="s">
        <v>26801</v>
      </c>
      <c r="F5356" t="s">
        <v>26801</v>
      </c>
      <c r="G5356" s="1">
        <v>37956</v>
      </c>
      <c r="J5356" t="s">
        <v>27292</v>
      </c>
      <c r="K5356" t="s">
        <v>525</v>
      </c>
      <c r="L5356" t="s">
        <v>27293</v>
      </c>
      <c r="N5356" t="s">
        <v>27294</v>
      </c>
      <c r="O5356" t="s">
        <v>26</v>
      </c>
      <c r="R5356">
        <v>99</v>
      </c>
      <c r="T5356" t="s">
        <v>27295</v>
      </c>
    </row>
    <row r="5357" spans="1:20">
      <c r="A5357">
        <v>3412042</v>
      </c>
      <c r="B5357" t="s">
        <v>27296</v>
      </c>
      <c r="C5357" t="str">
        <f>"9780774810722"</f>
        <v>9780774810722</v>
      </c>
      <c r="D5357" t="str">
        <f>"9780774851367"</f>
        <v>9780774851367</v>
      </c>
      <c r="E5357" t="s">
        <v>26801</v>
      </c>
      <c r="F5357" t="s">
        <v>26801</v>
      </c>
      <c r="G5357" s="1">
        <v>37956</v>
      </c>
      <c r="I5357" t="s">
        <v>26935</v>
      </c>
      <c r="J5357" t="s">
        <v>27297</v>
      </c>
      <c r="K5357" t="s">
        <v>525</v>
      </c>
      <c r="L5357" t="s">
        <v>27298</v>
      </c>
      <c r="M5357">
        <v>346.04</v>
      </c>
      <c r="N5357" t="s">
        <v>27299</v>
      </c>
      <c r="O5357" t="s">
        <v>26</v>
      </c>
      <c r="R5357">
        <v>99</v>
      </c>
      <c r="T5357" t="s">
        <v>27300</v>
      </c>
    </row>
    <row r="5358" spans="1:20">
      <c r="A5358">
        <v>3412043</v>
      </c>
      <c r="B5358" t="s">
        <v>27301</v>
      </c>
      <c r="C5358" t="str">
        <f>"9780774811224"</f>
        <v>9780774811224</v>
      </c>
      <c r="D5358" t="str">
        <f>"9780774851329"</f>
        <v>9780774851329</v>
      </c>
      <c r="E5358" t="s">
        <v>26801</v>
      </c>
      <c r="F5358" t="s">
        <v>26801</v>
      </c>
      <c r="G5358" s="1">
        <v>37956</v>
      </c>
      <c r="I5358" t="s">
        <v>26935</v>
      </c>
      <c r="J5358" t="s">
        <v>27302</v>
      </c>
      <c r="K5358" t="s">
        <v>1186</v>
      </c>
      <c r="L5358" t="s">
        <v>27303</v>
      </c>
      <c r="M5358" t="s">
        <v>27304</v>
      </c>
      <c r="N5358" t="s">
        <v>27305</v>
      </c>
      <c r="O5358" t="s">
        <v>26</v>
      </c>
      <c r="R5358">
        <v>99</v>
      </c>
      <c r="T5358" t="s">
        <v>27306</v>
      </c>
    </row>
    <row r="5359" spans="1:20">
      <c r="A5359">
        <v>3412044</v>
      </c>
      <c r="B5359" t="s">
        <v>27307</v>
      </c>
      <c r="C5359" t="str">
        <f>"9780774809443"</f>
        <v>9780774809443</v>
      </c>
      <c r="D5359" t="str">
        <f>"9780774851145"</f>
        <v>9780774851145</v>
      </c>
      <c r="E5359" t="s">
        <v>26801</v>
      </c>
      <c r="F5359" t="s">
        <v>26801</v>
      </c>
      <c r="G5359" s="1">
        <v>38534</v>
      </c>
      <c r="I5359" t="s">
        <v>26843</v>
      </c>
      <c r="J5359" t="s">
        <v>27308</v>
      </c>
      <c r="K5359" t="s">
        <v>1063</v>
      </c>
      <c r="L5359" t="s">
        <v>27309</v>
      </c>
      <c r="M5359">
        <v>333.72</v>
      </c>
      <c r="N5359" t="s">
        <v>27310</v>
      </c>
      <c r="O5359" t="s">
        <v>26</v>
      </c>
      <c r="R5359">
        <v>99</v>
      </c>
      <c r="T5359" t="s">
        <v>27311</v>
      </c>
    </row>
    <row r="5360" spans="1:20">
      <c r="A5360">
        <v>3412045</v>
      </c>
      <c r="B5360" t="s">
        <v>27312</v>
      </c>
      <c r="C5360" t="str">
        <f>"9780774811767"</f>
        <v>9780774811767</v>
      </c>
      <c r="D5360" t="str">
        <f>"9780774851503"</f>
        <v>9780774851503</v>
      </c>
      <c r="E5360" t="s">
        <v>26801</v>
      </c>
      <c r="F5360" t="s">
        <v>26801</v>
      </c>
      <c r="G5360" s="1">
        <v>38322</v>
      </c>
      <c r="I5360" t="s">
        <v>26935</v>
      </c>
      <c r="J5360" t="s">
        <v>27313</v>
      </c>
      <c r="K5360" t="s">
        <v>525</v>
      </c>
      <c r="L5360" t="s">
        <v>27314</v>
      </c>
      <c r="M5360" t="s">
        <v>27315</v>
      </c>
      <c r="N5360" t="s">
        <v>27316</v>
      </c>
      <c r="O5360" t="s">
        <v>26</v>
      </c>
      <c r="R5360">
        <v>99</v>
      </c>
      <c r="T5360" t="s">
        <v>27317</v>
      </c>
    </row>
    <row r="5361" spans="1:20">
      <c r="A5361">
        <v>3412046</v>
      </c>
      <c r="B5361" t="s">
        <v>27318</v>
      </c>
      <c r="C5361" t="str">
        <f>"9780774810265"</f>
        <v>9780774810265</v>
      </c>
      <c r="D5361" t="str">
        <f>"9780774850957"</f>
        <v>9780774850957</v>
      </c>
      <c r="E5361" t="s">
        <v>26801</v>
      </c>
      <c r="F5361" t="s">
        <v>26801</v>
      </c>
      <c r="G5361" s="1">
        <v>38353</v>
      </c>
      <c r="J5361" t="s">
        <v>27319</v>
      </c>
      <c r="K5361" t="s">
        <v>525</v>
      </c>
      <c r="L5361" t="s">
        <v>27320</v>
      </c>
      <c r="M5361" t="s">
        <v>27321</v>
      </c>
      <c r="N5361" t="s">
        <v>27322</v>
      </c>
      <c r="O5361" t="s">
        <v>26</v>
      </c>
      <c r="R5361">
        <v>99</v>
      </c>
      <c r="T5361" t="s">
        <v>27323</v>
      </c>
    </row>
    <row r="5362" spans="1:20">
      <c r="A5362">
        <v>3412047</v>
      </c>
      <c r="B5362" t="s">
        <v>27324</v>
      </c>
      <c r="C5362" t="str">
        <f>"9780774811293"</f>
        <v>9780774811293</v>
      </c>
      <c r="D5362" t="str">
        <f>"9780774851572"</f>
        <v>9780774851572</v>
      </c>
      <c r="E5362" t="s">
        <v>26801</v>
      </c>
      <c r="F5362" t="s">
        <v>26801</v>
      </c>
      <c r="G5362" s="1">
        <v>38322</v>
      </c>
      <c r="I5362" t="s">
        <v>26935</v>
      </c>
      <c r="J5362" t="s">
        <v>27325</v>
      </c>
      <c r="K5362" t="s">
        <v>525</v>
      </c>
      <c r="L5362" t="s">
        <v>27326</v>
      </c>
      <c r="N5362" t="s">
        <v>27327</v>
      </c>
      <c r="O5362" t="s">
        <v>26</v>
      </c>
      <c r="R5362">
        <v>99</v>
      </c>
      <c r="T5362" t="s">
        <v>27328</v>
      </c>
    </row>
    <row r="5363" spans="1:20">
      <c r="A5363">
        <v>3412048</v>
      </c>
      <c r="B5363" t="s">
        <v>27329</v>
      </c>
      <c r="C5363" t="str">
        <f>"9780774810562"</f>
        <v>9780774810562</v>
      </c>
      <c r="D5363" t="str">
        <f>"9780774851091"</f>
        <v>9780774851091</v>
      </c>
      <c r="E5363" t="s">
        <v>26801</v>
      </c>
      <c r="F5363" t="s">
        <v>26801</v>
      </c>
      <c r="G5363" s="1">
        <v>38534</v>
      </c>
      <c r="J5363" t="s">
        <v>27330</v>
      </c>
      <c r="K5363" t="s">
        <v>525</v>
      </c>
      <c r="L5363" t="s">
        <v>27331</v>
      </c>
      <c r="N5363" t="s">
        <v>27332</v>
      </c>
      <c r="O5363" t="s">
        <v>26</v>
      </c>
      <c r="R5363">
        <v>99</v>
      </c>
      <c r="T5363" t="s">
        <v>27333</v>
      </c>
    </row>
    <row r="5364" spans="1:20">
      <c r="A5364">
        <v>3412049</v>
      </c>
      <c r="B5364" t="s">
        <v>27334</v>
      </c>
      <c r="C5364" t="str">
        <f>"9780774811910"</f>
        <v>9780774811910</v>
      </c>
      <c r="D5364" t="str">
        <f>"9780774851510"</f>
        <v>9780774851510</v>
      </c>
      <c r="E5364" t="s">
        <v>26801</v>
      </c>
      <c r="F5364" t="s">
        <v>26801</v>
      </c>
      <c r="G5364" s="1">
        <v>38322</v>
      </c>
      <c r="I5364" t="s">
        <v>26818</v>
      </c>
      <c r="J5364" t="s">
        <v>26819</v>
      </c>
      <c r="K5364" t="s">
        <v>525</v>
      </c>
      <c r="L5364" t="s">
        <v>27335</v>
      </c>
      <c r="M5364">
        <v>349.71</v>
      </c>
      <c r="N5364" t="s">
        <v>27336</v>
      </c>
      <c r="O5364" t="s">
        <v>26</v>
      </c>
      <c r="R5364">
        <v>99</v>
      </c>
      <c r="T5364" t="s">
        <v>27337</v>
      </c>
    </row>
    <row r="5365" spans="1:20">
      <c r="A5365">
        <v>3412050</v>
      </c>
      <c r="B5365" t="s">
        <v>27338</v>
      </c>
      <c r="C5365" t="str">
        <f>"9780774811644"</f>
        <v>9780774811644</v>
      </c>
      <c r="D5365" t="str">
        <f>"9780774851381"</f>
        <v>9780774851381</v>
      </c>
      <c r="E5365" t="s">
        <v>26801</v>
      </c>
      <c r="F5365" t="s">
        <v>26801</v>
      </c>
      <c r="G5365" s="1">
        <v>38483</v>
      </c>
      <c r="I5365" t="s">
        <v>26935</v>
      </c>
      <c r="J5365" t="s">
        <v>27339</v>
      </c>
      <c r="K5365" t="s">
        <v>568</v>
      </c>
      <c r="L5365" t="s">
        <v>27340</v>
      </c>
      <c r="M5365" t="s">
        <v>27341</v>
      </c>
      <c r="N5365" t="s">
        <v>27342</v>
      </c>
      <c r="O5365" t="s">
        <v>26</v>
      </c>
      <c r="R5365">
        <v>99</v>
      </c>
      <c r="T5365" t="s">
        <v>27343</v>
      </c>
    </row>
    <row r="5366" spans="1:20">
      <c r="A5366">
        <v>3412051</v>
      </c>
      <c r="B5366" t="s">
        <v>27344</v>
      </c>
      <c r="C5366" t="str">
        <f>"9780774810135"</f>
        <v>9780774810135</v>
      </c>
      <c r="D5366" t="str">
        <f>"9780774851244"</f>
        <v>9780774851244</v>
      </c>
      <c r="E5366" t="s">
        <v>26801</v>
      </c>
      <c r="F5366" t="s">
        <v>26801</v>
      </c>
      <c r="G5366" s="1">
        <v>38534</v>
      </c>
      <c r="J5366" t="s">
        <v>27345</v>
      </c>
      <c r="K5366" t="s">
        <v>291</v>
      </c>
      <c r="L5366" t="s">
        <v>27346</v>
      </c>
      <c r="M5366" t="s">
        <v>27347</v>
      </c>
      <c r="N5366" t="s">
        <v>27348</v>
      </c>
      <c r="O5366" t="s">
        <v>26</v>
      </c>
      <c r="R5366">
        <v>99</v>
      </c>
      <c r="T5366" t="s">
        <v>27349</v>
      </c>
    </row>
    <row r="5367" spans="1:20">
      <c r="A5367">
        <v>3412052</v>
      </c>
      <c r="B5367" t="s">
        <v>27350</v>
      </c>
      <c r="C5367" t="str">
        <f>"9780774811125"</f>
        <v>9780774811125</v>
      </c>
      <c r="D5367" t="str">
        <f>"9780774851428"</f>
        <v>9780774851428</v>
      </c>
      <c r="E5367" t="s">
        <v>26801</v>
      </c>
      <c r="F5367" t="s">
        <v>26801</v>
      </c>
      <c r="G5367" s="1">
        <v>38322</v>
      </c>
      <c r="I5367" t="s">
        <v>26935</v>
      </c>
      <c r="J5367" t="s">
        <v>27351</v>
      </c>
      <c r="K5367" t="s">
        <v>525</v>
      </c>
      <c r="L5367" t="s">
        <v>27352</v>
      </c>
      <c r="M5367" t="s">
        <v>27264</v>
      </c>
      <c r="N5367" t="s">
        <v>27353</v>
      </c>
      <c r="O5367" t="s">
        <v>26</v>
      </c>
      <c r="R5367">
        <v>99</v>
      </c>
      <c r="T5367" t="s">
        <v>27354</v>
      </c>
    </row>
    <row r="5368" spans="1:20">
      <c r="A5368">
        <v>3412053</v>
      </c>
      <c r="B5368" t="s">
        <v>27355</v>
      </c>
      <c r="C5368" t="str">
        <f>"9780774809238"</f>
        <v>9780774809238</v>
      </c>
      <c r="D5368" t="str">
        <f>"9780774850995"</f>
        <v>9780774850995</v>
      </c>
      <c r="E5368" t="s">
        <v>26801</v>
      </c>
      <c r="F5368" t="s">
        <v>26801</v>
      </c>
      <c r="G5368" s="1">
        <v>37956</v>
      </c>
      <c r="I5368" t="s">
        <v>26924</v>
      </c>
      <c r="J5368" t="s">
        <v>27356</v>
      </c>
      <c r="K5368" t="s">
        <v>291</v>
      </c>
      <c r="L5368" t="s">
        <v>27357</v>
      </c>
      <c r="M5368">
        <v>971.06299999999999</v>
      </c>
      <c r="N5368" t="s">
        <v>27358</v>
      </c>
      <c r="O5368" t="s">
        <v>26</v>
      </c>
      <c r="R5368">
        <v>99</v>
      </c>
      <c r="T5368" t="s">
        <v>27359</v>
      </c>
    </row>
    <row r="5369" spans="1:20">
      <c r="A5369">
        <v>3412054</v>
      </c>
      <c r="B5369" t="s">
        <v>27360</v>
      </c>
      <c r="C5369" t="str">
        <f>"9780774811149"</f>
        <v>9780774811149</v>
      </c>
      <c r="D5369" t="str">
        <f>"9780774851312"</f>
        <v>9780774851312</v>
      </c>
      <c r="E5369" t="s">
        <v>26801</v>
      </c>
      <c r="F5369" t="s">
        <v>26801</v>
      </c>
      <c r="G5369" s="1">
        <v>37956</v>
      </c>
      <c r="J5369" t="s">
        <v>27361</v>
      </c>
      <c r="K5369" t="s">
        <v>257</v>
      </c>
      <c r="L5369" t="s">
        <v>27362</v>
      </c>
      <c r="M5369" t="s">
        <v>27363</v>
      </c>
      <c r="N5369" t="s">
        <v>27364</v>
      </c>
      <c r="O5369" t="s">
        <v>26</v>
      </c>
      <c r="R5369">
        <v>99</v>
      </c>
      <c r="T5369" t="s">
        <v>27365</v>
      </c>
    </row>
    <row r="5370" spans="1:20">
      <c r="A5370">
        <v>3412055</v>
      </c>
      <c r="B5370" t="s">
        <v>27366</v>
      </c>
      <c r="C5370" t="str">
        <f>"9780774810845"</f>
        <v>9780774810845</v>
      </c>
      <c r="D5370" t="str">
        <f>"9780774851053"</f>
        <v>9780774851053</v>
      </c>
      <c r="E5370" t="s">
        <v>26801</v>
      </c>
      <c r="F5370" t="s">
        <v>26801</v>
      </c>
      <c r="G5370" s="1">
        <v>38353</v>
      </c>
      <c r="J5370" t="s">
        <v>27367</v>
      </c>
      <c r="K5370" t="s">
        <v>7621</v>
      </c>
      <c r="L5370" t="s">
        <v>27368</v>
      </c>
      <c r="M5370" t="s">
        <v>27369</v>
      </c>
      <c r="N5370" t="s">
        <v>27370</v>
      </c>
      <c r="O5370" t="s">
        <v>26</v>
      </c>
      <c r="R5370">
        <v>99</v>
      </c>
      <c r="T5370" t="s">
        <v>27371</v>
      </c>
    </row>
    <row r="5371" spans="1:20">
      <c r="A5371">
        <v>3412056</v>
      </c>
      <c r="B5371" t="s">
        <v>27372</v>
      </c>
      <c r="C5371" t="str">
        <f>"9780774810821"</f>
        <v>9780774810821</v>
      </c>
      <c r="D5371" t="str">
        <f>"9780774851022"</f>
        <v>9780774851022</v>
      </c>
      <c r="E5371" t="s">
        <v>26801</v>
      </c>
      <c r="F5371" t="s">
        <v>26801</v>
      </c>
      <c r="G5371" s="1">
        <v>37956</v>
      </c>
      <c r="I5371" t="s">
        <v>26935</v>
      </c>
      <c r="J5371" t="s">
        <v>27373</v>
      </c>
      <c r="K5371" t="s">
        <v>525</v>
      </c>
      <c r="L5371" t="s">
        <v>27374</v>
      </c>
      <c r="M5371" t="s">
        <v>27375</v>
      </c>
      <c r="N5371" t="s">
        <v>27376</v>
      </c>
      <c r="O5371" t="s">
        <v>26</v>
      </c>
      <c r="R5371">
        <v>99</v>
      </c>
      <c r="T5371" t="s">
        <v>27377</v>
      </c>
    </row>
    <row r="5372" spans="1:20">
      <c r="A5372">
        <v>3412057</v>
      </c>
      <c r="B5372" t="s">
        <v>27378</v>
      </c>
      <c r="C5372" t="str">
        <f>"9780774810548"</f>
        <v>9780774810548</v>
      </c>
      <c r="D5372" t="str">
        <f>"9780774851220"</f>
        <v>9780774851220</v>
      </c>
      <c r="E5372" t="s">
        <v>26801</v>
      </c>
      <c r="F5372" t="s">
        <v>26801</v>
      </c>
      <c r="G5372" s="1">
        <v>37956</v>
      </c>
      <c r="J5372" t="s">
        <v>27379</v>
      </c>
      <c r="K5372" t="s">
        <v>27380</v>
      </c>
      <c r="L5372" t="s">
        <v>27381</v>
      </c>
      <c r="M5372" t="s">
        <v>27382</v>
      </c>
      <c r="N5372" t="s">
        <v>27383</v>
      </c>
      <c r="O5372" t="s">
        <v>26</v>
      </c>
      <c r="R5372">
        <v>99</v>
      </c>
      <c r="T5372" t="s">
        <v>27384</v>
      </c>
    </row>
    <row r="5373" spans="1:20">
      <c r="A5373">
        <v>3412058</v>
      </c>
      <c r="B5373" t="s">
        <v>27385</v>
      </c>
      <c r="C5373" t="str">
        <f>"9780774811200"</f>
        <v>9780774811200</v>
      </c>
      <c r="D5373" t="str">
        <f>"9780774851336"</f>
        <v>9780774851336</v>
      </c>
      <c r="E5373" t="s">
        <v>26801</v>
      </c>
      <c r="F5373" t="s">
        <v>26801</v>
      </c>
      <c r="G5373" s="1">
        <v>37956</v>
      </c>
      <c r="J5373" t="s">
        <v>27386</v>
      </c>
      <c r="K5373" t="s">
        <v>467</v>
      </c>
      <c r="L5373" t="s">
        <v>27387</v>
      </c>
      <c r="M5373" t="s">
        <v>27388</v>
      </c>
      <c r="N5373" t="s">
        <v>27389</v>
      </c>
      <c r="O5373" t="s">
        <v>26</v>
      </c>
      <c r="R5373">
        <v>115</v>
      </c>
      <c r="T5373" t="s">
        <v>27390</v>
      </c>
    </row>
    <row r="5374" spans="1:20">
      <c r="A5374">
        <v>3412059</v>
      </c>
      <c r="B5374" t="s">
        <v>27391</v>
      </c>
      <c r="C5374" t="str">
        <f>"9780774811330"</f>
        <v>9780774811330</v>
      </c>
      <c r="D5374" t="str">
        <f>"9780774851534"</f>
        <v>9780774851534</v>
      </c>
      <c r="E5374" t="s">
        <v>26801</v>
      </c>
      <c r="F5374" t="s">
        <v>26801</v>
      </c>
      <c r="G5374" s="1">
        <v>38412</v>
      </c>
      <c r="J5374" t="s">
        <v>27392</v>
      </c>
      <c r="K5374" t="s">
        <v>27393</v>
      </c>
      <c r="L5374" t="s">
        <v>27394</v>
      </c>
      <c r="M5374" t="s">
        <v>3097</v>
      </c>
      <c r="N5374" t="s">
        <v>27395</v>
      </c>
      <c r="O5374" t="s">
        <v>26</v>
      </c>
      <c r="R5374">
        <v>99</v>
      </c>
      <c r="T5374" t="s">
        <v>27396</v>
      </c>
    </row>
    <row r="5375" spans="1:20">
      <c r="A5375">
        <v>3412060</v>
      </c>
      <c r="B5375" t="s">
        <v>27397</v>
      </c>
      <c r="C5375" t="str">
        <f>"9780774811484"</f>
        <v>9780774811484</v>
      </c>
      <c r="D5375" t="str">
        <f>"9780774851435"</f>
        <v>9780774851435</v>
      </c>
      <c r="E5375" t="s">
        <v>26801</v>
      </c>
      <c r="F5375" t="s">
        <v>26801</v>
      </c>
      <c r="G5375" s="1">
        <v>38469</v>
      </c>
      <c r="I5375" t="s">
        <v>26924</v>
      </c>
      <c r="J5375" t="s">
        <v>27398</v>
      </c>
      <c r="K5375" t="s">
        <v>10339</v>
      </c>
      <c r="L5375" t="s">
        <v>27399</v>
      </c>
      <c r="M5375" t="s">
        <v>27400</v>
      </c>
      <c r="N5375" t="s">
        <v>27401</v>
      </c>
      <c r="O5375" t="s">
        <v>26</v>
      </c>
      <c r="R5375">
        <v>99</v>
      </c>
      <c r="T5375" t="s">
        <v>27402</v>
      </c>
    </row>
    <row r="5376" spans="1:20">
      <c r="A5376">
        <v>3412061</v>
      </c>
      <c r="B5376" t="s">
        <v>27403</v>
      </c>
      <c r="C5376" t="str">
        <f>"9780774810968"</f>
        <v>9780774810968</v>
      </c>
      <c r="D5376" t="str">
        <f>"9780774851527"</f>
        <v>9780774851527</v>
      </c>
      <c r="E5376" t="s">
        <v>26801</v>
      </c>
      <c r="F5376" t="s">
        <v>26801</v>
      </c>
      <c r="G5376" s="1">
        <v>38418</v>
      </c>
      <c r="J5376" t="s">
        <v>27404</v>
      </c>
      <c r="K5376" t="s">
        <v>467</v>
      </c>
      <c r="L5376" t="s">
        <v>27405</v>
      </c>
      <c r="M5376" t="s">
        <v>27406</v>
      </c>
      <c r="N5376" t="s">
        <v>27407</v>
      </c>
      <c r="O5376" t="s">
        <v>26</v>
      </c>
      <c r="R5376">
        <v>99</v>
      </c>
      <c r="T5376" t="s">
        <v>27408</v>
      </c>
    </row>
    <row r="5377" spans="1:20">
      <c r="A5377">
        <v>3412062</v>
      </c>
      <c r="B5377" t="s">
        <v>27409</v>
      </c>
      <c r="C5377" t="str">
        <f>"9780774811439"</f>
        <v>9780774811439</v>
      </c>
      <c r="D5377" t="str">
        <f>"9780774851411"</f>
        <v>9780774851411</v>
      </c>
      <c r="E5377" t="s">
        <v>26801</v>
      </c>
      <c r="F5377" t="s">
        <v>26801</v>
      </c>
      <c r="G5377" s="1">
        <v>38473</v>
      </c>
      <c r="I5377" t="s">
        <v>26843</v>
      </c>
      <c r="J5377" t="s">
        <v>27410</v>
      </c>
      <c r="K5377" t="s">
        <v>263</v>
      </c>
      <c r="L5377" t="s">
        <v>27411</v>
      </c>
      <c r="M5377" t="s">
        <v>27412</v>
      </c>
      <c r="N5377" t="s">
        <v>27413</v>
      </c>
      <c r="O5377" t="s">
        <v>26</v>
      </c>
      <c r="R5377">
        <v>115</v>
      </c>
      <c r="T5377" t="s">
        <v>27414</v>
      </c>
    </row>
    <row r="5378" spans="1:20">
      <c r="A5378">
        <v>3412063</v>
      </c>
      <c r="B5378" t="s">
        <v>27415</v>
      </c>
      <c r="C5378" t="str">
        <f>"9780774811088"</f>
        <v>9780774811088</v>
      </c>
      <c r="D5378" t="str">
        <f>"9780774851213"</f>
        <v>9780774851213</v>
      </c>
      <c r="E5378" t="s">
        <v>26801</v>
      </c>
      <c r="F5378" t="s">
        <v>26801</v>
      </c>
      <c r="G5378" s="1">
        <v>37956</v>
      </c>
      <c r="I5378" t="s">
        <v>26924</v>
      </c>
      <c r="J5378" t="s">
        <v>20289</v>
      </c>
      <c r="K5378" t="s">
        <v>291</v>
      </c>
      <c r="L5378" t="s">
        <v>27416</v>
      </c>
      <c r="M5378" t="s">
        <v>27417</v>
      </c>
      <c r="N5378" t="s">
        <v>27418</v>
      </c>
      <c r="O5378" t="s">
        <v>26</v>
      </c>
      <c r="R5378">
        <v>99</v>
      </c>
      <c r="T5378" t="s">
        <v>27419</v>
      </c>
    </row>
    <row r="5379" spans="1:20">
      <c r="A5379">
        <v>3412064</v>
      </c>
      <c r="B5379" t="s">
        <v>27420</v>
      </c>
      <c r="C5379" t="str">
        <f>"9780774811897"</f>
        <v>9780774811897</v>
      </c>
      <c r="D5379" t="str">
        <f>"9780774851565"</f>
        <v>9780774851565</v>
      </c>
      <c r="E5379" t="s">
        <v>26801</v>
      </c>
      <c r="F5379" t="s">
        <v>26801</v>
      </c>
      <c r="G5379" s="1">
        <v>39356</v>
      </c>
      <c r="J5379" t="s">
        <v>27421</v>
      </c>
      <c r="K5379" t="s">
        <v>3230</v>
      </c>
      <c r="L5379" t="s">
        <v>27422</v>
      </c>
      <c r="M5379" t="s">
        <v>27423</v>
      </c>
      <c r="N5379" t="s">
        <v>27424</v>
      </c>
      <c r="O5379" t="s">
        <v>26</v>
      </c>
      <c r="R5379">
        <v>99</v>
      </c>
      <c r="T5379" t="s">
        <v>27425</v>
      </c>
    </row>
    <row r="5380" spans="1:20">
      <c r="A5380">
        <v>3412065</v>
      </c>
      <c r="B5380" t="s">
        <v>27426</v>
      </c>
      <c r="C5380" t="str">
        <f>"9780774810005"</f>
        <v>9780774810005</v>
      </c>
      <c r="D5380" t="str">
        <f>"9780774851473"</f>
        <v>9780774851473</v>
      </c>
      <c r="E5380" t="s">
        <v>26801</v>
      </c>
      <c r="F5380" t="s">
        <v>26801</v>
      </c>
      <c r="G5380" s="1">
        <v>38322</v>
      </c>
      <c r="I5380" t="s">
        <v>26935</v>
      </c>
      <c r="J5380" t="s">
        <v>27427</v>
      </c>
      <c r="K5380" t="s">
        <v>263</v>
      </c>
      <c r="L5380" t="s">
        <v>27428</v>
      </c>
      <c r="M5380">
        <v>306.09710000000001</v>
      </c>
      <c r="N5380" t="s">
        <v>27429</v>
      </c>
      <c r="O5380" t="s">
        <v>26</v>
      </c>
      <c r="R5380">
        <v>99</v>
      </c>
      <c r="T5380" t="s">
        <v>27430</v>
      </c>
    </row>
    <row r="5381" spans="1:20">
      <c r="A5381">
        <v>3412066</v>
      </c>
      <c r="B5381" t="s">
        <v>27431</v>
      </c>
      <c r="C5381" t="str">
        <f>"9780774809153"</f>
        <v>9780774809153</v>
      </c>
      <c r="D5381" t="str">
        <f>"9780774851299"</f>
        <v>9780774851299</v>
      </c>
      <c r="E5381" t="s">
        <v>26801</v>
      </c>
      <c r="F5381" t="s">
        <v>26801</v>
      </c>
      <c r="G5381" s="1">
        <v>38534</v>
      </c>
      <c r="J5381" t="s">
        <v>27432</v>
      </c>
      <c r="K5381" t="s">
        <v>291</v>
      </c>
      <c r="L5381" t="s">
        <v>27433</v>
      </c>
      <c r="M5381">
        <v>971.06</v>
      </c>
      <c r="N5381" t="s">
        <v>27434</v>
      </c>
      <c r="O5381" t="s">
        <v>26</v>
      </c>
      <c r="R5381">
        <v>99</v>
      </c>
      <c r="T5381" t="s">
        <v>27435</v>
      </c>
    </row>
    <row r="5382" spans="1:20">
      <c r="A5382">
        <v>3412067</v>
      </c>
      <c r="B5382" t="s">
        <v>27436</v>
      </c>
      <c r="C5382" t="str">
        <f>"9780774811163"</f>
        <v>9780774811163</v>
      </c>
      <c r="D5382" t="str">
        <f>"9780774851237"</f>
        <v>9780774851237</v>
      </c>
      <c r="E5382" t="s">
        <v>26801</v>
      </c>
      <c r="F5382" t="s">
        <v>26801</v>
      </c>
      <c r="G5382" s="1">
        <v>38261</v>
      </c>
      <c r="I5382" t="s">
        <v>26935</v>
      </c>
      <c r="J5382" t="s">
        <v>27437</v>
      </c>
      <c r="K5382" t="s">
        <v>1892</v>
      </c>
      <c r="L5382" t="s">
        <v>27438</v>
      </c>
      <c r="M5382" t="s">
        <v>27439</v>
      </c>
      <c r="N5382" t="s">
        <v>27440</v>
      </c>
      <c r="O5382" t="s">
        <v>26</v>
      </c>
      <c r="R5382">
        <v>99</v>
      </c>
      <c r="T5382" t="s">
        <v>27441</v>
      </c>
    </row>
    <row r="5383" spans="1:20">
      <c r="A5383">
        <v>3412068</v>
      </c>
      <c r="B5383" t="s">
        <v>27442</v>
      </c>
      <c r="C5383" t="str">
        <f>"9780774810029"</f>
        <v>9780774810029</v>
      </c>
      <c r="D5383" t="str">
        <f>"9780774850971"</f>
        <v>9780774850971</v>
      </c>
      <c r="E5383" t="s">
        <v>26801</v>
      </c>
      <c r="F5383" t="s">
        <v>26801</v>
      </c>
      <c r="G5383" s="1">
        <v>39448</v>
      </c>
      <c r="I5383" t="s">
        <v>27443</v>
      </c>
      <c r="J5383" t="s">
        <v>27444</v>
      </c>
      <c r="K5383" t="s">
        <v>4081</v>
      </c>
      <c r="L5383" t="s">
        <v>27445</v>
      </c>
      <c r="M5383">
        <v>497.94</v>
      </c>
      <c r="N5383" t="s">
        <v>27446</v>
      </c>
      <c r="O5383" t="s">
        <v>26</v>
      </c>
      <c r="R5383">
        <v>99</v>
      </c>
      <c r="T5383" t="s">
        <v>27447</v>
      </c>
    </row>
    <row r="5384" spans="1:20">
      <c r="A5384">
        <v>3412069</v>
      </c>
      <c r="B5384" t="s">
        <v>27448</v>
      </c>
      <c r="C5384" t="str">
        <f>"9780774810869"</f>
        <v>9780774810869</v>
      </c>
      <c r="D5384" t="str">
        <f>"9780774851039"</f>
        <v>9780774851039</v>
      </c>
      <c r="E5384" t="s">
        <v>26801</v>
      </c>
      <c r="F5384" t="s">
        <v>26801</v>
      </c>
      <c r="G5384" s="1">
        <v>37956</v>
      </c>
      <c r="I5384" t="s">
        <v>26818</v>
      </c>
      <c r="J5384" t="s">
        <v>26819</v>
      </c>
      <c r="K5384" t="s">
        <v>263</v>
      </c>
      <c r="L5384" t="s">
        <v>27449</v>
      </c>
      <c r="M5384">
        <v>364.971</v>
      </c>
      <c r="N5384" t="s">
        <v>27450</v>
      </c>
      <c r="O5384" t="s">
        <v>26</v>
      </c>
      <c r="R5384">
        <v>99</v>
      </c>
      <c r="T5384" t="s">
        <v>27451</v>
      </c>
    </row>
    <row r="5385" spans="1:20">
      <c r="A5385">
        <v>3412070</v>
      </c>
      <c r="B5385" t="s">
        <v>27452</v>
      </c>
      <c r="C5385" t="str">
        <f>"9780774811415"</f>
        <v>9780774811415</v>
      </c>
      <c r="D5385" t="str">
        <f>"9780774851619"</f>
        <v>9780774851619</v>
      </c>
      <c r="E5385" t="s">
        <v>26801</v>
      </c>
      <c r="F5385" t="s">
        <v>26801</v>
      </c>
      <c r="G5385" s="1">
        <v>38718</v>
      </c>
      <c r="J5385" t="s">
        <v>27453</v>
      </c>
      <c r="K5385" t="s">
        <v>27454</v>
      </c>
      <c r="L5385" t="s">
        <v>27455</v>
      </c>
      <c r="M5385" t="s">
        <v>7747</v>
      </c>
      <c r="N5385" t="s">
        <v>27456</v>
      </c>
      <c r="O5385" t="s">
        <v>26</v>
      </c>
      <c r="R5385">
        <v>99</v>
      </c>
      <c r="T5385" t="s">
        <v>27457</v>
      </c>
    </row>
    <row r="5386" spans="1:20">
      <c r="A5386">
        <v>3412071</v>
      </c>
      <c r="B5386" t="s">
        <v>27458</v>
      </c>
      <c r="C5386" t="str">
        <f>"9780774809382"</f>
        <v>9780774809382</v>
      </c>
      <c r="D5386" t="str">
        <f>"9780774851008"</f>
        <v>9780774851008</v>
      </c>
      <c r="E5386" t="s">
        <v>26801</v>
      </c>
      <c r="F5386" t="s">
        <v>26801</v>
      </c>
      <c r="G5386" s="1">
        <v>38292</v>
      </c>
      <c r="J5386" t="s">
        <v>27459</v>
      </c>
      <c r="K5386" t="s">
        <v>291</v>
      </c>
      <c r="L5386" t="s">
        <v>27460</v>
      </c>
      <c r="M5386" t="s">
        <v>27461</v>
      </c>
      <c r="N5386" t="s">
        <v>27462</v>
      </c>
      <c r="O5386" t="s">
        <v>26</v>
      </c>
      <c r="R5386">
        <v>99</v>
      </c>
      <c r="T5386" t="s">
        <v>27463</v>
      </c>
    </row>
    <row r="5387" spans="1:20">
      <c r="A5387">
        <v>3412072</v>
      </c>
      <c r="B5387" t="s">
        <v>27464</v>
      </c>
      <c r="C5387" t="str">
        <f>"9780774810586"</f>
        <v>9780774810586</v>
      </c>
      <c r="D5387" t="str">
        <f>"9780774851343"</f>
        <v>9780774851343</v>
      </c>
      <c r="E5387" t="s">
        <v>26801</v>
      </c>
      <c r="F5387" t="s">
        <v>26801</v>
      </c>
      <c r="G5387" s="1">
        <v>38353</v>
      </c>
      <c r="J5387" t="s">
        <v>27465</v>
      </c>
      <c r="K5387" t="s">
        <v>416</v>
      </c>
      <c r="L5387" t="s">
        <v>27466</v>
      </c>
      <c r="M5387" t="s">
        <v>27467</v>
      </c>
      <c r="N5387" t="s">
        <v>27468</v>
      </c>
      <c r="O5387" t="s">
        <v>26</v>
      </c>
      <c r="R5387">
        <v>99</v>
      </c>
      <c r="T5387" t="s">
        <v>27469</v>
      </c>
    </row>
    <row r="5388" spans="1:20">
      <c r="A5388">
        <v>3412073</v>
      </c>
      <c r="B5388" t="s">
        <v>27470</v>
      </c>
      <c r="C5388" t="str">
        <f>"9780774810302"</f>
        <v>9780774810302</v>
      </c>
      <c r="D5388" t="str">
        <f>"9780774850933"</f>
        <v>9780774850933</v>
      </c>
      <c r="E5388" t="s">
        <v>26801</v>
      </c>
      <c r="F5388" t="s">
        <v>26801</v>
      </c>
      <c r="G5388" s="1">
        <v>38078</v>
      </c>
      <c r="J5388" t="s">
        <v>7207</v>
      </c>
      <c r="K5388" t="s">
        <v>1530</v>
      </c>
      <c r="L5388" t="s">
        <v>27471</v>
      </c>
      <c r="M5388" t="s">
        <v>27472</v>
      </c>
      <c r="N5388" t="s">
        <v>27473</v>
      </c>
      <c r="O5388" t="s">
        <v>26</v>
      </c>
      <c r="R5388">
        <v>99</v>
      </c>
      <c r="T5388" t="s">
        <v>27474</v>
      </c>
    </row>
    <row r="5389" spans="1:20">
      <c r="A5389">
        <v>3412074</v>
      </c>
      <c r="B5389" t="s">
        <v>27475</v>
      </c>
      <c r="C5389" t="str">
        <f>"9780774809313"</f>
        <v>9780774809313</v>
      </c>
      <c r="D5389" t="str">
        <f>"9780774851169"</f>
        <v>9780774851169</v>
      </c>
      <c r="E5389" t="s">
        <v>26801</v>
      </c>
      <c r="F5389" t="s">
        <v>26801</v>
      </c>
      <c r="G5389" s="1">
        <v>38292</v>
      </c>
      <c r="J5389" t="s">
        <v>27476</v>
      </c>
      <c r="K5389" t="s">
        <v>467</v>
      </c>
      <c r="L5389" t="s">
        <v>27477</v>
      </c>
      <c r="M5389" t="s">
        <v>27478</v>
      </c>
      <c r="N5389" t="s">
        <v>27479</v>
      </c>
      <c r="O5389" t="s">
        <v>26</v>
      </c>
      <c r="R5389">
        <v>99</v>
      </c>
      <c r="T5389" t="s">
        <v>27480</v>
      </c>
    </row>
    <row r="5390" spans="1:20">
      <c r="A5390">
        <v>3412075</v>
      </c>
      <c r="B5390" t="s">
        <v>27481</v>
      </c>
      <c r="C5390" t="str">
        <f>"9780774809290"</f>
        <v>9780774809290</v>
      </c>
      <c r="D5390" t="str">
        <f>"9780774850872"</f>
        <v>9780774850872</v>
      </c>
      <c r="E5390" t="s">
        <v>26801</v>
      </c>
      <c r="F5390" t="s">
        <v>26801</v>
      </c>
      <c r="G5390" s="1">
        <v>38018</v>
      </c>
      <c r="I5390" t="s">
        <v>27482</v>
      </c>
      <c r="J5390" t="s">
        <v>27483</v>
      </c>
      <c r="K5390" t="s">
        <v>263</v>
      </c>
      <c r="L5390" t="s">
        <v>27484</v>
      </c>
      <c r="M5390" t="s">
        <v>27485</v>
      </c>
      <c r="N5390" t="s">
        <v>27486</v>
      </c>
      <c r="O5390" t="s">
        <v>26</v>
      </c>
      <c r="R5390">
        <v>99</v>
      </c>
      <c r="T5390" t="s">
        <v>27487</v>
      </c>
    </row>
    <row r="5391" spans="1:20">
      <c r="A5391">
        <v>3412076</v>
      </c>
      <c r="B5391" t="s">
        <v>27488</v>
      </c>
      <c r="C5391" t="str">
        <f>"9780774811064"</f>
        <v>9780774811064</v>
      </c>
      <c r="D5391" t="str">
        <f>"9780774851190"</f>
        <v>9780774851190</v>
      </c>
      <c r="E5391" t="s">
        <v>26801</v>
      </c>
      <c r="F5391" t="s">
        <v>26801</v>
      </c>
      <c r="G5391" s="1">
        <v>38534</v>
      </c>
      <c r="J5391" t="s">
        <v>27489</v>
      </c>
      <c r="K5391" t="s">
        <v>1076</v>
      </c>
      <c r="L5391" t="s">
        <v>27490</v>
      </c>
      <c r="M5391" t="s">
        <v>27491</v>
      </c>
      <c r="N5391" t="s">
        <v>27492</v>
      </c>
      <c r="O5391" t="s">
        <v>26</v>
      </c>
      <c r="R5391">
        <v>99</v>
      </c>
      <c r="T5391" t="s">
        <v>27493</v>
      </c>
    </row>
    <row r="5392" spans="1:20">
      <c r="A5392">
        <v>3412077</v>
      </c>
      <c r="B5392" t="s">
        <v>27494</v>
      </c>
      <c r="C5392" t="str">
        <f>"9780774810982"</f>
        <v>9780774810982</v>
      </c>
      <c r="D5392" t="str">
        <f>"9780774851305"</f>
        <v>9780774851305</v>
      </c>
      <c r="E5392" t="s">
        <v>26801</v>
      </c>
      <c r="F5392" t="s">
        <v>26801</v>
      </c>
      <c r="G5392" s="1">
        <v>38534</v>
      </c>
      <c r="I5392" t="s">
        <v>27495</v>
      </c>
      <c r="J5392" t="s">
        <v>27496</v>
      </c>
      <c r="K5392" t="s">
        <v>291</v>
      </c>
      <c r="L5392" t="s">
        <v>27497</v>
      </c>
      <c r="N5392" t="s">
        <v>27498</v>
      </c>
      <c r="O5392" t="s">
        <v>26</v>
      </c>
      <c r="R5392">
        <v>99</v>
      </c>
      <c r="T5392" t="s">
        <v>27499</v>
      </c>
    </row>
    <row r="5393" spans="1:20">
      <c r="A5393">
        <v>3412078</v>
      </c>
      <c r="B5393" t="s">
        <v>27500</v>
      </c>
      <c r="C5393" t="str">
        <f>"9780774810920"</f>
        <v>9780774810920</v>
      </c>
      <c r="D5393" t="str">
        <f>"9780774851282"</f>
        <v>9780774851282</v>
      </c>
      <c r="E5393" t="s">
        <v>26801</v>
      </c>
      <c r="F5393" t="s">
        <v>26801</v>
      </c>
      <c r="G5393" s="1">
        <v>37956</v>
      </c>
      <c r="J5393" t="s">
        <v>27501</v>
      </c>
      <c r="K5393" t="s">
        <v>263</v>
      </c>
      <c r="L5393" t="s">
        <v>27502</v>
      </c>
      <c r="M5393" t="s">
        <v>27503</v>
      </c>
      <c r="N5393" t="s">
        <v>27504</v>
      </c>
      <c r="O5393" t="s">
        <v>26</v>
      </c>
      <c r="R5393">
        <v>99</v>
      </c>
      <c r="T5393" t="s">
        <v>27505</v>
      </c>
    </row>
    <row r="5394" spans="1:20">
      <c r="A5394">
        <v>3412079</v>
      </c>
      <c r="B5394" t="s">
        <v>27506</v>
      </c>
      <c r="C5394" t="str">
        <f>"9780774811187"</f>
        <v>9780774811187</v>
      </c>
      <c r="D5394" t="str">
        <f>"9780774851275"</f>
        <v>9780774851275</v>
      </c>
      <c r="E5394" t="s">
        <v>26801</v>
      </c>
      <c r="F5394" t="s">
        <v>26801</v>
      </c>
      <c r="G5394" s="1">
        <v>38426</v>
      </c>
      <c r="J5394" t="s">
        <v>27507</v>
      </c>
      <c r="K5394" t="s">
        <v>278</v>
      </c>
      <c r="L5394" t="s">
        <v>27508</v>
      </c>
      <c r="M5394" t="s">
        <v>27509</v>
      </c>
      <c r="N5394" t="s">
        <v>27510</v>
      </c>
      <c r="O5394" t="s">
        <v>26</v>
      </c>
      <c r="R5394">
        <v>115</v>
      </c>
      <c r="T5394" t="s">
        <v>27511</v>
      </c>
    </row>
    <row r="5395" spans="1:20">
      <c r="A5395">
        <v>3412080</v>
      </c>
      <c r="B5395" t="s">
        <v>27512</v>
      </c>
      <c r="C5395" t="str">
        <f>"9780774811880"</f>
        <v>9780774811880</v>
      </c>
      <c r="D5395" t="str">
        <f>"9780774851459"</f>
        <v>9780774851459</v>
      </c>
      <c r="E5395" t="s">
        <v>26801</v>
      </c>
      <c r="F5395" t="s">
        <v>26801</v>
      </c>
      <c r="G5395" s="1">
        <v>38483</v>
      </c>
      <c r="H5395">
        <v>2</v>
      </c>
      <c r="J5395" t="s">
        <v>27513</v>
      </c>
      <c r="K5395" t="s">
        <v>435</v>
      </c>
      <c r="L5395" t="s">
        <v>27514</v>
      </c>
      <c r="M5395" t="s">
        <v>27515</v>
      </c>
      <c r="N5395" t="s">
        <v>27516</v>
      </c>
      <c r="O5395" t="s">
        <v>26</v>
      </c>
      <c r="R5395">
        <v>115</v>
      </c>
      <c r="T5395" t="s">
        <v>27517</v>
      </c>
    </row>
    <row r="5396" spans="1:20">
      <c r="A5396">
        <v>3412081</v>
      </c>
      <c r="B5396" t="s">
        <v>27518</v>
      </c>
      <c r="C5396" t="str">
        <f>"9780774810463"</f>
        <v>9780774810463</v>
      </c>
      <c r="D5396" t="str">
        <f>"9780774851947"</f>
        <v>9780774851947</v>
      </c>
      <c r="E5396" t="s">
        <v>26801</v>
      </c>
      <c r="F5396" t="s">
        <v>26801</v>
      </c>
      <c r="G5396" s="1">
        <v>38169</v>
      </c>
      <c r="J5396" t="s">
        <v>27519</v>
      </c>
      <c r="K5396" t="s">
        <v>6444</v>
      </c>
      <c r="L5396" t="s">
        <v>27520</v>
      </c>
      <c r="M5396" t="s">
        <v>27521</v>
      </c>
      <c r="N5396" t="s">
        <v>27522</v>
      </c>
      <c r="O5396" t="s">
        <v>26</v>
      </c>
      <c r="R5396">
        <v>99</v>
      </c>
      <c r="T5396" t="s">
        <v>27523</v>
      </c>
    </row>
    <row r="5397" spans="1:20">
      <c r="A5397">
        <v>3412082</v>
      </c>
      <c r="B5397" t="s">
        <v>27524</v>
      </c>
      <c r="C5397" t="str">
        <f>"9780774810906"</f>
        <v>9780774810906</v>
      </c>
      <c r="D5397" t="str">
        <f>"9780774851770"</f>
        <v>9780774851770</v>
      </c>
      <c r="E5397" t="s">
        <v>26801</v>
      </c>
      <c r="F5397" t="s">
        <v>26801</v>
      </c>
      <c r="G5397" s="1">
        <v>38322</v>
      </c>
      <c r="J5397" t="s">
        <v>27525</v>
      </c>
      <c r="K5397" t="s">
        <v>4081</v>
      </c>
      <c r="L5397" t="s">
        <v>27526</v>
      </c>
      <c r="M5397" t="s">
        <v>27527</v>
      </c>
      <c r="N5397" t="s">
        <v>27528</v>
      </c>
      <c r="O5397" t="s">
        <v>26</v>
      </c>
      <c r="R5397">
        <v>150</v>
      </c>
      <c r="T5397" t="s">
        <v>27529</v>
      </c>
    </row>
    <row r="5398" spans="1:20">
      <c r="A5398">
        <v>3412083</v>
      </c>
      <c r="B5398" t="s">
        <v>27530</v>
      </c>
      <c r="C5398" t="str">
        <f>"9780774809832"</f>
        <v>9780774809832</v>
      </c>
      <c r="D5398" t="str">
        <f>"9780774851886"</f>
        <v>9780774851886</v>
      </c>
      <c r="E5398" t="s">
        <v>26801</v>
      </c>
      <c r="F5398" t="s">
        <v>26801</v>
      </c>
      <c r="G5398" s="1">
        <v>37895</v>
      </c>
      <c r="J5398" t="s">
        <v>27531</v>
      </c>
      <c r="K5398" t="s">
        <v>6444</v>
      </c>
      <c r="L5398" t="s">
        <v>27532</v>
      </c>
      <c r="M5398" t="s">
        <v>27533</v>
      </c>
      <c r="N5398" t="s">
        <v>27534</v>
      </c>
      <c r="O5398" t="s">
        <v>26</v>
      </c>
      <c r="R5398">
        <v>115</v>
      </c>
      <c r="T5398" t="s">
        <v>27535</v>
      </c>
    </row>
    <row r="5399" spans="1:20">
      <c r="A5399">
        <v>3412084</v>
      </c>
      <c r="B5399" t="s">
        <v>27536</v>
      </c>
      <c r="C5399" t="str">
        <f>"9780774809481"</f>
        <v>9780774809481</v>
      </c>
      <c r="D5399" t="str">
        <f>"9780774851107"</f>
        <v>9780774851107</v>
      </c>
      <c r="E5399" t="s">
        <v>26801</v>
      </c>
      <c r="F5399" t="s">
        <v>26801</v>
      </c>
      <c r="G5399" s="1">
        <v>39356</v>
      </c>
      <c r="J5399" t="s">
        <v>27537</v>
      </c>
      <c r="K5399" t="s">
        <v>1892</v>
      </c>
      <c r="L5399" t="s">
        <v>27538</v>
      </c>
      <c r="M5399" t="s">
        <v>27539</v>
      </c>
      <c r="N5399" t="s">
        <v>27540</v>
      </c>
      <c r="O5399" t="s">
        <v>26</v>
      </c>
      <c r="R5399">
        <v>115</v>
      </c>
      <c r="T5399" t="s">
        <v>27541</v>
      </c>
    </row>
    <row r="5400" spans="1:20">
      <c r="A5400">
        <v>3412085</v>
      </c>
      <c r="B5400" t="s">
        <v>27542</v>
      </c>
      <c r="C5400" t="str">
        <f>"9780774809108"</f>
        <v>9780774809108</v>
      </c>
      <c r="D5400" t="str">
        <f>"9780774851848"</f>
        <v>9780774851848</v>
      </c>
      <c r="E5400" t="s">
        <v>26801</v>
      </c>
      <c r="F5400" t="s">
        <v>26801</v>
      </c>
      <c r="G5400" s="1">
        <v>37940</v>
      </c>
      <c r="I5400" t="s">
        <v>26924</v>
      </c>
      <c r="J5400" t="s">
        <v>4346</v>
      </c>
      <c r="K5400" t="s">
        <v>4347</v>
      </c>
      <c r="L5400" t="s">
        <v>27543</v>
      </c>
      <c r="M5400">
        <v>359</v>
      </c>
      <c r="N5400" t="s">
        <v>27544</v>
      </c>
      <c r="O5400" t="s">
        <v>26</v>
      </c>
      <c r="R5400">
        <v>99</v>
      </c>
      <c r="T5400" t="s">
        <v>27545</v>
      </c>
    </row>
    <row r="5401" spans="1:20">
      <c r="A5401">
        <v>3412086</v>
      </c>
      <c r="B5401" t="s">
        <v>27546</v>
      </c>
      <c r="C5401" t="str">
        <f>"9780774807715"</f>
        <v>9780774807715</v>
      </c>
      <c r="D5401" t="str">
        <f>"9780774852050"</f>
        <v>9780774852050</v>
      </c>
      <c r="E5401" t="s">
        <v>26801</v>
      </c>
      <c r="F5401" t="s">
        <v>26801</v>
      </c>
      <c r="G5401" s="1">
        <v>36861</v>
      </c>
      <c r="J5401" t="s">
        <v>27547</v>
      </c>
      <c r="K5401" t="s">
        <v>257</v>
      </c>
      <c r="L5401" t="s">
        <v>27548</v>
      </c>
      <c r="M5401" t="s">
        <v>27549</v>
      </c>
      <c r="N5401" t="s">
        <v>27550</v>
      </c>
      <c r="O5401" t="s">
        <v>26</v>
      </c>
      <c r="R5401">
        <v>99</v>
      </c>
      <c r="T5401" t="s">
        <v>27551</v>
      </c>
    </row>
    <row r="5402" spans="1:20">
      <c r="A5402">
        <v>3412087</v>
      </c>
      <c r="B5402" t="s">
        <v>27552</v>
      </c>
      <c r="C5402" t="str">
        <f>"9780774811866"</f>
        <v>9780774811866</v>
      </c>
      <c r="D5402" t="str">
        <f>"9780774851404"</f>
        <v>9780774851404</v>
      </c>
      <c r="E5402" t="s">
        <v>26801</v>
      </c>
      <c r="F5402" t="s">
        <v>26801</v>
      </c>
      <c r="G5402" s="1">
        <v>38718</v>
      </c>
      <c r="J5402" t="s">
        <v>27553</v>
      </c>
      <c r="K5402" t="s">
        <v>291</v>
      </c>
      <c r="L5402" t="s">
        <v>27554</v>
      </c>
      <c r="M5402" t="s">
        <v>27555</v>
      </c>
      <c r="N5402" t="s">
        <v>27556</v>
      </c>
      <c r="O5402" t="s">
        <v>26</v>
      </c>
      <c r="R5402">
        <v>99</v>
      </c>
      <c r="T5402" t="s">
        <v>27557</v>
      </c>
    </row>
    <row r="5403" spans="1:20">
      <c r="A5403">
        <v>3412088</v>
      </c>
      <c r="B5403" t="s">
        <v>27558</v>
      </c>
      <c r="C5403" t="str">
        <f>"9780774811972"</f>
        <v>9780774811972</v>
      </c>
      <c r="D5403" t="str">
        <f>"9780774851749"</f>
        <v>9780774851749</v>
      </c>
      <c r="E5403" t="s">
        <v>26801</v>
      </c>
      <c r="F5403" t="s">
        <v>26801</v>
      </c>
      <c r="G5403" s="1">
        <v>38588</v>
      </c>
      <c r="J5403" t="s">
        <v>27559</v>
      </c>
      <c r="K5403" t="s">
        <v>263</v>
      </c>
      <c r="L5403" t="s">
        <v>27560</v>
      </c>
      <c r="M5403">
        <v>303.40971400000001</v>
      </c>
      <c r="N5403" t="s">
        <v>27561</v>
      </c>
      <c r="O5403" t="s">
        <v>26</v>
      </c>
      <c r="R5403">
        <v>115</v>
      </c>
      <c r="T5403" t="s">
        <v>27562</v>
      </c>
    </row>
    <row r="5404" spans="1:20">
      <c r="A5404">
        <v>3412089</v>
      </c>
      <c r="B5404" t="s">
        <v>27563</v>
      </c>
      <c r="C5404" t="str">
        <f>"9780774808552"</f>
        <v>9780774808552</v>
      </c>
      <c r="D5404" t="str">
        <f>"9780774851961"</f>
        <v>9780774851961</v>
      </c>
      <c r="E5404" t="s">
        <v>26801</v>
      </c>
      <c r="F5404" t="s">
        <v>26801</v>
      </c>
      <c r="G5404" s="1">
        <v>37970</v>
      </c>
      <c r="J5404" t="s">
        <v>27564</v>
      </c>
      <c r="K5404" t="s">
        <v>2963</v>
      </c>
      <c r="L5404" t="s">
        <v>27565</v>
      </c>
      <c r="M5404" t="s">
        <v>27566</v>
      </c>
      <c r="N5404" t="s">
        <v>27567</v>
      </c>
      <c r="O5404" t="s">
        <v>26</v>
      </c>
      <c r="R5404">
        <v>115</v>
      </c>
      <c r="T5404" t="s">
        <v>27568</v>
      </c>
    </row>
    <row r="5405" spans="1:20">
      <c r="A5405">
        <v>3412090</v>
      </c>
      <c r="B5405" t="s">
        <v>27569</v>
      </c>
      <c r="C5405" t="str">
        <f>"9780774809351"</f>
        <v>9780774809351</v>
      </c>
      <c r="D5405" t="str">
        <f>"9780774851978"</f>
        <v>9780774851978</v>
      </c>
      <c r="E5405" t="s">
        <v>26801</v>
      </c>
      <c r="F5405" t="s">
        <v>26801</v>
      </c>
      <c r="G5405" s="1">
        <v>37946</v>
      </c>
      <c r="J5405" t="s">
        <v>27570</v>
      </c>
      <c r="K5405" t="s">
        <v>550</v>
      </c>
      <c r="L5405" t="s">
        <v>27571</v>
      </c>
      <c r="M5405" t="s">
        <v>27572</v>
      </c>
      <c r="N5405" t="s">
        <v>27573</v>
      </c>
      <c r="O5405" t="s">
        <v>26</v>
      </c>
      <c r="R5405">
        <v>115</v>
      </c>
      <c r="T5405" t="s">
        <v>27574</v>
      </c>
    </row>
    <row r="5406" spans="1:20">
      <c r="A5406">
        <v>3412091</v>
      </c>
      <c r="B5406" t="s">
        <v>27575</v>
      </c>
      <c r="C5406" t="str">
        <f>"9780774809061"</f>
        <v>9780774809061</v>
      </c>
      <c r="D5406" t="str">
        <f>"9780774851916"</f>
        <v>9780774851916</v>
      </c>
      <c r="E5406" t="s">
        <v>26801</v>
      </c>
      <c r="F5406" t="s">
        <v>26801</v>
      </c>
      <c r="G5406" s="1">
        <v>37879</v>
      </c>
      <c r="I5406" t="s">
        <v>27576</v>
      </c>
      <c r="J5406" t="s">
        <v>27577</v>
      </c>
      <c r="K5406" t="s">
        <v>525</v>
      </c>
      <c r="L5406" t="s">
        <v>27578</v>
      </c>
      <c r="M5406" t="s">
        <v>27579</v>
      </c>
      <c r="N5406" t="s">
        <v>27580</v>
      </c>
      <c r="O5406" t="s">
        <v>26</v>
      </c>
      <c r="R5406">
        <v>99</v>
      </c>
      <c r="T5406" t="s">
        <v>27581</v>
      </c>
    </row>
    <row r="5407" spans="1:20">
      <c r="A5407">
        <v>3412092</v>
      </c>
      <c r="B5407" t="s">
        <v>27582</v>
      </c>
      <c r="C5407" t="str">
        <f>"9780774809085"</f>
        <v>9780774809085</v>
      </c>
      <c r="D5407" t="str">
        <f>"9780774851909"</f>
        <v>9780774851909</v>
      </c>
      <c r="E5407" t="s">
        <v>26801</v>
      </c>
      <c r="F5407" t="s">
        <v>26801</v>
      </c>
      <c r="G5407" s="1">
        <v>37987</v>
      </c>
      <c r="J5407" t="s">
        <v>27583</v>
      </c>
      <c r="K5407" t="s">
        <v>568</v>
      </c>
      <c r="L5407" t="s">
        <v>27584</v>
      </c>
      <c r="M5407" t="s">
        <v>27585</v>
      </c>
      <c r="N5407" t="s">
        <v>27586</v>
      </c>
      <c r="O5407" t="s">
        <v>26</v>
      </c>
      <c r="R5407">
        <v>99</v>
      </c>
      <c r="T5407" t="s">
        <v>27587</v>
      </c>
    </row>
    <row r="5408" spans="1:20">
      <c r="A5408">
        <v>3412093</v>
      </c>
      <c r="B5408" t="s">
        <v>27588</v>
      </c>
      <c r="C5408" t="str">
        <f>"9780774809917"</f>
        <v>9780774809917</v>
      </c>
      <c r="D5408" t="str">
        <f>"9780774851992"</f>
        <v>9780774851992</v>
      </c>
      <c r="E5408" t="s">
        <v>26801</v>
      </c>
      <c r="F5408" t="s">
        <v>26801</v>
      </c>
      <c r="G5408" s="1">
        <v>37622</v>
      </c>
      <c r="I5408" t="s">
        <v>27589</v>
      </c>
      <c r="J5408" t="s">
        <v>27590</v>
      </c>
      <c r="K5408" t="s">
        <v>525</v>
      </c>
      <c r="L5408" t="s">
        <v>27591</v>
      </c>
      <c r="M5408" t="s">
        <v>27592</v>
      </c>
      <c r="N5408" t="s">
        <v>27593</v>
      </c>
      <c r="O5408" t="s">
        <v>26</v>
      </c>
      <c r="R5408">
        <v>180</v>
      </c>
      <c r="T5408" t="s">
        <v>27594</v>
      </c>
    </row>
    <row r="5409" spans="1:20">
      <c r="A5409">
        <v>3412094</v>
      </c>
      <c r="B5409" t="s">
        <v>27595</v>
      </c>
      <c r="C5409" t="str">
        <f>"9780774810326"</f>
        <v>9780774810326</v>
      </c>
      <c r="D5409" t="str">
        <f>"9780774851930"</f>
        <v>9780774851930</v>
      </c>
      <c r="E5409" t="s">
        <v>26801</v>
      </c>
      <c r="F5409" t="s">
        <v>26801</v>
      </c>
      <c r="G5409" s="1">
        <v>37926</v>
      </c>
      <c r="I5409" t="s">
        <v>26935</v>
      </c>
      <c r="J5409" t="s">
        <v>27596</v>
      </c>
      <c r="K5409" t="s">
        <v>525</v>
      </c>
      <c r="L5409" t="s">
        <v>27597</v>
      </c>
      <c r="M5409" t="s">
        <v>27598</v>
      </c>
      <c r="N5409" t="s">
        <v>27599</v>
      </c>
      <c r="O5409" t="s">
        <v>26</v>
      </c>
      <c r="R5409">
        <v>115</v>
      </c>
      <c r="T5409" t="s">
        <v>27600</v>
      </c>
    </row>
    <row r="5410" spans="1:20">
      <c r="A5410">
        <v>3412095</v>
      </c>
      <c r="B5410" t="s">
        <v>27601</v>
      </c>
      <c r="C5410" t="str">
        <f>"9780774811934"</f>
        <v>9780774811934</v>
      </c>
      <c r="D5410" t="str">
        <f>"9780774851671"</f>
        <v>9780774851671</v>
      </c>
      <c r="E5410" t="s">
        <v>26801</v>
      </c>
      <c r="F5410" t="s">
        <v>26801</v>
      </c>
      <c r="G5410" s="1">
        <v>39356</v>
      </c>
      <c r="I5410" t="s">
        <v>26924</v>
      </c>
      <c r="J5410" t="s">
        <v>27602</v>
      </c>
      <c r="K5410" t="s">
        <v>291</v>
      </c>
      <c r="L5410" t="s">
        <v>27603</v>
      </c>
      <c r="M5410" t="s">
        <v>27604</v>
      </c>
      <c r="N5410" t="s">
        <v>27605</v>
      </c>
      <c r="O5410" t="s">
        <v>26</v>
      </c>
      <c r="R5410">
        <v>99</v>
      </c>
      <c r="T5410" t="s">
        <v>27606</v>
      </c>
    </row>
    <row r="5411" spans="1:20">
      <c r="A5411">
        <v>3412096</v>
      </c>
      <c r="B5411" t="s">
        <v>27607</v>
      </c>
      <c r="C5411" t="str">
        <f>"9780774809177"</f>
        <v>9780774809177</v>
      </c>
      <c r="D5411" t="str">
        <f>"9780774850889"</f>
        <v>9780774850889</v>
      </c>
      <c r="E5411" t="s">
        <v>26801</v>
      </c>
      <c r="F5411" t="s">
        <v>26801</v>
      </c>
      <c r="G5411" s="1">
        <v>38353</v>
      </c>
      <c r="I5411" t="s">
        <v>27608</v>
      </c>
      <c r="J5411" t="s">
        <v>13311</v>
      </c>
      <c r="K5411" t="s">
        <v>467</v>
      </c>
      <c r="L5411" t="s">
        <v>27609</v>
      </c>
      <c r="M5411" t="s">
        <v>27610</v>
      </c>
      <c r="N5411" t="s">
        <v>27611</v>
      </c>
      <c r="O5411" t="s">
        <v>26</v>
      </c>
      <c r="R5411">
        <v>99</v>
      </c>
      <c r="T5411" t="s">
        <v>27612</v>
      </c>
    </row>
    <row r="5412" spans="1:20">
      <c r="A5412">
        <v>3412097</v>
      </c>
      <c r="B5412" t="s">
        <v>27613</v>
      </c>
      <c r="C5412" t="str">
        <f>"9780774809191"</f>
        <v>9780774809191</v>
      </c>
      <c r="D5412" t="str">
        <f>"9780774851046"</f>
        <v>9780774851046</v>
      </c>
      <c r="E5412" t="s">
        <v>26801</v>
      </c>
      <c r="F5412" t="s">
        <v>26801</v>
      </c>
      <c r="G5412" s="1">
        <v>38131</v>
      </c>
      <c r="I5412" t="s">
        <v>27608</v>
      </c>
      <c r="J5412" t="s">
        <v>27614</v>
      </c>
      <c r="K5412" t="s">
        <v>467</v>
      </c>
      <c r="L5412" t="s">
        <v>27615</v>
      </c>
      <c r="M5412" t="s">
        <v>27616</v>
      </c>
      <c r="N5412" t="s">
        <v>27617</v>
      </c>
      <c r="O5412" t="s">
        <v>26</v>
      </c>
      <c r="R5412">
        <v>99</v>
      </c>
      <c r="T5412" t="s">
        <v>27618</v>
      </c>
    </row>
    <row r="5413" spans="1:20">
      <c r="A5413">
        <v>3412098</v>
      </c>
      <c r="B5413" t="s">
        <v>27619</v>
      </c>
      <c r="C5413" t="str">
        <f>"9780774810104"</f>
        <v>9780774810104</v>
      </c>
      <c r="D5413" t="str">
        <f>"9780774851923"</f>
        <v>9780774851923</v>
      </c>
      <c r="E5413" t="s">
        <v>26801</v>
      </c>
      <c r="F5413" t="s">
        <v>26801</v>
      </c>
      <c r="G5413" s="1">
        <v>38169</v>
      </c>
      <c r="J5413" t="s">
        <v>27620</v>
      </c>
      <c r="K5413" t="s">
        <v>1550</v>
      </c>
      <c r="L5413" t="s">
        <v>27621</v>
      </c>
      <c r="M5413" t="s">
        <v>27622</v>
      </c>
      <c r="N5413" t="s">
        <v>27623</v>
      </c>
      <c r="O5413" t="s">
        <v>26</v>
      </c>
      <c r="R5413">
        <v>115</v>
      </c>
      <c r="T5413" t="s">
        <v>27624</v>
      </c>
    </row>
    <row r="5414" spans="1:20">
      <c r="A5414">
        <v>3412099</v>
      </c>
      <c r="B5414" t="s">
        <v>27625</v>
      </c>
      <c r="C5414" t="str">
        <f>"9780774808132"</f>
        <v>9780774808132</v>
      </c>
      <c r="D5414" t="str">
        <f>"9780774852043"</f>
        <v>9780774852043</v>
      </c>
      <c r="E5414" t="s">
        <v>26801</v>
      </c>
      <c r="F5414" t="s">
        <v>26801</v>
      </c>
      <c r="G5414" s="1">
        <v>37012</v>
      </c>
      <c r="J5414" t="s">
        <v>27626</v>
      </c>
      <c r="K5414" t="s">
        <v>6444</v>
      </c>
      <c r="L5414" t="s">
        <v>27627</v>
      </c>
      <c r="M5414" t="s">
        <v>27628</v>
      </c>
      <c r="N5414" t="s">
        <v>27629</v>
      </c>
      <c r="O5414" t="s">
        <v>26</v>
      </c>
      <c r="R5414">
        <v>99</v>
      </c>
      <c r="T5414" t="s">
        <v>27630</v>
      </c>
    </row>
    <row r="5415" spans="1:20">
      <c r="A5415">
        <v>3412100</v>
      </c>
      <c r="B5415" t="s">
        <v>27631</v>
      </c>
      <c r="C5415" t="str">
        <f>"9780774807944"</f>
        <v>9780774807944</v>
      </c>
      <c r="D5415" t="str">
        <f>"9780774852197"</f>
        <v>9780774852197</v>
      </c>
      <c r="E5415" t="s">
        <v>26801</v>
      </c>
      <c r="F5415" t="s">
        <v>26801</v>
      </c>
      <c r="G5415" s="1">
        <v>36923</v>
      </c>
      <c r="J5415" t="s">
        <v>27632</v>
      </c>
      <c r="K5415" t="s">
        <v>263</v>
      </c>
      <c r="L5415" t="s">
        <v>27633</v>
      </c>
      <c r="M5415" t="s">
        <v>27634</v>
      </c>
      <c r="N5415" t="s">
        <v>27635</v>
      </c>
      <c r="O5415" t="s">
        <v>26</v>
      </c>
      <c r="R5415">
        <v>115</v>
      </c>
      <c r="T5415" t="s">
        <v>27636</v>
      </c>
    </row>
    <row r="5416" spans="1:20">
      <c r="A5416">
        <v>3412101</v>
      </c>
      <c r="B5416" t="s">
        <v>27637</v>
      </c>
      <c r="C5416" t="str">
        <f>"9780774811101"</f>
        <v>9780774811101</v>
      </c>
      <c r="D5416" t="str">
        <f>"9780774851176"</f>
        <v>9780774851176</v>
      </c>
      <c r="E5416" t="s">
        <v>26801</v>
      </c>
      <c r="F5416" t="s">
        <v>26801</v>
      </c>
      <c r="G5416" s="1">
        <v>38293</v>
      </c>
      <c r="I5416" t="s">
        <v>27608</v>
      </c>
      <c r="J5416" t="s">
        <v>27638</v>
      </c>
      <c r="K5416" t="s">
        <v>467</v>
      </c>
      <c r="L5416" t="s">
        <v>27639</v>
      </c>
      <c r="M5416" t="s">
        <v>27640</v>
      </c>
      <c r="N5416" t="s">
        <v>27641</v>
      </c>
      <c r="O5416" t="s">
        <v>26</v>
      </c>
      <c r="R5416">
        <v>99</v>
      </c>
      <c r="T5416" t="s">
        <v>27642</v>
      </c>
    </row>
    <row r="5417" spans="1:20">
      <c r="A5417">
        <v>3412102</v>
      </c>
      <c r="B5417" t="s">
        <v>27643</v>
      </c>
      <c r="C5417" t="str">
        <f>"9780774812115"</f>
        <v>9780774812115</v>
      </c>
      <c r="D5417" t="str">
        <f>"9780774851718"</f>
        <v>9780774851718</v>
      </c>
      <c r="E5417" t="s">
        <v>26801</v>
      </c>
      <c r="F5417" t="s">
        <v>26801</v>
      </c>
      <c r="G5417" s="1">
        <v>38687</v>
      </c>
      <c r="I5417" t="s">
        <v>26935</v>
      </c>
      <c r="J5417" t="s">
        <v>27644</v>
      </c>
      <c r="K5417" t="s">
        <v>525</v>
      </c>
      <c r="L5417" t="s">
        <v>27645</v>
      </c>
      <c r="M5417">
        <v>342</v>
      </c>
      <c r="N5417" t="s">
        <v>27646</v>
      </c>
      <c r="O5417" t="s">
        <v>26</v>
      </c>
      <c r="R5417">
        <v>99</v>
      </c>
      <c r="T5417" t="s">
        <v>27647</v>
      </c>
    </row>
    <row r="5418" spans="1:20">
      <c r="A5418">
        <v>3412103</v>
      </c>
      <c r="B5418" t="s">
        <v>27648</v>
      </c>
      <c r="C5418" t="str">
        <f>"9780774811835"</f>
        <v>9780774811835</v>
      </c>
      <c r="D5418" t="str">
        <f>"9780774851374"</f>
        <v>9780774851374</v>
      </c>
      <c r="E5418" t="s">
        <v>26801</v>
      </c>
      <c r="F5418" t="s">
        <v>26801</v>
      </c>
      <c r="G5418" s="1">
        <v>38473</v>
      </c>
      <c r="I5418" t="s">
        <v>27608</v>
      </c>
      <c r="J5418" t="s">
        <v>27649</v>
      </c>
      <c r="K5418" t="s">
        <v>467</v>
      </c>
      <c r="L5418" t="s">
        <v>27650</v>
      </c>
      <c r="M5418" t="s">
        <v>27651</v>
      </c>
      <c r="N5418" t="s">
        <v>27652</v>
      </c>
      <c r="O5418" t="s">
        <v>26</v>
      </c>
      <c r="R5418">
        <v>99</v>
      </c>
      <c r="T5418" t="s">
        <v>27653</v>
      </c>
    </row>
    <row r="5419" spans="1:20">
      <c r="A5419">
        <v>3412104</v>
      </c>
      <c r="B5419" t="s">
        <v>27654</v>
      </c>
      <c r="C5419" t="str">
        <f>"9780774810609"</f>
        <v>9780774810609</v>
      </c>
      <c r="D5419" t="str">
        <f>"9780774851121"</f>
        <v>9780774851121</v>
      </c>
      <c r="E5419" t="s">
        <v>26801</v>
      </c>
      <c r="F5419" t="s">
        <v>26801</v>
      </c>
      <c r="G5419" s="1">
        <v>38224</v>
      </c>
      <c r="I5419" t="s">
        <v>27608</v>
      </c>
      <c r="J5419" t="s">
        <v>27655</v>
      </c>
      <c r="K5419" t="s">
        <v>467</v>
      </c>
      <c r="L5419" t="s">
        <v>27656</v>
      </c>
      <c r="M5419">
        <v>320.471</v>
      </c>
      <c r="N5419" t="s">
        <v>27657</v>
      </c>
      <c r="O5419" t="s">
        <v>26</v>
      </c>
      <c r="R5419">
        <v>99</v>
      </c>
      <c r="T5419" t="s">
        <v>27658</v>
      </c>
    </row>
    <row r="5420" spans="1:20">
      <c r="A5420">
        <v>3412105</v>
      </c>
      <c r="B5420" t="s">
        <v>27659</v>
      </c>
      <c r="C5420" t="str">
        <f>"9780774810401"</f>
        <v>9780774810401</v>
      </c>
      <c r="D5420" t="str">
        <f>"9780774851862"</f>
        <v>9780774851862</v>
      </c>
      <c r="E5420" t="s">
        <v>26801</v>
      </c>
      <c r="F5420" t="s">
        <v>26801</v>
      </c>
      <c r="G5420" s="1">
        <v>38353</v>
      </c>
      <c r="I5420" t="s">
        <v>27129</v>
      </c>
      <c r="J5420" t="s">
        <v>27660</v>
      </c>
      <c r="K5420" t="s">
        <v>27661</v>
      </c>
      <c r="L5420" t="s">
        <v>27662</v>
      </c>
      <c r="M5420" t="s">
        <v>27663</v>
      </c>
      <c r="N5420" t="s">
        <v>27664</v>
      </c>
      <c r="O5420" t="s">
        <v>26</v>
      </c>
      <c r="R5420">
        <v>115</v>
      </c>
      <c r="T5420" t="s">
        <v>27665</v>
      </c>
    </row>
    <row r="5421" spans="1:20">
      <c r="A5421">
        <v>3412106</v>
      </c>
      <c r="B5421" t="s">
        <v>27666</v>
      </c>
      <c r="C5421" t="str">
        <f>"9780774809719"</f>
        <v>9780774809719</v>
      </c>
      <c r="D5421" t="str">
        <f>"9780774852487"</f>
        <v>9780774852487</v>
      </c>
      <c r="E5421" t="s">
        <v>26801</v>
      </c>
      <c r="F5421" t="s">
        <v>26801</v>
      </c>
      <c r="G5421" s="1">
        <v>37987</v>
      </c>
      <c r="J5421" t="s">
        <v>27667</v>
      </c>
      <c r="K5421" t="s">
        <v>263</v>
      </c>
      <c r="L5421" t="s">
        <v>27668</v>
      </c>
      <c r="M5421" t="s">
        <v>27669</v>
      </c>
      <c r="N5421" t="s">
        <v>27670</v>
      </c>
      <c r="O5421" t="s">
        <v>26</v>
      </c>
      <c r="R5421">
        <v>99</v>
      </c>
      <c r="T5421" t="s">
        <v>27671</v>
      </c>
    </row>
    <row r="5422" spans="1:20">
      <c r="A5422">
        <v>3412107</v>
      </c>
      <c r="B5422" t="s">
        <v>27672</v>
      </c>
      <c r="C5422" t="str">
        <f>"9780774811453"</f>
        <v>9780774811453</v>
      </c>
      <c r="D5422" t="str">
        <f>"9780774851725"</f>
        <v>9780774851725</v>
      </c>
      <c r="E5422" t="s">
        <v>26801</v>
      </c>
      <c r="F5422" t="s">
        <v>26801</v>
      </c>
      <c r="G5422" s="1">
        <v>38579</v>
      </c>
      <c r="I5422" t="s">
        <v>27673</v>
      </c>
      <c r="J5422" t="s">
        <v>27674</v>
      </c>
      <c r="K5422" t="s">
        <v>1892</v>
      </c>
      <c r="L5422" t="s">
        <v>27675</v>
      </c>
      <c r="M5422" t="s">
        <v>27676</v>
      </c>
      <c r="N5422" t="s">
        <v>27677</v>
      </c>
      <c r="O5422" t="s">
        <v>26</v>
      </c>
      <c r="R5422">
        <v>99</v>
      </c>
      <c r="T5422" t="s">
        <v>27678</v>
      </c>
    </row>
    <row r="5423" spans="1:20">
      <c r="A5423">
        <v>3412108</v>
      </c>
      <c r="B5423" t="s">
        <v>27679</v>
      </c>
      <c r="C5423" t="str">
        <f>"9780774809818"</f>
        <v>9780774809818</v>
      </c>
      <c r="D5423" t="str">
        <f>"9780774851831"</f>
        <v>9780774851831</v>
      </c>
      <c r="E5423" t="s">
        <v>26801</v>
      </c>
      <c r="F5423" t="s">
        <v>26801</v>
      </c>
      <c r="G5423" s="1">
        <v>37895</v>
      </c>
      <c r="I5423" t="s">
        <v>27680</v>
      </c>
      <c r="J5423" t="s">
        <v>27681</v>
      </c>
      <c r="K5423" t="s">
        <v>291</v>
      </c>
      <c r="L5423" t="s">
        <v>27682</v>
      </c>
      <c r="M5423" t="s">
        <v>27683</v>
      </c>
      <c r="N5423" t="s">
        <v>27684</v>
      </c>
      <c r="O5423" t="s">
        <v>26</v>
      </c>
      <c r="R5423">
        <v>115</v>
      </c>
      <c r="T5423" t="s">
        <v>27685</v>
      </c>
    </row>
    <row r="5424" spans="1:20">
      <c r="A5424">
        <v>3412109</v>
      </c>
      <c r="B5424" t="s">
        <v>27686</v>
      </c>
      <c r="C5424" t="str">
        <f>"9780774812559"</f>
        <v>9780774812559</v>
      </c>
      <c r="D5424" t="str">
        <f>"9780774852456"</f>
        <v>9780774852456</v>
      </c>
      <c r="E5424" t="s">
        <v>26801</v>
      </c>
      <c r="F5424" t="s">
        <v>26801</v>
      </c>
      <c r="G5424" s="1">
        <v>39356</v>
      </c>
      <c r="J5424" t="s">
        <v>27687</v>
      </c>
      <c r="K5424" t="s">
        <v>376</v>
      </c>
      <c r="L5424" t="s">
        <v>27688</v>
      </c>
      <c r="M5424" t="s">
        <v>27689</v>
      </c>
      <c r="N5424" t="s">
        <v>27690</v>
      </c>
      <c r="O5424" t="s">
        <v>26</v>
      </c>
      <c r="R5424">
        <v>115</v>
      </c>
      <c r="T5424" t="s">
        <v>27691</v>
      </c>
    </row>
    <row r="5425" spans="1:20">
      <c r="A5425">
        <v>3412110</v>
      </c>
      <c r="B5425" t="s">
        <v>27692</v>
      </c>
      <c r="C5425" t="str">
        <f>"9780774809405"</f>
        <v>9780774809405</v>
      </c>
      <c r="D5425" t="str">
        <f>"9780774850988"</f>
        <v>9780774850988</v>
      </c>
      <c r="E5425" t="s">
        <v>26801</v>
      </c>
      <c r="F5425" t="s">
        <v>26801</v>
      </c>
      <c r="G5425" s="1">
        <v>38353</v>
      </c>
      <c r="I5425" t="s">
        <v>27608</v>
      </c>
      <c r="J5425" t="s">
        <v>27693</v>
      </c>
      <c r="K5425" t="s">
        <v>467</v>
      </c>
      <c r="L5425" t="s">
        <v>27694</v>
      </c>
      <c r="M5425">
        <v>324.27100000000002</v>
      </c>
      <c r="N5425" t="s">
        <v>27695</v>
      </c>
      <c r="O5425" t="s">
        <v>26</v>
      </c>
      <c r="R5425">
        <v>99</v>
      </c>
      <c r="T5425" t="s">
        <v>27696</v>
      </c>
    </row>
    <row r="5426" spans="1:20">
      <c r="A5426">
        <v>3412111</v>
      </c>
      <c r="B5426" t="s">
        <v>27697</v>
      </c>
      <c r="C5426" t="str">
        <f>"9780774811354"</f>
        <v>9780774811354</v>
      </c>
      <c r="D5426" t="str">
        <f>"9780774851688"</f>
        <v>9780774851688</v>
      </c>
      <c r="E5426" t="s">
        <v>26801</v>
      </c>
      <c r="F5426" t="s">
        <v>26801</v>
      </c>
      <c r="G5426" s="1">
        <v>38899</v>
      </c>
      <c r="J5426" t="s">
        <v>27698</v>
      </c>
      <c r="K5426" t="s">
        <v>1530</v>
      </c>
      <c r="L5426" t="s">
        <v>27699</v>
      </c>
      <c r="M5426" t="s">
        <v>27700</v>
      </c>
      <c r="N5426" t="s">
        <v>27701</v>
      </c>
      <c r="O5426" t="s">
        <v>26</v>
      </c>
      <c r="R5426">
        <v>115</v>
      </c>
      <c r="T5426" t="s">
        <v>27702</v>
      </c>
    </row>
    <row r="5427" spans="1:20">
      <c r="A5427">
        <v>3412112</v>
      </c>
      <c r="B5427" t="s">
        <v>27703</v>
      </c>
      <c r="C5427" t="str">
        <f>"9780774808668"</f>
        <v>9780774808668</v>
      </c>
      <c r="D5427" t="str">
        <f>"9780774851985"</f>
        <v>9780774851985</v>
      </c>
      <c r="E5427" t="s">
        <v>26801</v>
      </c>
      <c r="F5427" t="s">
        <v>26801</v>
      </c>
      <c r="G5427" s="1">
        <v>37288</v>
      </c>
      <c r="I5427" t="s">
        <v>27589</v>
      </c>
      <c r="J5427" t="s">
        <v>27590</v>
      </c>
      <c r="K5427" t="s">
        <v>525</v>
      </c>
      <c r="L5427" t="s">
        <v>27704</v>
      </c>
      <c r="M5427">
        <v>341</v>
      </c>
      <c r="N5427" t="s">
        <v>27593</v>
      </c>
      <c r="O5427" t="s">
        <v>26</v>
      </c>
      <c r="R5427">
        <v>180</v>
      </c>
      <c r="T5427" t="s">
        <v>27705</v>
      </c>
    </row>
    <row r="5428" spans="1:20">
      <c r="A5428">
        <v>3412113</v>
      </c>
      <c r="B5428" t="s">
        <v>27706</v>
      </c>
      <c r="C5428" t="str">
        <f>"9780774810364"</f>
        <v>9780774810364</v>
      </c>
      <c r="D5428" t="str">
        <f>"9780774851817"</f>
        <v>9780774851817</v>
      </c>
      <c r="E5428" t="s">
        <v>26801</v>
      </c>
      <c r="F5428" t="s">
        <v>26801</v>
      </c>
      <c r="G5428" s="1">
        <v>37864</v>
      </c>
      <c r="I5428" t="s">
        <v>26935</v>
      </c>
      <c r="J5428" t="s">
        <v>27707</v>
      </c>
      <c r="K5428" t="s">
        <v>291</v>
      </c>
      <c r="L5428" t="s">
        <v>27708</v>
      </c>
      <c r="M5428">
        <v>966.62030000000004</v>
      </c>
      <c r="N5428" t="s">
        <v>27709</v>
      </c>
      <c r="O5428" t="s">
        <v>26</v>
      </c>
      <c r="R5428">
        <v>99</v>
      </c>
      <c r="T5428" t="s">
        <v>27710</v>
      </c>
    </row>
    <row r="5429" spans="1:20">
      <c r="A5429">
        <v>3412114</v>
      </c>
      <c r="B5429" t="s">
        <v>27711</v>
      </c>
      <c r="C5429" t="str">
        <f>"9780774810043"</f>
        <v>9780774810043</v>
      </c>
      <c r="D5429" t="str">
        <f>"9780774851824"</f>
        <v>9780774851824</v>
      </c>
      <c r="E5429" t="s">
        <v>26801</v>
      </c>
      <c r="F5429" t="s">
        <v>26801</v>
      </c>
      <c r="G5429" s="1">
        <v>37865</v>
      </c>
      <c r="J5429" t="s">
        <v>27712</v>
      </c>
      <c r="K5429" t="s">
        <v>27713</v>
      </c>
      <c r="L5429" t="s">
        <v>27714</v>
      </c>
      <c r="M5429" t="s">
        <v>27715</v>
      </c>
      <c r="N5429" t="s">
        <v>27716</v>
      </c>
      <c r="O5429" t="s">
        <v>26</v>
      </c>
      <c r="R5429">
        <v>115</v>
      </c>
      <c r="T5429" t="s">
        <v>27717</v>
      </c>
    </row>
    <row r="5430" spans="1:20">
      <c r="A5430">
        <v>3412115</v>
      </c>
      <c r="B5430" t="s">
        <v>27718</v>
      </c>
      <c r="C5430" t="str">
        <f>"9780774810647"</f>
        <v>9780774810647</v>
      </c>
      <c r="D5430" t="str">
        <f>"9780774851268"</f>
        <v>9780774851268</v>
      </c>
      <c r="E5430" t="s">
        <v>26801</v>
      </c>
      <c r="F5430" t="s">
        <v>26801</v>
      </c>
      <c r="G5430" s="1">
        <v>38534</v>
      </c>
      <c r="I5430" t="s">
        <v>27608</v>
      </c>
      <c r="J5430" t="s">
        <v>27719</v>
      </c>
      <c r="K5430" t="s">
        <v>467</v>
      </c>
      <c r="L5430" t="s">
        <v>27720</v>
      </c>
      <c r="M5430">
        <v>328.71</v>
      </c>
      <c r="N5430" t="s">
        <v>27721</v>
      </c>
      <c r="O5430" t="s">
        <v>26</v>
      </c>
      <c r="R5430">
        <v>99</v>
      </c>
      <c r="T5430" t="s">
        <v>27722</v>
      </c>
    </row>
    <row r="5431" spans="1:20">
      <c r="A5431">
        <v>3412116</v>
      </c>
      <c r="B5431" t="s">
        <v>27723</v>
      </c>
      <c r="C5431" t="str">
        <f>"9780774810487"</f>
        <v>9780774810487</v>
      </c>
      <c r="D5431" t="str">
        <f>"9780774851954"</f>
        <v>9780774851954</v>
      </c>
      <c r="E5431" t="s">
        <v>26801</v>
      </c>
      <c r="F5431" t="s">
        <v>26801</v>
      </c>
      <c r="G5431" s="1">
        <v>37848</v>
      </c>
      <c r="I5431" t="s">
        <v>26935</v>
      </c>
      <c r="J5431" t="s">
        <v>27724</v>
      </c>
      <c r="K5431" t="s">
        <v>525</v>
      </c>
      <c r="L5431" t="s">
        <v>27725</v>
      </c>
      <c r="M5431" t="s">
        <v>27726</v>
      </c>
      <c r="N5431" t="s">
        <v>27727</v>
      </c>
      <c r="O5431" t="s">
        <v>26</v>
      </c>
      <c r="R5431">
        <v>115</v>
      </c>
      <c r="T5431" t="s">
        <v>27728</v>
      </c>
    </row>
    <row r="5432" spans="1:20">
      <c r="A5432">
        <v>3412117</v>
      </c>
      <c r="B5432" t="s">
        <v>27729</v>
      </c>
      <c r="C5432" t="str">
        <f>"9780774810197"</f>
        <v>9780774810197</v>
      </c>
      <c r="D5432" t="str">
        <f>"9780774851879"</f>
        <v>9780774851879</v>
      </c>
      <c r="E5432" t="s">
        <v>26801</v>
      </c>
      <c r="F5432" t="s">
        <v>26801</v>
      </c>
      <c r="G5432" s="1">
        <v>39356</v>
      </c>
      <c r="J5432" t="s">
        <v>27730</v>
      </c>
      <c r="K5432" t="s">
        <v>10956</v>
      </c>
      <c r="L5432" t="s">
        <v>27731</v>
      </c>
      <c r="M5432" t="s">
        <v>27732</v>
      </c>
      <c r="N5432" t="s">
        <v>27733</v>
      </c>
      <c r="O5432" t="s">
        <v>26</v>
      </c>
      <c r="R5432">
        <v>99</v>
      </c>
      <c r="T5432" t="s">
        <v>27734</v>
      </c>
    </row>
    <row r="5433" spans="1:20">
      <c r="A5433">
        <v>3412118</v>
      </c>
      <c r="B5433" t="s">
        <v>27735</v>
      </c>
      <c r="C5433" t="str">
        <f>"9780774809962"</f>
        <v>9780774809962</v>
      </c>
      <c r="D5433" t="str">
        <f>"9780774851893"</f>
        <v>9780774851893</v>
      </c>
      <c r="E5433" t="s">
        <v>26801</v>
      </c>
      <c r="F5433" t="s">
        <v>26801</v>
      </c>
      <c r="G5433" s="1">
        <v>38169</v>
      </c>
      <c r="I5433" t="s">
        <v>27736</v>
      </c>
      <c r="J5433" t="s">
        <v>27737</v>
      </c>
      <c r="K5433" t="s">
        <v>1464</v>
      </c>
      <c r="L5433" t="s">
        <v>27738</v>
      </c>
      <c r="M5433" t="s">
        <v>27739</v>
      </c>
      <c r="N5433" t="s">
        <v>27740</v>
      </c>
      <c r="O5433" t="s">
        <v>26</v>
      </c>
      <c r="R5433">
        <v>115</v>
      </c>
      <c r="T5433" t="s">
        <v>27741</v>
      </c>
    </row>
    <row r="5434" spans="1:20">
      <c r="A5434">
        <v>3412119</v>
      </c>
      <c r="B5434" t="s">
        <v>27742</v>
      </c>
      <c r="C5434" t="str">
        <f>"9780774810623"</f>
        <v>9780774810623</v>
      </c>
      <c r="D5434" t="str">
        <f>"9780774851084"</f>
        <v>9780774851084</v>
      </c>
      <c r="E5434" t="s">
        <v>26801</v>
      </c>
      <c r="F5434" t="s">
        <v>26801</v>
      </c>
      <c r="G5434" s="1">
        <v>38135</v>
      </c>
      <c r="J5434" t="s">
        <v>27743</v>
      </c>
      <c r="K5434" t="s">
        <v>467</v>
      </c>
      <c r="L5434" t="s">
        <v>27744</v>
      </c>
      <c r="M5434" t="s">
        <v>27745</v>
      </c>
      <c r="N5434" t="s">
        <v>27746</v>
      </c>
      <c r="O5434" t="s">
        <v>26</v>
      </c>
      <c r="R5434">
        <v>99</v>
      </c>
      <c r="T5434" t="s">
        <v>27747</v>
      </c>
    </row>
    <row r="5435" spans="1:20">
      <c r="A5435">
        <v>3412120</v>
      </c>
      <c r="B5435" t="s">
        <v>27748</v>
      </c>
      <c r="C5435" t="str">
        <f>"9780774808446"</f>
        <v>9780774808446</v>
      </c>
      <c r="D5435" t="str">
        <f>"9780774850032"</f>
        <v>9780774850032</v>
      </c>
      <c r="E5435" t="s">
        <v>26801</v>
      </c>
      <c r="F5435" t="s">
        <v>26801</v>
      </c>
      <c r="G5435" s="1">
        <v>37257</v>
      </c>
      <c r="J5435" t="s">
        <v>27749</v>
      </c>
      <c r="K5435" t="s">
        <v>7063</v>
      </c>
      <c r="L5435" t="s">
        <v>27750</v>
      </c>
      <c r="M5435" t="s">
        <v>27751</v>
      </c>
      <c r="N5435" t="s">
        <v>27752</v>
      </c>
      <c r="O5435" t="s">
        <v>26</v>
      </c>
      <c r="R5435">
        <v>115</v>
      </c>
      <c r="T5435" t="s">
        <v>27753</v>
      </c>
    </row>
    <row r="5436" spans="1:20">
      <c r="A5436">
        <v>3412121</v>
      </c>
      <c r="B5436" t="s">
        <v>27754</v>
      </c>
      <c r="C5436" t="str">
        <f>"9780774807081"</f>
        <v>9780774807081</v>
      </c>
      <c r="D5436" t="str">
        <f>"9780774852319"</f>
        <v>9780774852319</v>
      </c>
      <c r="E5436" t="s">
        <v>26801</v>
      </c>
      <c r="F5436" t="s">
        <v>26801</v>
      </c>
      <c r="G5436" s="1">
        <v>36373</v>
      </c>
      <c r="J5436" t="s">
        <v>27755</v>
      </c>
      <c r="K5436" t="s">
        <v>435</v>
      </c>
      <c r="L5436" t="s">
        <v>27756</v>
      </c>
      <c r="M5436">
        <v>333.91415000000001</v>
      </c>
      <c r="N5436" t="s">
        <v>27757</v>
      </c>
      <c r="O5436" t="s">
        <v>26</v>
      </c>
      <c r="R5436">
        <v>115</v>
      </c>
      <c r="T5436" t="s">
        <v>27758</v>
      </c>
    </row>
    <row r="5437" spans="1:20">
      <c r="A5437">
        <v>3412122</v>
      </c>
      <c r="B5437" t="s">
        <v>27759</v>
      </c>
      <c r="C5437" t="str">
        <f>"9780774811521"</f>
        <v>9780774811521</v>
      </c>
      <c r="D5437" t="str">
        <f>"9780774851701"</f>
        <v>9780774851701</v>
      </c>
      <c r="E5437" t="s">
        <v>26801</v>
      </c>
      <c r="F5437" t="s">
        <v>26801</v>
      </c>
      <c r="G5437" s="1">
        <v>38664</v>
      </c>
      <c r="I5437" t="s">
        <v>26935</v>
      </c>
      <c r="J5437" t="s">
        <v>27707</v>
      </c>
      <c r="K5437" t="s">
        <v>525</v>
      </c>
      <c r="L5437" t="s">
        <v>27760</v>
      </c>
      <c r="M5437" t="s">
        <v>27761</v>
      </c>
      <c r="N5437" t="s">
        <v>27762</v>
      </c>
      <c r="O5437" t="s">
        <v>26</v>
      </c>
      <c r="R5437">
        <v>115</v>
      </c>
      <c r="T5437" t="s">
        <v>27763</v>
      </c>
    </row>
    <row r="5438" spans="1:20">
      <c r="A5438">
        <v>3412123</v>
      </c>
      <c r="B5438" t="s">
        <v>27764</v>
      </c>
      <c r="C5438" t="str">
        <f>"9780774810784"</f>
        <v>9780774810784</v>
      </c>
      <c r="D5438" t="str">
        <f>"9780774851787"</f>
        <v>9780774851787</v>
      </c>
      <c r="E5438" t="s">
        <v>26801</v>
      </c>
      <c r="F5438" t="s">
        <v>26801</v>
      </c>
      <c r="G5438" s="1">
        <v>38117</v>
      </c>
      <c r="J5438" t="s">
        <v>27765</v>
      </c>
      <c r="K5438" t="s">
        <v>467</v>
      </c>
      <c r="L5438" t="s">
        <v>27766</v>
      </c>
      <c r="M5438">
        <v>321.8</v>
      </c>
      <c r="N5438" t="s">
        <v>27767</v>
      </c>
      <c r="O5438" t="s">
        <v>26</v>
      </c>
      <c r="R5438">
        <v>115</v>
      </c>
      <c r="T5438" t="s">
        <v>27768</v>
      </c>
    </row>
    <row r="5439" spans="1:20">
      <c r="A5439">
        <v>3412124</v>
      </c>
      <c r="B5439" t="s">
        <v>27769</v>
      </c>
      <c r="C5439" t="str">
        <f>"9780774811507"</f>
        <v>9780774811507</v>
      </c>
      <c r="D5439" t="str">
        <f>"9780774851398"</f>
        <v>9780774851398</v>
      </c>
      <c r="E5439" t="s">
        <v>26801</v>
      </c>
      <c r="F5439" t="s">
        <v>26801</v>
      </c>
      <c r="G5439" s="1">
        <v>39356</v>
      </c>
      <c r="J5439" t="s">
        <v>27770</v>
      </c>
      <c r="K5439" t="s">
        <v>376</v>
      </c>
      <c r="L5439" t="s">
        <v>27771</v>
      </c>
      <c r="M5439">
        <v>613</v>
      </c>
      <c r="N5439" t="s">
        <v>27772</v>
      </c>
      <c r="O5439" t="s">
        <v>26</v>
      </c>
      <c r="R5439">
        <v>99</v>
      </c>
      <c r="T5439" t="s">
        <v>27773</v>
      </c>
    </row>
    <row r="5440" spans="1:20">
      <c r="A5440">
        <v>3412125</v>
      </c>
      <c r="B5440" t="s">
        <v>27774</v>
      </c>
      <c r="C5440" t="str">
        <f>"9780774812474"</f>
        <v>9780774812474</v>
      </c>
      <c r="D5440" t="str">
        <f>"9780774851732"</f>
        <v>9780774851732</v>
      </c>
      <c r="E5440" t="s">
        <v>26801</v>
      </c>
      <c r="F5440" t="s">
        <v>26801</v>
      </c>
      <c r="G5440" s="1">
        <v>38596</v>
      </c>
      <c r="J5440" t="s">
        <v>27775</v>
      </c>
      <c r="K5440" t="s">
        <v>778</v>
      </c>
      <c r="L5440" t="s">
        <v>27776</v>
      </c>
      <c r="M5440" t="s">
        <v>27777</v>
      </c>
      <c r="N5440" t="s">
        <v>27778</v>
      </c>
      <c r="O5440" t="s">
        <v>26</v>
      </c>
      <c r="R5440">
        <v>99</v>
      </c>
      <c r="T5440" t="s">
        <v>27779</v>
      </c>
    </row>
    <row r="5441" spans="1:20">
      <c r="A5441">
        <v>3412126</v>
      </c>
      <c r="B5441" t="s">
        <v>27780</v>
      </c>
      <c r="C5441" t="str">
        <f>"9780774808781"</f>
        <v>9780774808781</v>
      </c>
      <c r="D5441" t="str">
        <f>"9780774850193"</f>
        <v>9780774850193</v>
      </c>
      <c r="E5441" t="s">
        <v>26801</v>
      </c>
      <c r="F5441" t="s">
        <v>26801</v>
      </c>
      <c r="G5441" s="1">
        <v>37377</v>
      </c>
      <c r="J5441" t="s">
        <v>27781</v>
      </c>
      <c r="K5441" t="s">
        <v>257</v>
      </c>
      <c r="L5441" t="s">
        <v>27782</v>
      </c>
      <c r="M5441">
        <v>378.71</v>
      </c>
      <c r="N5441" t="s">
        <v>27783</v>
      </c>
      <c r="O5441" t="s">
        <v>26</v>
      </c>
      <c r="R5441">
        <v>115</v>
      </c>
      <c r="T5441" t="s">
        <v>27784</v>
      </c>
    </row>
    <row r="5442" spans="1:20">
      <c r="A5442">
        <v>3412127</v>
      </c>
      <c r="B5442" t="s">
        <v>27785</v>
      </c>
      <c r="C5442" t="str">
        <f>"9780774812498"</f>
        <v>9780774812498</v>
      </c>
      <c r="D5442" t="str">
        <f>"9780774855297"</f>
        <v>9780774855297</v>
      </c>
      <c r="E5442" t="s">
        <v>26801</v>
      </c>
      <c r="F5442" t="s">
        <v>26801</v>
      </c>
      <c r="G5442" s="1">
        <v>38674</v>
      </c>
      <c r="I5442" t="s">
        <v>26935</v>
      </c>
      <c r="J5442" t="s">
        <v>27786</v>
      </c>
      <c r="K5442" t="s">
        <v>14194</v>
      </c>
      <c r="L5442" t="s">
        <v>27787</v>
      </c>
      <c r="M5442" t="s">
        <v>27788</v>
      </c>
      <c r="N5442" t="s">
        <v>27789</v>
      </c>
      <c r="O5442" t="s">
        <v>26</v>
      </c>
      <c r="R5442">
        <v>99</v>
      </c>
      <c r="T5442" t="s">
        <v>27790</v>
      </c>
    </row>
    <row r="5443" spans="1:20">
      <c r="A5443">
        <v>3412128</v>
      </c>
      <c r="B5443" t="s">
        <v>27791</v>
      </c>
      <c r="C5443" t="str">
        <f>"9780774812238"</f>
        <v>9780774812238</v>
      </c>
      <c r="D5443" t="str">
        <f>"9780774853095"</f>
        <v>9780774853095</v>
      </c>
      <c r="E5443" t="s">
        <v>26801</v>
      </c>
      <c r="F5443" t="s">
        <v>26801</v>
      </c>
      <c r="G5443" s="1">
        <v>38691</v>
      </c>
      <c r="I5443" t="s">
        <v>26924</v>
      </c>
      <c r="J5443" t="s">
        <v>27792</v>
      </c>
      <c r="K5443" t="s">
        <v>291</v>
      </c>
      <c r="L5443" t="s">
        <v>27793</v>
      </c>
      <c r="M5443" t="s">
        <v>27794</v>
      </c>
      <c r="N5443" t="s">
        <v>27795</v>
      </c>
      <c r="O5443" t="s">
        <v>26</v>
      </c>
      <c r="R5443">
        <v>99</v>
      </c>
      <c r="T5443" t="s">
        <v>27796</v>
      </c>
    </row>
    <row r="5444" spans="1:20">
      <c r="A5444">
        <v>3412129</v>
      </c>
      <c r="B5444" t="s">
        <v>27797</v>
      </c>
      <c r="C5444" t="str">
        <f>"9780774804622"</f>
        <v>9780774804622</v>
      </c>
      <c r="D5444" t="str">
        <f>"9780774853866"</f>
        <v>9780774853866</v>
      </c>
      <c r="E5444" t="s">
        <v>26801</v>
      </c>
      <c r="F5444" t="s">
        <v>26801</v>
      </c>
      <c r="G5444" s="1">
        <v>34820</v>
      </c>
      <c r="J5444" t="s">
        <v>27798</v>
      </c>
      <c r="K5444" t="s">
        <v>263</v>
      </c>
      <c r="L5444" t="s">
        <v>27799</v>
      </c>
      <c r="M5444">
        <v>362.82920000000001</v>
      </c>
      <c r="N5444" t="s">
        <v>27800</v>
      </c>
      <c r="O5444" t="s">
        <v>26</v>
      </c>
      <c r="R5444">
        <v>99</v>
      </c>
      <c r="T5444" t="s">
        <v>27801</v>
      </c>
    </row>
    <row r="5445" spans="1:20">
      <c r="A5445">
        <v>3412130</v>
      </c>
      <c r="B5445" t="s">
        <v>27802</v>
      </c>
      <c r="C5445" t="str">
        <f>"9780774807456"</f>
        <v>9780774807456</v>
      </c>
      <c r="D5445" t="str">
        <f>"9780774853170"</f>
        <v>9780774853170</v>
      </c>
      <c r="E5445" t="s">
        <v>26801</v>
      </c>
      <c r="F5445" t="s">
        <v>26801</v>
      </c>
      <c r="G5445" s="1">
        <v>36800</v>
      </c>
      <c r="J5445" t="s">
        <v>27803</v>
      </c>
      <c r="K5445" t="s">
        <v>263</v>
      </c>
      <c r="L5445" t="s">
        <v>27804</v>
      </c>
      <c r="M5445">
        <v>306</v>
      </c>
      <c r="N5445" t="s">
        <v>27805</v>
      </c>
      <c r="O5445" t="s">
        <v>26</v>
      </c>
      <c r="R5445">
        <v>99</v>
      </c>
      <c r="T5445" t="s">
        <v>27806</v>
      </c>
    </row>
    <row r="5446" spans="1:20">
      <c r="A5446">
        <v>3412131</v>
      </c>
      <c r="B5446" t="s">
        <v>27807</v>
      </c>
      <c r="C5446" t="str">
        <f>"9780774803892"</f>
        <v>9780774803892</v>
      </c>
      <c r="D5446" t="str">
        <f>"9780774853361"</f>
        <v>9780774853361</v>
      </c>
      <c r="E5446" t="s">
        <v>26801</v>
      </c>
      <c r="F5446" t="s">
        <v>26801</v>
      </c>
      <c r="G5446" s="1">
        <v>39356</v>
      </c>
      <c r="I5446" t="s">
        <v>27589</v>
      </c>
      <c r="J5446" t="s">
        <v>27808</v>
      </c>
      <c r="K5446" t="s">
        <v>778</v>
      </c>
      <c r="L5446" t="s">
        <v>27809</v>
      </c>
      <c r="M5446">
        <v>341</v>
      </c>
      <c r="N5446" t="s">
        <v>27593</v>
      </c>
      <c r="O5446" t="s">
        <v>26</v>
      </c>
      <c r="R5446">
        <v>180</v>
      </c>
      <c r="T5446" t="s">
        <v>27810</v>
      </c>
    </row>
    <row r="5447" spans="1:20">
      <c r="A5447">
        <v>3412132</v>
      </c>
      <c r="B5447" t="s">
        <v>27811</v>
      </c>
      <c r="C5447" t="str">
        <f>"9780774812092"</f>
        <v>9780774812092</v>
      </c>
      <c r="D5447" t="str">
        <f>"9780774853583"</f>
        <v>9780774853583</v>
      </c>
      <c r="E5447" t="s">
        <v>26801</v>
      </c>
      <c r="F5447" t="s">
        <v>26801</v>
      </c>
      <c r="G5447" s="1">
        <v>38899</v>
      </c>
      <c r="I5447" t="s">
        <v>27736</v>
      </c>
      <c r="J5447" t="s">
        <v>27812</v>
      </c>
      <c r="K5447" t="s">
        <v>1464</v>
      </c>
      <c r="L5447" t="s">
        <v>27813</v>
      </c>
      <c r="M5447">
        <v>809.93349999999998</v>
      </c>
      <c r="N5447" t="s">
        <v>27814</v>
      </c>
      <c r="O5447" t="s">
        <v>26</v>
      </c>
      <c r="R5447">
        <v>115</v>
      </c>
      <c r="T5447" t="s">
        <v>27815</v>
      </c>
    </row>
    <row r="5448" spans="1:20">
      <c r="A5448">
        <v>3412133</v>
      </c>
      <c r="B5448" t="s">
        <v>27816</v>
      </c>
      <c r="C5448" t="str">
        <f>"9780774805223"</f>
        <v>9780774805223</v>
      </c>
      <c r="D5448" t="str">
        <f>"9780774854566"</f>
        <v>9780774854566</v>
      </c>
      <c r="E5448" t="s">
        <v>26801</v>
      </c>
      <c r="F5448" t="s">
        <v>26801</v>
      </c>
      <c r="G5448" s="1">
        <v>34700</v>
      </c>
      <c r="J5448" t="s">
        <v>27817</v>
      </c>
      <c r="K5448" t="s">
        <v>1892</v>
      </c>
      <c r="L5448" t="s">
        <v>27818</v>
      </c>
      <c r="M5448">
        <v>267.58999999999997</v>
      </c>
      <c r="N5448" t="s">
        <v>27819</v>
      </c>
      <c r="O5448" t="s">
        <v>26</v>
      </c>
      <c r="R5448">
        <v>99</v>
      </c>
      <c r="T5448" t="s">
        <v>27820</v>
      </c>
    </row>
    <row r="5449" spans="1:20">
      <c r="A5449">
        <v>3412134</v>
      </c>
      <c r="B5449" t="s">
        <v>27821</v>
      </c>
      <c r="C5449" t="str">
        <f>"9780774802819"</f>
        <v>9780774802819</v>
      </c>
      <c r="D5449" t="str">
        <f>"9780774853439"</f>
        <v>9780774853439</v>
      </c>
      <c r="E5449" t="s">
        <v>26801</v>
      </c>
      <c r="F5449" t="s">
        <v>26801</v>
      </c>
      <c r="G5449" s="1">
        <v>39356</v>
      </c>
      <c r="I5449" t="s">
        <v>27589</v>
      </c>
      <c r="J5449" t="s">
        <v>27808</v>
      </c>
      <c r="K5449" t="s">
        <v>778</v>
      </c>
      <c r="L5449" t="s">
        <v>27822</v>
      </c>
      <c r="M5449">
        <v>341</v>
      </c>
      <c r="N5449" t="s">
        <v>27593</v>
      </c>
      <c r="O5449" t="s">
        <v>26</v>
      </c>
      <c r="R5449">
        <v>180</v>
      </c>
      <c r="T5449" t="s">
        <v>27823</v>
      </c>
    </row>
    <row r="5450" spans="1:20">
      <c r="A5450">
        <v>3412135</v>
      </c>
      <c r="B5450" t="s">
        <v>27824</v>
      </c>
      <c r="C5450" t="str">
        <f>"9780774806923"</f>
        <v>9780774806923</v>
      </c>
      <c r="D5450" t="str">
        <f>"9780774852371"</f>
        <v>9780774852371</v>
      </c>
      <c r="E5450" t="s">
        <v>26801</v>
      </c>
      <c r="F5450" t="s">
        <v>26801</v>
      </c>
      <c r="G5450" s="1">
        <v>36100</v>
      </c>
      <c r="J5450" t="s">
        <v>27825</v>
      </c>
      <c r="K5450" t="s">
        <v>263</v>
      </c>
      <c r="L5450" t="s">
        <v>27826</v>
      </c>
      <c r="M5450" t="s">
        <v>4054</v>
      </c>
      <c r="N5450" t="s">
        <v>27827</v>
      </c>
      <c r="O5450" t="s">
        <v>26</v>
      </c>
      <c r="R5450">
        <v>99</v>
      </c>
      <c r="T5450" t="s">
        <v>27828</v>
      </c>
    </row>
    <row r="5451" spans="1:20">
      <c r="A5451">
        <v>3412136</v>
      </c>
      <c r="B5451" t="s">
        <v>27829</v>
      </c>
      <c r="C5451" t="str">
        <f>"9780774803472"</f>
        <v>9780774803472</v>
      </c>
      <c r="D5451" t="str">
        <f>"9780774854788"</f>
        <v>9780774854788</v>
      </c>
      <c r="E5451" t="s">
        <v>26801</v>
      </c>
      <c r="F5451" t="s">
        <v>26801</v>
      </c>
      <c r="G5451" s="1">
        <v>32874</v>
      </c>
      <c r="J5451" t="s">
        <v>27830</v>
      </c>
      <c r="K5451" t="s">
        <v>7657</v>
      </c>
      <c r="L5451" t="s">
        <v>27831</v>
      </c>
      <c r="M5451">
        <v>333.2</v>
      </c>
      <c r="N5451" t="s">
        <v>27832</v>
      </c>
      <c r="O5451" t="s">
        <v>26</v>
      </c>
      <c r="R5451">
        <v>99</v>
      </c>
      <c r="T5451" t="s">
        <v>27833</v>
      </c>
    </row>
    <row r="5452" spans="1:20">
      <c r="A5452">
        <v>3412137</v>
      </c>
      <c r="B5452" t="s">
        <v>27834</v>
      </c>
      <c r="C5452" t="str">
        <f>"9780774809252"</f>
        <v>9780774809252</v>
      </c>
      <c r="D5452" t="str">
        <f>"9780774853835"</f>
        <v>9780774853835</v>
      </c>
      <c r="E5452" t="s">
        <v>26801</v>
      </c>
      <c r="F5452" t="s">
        <v>26801</v>
      </c>
      <c r="G5452" s="1">
        <v>38698</v>
      </c>
      <c r="I5452" t="s">
        <v>26935</v>
      </c>
      <c r="J5452" t="s">
        <v>14193</v>
      </c>
      <c r="K5452" t="s">
        <v>525</v>
      </c>
      <c r="L5452" t="s">
        <v>27835</v>
      </c>
      <c r="M5452" t="s">
        <v>27836</v>
      </c>
      <c r="N5452" t="s">
        <v>27837</v>
      </c>
      <c r="O5452" t="s">
        <v>26</v>
      </c>
      <c r="R5452">
        <v>115</v>
      </c>
      <c r="T5452" t="s">
        <v>27838</v>
      </c>
    </row>
    <row r="5453" spans="1:20">
      <c r="A5453">
        <v>3412138</v>
      </c>
      <c r="B5453" t="s">
        <v>27839</v>
      </c>
      <c r="C5453" t="str">
        <f>"9780774806503"</f>
        <v>9780774806503</v>
      </c>
      <c r="D5453" t="str">
        <f>"9780774854559"</f>
        <v>9780774854559</v>
      </c>
      <c r="E5453" t="s">
        <v>26801</v>
      </c>
      <c r="F5453" t="s">
        <v>26801</v>
      </c>
      <c r="G5453" s="1">
        <v>35916</v>
      </c>
      <c r="J5453" t="s">
        <v>27840</v>
      </c>
      <c r="K5453" t="s">
        <v>291</v>
      </c>
      <c r="L5453" t="s">
        <v>27841</v>
      </c>
      <c r="M5453" t="s">
        <v>27842</v>
      </c>
      <c r="N5453" t="s">
        <v>27843</v>
      </c>
      <c r="O5453" t="s">
        <v>26</v>
      </c>
      <c r="R5453">
        <v>99</v>
      </c>
      <c r="T5453" t="s">
        <v>27844</v>
      </c>
    </row>
    <row r="5454" spans="1:20">
      <c r="A5454">
        <v>3412139</v>
      </c>
      <c r="B5454" t="s">
        <v>27845</v>
      </c>
      <c r="C5454" t="str">
        <f>"9780774805803"</f>
        <v>9780774805803</v>
      </c>
      <c r="D5454" t="str">
        <f>"9780774853071"</f>
        <v>9780774853071</v>
      </c>
      <c r="E5454" t="s">
        <v>26801</v>
      </c>
      <c r="F5454" t="s">
        <v>26801</v>
      </c>
      <c r="G5454" s="1">
        <v>35490</v>
      </c>
      <c r="J5454" t="s">
        <v>27846</v>
      </c>
      <c r="K5454" t="s">
        <v>7063</v>
      </c>
      <c r="L5454" t="s">
        <v>27847</v>
      </c>
      <c r="M5454" t="s">
        <v>27521</v>
      </c>
      <c r="N5454" t="s">
        <v>27848</v>
      </c>
      <c r="O5454" t="s">
        <v>26</v>
      </c>
      <c r="R5454">
        <v>99</v>
      </c>
      <c r="T5454" t="s">
        <v>27849</v>
      </c>
    </row>
    <row r="5455" spans="1:20">
      <c r="A5455">
        <v>3412140</v>
      </c>
      <c r="B5455" t="s">
        <v>27850</v>
      </c>
      <c r="C5455" t="str">
        <f>"9780774800013"</f>
        <v>9780774800013</v>
      </c>
      <c r="D5455" t="str">
        <f>"9780774853347"</f>
        <v>9780774853347</v>
      </c>
      <c r="E5455" t="s">
        <v>26801</v>
      </c>
      <c r="F5455" t="s">
        <v>26801</v>
      </c>
      <c r="G5455" s="1">
        <v>39356</v>
      </c>
      <c r="I5455" t="s">
        <v>27589</v>
      </c>
      <c r="J5455" t="s">
        <v>27808</v>
      </c>
      <c r="K5455" t="s">
        <v>778</v>
      </c>
      <c r="L5455" t="s">
        <v>27851</v>
      </c>
      <c r="M5455">
        <v>341</v>
      </c>
      <c r="N5455" t="s">
        <v>27593</v>
      </c>
      <c r="O5455" t="s">
        <v>26</v>
      </c>
      <c r="R5455">
        <v>180</v>
      </c>
      <c r="T5455" t="s">
        <v>27852</v>
      </c>
    </row>
    <row r="5456" spans="1:20">
      <c r="A5456">
        <v>3412142</v>
      </c>
      <c r="B5456" t="s">
        <v>27853</v>
      </c>
      <c r="C5456" t="str">
        <f>"9780774800969"</f>
        <v>9780774800969</v>
      </c>
      <c r="D5456" t="str">
        <f>"9780774853521"</f>
        <v>9780774853521</v>
      </c>
      <c r="E5456" t="s">
        <v>26801</v>
      </c>
      <c r="F5456" t="s">
        <v>26801</v>
      </c>
      <c r="G5456" s="1">
        <v>39356</v>
      </c>
      <c r="I5456" t="s">
        <v>27589</v>
      </c>
      <c r="J5456" t="s">
        <v>27808</v>
      </c>
      <c r="K5456" t="s">
        <v>525</v>
      </c>
      <c r="L5456" t="s">
        <v>27854</v>
      </c>
      <c r="M5456">
        <v>341</v>
      </c>
      <c r="N5456" t="s">
        <v>27593</v>
      </c>
      <c r="O5456" t="s">
        <v>26</v>
      </c>
      <c r="R5456">
        <v>180</v>
      </c>
      <c r="T5456" t="s">
        <v>27855</v>
      </c>
    </row>
    <row r="5457" spans="1:20">
      <c r="A5457">
        <v>3412143</v>
      </c>
      <c r="B5457" t="s">
        <v>27856</v>
      </c>
      <c r="C5457" t="str">
        <f>"9780774806794"</f>
        <v>9780774806794</v>
      </c>
      <c r="D5457" t="str">
        <f>"9780774854412"</f>
        <v>9780774854412</v>
      </c>
      <c r="E5457" t="s">
        <v>26801</v>
      </c>
      <c r="F5457" t="s">
        <v>26801</v>
      </c>
      <c r="G5457" s="1">
        <v>36129</v>
      </c>
      <c r="I5457" t="s">
        <v>27589</v>
      </c>
      <c r="J5457" t="s">
        <v>27590</v>
      </c>
      <c r="K5457" t="s">
        <v>1214</v>
      </c>
      <c r="L5457" t="s">
        <v>27857</v>
      </c>
      <c r="M5457">
        <v>341</v>
      </c>
      <c r="N5457" t="s">
        <v>27593</v>
      </c>
      <c r="O5457" t="s">
        <v>26</v>
      </c>
      <c r="R5457">
        <v>180</v>
      </c>
      <c r="T5457" t="s">
        <v>27858</v>
      </c>
    </row>
    <row r="5458" spans="1:20">
      <c r="A5458">
        <v>3412144</v>
      </c>
      <c r="B5458" t="s">
        <v>27859</v>
      </c>
      <c r="C5458" t="str">
        <f>"9780774807432"</f>
        <v>9780774807432</v>
      </c>
      <c r="D5458" t="str">
        <f>"9780774852166"</f>
        <v>9780774852166</v>
      </c>
      <c r="E5458" t="s">
        <v>26801</v>
      </c>
      <c r="F5458" t="s">
        <v>26801</v>
      </c>
      <c r="G5458" s="1">
        <v>36800</v>
      </c>
      <c r="J5458" t="s">
        <v>27860</v>
      </c>
      <c r="K5458" t="s">
        <v>1550</v>
      </c>
      <c r="L5458" t="s">
        <v>27861</v>
      </c>
      <c r="M5458" t="s">
        <v>27862</v>
      </c>
      <c r="N5458" t="s">
        <v>27863</v>
      </c>
      <c r="O5458" t="s">
        <v>26</v>
      </c>
      <c r="R5458">
        <v>99</v>
      </c>
      <c r="T5458" t="s">
        <v>27864</v>
      </c>
    </row>
    <row r="5459" spans="1:20">
      <c r="A5459">
        <v>3412145</v>
      </c>
      <c r="B5459" t="s">
        <v>27865</v>
      </c>
      <c r="C5459" t="str">
        <f>"9780774803786"</f>
        <v>9780774803786</v>
      </c>
      <c r="D5459" t="str">
        <f>"9780774853217"</f>
        <v>9780774853217</v>
      </c>
      <c r="E5459" t="s">
        <v>26801</v>
      </c>
      <c r="F5459" t="s">
        <v>26801</v>
      </c>
      <c r="G5459" s="1">
        <v>33239</v>
      </c>
      <c r="J5459" t="s">
        <v>27866</v>
      </c>
      <c r="K5459" t="s">
        <v>467</v>
      </c>
      <c r="L5459" t="s">
        <v>27867</v>
      </c>
      <c r="M5459">
        <v>324.27109999999999</v>
      </c>
      <c r="N5459" t="s">
        <v>27868</v>
      </c>
      <c r="O5459" t="s">
        <v>26</v>
      </c>
      <c r="R5459">
        <v>99</v>
      </c>
      <c r="T5459" t="s">
        <v>27869</v>
      </c>
    </row>
    <row r="5460" spans="1:20">
      <c r="A5460">
        <v>3412147</v>
      </c>
      <c r="B5460" t="s">
        <v>27870</v>
      </c>
      <c r="C5460" t="str">
        <f>"9780774810210"</f>
        <v>9780774810210</v>
      </c>
      <c r="D5460" t="str">
        <f>"9780774851794"</f>
        <v>9780774851794</v>
      </c>
      <c r="E5460" t="s">
        <v>26801</v>
      </c>
      <c r="F5460" t="s">
        <v>26801</v>
      </c>
      <c r="G5460" s="1">
        <v>37865</v>
      </c>
      <c r="J5460" t="s">
        <v>27871</v>
      </c>
      <c r="K5460" t="s">
        <v>1550</v>
      </c>
      <c r="L5460" t="s">
        <v>27872</v>
      </c>
      <c r="M5460" t="s">
        <v>3934</v>
      </c>
      <c r="N5460" t="s">
        <v>27873</v>
      </c>
      <c r="O5460" t="s">
        <v>26</v>
      </c>
      <c r="R5460">
        <v>99</v>
      </c>
      <c r="T5460" t="s">
        <v>27874</v>
      </c>
    </row>
    <row r="5461" spans="1:20">
      <c r="A5461">
        <v>3412148</v>
      </c>
      <c r="B5461" t="s">
        <v>27875</v>
      </c>
      <c r="C5461" t="str">
        <f>"9780774800303"</f>
        <v>9780774800303</v>
      </c>
      <c r="D5461" t="str">
        <f>"9780774853552"</f>
        <v>9780774853552</v>
      </c>
      <c r="E5461" t="s">
        <v>26801</v>
      </c>
      <c r="F5461" t="s">
        <v>26801</v>
      </c>
      <c r="G5461" s="1">
        <v>39356</v>
      </c>
      <c r="I5461" t="s">
        <v>27589</v>
      </c>
      <c r="J5461" t="s">
        <v>27876</v>
      </c>
      <c r="K5461" t="s">
        <v>1214</v>
      </c>
      <c r="L5461" t="s">
        <v>27877</v>
      </c>
      <c r="M5461">
        <v>341</v>
      </c>
      <c r="N5461" t="s">
        <v>27593</v>
      </c>
      <c r="O5461" t="s">
        <v>26</v>
      </c>
      <c r="R5461">
        <v>180</v>
      </c>
      <c r="T5461" t="s">
        <v>27878</v>
      </c>
    </row>
    <row r="5462" spans="1:20">
      <c r="A5462">
        <v>3412149</v>
      </c>
      <c r="B5462" t="s">
        <v>27879</v>
      </c>
      <c r="C5462" t="str">
        <f>"9780774803014"</f>
        <v>9780774803014</v>
      </c>
      <c r="D5462" t="str">
        <f>"9780774853927"</f>
        <v>9780774853927</v>
      </c>
      <c r="E5462" t="s">
        <v>26801</v>
      </c>
      <c r="F5462" t="s">
        <v>26801</v>
      </c>
      <c r="G5462" s="1">
        <v>32143</v>
      </c>
      <c r="J5462" t="s">
        <v>27880</v>
      </c>
      <c r="K5462" t="s">
        <v>1464</v>
      </c>
      <c r="L5462" t="s">
        <v>27881</v>
      </c>
      <c r="M5462">
        <v>863.3</v>
      </c>
      <c r="N5462" t="s">
        <v>27882</v>
      </c>
      <c r="O5462" t="s">
        <v>26</v>
      </c>
      <c r="R5462">
        <v>99</v>
      </c>
      <c r="T5462" t="s">
        <v>27883</v>
      </c>
    </row>
    <row r="5463" spans="1:20">
      <c r="A5463">
        <v>3412150</v>
      </c>
      <c r="B5463" t="s">
        <v>27884</v>
      </c>
      <c r="C5463" t="str">
        <f>"9780774801812"</f>
        <v>9780774801812</v>
      </c>
      <c r="D5463" t="str">
        <f>"9780774853965"</f>
        <v>9780774853965</v>
      </c>
      <c r="E5463" t="s">
        <v>26801</v>
      </c>
      <c r="F5463" t="s">
        <v>26801</v>
      </c>
      <c r="G5463" s="1">
        <v>30317</v>
      </c>
      <c r="J5463" t="s">
        <v>27885</v>
      </c>
      <c r="K5463" t="s">
        <v>7063</v>
      </c>
      <c r="L5463" t="s">
        <v>27886</v>
      </c>
      <c r="M5463">
        <v>323.11970000000002</v>
      </c>
      <c r="N5463" t="s">
        <v>27887</v>
      </c>
      <c r="O5463" t="s">
        <v>26</v>
      </c>
      <c r="R5463">
        <v>99</v>
      </c>
      <c r="T5463" t="s">
        <v>27888</v>
      </c>
    </row>
    <row r="5464" spans="1:20">
      <c r="A5464">
        <v>3412151</v>
      </c>
      <c r="B5464" t="s">
        <v>27889</v>
      </c>
      <c r="C5464" t="str">
        <f>"9780774803816"</f>
        <v>9780774803816</v>
      </c>
      <c r="D5464" t="str">
        <f>"9780774853620"</f>
        <v>9780774853620</v>
      </c>
      <c r="E5464" t="s">
        <v>26801</v>
      </c>
      <c r="F5464" t="s">
        <v>26801</v>
      </c>
      <c r="G5464" s="1">
        <v>33239</v>
      </c>
      <c r="I5464" t="s">
        <v>26970</v>
      </c>
      <c r="J5464" t="s">
        <v>27890</v>
      </c>
      <c r="K5464" t="s">
        <v>2975</v>
      </c>
      <c r="L5464" t="s">
        <v>27891</v>
      </c>
      <c r="M5464" t="s">
        <v>27892</v>
      </c>
      <c r="N5464" t="s">
        <v>27893</v>
      </c>
      <c r="O5464" t="s">
        <v>26</v>
      </c>
      <c r="R5464">
        <v>99</v>
      </c>
      <c r="T5464" t="s">
        <v>27894</v>
      </c>
    </row>
    <row r="5465" spans="1:20">
      <c r="A5465">
        <v>3412152</v>
      </c>
      <c r="B5465" t="s">
        <v>27895</v>
      </c>
      <c r="C5465" t="str">
        <f>"9780774801829"</f>
        <v>9780774801829</v>
      </c>
      <c r="D5465" t="str">
        <f>"9780774853477"</f>
        <v>9780774853477</v>
      </c>
      <c r="E5465" t="s">
        <v>26801</v>
      </c>
      <c r="F5465" t="s">
        <v>26801</v>
      </c>
      <c r="G5465" s="1">
        <v>39356</v>
      </c>
      <c r="I5465" t="s">
        <v>27589</v>
      </c>
      <c r="J5465" t="s">
        <v>27808</v>
      </c>
      <c r="K5465" t="s">
        <v>778</v>
      </c>
      <c r="L5465" t="s">
        <v>27896</v>
      </c>
      <c r="M5465">
        <v>341</v>
      </c>
      <c r="N5465" t="s">
        <v>27593</v>
      </c>
      <c r="O5465" t="s">
        <v>26</v>
      </c>
      <c r="R5465">
        <v>180</v>
      </c>
      <c r="T5465" t="s">
        <v>27897</v>
      </c>
    </row>
    <row r="5466" spans="1:20">
      <c r="A5466">
        <v>3412153</v>
      </c>
      <c r="B5466" t="s">
        <v>27898</v>
      </c>
      <c r="C5466" t="str">
        <f>"9780774804165"</f>
        <v>9780774804165</v>
      </c>
      <c r="D5466" t="str">
        <f>"9780774853378"</f>
        <v>9780774853378</v>
      </c>
      <c r="E5466" t="s">
        <v>26801</v>
      </c>
      <c r="F5466" t="s">
        <v>26801</v>
      </c>
      <c r="G5466" s="1">
        <v>39356</v>
      </c>
      <c r="I5466" t="s">
        <v>27589</v>
      </c>
      <c r="J5466" t="s">
        <v>27808</v>
      </c>
      <c r="K5466" t="s">
        <v>778</v>
      </c>
      <c r="L5466" t="s">
        <v>27899</v>
      </c>
      <c r="M5466">
        <v>341</v>
      </c>
      <c r="N5466" t="s">
        <v>27593</v>
      </c>
      <c r="O5466" t="s">
        <v>26</v>
      </c>
      <c r="R5466">
        <v>180</v>
      </c>
      <c r="T5466" t="s">
        <v>27900</v>
      </c>
    </row>
    <row r="5467" spans="1:20">
      <c r="A5467">
        <v>3412154</v>
      </c>
      <c r="B5467" t="s">
        <v>27901</v>
      </c>
      <c r="C5467" t="str">
        <f>"9780774806732"</f>
        <v>9780774806732</v>
      </c>
      <c r="D5467" t="str">
        <f>"9780774854160"</f>
        <v>9780774854160</v>
      </c>
      <c r="E5467" t="s">
        <v>26801</v>
      </c>
      <c r="F5467" t="s">
        <v>26801</v>
      </c>
      <c r="G5467" s="1">
        <v>36100</v>
      </c>
      <c r="J5467" t="s">
        <v>27902</v>
      </c>
      <c r="K5467" t="s">
        <v>525</v>
      </c>
      <c r="L5467" t="s">
        <v>27903</v>
      </c>
      <c r="M5467">
        <v>340</v>
      </c>
      <c r="N5467" t="s">
        <v>27904</v>
      </c>
      <c r="O5467" t="s">
        <v>26</v>
      </c>
      <c r="R5467">
        <v>180</v>
      </c>
      <c r="T5467" t="s">
        <v>27905</v>
      </c>
    </row>
    <row r="5468" spans="1:20">
      <c r="A5468">
        <v>3412155</v>
      </c>
      <c r="B5468" t="s">
        <v>27906</v>
      </c>
      <c r="C5468" t="str">
        <f>"9780774801126"</f>
        <v>9780774801126</v>
      </c>
      <c r="D5468" t="str">
        <f>"9780774853514"</f>
        <v>9780774853514</v>
      </c>
      <c r="E5468" t="s">
        <v>26801</v>
      </c>
      <c r="F5468" t="s">
        <v>26801</v>
      </c>
      <c r="G5468" s="1">
        <v>39356</v>
      </c>
      <c r="I5468" t="s">
        <v>27589</v>
      </c>
      <c r="J5468" t="s">
        <v>27808</v>
      </c>
      <c r="K5468" t="s">
        <v>1214</v>
      </c>
      <c r="L5468" t="s">
        <v>27907</v>
      </c>
      <c r="M5468">
        <v>341</v>
      </c>
      <c r="N5468" t="s">
        <v>27593</v>
      </c>
      <c r="O5468" t="s">
        <v>26</v>
      </c>
      <c r="R5468">
        <v>180</v>
      </c>
      <c r="T5468" t="s">
        <v>27908</v>
      </c>
    </row>
    <row r="5469" spans="1:20">
      <c r="A5469">
        <v>3412156</v>
      </c>
      <c r="B5469" t="s">
        <v>27909</v>
      </c>
      <c r="C5469" t="str">
        <f>"9780774807678"</f>
        <v>9780774807678</v>
      </c>
      <c r="D5469" t="str">
        <f>"9780774852036"</f>
        <v>9780774852036</v>
      </c>
      <c r="E5469" t="s">
        <v>26801</v>
      </c>
      <c r="F5469" t="s">
        <v>26801</v>
      </c>
      <c r="G5469" s="1">
        <v>37012</v>
      </c>
      <c r="I5469" t="s">
        <v>26889</v>
      </c>
      <c r="J5469" t="s">
        <v>27910</v>
      </c>
      <c r="K5469" t="s">
        <v>6444</v>
      </c>
      <c r="L5469" t="s">
        <v>27911</v>
      </c>
      <c r="M5469">
        <v>323</v>
      </c>
      <c r="N5469" t="s">
        <v>27912</v>
      </c>
      <c r="O5469" t="s">
        <v>26</v>
      </c>
      <c r="R5469">
        <v>99</v>
      </c>
      <c r="T5469" t="s">
        <v>27913</v>
      </c>
    </row>
    <row r="5470" spans="1:20">
      <c r="A5470">
        <v>3412157</v>
      </c>
      <c r="B5470" t="s">
        <v>27914</v>
      </c>
      <c r="C5470" t="str">
        <f>"9780774805629"</f>
        <v>9780774805629</v>
      </c>
      <c r="D5470" t="str">
        <f>"9780774854627"</f>
        <v>9780774854627</v>
      </c>
      <c r="E5470" t="s">
        <v>26801</v>
      </c>
      <c r="F5470" t="s">
        <v>26801</v>
      </c>
      <c r="G5470" s="1">
        <v>35339</v>
      </c>
      <c r="I5470" t="s">
        <v>26843</v>
      </c>
      <c r="J5470" t="s">
        <v>27915</v>
      </c>
      <c r="K5470" t="s">
        <v>416</v>
      </c>
      <c r="L5470" t="s">
        <v>27916</v>
      </c>
      <c r="M5470">
        <v>333</v>
      </c>
      <c r="N5470" t="s">
        <v>27917</v>
      </c>
      <c r="O5470" t="s">
        <v>26</v>
      </c>
      <c r="R5470">
        <v>99</v>
      </c>
      <c r="T5470" t="s">
        <v>27918</v>
      </c>
    </row>
    <row r="5471" spans="1:20">
      <c r="A5471">
        <v>3412158</v>
      </c>
      <c r="B5471" t="s">
        <v>27919</v>
      </c>
      <c r="C5471" t="str">
        <f>"9780774805667"</f>
        <v>9780774805667</v>
      </c>
      <c r="D5471" t="str">
        <f>"9780774854429"</f>
        <v>9780774854429</v>
      </c>
      <c r="E5471" t="s">
        <v>26801</v>
      </c>
      <c r="F5471" t="s">
        <v>26801</v>
      </c>
      <c r="G5471" s="1">
        <v>35370</v>
      </c>
      <c r="I5471" t="s">
        <v>27589</v>
      </c>
      <c r="J5471" t="s">
        <v>27590</v>
      </c>
      <c r="K5471" t="s">
        <v>1214</v>
      </c>
      <c r="L5471" t="s">
        <v>27920</v>
      </c>
      <c r="M5471">
        <v>341</v>
      </c>
      <c r="N5471" t="s">
        <v>27593</v>
      </c>
      <c r="O5471" t="s">
        <v>26</v>
      </c>
      <c r="R5471">
        <v>180</v>
      </c>
      <c r="T5471" t="s">
        <v>27921</v>
      </c>
    </row>
    <row r="5472" spans="1:20">
      <c r="A5472">
        <v>3412159</v>
      </c>
      <c r="B5472" t="s">
        <v>27922</v>
      </c>
      <c r="C5472" t="str">
        <f>"9780774803731"</f>
        <v>9780774803731</v>
      </c>
      <c r="D5472" t="str">
        <f>"9780774854634"</f>
        <v>9780774854634</v>
      </c>
      <c r="E5472" t="s">
        <v>26801</v>
      </c>
      <c r="F5472" t="s">
        <v>26801</v>
      </c>
      <c r="G5472" s="1">
        <v>32509</v>
      </c>
      <c r="J5472" t="s">
        <v>27620</v>
      </c>
      <c r="K5472" t="s">
        <v>291</v>
      </c>
      <c r="L5472" t="s">
        <v>27923</v>
      </c>
      <c r="M5472" t="s">
        <v>27924</v>
      </c>
      <c r="N5472" t="s">
        <v>27925</v>
      </c>
      <c r="O5472" t="s">
        <v>26</v>
      </c>
      <c r="R5472">
        <v>99</v>
      </c>
      <c r="T5472" t="s">
        <v>27926</v>
      </c>
    </row>
    <row r="5473" spans="1:20">
      <c r="A5473">
        <v>3412160</v>
      </c>
      <c r="B5473" t="s">
        <v>27927</v>
      </c>
      <c r="C5473" t="str">
        <f>"9780774807753"</f>
        <v>9780774807753</v>
      </c>
      <c r="D5473" t="str">
        <f>"9780774852074"</f>
        <v>9780774852074</v>
      </c>
      <c r="E5473" t="s">
        <v>26801</v>
      </c>
      <c r="F5473" t="s">
        <v>26801</v>
      </c>
      <c r="G5473" s="1">
        <v>36800</v>
      </c>
      <c r="J5473" t="s">
        <v>22035</v>
      </c>
      <c r="K5473" t="s">
        <v>27928</v>
      </c>
      <c r="L5473" t="s">
        <v>27929</v>
      </c>
      <c r="M5473" t="s">
        <v>27930</v>
      </c>
      <c r="N5473" t="s">
        <v>27931</v>
      </c>
      <c r="O5473" t="s">
        <v>26</v>
      </c>
      <c r="R5473">
        <v>115</v>
      </c>
      <c r="T5473" t="s">
        <v>27932</v>
      </c>
    </row>
    <row r="5474" spans="1:20">
      <c r="A5474">
        <v>3412161</v>
      </c>
      <c r="B5474" t="s">
        <v>27933</v>
      </c>
      <c r="C5474" t="str">
        <f>"9780774800075"</f>
        <v>9780774800075</v>
      </c>
      <c r="D5474" t="str">
        <f>"9780774854849"</f>
        <v>9780774854849</v>
      </c>
      <c r="E5474" t="s">
        <v>26801</v>
      </c>
      <c r="F5474" t="s">
        <v>26801</v>
      </c>
      <c r="G5474" s="1">
        <v>26816</v>
      </c>
      <c r="H5474">
        <v>2</v>
      </c>
      <c r="J5474" t="s">
        <v>27934</v>
      </c>
      <c r="K5474" t="s">
        <v>21907</v>
      </c>
      <c r="L5474" t="s">
        <v>27935</v>
      </c>
      <c r="M5474">
        <v>16</v>
      </c>
      <c r="N5474" t="s">
        <v>27936</v>
      </c>
      <c r="O5474" t="s">
        <v>26</v>
      </c>
      <c r="R5474">
        <v>99</v>
      </c>
      <c r="T5474" t="s">
        <v>27937</v>
      </c>
    </row>
    <row r="5475" spans="1:20">
      <c r="A5475">
        <v>3412163</v>
      </c>
      <c r="B5475" t="s">
        <v>27938</v>
      </c>
      <c r="C5475" t="str">
        <f>"9780774805148"</f>
        <v>9780774805148</v>
      </c>
      <c r="D5475" t="str">
        <f>"9780774854122"</f>
        <v>9780774854122</v>
      </c>
      <c r="E5475" t="s">
        <v>26801</v>
      </c>
      <c r="F5475" t="s">
        <v>26801</v>
      </c>
      <c r="G5475" s="1">
        <v>34335</v>
      </c>
      <c r="I5475" t="s">
        <v>26986</v>
      </c>
      <c r="J5475" t="s">
        <v>27939</v>
      </c>
      <c r="K5475" t="s">
        <v>305</v>
      </c>
      <c r="L5475" t="s">
        <v>27940</v>
      </c>
      <c r="M5475">
        <v>382.9</v>
      </c>
      <c r="N5475" t="s">
        <v>27941</v>
      </c>
      <c r="O5475" t="s">
        <v>26</v>
      </c>
      <c r="R5475">
        <v>99</v>
      </c>
      <c r="T5475" t="s">
        <v>27942</v>
      </c>
    </row>
    <row r="5476" spans="1:20">
      <c r="A5476">
        <v>3412164</v>
      </c>
      <c r="B5476" t="s">
        <v>27943</v>
      </c>
      <c r="C5476" t="str">
        <f>"9780774807470"</f>
        <v>9780774807470</v>
      </c>
      <c r="D5476" t="str">
        <f>"9780774852128"</f>
        <v>9780774852128</v>
      </c>
      <c r="E5476" t="s">
        <v>26801</v>
      </c>
      <c r="F5476" t="s">
        <v>26801</v>
      </c>
      <c r="G5476" s="1">
        <v>36557</v>
      </c>
      <c r="J5476" t="s">
        <v>27944</v>
      </c>
      <c r="K5476" t="s">
        <v>899</v>
      </c>
      <c r="L5476" t="s">
        <v>27945</v>
      </c>
      <c r="M5476">
        <v>368.41</v>
      </c>
      <c r="N5476" t="s">
        <v>27946</v>
      </c>
      <c r="O5476" t="s">
        <v>26</v>
      </c>
      <c r="R5476">
        <v>99</v>
      </c>
      <c r="T5476" t="s">
        <v>27947</v>
      </c>
    </row>
    <row r="5477" spans="1:20">
      <c r="A5477">
        <v>3412165</v>
      </c>
      <c r="B5477" t="s">
        <v>27948</v>
      </c>
      <c r="C5477" t="str">
        <f>"9780774812320"</f>
        <v>9780774812320</v>
      </c>
      <c r="D5477" t="str">
        <f>"9780774854382"</f>
        <v>9780774854382</v>
      </c>
      <c r="E5477" t="s">
        <v>26801</v>
      </c>
      <c r="F5477" t="s">
        <v>26801</v>
      </c>
      <c r="G5477" s="1">
        <v>38748</v>
      </c>
      <c r="I5477" t="s">
        <v>27589</v>
      </c>
      <c r="J5477" t="s">
        <v>27590</v>
      </c>
      <c r="K5477" t="s">
        <v>525</v>
      </c>
      <c r="L5477" t="s">
        <v>27949</v>
      </c>
      <c r="M5477">
        <v>341</v>
      </c>
      <c r="N5477" t="s">
        <v>27593</v>
      </c>
      <c r="O5477" t="s">
        <v>26</v>
      </c>
      <c r="R5477">
        <v>180</v>
      </c>
      <c r="T5477" t="s">
        <v>27950</v>
      </c>
    </row>
    <row r="5478" spans="1:20">
      <c r="A5478">
        <v>3412166</v>
      </c>
      <c r="B5478" t="s">
        <v>27951</v>
      </c>
      <c r="C5478" t="str">
        <f>"9780774805513"</f>
        <v>9780774805513</v>
      </c>
      <c r="D5478" t="str">
        <f>"9780774854047"</f>
        <v>9780774854047</v>
      </c>
      <c r="E5478" t="s">
        <v>26801</v>
      </c>
      <c r="F5478" t="s">
        <v>26801</v>
      </c>
      <c r="G5478" s="1">
        <v>35431</v>
      </c>
      <c r="J5478" t="s">
        <v>27952</v>
      </c>
      <c r="K5478" t="s">
        <v>899</v>
      </c>
      <c r="L5478" t="s">
        <v>27953</v>
      </c>
      <c r="M5478" t="s">
        <v>27954</v>
      </c>
      <c r="N5478" t="s">
        <v>27955</v>
      </c>
      <c r="O5478" t="s">
        <v>26</v>
      </c>
      <c r="R5478">
        <v>99</v>
      </c>
      <c r="T5478" t="s">
        <v>27956</v>
      </c>
    </row>
    <row r="5479" spans="1:20">
      <c r="A5479">
        <v>3412167</v>
      </c>
      <c r="B5479" t="s">
        <v>27957</v>
      </c>
      <c r="C5479" t="str">
        <f>"9780774804455"</f>
        <v>9780774804455</v>
      </c>
      <c r="D5479" t="str">
        <f>"9780774854870"</f>
        <v>9780774854870</v>
      </c>
      <c r="E5479" t="s">
        <v>26801</v>
      </c>
      <c r="F5479" t="s">
        <v>26801</v>
      </c>
      <c r="G5479" s="1">
        <v>33970</v>
      </c>
      <c r="K5479" t="s">
        <v>1056</v>
      </c>
      <c r="L5479" t="s">
        <v>27958</v>
      </c>
      <c r="M5479">
        <v>333.73</v>
      </c>
      <c r="N5479" t="s">
        <v>27959</v>
      </c>
      <c r="O5479" t="s">
        <v>26</v>
      </c>
      <c r="R5479">
        <v>99</v>
      </c>
      <c r="T5479" t="s">
        <v>27960</v>
      </c>
    </row>
    <row r="5480" spans="1:20">
      <c r="A5480">
        <v>3412168</v>
      </c>
      <c r="B5480" t="s">
        <v>27961</v>
      </c>
      <c r="C5480" t="str">
        <f>"9780774806367"</f>
        <v>9780774806367</v>
      </c>
      <c r="D5480" t="str">
        <f>"9780774853026"</f>
        <v>9780774853026</v>
      </c>
      <c r="E5480" t="s">
        <v>26801</v>
      </c>
      <c r="F5480" t="s">
        <v>26801</v>
      </c>
      <c r="G5480" s="1">
        <v>35735</v>
      </c>
      <c r="J5480" t="s">
        <v>27962</v>
      </c>
      <c r="K5480" t="s">
        <v>2963</v>
      </c>
      <c r="L5480" t="s">
        <v>27963</v>
      </c>
      <c r="M5480" t="s">
        <v>27964</v>
      </c>
      <c r="N5480" t="s">
        <v>27965</v>
      </c>
      <c r="O5480" t="s">
        <v>26</v>
      </c>
      <c r="R5480">
        <v>99</v>
      </c>
      <c r="T5480" t="s">
        <v>27966</v>
      </c>
    </row>
    <row r="5481" spans="1:20">
      <c r="A5481">
        <v>3412169</v>
      </c>
      <c r="B5481" t="s">
        <v>27967</v>
      </c>
      <c r="C5481" t="str">
        <f>"9780774800471"</f>
        <v>9780774800471</v>
      </c>
      <c r="D5481" t="str">
        <f>"9780774854344"</f>
        <v>9780774854344</v>
      </c>
      <c r="E5481" t="s">
        <v>26801</v>
      </c>
      <c r="F5481" t="s">
        <v>26801</v>
      </c>
      <c r="G5481" s="1">
        <v>27851</v>
      </c>
      <c r="J5481" t="s">
        <v>27968</v>
      </c>
      <c r="K5481" t="s">
        <v>1464</v>
      </c>
      <c r="L5481" t="s">
        <v>27969</v>
      </c>
      <c r="M5481">
        <v>811.00900000000001</v>
      </c>
      <c r="N5481" t="s">
        <v>27970</v>
      </c>
      <c r="O5481" t="s">
        <v>26</v>
      </c>
      <c r="R5481">
        <v>99</v>
      </c>
      <c r="T5481" t="s">
        <v>27971</v>
      </c>
    </row>
    <row r="5482" spans="1:20">
      <c r="A5482">
        <v>3412170</v>
      </c>
      <c r="B5482" t="s">
        <v>27972</v>
      </c>
      <c r="C5482" t="str">
        <f>"9780774806305"</f>
        <v>9780774806305</v>
      </c>
      <c r="D5482" t="str">
        <f>"9780774854900"</f>
        <v>9780774854900</v>
      </c>
      <c r="E5482" t="s">
        <v>26801</v>
      </c>
      <c r="F5482" t="s">
        <v>26801</v>
      </c>
      <c r="G5482" s="1">
        <v>35947</v>
      </c>
      <c r="J5482" t="s">
        <v>27973</v>
      </c>
      <c r="K5482" t="s">
        <v>179</v>
      </c>
      <c r="L5482" t="s">
        <v>27974</v>
      </c>
      <c r="M5482">
        <v>577.29999999999995</v>
      </c>
      <c r="N5482" t="s">
        <v>27975</v>
      </c>
      <c r="O5482" t="s">
        <v>26</v>
      </c>
      <c r="R5482">
        <v>99</v>
      </c>
      <c r="T5482" t="s">
        <v>27976</v>
      </c>
    </row>
    <row r="5483" spans="1:20">
      <c r="A5483">
        <v>3412171</v>
      </c>
      <c r="B5483" t="s">
        <v>27977</v>
      </c>
      <c r="C5483" t="str">
        <f>"9780774804301"</f>
        <v>9780774804301</v>
      </c>
      <c r="D5483" t="str">
        <f>"9780774853224"</f>
        <v>9780774853224</v>
      </c>
      <c r="E5483" t="s">
        <v>26801</v>
      </c>
      <c r="F5483" t="s">
        <v>26801</v>
      </c>
      <c r="G5483" s="1">
        <v>33604</v>
      </c>
      <c r="J5483" t="s">
        <v>27978</v>
      </c>
      <c r="K5483" t="s">
        <v>1550</v>
      </c>
      <c r="L5483" t="s">
        <v>27979</v>
      </c>
      <c r="M5483">
        <v>306</v>
      </c>
      <c r="N5483" t="s">
        <v>27980</v>
      </c>
      <c r="O5483" t="s">
        <v>26</v>
      </c>
      <c r="R5483">
        <v>99</v>
      </c>
      <c r="T5483" t="s">
        <v>27981</v>
      </c>
    </row>
    <row r="5484" spans="1:20">
      <c r="A5484">
        <v>3412172</v>
      </c>
      <c r="B5484" t="s">
        <v>27982</v>
      </c>
      <c r="C5484" t="str">
        <f>"9780774811248"</f>
        <v>9780774811248</v>
      </c>
      <c r="D5484" t="str">
        <f>"9780774851664"</f>
        <v>9780774851664</v>
      </c>
      <c r="E5484" t="s">
        <v>26801</v>
      </c>
      <c r="F5484" t="s">
        <v>26801</v>
      </c>
      <c r="G5484" s="1">
        <v>38378</v>
      </c>
      <c r="I5484" t="s">
        <v>27589</v>
      </c>
      <c r="J5484" t="s">
        <v>27590</v>
      </c>
      <c r="K5484" t="s">
        <v>525</v>
      </c>
      <c r="L5484" t="s">
        <v>27983</v>
      </c>
      <c r="M5484" t="s">
        <v>27592</v>
      </c>
      <c r="N5484" t="s">
        <v>27593</v>
      </c>
      <c r="O5484" t="s">
        <v>26</v>
      </c>
      <c r="R5484">
        <v>180</v>
      </c>
      <c r="T5484" t="s">
        <v>27984</v>
      </c>
    </row>
    <row r="5485" spans="1:20">
      <c r="A5485">
        <v>3412173</v>
      </c>
      <c r="B5485" t="s">
        <v>27985</v>
      </c>
      <c r="C5485" t="str">
        <f>"9780774806985"</f>
        <v>9780774806985</v>
      </c>
      <c r="D5485" t="str">
        <f>"9780774854672"</f>
        <v>9780774854672</v>
      </c>
      <c r="E5485" t="s">
        <v>26801</v>
      </c>
      <c r="F5485" t="s">
        <v>26801</v>
      </c>
      <c r="G5485" s="1">
        <v>35765</v>
      </c>
      <c r="J5485" t="s">
        <v>27986</v>
      </c>
      <c r="K5485" t="s">
        <v>467</v>
      </c>
      <c r="L5485" t="s">
        <v>27987</v>
      </c>
      <c r="N5485" t="s">
        <v>27988</v>
      </c>
      <c r="O5485" t="s">
        <v>26</v>
      </c>
      <c r="R5485">
        <v>99</v>
      </c>
      <c r="T5485" t="s">
        <v>27989</v>
      </c>
    </row>
    <row r="5486" spans="1:20">
      <c r="A5486">
        <v>3412174</v>
      </c>
      <c r="B5486" t="s">
        <v>27990</v>
      </c>
      <c r="C5486" t="str">
        <f>"9780774805032"</f>
        <v>9780774805032</v>
      </c>
      <c r="D5486" t="str">
        <f>"9780774853859"</f>
        <v>9780774853859</v>
      </c>
      <c r="E5486" t="s">
        <v>26801</v>
      </c>
      <c r="F5486" t="s">
        <v>26801</v>
      </c>
      <c r="G5486" s="1">
        <v>35156</v>
      </c>
      <c r="J5486" t="s">
        <v>27991</v>
      </c>
      <c r="K5486" t="s">
        <v>278</v>
      </c>
      <c r="L5486" t="s">
        <v>27992</v>
      </c>
      <c r="M5486">
        <v>333</v>
      </c>
      <c r="N5486" t="s">
        <v>27993</v>
      </c>
      <c r="O5486" t="s">
        <v>26</v>
      </c>
      <c r="R5486">
        <v>99</v>
      </c>
      <c r="T5486" t="s">
        <v>27994</v>
      </c>
    </row>
    <row r="5487" spans="1:20">
      <c r="A5487">
        <v>3412175</v>
      </c>
      <c r="B5487" t="s">
        <v>27995</v>
      </c>
      <c r="C5487" t="str">
        <f>"9780774802901"</f>
        <v>9780774802901</v>
      </c>
      <c r="D5487" t="str">
        <f>"9780774854740"</f>
        <v>9780774854740</v>
      </c>
      <c r="E5487" t="s">
        <v>26801</v>
      </c>
      <c r="F5487" t="s">
        <v>26801</v>
      </c>
      <c r="G5487" s="1">
        <v>31778</v>
      </c>
      <c r="J5487" t="s">
        <v>27996</v>
      </c>
      <c r="K5487" t="s">
        <v>1464</v>
      </c>
      <c r="L5487" t="s">
        <v>27997</v>
      </c>
      <c r="M5487" t="s">
        <v>1567</v>
      </c>
      <c r="N5487" t="s">
        <v>27998</v>
      </c>
      <c r="O5487" t="s">
        <v>26</v>
      </c>
      <c r="R5487">
        <v>99</v>
      </c>
      <c r="T5487" t="s">
        <v>27999</v>
      </c>
    </row>
    <row r="5488" spans="1:20">
      <c r="A5488">
        <v>3412176</v>
      </c>
      <c r="B5488" t="s">
        <v>28000</v>
      </c>
      <c r="C5488" t="str">
        <f>"9780774805247"</f>
        <v>9780774805247</v>
      </c>
      <c r="D5488" t="str">
        <f>"9780774853248"</f>
        <v>9780774853248</v>
      </c>
      <c r="E5488" t="s">
        <v>26801</v>
      </c>
      <c r="F5488" t="s">
        <v>26801</v>
      </c>
      <c r="G5488" s="1">
        <v>34669</v>
      </c>
      <c r="J5488" t="s">
        <v>20439</v>
      </c>
      <c r="K5488" t="s">
        <v>291</v>
      </c>
      <c r="L5488" t="s">
        <v>28001</v>
      </c>
      <c r="M5488">
        <v>971.4</v>
      </c>
      <c r="N5488" t="s">
        <v>28002</v>
      </c>
      <c r="O5488" t="s">
        <v>26</v>
      </c>
      <c r="R5488">
        <v>99</v>
      </c>
      <c r="T5488" t="s">
        <v>28003</v>
      </c>
    </row>
    <row r="5489" spans="1:20">
      <c r="A5489">
        <v>3412177</v>
      </c>
      <c r="B5489" t="s">
        <v>28004</v>
      </c>
      <c r="C5489" t="str">
        <f>"9780774803793"</f>
        <v>9780774803793</v>
      </c>
      <c r="D5489" t="str">
        <f>"9780774854658"</f>
        <v>9780774854658</v>
      </c>
      <c r="E5489" t="s">
        <v>26801</v>
      </c>
      <c r="F5489" t="s">
        <v>26801</v>
      </c>
      <c r="G5489" s="1">
        <v>33239</v>
      </c>
      <c r="J5489" t="s">
        <v>28005</v>
      </c>
      <c r="K5489" t="s">
        <v>291</v>
      </c>
      <c r="L5489" t="s">
        <v>28006</v>
      </c>
      <c r="M5489" t="s">
        <v>28007</v>
      </c>
      <c r="N5489" t="s">
        <v>28008</v>
      </c>
      <c r="O5489" t="s">
        <v>26</v>
      </c>
      <c r="R5489">
        <v>99</v>
      </c>
      <c r="T5489" t="s">
        <v>28009</v>
      </c>
    </row>
    <row r="5490" spans="1:20">
      <c r="A5490">
        <v>3412178</v>
      </c>
      <c r="B5490" t="s">
        <v>28010</v>
      </c>
      <c r="C5490" t="str">
        <f>"9780774804707"</f>
        <v>9780774804707</v>
      </c>
      <c r="D5490" t="str">
        <f>"9780774853897"</f>
        <v>9780774853897</v>
      </c>
      <c r="E5490" t="s">
        <v>26801</v>
      </c>
      <c r="F5490" t="s">
        <v>26801</v>
      </c>
      <c r="G5490" s="1">
        <v>33970</v>
      </c>
      <c r="J5490" t="s">
        <v>28011</v>
      </c>
      <c r="K5490" t="s">
        <v>3230</v>
      </c>
      <c r="L5490" t="s">
        <v>28012</v>
      </c>
      <c r="M5490">
        <v>910.91</v>
      </c>
      <c r="N5490" t="s">
        <v>28013</v>
      </c>
      <c r="O5490" t="s">
        <v>26</v>
      </c>
      <c r="R5490">
        <v>99</v>
      </c>
      <c r="T5490" t="s">
        <v>28014</v>
      </c>
    </row>
    <row r="5491" spans="1:20">
      <c r="A5491">
        <v>3412179</v>
      </c>
      <c r="B5491" t="s">
        <v>28015</v>
      </c>
      <c r="C5491" t="str">
        <f>"9780774804974"</f>
        <v>9780774804974</v>
      </c>
      <c r="D5491" t="str">
        <f>"9780774854443"</f>
        <v>9780774854443</v>
      </c>
      <c r="E5491" t="s">
        <v>26801</v>
      </c>
      <c r="F5491" t="s">
        <v>26801</v>
      </c>
      <c r="G5491" s="1">
        <v>34335</v>
      </c>
      <c r="J5491" t="s">
        <v>28016</v>
      </c>
      <c r="K5491" t="s">
        <v>14458</v>
      </c>
      <c r="L5491" t="s">
        <v>28017</v>
      </c>
      <c r="M5491" t="s">
        <v>28018</v>
      </c>
      <c r="N5491" t="s">
        <v>28019</v>
      </c>
      <c r="O5491" t="s">
        <v>26</v>
      </c>
      <c r="R5491">
        <v>99</v>
      </c>
      <c r="T5491" t="s">
        <v>28020</v>
      </c>
    </row>
    <row r="5492" spans="1:20">
      <c r="A5492">
        <v>3412180</v>
      </c>
      <c r="B5492" t="s">
        <v>28021</v>
      </c>
      <c r="C5492" t="str">
        <f>"9780774805889"</f>
        <v>9780774805889</v>
      </c>
      <c r="D5492" t="str">
        <f>"9780774854085"</f>
        <v>9780774854085</v>
      </c>
      <c r="E5492" t="s">
        <v>26801</v>
      </c>
      <c r="F5492" t="s">
        <v>26801</v>
      </c>
      <c r="G5492" s="1">
        <v>35431</v>
      </c>
      <c r="J5492" t="s">
        <v>17969</v>
      </c>
      <c r="K5492" t="s">
        <v>291</v>
      </c>
      <c r="L5492" t="s">
        <v>28022</v>
      </c>
      <c r="M5492">
        <v>971.1</v>
      </c>
      <c r="N5492" t="s">
        <v>28023</v>
      </c>
      <c r="O5492" t="s">
        <v>26</v>
      </c>
      <c r="R5492">
        <v>99</v>
      </c>
      <c r="T5492" t="s">
        <v>28024</v>
      </c>
    </row>
    <row r="5493" spans="1:20">
      <c r="A5493">
        <v>3412181</v>
      </c>
      <c r="B5493" t="s">
        <v>28025</v>
      </c>
      <c r="C5493" t="str">
        <f>"9780774806114"</f>
        <v>9780774806114</v>
      </c>
      <c r="D5493" t="str">
        <f>"9780774854535"</f>
        <v>9780774854535</v>
      </c>
      <c r="E5493" t="s">
        <v>26801</v>
      </c>
      <c r="F5493" t="s">
        <v>26801</v>
      </c>
      <c r="G5493" s="1">
        <v>35947</v>
      </c>
      <c r="J5493" t="s">
        <v>28026</v>
      </c>
      <c r="K5493" t="s">
        <v>4123</v>
      </c>
      <c r="L5493" t="s">
        <v>28027</v>
      </c>
      <c r="M5493" t="s">
        <v>28028</v>
      </c>
      <c r="N5493" t="s">
        <v>28029</v>
      </c>
      <c r="O5493" t="s">
        <v>26</v>
      </c>
      <c r="R5493">
        <v>99</v>
      </c>
      <c r="T5493" t="s">
        <v>28030</v>
      </c>
    </row>
    <row r="5494" spans="1:20">
      <c r="A5494">
        <v>3412182</v>
      </c>
      <c r="B5494" t="s">
        <v>28031</v>
      </c>
      <c r="C5494" t="str">
        <f>"9780774807241"</f>
        <v>9780774807241</v>
      </c>
      <c r="D5494" t="str">
        <f>"9780774852203"</f>
        <v>9780774852203</v>
      </c>
      <c r="E5494" t="s">
        <v>26801</v>
      </c>
      <c r="F5494" t="s">
        <v>26801</v>
      </c>
      <c r="G5494" s="1">
        <v>36281</v>
      </c>
      <c r="J5494" t="s">
        <v>27141</v>
      </c>
      <c r="K5494" t="s">
        <v>1859</v>
      </c>
      <c r="L5494" t="s">
        <v>28032</v>
      </c>
      <c r="M5494" t="s">
        <v>6293</v>
      </c>
      <c r="N5494" t="s">
        <v>28033</v>
      </c>
      <c r="O5494" t="s">
        <v>26</v>
      </c>
      <c r="R5494">
        <v>99</v>
      </c>
      <c r="T5494" t="s">
        <v>28034</v>
      </c>
    </row>
    <row r="5495" spans="1:20">
      <c r="A5495">
        <v>3412183</v>
      </c>
      <c r="B5495" t="s">
        <v>28035</v>
      </c>
      <c r="C5495" t="str">
        <f>"9780774807982"</f>
        <v>9780774807982</v>
      </c>
      <c r="D5495" t="str">
        <f>"9780774852142"</f>
        <v>9780774852142</v>
      </c>
      <c r="E5495" t="s">
        <v>26801</v>
      </c>
      <c r="F5495" t="s">
        <v>26801</v>
      </c>
      <c r="G5495" s="1">
        <v>36708</v>
      </c>
      <c r="J5495" t="s">
        <v>28036</v>
      </c>
      <c r="K5495" t="s">
        <v>6444</v>
      </c>
      <c r="L5495" t="s">
        <v>28037</v>
      </c>
      <c r="M5495" t="s">
        <v>27521</v>
      </c>
      <c r="N5495" t="s">
        <v>28038</v>
      </c>
      <c r="O5495" t="s">
        <v>26</v>
      </c>
      <c r="R5495">
        <v>99</v>
      </c>
      <c r="T5495" t="s">
        <v>28039</v>
      </c>
    </row>
    <row r="5496" spans="1:20">
      <c r="A5496">
        <v>3412184</v>
      </c>
      <c r="B5496" t="s">
        <v>28040</v>
      </c>
      <c r="C5496" t="str">
        <f>"9780774806633"</f>
        <v>9780774806633</v>
      </c>
      <c r="D5496" t="str">
        <f>"9780774852340"</f>
        <v>9780774852340</v>
      </c>
      <c r="E5496" t="s">
        <v>26801</v>
      </c>
      <c r="F5496" t="s">
        <v>26801</v>
      </c>
      <c r="G5496" s="1">
        <v>35765</v>
      </c>
      <c r="J5496" t="s">
        <v>28041</v>
      </c>
      <c r="K5496" t="s">
        <v>291</v>
      </c>
      <c r="L5496" t="s">
        <v>28042</v>
      </c>
      <c r="N5496" t="s">
        <v>28043</v>
      </c>
      <c r="O5496" t="s">
        <v>26</v>
      </c>
      <c r="R5496">
        <v>99</v>
      </c>
      <c r="T5496" t="s">
        <v>28044</v>
      </c>
    </row>
    <row r="5497" spans="1:20">
      <c r="A5497">
        <v>3412185</v>
      </c>
      <c r="B5497" t="s">
        <v>28045</v>
      </c>
      <c r="C5497" t="str">
        <f>"9780774805056"</f>
        <v>9780774805056</v>
      </c>
      <c r="D5497" t="str">
        <f>"9780774854603"</f>
        <v>9780774854603</v>
      </c>
      <c r="E5497" t="s">
        <v>26801</v>
      </c>
      <c r="F5497" t="s">
        <v>26801</v>
      </c>
      <c r="G5497" s="1">
        <v>35065</v>
      </c>
      <c r="J5497" t="s">
        <v>28046</v>
      </c>
      <c r="K5497" t="s">
        <v>4081</v>
      </c>
      <c r="L5497" t="s">
        <v>28047</v>
      </c>
      <c r="M5497">
        <v>495.1</v>
      </c>
      <c r="N5497" t="s">
        <v>28048</v>
      </c>
      <c r="O5497" t="s">
        <v>26</v>
      </c>
      <c r="R5497">
        <v>99</v>
      </c>
      <c r="T5497" t="s">
        <v>28049</v>
      </c>
    </row>
    <row r="5498" spans="1:20">
      <c r="A5498">
        <v>3412186</v>
      </c>
      <c r="B5498" t="s">
        <v>28050</v>
      </c>
      <c r="C5498" t="str">
        <f>"9780774811583"</f>
        <v>9780774811583</v>
      </c>
      <c r="D5498" t="str">
        <f>"9780774851626"</f>
        <v>9780774851626</v>
      </c>
      <c r="E5498" t="s">
        <v>26801</v>
      </c>
      <c r="F5498" t="s">
        <v>26801</v>
      </c>
      <c r="G5498" s="1">
        <v>38718</v>
      </c>
      <c r="I5498" t="s">
        <v>27608</v>
      </c>
      <c r="J5498" t="s">
        <v>28051</v>
      </c>
      <c r="K5498" t="s">
        <v>467</v>
      </c>
      <c r="L5498" t="s">
        <v>28052</v>
      </c>
      <c r="M5498">
        <v>321.80430000000001</v>
      </c>
      <c r="N5498" t="s">
        <v>28053</v>
      </c>
      <c r="O5498" t="s">
        <v>26</v>
      </c>
      <c r="R5498">
        <v>99</v>
      </c>
      <c r="T5498" t="s">
        <v>28054</v>
      </c>
    </row>
    <row r="5499" spans="1:20">
      <c r="A5499">
        <v>3412187</v>
      </c>
      <c r="B5499" t="s">
        <v>28055</v>
      </c>
      <c r="C5499" t="str">
        <f>"9780774807791"</f>
        <v>9780774807791</v>
      </c>
      <c r="D5499" t="str">
        <f>"9780774852159"</f>
        <v>9780774852159</v>
      </c>
      <c r="E5499" t="s">
        <v>26801</v>
      </c>
      <c r="F5499" t="s">
        <v>26801</v>
      </c>
      <c r="G5499" s="1">
        <v>39448</v>
      </c>
      <c r="J5499" t="s">
        <v>28056</v>
      </c>
      <c r="K5499" t="s">
        <v>467</v>
      </c>
      <c r="L5499" t="s">
        <v>28057</v>
      </c>
      <c r="M5499">
        <v>323</v>
      </c>
      <c r="N5499" t="s">
        <v>28058</v>
      </c>
      <c r="O5499" t="s">
        <v>26</v>
      </c>
      <c r="R5499">
        <v>99</v>
      </c>
      <c r="T5499" t="s">
        <v>28059</v>
      </c>
    </row>
    <row r="5500" spans="1:20">
      <c r="A5500">
        <v>3412188</v>
      </c>
      <c r="B5500" t="s">
        <v>28060</v>
      </c>
      <c r="C5500" t="str">
        <f>"9780774804912"</f>
        <v>9780774804912</v>
      </c>
      <c r="D5500" t="str">
        <f>"9780774853057"</f>
        <v>9780774853057</v>
      </c>
      <c r="E5500" t="s">
        <v>26801</v>
      </c>
      <c r="F5500" t="s">
        <v>26801</v>
      </c>
      <c r="G5500" s="1">
        <v>34335</v>
      </c>
      <c r="J5500" t="s">
        <v>28061</v>
      </c>
      <c r="K5500" t="s">
        <v>263</v>
      </c>
      <c r="L5500" t="s">
        <v>28062</v>
      </c>
      <c r="M5500">
        <v>301</v>
      </c>
      <c r="N5500" t="s">
        <v>28063</v>
      </c>
      <c r="O5500" t="s">
        <v>26</v>
      </c>
      <c r="R5500">
        <v>99</v>
      </c>
      <c r="T5500" t="s">
        <v>28064</v>
      </c>
    </row>
    <row r="5501" spans="1:20">
      <c r="A5501">
        <v>3412189</v>
      </c>
      <c r="B5501" t="s">
        <v>28065</v>
      </c>
      <c r="C5501" t="str">
        <f>"9780774800495"</f>
        <v>9780774800495</v>
      </c>
      <c r="D5501" t="str">
        <f>"9780774853538"</f>
        <v>9780774853538</v>
      </c>
      <c r="E5501" t="s">
        <v>26801</v>
      </c>
      <c r="F5501" t="s">
        <v>26801</v>
      </c>
      <c r="G5501" s="1">
        <v>39356</v>
      </c>
      <c r="I5501" t="s">
        <v>27589</v>
      </c>
      <c r="J5501" t="s">
        <v>27808</v>
      </c>
      <c r="K5501" t="s">
        <v>778</v>
      </c>
      <c r="L5501" t="s">
        <v>28066</v>
      </c>
      <c r="M5501">
        <v>341</v>
      </c>
      <c r="N5501" t="s">
        <v>27593</v>
      </c>
      <c r="O5501" t="s">
        <v>26</v>
      </c>
      <c r="R5501">
        <v>180</v>
      </c>
      <c r="T5501" t="s">
        <v>28067</v>
      </c>
    </row>
    <row r="5502" spans="1:20">
      <c r="A5502">
        <v>3412190</v>
      </c>
      <c r="B5502" t="s">
        <v>28068</v>
      </c>
      <c r="C5502" t="str">
        <f>"9780774806039"</f>
        <v>9780774806039</v>
      </c>
      <c r="D5502" t="str">
        <f>"9780774854337"</f>
        <v>9780774854337</v>
      </c>
      <c r="E5502" t="s">
        <v>26801</v>
      </c>
      <c r="F5502" t="s">
        <v>26801</v>
      </c>
      <c r="G5502" s="1">
        <v>35582</v>
      </c>
      <c r="J5502" t="s">
        <v>28069</v>
      </c>
      <c r="K5502" t="s">
        <v>278</v>
      </c>
      <c r="L5502" t="s">
        <v>28070</v>
      </c>
      <c r="M5502" t="s">
        <v>28071</v>
      </c>
      <c r="N5502" t="s">
        <v>28072</v>
      </c>
      <c r="O5502" t="s">
        <v>26</v>
      </c>
      <c r="R5502">
        <v>99</v>
      </c>
      <c r="T5502" t="s">
        <v>28073</v>
      </c>
    </row>
    <row r="5503" spans="1:20">
      <c r="A5503">
        <v>3412191</v>
      </c>
      <c r="B5503" t="s">
        <v>28074</v>
      </c>
      <c r="C5503" t="str">
        <f>"9780774800372"</f>
        <v>9780774800372</v>
      </c>
      <c r="D5503" t="str">
        <f>"9780774853545"</f>
        <v>9780774853545</v>
      </c>
      <c r="E5503" t="s">
        <v>26801</v>
      </c>
      <c r="F5503" t="s">
        <v>26801</v>
      </c>
      <c r="G5503" s="1">
        <v>39356</v>
      </c>
      <c r="I5503" t="s">
        <v>27589</v>
      </c>
      <c r="J5503" t="s">
        <v>27808</v>
      </c>
      <c r="K5503" t="s">
        <v>1214</v>
      </c>
      <c r="L5503" t="s">
        <v>28075</v>
      </c>
      <c r="M5503">
        <v>341</v>
      </c>
      <c r="N5503" t="s">
        <v>27593</v>
      </c>
      <c r="O5503" t="s">
        <v>26</v>
      </c>
      <c r="R5503">
        <v>180</v>
      </c>
      <c r="T5503" t="s">
        <v>28076</v>
      </c>
    </row>
    <row r="5504" spans="1:20">
      <c r="A5504">
        <v>3412192</v>
      </c>
      <c r="B5504" t="s">
        <v>28077</v>
      </c>
      <c r="C5504" t="str">
        <f>"9780774807265"</f>
        <v>9780774807265</v>
      </c>
      <c r="D5504" t="str">
        <f>"9780774852302"</f>
        <v>9780774852302</v>
      </c>
      <c r="E5504" t="s">
        <v>26801</v>
      </c>
      <c r="F5504" t="s">
        <v>26801</v>
      </c>
      <c r="G5504" s="1">
        <v>36312</v>
      </c>
      <c r="I5504" t="s">
        <v>28078</v>
      </c>
      <c r="J5504" t="s">
        <v>28079</v>
      </c>
      <c r="K5504" t="s">
        <v>263</v>
      </c>
      <c r="L5504" t="s">
        <v>28080</v>
      </c>
      <c r="M5504" t="s">
        <v>28081</v>
      </c>
      <c r="N5504" t="s">
        <v>28082</v>
      </c>
      <c r="O5504" t="s">
        <v>26</v>
      </c>
      <c r="R5504">
        <v>99</v>
      </c>
      <c r="T5504" t="s">
        <v>28083</v>
      </c>
    </row>
    <row r="5505" spans="1:20">
      <c r="A5505">
        <v>3412193</v>
      </c>
      <c r="B5505" t="s">
        <v>28084</v>
      </c>
      <c r="C5505" t="str">
        <f>"9780774803502"</f>
        <v>9780774803502</v>
      </c>
      <c r="D5505" t="str">
        <f>"9780774853774"</f>
        <v>9780774853774</v>
      </c>
      <c r="E5505" t="s">
        <v>26801</v>
      </c>
      <c r="F5505" t="s">
        <v>26801</v>
      </c>
      <c r="G5505" s="1">
        <v>32874</v>
      </c>
      <c r="J5505" t="s">
        <v>28085</v>
      </c>
      <c r="K5505" t="s">
        <v>28086</v>
      </c>
      <c r="L5505" t="s">
        <v>28087</v>
      </c>
      <c r="M5505">
        <v>338.9</v>
      </c>
      <c r="N5505" t="s">
        <v>28088</v>
      </c>
      <c r="O5505" t="s">
        <v>26</v>
      </c>
      <c r="R5505">
        <v>99</v>
      </c>
      <c r="T5505" t="s">
        <v>28089</v>
      </c>
    </row>
    <row r="5506" spans="1:20">
      <c r="A5506">
        <v>3412194</v>
      </c>
      <c r="B5506" t="s">
        <v>28090</v>
      </c>
      <c r="C5506" t="str">
        <f>"9780774802789"</f>
        <v>9780774802789</v>
      </c>
      <c r="D5506" t="str">
        <f>"9780774854436"</f>
        <v>9780774854436</v>
      </c>
      <c r="E5506" t="s">
        <v>26801</v>
      </c>
      <c r="F5506" t="s">
        <v>26801</v>
      </c>
      <c r="G5506" s="1">
        <v>31778</v>
      </c>
      <c r="J5506" t="s">
        <v>15866</v>
      </c>
      <c r="K5506" t="s">
        <v>1471</v>
      </c>
      <c r="L5506" t="s">
        <v>28091</v>
      </c>
      <c r="M5506" t="s">
        <v>28092</v>
      </c>
      <c r="N5506" t="s">
        <v>28093</v>
      </c>
      <c r="O5506" t="s">
        <v>26</v>
      </c>
      <c r="R5506">
        <v>99</v>
      </c>
      <c r="T5506" t="s">
        <v>28094</v>
      </c>
    </row>
    <row r="5507" spans="1:20">
      <c r="A5507">
        <v>3412195</v>
      </c>
      <c r="B5507" t="s">
        <v>28095</v>
      </c>
      <c r="C5507" t="str">
        <f>"9780774800136"</f>
        <v>9780774800136</v>
      </c>
      <c r="D5507" t="str">
        <f>"9780774853279"</f>
        <v>9780774853279</v>
      </c>
      <c r="E5507" t="s">
        <v>26801</v>
      </c>
      <c r="F5507" t="s">
        <v>26801</v>
      </c>
      <c r="G5507" s="1">
        <v>26648</v>
      </c>
      <c r="I5507" t="s">
        <v>27589</v>
      </c>
      <c r="J5507" t="s">
        <v>28096</v>
      </c>
      <c r="K5507" t="s">
        <v>1214</v>
      </c>
      <c r="L5507" t="s">
        <v>28097</v>
      </c>
      <c r="M5507">
        <v>341</v>
      </c>
      <c r="N5507" t="s">
        <v>27593</v>
      </c>
      <c r="O5507" t="s">
        <v>26</v>
      </c>
      <c r="R5507">
        <v>180</v>
      </c>
      <c r="T5507" t="s">
        <v>28098</v>
      </c>
    </row>
    <row r="5508" spans="1:20">
      <c r="A5508">
        <v>3412197</v>
      </c>
      <c r="B5508" t="s">
        <v>28099</v>
      </c>
      <c r="C5508" t="str">
        <f>"9780774802574"</f>
        <v>9780774802574</v>
      </c>
      <c r="D5508" t="str">
        <f>"9780774853002"</f>
        <v>9780774853002</v>
      </c>
      <c r="E5508" t="s">
        <v>26801</v>
      </c>
      <c r="F5508" t="s">
        <v>26801</v>
      </c>
      <c r="G5508" s="1">
        <v>31413</v>
      </c>
      <c r="J5508" t="s">
        <v>28100</v>
      </c>
      <c r="K5508" t="s">
        <v>1892</v>
      </c>
      <c r="L5508" t="s">
        <v>28101</v>
      </c>
      <c r="M5508" t="s">
        <v>28102</v>
      </c>
      <c r="N5508" t="s">
        <v>28103</v>
      </c>
      <c r="O5508" t="s">
        <v>26</v>
      </c>
      <c r="R5508">
        <v>99</v>
      </c>
      <c r="T5508" t="s">
        <v>28104</v>
      </c>
    </row>
    <row r="5509" spans="1:20">
      <c r="A5509">
        <v>3412198</v>
      </c>
      <c r="B5509" t="s">
        <v>28105</v>
      </c>
      <c r="C5509" t="str">
        <f>"9780774811705"</f>
        <v>9780774811705</v>
      </c>
      <c r="D5509" t="str">
        <f>"9780774854924"</f>
        <v>9780774854924</v>
      </c>
      <c r="E5509" t="s">
        <v>26801</v>
      </c>
      <c r="F5509" t="s">
        <v>26801</v>
      </c>
      <c r="G5509" s="1">
        <v>38899</v>
      </c>
      <c r="J5509" t="s">
        <v>28106</v>
      </c>
      <c r="K5509" t="s">
        <v>263</v>
      </c>
      <c r="L5509" t="s">
        <v>28107</v>
      </c>
      <c r="M5509" t="s">
        <v>28108</v>
      </c>
      <c r="N5509" t="s">
        <v>28109</v>
      </c>
      <c r="O5509" t="s">
        <v>26</v>
      </c>
      <c r="R5509">
        <v>99</v>
      </c>
      <c r="T5509" t="s">
        <v>28110</v>
      </c>
    </row>
    <row r="5510" spans="1:20">
      <c r="A5510">
        <v>3412199</v>
      </c>
      <c r="B5510" t="s">
        <v>28111</v>
      </c>
      <c r="C5510" t="str">
        <f>"9780774806053"</f>
        <v>9780774806053</v>
      </c>
      <c r="D5510" t="str">
        <f>"9780774854733"</f>
        <v>9780774854733</v>
      </c>
      <c r="E5510" t="s">
        <v>26801</v>
      </c>
      <c r="F5510" t="s">
        <v>26801</v>
      </c>
      <c r="G5510" s="1">
        <v>35582</v>
      </c>
      <c r="J5510" t="s">
        <v>28112</v>
      </c>
      <c r="K5510" t="s">
        <v>210</v>
      </c>
      <c r="L5510" t="s">
        <v>28113</v>
      </c>
      <c r="M5510" t="s">
        <v>28114</v>
      </c>
      <c r="N5510" t="s">
        <v>28115</v>
      </c>
      <c r="O5510" t="s">
        <v>26</v>
      </c>
      <c r="R5510">
        <v>99</v>
      </c>
      <c r="T5510" t="s">
        <v>28116</v>
      </c>
    </row>
    <row r="5511" spans="1:20">
      <c r="A5511">
        <v>3412200</v>
      </c>
      <c r="B5511" t="s">
        <v>28117</v>
      </c>
      <c r="C5511" t="str">
        <f>"9780774808248"</f>
        <v>9780774808248</v>
      </c>
      <c r="D5511" t="str">
        <f>"9780774852463"</f>
        <v>9780774852463</v>
      </c>
      <c r="E5511" t="s">
        <v>26801</v>
      </c>
      <c r="F5511" t="s">
        <v>26801</v>
      </c>
      <c r="G5511" s="1">
        <v>36799</v>
      </c>
      <c r="H5511">
        <v>2</v>
      </c>
      <c r="J5511" t="s">
        <v>28118</v>
      </c>
      <c r="K5511" t="s">
        <v>26937</v>
      </c>
      <c r="L5511" t="s">
        <v>28119</v>
      </c>
      <c r="M5511">
        <v>333.2</v>
      </c>
      <c r="N5511" t="s">
        <v>28120</v>
      </c>
      <c r="O5511" t="s">
        <v>26</v>
      </c>
      <c r="R5511">
        <v>99</v>
      </c>
      <c r="T5511" t="s">
        <v>28121</v>
      </c>
    </row>
    <row r="5512" spans="1:20">
      <c r="A5512">
        <v>3412201</v>
      </c>
      <c r="B5512" t="s">
        <v>28122</v>
      </c>
      <c r="C5512" t="str">
        <f>"9780774803021"</f>
        <v>9780774803021</v>
      </c>
      <c r="D5512" t="str">
        <f>"9780774854801"</f>
        <v>9780774854801</v>
      </c>
      <c r="E5512" t="s">
        <v>26801</v>
      </c>
      <c r="F5512" t="s">
        <v>26801</v>
      </c>
      <c r="G5512" s="1">
        <v>32143</v>
      </c>
      <c r="J5512" t="s">
        <v>28123</v>
      </c>
      <c r="K5512" t="s">
        <v>263</v>
      </c>
      <c r="L5512" t="s">
        <v>28124</v>
      </c>
      <c r="M5512" t="s">
        <v>28125</v>
      </c>
      <c r="N5512" t="s">
        <v>28126</v>
      </c>
      <c r="O5512" t="s">
        <v>26</v>
      </c>
      <c r="R5512">
        <v>99</v>
      </c>
      <c r="T5512" t="s">
        <v>28127</v>
      </c>
    </row>
    <row r="5513" spans="1:20">
      <c r="A5513">
        <v>3412202</v>
      </c>
      <c r="B5513" t="s">
        <v>28128</v>
      </c>
      <c r="C5513" t="str">
        <f>"9780774805001"</f>
        <v>9780774805001</v>
      </c>
      <c r="D5513" t="str">
        <f>"9780774854214"</f>
        <v>9780774854214</v>
      </c>
      <c r="E5513" t="s">
        <v>26801</v>
      </c>
      <c r="F5513" t="s">
        <v>26801</v>
      </c>
      <c r="G5513" s="1">
        <v>34700</v>
      </c>
      <c r="J5513" t="s">
        <v>28129</v>
      </c>
      <c r="K5513" t="s">
        <v>467</v>
      </c>
      <c r="L5513" t="s">
        <v>28130</v>
      </c>
      <c r="M5513">
        <v>321.02</v>
      </c>
      <c r="N5513" t="s">
        <v>28131</v>
      </c>
      <c r="O5513" t="s">
        <v>26</v>
      </c>
      <c r="R5513">
        <v>99</v>
      </c>
      <c r="T5513" t="s">
        <v>28132</v>
      </c>
    </row>
    <row r="5514" spans="1:20">
      <c r="A5514">
        <v>3412203</v>
      </c>
      <c r="B5514" t="s">
        <v>28133</v>
      </c>
      <c r="C5514" t="str">
        <f>"9780774804400"</f>
        <v>9780774804400</v>
      </c>
      <c r="D5514" t="str">
        <f>"9780774854665"</f>
        <v>9780774854665</v>
      </c>
      <c r="E5514" t="s">
        <v>26801</v>
      </c>
      <c r="F5514" t="s">
        <v>26801</v>
      </c>
      <c r="G5514" s="1">
        <v>33970</v>
      </c>
      <c r="J5514" t="s">
        <v>28134</v>
      </c>
      <c r="K5514" t="s">
        <v>416</v>
      </c>
      <c r="L5514" t="s">
        <v>28135</v>
      </c>
      <c r="M5514">
        <v>337.11</v>
      </c>
      <c r="N5514" t="s">
        <v>28136</v>
      </c>
      <c r="O5514" t="s">
        <v>26</v>
      </c>
      <c r="R5514">
        <v>99</v>
      </c>
      <c r="T5514" t="s">
        <v>28137</v>
      </c>
    </row>
    <row r="5515" spans="1:20">
      <c r="A5515">
        <v>3412204</v>
      </c>
      <c r="B5515" t="s">
        <v>28138</v>
      </c>
      <c r="C5515" t="str">
        <f>"9780774801867"</f>
        <v>9780774801867</v>
      </c>
      <c r="D5515" t="str">
        <f>"9780774854238"</f>
        <v>9780774854238</v>
      </c>
      <c r="E5515" t="s">
        <v>26801</v>
      </c>
      <c r="F5515" t="s">
        <v>26801</v>
      </c>
      <c r="G5515" s="1">
        <v>30682</v>
      </c>
      <c r="J5515" t="s">
        <v>28139</v>
      </c>
      <c r="K5515" t="s">
        <v>10089</v>
      </c>
      <c r="L5515" t="s">
        <v>28140</v>
      </c>
      <c r="M5515">
        <v>970.00496999999996</v>
      </c>
      <c r="N5515" t="s">
        <v>28141</v>
      </c>
      <c r="O5515" t="s">
        <v>26</v>
      </c>
      <c r="R5515">
        <v>99</v>
      </c>
      <c r="T5515" t="s">
        <v>28142</v>
      </c>
    </row>
    <row r="5516" spans="1:20">
      <c r="A5516">
        <v>3412205</v>
      </c>
      <c r="B5516" t="s">
        <v>28143</v>
      </c>
      <c r="C5516" t="str">
        <f>"9780774803670"</f>
        <v>9780774803670</v>
      </c>
      <c r="D5516" t="str">
        <f>"9780774854764"</f>
        <v>9780774854764</v>
      </c>
      <c r="E5516" t="s">
        <v>26801</v>
      </c>
      <c r="F5516" t="s">
        <v>26801</v>
      </c>
      <c r="G5516" s="1">
        <v>32874</v>
      </c>
      <c r="J5516" t="s">
        <v>28144</v>
      </c>
      <c r="K5516" t="s">
        <v>1464</v>
      </c>
      <c r="L5516" t="s">
        <v>28145</v>
      </c>
      <c r="M5516" t="s">
        <v>28146</v>
      </c>
      <c r="N5516" t="s">
        <v>28147</v>
      </c>
      <c r="O5516" t="s">
        <v>26</v>
      </c>
      <c r="R5516">
        <v>99</v>
      </c>
      <c r="T5516" t="s">
        <v>28148</v>
      </c>
    </row>
    <row r="5517" spans="1:20">
      <c r="A5517">
        <v>3412206</v>
      </c>
      <c r="B5517" t="s">
        <v>28149</v>
      </c>
      <c r="C5517" t="str">
        <f>"9780774802871"</f>
        <v>9780774802871</v>
      </c>
      <c r="D5517" t="str">
        <f>"9780774854818"</f>
        <v>9780774854818</v>
      </c>
      <c r="E5517" t="s">
        <v>26801</v>
      </c>
      <c r="F5517" t="s">
        <v>26801</v>
      </c>
      <c r="G5517" s="1">
        <v>32143</v>
      </c>
      <c r="J5517" t="s">
        <v>28150</v>
      </c>
      <c r="K5517" t="s">
        <v>1464</v>
      </c>
      <c r="L5517" t="s">
        <v>28151</v>
      </c>
      <c r="M5517" t="s">
        <v>14359</v>
      </c>
      <c r="N5517" t="s">
        <v>28152</v>
      </c>
      <c r="O5517" t="s">
        <v>26</v>
      </c>
      <c r="R5517">
        <v>99</v>
      </c>
      <c r="T5517" t="s">
        <v>28153</v>
      </c>
    </row>
    <row r="5518" spans="1:20">
      <c r="A5518">
        <v>3412207</v>
      </c>
      <c r="B5518" t="s">
        <v>28154</v>
      </c>
      <c r="C5518" t="str">
        <f>"9780774805377"</f>
        <v>9780774805377</v>
      </c>
      <c r="D5518" t="str">
        <f>"9780774853705"</f>
        <v>9780774853705</v>
      </c>
      <c r="E5518" t="s">
        <v>26801</v>
      </c>
      <c r="F5518" t="s">
        <v>26801</v>
      </c>
      <c r="G5518" s="1">
        <v>34700</v>
      </c>
      <c r="K5518" t="s">
        <v>291</v>
      </c>
      <c r="L5518" t="s">
        <v>28155</v>
      </c>
      <c r="M5518">
        <v>971</v>
      </c>
      <c r="N5518" t="s">
        <v>28156</v>
      </c>
      <c r="O5518" t="s">
        <v>26</v>
      </c>
      <c r="R5518">
        <v>99</v>
      </c>
      <c r="T5518" t="s">
        <v>28157</v>
      </c>
    </row>
    <row r="5519" spans="1:20">
      <c r="A5519">
        <v>3412208</v>
      </c>
      <c r="B5519" t="s">
        <v>28158</v>
      </c>
      <c r="C5519" t="str">
        <f>"9780774804523"</f>
        <v>9780774804523</v>
      </c>
      <c r="D5519" t="str">
        <f>"9780774854795"</f>
        <v>9780774854795</v>
      </c>
      <c r="E5519" t="s">
        <v>26801</v>
      </c>
      <c r="F5519" t="s">
        <v>26801</v>
      </c>
      <c r="G5519" s="1">
        <v>34335</v>
      </c>
      <c r="J5519" t="s">
        <v>28159</v>
      </c>
      <c r="K5519" t="s">
        <v>6444</v>
      </c>
      <c r="L5519" t="s">
        <v>28160</v>
      </c>
      <c r="M5519" t="s">
        <v>28161</v>
      </c>
      <c r="N5519" t="s">
        <v>28162</v>
      </c>
      <c r="O5519" t="s">
        <v>26</v>
      </c>
      <c r="R5519">
        <v>99</v>
      </c>
      <c r="T5519" t="s">
        <v>28163</v>
      </c>
    </row>
    <row r="5520" spans="1:20">
      <c r="A5520">
        <v>3412209</v>
      </c>
      <c r="B5520" t="s">
        <v>28164</v>
      </c>
      <c r="C5520" t="str">
        <f>"9780774803557"</f>
        <v>9780774803557</v>
      </c>
      <c r="D5520" t="str">
        <f>"9780774853316"</f>
        <v>9780774853316</v>
      </c>
      <c r="E5520" t="s">
        <v>26801</v>
      </c>
      <c r="F5520" t="s">
        <v>26801</v>
      </c>
      <c r="G5520" s="1">
        <v>39356</v>
      </c>
      <c r="I5520" t="s">
        <v>27589</v>
      </c>
      <c r="J5520" t="s">
        <v>27808</v>
      </c>
      <c r="K5520" t="s">
        <v>525</v>
      </c>
      <c r="L5520" t="s">
        <v>28165</v>
      </c>
      <c r="M5520">
        <v>341</v>
      </c>
      <c r="N5520" t="s">
        <v>27593</v>
      </c>
      <c r="O5520" t="s">
        <v>26</v>
      </c>
      <c r="R5520">
        <v>180</v>
      </c>
      <c r="T5520" t="s">
        <v>28166</v>
      </c>
    </row>
    <row r="5521" spans="1:20">
      <c r="A5521">
        <v>3412210</v>
      </c>
      <c r="B5521" t="s">
        <v>28167</v>
      </c>
      <c r="C5521" t="str">
        <f>"9780774810890"</f>
        <v>9780774810890</v>
      </c>
      <c r="D5521" t="str">
        <f>"9780774851640"</f>
        <v>9780774851640</v>
      </c>
      <c r="E5521" t="s">
        <v>26801</v>
      </c>
      <c r="F5521" t="s">
        <v>26801</v>
      </c>
      <c r="G5521" s="1">
        <v>38626</v>
      </c>
      <c r="H5521">
        <v>2</v>
      </c>
      <c r="J5521" t="s">
        <v>28168</v>
      </c>
      <c r="K5521" t="s">
        <v>28169</v>
      </c>
      <c r="L5521" t="s">
        <v>28170</v>
      </c>
      <c r="M5521" t="s">
        <v>28171</v>
      </c>
      <c r="N5521" t="s">
        <v>28172</v>
      </c>
      <c r="O5521" t="s">
        <v>26</v>
      </c>
      <c r="R5521">
        <v>99</v>
      </c>
      <c r="T5521" t="s">
        <v>28173</v>
      </c>
    </row>
    <row r="5522" spans="1:20">
      <c r="A5522">
        <v>3412211</v>
      </c>
      <c r="B5522" t="s">
        <v>28174</v>
      </c>
      <c r="C5522" t="str">
        <f>"9780774802437"</f>
        <v>9780774802437</v>
      </c>
      <c r="D5522" t="str">
        <f>"9780774853132"</f>
        <v>9780774853132</v>
      </c>
      <c r="E5522" t="s">
        <v>26801</v>
      </c>
      <c r="F5522" t="s">
        <v>26801</v>
      </c>
      <c r="G5522" s="1">
        <v>31413</v>
      </c>
      <c r="J5522" t="s">
        <v>28175</v>
      </c>
      <c r="K5522" t="s">
        <v>2975</v>
      </c>
      <c r="L5522" t="s">
        <v>28176</v>
      </c>
      <c r="M5522" t="s">
        <v>28177</v>
      </c>
      <c r="N5522" t="s">
        <v>28178</v>
      </c>
      <c r="O5522" t="s">
        <v>26</v>
      </c>
      <c r="R5522">
        <v>99</v>
      </c>
      <c r="T5522" t="s">
        <v>28179</v>
      </c>
    </row>
    <row r="5523" spans="1:20">
      <c r="A5523">
        <v>3412212</v>
      </c>
      <c r="B5523" t="s">
        <v>28180</v>
      </c>
      <c r="C5523" t="str">
        <f>"9780774803229"</f>
        <v>9780774803229</v>
      </c>
      <c r="D5523" t="str">
        <f>"9780774854146"</f>
        <v>9780774854146</v>
      </c>
      <c r="E5523" t="s">
        <v>26801</v>
      </c>
      <c r="F5523" t="s">
        <v>26801</v>
      </c>
      <c r="G5523" s="1">
        <v>32509</v>
      </c>
      <c r="I5523" t="s">
        <v>26970</v>
      </c>
      <c r="J5523" t="s">
        <v>6648</v>
      </c>
      <c r="K5523" t="s">
        <v>3219</v>
      </c>
      <c r="L5523" t="s">
        <v>28181</v>
      </c>
      <c r="M5523" t="s">
        <v>28182</v>
      </c>
      <c r="N5523" t="s">
        <v>28183</v>
      </c>
      <c r="O5523" t="s">
        <v>26</v>
      </c>
      <c r="R5523">
        <v>99</v>
      </c>
      <c r="T5523" t="s">
        <v>28184</v>
      </c>
    </row>
    <row r="5524" spans="1:20">
      <c r="A5524">
        <v>3412213</v>
      </c>
      <c r="B5524" t="s">
        <v>28185</v>
      </c>
      <c r="C5524" t="str">
        <f>"9780774809214"</f>
        <v>9780774809214</v>
      </c>
      <c r="D5524" t="str">
        <f>"9780774853873"</f>
        <v>9780774853873</v>
      </c>
      <c r="E5524" t="s">
        <v>26801</v>
      </c>
      <c r="F5524" t="s">
        <v>26801</v>
      </c>
      <c r="G5524" s="1">
        <v>38687</v>
      </c>
      <c r="I5524" t="s">
        <v>27680</v>
      </c>
      <c r="J5524" t="s">
        <v>28186</v>
      </c>
      <c r="K5524" t="s">
        <v>28187</v>
      </c>
      <c r="L5524" t="s">
        <v>28188</v>
      </c>
      <c r="M5524" t="s">
        <v>28189</v>
      </c>
      <c r="N5524" t="s">
        <v>28190</v>
      </c>
      <c r="O5524" t="s">
        <v>26</v>
      </c>
      <c r="R5524">
        <v>115</v>
      </c>
      <c r="T5524" t="s">
        <v>28191</v>
      </c>
    </row>
    <row r="5525" spans="1:20">
      <c r="A5525">
        <v>3412214</v>
      </c>
      <c r="B5525" t="s">
        <v>28192</v>
      </c>
      <c r="C5525" t="str">
        <f>"9780774805018"</f>
        <v>9780774805018</v>
      </c>
      <c r="D5525" t="str">
        <f>"9780774853767"</f>
        <v>9780774853767</v>
      </c>
      <c r="E5525" t="s">
        <v>26801</v>
      </c>
      <c r="F5525" t="s">
        <v>26801</v>
      </c>
      <c r="G5525" s="1">
        <v>34700</v>
      </c>
      <c r="J5525" t="s">
        <v>28085</v>
      </c>
      <c r="K5525" t="s">
        <v>899</v>
      </c>
      <c r="L5525" t="s">
        <v>28193</v>
      </c>
      <c r="M5525" t="s">
        <v>28194</v>
      </c>
      <c r="N5525" t="s">
        <v>28195</v>
      </c>
      <c r="O5525" t="s">
        <v>26</v>
      </c>
      <c r="R5525">
        <v>99</v>
      </c>
      <c r="T5525" t="s">
        <v>28196</v>
      </c>
    </row>
    <row r="5526" spans="1:20">
      <c r="A5526">
        <v>3412216</v>
      </c>
      <c r="B5526" t="s">
        <v>28197</v>
      </c>
      <c r="C5526" t="str">
        <f>"9780774801362"</f>
        <v>9780774801362</v>
      </c>
      <c r="D5526" t="str">
        <f>"9780774854245"</f>
        <v>9780774854245</v>
      </c>
      <c r="E5526" t="s">
        <v>26801</v>
      </c>
      <c r="F5526" t="s">
        <v>26801</v>
      </c>
      <c r="G5526" s="1">
        <v>29587</v>
      </c>
      <c r="I5526" t="s">
        <v>26970</v>
      </c>
      <c r="J5526" t="s">
        <v>28198</v>
      </c>
      <c r="K5526" t="s">
        <v>7781</v>
      </c>
      <c r="L5526" t="s">
        <v>28199</v>
      </c>
      <c r="M5526">
        <v>791.1</v>
      </c>
      <c r="N5526" t="s">
        <v>28200</v>
      </c>
      <c r="O5526" t="s">
        <v>26</v>
      </c>
      <c r="R5526">
        <v>99</v>
      </c>
      <c r="T5526" t="s">
        <v>28201</v>
      </c>
    </row>
    <row r="5527" spans="1:20">
      <c r="A5527">
        <v>3412217</v>
      </c>
      <c r="B5527" t="s">
        <v>28202</v>
      </c>
      <c r="C5527" t="str">
        <f>"9780774812153"</f>
        <v>9780774812153</v>
      </c>
      <c r="D5527" t="str">
        <f>"9780774854979"</f>
        <v>9780774854979</v>
      </c>
      <c r="E5527" t="s">
        <v>26801</v>
      </c>
      <c r="F5527" t="s">
        <v>26801</v>
      </c>
      <c r="G5527" s="1">
        <v>38691</v>
      </c>
      <c r="J5527" t="s">
        <v>28203</v>
      </c>
      <c r="K5527" t="s">
        <v>467</v>
      </c>
      <c r="L5527" t="s">
        <v>28204</v>
      </c>
      <c r="M5527" t="s">
        <v>28205</v>
      </c>
      <c r="N5527" t="s">
        <v>28206</v>
      </c>
      <c r="O5527" t="s">
        <v>26</v>
      </c>
      <c r="R5527">
        <v>115</v>
      </c>
      <c r="T5527" t="s">
        <v>28207</v>
      </c>
    </row>
    <row r="5528" spans="1:20">
      <c r="A5528">
        <v>3412218</v>
      </c>
      <c r="B5528" t="s">
        <v>28208</v>
      </c>
      <c r="C5528" t="str">
        <f>"9780774806664"</f>
        <v>9780774806664</v>
      </c>
      <c r="D5528" t="str">
        <f>"9780774852395"</f>
        <v>9780774852395</v>
      </c>
      <c r="E5528" t="s">
        <v>26801</v>
      </c>
      <c r="F5528" t="s">
        <v>26801</v>
      </c>
      <c r="G5528" s="1">
        <v>36161</v>
      </c>
      <c r="J5528" t="s">
        <v>28209</v>
      </c>
      <c r="K5528" t="s">
        <v>291</v>
      </c>
      <c r="L5528" t="s">
        <v>28210</v>
      </c>
      <c r="M5528" t="s">
        <v>28211</v>
      </c>
      <c r="N5528" t="s">
        <v>28212</v>
      </c>
      <c r="O5528" t="s">
        <v>26</v>
      </c>
      <c r="R5528">
        <v>99</v>
      </c>
      <c r="T5528" t="s">
        <v>28213</v>
      </c>
    </row>
    <row r="5529" spans="1:20">
      <c r="A5529">
        <v>3412219</v>
      </c>
      <c r="B5529" t="s">
        <v>28214</v>
      </c>
      <c r="C5529" t="str">
        <f>"9780774804585"</f>
        <v>9780774804585</v>
      </c>
      <c r="D5529" t="str">
        <f>"9780774853064"</f>
        <v>9780774853064</v>
      </c>
      <c r="E5529" t="s">
        <v>26801</v>
      </c>
      <c r="F5529" t="s">
        <v>26801</v>
      </c>
      <c r="G5529" s="1">
        <v>34973</v>
      </c>
      <c r="J5529" t="s">
        <v>28215</v>
      </c>
      <c r="K5529" t="s">
        <v>263</v>
      </c>
      <c r="L5529" t="s">
        <v>28216</v>
      </c>
      <c r="M5529" t="s">
        <v>26864</v>
      </c>
      <c r="N5529" t="s">
        <v>28217</v>
      </c>
      <c r="O5529" t="s">
        <v>26</v>
      </c>
      <c r="R5529">
        <v>99</v>
      </c>
      <c r="T5529" t="s">
        <v>28218</v>
      </c>
    </row>
    <row r="5530" spans="1:20">
      <c r="A5530">
        <v>3412220</v>
      </c>
      <c r="B5530" t="s">
        <v>28219</v>
      </c>
      <c r="C5530" t="str">
        <f>"9780774802796"</f>
        <v>9780774802796</v>
      </c>
      <c r="D5530" t="str">
        <f>"9780774854368"</f>
        <v>9780774854368</v>
      </c>
      <c r="E5530" t="s">
        <v>26801</v>
      </c>
      <c r="F5530" t="s">
        <v>26801</v>
      </c>
      <c r="G5530" s="1">
        <v>31778</v>
      </c>
      <c r="J5530" t="s">
        <v>28220</v>
      </c>
      <c r="K5530" t="s">
        <v>291</v>
      </c>
      <c r="L5530" t="s">
        <v>28221</v>
      </c>
      <c r="M5530">
        <v>938.04</v>
      </c>
      <c r="N5530" t="s">
        <v>28222</v>
      </c>
      <c r="O5530" t="s">
        <v>26</v>
      </c>
      <c r="R5530">
        <v>99</v>
      </c>
      <c r="T5530" t="s">
        <v>28223</v>
      </c>
    </row>
    <row r="5531" spans="1:20">
      <c r="A5531">
        <v>3412221</v>
      </c>
      <c r="B5531" t="s">
        <v>28224</v>
      </c>
      <c r="C5531" t="str">
        <f>"9780774806961"</f>
        <v>9780774806961</v>
      </c>
      <c r="D5531" t="str">
        <f>"9780774852364"</f>
        <v>9780774852364</v>
      </c>
      <c r="E5531" t="s">
        <v>26801</v>
      </c>
      <c r="F5531" t="s">
        <v>26801</v>
      </c>
      <c r="G5531" s="1">
        <v>36281</v>
      </c>
      <c r="J5531" t="s">
        <v>28225</v>
      </c>
      <c r="K5531" t="s">
        <v>416</v>
      </c>
      <c r="L5531" t="s">
        <v>28226</v>
      </c>
      <c r="M5531">
        <v>331.8</v>
      </c>
      <c r="N5531" t="s">
        <v>28227</v>
      </c>
      <c r="O5531" t="s">
        <v>26</v>
      </c>
      <c r="R5531">
        <v>115</v>
      </c>
      <c r="T5531" t="s">
        <v>28228</v>
      </c>
    </row>
    <row r="5532" spans="1:20">
      <c r="A5532">
        <v>3412222</v>
      </c>
      <c r="B5532" t="s">
        <v>28229</v>
      </c>
      <c r="C5532" t="str">
        <f>"9780774806602"</f>
        <v>9780774806602</v>
      </c>
      <c r="D5532" t="str">
        <f>"9780774852418"</f>
        <v>9780774852418</v>
      </c>
      <c r="E5532" t="s">
        <v>26801</v>
      </c>
      <c r="F5532" t="s">
        <v>26801</v>
      </c>
      <c r="G5532" s="1">
        <v>36161</v>
      </c>
      <c r="J5532" t="s">
        <v>28230</v>
      </c>
      <c r="K5532" t="s">
        <v>7657</v>
      </c>
      <c r="L5532" t="s">
        <v>28231</v>
      </c>
      <c r="M5532" t="s">
        <v>28232</v>
      </c>
      <c r="N5532" t="s">
        <v>28233</v>
      </c>
      <c r="O5532" t="s">
        <v>26</v>
      </c>
      <c r="R5532">
        <v>99</v>
      </c>
      <c r="T5532" t="s">
        <v>28234</v>
      </c>
    </row>
    <row r="5533" spans="1:20">
      <c r="A5533">
        <v>3412223</v>
      </c>
      <c r="B5533" t="s">
        <v>28235</v>
      </c>
      <c r="C5533" t="str">
        <f>"9780774805315"</f>
        <v>9780774805315</v>
      </c>
      <c r="D5533" t="str">
        <f>"9780774854856"</f>
        <v>9780774854856</v>
      </c>
      <c r="E5533" t="s">
        <v>26801</v>
      </c>
      <c r="F5533" t="s">
        <v>26801</v>
      </c>
      <c r="G5533" s="1">
        <v>35339</v>
      </c>
      <c r="J5533" t="s">
        <v>14457</v>
      </c>
      <c r="K5533" t="s">
        <v>7657</v>
      </c>
      <c r="L5533" t="s">
        <v>28236</v>
      </c>
      <c r="M5533">
        <v>330</v>
      </c>
      <c r="N5533" t="s">
        <v>28237</v>
      </c>
      <c r="O5533" t="s">
        <v>26</v>
      </c>
      <c r="R5533">
        <v>99</v>
      </c>
      <c r="T5533" t="s">
        <v>28238</v>
      </c>
    </row>
    <row r="5534" spans="1:20">
      <c r="A5534">
        <v>3412224</v>
      </c>
      <c r="B5534" t="s">
        <v>28239</v>
      </c>
      <c r="C5534" t="str">
        <f>"9780774805179"</f>
        <v>9780774805179</v>
      </c>
      <c r="D5534" t="str">
        <f>"9780774853163"</f>
        <v>9780774853163</v>
      </c>
      <c r="E5534" t="s">
        <v>26801</v>
      </c>
      <c r="F5534" t="s">
        <v>26801</v>
      </c>
      <c r="G5534" s="1">
        <v>34759</v>
      </c>
      <c r="J5534" t="s">
        <v>27803</v>
      </c>
      <c r="K5534" t="s">
        <v>2975</v>
      </c>
      <c r="L5534" t="s">
        <v>28240</v>
      </c>
      <c r="M5534" t="s">
        <v>28241</v>
      </c>
      <c r="N5534" t="s">
        <v>28242</v>
      </c>
      <c r="O5534" t="s">
        <v>26</v>
      </c>
      <c r="R5534">
        <v>99</v>
      </c>
      <c r="T5534" t="s">
        <v>28243</v>
      </c>
    </row>
    <row r="5535" spans="1:20">
      <c r="A5535">
        <v>3412225</v>
      </c>
      <c r="B5535" t="s">
        <v>28244</v>
      </c>
      <c r="C5535" t="str">
        <f>"9780774809948"</f>
        <v>9780774809948</v>
      </c>
      <c r="D5535" t="str">
        <f>"9780774851855"</f>
        <v>9780774851855</v>
      </c>
      <c r="E5535" t="s">
        <v>26801</v>
      </c>
      <c r="F5535" t="s">
        <v>26801</v>
      </c>
      <c r="G5535" s="1">
        <v>37856</v>
      </c>
      <c r="I5535" t="s">
        <v>27129</v>
      </c>
      <c r="J5535" t="s">
        <v>28245</v>
      </c>
      <c r="K5535" t="s">
        <v>263</v>
      </c>
      <c r="L5535" t="s">
        <v>28246</v>
      </c>
      <c r="M5535" t="s">
        <v>28247</v>
      </c>
      <c r="N5535" t="s">
        <v>28248</v>
      </c>
      <c r="O5535" t="s">
        <v>26</v>
      </c>
      <c r="R5535">
        <v>99</v>
      </c>
      <c r="T5535" t="s">
        <v>28249</v>
      </c>
    </row>
    <row r="5536" spans="1:20">
      <c r="A5536">
        <v>3412226</v>
      </c>
      <c r="B5536" t="s">
        <v>28250</v>
      </c>
      <c r="C5536" t="str">
        <f>"9780774804141"</f>
        <v>9780774804141</v>
      </c>
      <c r="D5536" t="str">
        <f>"9780774853811"</f>
        <v>9780774853811</v>
      </c>
      <c r="E5536" t="s">
        <v>26801</v>
      </c>
      <c r="F5536" t="s">
        <v>26801</v>
      </c>
      <c r="G5536" s="1">
        <v>33604</v>
      </c>
      <c r="J5536" t="s">
        <v>28251</v>
      </c>
      <c r="K5536" t="s">
        <v>291</v>
      </c>
      <c r="L5536" t="s">
        <v>28252</v>
      </c>
      <c r="M5536" t="s">
        <v>28253</v>
      </c>
      <c r="N5536" t="s">
        <v>28254</v>
      </c>
      <c r="O5536" t="s">
        <v>26</v>
      </c>
      <c r="R5536">
        <v>99</v>
      </c>
      <c r="T5536" t="s">
        <v>28255</v>
      </c>
    </row>
    <row r="5537" spans="1:20">
      <c r="A5537">
        <v>3412227</v>
      </c>
      <c r="B5537" t="s">
        <v>28256</v>
      </c>
      <c r="C5537" t="str">
        <f>"9780774806381"</f>
        <v>9780774806381</v>
      </c>
      <c r="D5537" t="str">
        <f>"9780774853828"</f>
        <v>9780774853828</v>
      </c>
      <c r="E5537" t="s">
        <v>26801</v>
      </c>
      <c r="F5537" t="s">
        <v>26801</v>
      </c>
      <c r="G5537" s="1">
        <v>35674</v>
      </c>
      <c r="J5537" t="s">
        <v>27719</v>
      </c>
      <c r="K5537" t="s">
        <v>467</v>
      </c>
      <c r="L5537" t="s">
        <v>28257</v>
      </c>
      <c r="M5537">
        <v>328.71</v>
      </c>
      <c r="N5537" t="s">
        <v>28258</v>
      </c>
      <c r="O5537" t="s">
        <v>26</v>
      </c>
      <c r="R5537">
        <v>99</v>
      </c>
      <c r="T5537" t="s">
        <v>28259</v>
      </c>
    </row>
    <row r="5538" spans="1:20">
      <c r="A5538">
        <v>3412228</v>
      </c>
      <c r="B5538" t="s">
        <v>28260</v>
      </c>
      <c r="C5538" t="str">
        <f>"9780774804356"</f>
        <v>9780774804356</v>
      </c>
      <c r="D5538" t="str">
        <f>"9780774854191"</f>
        <v>9780774854191</v>
      </c>
      <c r="E5538" t="s">
        <v>26801</v>
      </c>
      <c r="F5538" t="s">
        <v>26801</v>
      </c>
      <c r="G5538" s="1">
        <v>35431</v>
      </c>
      <c r="H5538">
        <v>2</v>
      </c>
      <c r="J5538" t="s">
        <v>28261</v>
      </c>
      <c r="K5538" t="s">
        <v>1028</v>
      </c>
      <c r="L5538" t="s">
        <v>28262</v>
      </c>
      <c r="M5538" t="s">
        <v>28263</v>
      </c>
      <c r="N5538" t="s">
        <v>28264</v>
      </c>
      <c r="O5538" t="s">
        <v>26</v>
      </c>
      <c r="R5538">
        <v>99</v>
      </c>
      <c r="T5538" t="s">
        <v>28265</v>
      </c>
    </row>
    <row r="5539" spans="1:20">
      <c r="A5539">
        <v>3412229</v>
      </c>
      <c r="B5539" t="s">
        <v>28266</v>
      </c>
      <c r="C5539" t="str">
        <f>"9780774805797"</f>
        <v>9780774805797</v>
      </c>
      <c r="D5539" t="str">
        <f>"9780774854450"</f>
        <v>9780774854450</v>
      </c>
      <c r="E5539" t="s">
        <v>26801</v>
      </c>
      <c r="F5539" t="s">
        <v>26801</v>
      </c>
      <c r="G5539" s="1">
        <v>35339</v>
      </c>
      <c r="J5539" t="s">
        <v>28267</v>
      </c>
      <c r="K5539" t="s">
        <v>76</v>
      </c>
      <c r="L5539" t="s">
        <v>28268</v>
      </c>
      <c r="M5539" t="s">
        <v>28269</v>
      </c>
      <c r="N5539" t="s">
        <v>28270</v>
      </c>
      <c r="O5539" t="s">
        <v>26</v>
      </c>
      <c r="R5539">
        <v>99</v>
      </c>
      <c r="T5539" t="s">
        <v>28271</v>
      </c>
    </row>
    <row r="5540" spans="1:20">
      <c r="A5540">
        <v>3412231</v>
      </c>
      <c r="B5540" t="s">
        <v>28272</v>
      </c>
      <c r="C5540" t="str">
        <f>"9780774802598"</f>
        <v>9780774802598</v>
      </c>
      <c r="D5540" t="str">
        <f>"9780774853569"</f>
        <v>9780774853569</v>
      </c>
      <c r="E5540" t="s">
        <v>26801</v>
      </c>
      <c r="F5540" t="s">
        <v>26801</v>
      </c>
      <c r="G5540" s="1">
        <v>39356</v>
      </c>
      <c r="I5540" t="s">
        <v>27589</v>
      </c>
      <c r="J5540" t="s">
        <v>27808</v>
      </c>
      <c r="K5540" t="s">
        <v>778</v>
      </c>
      <c r="L5540" t="s">
        <v>28273</v>
      </c>
      <c r="M5540">
        <v>341</v>
      </c>
      <c r="N5540" t="s">
        <v>27593</v>
      </c>
      <c r="O5540" t="s">
        <v>26</v>
      </c>
      <c r="R5540">
        <v>180</v>
      </c>
      <c r="T5540" t="s">
        <v>28274</v>
      </c>
    </row>
    <row r="5541" spans="1:20">
      <c r="A5541">
        <v>3412232</v>
      </c>
      <c r="B5541" t="s">
        <v>28275</v>
      </c>
      <c r="C5541" t="str">
        <f>"9780774803700"</f>
        <v>9780774803700</v>
      </c>
      <c r="D5541" t="str">
        <f>"9780774854474"</f>
        <v>9780774854474</v>
      </c>
      <c r="E5541" t="s">
        <v>26801</v>
      </c>
      <c r="F5541" t="s">
        <v>26801</v>
      </c>
      <c r="G5541" s="1">
        <v>32874</v>
      </c>
      <c r="J5541" t="s">
        <v>28276</v>
      </c>
      <c r="K5541" t="s">
        <v>1464</v>
      </c>
      <c r="L5541" t="s">
        <v>28277</v>
      </c>
      <c r="M5541">
        <v>810.9</v>
      </c>
      <c r="N5541" t="s">
        <v>28278</v>
      </c>
      <c r="O5541" t="s">
        <v>26</v>
      </c>
      <c r="R5541">
        <v>99</v>
      </c>
      <c r="T5541" t="s">
        <v>28279</v>
      </c>
    </row>
    <row r="5542" spans="1:20">
      <c r="A5542">
        <v>3412233</v>
      </c>
      <c r="B5542" t="s">
        <v>28280</v>
      </c>
      <c r="C5542" t="str">
        <f>"9780774806206"</f>
        <v>9780774806206</v>
      </c>
      <c r="D5542" t="str">
        <f>"9780774854405"</f>
        <v>9780774854405</v>
      </c>
      <c r="E5542" t="s">
        <v>26801</v>
      </c>
      <c r="F5542" t="s">
        <v>26801</v>
      </c>
      <c r="G5542" s="1">
        <v>35753</v>
      </c>
      <c r="I5542" t="s">
        <v>27589</v>
      </c>
      <c r="J5542" t="s">
        <v>27590</v>
      </c>
      <c r="K5542" t="s">
        <v>1214</v>
      </c>
      <c r="L5542" t="s">
        <v>28281</v>
      </c>
      <c r="M5542">
        <v>341</v>
      </c>
      <c r="N5542" t="s">
        <v>27593</v>
      </c>
      <c r="O5542" t="s">
        <v>26</v>
      </c>
      <c r="R5542">
        <v>180</v>
      </c>
      <c r="T5542" t="s">
        <v>28282</v>
      </c>
    </row>
    <row r="5543" spans="1:20">
      <c r="A5543">
        <v>3412234</v>
      </c>
      <c r="B5543" t="s">
        <v>28283</v>
      </c>
      <c r="C5543" t="str">
        <f>"9780774801751"</f>
        <v>9780774801751</v>
      </c>
      <c r="D5543" t="str">
        <f>"9780774853996"</f>
        <v>9780774853996</v>
      </c>
      <c r="E5543" t="s">
        <v>26801</v>
      </c>
      <c r="F5543" t="s">
        <v>26801</v>
      </c>
      <c r="G5543" s="1">
        <v>30682</v>
      </c>
      <c r="J5543" t="s">
        <v>28284</v>
      </c>
      <c r="K5543" t="s">
        <v>291</v>
      </c>
      <c r="L5543" t="s">
        <v>28285</v>
      </c>
      <c r="M5543" t="s">
        <v>28286</v>
      </c>
      <c r="N5543" t="s">
        <v>28287</v>
      </c>
      <c r="O5543" t="s">
        <v>26</v>
      </c>
      <c r="R5543">
        <v>99</v>
      </c>
      <c r="T5543" t="s">
        <v>28288</v>
      </c>
    </row>
    <row r="5544" spans="1:20">
      <c r="A5544">
        <v>3412235</v>
      </c>
      <c r="B5544" t="s">
        <v>28289</v>
      </c>
      <c r="C5544" t="str">
        <f>"9780774805544"</f>
        <v>9780774805544</v>
      </c>
      <c r="D5544" t="str">
        <f>"9780774854573"</f>
        <v>9780774854573</v>
      </c>
      <c r="E5544" t="s">
        <v>26801</v>
      </c>
      <c r="F5544" t="s">
        <v>26801</v>
      </c>
      <c r="G5544" s="1">
        <v>35065</v>
      </c>
      <c r="I5544" t="s">
        <v>26970</v>
      </c>
      <c r="J5544" t="s">
        <v>28290</v>
      </c>
      <c r="K5544" t="s">
        <v>291</v>
      </c>
      <c r="L5544" t="s">
        <v>28291</v>
      </c>
      <c r="M5544">
        <v>971.12020900000005</v>
      </c>
      <c r="N5544" t="s">
        <v>28292</v>
      </c>
      <c r="O5544" t="s">
        <v>26</v>
      </c>
      <c r="R5544">
        <v>99</v>
      </c>
      <c r="T5544" t="s">
        <v>28293</v>
      </c>
    </row>
    <row r="5545" spans="1:20">
      <c r="A5545">
        <v>3412236</v>
      </c>
      <c r="B5545" t="s">
        <v>28294</v>
      </c>
      <c r="C5545" t="str">
        <f>"9780774800174"</f>
        <v>9780774800174</v>
      </c>
      <c r="D5545" t="str">
        <f>"9780774853460"</f>
        <v>9780774853460</v>
      </c>
      <c r="E5545" t="s">
        <v>26801</v>
      </c>
      <c r="F5545" t="s">
        <v>26801</v>
      </c>
      <c r="G5545" s="1">
        <v>27013</v>
      </c>
      <c r="I5545" t="s">
        <v>27589</v>
      </c>
      <c r="J5545" t="s">
        <v>28096</v>
      </c>
      <c r="K5545" t="s">
        <v>778</v>
      </c>
      <c r="L5545" t="s">
        <v>28295</v>
      </c>
      <c r="M5545">
        <v>341</v>
      </c>
      <c r="N5545" t="s">
        <v>27593</v>
      </c>
      <c r="O5545" t="s">
        <v>26</v>
      </c>
      <c r="R5545">
        <v>180</v>
      </c>
      <c r="T5545" t="s">
        <v>28296</v>
      </c>
    </row>
    <row r="5546" spans="1:20">
      <c r="A5546">
        <v>3412237</v>
      </c>
      <c r="B5546" t="s">
        <v>28297</v>
      </c>
      <c r="C5546" t="str">
        <f>"9780774807517"</f>
        <v>9780774807517</v>
      </c>
      <c r="D5546" t="str">
        <f>"9780774852296"</f>
        <v>9780774852296</v>
      </c>
      <c r="E5546" t="s">
        <v>26801</v>
      </c>
      <c r="F5546" t="s">
        <v>26801</v>
      </c>
      <c r="G5546" s="1">
        <v>36465</v>
      </c>
      <c r="J5546" t="s">
        <v>28298</v>
      </c>
      <c r="K5546" t="s">
        <v>278</v>
      </c>
      <c r="L5546" t="s">
        <v>28299</v>
      </c>
      <c r="M5546">
        <v>337</v>
      </c>
      <c r="N5546" t="s">
        <v>28300</v>
      </c>
      <c r="O5546" t="s">
        <v>26</v>
      </c>
      <c r="R5546">
        <v>99</v>
      </c>
      <c r="T5546" t="s">
        <v>28301</v>
      </c>
    </row>
    <row r="5547" spans="1:20">
      <c r="A5547">
        <v>3412238</v>
      </c>
      <c r="B5547" t="s">
        <v>28302</v>
      </c>
      <c r="C5547" t="str">
        <f>"9780774802048"</f>
        <v>9780774802048</v>
      </c>
      <c r="D5547" t="str">
        <f>"9780774853682"</f>
        <v>9780774853682</v>
      </c>
      <c r="E5547" t="s">
        <v>26801</v>
      </c>
      <c r="F5547" t="s">
        <v>26801</v>
      </c>
      <c r="G5547" s="1">
        <v>31048</v>
      </c>
      <c r="J5547" t="s">
        <v>28303</v>
      </c>
      <c r="K5547" t="s">
        <v>30</v>
      </c>
      <c r="L5547" t="s">
        <v>28304</v>
      </c>
      <c r="M5547" t="s">
        <v>28305</v>
      </c>
      <c r="N5547" t="s">
        <v>28306</v>
      </c>
      <c r="O5547" t="s">
        <v>26</v>
      </c>
      <c r="R5547">
        <v>99</v>
      </c>
      <c r="T5547" t="s">
        <v>28307</v>
      </c>
    </row>
    <row r="5548" spans="1:20">
      <c r="A5548">
        <v>3412239</v>
      </c>
      <c r="B5548" t="s">
        <v>28308</v>
      </c>
      <c r="C5548" t="str">
        <f>"9780774806015"</f>
        <v>9780774806015</v>
      </c>
      <c r="D5548" t="str">
        <f>"9780774854894"</f>
        <v>9780774854894</v>
      </c>
      <c r="E5548" t="s">
        <v>26801</v>
      </c>
      <c r="F5548" t="s">
        <v>26801</v>
      </c>
      <c r="G5548" s="1">
        <v>35490</v>
      </c>
      <c r="J5548" t="s">
        <v>28309</v>
      </c>
      <c r="K5548" t="s">
        <v>291</v>
      </c>
      <c r="L5548" t="s">
        <v>28310</v>
      </c>
      <c r="M5548" t="s">
        <v>28311</v>
      </c>
      <c r="N5548" t="s">
        <v>28312</v>
      </c>
      <c r="O5548" t="s">
        <v>26</v>
      </c>
      <c r="R5548">
        <v>99</v>
      </c>
      <c r="T5548" t="s">
        <v>28313</v>
      </c>
    </row>
    <row r="5549" spans="1:20">
      <c r="A5549">
        <v>3412241</v>
      </c>
      <c r="B5549" t="s">
        <v>28314</v>
      </c>
      <c r="C5549" t="str">
        <f>"9780774805568"</f>
        <v>9780774805568</v>
      </c>
      <c r="D5549" t="str">
        <f>"9780774853750"</f>
        <v>9780774853750</v>
      </c>
      <c r="E5549" t="s">
        <v>26801</v>
      </c>
      <c r="F5549" t="s">
        <v>26801</v>
      </c>
      <c r="G5549" s="1">
        <v>35247</v>
      </c>
      <c r="I5549" t="s">
        <v>26843</v>
      </c>
      <c r="J5549" t="s">
        <v>28315</v>
      </c>
      <c r="K5549" t="s">
        <v>416</v>
      </c>
      <c r="L5549" t="s">
        <v>28316</v>
      </c>
      <c r="M5549">
        <v>333</v>
      </c>
      <c r="N5549" t="s">
        <v>28317</v>
      </c>
      <c r="O5549" t="s">
        <v>26</v>
      </c>
      <c r="R5549">
        <v>99</v>
      </c>
      <c r="T5549" t="s">
        <v>28318</v>
      </c>
    </row>
    <row r="5550" spans="1:20">
      <c r="A5550">
        <v>3412242</v>
      </c>
      <c r="B5550" t="s">
        <v>28319</v>
      </c>
      <c r="C5550" t="str">
        <f>"9780774803397"</f>
        <v>9780774803397</v>
      </c>
      <c r="D5550" t="str">
        <f>"9780774854399"</f>
        <v>9780774854399</v>
      </c>
      <c r="E5550" t="s">
        <v>26801</v>
      </c>
      <c r="F5550" t="s">
        <v>26801</v>
      </c>
      <c r="G5550" s="1">
        <v>32509</v>
      </c>
      <c r="I5550" t="s">
        <v>26986</v>
      </c>
      <c r="J5550" t="s">
        <v>28320</v>
      </c>
      <c r="K5550" t="s">
        <v>1214</v>
      </c>
      <c r="L5550" t="s">
        <v>28321</v>
      </c>
      <c r="M5550" t="s">
        <v>28322</v>
      </c>
      <c r="N5550" t="s">
        <v>28323</v>
      </c>
      <c r="O5550" t="s">
        <v>26</v>
      </c>
      <c r="R5550">
        <v>99</v>
      </c>
      <c r="T5550" t="s">
        <v>28324</v>
      </c>
    </row>
    <row r="5551" spans="1:20">
      <c r="A5551">
        <v>3412243</v>
      </c>
      <c r="B5551" t="s">
        <v>28325</v>
      </c>
      <c r="C5551" t="str">
        <f>"9780774801089"</f>
        <v>9780774801089</v>
      </c>
      <c r="D5551" t="str">
        <f>"9780774853903"</f>
        <v>9780774853903</v>
      </c>
      <c r="E5551" t="s">
        <v>26801</v>
      </c>
      <c r="F5551" t="s">
        <v>26801</v>
      </c>
      <c r="G5551" s="1">
        <v>33604</v>
      </c>
      <c r="J5551" t="s">
        <v>28326</v>
      </c>
      <c r="K5551" t="s">
        <v>291</v>
      </c>
      <c r="L5551" t="s">
        <v>28327</v>
      </c>
      <c r="M5551">
        <v>971.1</v>
      </c>
      <c r="N5551" t="s">
        <v>28328</v>
      </c>
      <c r="O5551" t="s">
        <v>26</v>
      </c>
      <c r="R5551">
        <v>99</v>
      </c>
      <c r="T5551" t="s">
        <v>28329</v>
      </c>
    </row>
    <row r="5552" spans="1:20">
      <c r="A5552">
        <v>3412244</v>
      </c>
      <c r="B5552" t="s">
        <v>28330</v>
      </c>
      <c r="C5552" t="str">
        <f>"9780774806640"</f>
        <v>9780774806640</v>
      </c>
      <c r="D5552" t="str">
        <f>"9780774852357"</f>
        <v>9780774852357</v>
      </c>
      <c r="E5552" t="s">
        <v>26801</v>
      </c>
      <c r="F5552" t="s">
        <v>26801</v>
      </c>
      <c r="G5552" s="1">
        <v>36220</v>
      </c>
      <c r="I5552" t="s">
        <v>26970</v>
      </c>
      <c r="J5552" t="s">
        <v>28331</v>
      </c>
      <c r="K5552" t="s">
        <v>291</v>
      </c>
      <c r="L5552" t="s">
        <v>28332</v>
      </c>
      <c r="M5552" t="s">
        <v>28333</v>
      </c>
      <c r="N5552" t="s">
        <v>28334</v>
      </c>
      <c r="O5552" t="s">
        <v>26</v>
      </c>
      <c r="R5552">
        <v>99</v>
      </c>
      <c r="T5552" t="s">
        <v>28335</v>
      </c>
    </row>
    <row r="5553" spans="1:20">
      <c r="A5553">
        <v>3412245</v>
      </c>
      <c r="B5553" t="s">
        <v>28336</v>
      </c>
      <c r="C5553" t="str">
        <f>"9780774811958"</f>
        <v>9780774811958</v>
      </c>
      <c r="D5553" t="str">
        <f>"9780774851657"</f>
        <v>9780774851657</v>
      </c>
      <c r="E5553" t="s">
        <v>26801</v>
      </c>
      <c r="F5553" t="s">
        <v>26801</v>
      </c>
      <c r="G5553" s="1">
        <v>38626</v>
      </c>
      <c r="K5553" t="s">
        <v>467</v>
      </c>
      <c r="L5553" t="s">
        <v>28337</v>
      </c>
      <c r="M5553">
        <v>324.27100000000002</v>
      </c>
      <c r="N5553" t="s">
        <v>28338</v>
      </c>
      <c r="O5553" t="s">
        <v>26</v>
      </c>
      <c r="R5553">
        <v>115</v>
      </c>
      <c r="T5553" t="s">
        <v>28339</v>
      </c>
    </row>
    <row r="5554" spans="1:20">
      <c r="A5554">
        <v>3412246</v>
      </c>
      <c r="B5554" t="s">
        <v>28340</v>
      </c>
      <c r="C5554" t="str">
        <f>"9780774805162"</f>
        <v>9780774805162</v>
      </c>
      <c r="D5554" t="str">
        <f>"9780774853798"</f>
        <v>9780774853798</v>
      </c>
      <c r="E5554" t="s">
        <v>26801</v>
      </c>
      <c r="F5554" t="s">
        <v>26801</v>
      </c>
      <c r="G5554" s="1">
        <v>34700</v>
      </c>
      <c r="J5554" t="s">
        <v>28341</v>
      </c>
      <c r="K5554" t="s">
        <v>257</v>
      </c>
      <c r="L5554" t="s">
        <v>28342</v>
      </c>
      <c r="M5554" t="s">
        <v>28343</v>
      </c>
      <c r="N5554" t="s">
        <v>28344</v>
      </c>
      <c r="O5554" t="s">
        <v>26</v>
      </c>
      <c r="R5554">
        <v>99</v>
      </c>
      <c r="T5554" t="s">
        <v>28345</v>
      </c>
    </row>
    <row r="5555" spans="1:20">
      <c r="A5555">
        <v>3412247</v>
      </c>
      <c r="B5555" t="s">
        <v>28346</v>
      </c>
      <c r="C5555" t="str">
        <f>"9780774804042"</f>
        <v>9780774804042</v>
      </c>
      <c r="D5555" t="str">
        <f>"9780774853743"</f>
        <v>9780774853743</v>
      </c>
      <c r="E5555" t="s">
        <v>26801</v>
      </c>
      <c r="F5555" t="s">
        <v>26801</v>
      </c>
      <c r="G5555" s="1">
        <v>33604</v>
      </c>
      <c r="I5555" t="s">
        <v>26986</v>
      </c>
      <c r="J5555" t="s">
        <v>28347</v>
      </c>
      <c r="K5555" t="s">
        <v>416</v>
      </c>
      <c r="L5555" t="s">
        <v>28348</v>
      </c>
      <c r="M5555">
        <v>337.71</v>
      </c>
      <c r="N5555" t="s">
        <v>28349</v>
      </c>
      <c r="O5555" t="s">
        <v>26</v>
      </c>
      <c r="R5555">
        <v>99</v>
      </c>
      <c r="T5555" t="s">
        <v>28350</v>
      </c>
    </row>
    <row r="5556" spans="1:20">
      <c r="A5556">
        <v>3412248</v>
      </c>
      <c r="B5556" t="s">
        <v>28351</v>
      </c>
      <c r="C5556" t="str">
        <f>"9780774805049"</f>
        <v>9780774805049</v>
      </c>
      <c r="D5556" t="str">
        <f>"9780774854887"</f>
        <v>9780774854887</v>
      </c>
      <c r="E5556" t="s">
        <v>26801</v>
      </c>
      <c r="F5556" t="s">
        <v>26801</v>
      </c>
      <c r="G5556" s="1">
        <v>34335</v>
      </c>
      <c r="J5556" t="s">
        <v>28309</v>
      </c>
      <c r="K5556" t="s">
        <v>14458</v>
      </c>
      <c r="L5556" t="s">
        <v>28352</v>
      </c>
      <c r="M5556" t="s">
        <v>28353</v>
      </c>
      <c r="N5556" t="s">
        <v>28354</v>
      </c>
      <c r="O5556" t="s">
        <v>26</v>
      </c>
      <c r="R5556">
        <v>99</v>
      </c>
      <c r="T5556" t="s">
        <v>28355</v>
      </c>
    </row>
    <row r="5557" spans="1:20">
      <c r="A5557">
        <v>3412249</v>
      </c>
      <c r="B5557" t="s">
        <v>28356</v>
      </c>
      <c r="C5557" t="str">
        <f>"9780774804349"</f>
        <v>9780774804349</v>
      </c>
      <c r="D5557" t="str">
        <f>"9780774853781"</f>
        <v>9780774853781</v>
      </c>
      <c r="E5557" t="s">
        <v>26801</v>
      </c>
      <c r="F5557" t="s">
        <v>26801</v>
      </c>
      <c r="G5557" s="1">
        <v>33970</v>
      </c>
      <c r="J5557" t="s">
        <v>28357</v>
      </c>
      <c r="K5557" t="s">
        <v>291</v>
      </c>
      <c r="L5557" t="s">
        <v>28358</v>
      </c>
      <c r="M5557">
        <v>970.02</v>
      </c>
      <c r="N5557" t="s">
        <v>28359</v>
      </c>
      <c r="O5557" t="s">
        <v>26</v>
      </c>
      <c r="R5557">
        <v>99</v>
      </c>
      <c r="T5557" t="s">
        <v>28360</v>
      </c>
    </row>
    <row r="5558" spans="1:20">
      <c r="A5558">
        <v>3412250</v>
      </c>
      <c r="B5558" t="s">
        <v>28361</v>
      </c>
      <c r="C5558" t="str">
        <f>"9780774803915"</f>
        <v>9780774803915</v>
      </c>
      <c r="D5558" t="str">
        <f>"9780774853033"</f>
        <v>9780774853033</v>
      </c>
      <c r="E5558" t="s">
        <v>26801</v>
      </c>
      <c r="F5558" t="s">
        <v>26801</v>
      </c>
      <c r="G5558" s="1">
        <v>33604</v>
      </c>
      <c r="J5558" t="s">
        <v>28362</v>
      </c>
      <c r="K5558" t="s">
        <v>263</v>
      </c>
      <c r="L5558" t="s">
        <v>28363</v>
      </c>
      <c r="M5558">
        <v>306.07400000000001</v>
      </c>
      <c r="N5558" t="s">
        <v>28364</v>
      </c>
      <c r="O5558" t="s">
        <v>26</v>
      </c>
      <c r="R5558">
        <v>99</v>
      </c>
      <c r="T5558" t="s">
        <v>28365</v>
      </c>
    </row>
    <row r="5559" spans="1:20">
      <c r="A5559">
        <v>3412251</v>
      </c>
      <c r="B5559" t="s">
        <v>28366</v>
      </c>
      <c r="C5559" t="str">
        <f>"9780774809276"</f>
        <v>9780774809276</v>
      </c>
      <c r="D5559" t="str">
        <f>"9780774851138"</f>
        <v>9780774851138</v>
      </c>
      <c r="E5559" t="s">
        <v>26801</v>
      </c>
      <c r="F5559" t="s">
        <v>26801</v>
      </c>
      <c r="G5559" s="1">
        <v>38231</v>
      </c>
      <c r="J5559" t="s">
        <v>28367</v>
      </c>
      <c r="K5559" t="s">
        <v>291</v>
      </c>
      <c r="L5559" t="s">
        <v>28368</v>
      </c>
      <c r="M5559">
        <v>971.90200000000004</v>
      </c>
      <c r="N5559" t="s">
        <v>28369</v>
      </c>
      <c r="O5559" t="s">
        <v>26</v>
      </c>
      <c r="R5559">
        <v>115</v>
      </c>
      <c r="T5559" t="s">
        <v>28370</v>
      </c>
    </row>
    <row r="5560" spans="1:20">
      <c r="A5560">
        <v>3412252</v>
      </c>
      <c r="B5560" t="s">
        <v>28371</v>
      </c>
      <c r="C5560" t="str">
        <f>"9780774808156"</f>
        <v>9780774808156</v>
      </c>
      <c r="D5560" t="str">
        <f>"9780774852180"</f>
        <v>9780774852180</v>
      </c>
      <c r="E5560" t="s">
        <v>26801</v>
      </c>
      <c r="F5560" t="s">
        <v>26801</v>
      </c>
      <c r="G5560" s="1">
        <v>37012</v>
      </c>
      <c r="J5560" t="s">
        <v>28372</v>
      </c>
      <c r="K5560" t="s">
        <v>1297</v>
      </c>
      <c r="L5560" t="s">
        <v>28373</v>
      </c>
      <c r="M5560" t="s">
        <v>28374</v>
      </c>
      <c r="N5560" t="s">
        <v>28375</v>
      </c>
      <c r="O5560" t="s">
        <v>26</v>
      </c>
      <c r="R5560">
        <v>99</v>
      </c>
      <c r="T5560" t="s">
        <v>28376</v>
      </c>
    </row>
    <row r="5561" spans="1:20">
      <c r="A5561">
        <v>3412253</v>
      </c>
      <c r="B5561" t="s">
        <v>28377</v>
      </c>
      <c r="C5561" t="str">
        <f>"9780774807883"</f>
        <v>9780774807883</v>
      </c>
      <c r="D5561" t="str">
        <f>"9780774852111"</f>
        <v>9780774852111</v>
      </c>
      <c r="E5561" t="s">
        <v>26801</v>
      </c>
      <c r="F5561" t="s">
        <v>26801</v>
      </c>
      <c r="G5561" s="1">
        <v>36923</v>
      </c>
      <c r="J5561" t="s">
        <v>28378</v>
      </c>
      <c r="K5561" t="s">
        <v>284</v>
      </c>
      <c r="L5561" t="s">
        <v>28379</v>
      </c>
      <c r="M5561">
        <v>330.084</v>
      </c>
      <c r="N5561" t="s">
        <v>28380</v>
      </c>
      <c r="O5561" t="s">
        <v>26</v>
      </c>
      <c r="R5561">
        <v>115</v>
      </c>
      <c r="T5561" t="s">
        <v>28381</v>
      </c>
    </row>
    <row r="5562" spans="1:20">
      <c r="A5562">
        <v>3412254</v>
      </c>
      <c r="B5562" t="s">
        <v>28382</v>
      </c>
      <c r="C5562" t="str">
        <f>"9780774805841"</f>
        <v>9780774805841</v>
      </c>
      <c r="D5562" t="str">
        <f>"9780774854757"</f>
        <v>9780774854757</v>
      </c>
      <c r="E5562" t="s">
        <v>26801</v>
      </c>
      <c r="F5562" t="s">
        <v>26801</v>
      </c>
      <c r="G5562" s="1">
        <v>35400</v>
      </c>
      <c r="J5562" t="s">
        <v>28383</v>
      </c>
      <c r="K5562" t="s">
        <v>263</v>
      </c>
      <c r="L5562" t="s">
        <v>28384</v>
      </c>
      <c r="M5562" t="s">
        <v>28385</v>
      </c>
      <c r="N5562" t="s">
        <v>28386</v>
      </c>
      <c r="O5562" t="s">
        <v>26</v>
      </c>
      <c r="R5562">
        <v>99</v>
      </c>
      <c r="T5562" t="s">
        <v>28387</v>
      </c>
    </row>
    <row r="5563" spans="1:20">
      <c r="A5563">
        <v>3412255</v>
      </c>
      <c r="B5563" t="s">
        <v>28388</v>
      </c>
      <c r="C5563" t="str">
        <f>"9780774803366"</f>
        <v>9780774803366</v>
      </c>
      <c r="D5563" t="str">
        <f>"9780774854511"</f>
        <v>9780774854511</v>
      </c>
      <c r="E5563" t="s">
        <v>26801</v>
      </c>
      <c r="F5563" t="s">
        <v>26801</v>
      </c>
      <c r="G5563" s="1">
        <v>33573</v>
      </c>
      <c r="J5563" t="s">
        <v>28389</v>
      </c>
      <c r="K5563" t="s">
        <v>27928</v>
      </c>
      <c r="L5563" t="s">
        <v>28390</v>
      </c>
      <c r="M5563" t="s">
        <v>28391</v>
      </c>
      <c r="N5563" t="s">
        <v>28392</v>
      </c>
      <c r="O5563" t="s">
        <v>26</v>
      </c>
      <c r="R5563">
        <v>99</v>
      </c>
      <c r="T5563" t="s">
        <v>28393</v>
      </c>
    </row>
    <row r="5564" spans="1:20">
      <c r="A5564">
        <v>3412256</v>
      </c>
      <c r="B5564" t="s">
        <v>28394</v>
      </c>
      <c r="C5564" t="str">
        <f>"9780774805575"</f>
        <v>9780774805575</v>
      </c>
      <c r="D5564" t="str">
        <f>"9780774854115"</f>
        <v>9780774854115</v>
      </c>
      <c r="E5564" t="s">
        <v>26801</v>
      </c>
      <c r="F5564" t="s">
        <v>26801</v>
      </c>
      <c r="G5564" s="1">
        <v>35339</v>
      </c>
      <c r="J5564" t="s">
        <v>28395</v>
      </c>
      <c r="K5564" t="s">
        <v>20411</v>
      </c>
      <c r="L5564" t="s">
        <v>28396</v>
      </c>
      <c r="M5564">
        <v>354</v>
      </c>
      <c r="N5564" t="s">
        <v>28397</v>
      </c>
      <c r="O5564" t="s">
        <v>26</v>
      </c>
      <c r="R5564">
        <v>99</v>
      </c>
      <c r="T5564" t="s">
        <v>28398</v>
      </c>
    </row>
    <row r="5565" spans="1:20">
      <c r="A5565">
        <v>3412257</v>
      </c>
      <c r="B5565" t="s">
        <v>28399</v>
      </c>
      <c r="C5565" t="str">
        <f>"9780774805186"</f>
        <v>9780774805186</v>
      </c>
      <c r="D5565" t="str">
        <f>"9780774854467"</f>
        <v>9780774854467</v>
      </c>
      <c r="E5565" t="s">
        <v>26801</v>
      </c>
      <c r="F5565" t="s">
        <v>26801</v>
      </c>
      <c r="G5565" s="1">
        <v>34700</v>
      </c>
      <c r="J5565" t="s">
        <v>28400</v>
      </c>
      <c r="K5565" t="s">
        <v>291</v>
      </c>
      <c r="L5565" t="s">
        <v>28401</v>
      </c>
      <c r="M5565" t="s">
        <v>28402</v>
      </c>
      <c r="N5565" t="s">
        <v>28403</v>
      </c>
      <c r="O5565" t="s">
        <v>26</v>
      </c>
      <c r="R5565">
        <v>99</v>
      </c>
      <c r="T5565" t="s">
        <v>28404</v>
      </c>
    </row>
    <row r="5566" spans="1:20">
      <c r="A5566">
        <v>3412258</v>
      </c>
      <c r="B5566" t="s">
        <v>28405</v>
      </c>
      <c r="C5566" t="str">
        <f>"9780774804660"</f>
        <v>9780774804660</v>
      </c>
      <c r="D5566" t="str">
        <f>"9780774854054"</f>
        <v>9780774854054</v>
      </c>
      <c r="E5566" t="s">
        <v>26801</v>
      </c>
      <c r="F5566" t="s">
        <v>26801</v>
      </c>
      <c r="G5566" s="1">
        <v>34700</v>
      </c>
      <c r="J5566" t="s">
        <v>2981</v>
      </c>
      <c r="K5566" t="s">
        <v>2982</v>
      </c>
      <c r="L5566" t="s">
        <v>28406</v>
      </c>
      <c r="M5566" t="s">
        <v>28407</v>
      </c>
      <c r="N5566" t="s">
        <v>28408</v>
      </c>
      <c r="O5566" t="s">
        <v>26</v>
      </c>
      <c r="R5566">
        <v>99</v>
      </c>
      <c r="T5566" t="s">
        <v>28409</v>
      </c>
    </row>
    <row r="5567" spans="1:20">
      <c r="A5567">
        <v>3412259</v>
      </c>
      <c r="B5567" t="s">
        <v>28410</v>
      </c>
      <c r="C5567" t="str">
        <f>"9780774806442"</f>
        <v>9780774806442</v>
      </c>
      <c r="D5567" t="str">
        <f>"9780774853613"</f>
        <v>9780774853613</v>
      </c>
      <c r="E5567" t="s">
        <v>26801</v>
      </c>
      <c r="F5567" t="s">
        <v>26801</v>
      </c>
      <c r="G5567" s="1">
        <v>35796</v>
      </c>
      <c r="J5567" t="s">
        <v>6239</v>
      </c>
      <c r="K5567" t="s">
        <v>291</v>
      </c>
      <c r="L5567" t="s">
        <v>28411</v>
      </c>
      <c r="M5567" t="s">
        <v>28412</v>
      </c>
      <c r="N5567" t="s">
        <v>28413</v>
      </c>
      <c r="O5567" t="s">
        <v>26</v>
      </c>
      <c r="R5567">
        <v>99</v>
      </c>
      <c r="T5567" t="s">
        <v>28414</v>
      </c>
    </row>
    <row r="5568" spans="1:20">
      <c r="A5568">
        <v>3412260</v>
      </c>
      <c r="B5568" t="s">
        <v>28415</v>
      </c>
      <c r="C5568" t="str">
        <f>"9780774805599"</f>
        <v>9780774805599</v>
      </c>
      <c r="D5568" t="str">
        <f>"9780774854306"</f>
        <v>9780774854306</v>
      </c>
      <c r="E5568" t="s">
        <v>26801</v>
      </c>
      <c r="F5568" t="s">
        <v>26801</v>
      </c>
      <c r="G5568" s="1">
        <v>35462</v>
      </c>
      <c r="J5568" t="s">
        <v>28416</v>
      </c>
      <c r="K5568" t="s">
        <v>291</v>
      </c>
      <c r="L5568" t="s">
        <v>28417</v>
      </c>
      <c r="M5568" t="s">
        <v>28418</v>
      </c>
      <c r="N5568" t="s">
        <v>28419</v>
      </c>
      <c r="O5568" t="s">
        <v>26</v>
      </c>
      <c r="R5568">
        <v>99</v>
      </c>
      <c r="T5568" t="s">
        <v>28420</v>
      </c>
    </row>
    <row r="5569" spans="1:20">
      <c r="A5569">
        <v>3412261</v>
      </c>
      <c r="B5569" t="s">
        <v>28421</v>
      </c>
      <c r="C5569" t="str">
        <f>"9780774805254"</f>
        <v>9780774805254</v>
      </c>
      <c r="D5569" t="str">
        <f>"9780774854078"</f>
        <v>9780774854078</v>
      </c>
      <c r="E5569" t="s">
        <v>26801</v>
      </c>
      <c r="F5569" t="s">
        <v>26801</v>
      </c>
      <c r="G5569" s="1">
        <v>35065</v>
      </c>
      <c r="J5569" t="s">
        <v>28422</v>
      </c>
      <c r="K5569" t="s">
        <v>1530</v>
      </c>
      <c r="L5569" t="s">
        <v>28423</v>
      </c>
      <c r="M5569">
        <v>398.20899700000001</v>
      </c>
      <c r="N5569" t="s">
        <v>28424</v>
      </c>
      <c r="O5569" t="s">
        <v>26</v>
      </c>
      <c r="R5569">
        <v>99</v>
      </c>
      <c r="T5569" t="s">
        <v>28425</v>
      </c>
    </row>
    <row r="5570" spans="1:20">
      <c r="A5570">
        <v>3412262</v>
      </c>
      <c r="B5570" t="s">
        <v>28426</v>
      </c>
      <c r="C5570" t="str">
        <f>"9780774802611"</f>
        <v>9780774802611</v>
      </c>
      <c r="D5570" t="str">
        <f>"9780774854832"</f>
        <v>9780774854832</v>
      </c>
      <c r="E5570" t="s">
        <v>26801</v>
      </c>
      <c r="F5570" t="s">
        <v>26801</v>
      </c>
      <c r="G5570" s="1">
        <v>31413</v>
      </c>
      <c r="J5570" t="s">
        <v>20099</v>
      </c>
      <c r="K5570" t="s">
        <v>6444</v>
      </c>
      <c r="L5570" t="s">
        <v>28427</v>
      </c>
      <c r="M5570">
        <v>354.7</v>
      </c>
      <c r="N5570" t="s">
        <v>28428</v>
      </c>
      <c r="O5570" t="s">
        <v>26</v>
      </c>
      <c r="R5570">
        <v>99</v>
      </c>
      <c r="T5570" t="s">
        <v>28429</v>
      </c>
    </row>
    <row r="5571" spans="1:20">
      <c r="A5571">
        <v>3412263</v>
      </c>
      <c r="B5571" t="s">
        <v>28430</v>
      </c>
      <c r="C5571" t="str">
        <f>"9780774803045"</f>
        <v>9780774803045</v>
      </c>
      <c r="D5571" t="str">
        <f>"9780774852494"</f>
        <v>9780774852494</v>
      </c>
      <c r="E5571" t="s">
        <v>26801</v>
      </c>
      <c r="F5571" t="s">
        <v>26801</v>
      </c>
      <c r="G5571" s="1">
        <v>32143</v>
      </c>
      <c r="J5571" t="s">
        <v>28100</v>
      </c>
      <c r="K5571" t="s">
        <v>1892</v>
      </c>
      <c r="L5571" t="s">
        <v>28431</v>
      </c>
      <c r="M5571">
        <v>264.2</v>
      </c>
      <c r="N5571" t="s">
        <v>28432</v>
      </c>
      <c r="O5571" t="s">
        <v>26</v>
      </c>
      <c r="R5571">
        <v>99</v>
      </c>
      <c r="T5571" t="s">
        <v>28433</v>
      </c>
    </row>
    <row r="5572" spans="1:20">
      <c r="A5572">
        <v>3412264</v>
      </c>
      <c r="B5572" t="s">
        <v>28434</v>
      </c>
      <c r="C5572" t="str">
        <f>"9780774804448"</f>
        <v>9780774804448</v>
      </c>
      <c r="D5572" t="str">
        <f>"9780774854702"</f>
        <v>9780774854702</v>
      </c>
      <c r="E5572" t="s">
        <v>26801</v>
      </c>
      <c r="F5572" t="s">
        <v>26801</v>
      </c>
      <c r="G5572" s="1">
        <v>33970</v>
      </c>
      <c r="J5572" t="s">
        <v>28435</v>
      </c>
      <c r="K5572" t="s">
        <v>28436</v>
      </c>
      <c r="L5572" t="s">
        <v>28437</v>
      </c>
      <c r="M5572">
        <v>16.91</v>
      </c>
      <c r="N5572" t="s">
        <v>28438</v>
      </c>
      <c r="O5572" t="s">
        <v>26</v>
      </c>
      <c r="R5572">
        <v>180</v>
      </c>
      <c r="T5572" t="s">
        <v>28439</v>
      </c>
    </row>
    <row r="5573" spans="1:20">
      <c r="A5573">
        <v>3412265</v>
      </c>
      <c r="B5573" t="s">
        <v>28440</v>
      </c>
      <c r="C5573" t="str">
        <f>"9780774806428"</f>
        <v>9780774806428</v>
      </c>
      <c r="D5573" t="str">
        <f>"9780774853972"</f>
        <v>9780774853972</v>
      </c>
      <c r="E5573" t="s">
        <v>26801</v>
      </c>
      <c r="F5573" t="s">
        <v>26801</v>
      </c>
      <c r="G5573" s="1">
        <v>35765</v>
      </c>
      <c r="J5573" t="s">
        <v>21100</v>
      </c>
      <c r="K5573" t="s">
        <v>291</v>
      </c>
      <c r="L5573" t="s">
        <v>28441</v>
      </c>
      <c r="M5573" t="s">
        <v>28442</v>
      </c>
      <c r="N5573" t="s">
        <v>28443</v>
      </c>
      <c r="O5573" t="s">
        <v>26</v>
      </c>
      <c r="R5573">
        <v>99</v>
      </c>
      <c r="T5573" t="s">
        <v>28444</v>
      </c>
    </row>
    <row r="5574" spans="1:20">
      <c r="A5574">
        <v>3412266</v>
      </c>
      <c r="B5574" t="s">
        <v>28445</v>
      </c>
      <c r="C5574" t="str">
        <f>"9780774803311"</f>
        <v>9780774803311</v>
      </c>
      <c r="D5574" t="str">
        <f>"9780774854290"</f>
        <v>9780774854290</v>
      </c>
      <c r="E5574" t="s">
        <v>26801</v>
      </c>
      <c r="F5574" t="s">
        <v>26801</v>
      </c>
      <c r="G5574" s="1">
        <v>32509</v>
      </c>
      <c r="J5574" t="s">
        <v>28446</v>
      </c>
      <c r="K5574" t="s">
        <v>7781</v>
      </c>
      <c r="L5574" t="s">
        <v>28447</v>
      </c>
      <c r="M5574" t="s">
        <v>28448</v>
      </c>
      <c r="N5574" t="s">
        <v>28449</v>
      </c>
      <c r="O5574" t="s">
        <v>26</v>
      </c>
      <c r="R5574">
        <v>99</v>
      </c>
      <c r="T5574" t="s">
        <v>28450</v>
      </c>
    </row>
    <row r="5575" spans="1:20">
      <c r="A5575">
        <v>3412267</v>
      </c>
      <c r="B5575" t="s">
        <v>28451</v>
      </c>
      <c r="C5575" t="str">
        <f>"9780774803069"</f>
        <v>9780774803069</v>
      </c>
      <c r="D5575" t="str">
        <f>"9780774854030"</f>
        <v>9780774854030</v>
      </c>
      <c r="E5575" t="s">
        <v>26801</v>
      </c>
      <c r="F5575" t="s">
        <v>26801</v>
      </c>
      <c r="G5575" s="1">
        <v>32143</v>
      </c>
      <c r="J5575" t="s">
        <v>28452</v>
      </c>
      <c r="K5575" t="s">
        <v>291</v>
      </c>
      <c r="L5575" t="s">
        <v>28453</v>
      </c>
      <c r="M5575">
        <v>971.90200000000004</v>
      </c>
      <c r="N5575" t="s">
        <v>28454</v>
      </c>
      <c r="O5575" t="s">
        <v>26</v>
      </c>
      <c r="R5575">
        <v>99</v>
      </c>
      <c r="T5575" t="s">
        <v>28455</v>
      </c>
    </row>
    <row r="5576" spans="1:20">
      <c r="A5576">
        <v>3412268</v>
      </c>
      <c r="B5576" t="s">
        <v>28456</v>
      </c>
      <c r="C5576" t="str">
        <f>"9780774804684"</f>
        <v>9780774804684</v>
      </c>
      <c r="D5576" t="str">
        <f>"9780774853941"</f>
        <v>9780774853941</v>
      </c>
      <c r="E5576" t="s">
        <v>26801</v>
      </c>
      <c r="F5576" t="s">
        <v>26801</v>
      </c>
      <c r="G5576" s="1">
        <v>34335</v>
      </c>
      <c r="J5576" t="s">
        <v>28457</v>
      </c>
      <c r="K5576" t="s">
        <v>291</v>
      </c>
      <c r="L5576" t="s">
        <v>28458</v>
      </c>
      <c r="M5576">
        <v>971.91020000000003</v>
      </c>
      <c r="N5576" t="s">
        <v>28459</v>
      </c>
      <c r="O5576" t="s">
        <v>26</v>
      </c>
      <c r="R5576">
        <v>99</v>
      </c>
      <c r="T5576" t="s">
        <v>28460</v>
      </c>
    </row>
    <row r="5577" spans="1:20">
      <c r="A5577">
        <v>3412269</v>
      </c>
      <c r="B5577" t="s">
        <v>28461</v>
      </c>
      <c r="C5577" t="str">
        <f>"9780774806947"</f>
        <v>9780774806947</v>
      </c>
      <c r="D5577" t="str">
        <f>"9780774852326"</f>
        <v>9780774852326</v>
      </c>
      <c r="E5577" t="s">
        <v>26801</v>
      </c>
      <c r="F5577" t="s">
        <v>26801</v>
      </c>
      <c r="G5577" s="1">
        <v>36147</v>
      </c>
      <c r="J5577" t="s">
        <v>28462</v>
      </c>
      <c r="K5577" t="s">
        <v>1530</v>
      </c>
      <c r="L5577" t="s">
        <v>28463</v>
      </c>
      <c r="M5577">
        <v>971.1</v>
      </c>
      <c r="N5577" t="s">
        <v>28464</v>
      </c>
      <c r="O5577" t="s">
        <v>26</v>
      </c>
      <c r="R5577">
        <v>115</v>
      </c>
      <c r="T5577" t="s">
        <v>28465</v>
      </c>
    </row>
    <row r="5578" spans="1:20">
      <c r="A5578">
        <v>3412270</v>
      </c>
      <c r="B5578" t="s">
        <v>28466</v>
      </c>
      <c r="C5578" t="str">
        <f>"9780774812252"</f>
        <v>9780774812252</v>
      </c>
      <c r="D5578" t="str">
        <f>"9780774854108"</f>
        <v>9780774854108</v>
      </c>
      <c r="E5578" t="s">
        <v>26801</v>
      </c>
      <c r="F5578" t="s">
        <v>26801</v>
      </c>
      <c r="G5578" s="1">
        <v>38899</v>
      </c>
      <c r="I5578" t="s">
        <v>28467</v>
      </c>
      <c r="J5578" t="s">
        <v>28395</v>
      </c>
      <c r="K5578" t="s">
        <v>467</v>
      </c>
      <c r="L5578" t="s">
        <v>28468</v>
      </c>
      <c r="M5578">
        <v>320.971</v>
      </c>
      <c r="N5578" t="s">
        <v>28469</v>
      </c>
      <c r="O5578" t="s">
        <v>26</v>
      </c>
      <c r="R5578">
        <v>99</v>
      </c>
      <c r="T5578" t="s">
        <v>28470</v>
      </c>
    </row>
    <row r="5579" spans="1:20">
      <c r="A5579">
        <v>3412271</v>
      </c>
      <c r="B5579" t="s">
        <v>28471</v>
      </c>
      <c r="C5579" t="str">
        <f>"9780774805346"</f>
        <v>9780774805346</v>
      </c>
      <c r="D5579" t="str">
        <f>"9780774854696"</f>
        <v>9780774854696</v>
      </c>
      <c r="E5579" t="s">
        <v>26801</v>
      </c>
      <c r="F5579" t="s">
        <v>26801</v>
      </c>
      <c r="G5579" s="1">
        <v>34700</v>
      </c>
      <c r="I5579" t="s">
        <v>26843</v>
      </c>
      <c r="J5579" t="s">
        <v>28472</v>
      </c>
      <c r="K5579" t="s">
        <v>416</v>
      </c>
      <c r="L5579" t="s">
        <v>28473</v>
      </c>
      <c r="M5579">
        <v>333</v>
      </c>
      <c r="N5579" t="s">
        <v>28474</v>
      </c>
      <c r="O5579" t="s">
        <v>26</v>
      </c>
      <c r="R5579">
        <v>99</v>
      </c>
      <c r="T5579" t="s">
        <v>28475</v>
      </c>
    </row>
    <row r="5580" spans="1:20">
      <c r="A5580">
        <v>3412272</v>
      </c>
      <c r="B5580" t="s">
        <v>28476</v>
      </c>
      <c r="C5580" t="str">
        <f>"9780774805322"</f>
        <v>9780774805322</v>
      </c>
      <c r="D5580" t="str">
        <f>"9780774854252"</f>
        <v>9780774854252</v>
      </c>
      <c r="E5580" t="s">
        <v>26801</v>
      </c>
      <c r="F5580" t="s">
        <v>26801</v>
      </c>
      <c r="G5580" s="1">
        <v>35065</v>
      </c>
      <c r="J5580" t="s">
        <v>28477</v>
      </c>
      <c r="K5580" t="s">
        <v>305</v>
      </c>
      <c r="L5580" t="s">
        <v>28478</v>
      </c>
      <c r="M5580" t="s">
        <v>28479</v>
      </c>
      <c r="N5580" t="s">
        <v>28480</v>
      </c>
      <c r="O5580" t="s">
        <v>26</v>
      </c>
      <c r="R5580">
        <v>99</v>
      </c>
      <c r="T5580" t="s">
        <v>28481</v>
      </c>
    </row>
    <row r="5581" spans="1:20">
      <c r="A5581">
        <v>3412273</v>
      </c>
      <c r="B5581" t="s">
        <v>28482</v>
      </c>
      <c r="C5581" t="str">
        <f>"9780774804981"</f>
        <v>9780774804981</v>
      </c>
      <c r="D5581" t="str">
        <f>"9780774854726"</f>
        <v>9780774854726</v>
      </c>
      <c r="E5581" t="s">
        <v>26801</v>
      </c>
      <c r="F5581" t="s">
        <v>26801</v>
      </c>
      <c r="G5581" s="1">
        <v>34335</v>
      </c>
      <c r="J5581" t="s">
        <v>28483</v>
      </c>
      <c r="K5581" t="s">
        <v>291</v>
      </c>
      <c r="L5581" t="s">
        <v>28484</v>
      </c>
      <c r="M5581">
        <v>971.50400000000002</v>
      </c>
      <c r="N5581" t="s">
        <v>28485</v>
      </c>
      <c r="O5581" t="s">
        <v>26</v>
      </c>
      <c r="R5581">
        <v>99</v>
      </c>
      <c r="T5581" t="s">
        <v>28486</v>
      </c>
    </row>
    <row r="5582" spans="1:20">
      <c r="A5582">
        <v>3412274</v>
      </c>
      <c r="B5582" t="s">
        <v>28487</v>
      </c>
      <c r="C5582" t="str">
        <f>"9780774811279"</f>
        <v>9780774811279</v>
      </c>
      <c r="D5582" t="str">
        <f>"9780774854610"</f>
        <v>9780774854610</v>
      </c>
      <c r="E5582" t="s">
        <v>26801</v>
      </c>
      <c r="F5582" t="s">
        <v>26801</v>
      </c>
      <c r="G5582" s="1">
        <v>38384</v>
      </c>
      <c r="J5582" t="s">
        <v>28488</v>
      </c>
      <c r="K5582" t="s">
        <v>23</v>
      </c>
      <c r="L5582" t="s">
        <v>28489</v>
      </c>
      <c r="M5582" t="s">
        <v>28490</v>
      </c>
      <c r="N5582" t="s">
        <v>28491</v>
      </c>
      <c r="O5582" t="s">
        <v>26</v>
      </c>
      <c r="R5582">
        <v>180</v>
      </c>
      <c r="T5582" t="s">
        <v>28492</v>
      </c>
    </row>
    <row r="5583" spans="1:20">
      <c r="A5583">
        <v>3412275</v>
      </c>
      <c r="B5583" t="s">
        <v>28493</v>
      </c>
      <c r="C5583" t="str">
        <f>"9780774806251"</f>
        <v>9780774806251</v>
      </c>
      <c r="D5583" t="str">
        <f>"9780774854863"</f>
        <v>9780774854863</v>
      </c>
      <c r="E5583" t="s">
        <v>26801</v>
      </c>
      <c r="F5583" t="s">
        <v>26801</v>
      </c>
      <c r="G5583" s="1">
        <v>35977</v>
      </c>
      <c r="I5583" t="s">
        <v>27443</v>
      </c>
      <c r="J5583" t="s">
        <v>28494</v>
      </c>
      <c r="K5583" t="s">
        <v>4081</v>
      </c>
      <c r="L5583" t="s">
        <v>28495</v>
      </c>
      <c r="M5583" t="s">
        <v>28496</v>
      </c>
      <c r="N5583" t="s">
        <v>28497</v>
      </c>
      <c r="O5583" t="s">
        <v>26</v>
      </c>
      <c r="R5583">
        <v>150</v>
      </c>
      <c r="T5583" t="s">
        <v>28498</v>
      </c>
    </row>
    <row r="5584" spans="1:20">
      <c r="A5584">
        <v>3412276</v>
      </c>
      <c r="B5584" t="s">
        <v>28499</v>
      </c>
      <c r="C5584" t="str">
        <f>"9780919494701"</f>
        <v>9780919494701</v>
      </c>
      <c r="D5584" t="str">
        <f>"9780774853255"</f>
        <v>9780774853255</v>
      </c>
      <c r="E5584" t="s">
        <v>26801</v>
      </c>
      <c r="F5584" t="s">
        <v>26801</v>
      </c>
      <c r="G5584" s="1">
        <v>24456</v>
      </c>
      <c r="I5584" t="s">
        <v>27589</v>
      </c>
      <c r="J5584" t="s">
        <v>28096</v>
      </c>
      <c r="K5584" t="s">
        <v>525</v>
      </c>
      <c r="L5584" t="s">
        <v>28500</v>
      </c>
      <c r="M5584">
        <v>341</v>
      </c>
      <c r="N5584" t="s">
        <v>28501</v>
      </c>
      <c r="O5584" t="s">
        <v>26</v>
      </c>
      <c r="R5584">
        <v>180</v>
      </c>
      <c r="T5584" t="s">
        <v>28502</v>
      </c>
    </row>
    <row r="5585" spans="1:20">
      <c r="A5585">
        <v>3412277</v>
      </c>
      <c r="B5585" t="s">
        <v>28503</v>
      </c>
      <c r="C5585" t="str">
        <f>"9780774803489"</f>
        <v>9780774803489</v>
      </c>
      <c r="D5585" t="str">
        <f>"9780774854917"</f>
        <v>9780774854917</v>
      </c>
      <c r="E5585" t="s">
        <v>26801</v>
      </c>
      <c r="F5585" t="s">
        <v>26801</v>
      </c>
      <c r="G5585" s="1">
        <v>32874</v>
      </c>
      <c r="J5585" t="s">
        <v>28504</v>
      </c>
      <c r="K5585" t="s">
        <v>1471</v>
      </c>
      <c r="L5585" t="s">
        <v>28505</v>
      </c>
      <c r="M5585">
        <v>759.11</v>
      </c>
      <c r="N5585" t="s">
        <v>28506</v>
      </c>
      <c r="O5585" t="s">
        <v>26</v>
      </c>
      <c r="R5585">
        <v>115</v>
      </c>
      <c r="T5585" t="s">
        <v>28507</v>
      </c>
    </row>
    <row r="5586" spans="1:20">
      <c r="A5586">
        <v>3412278</v>
      </c>
      <c r="B5586" t="s">
        <v>28508</v>
      </c>
      <c r="C5586" t="str">
        <f>"9780774807203"</f>
        <v>9780774807203</v>
      </c>
      <c r="D5586" t="str">
        <f>"9780774852265"</f>
        <v>9780774852265</v>
      </c>
      <c r="E5586" t="s">
        <v>26801</v>
      </c>
      <c r="F5586" t="s">
        <v>26801</v>
      </c>
      <c r="G5586" s="1">
        <v>36336</v>
      </c>
      <c r="J5586" t="s">
        <v>28509</v>
      </c>
      <c r="K5586" t="s">
        <v>263</v>
      </c>
      <c r="L5586" t="s">
        <v>28510</v>
      </c>
      <c r="M5586">
        <v>363.58499999999998</v>
      </c>
      <c r="N5586" t="s">
        <v>28511</v>
      </c>
      <c r="O5586" t="s">
        <v>26</v>
      </c>
      <c r="R5586">
        <v>115</v>
      </c>
      <c r="T5586" t="s">
        <v>28512</v>
      </c>
    </row>
    <row r="5587" spans="1:20">
      <c r="A5587">
        <v>3412279</v>
      </c>
      <c r="B5587" t="s">
        <v>28513</v>
      </c>
      <c r="C5587" t="str">
        <f>"9780774802062"</f>
        <v>9780774802062</v>
      </c>
      <c r="D5587" t="str">
        <f>"9780774853354"</f>
        <v>9780774853354</v>
      </c>
      <c r="E5587" t="s">
        <v>26801</v>
      </c>
      <c r="F5587" t="s">
        <v>26801</v>
      </c>
      <c r="G5587" s="1">
        <v>39356</v>
      </c>
      <c r="I5587" t="s">
        <v>27589</v>
      </c>
      <c r="J5587" t="s">
        <v>27808</v>
      </c>
      <c r="K5587" t="s">
        <v>525</v>
      </c>
      <c r="L5587" t="s">
        <v>28514</v>
      </c>
      <c r="M5587">
        <v>341</v>
      </c>
      <c r="N5587" t="s">
        <v>28501</v>
      </c>
      <c r="O5587" t="s">
        <v>26</v>
      </c>
      <c r="R5587">
        <v>180</v>
      </c>
      <c r="T5587" t="s">
        <v>28515</v>
      </c>
    </row>
    <row r="5588" spans="1:20">
      <c r="A5588">
        <v>3412280</v>
      </c>
      <c r="B5588" t="s">
        <v>28516</v>
      </c>
      <c r="C5588" t="str">
        <f>"9780774802000"</f>
        <v>9780774802000</v>
      </c>
      <c r="D5588" t="str">
        <f>"9780774853729"</f>
        <v>9780774853729</v>
      </c>
      <c r="E5588" t="s">
        <v>26801</v>
      </c>
      <c r="F5588" t="s">
        <v>26801</v>
      </c>
      <c r="G5588" s="1">
        <v>30682</v>
      </c>
      <c r="J5588" t="s">
        <v>28517</v>
      </c>
      <c r="K5588" t="s">
        <v>4081</v>
      </c>
      <c r="L5588" t="s">
        <v>28518</v>
      </c>
      <c r="M5588">
        <v>497.2</v>
      </c>
      <c r="N5588" t="s">
        <v>28519</v>
      </c>
      <c r="O5588" t="s">
        <v>26</v>
      </c>
      <c r="R5588">
        <v>99</v>
      </c>
      <c r="T5588" t="s">
        <v>28520</v>
      </c>
    </row>
    <row r="5589" spans="1:20">
      <c r="A5589">
        <v>3412281</v>
      </c>
      <c r="B5589" t="s">
        <v>28521</v>
      </c>
      <c r="C5589" t="str">
        <f>"9780774800396"</f>
        <v>9780774800396</v>
      </c>
      <c r="D5589" t="str">
        <f>"9780774854498"</f>
        <v>9780774854498</v>
      </c>
      <c r="E5589" t="s">
        <v>26801</v>
      </c>
      <c r="F5589" t="s">
        <v>26801</v>
      </c>
      <c r="G5589" s="1">
        <v>33239</v>
      </c>
      <c r="I5589" t="s">
        <v>26970</v>
      </c>
      <c r="J5589" t="s">
        <v>28522</v>
      </c>
      <c r="K5589" t="s">
        <v>291</v>
      </c>
      <c r="L5589" t="s">
        <v>28523</v>
      </c>
      <c r="M5589">
        <v>971.1</v>
      </c>
      <c r="N5589" t="s">
        <v>28524</v>
      </c>
      <c r="O5589" t="s">
        <v>26</v>
      </c>
      <c r="R5589">
        <v>99</v>
      </c>
      <c r="T5589" t="s">
        <v>28525</v>
      </c>
    </row>
    <row r="5590" spans="1:20">
      <c r="A5590">
        <v>3412282</v>
      </c>
      <c r="B5590" t="s">
        <v>28526</v>
      </c>
      <c r="C5590" t="str">
        <f>"9780774801379"</f>
        <v>9780774801379</v>
      </c>
      <c r="D5590" t="str">
        <f>"9780774853491"</f>
        <v>9780774853491</v>
      </c>
      <c r="E5590" t="s">
        <v>26801</v>
      </c>
      <c r="F5590" t="s">
        <v>26801</v>
      </c>
      <c r="G5590" s="1">
        <v>39356</v>
      </c>
      <c r="I5590" t="s">
        <v>27589</v>
      </c>
      <c r="J5590" t="s">
        <v>27808</v>
      </c>
      <c r="K5590" t="s">
        <v>525</v>
      </c>
      <c r="L5590" t="s">
        <v>28527</v>
      </c>
      <c r="M5590">
        <v>341</v>
      </c>
      <c r="N5590" t="s">
        <v>28501</v>
      </c>
      <c r="O5590" t="s">
        <v>26</v>
      </c>
      <c r="R5590">
        <v>180</v>
      </c>
      <c r="T5590" t="s">
        <v>28528</v>
      </c>
    </row>
    <row r="5591" spans="1:20">
      <c r="A5591">
        <v>3412283</v>
      </c>
      <c r="B5591" t="s">
        <v>28529</v>
      </c>
      <c r="C5591" t="str">
        <f>"9780774803137"</f>
        <v>9780774803137</v>
      </c>
      <c r="D5591" t="str">
        <f>"9780774854986"</f>
        <v>9780774854986</v>
      </c>
      <c r="E5591" t="s">
        <v>26801</v>
      </c>
      <c r="F5591" t="s">
        <v>26801</v>
      </c>
      <c r="G5591" s="1">
        <v>30376</v>
      </c>
      <c r="I5591" t="s">
        <v>26970</v>
      </c>
      <c r="J5591" t="s">
        <v>28530</v>
      </c>
      <c r="K5591" t="s">
        <v>1892</v>
      </c>
      <c r="L5591" t="s">
        <v>28531</v>
      </c>
      <c r="M5591">
        <v>282</v>
      </c>
      <c r="N5591" t="s">
        <v>28532</v>
      </c>
      <c r="O5591" t="s">
        <v>26</v>
      </c>
      <c r="R5591">
        <v>99</v>
      </c>
      <c r="T5591" t="s">
        <v>28533</v>
      </c>
    </row>
    <row r="5592" spans="1:20">
      <c r="A5592">
        <v>3412284</v>
      </c>
      <c r="B5592" t="s">
        <v>28534</v>
      </c>
      <c r="C5592" t="str">
        <f>"9780774804462"</f>
        <v>9780774804462</v>
      </c>
      <c r="D5592" t="str">
        <f>"9780774853712"</f>
        <v>9780774853712</v>
      </c>
      <c r="E5592" t="s">
        <v>26801</v>
      </c>
      <c r="F5592" t="s">
        <v>26801</v>
      </c>
      <c r="G5592" s="1">
        <v>33970</v>
      </c>
      <c r="I5592" t="s">
        <v>26970</v>
      </c>
      <c r="J5592" t="s">
        <v>28535</v>
      </c>
      <c r="K5592" t="s">
        <v>3219</v>
      </c>
      <c r="L5592" t="s">
        <v>28536</v>
      </c>
      <c r="M5592">
        <v>917</v>
      </c>
      <c r="N5592" t="s">
        <v>28537</v>
      </c>
      <c r="O5592" t="s">
        <v>26</v>
      </c>
      <c r="R5592">
        <v>99</v>
      </c>
      <c r="T5592" t="s">
        <v>28538</v>
      </c>
    </row>
    <row r="5593" spans="1:20">
      <c r="A5593">
        <v>3412285</v>
      </c>
      <c r="B5593" t="s">
        <v>28539</v>
      </c>
      <c r="C5593" t="str">
        <f>"9780774802741"</f>
        <v>9780774802741</v>
      </c>
      <c r="D5593" t="str">
        <f>"9780774854825"</f>
        <v>9780774854825</v>
      </c>
      <c r="E5593" t="s">
        <v>26801</v>
      </c>
      <c r="F5593" t="s">
        <v>26801</v>
      </c>
      <c r="G5593" s="1">
        <v>31778</v>
      </c>
      <c r="J5593" t="s">
        <v>28540</v>
      </c>
      <c r="K5593" t="s">
        <v>7075</v>
      </c>
      <c r="L5593" t="s">
        <v>28541</v>
      </c>
      <c r="M5593" t="s">
        <v>28542</v>
      </c>
      <c r="N5593" t="s">
        <v>28543</v>
      </c>
      <c r="O5593" t="s">
        <v>26</v>
      </c>
      <c r="R5593">
        <v>180</v>
      </c>
      <c r="T5593" t="s">
        <v>28544</v>
      </c>
    </row>
    <row r="5594" spans="1:20">
      <c r="A5594">
        <v>3412286</v>
      </c>
      <c r="B5594" t="s">
        <v>28545</v>
      </c>
      <c r="C5594" t="str">
        <f>"9780774806848"</f>
        <v>9780774806848</v>
      </c>
      <c r="D5594" t="str">
        <f>"9780774852258"</f>
        <v>9780774852258</v>
      </c>
      <c r="E5594" t="s">
        <v>26801</v>
      </c>
      <c r="F5594" t="s">
        <v>26801</v>
      </c>
      <c r="G5594" s="1">
        <v>36434</v>
      </c>
      <c r="J5594" t="s">
        <v>16680</v>
      </c>
      <c r="K5594" t="s">
        <v>7838</v>
      </c>
      <c r="L5594" t="s">
        <v>28546</v>
      </c>
      <c r="M5594">
        <v>728</v>
      </c>
      <c r="N5594" t="s">
        <v>28547</v>
      </c>
      <c r="O5594" t="s">
        <v>26</v>
      </c>
      <c r="R5594">
        <v>99</v>
      </c>
      <c r="T5594" t="s">
        <v>28548</v>
      </c>
    </row>
    <row r="5595" spans="1:20">
      <c r="A5595">
        <v>3412287</v>
      </c>
      <c r="B5595" t="s">
        <v>28549</v>
      </c>
      <c r="C5595" t="str">
        <f>"9780774802253"</f>
        <v>9780774802253</v>
      </c>
      <c r="D5595" t="str">
        <f>"9780774853453"</f>
        <v>9780774853453</v>
      </c>
      <c r="E5595" t="s">
        <v>26801</v>
      </c>
      <c r="F5595" t="s">
        <v>26801</v>
      </c>
      <c r="G5595" s="1">
        <v>39356</v>
      </c>
      <c r="I5595" t="s">
        <v>27589</v>
      </c>
      <c r="J5595" t="s">
        <v>27808</v>
      </c>
      <c r="K5595" t="s">
        <v>525</v>
      </c>
      <c r="L5595" t="s">
        <v>28550</v>
      </c>
      <c r="M5595">
        <v>341</v>
      </c>
      <c r="N5595" t="s">
        <v>28501</v>
      </c>
      <c r="O5595" t="s">
        <v>26</v>
      </c>
      <c r="R5595">
        <v>180</v>
      </c>
      <c r="T5595" t="s">
        <v>28551</v>
      </c>
    </row>
    <row r="5596" spans="1:20">
      <c r="A5596">
        <v>3412288</v>
      </c>
      <c r="B5596" t="s">
        <v>28552</v>
      </c>
      <c r="C5596" t="str">
        <f>"9780774802468"</f>
        <v>9780774802468</v>
      </c>
      <c r="D5596" t="str">
        <f>"9780774853644"</f>
        <v>9780774853644</v>
      </c>
      <c r="E5596" t="s">
        <v>26801</v>
      </c>
      <c r="F5596" t="s">
        <v>26801</v>
      </c>
      <c r="G5596" s="1">
        <v>31413</v>
      </c>
      <c r="J5596" t="s">
        <v>28553</v>
      </c>
      <c r="K5596" t="s">
        <v>278</v>
      </c>
      <c r="L5596" t="s">
        <v>28554</v>
      </c>
      <c r="M5596" t="s">
        <v>28555</v>
      </c>
      <c r="N5596" t="s">
        <v>28556</v>
      </c>
      <c r="O5596" t="s">
        <v>26</v>
      </c>
      <c r="R5596">
        <v>99</v>
      </c>
      <c r="T5596" t="s">
        <v>28557</v>
      </c>
    </row>
    <row r="5597" spans="1:20">
      <c r="A5597">
        <v>3412289</v>
      </c>
      <c r="B5597" t="s">
        <v>28558</v>
      </c>
      <c r="C5597" t="str">
        <f>"9780774801256"</f>
        <v>9780774801256</v>
      </c>
      <c r="D5597" t="str">
        <f>"9780774853590"</f>
        <v>9780774853590</v>
      </c>
      <c r="E5597" t="s">
        <v>26801</v>
      </c>
      <c r="F5597" t="s">
        <v>26801</v>
      </c>
      <c r="G5597" s="1">
        <v>29221</v>
      </c>
      <c r="J5597" t="s">
        <v>28559</v>
      </c>
      <c r="K5597" t="s">
        <v>291</v>
      </c>
      <c r="L5597" t="s">
        <v>28560</v>
      </c>
      <c r="M5597">
        <v>971.03</v>
      </c>
      <c r="N5597" t="s">
        <v>28561</v>
      </c>
      <c r="O5597" t="s">
        <v>26</v>
      </c>
      <c r="R5597">
        <v>99</v>
      </c>
      <c r="T5597" t="s">
        <v>28562</v>
      </c>
    </row>
    <row r="5598" spans="1:20">
      <c r="A5598">
        <v>3412290</v>
      </c>
      <c r="B5598" t="s">
        <v>28563</v>
      </c>
      <c r="C5598" t="str">
        <f>"9780774808309"</f>
        <v>9780774808309</v>
      </c>
      <c r="D5598" t="str">
        <f>"9780774852104"</f>
        <v>9780774852104</v>
      </c>
      <c r="E5598" t="s">
        <v>26801</v>
      </c>
      <c r="F5598" t="s">
        <v>26801</v>
      </c>
      <c r="G5598" s="1">
        <v>36861</v>
      </c>
      <c r="J5598" t="s">
        <v>28564</v>
      </c>
      <c r="K5598" t="s">
        <v>17436</v>
      </c>
      <c r="L5598" t="s">
        <v>28565</v>
      </c>
      <c r="M5598">
        <v>333.75</v>
      </c>
      <c r="N5598" t="s">
        <v>28566</v>
      </c>
      <c r="O5598" t="s">
        <v>26</v>
      </c>
      <c r="R5598">
        <v>115</v>
      </c>
      <c r="T5598" t="s">
        <v>28567</v>
      </c>
    </row>
    <row r="5599" spans="1:20">
      <c r="A5599">
        <v>3412291</v>
      </c>
      <c r="B5599" t="s">
        <v>28568</v>
      </c>
      <c r="C5599" t="str">
        <f>"9780774803236"</f>
        <v>9780774803236</v>
      </c>
      <c r="D5599" t="str">
        <f>"9780774853415"</f>
        <v>9780774853415</v>
      </c>
      <c r="E5599" t="s">
        <v>26801</v>
      </c>
      <c r="F5599" t="s">
        <v>26801</v>
      </c>
      <c r="G5599" s="1">
        <v>39356</v>
      </c>
      <c r="I5599" t="s">
        <v>27589</v>
      </c>
      <c r="J5599" t="s">
        <v>28569</v>
      </c>
      <c r="K5599" t="s">
        <v>525</v>
      </c>
      <c r="L5599" t="s">
        <v>28570</v>
      </c>
      <c r="M5599">
        <v>341</v>
      </c>
      <c r="N5599" t="s">
        <v>28501</v>
      </c>
      <c r="O5599" t="s">
        <v>26</v>
      </c>
      <c r="R5599">
        <v>180</v>
      </c>
      <c r="T5599" t="s">
        <v>28571</v>
      </c>
    </row>
    <row r="5600" spans="1:20">
      <c r="A5600">
        <v>3412292</v>
      </c>
      <c r="B5600" t="s">
        <v>28572</v>
      </c>
      <c r="C5600" t="str">
        <f>"9780919494725"</f>
        <v>9780919494725</v>
      </c>
      <c r="D5600" t="str">
        <f>"9780774853262"</f>
        <v>9780774853262</v>
      </c>
      <c r="E5600" t="s">
        <v>26801</v>
      </c>
      <c r="F5600" t="s">
        <v>26801</v>
      </c>
      <c r="G5600" s="1">
        <v>23726</v>
      </c>
      <c r="I5600" t="s">
        <v>27589</v>
      </c>
      <c r="J5600" t="s">
        <v>28096</v>
      </c>
      <c r="K5600" t="s">
        <v>525</v>
      </c>
      <c r="L5600" t="s">
        <v>28573</v>
      </c>
      <c r="M5600">
        <v>341</v>
      </c>
      <c r="N5600" t="s">
        <v>28501</v>
      </c>
      <c r="O5600" t="s">
        <v>26</v>
      </c>
      <c r="R5600">
        <v>180</v>
      </c>
      <c r="T5600" t="s">
        <v>28574</v>
      </c>
    </row>
    <row r="5601" spans="1:20">
      <c r="A5601">
        <v>3412293</v>
      </c>
      <c r="B5601" t="s">
        <v>28575</v>
      </c>
      <c r="C5601" t="str">
        <f>"9780774807920"</f>
        <v>9780774807920</v>
      </c>
      <c r="D5601" t="str">
        <f>"9780774854771"</f>
        <v>9780774854771</v>
      </c>
      <c r="E5601" t="s">
        <v>26801</v>
      </c>
      <c r="F5601" t="s">
        <v>26801</v>
      </c>
      <c r="G5601" s="1">
        <v>36861</v>
      </c>
      <c r="J5601" t="s">
        <v>28576</v>
      </c>
      <c r="K5601" t="s">
        <v>1214</v>
      </c>
      <c r="L5601" t="s">
        <v>28577</v>
      </c>
      <c r="M5601">
        <v>353.40971000000002</v>
      </c>
      <c r="N5601" t="s">
        <v>28578</v>
      </c>
      <c r="O5601" t="s">
        <v>26</v>
      </c>
      <c r="R5601">
        <v>99</v>
      </c>
      <c r="T5601" t="s">
        <v>28579</v>
      </c>
    </row>
    <row r="5602" spans="1:20">
      <c r="A5602">
        <v>3412294</v>
      </c>
      <c r="B5602" t="s">
        <v>28580</v>
      </c>
      <c r="C5602" t="str">
        <f>"9780774802826"</f>
        <v>9780774802826</v>
      </c>
      <c r="D5602" t="str">
        <f>"9780774853699"</f>
        <v>9780774853699</v>
      </c>
      <c r="E5602" t="s">
        <v>26801</v>
      </c>
      <c r="F5602" t="s">
        <v>26801</v>
      </c>
      <c r="G5602" s="1">
        <v>31778</v>
      </c>
      <c r="J5602" t="s">
        <v>28581</v>
      </c>
      <c r="K5602" t="s">
        <v>7075</v>
      </c>
      <c r="L5602" t="s">
        <v>28541</v>
      </c>
      <c r="M5602" t="s">
        <v>28542</v>
      </c>
      <c r="N5602" t="s">
        <v>28543</v>
      </c>
      <c r="O5602" t="s">
        <v>26</v>
      </c>
      <c r="R5602">
        <v>180</v>
      </c>
      <c r="T5602" t="s">
        <v>28582</v>
      </c>
    </row>
    <row r="5603" spans="1:20">
      <c r="A5603">
        <v>3412295</v>
      </c>
      <c r="B5603" t="s">
        <v>28583</v>
      </c>
      <c r="C5603" t="str">
        <f>"9780774805773"</f>
        <v>9780774805773</v>
      </c>
      <c r="D5603" t="str">
        <f>"9780774854283"</f>
        <v>9780774854283</v>
      </c>
      <c r="E5603" t="s">
        <v>26801</v>
      </c>
      <c r="F5603" t="s">
        <v>26801</v>
      </c>
      <c r="G5603" s="1">
        <v>35400</v>
      </c>
      <c r="J5603" t="s">
        <v>28584</v>
      </c>
      <c r="K5603" t="s">
        <v>30</v>
      </c>
      <c r="L5603" t="s">
        <v>28585</v>
      </c>
      <c r="M5603" t="s">
        <v>28586</v>
      </c>
      <c r="N5603" t="s">
        <v>28587</v>
      </c>
      <c r="O5603" t="s">
        <v>26</v>
      </c>
      <c r="R5603">
        <v>99</v>
      </c>
      <c r="T5603" t="s">
        <v>28588</v>
      </c>
    </row>
    <row r="5604" spans="1:20">
      <c r="A5604">
        <v>3412296</v>
      </c>
      <c r="B5604" t="s">
        <v>28589</v>
      </c>
      <c r="C5604" t="str">
        <f>"9780774806091"</f>
        <v>9780774806091</v>
      </c>
      <c r="D5604" t="str">
        <f>"9780774853149"</f>
        <v>9780774853149</v>
      </c>
      <c r="E5604" t="s">
        <v>26801</v>
      </c>
      <c r="F5604" t="s">
        <v>26801</v>
      </c>
      <c r="G5604" s="1">
        <v>35643</v>
      </c>
      <c r="J5604" t="s">
        <v>28590</v>
      </c>
      <c r="K5604" t="s">
        <v>7063</v>
      </c>
      <c r="L5604" t="s">
        <v>28591</v>
      </c>
      <c r="M5604">
        <v>323</v>
      </c>
      <c r="N5604" t="s">
        <v>28592</v>
      </c>
      <c r="O5604" t="s">
        <v>26</v>
      </c>
      <c r="R5604">
        <v>99</v>
      </c>
      <c r="T5604" t="s">
        <v>28593</v>
      </c>
    </row>
    <row r="5605" spans="1:20">
      <c r="A5605">
        <v>3412297</v>
      </c>
      <c r="B5605" t="s">
        <v>28594</v>
      </c>
      <c r="C5605" t="str">
        <f>"9780774804257"</f>
        <v>9780774804257</v>
      </c>
      <c r="D5605" t="str">
        <f>"9780774854153"</f>
        <v>9780774854153</v>
      </c>
      <c r="E5605" t="s">
        <v>26801</v>
      </c>
      <c r="F5605" t="s">
        <v>26801</v>
      </c>
      <c r="G5605" s="1">
        <v>33604</v>
      </c>
      <c r="J5605" t="s">
        <v>28595</v>
      </c>
      <c r="K5605" t="s">
        <v>263</v>
      </c>
      <c r="L5605" t="s">
        <v>28596</v>
      </c>
      <c r="M5605">
        <v>305.42092000000002</v>
      </c>
      <c r="N5605" t="s">
        <v>28597</v>
      </c>
      <c r="O5605" t="s">
        <v>26</v>
      </c>
      <c r="R5605">
        <v>99</v>
      </c>
      <c r="T5605" t="s">
        <v>28598</v>
      </c>
    </row>
    <row r="5606" spans="1:20">
      <c r="A5606">
        <v>3412298</v>
      </c>
      <c r="B5606" t="s">
        <v>28599</v>
      </c>
      <c r="C5606" t="str">
        <f>"9780919494695"</f>
        <v>9780919494695</v>
      </c>
      <c r="D5606" t="str">
        <f>"9780774853309"</f>
        <v>9780774853309</v>
      </c>
      <c r="E5606" t="s">
        <v>26801</v>
      </c>
      <c r="F5606" t="s">
        <v>26801</v>
      </c>
      <c r="G5606" s="1">
        <v>24821</v>
      </c>
      <c r="I5606" t="s">
        <v>27589</v>
      </c>
      <c r="J5606" t="s">
        <v>28096</v>
      </c>
      <c r="K5606" t="s">
        <v>525</v>
      </c>
      <c r="L5606" t="s">
        <v>28600</v>
      </c>
      <c r="M5606">
        <v>341</v>
      </c>
      <c r="N5606" t="s">
        <v>28501</v>
      </c>
      <c r="O5606" t="s">
        <v>26</v>
      </c>
      <c r="R5606">
        <v>180</v>
      </c>
      <c r="T5606" t="s">
        <v>28601</v>
      </c>
    </row>
    <row r="5607" spans="1:20">
      <c r="A5607">
        <v>3412299</v>
      </c>
      <c r="B5607" t="s">
        <v>28602</v>
      </c>
      <c r="C5607" t="str">
        <f>"9780774802734"</f>
        <v>9780774802734</v>
      </c>
      <c r="D5607" t="str">
        <f>"9780774857437"</f>
        <v>9780774857437</v>
      </c>
      <c r="E5607" t="s">
        <v>26801</v>
      </c>
      <c r="F5607" t="s">
        <v>26801</v>
      </c>
      <c r="G5607" s="1">
        <v>33939</v>
      </c>
      <c r="H5607">
        <v>2</v>
      </c>
      <c r="J5607" t="s">
        <v>28603</v>
      </c>
      <c r="K5607" t="s">
        <v>263</v>
      </c>
      <c r="L5607" t="s">
        <v>28604</v>
      </c>
      <c r="N5607" t="s">
        <v>28605</v>
      </c>
      <c r="O5607" t="s">
        <v>26</v>
      </c>
      <c r="R5607">
        <v>99</v>
      </c>
      <c r="T5607" t="s">
        <v>28606</v>
      </c>
    </row>
    <row r="5608" spans="1:20">
      <c r="A5608">
        <v>3412300</v>
      </c>
      <c r="B5608" t="s">
        <v>28607</v>
      </c>
      <c r="C5608" t="str">
        <f>"9780919494664"</f>
        <v>9780919494664</v>
      </c>
      <c r="D5608" t="str">
        <f>"9780774853323"</f>
        <v>9780774853323</v>
      </c>
      <c r="E5608" t="s">
        <v>26801</v>
      </c>
      <c r="F5608" t="s">
        <v>26801</v>
      </c>
      <c r="G5608" s="1">
        <v>25917</v>
      </c>
      <c r="I5608" t="s">
        <v>27589</v>
      </c>
      <c r="J5608" t="s">
        <v>28096</v>
      </c>
      <c r="K5608" t="s">
        <v>525</v>
      </c>
      <c r="L5608" t="s">
        <v>28608</v>
      </c>
      <c r="M5608">
        <v>341</v>
      </c>
      <c r="N5608" t="s">
        <v>28501</v>
      </c>
      <c r="O5608" t="s">
        <v>26</v>
      </c>
      <c r="R5608">
        <v>180</v>
      </c>
      <c r="T5608" t="s">
        <v>28609</v>
      </c>
    </row>
    <row r="5609" spans="1:20">
      <c r="A5609">
        <v>3412301</v>
      </c>
      <c r="B5609" t="s">
        <v>28610</v>
      </c>
      <c r="C5609" t="str">
        <f>"9780774811668"</f>
        <v>9780774811668</v>
      </c>
      <c r="D5609" t="str">
        <f>"9780774854207"</f>
        <v>9780774854207</v>
      </c>
      <c r="E5609" t="s">
        <v>26801</v>
      </c>
      <c r="F5609" t="s">
        <v>26801</v>
      </c>
      <c r="G5609" s="1">
        <v>38701</v>
      </c>
      <c r="I5609" t="s">
        <v>26935</v>
      </c>
      <c r="J5609" t="s">
        <v>28611</v>
      </c>
      <c r="K5609" t="s">
        <v>525</v>
      </c>
      <c r="L5609" t="s">
        <v>28612</v>
      </c>
      <c r="M5609">
        <v>340.11500000000001</v>
      </c>
      <c r="N5609" t="s">
        <v>28613</v>
      </c>
      <c r="O5609" t="s">
        <v>26</v>
      </c>
      <c r="R5609">
        <v>115</v>
      </c>
      <c r="T5609" t="s">
        <v>28614</v>
      </c>
    </row>
    <row r="5610" spans="1:20">
      <c r="A5610">
        <v>3412302</v>
      </c>
      <c r="B5610" t="s">
        <v>28615</v>
      </c>
      <c r="C5610" t="str">
        <f>"9780774806558"</f>
        <v>9780774806558</v>
      </c>
      <c r="D5610" t="str">
        <f>"9780774853675"</f>
        <v>9780774853675</v>
      </c>
      <c r="E5610" t="s">
        <v>26801</v>
      </c>
      <c r="F5610" t="s">
        <v>26801</v>
      </c>
      <c r="G5610" s="1">
        <v>36281</v>
      </c>
      <c r="J5610" t="s">
        <v>28616</v>
      </c>
      <c r="K5610" t="s">
        <v>1892</v>
      </c>
      <c r="L5610" t="s">
        <v>28617</v>
      </c>
      <c r="M5610">
        <v>266.3</v>
      </c>
      <c r="N5610" t="s">
        <v>28618</v>
      </c>
      <c r="O5610" t="s">
        <v>26</v>
      </c>
      <c r="R5610">
        <v>99</v>
      </c>
      <c r="T5610" t="s">
        <v>28619</v>
      </c>
    </row>
    <row r="5611" spans="1:20">
      <c r="A5611">
        <v>3412303</v>
      </c>
      <c r="B5611" t="s">
        <v>28620</v>
      </c>
      <c r="C5611" t="str">
        <f>"9780774810340"</f>
        <v>9780774810340</v>
      </c>
      <c r="D5611" t="str">
        <f>"9780774850919"</f>
        <v>9780774850919</v>
      </c>
      <c r="E5611" t="s">
        <v>26801</v>
      </c>
      <c r="F5611" t="s">
        <v>26801</v>
      </c>
      <c r="G5611" s="1">
        <v>38047</v>
      </c>
      <c r="I5611" t="s">
        <v>27129</v>
      </c>
      <c r="J5611" t="s">
        <v>28621</v>
      </c>
      <c r="K5611" t="s">
        <v>1471</v>
      </c>
      <c r="L5611" t="s">
        <v>28622</v>
      </c>
      <c r="M5611" t="s">
        <v>28623</v>
      </c>
      <c r="N5611" t="s">
        <v>28624</v>
      </c>
      <c r="O5611" t="s">
        <v>26</v>
      </c>
      <c r="R5611">
        <v>99</v>
      </c>
      <c r="T5611" t="s">
        <v>28625</v>
      </c>
    </row>
    <row r="5612" spans="1:20">
      <c r="A5612">
        <v>3412304</v>
      </c>
      <c r="B5612" t="s">
        <v>28626</v>
      </c>
      <c r="C5612" t="str">
        <f>"9780774812030"</f>
        <v>9780774812030</v>
      </c>
      <c r="D5612" t="str">
        <f>"9780774851695"</f>
        <v>9780774851695</v>
      </c>
      <c r="E5612" t="s">
        <v>26801</v>
      </c>
      <c r="F5612" t="s">
        <v>26801</v>
      </c>
      <c r="G5612" s="1">
        <v>38691</v>
      </c>
      <c r="I5612" t="s">
        <v>26935</v>
      </c>
      <c r="J5612" t="s">
        <v>28627</v>
      </c>
      <c r="K5612" t="s">
        <v>263</v>
      </c>
      <c r="L5612" t="s">
        <v>28628</v>
      </c>
      <c r="M5612" t="s">
        <v>28629</v>
      </c>
      <c r="N5612" t="s">
        <v>28630</v>
      </c>
      <c r="O5612" t="s">
        <v>26</v>
      </c>
      <c r="R5612">
        <v>99</v>
      </c>
      <c r="T5612" t="s">
        <v>28631</v>
      </c>
    </row>
    <row r="5613" spans="1:20">
      <c r="A5613">
        <v>3412305</v>
      </c>
      <c r="B5613" t="s">
        <v>28632</v>
      </c>
      <c r="C5613" t="str">
        <f>"9780774806169"</f>
        <v>9780774806169</v>
      </c>
      <c r="D5613" t="str">
        <f>"9780774854276"</f>
        <v>9780774854276</v>
      </c>
      <c r="E5613" t="s">
        <v>26801</v>
      </c>
      <c r="F5613" t="s">
        <v>26801</v>
      </c>
      <c r="G5613" s="1">
        <v>35643</v>
      </c>
      <c r="I5613" t="s">
        <v>28078</v>
      </c>
      <c r="J5613" t="s">
        <v>28633</v>
      </c>
      <c r="K5613" t="s">
        <v>416</v>
      </c>
      <c r="L5613" t="s">
        <v>28634</v>
      </c>
      <c r="M5613" t="s">
        <v>28635</v>
      </c>
      <c r="N5613" t="s">
        <v>28636</v>
      </c>
      <c r="O5613" t="s">
        <v>26</v>
      </c>
      <c r="R5613">
        <v>99</v>
      </c>
      <c r="T5613" t="s">
        <v>28637</v>
      </c>
    </row>
    <row r="5614" spans="1:20">
      <c r="A5614">
        <v>3412306</v>
      </c>
      <c r="B5614" t="s">
        <v>28638</v>
      </c>
      <c r="C5614" t="str">
        <f>"9780774803625"</f>
        <v>9780774803625</v>
      </c>
      <c r="D5614" t="str">
        <f>"9780774854689"</f>
        <v>9780774854689</v>
      </c>
      <c r="E5614" t="s">
        <v>26801</v>
      </c>
      <c r="F5614" t="s">
        <v>26801</v>
      </c>
      <c r="G5614" s="1">
        <v>33573</v>
      </c>
      <c r="J5614" t="s">
        <v>28639</v>
      </c>
      <c r="K5614" t="s">
        <v>1464</v>
      </c>
      <c r="L5614" t="s">
        <v>28640</v>
      </c>
      <c r="N5614" t="s">
        <v>1546</v>
      </c>
      <c r="O5614" t="s">
        <v>26</v>
      </c>
      <c r="R5614">
        <v>99</v>
      </c>
      <c r="T5614" t="s">
        <v>28641</v>
      </c>
    </row>
    <row r="5615" spans="1:20">
      <c r="A5615">
        <v>3412307</v>
      </c>
      <c r="B5615" t="s">
        <v>28642</v>
      </c>
      <c r="C5615" t="str">
        <f>"9780774811378"</f>
        <v>9780774811378</v>
      </c>
      <c r="D5615" t="str">
        <f>"9780774854061"</f>
        <v>9780774854061</v>
      </c>
      <c r="E5615" t="s">
        <v>26801</v>
      </c>
      <c r="F5615" t="s">
        <v>26801</v>
      </c>
      <c r="G5615" s="1">
        <v>38899</v>
      </c>
      <c r="J5615" t="s">
        <v>28643</v>
      </c>
      <c r="K5615" t="s">
        <v>1530</v>
      </c>
      <c r="L5615" t="s">
        <v>28644</v>
      </c>
      <c r="M5615" t="s">
        <v>3934</v>
      </c>
      <c r="N5615" t="s">
        <v>28645</v>
      </c>
      <c r="O5615" t="s">
        <v>26</v>
      </c>
      <c r="R5615">
        <v>99</v>
      </c>
      <c r="T5615" t="s">
        <v>28646</v>
      </c>
    </row>
    <row r="5616" spans="1:20">
      <c r="A5616">
        <v>3412308</v>
      </c>
      <c r="B5616" t="s">
        <v>28647</v>
      </c>
      <c r="C5616" t="str">
        <f>"9780919494688"</f>
        <v>9780919494688</v>
      </c>
      <c r="D5616" t="str">
        <f>"9780774853330"</f>
        <v>9780774853330</v>
      </c>
      <c r="E5616" t="s">
        <v>26801</v>
      </c>
      <c r="F5616" t="s">
        <v>26801</v>
      </c>
      <c r="G5616" s="1">
        <v>25187</v>
      </c>
      <c r="I5616" t="s">
        <v>27589</v>
      </c>
      <c r="J5616" t="s">
        <v>28096</v>
      </c>
      <c r="K5616" t="s">
        <v>525</v>
      </c>
      <c r="L5616" t="s">
        <v>28648</v>
      </c>
      <c r="M5616">
        <v>341</v>
      </c>
      <c r="N5616" t="s">
        <v>28501</v>
      </c>
      <c r="O5616" t="s">
        <v>26</v>
      </c>
      <c r="R5616">
        <v>180</v>
      </c>
      <c r="T5616" t="s">
        <v>28649</v>
      </c>
    </row>
    <row r="5617" spans="1:20">
      <c r="A5617">
        <v>3412309</v>
      </c>
      <c r="B5617" t="s">
        <v>28650</v>
      </c>
      <c r="C5617" t="str">
        <f>"9780774807968"</f>
        <v>9780774807968</v>
      </c>
      <c r="D5617" t="str">
        <f>"9780774852173"</f>
        <v>9780774852173</v>
      </c>
      <c r="E5617" t="s">
        <v>26801</v>
      </c>
      <c r="F5617" t="s">
        <v>26801</v>
      </c>
      <c r="G5617" s="1">
        <v>36647</v>
      </c>
      <c r="J5617" t="s">
        <v>27649</v>
      </c>
      <c r="K5617" t="s">
        <v>467</v>
      </c>
      <c r="L5617" t="s">
        <v>28651</v>
      </c>
      <c r="M5617">
        <v>321.8</v>
      </c>
      <c r="N5617" t="s">
        <v>28652</v>
      </c>
      <c r="O5617" t="s">
        <v>26</v>
      </c>
      <c r="R5617">
        <v>99</v>
      </c>
      <c r="T5617" t="s">
        <v>28653</v>
      </c>
    </row>
    <row r="5618" spans="1:20">
      <c r="A5618">
        <v>3412310</v>
      </c>
      <c r="B5618" t="s">
        <v>28654</v>
      </c>
      <c r="C5618" t="str">
        <f>"9780774802925"</f>
        <v>9780774802925</v>
      </c>
      <c r="D5618" t="str">
        <f>"9780774854948"</f>
        <v>9780774854948</v>
      </c>
      <c r="E5618" t="s">
        <v>26801</v>
      </c>
      <c r="F5618" t="s">
        <v>26801</v>
      </c>
      <c r="G5618" s="1">
        <v>32143</v>
      </c>
      <c r="J5618" t="s">
        <v>28655</v>
      </c>
      <c r="K5618" t="s">
        <v>574</v>
      </c>
      <c r="L5618" t="s">
        <v>28656</v>
      </c>
      <c r="M5618">
        <v>338.37295</v>
      </c>
      <c r="N5618" t="s">
        <v>28657</v>
      </c>
      <c r="O5618" t="s">
        <v>26</v>
      </c>
      <c r="R5618">
        <v>99</v>
      </c>
      <c r="T5618" t="s">
        <v>28658</v>
      </c>
    </row>
    <row r="5619" spans="1:20">
      <c r="A5619">
        <v>3412311</v>
      </c>
      <c r="B5619" t="s">
        <v>28659</v>
      </c>
      <c r="C5619" t="str">
        <f>"9780774806589"</f>
        <v>9780774806589</v>
      </c>
      <c r="D5619" t="str">
        <f>"9780774854481"</f>
        <v>9780774854481</v>
      </c>
      <c r="E5619" t="s">
        <v>26801</v>
      </c>
      <c r="F5619" t="s">
        <v>26801</v>
      </c>
      <c r="G5619" s="1">
        <v>35947</v>
      </c>
      <c r="I5619" t="s">
        <v>26889</v>
      </c>
      <c r="J5619" t="s">
        <v>28276</v>
      </c>
      <c r="K5619" t="s">
        <v>263</v>
      </c>
      <c r="L5619" t="s">
        <v>28660</v>
      </c>
      <c r="N5619" t="s">
        <v>28661</v>
      </c>
      <c r="O5619" t="s">
        <v>26</v>
      </c>
      <c r="R5619">
        <v>99</v>
      </c>
      <c r="T5619" t="s">
        <v>28662</v>
      </c>
    </row>
    <row r="5620" spans="1:20">
      <c r="A5620">
        <v>3412312</v>
      </c>
      <c r="B5620" t="s">
        <v>28663</v>
      </c>
      <c r="C5620" t="str">
        <f>"9780774801270"</f>
        <v>9780774801270</v>
      </c>
      <c r="D5620" t="str">
        <f>"9780774853507"</f>
        <v>9780774853507</v>
      </c>
      <c r="E5620" t="s">
        <v>26801</v>
      </c>
      <c r="F5620" t="s">
        <v>26801</v>
      </c>
      <c r="G5620" s="1">
        <v>39356</v>
      </c>
      <c r="I5620" t="s">
        <v>27589</v>
      </c>
      <c r="J5620" t="s">
        <v>27808</v>
      </c>
      <c r="K5620" t="s">
        <v>525</v>
      </c>
      <c r="L5620" t="s">
        <v>28664</v>
      </c>
      <c r="M5620">
        <v>341</v>
      </c>
      <c r="N5620" t="s">
        <v>28501</v>
      </c>
      <c r="O5620" t="s">
        <v>26</v>
      </c>
      <c r="R5620">
        <v>180</v>
      </c>
      <c r="T5620" t="s">
        <v>28665</v>
      </c>
    </row>
    <row r="5621" spans="1:20">
      <c r="A5621">
        <v>3412313</v>
      </c>
      <c r="B5621" t="s">
        <v>28666</v>
      </c>
      <c r="C5621" t="str">
        <f>"9780774805360"</f>
        <v>9780774805360</v>
      </c>
      <c r="D5621" t="str">
        <f>"9780774853637"</f>
        <v>9780774853637</v>
      </c>
      <c r="E5621" t="s">
        <v>26801</v>
      </c>
      <c r="F5621" t="s">
        <v>26801</v>
      </c>
      <c r="G5621" s="1">
        <v>35186</v>
      </c>
      <c r="J5621" t="s">
        <v>28667</v>
      </c>
      <c r="K5621" t="s">
        <v>291</v>
      </c>
      <c r="L5621" t="s">
        <v>28668</v>
      </c>
      <c r="M5621">
        <v>971.1</v>
      </c>
      <c r="N5621" t="s">
        <v>28669</v>
      </c>
      <c r="O5621" t="s">
        <v>26</v>
      </c>
      <c r="R5621">
        <v>99</v>
      </c>
      <c r="T5621" t="s">
        <v>28670</v>
      </c>
    </row>
    <row r="5622" spans="1:20">
      <c r="A5622">
        <v>3412314</v>
      </c>
      <c r="B5622" t="s">
        <v>28671</v>
      </c>
      <c r="C5622" t="str">
        <f>"9780774807845"</f>
        <v>9780774807845</v>
      </c>
      <c r="D5622" t="str">
        <f>"9780774852081"</f>
        <v>9780774852081</v>
      </c>
      <c r="E5622" t="s">
        <v>26801</v>
      </c>
      <c r="F5622" t="s">
        <v>26801</v>
      </c>
      <c r="G5622" s="1">
        <v>36617</v>
      </c>
      <c r="J5622" t="s">
        <v>28672</v>
      </c>
      <c r="K5622" t="s">
        <v>3219</v>
      </c>
      <c r="L5622" t="s">
        <v>28673</v>
      </c>
      <c r="M5622">
        <v>917.11</v>
      </c>
      <c r="N5622" t="s">
        <v>28674</v>
      </c>
      <c r="O5622" t="s">
        <v>26</v>
      </c>
      <c r="R5622">
        <v>150</v>
      </c>
      <c r="T5622" t="s">
        <v>28675</v>
      </c>
    </row>
    <row r="5623" spans="1:20">
      <c r="A5623">
        <v>3412315</v>
      </c>
      <c r="B5623" t="s">
        <v>28676</v>
      </c>
      <c r="C5623" t="str">
        <f>"9780774807326"</f>
        <v>9780774807326</v>
      </c>
      <c r="D5623" t="str">
        <f>"9780774852234"</f>
        <v>9780774852234</v>
      </c>
      <c r="E5623" t="s">
        <v>26801</v>
      </c>
      <c r="F5623" t="s">
        <v>26801</v>
      </c>
      <c r="G5623" s="1">
        <v>36495</v>
      </c>
      <c r="I5623" t="s">
        <v>27129</v>
      </c>
      <c r="J5623" t="s">
        <v>28677</v>
      </c>
      <c r="K5623" t="s">
        <v>1550</v>
      </c>
      <c r="L5623" t="s">
        <v>28678</v>
      </c>
      <c r="M5623">
        <v>305</v>
      </c>
      <c r="N5623" t="s">
        <v>28679</v>
      </c>
      <c r="O5623" t="s">
        <v>26</v>
      </c>
      <c r="R5623">
        <v>99</v>
      </c>
      <c r="T5623" t="s">
        <v>28680</v>
      </c>
    </row>
    <row r="5624" spans="1:20">
      <c r="A5624">
        <v>3412316</v>
      </c>
      <c r="B5624" t="s">
        <v>28681</v>
      </c>
      <c r="C5624" t="str">
        <f>"9780774803809"</f>
        <v>9780774803809</v>
      </c>
      <c r="D5624" t="str">
        <f>"9780774854184"</f>
        <v>9780774854184</v>
      </c>
      <c r="E5624" t="s">
        <v>26801</v>
      </c>
      <c r="F5624" t="s">
        <v>26801</v>
      </c>
      <c r="G5624" s="1">
        <v>33239</v>
      </c>
      <c r="J5624" t="s">
        <v>28682</v>
      </c>
      <c r="K5624" t="s">
        <v>263</v>
      </c>
      <c r="L5624" t="s">
        <v>28683</v>
      </c>
      <c r="N5624" t="s">
        <v>28684</v>
      </c>
      <c r="O5624" t="s">
        <v>26</v>
      </c>
      <c r="R5624">
        <v>99</v>
      </c>
      <c r="T5624" t="s">
        <v>28685</v>
      </c>
    </row>
    <row r="5625" spans="1:20">
      <c r="A5625">
        <v>3412317</v>
      </c>
      <c r="B5625" t="s">
        <v>28686</v>
      </c>
      <c r="C5625" t="str">
        <f>"9780774803281"</f>
        <v>9780774803281</v>
      </c>
      <c r="D5625" t="str">
        <f>"9780774853842"</f>
        <v>9780774853842</v>
      </c>
      <c r="E5625" t="s">
        <v>26801</v>
      </c>
      <c r="F5625" t="s">
        <v>26801</v>
      </c>
      <c r="G5625" s="1">
        <v>32509</v>
      </c>
      <c r="J5625" t="s">
        <v>28687</v>
      </c>
      <c r="K5625" t="s">
        <v>778</v>
      </c>
      <c r="L5625" t="s">
        <v>28688</v>
      </c>
      <c r="M5625">
        <v>341.05</v>
      </c>
      <c r="N5625" t="s">
        <v>27593</v>
      </c>
      <c r="O5625" t="s">
        <v>26</v>
      </c>
      <c r="R5625">
        <v>99</v>
      </c>
      <c r="T5625" t="s">
        <v>28689</v>
      </c>
    </row>
    <row r="5626" spans="1:20">
      <c r="A5626">
        <v>3412318</v>
      </c>
      <c r="B5626" t="s">
        <v>28690</v>
      </c>
      <c r="C5626" t="str">
        <f>"9780774803038"</f>
        <v>9780774803038</v>
      </c>
      <c r="D5626" t="str">
        <f>"9780774853422"</f>
        <v>9780774853422</v>
      </c>
      <c r="E5626" t="s">
        <v>26801</v>
      </c>
      <c r="F5626" t="s">
        <v>26801</v>
      </c>
      <c r="G5626" s="1">
        <v>39356</v>
      </c>
      <c r="I5626" t="s">
        <v>27589</v>
      </c>
      <c r="J5626" t="s">
        <v>27808</v>
      </c>
      <c r="K5626" t="s">
        <v>525</v>
      </c>
      <c r="L5626" t="s">
        <v>28691</v>
      </c>
      <c r="M5626">
        <v>341</v>
      </c>
      <c r="N5626" t="s">
        <v>28501</v>
      </c>
      <c r="O5626" t="s">
        <v>26</v>
      </c>
      <c r="R5626">
        <v>180</v>
      </c>
      <c r="T5626" t="s">
        <v>28692</v>
      </c>
    </row>
    <row r="5627" spans="1:20">
      <c r="A5627">
        <v>3412319</v>
      </c>
      <c r="B5627" t="s">
        <v>28693</v>
      </c>
      <c r="C5627" t="str">
        <f>"9780774801621"</f>
        <v>9780774801621</v>
      </c>
      <c r="D5627" t="str">
        <f>"9780774853484"</f>
        <v>9780774853484</v>
      </c>
      <c r="E5627" t="s">
        <v>26801</v>
      </c>
      <c r="F5627" t="s">
        <v>26801</v>
      </c>
      <c r="G5627" s="1">
        <v>39356</v>
      </c>
      <c r="I5627" t="s">
        <v>27589</v>
      </c>
      <c r="J5627" t="s">
        <v>27808</v>
      </c>
      <c r="K5627" t="s">
        <v>525</v>
      </c>
      <c r="L5627" t="s">
        <v>28694</v>
      </c>
      <c r="M5627">
        <v>341</v>
      </c>
      <c r="N5627" t="s">
        <v>28501</v>
      </c>
      <c r="O5627" t="s">
        <v>26</v>
      </c>
      <c r="R5627">
        <v>180</v>
      </c>
      <c r="T5627" t="s">
        <v>28695</v>
      </c>
    </row>
    <row r="5628" spans="1:20">
      <c r="A5628">
        <v>3412320</v>
      </c>
      <c r="B5628" t="s">
        <v>28696</v>
      </c>
      <c r="C5628" t="str">
        <f>"9780774804899"</f>
        <v>9780774804899</v>
      </c>
      <c r="D5628" t="str">
        <f>"9780774853019"</f>
        <v>9780774853019</v>
      </c>
      <c r="E5628" t="s">
        <v>26801</v>
      </c>
      <c r="F5628" t="s">
        <v>26801</v>
      </c>
      <c r="G5628" s="1">
        <v>34335</v>
      </c>
      <c r="J5628" t="s">
        <v>28697</v>
      </c>
      <c r="K5628" t="s">
        <v>291</v>
      </c>
      <c r="L5628" t="s">
        <v>28698</v>
      </c>
      <c r="M5628">
        <v>971.91020000000003</v>
      </c>
      <c r="N5628" t="s">
        <v>28699</v>
      </c>
      <c r="O5628" t="s">
        <v>26</v>
      </c>
      <c r="R5628">
        <v>99</v>
      </c>
      <c r="T5628" t="s">
        <v>28700</v>
      </c>
    </row>
    <row r="5629" spans="1:20">
      <c r="A5629">
        <v>3412321</v>
      </c>
      <c r="B5629" t="s">
        <v>28701</v>
      </c>
      <c r="C5629" t="str">
        <f>"9780774803403"</f>
        <v>9780774803403</v>
      </c>
      <c r="D5629" t="str">
        <f>"9780774854177"</f>
        <v>9780774854177</v>
      </c>
      <c r="E5629" t="s">
        <v>26801</v>
      </c>
      <c r="F5629" t="s">
        <v>26801</v>
      </c>
      <c r="G5629" s="1">
        <v>32509</v>
      </c>
      <c r="J5629" t="s">
        <v>28702</v>
      </c>
      <c r="K5629" t="s">
        <v>467</v>
      </c>
      <c r="L5629" t="s">
        <v>28703</v>
      </c>
      <c r="M5629" t="s">
        <v>28704</v>
      </c>
      <c r="N5629" t="s">
        <v>28705</v>
      </c>
      <c r="O5629" t="s">
        <v>26</v>
      </c>
      <c r="R5629">
        <v>99</v>
      </c>
      <c r="T5629" t="s">
        <v>28706</v>
      </c>
    </row>
    <row r="5630" spans="1:20">
      <c r="A5630">
        <v>3412322</v>
      </c>
      <c r="B5630" t="s">
        <v>28707</v>
      </c>
      <c r="C5630" t="str">
        <f>"9780774801928"</f>
        <v>9780774801928</v>
      </c>
      <c r="D5630" t="str">
        <f>"9780774854580"</f>
        <v>9780774854580</v>
      </c>
      <c r="E5630" t="s">
        <v>26801</v>
      </c>
      <c r="F5630" t="s">
        <v>26801</v>
      </c>
      <c r="G5630" s="1">
        <v>30682</v>
      </c>
      <c r="J5630" t="s">
        <v>28046</v>
      </c>
      <c r="K5630" t="s">
        <v>28708</v>
      </c>
      <c r="L5630" t="s">
        <v>28709</v>
      </c>
      <c r="M5630">
        <v>495.1</v>
      </c>
      <c r="N5630" t="s">
        <v>28710</v>
      </c>
      <c r="O5630" t="s">
        <v>26</v>
      </c>
      <c r="R5630">
        <v>99</v>
      </c>
      <c r="T5630" t="s">
        <v>28711</v>
      </c>
    </row>
    <row r="5631" spans="1:20">
      <c r="A5631">
        <v>3412323</v>
      </c>
      <c r="B5631" t="s">
        <v>28712</v>
      </c>
      <c r="C5631" t="str">
        <f>"9780774804967"</f>
        <v>9780774804967</v>
      </c>
      <c r="D5631" t="str">
        <f>"9780774853392"</f>
        <v>9780774853392</v>
      </c>
      <c r="E5631" t="s">
        <v>26801</v>
      </c>
      <c r="F5631" t="s">
        <v>26801</v>
      </c>
      <c r="G5631" s="1">
        <v>39356</v>
      </c>
      <c r="I5631" t="s">
        <v>27589</v>
      </c>
      <c r="J5631" t="s">
        <v>28713</v>
      </c>
      <c r="K5631" t="s">
        <v>525</v>
      </c>
      <c r="L5631" t="s">
        <v>28714</v>
      </c>
      <c r="M5631">
        <v>341</v>
      </c>
      <c r="N5631" t="s">
        <v>28501</v>
      </c>
      <c r="O5631" t="s">
        <v>26</v>
      </c>
      <c r="R5631">
        <v>180</v>
      </c>
      <c r="T5631" t="s">
        <v>28715</v>
      </c>
    </row>
    <row r="5632" spans="1:20">
      <c r="A5632">
        <v>3412324</v>
      </c>
      <c r="B5632" t="s">
        <v>28716</v>
      </c>
      <c r="C5632" t="str">
        <f>"9780919494718"</f>
        <v>9780919494718</v>
      </c>
      <c r="D5632" t="str">
        <f>"9780774853286"</f>
        <v>9780774853286</v>
      </c>
      <c r="E5632" t="s">
        <v>26801</v>
      </c>
      <c r="F5632" t="s">
        <v>26801</v>
      </c>
      <c r="G5632" s="1">
        <v>24091</v>
      </c>
      <c r="I5632" t="s">
        <v>27589</v>
      </c>
      <c r="J5632" t="s">
        <v>28096</v>
      </c>
      <c r="K5632" t="s">
        <v>525</v>
      </c>
      <c r="L5632" t="s">
        <v>28717</v>
      </c>
      <c r="M5632">
        <v>341</v>
      </c>
      <c r="N5632" t="s">
        <v>28501</v>
      </c>
      <c r="O5632" t="s">
        <v>26</v>
      </c>
      <c r="R5632">
        <v>180</v>
      </c>
      <c r="T5632" t="s">
        <v>28718</v>
      </c>
    </row>
    <row r="5633" spans="1:20">
      <c r="A5633">
        <v>3412325</v>
      </c>
      <c r="B5633" t="s">
        <v>28719</v>
      </c>
      <c r="C5633" t="str">
        <f>"9780774804059"</f>
        <v>9780774804059</v>
      </c>
      <c r="D5633" t="str">
        <f>"9780774854139"</f>
        <v>9780774854139</v>
      </c>
      <c r="E5633" t="s">
        <v>26801</v>
      </c>
      <c r="F5633" t="s">
        <v>26801</v>
      </c>
      <c r="G5633" s="1">
        <v>33604</v>
      </c>
      <c r="J5633" t="s">
        <v>28720</v>
      </c>
      <c r="K5633" t="s">
        <v>14458</v>
      </c>
      <c r="L5633" t="s">
        <v>28721</v>
      </c>
      <c r="M5633">
        <v>345</v>
      </c>
      <c r="N5633" t="s">
        <v>28722</v>
      </c>
      <c r="O5633" t="s">
        <v>26</v>
      </c>
      <c r="R5633">
        <v>99</v>
      </c>
      <c r="T5633" t="s">
        <v>28723</v>
      </c>
    </row>
    <row r="5634" spans="1:20">
      <c r="A5634">
        <v>3412326</v>
      </c>
      <c r="B5634" t="s">
        <v>28724</v>
      </c>
      <c r="C5634" t="str">
        <f>"9780774810166"</f>
        <v>9780774810166</v>
      </c>
      <c r="D5634" t="str">
        <f>"9780774852005"</f>
        <v>9780774852005</v>
      </c>
      <c r="E5634" t="s">
        <v>26801</v>
      </c>
      <c r="F5634" t="s">
        <v>26801</v>
      </c>
      <c r="G5634" s="1">
        <v>37561</v>
      </c>
      <c r="J5634" t="s">
        <v>28725</v>
      </c>
      <c r="K5634" t="s">
        <v>376</v>
      </c>
      <c r="L5634" t="s">
        <v>28726</v>
      </c>
      <c r="M5634" t="s">
        <v>28727</v>
      </c>
      <c r="N5634" t="s">
        <v>16441</v>
      </c>
      <c r="O5634" t="s">
        <v>26</v>
      </c>
      <c r="R5634">
        <v>99</v>
      </c>
      <c r="T5634" t="s">
        <v>28728</v>
      </c>
    </row>
    <row r="5635" spans="1:20">
      <c r="A5635">
        <v>3412327</v>
      </c>
      <c r="B5635" t="s">
        <v>28729</v>
      </c>
      <c r="C5635" t="str">
        <f>"9780774805278"</f>
        <v>9780774805278</v>
      </c>
      <c r="D5635" t="str">
        <f>"9780774853408"</f>
        <v>9780774853408</v>
      </c>
      <c r="E5635" t="s">
        <v>26801</v>
      </c>
      <c r="F5635" t="s">
        <v>26801</v>
      </c>
      <c r="G5635" s="1">
        <v>34973</v>
      </c>
      <c r="I5635" t="s">
        <v>27589</v>
      </c>
      <c r="J5635" t="s">
        <v>28096</v>
      </c>
      <c r="K5635" t="s">
        <v>525</v>
      </c>
      <c r="L5635" t="s">
        <v>28730</v>
      </c>
      <c r="M5635">
        <v>341</v>
      </c>
      <c r="N5635" t="s">
        <v>28501</v>
      </c>
      <c r="O5635" t="s">
        <v>26</v>
      </c>
      <c r="R5635">
        <v>180</v>
      </c>
      <c r="T5635" t="s">
        <v>28731</v>
      </c>
    </row>
    <row r="5636" spans="1:20">
      <c r="A5636">
        <v>3412328</v>
      </c>
      <c r="B5636" t="s">
        <v>28732</v>
      </c>
      <c r="C5636" t="str">
        <f>"9780774806404"</f>
        <v>9780774806404</v>
      </c>
      <c r="D5636" t="str">
        <f>"9780774853576"</f>
        <v>9780774853576</v>
      </c>
      <c r="E5636" t="s">
        <v>26801</v>
      </c>
      <c r="F5636" t="s">
        <v>26801</v>
      </c>
      <c r="G5636" s="1">
        <v>35947</v>
      </c>
      <c r="J5636" t="s">
        <v>28733</v>
      </c>
      <c r="K5636" t="s">
        <v>263</v>
      </c>
      <c r="L5636" t="s">
        <v>28734</v>
      </c>
      <c r="M5636" t="s">
        <v>26852</v>
      </c>
      <c r="N5636" t="s">
        <v>28735</v>
      </c>
      <c r="O5636" t="s">
        <v>26</v>
      </c>
      <c r="R5636">
        <v>99</v>
      </c>
      <c r="T5636" t="s">
        <v>28736</v>
      </c>
    </row>
    <row r="5637" spans="1:20">
      <c r="A5637">
        <v>3412330</v>
      </c>
      <c r="B5637" t="s">
        <v>28737</v>
      </c>
      <c r="C5637" t="str">
        <f>"9780774811002"</f>
        <v>9780774811002</v>
      </c>
      <c r="D5637" t="str">
        <f>"9780774850964"</f>
        <v>9780774850964</v>
      </c>
      <c r="E5637" t="s">
        <v>26801</v>
      </c>
      <c r="F5637" t="s">
        <v>26801</v>
      </c>
      <c r="G5637" s="1">
        <v>38078</v>
      </c>
      <c r="I5637" t="s">
        <v>26924</v>
      </c>
      <c r="J5637" t="s">
        <v>19661</v>
      </c>
      <c r="K5637" t="s">
        <v>291</v>
      </c>
      <c r="L5637" t="s">
        <v>28738</v>
      </c>
      <c r="M5637" t="s">
        <v>3545</v>
      </c>
      <c r="N5637" t="s">
        <v>28739</v>
      </c>
      <c r="O5637" t="s">
        <v>26</v>
      </c>
      <c r="R5637">
        <v>99</v>
      </c>
      <c r="T5637" t="s">
        <v>28740</v>
      </c>
    </row>
    <row r="5638" spans="1:20">
      <c r="A5638">
        <v>3412331</v>
      </c>
      <c r="B5638" t="s">
        <v>28741</v>
      </c>
      <c r="C5638" t="str">
        <f>"9780774811255"</f>
        <v>9780774811255</v>
      </c>
      <c r="D5638" t="str">
        <f>"9780774851497"</f>
        <v>9780774851497</v>
      </c>
      <c r="E5638" t="s">
        <v>26801</v>
      </c>
      <c r="F5638" t="s">
        <v>26801</v>
      </c>
      <c r="G5638" s="1">
        <v>39387</v>
      </c>
      <c r="J5638" t="s">
        <v>28742</v>
      </c>
      <c r="K5638" t="s">
        <v>291</v>
      </c>
      <c r="L5638" t="s">
        <v>28743</v>
      </c>
      <c r="M5638" t="s">
        <v>28744</v>
      </c>
      <c r="N5638" t="s">
        <v>28745</v>
      </c>
      <c r="O5638" t="s">
        <v>26</v>
      </c>
      <c r="R5638">
        <v>99</v>
      </c>
      <c r="T5638" t="s">
        <v>28746</v>
      </c>
    </row>
    <row r="5639" spans="1:20">
      <c r="A5639">
        <v>3412332</v>
      </c>
      <c r="B5639" t="s">
        <v>28747</v>
      </c>
      <c r="C5639" t="str">
        <f>"9780774807142"</f>
        <v>9780774807142</v>
      </c>
      <c r="D5639" t="str">
        <f>"9780774852272"</f>
        <v>9780774852272</v>
      </c>
      <c r="E5639" t="s">
        <v>26801</v>
      </c>
      <c r="F5639" t="s">
        <v>26801</v>
      </c>
      <c r="G5639" s="1">
        <v>36312</v>
      </c>
      <c r="J5639" t="s">
        <v>28748</v>
      </c>
      <c r="K5639" t="s">
        <v>291</v>
      </c>
      <c r="L5639" t="s">
        <v>28749</v>
      </c>
      <c r="M5639" t="s">
        <v>28750</v>
      </c>
      <c r="N5639" t="s">
        <v>28751</v>
      </c>
      <c r="O5639" t="s">
        <v>26</v>
      </c>
      <c r="R5639">
        <v>99</v>
      </c>
      <c r="T5639" t="s">
        <v>28752</v>
      </c>
    </row>
    <row r="5640" spans="1:20">
      <c r="A5640">
        <v>3412333</v>
      </c>
      <c r="B5640" t="s">
        <v>28753</v>
      </c>
      <c r="C5640" t="str">
        <f>"9780774805827"</f>
        <v>9780774805827</v>
      </c>
      <c r="D5640" t="str">
        <f>"9780774853651"</f>
        <v>9780774853651</v>
      </c>
      <c r="E5640" t="s">
        <v>26801</v>
      </c>
      <c r="F5640" t="s">
        <v>26801</v>
      </c>
      <c r="G5640" s="1">
        <v>35278</v>
      </c>
      <c r="J5640" t="s">
        <v>28754</v>
      </c>
      <c r="K5640" t="s">
        <v>291</v>
      </c>
      <c r="L5640" t="s">
        <v>28755</v>
      </c>
      <c r="M5640">
        <v>971.10400000000004</v>
      </c>
      <c r="N5640" t="s">
        <v>28756</v>
      </c>
      <c r="O5640" t="s">
        <v>26</v>
      </c>
      <c r="R5640">
        <v>99</v>
      </c>
      <c r="T5640" t="s">
        <v>28757</v>
      </c>
    </row>
    <row r="5641" spans="1:20">
      <c r="A5641">
        <v>3412334</v>
      </c>
      <c r="B5641" t="s">
        <v>28758</v>
      </c>
      <c r="C5641" t="str">
        <f>"9780774805308"</f>
        <v>9780774805308</v>
      </c>
      <c r="D5641" t="str">
        <f>"9780774854351"</f>
        <v>9780774854351</v>
      </c>
      <c r="E5641" t="s">
        <v>26801</v>
      </c>
      <c r="F5641" t="s">
        <v>26801</v>
      </c>
      <c r="G5641" s="1">
        <v>34700</v>
      </c>
      <c r="I5641" t="s">
        <v>28078</v>
      </c>
      <c r="J5641" t="s">
        <v>28759</v>
      </c>
      <c r="K5641" t="s">
        <v>263</v>
      </c>
      <c r="L5641" t="s">
        <v>28760</v>
      </c>
      <c r="M5641">
        <v>307</v>
      </c>
      <c r="N5641" t="s">
        <v>28761</v>
      </c>
      <c r="O5641" t="s">
        <v>26</v>
      </c>
      <c r="R5641">
        <v>99</v>
      </c>
      <c r="T5641" t="s">
        <v>28762</v>
      </c>
    </row>
    <row r="5642" spans="1:20">
      <c r="A5642">
        <v>3412335</v>
      </c>
      <c r="B5642" t="s">
        <v>28763</v>
      </c>
      <c r="C5642" t="str">
        <f>"9780774807005"</f>
        <v>9780774807005</v>
      </c>
      <c r="D5642" t="str">
        <f>"9780774854375"</f>
        <v>9780774854375</v>
      </c>
      <c r="E5642" t="s">
        <v>26801</v>
      </c>
      <c r="F5642" t="s">
        <v>26801</v>
      </c>
      <c r="G5642" s="1">
        <v>36234</v>
      </c>
      <c r="I5642" t="s">
        <v>27680</v>
      </c>
      <c r="J5642" t="s">
        <v>28764</v>
      </c>
      <c r="K5642" t="s">
        <v>291</v>
      </c>
      <c r="L5642" t="s">
        <v>28765</v>
      </c>
      <c r="M5642">
        <v>971.12009999999998</v>
      </c>
      <c r="N5642" t="s">
        <v>28766</v>
      </c>
      <c r="O5642" t="s">
        <v>26</v>
      </c>
      <c r="R5642">
        <v>99</v>
      </c>
      <c r="T5642" t="s">
        <v>28767</v>
      </c>
    </row>
    <row r="5643" spans="1:20">
      <c r="A5643">
        <v>3412336</v>
      </c>
      <c r="B5643" t="s">
        <v>28768</v>
      </c>
      <c r="C5643" t="str">
        <f>"9780774803335"</f>
        <v>9780774803335</v>
      </c>
      <c r="D5643" t="str">
        <f>"9780774853088"</f>
        <v>9780774853088</v>
      </c>
      <c r="E5643" t="s">
        <v>26801</v>
      </c>
      <c r="F5643" t="s">
        <v>26801</v>
      </c>
      <c r="G5643" s="1">
        <v>32509</v>
      </c>
      <c r="J5643" t="s">
        <v>28769</v>
      </c>
      <c r="K5643" t="s">
        <v>291</v>
      </c>
      <c r="L5643" t="s">
        <v>28770</v>
      </c>
      <c r="M5643" t="s">
        <v>28286</v>
      </c>
      <c r="N5643" t="s">
        <v>28771</v>
      </c>
      <c r="O5643" t="s">
        <v>26</v>
      </c>
      <c r="R5643">
        <v>99</v>
      </c>
      <c r="T5643" t="s">
        <v>28772</v>
      </c>
    </row>
    <row r="5644" spans="1:20">
      <c r="A5644">
        <v>3412337</v>
      </c>
      <c r="B5644" t="s">
        <v>28773</v>
      </c>
      <c r="C5644" t="str">
        <f>"9780774800693"</f>
        <v>9780774800693</v>
      </c>
      <c r="D5644" t="str">
        <f>"9780774853446"</f>
        <v>9780774853446</v>
      </c>
      <c r="E5644" t="s">
        <v>26801</v>
      </c>
      <c r="F5644" t="s">
        <v>26801</v>
      </c>
      <c r="G5644" s="1">
        <v>39356</v>
      </c>
      <c r="I5644" t="s">
        <v>27589</v>
      </c>
      <c r="J5644" t="s">
        <v>27808</v>
      </c>
      <c r="K5644" t="s">
        <v>525</v>
      </c>
      <c r="L5644" t="s">
        <v>28774</v>
      </c>
      <c r="M5644">
        <v>341</v>
      </c>
      <c r="N5644" t="s">
        <v>28501</v>
      </c>
      <c r="O5644" t="s">
        <v>26</v>
      </c>
      <c r="R5644">
        <v>180</v>
      </c>
      <c r="T5644" t="s">
        <v>28775</v>
      </c>
    </row>
    <row r="5645" spans="1:20">
      <c r="A5645">
        <v>3412338</v>
      </c>
      <c r="B5645" t="s">
        <v>28776</v>
      </c>
      <c r="C5645" t="str">
        <f>"9780774804387"</f>
        <v>9780774804387</v>
      </c>
      <c r="D5645" t="str">
        <f>"9780774853385"</f>
        <v>9780774853385</v>
      </c>
      <c r="E5645" t="s">
        <v>26801</v>
      </c>
      <c r="F5645" t="s">
        <v>26801</v>
      </c>
      <c r="G5645" s="1">
        <v>34318</v>
      </c>
      <c r="I5645" t="s">
        <v>27589</v>
      </c>
      <c r="J5645" t="s">
        <v>28096</v>
      </c>
      <c r="K5645" t="s">
        <v>525</v>
      </c>
      <c r="L5645" t="s">
        <v>28777</v>
      </c>
      <c r="M5645">
        <v>341</v>
      </c>
      <c r="N5645" t="s">
        <v>28501</v>
      </c>
      <c r="O5645" t="s">
        <v>26</v>
      </c>
      <c r="R5645">
        <v>180</v>
      </c>
      <c r="T5645" t="s">
        <v>28778</v>
      </c>
    </row>
    <row r="5646" spans="1:20">
      <c r="A5646">
        <v>3412339</v>
      </c>
      <c r="B5646" t="s">
        <v>28779</v>
      </c>
      <c r="C5646" t="str">
        <f>"9780774807227"</f>
        <v>9780774807227</v>
      </c>
      <c r="D5646" t="str">
        <f>"9780774852241"</f>
        <v>9780774852241</v>
      </c>
      <c r="E5646" t="s">
        <v>26801</v>
      </c>
      <c r="F5646" t="s">
        <v>26801</v>
      </c>
      <c r="G5646" s="1">
        <v>36647</v>
      </c>
      <c r="I5646" t="s">
        <v>26843</v>
      </c>
      <c r="J5646" t="s">
        <v>28780</v>
      </c>
      <c r="K5646" t="s">
        <v>305</v>
      </c>
      <c r="L5646" t="s">
        <v>28781</v>
      </c>
      <c r="N5646" t="s">
        <v>28782</v>
      </c>
      <c r="O5646" t="s">
        <v>26</v>
      </c>
      <c r="R5646">
        <v>115</v>
      </c>
      <c r="T5646" t="s">
        <v>28783</v>
      </c>
    </row>
    <row r="5647" spans="1:20">
      <c r="A5647">
        <v>3412340</v>
      </c>
      <c r="B5647" t="s">
        <v>28784</v>
      </c>
      <c r="C5647" t="str">
        <f>"9780774812436"</f>
        <v>9780774812436</v>
      </c>
      <c r="D5647" t="str">
        <f>"9780774851602"</f>
        <v>9780774851602</v>
      </c>
      <c r="E5647" t="s">
        <v>26801</v>
      </c>
      <c r="F5647" t="s">
        <v>26801</v>
      </c>
      <c r="G5647" s="1">
        <v>39356</v>
      </c>
      <c r="I5647" t="s">
        <v>26935</v>
      </c>
      <c r="J5647" t="s">
        <v>28785</v>
      </c>
      <c r="K5647" t="s">
        <v>28786</v>
      </c>
      <c r="L5647" t="s">
        <v>28787</v>
      </c>
      <c r="M5647" t="s">
        <v>28788</v>
      </c>
      <c r="N5647" t="s">
        <v>28789</v>
      </c>
      <c r="O5647" t="s">
        <v>26</v>
      </c>
      <c r="R5647">
        <v>115</v>
      </c>
      <c r="T5647" t="s">
        <v>28790</v>
      </c>
    </row>
    <row r="5648" spans="1:20">
      <c r="A5648">
        <v>3412341</v>
      </c>
      <c r="B5648" t="s">
        <v>28791</v>
      </c>
      <c r="C5648" t="str">
        <f>"9780774803663"</f>
        <v>9780774803663</v>
      </c>
      <c r="D5648" t="str">
        <f>"9780774854597"</f>
        <v>9780774854597</v>
      </c>
      <c r="E5648" t="s">
        <v>26801</v>
      </c>
      <c r="F5648" t="s">
        <v>26801</v>
      </c>
      <c r="G5648" s="1">
        <v>33239</v>
      </c>
      <c r="J5648" t="s">
        <v>28046</v>
      </c>
      <c r="K5648" t="s">
        <v>4081</v>
      </c>
      <c r="L5648" t="s">
        <v>28792</v>
      </c>
      <c r="M5648">
        <v>495.1</v>
      </c>
      <c r="N5648" t="s">
        <v>28793</v>
      </c>
      <c r="O5648" t="s">
        <v>26</v>
      </c>
      <c r="R5648">
        <v>99</v>
      </c>
      <c r="T5648" t="s">
        <v>28794</v>
      </c>
    </row>
    <row r="5649" spans="1:20">
      <c r="A5649">
        <v>3412342</v>
      </c>
      <c r="B5649" t="s">
        <v>28795</v>
      </c>
      <c r="C5649" t="str">
        <f>"9780774807128"</f>
        <v>9780774807128</v>
      </c>
      <c r="D5649" t="str">
        <f>"9780774852289"</f>
        <v>9780774852289</v>
      </c>
      <c r="E5649" t="s">
        <v>26801</v>
      </c>
      <c r="F5649" t="s">
        <v>26801</v>
      </c>
      <c r="G5649" s="1">
        <v>36557</v>
      </c>
      <c r="J5649" t="s">
        <v>28796</v>
      </c>
      <c r="K5649" t="s">
        <v>28797</v>
      </c>
      <c r="L5649" t="s">
        <v>28798</v>
      </c>
      <c r="M5649">
        <v>333.91300000000001</v>
      </c>
      <c r="N5649" t="s">
        <v>28799</v>
      </c>
      <c r="O5649" t="s">
        <v>26</v>
      </c>
      <c r="R5649">
        <v>115</v>
      </c>
      <c r="T5649" t="s">
        <v>28800</v>
      </c>
    </row>
    <row r="5650" spans="1:20">
      <c r="A5650">
        <v>3412343</v>
      </c>
      <c r="B5650" t="s">
        <v>28801</v>
      </c>
      <c r="C5650" t="str">
        <f>"9780774806909"</f>
        <v>9780774806909</v>
      </c>
      <c r="D5650" t="str">
        <f>"9780774852388"</f>
        <v>9780774852388</v>
      </c>
      <c r="E5650" t="s">
        <v>26801</v>
      </c>
      <c r="F5650" t="s">
        <v>26801</v>
      </c>
      <c r="G5650" s="1">
        <v>36114</v>
      </c>
      <c r="J5650" t="s">
        <v>28802</v>
      </c>
      <c r="K5650" t="s">
        <v>28803</v>
      </c>
      <c r="L5650" t="s">
        <v>28804</v>
      </c>
      <c r="M5650">
        <v>333.95159999999998</v>
      </c>
      <c r="N5650" t="s">
        <v>28805</v>
      </c>
      <c r="O5650" t="s">
        <v>26</v>
      </c>
      <c r="R5650">
        <v>99</v>
      </c>
      <c r="T5650" t="s">
        <v>28806</v>
      </c>
    </row>
    <row r="5651" spans="1:20">
      <c r="A5651">
        <v>3412344</v>
      </c>
      <c r="B5651" t="s">
        <v>28807</v>
      </c>
      <c r="C5651" t="str">
        <f>"9780774806329"</f>
        <v>9780774806329</v>
      </c>
      <c r="D5651" t="str">
        <f>"9780774853200"</f>
        <v>9780774853200</v>
      </c>
      <c r="E5651" t="s">
        <v>26801</v>
      </c>
      <c r="F5651" t="s">
        <v>26801</v>
      </c>
      <c r="G5651" s="1">
        <v>36039</v>
      </c>
      <c r="I5651" t="s">
        <v>27680</v>
      </c>
      <c r="J5651" t="s">
        <v>28808</v>
      </c>
      <c r="K5651" t="s">
        <v>291</v>
      </c>
      <c r="L5651" t="s">
        <v>28809</v>
      </c>
      <c r="M5651">
        <v>930.1</v>
      </c>
      <c r="N5651" t="s">
        <v>28810</v>
      </c>
      <c r="O5651" t="s">
        <v>26</v>
      </c>
      <c r="R5651">
        <v>115</v>
      </c>
      <c r="T5651" t="s">
        <v>28811</v>
      </c>
    </row>
    <row r="5652" spans="1:20">
      <c r="A5652">
        <v>3412345</v>
      </c>
      <c r="B5652" t="s">
        <v>28812</v>
      </c>
      <c r="C5652" t="str">
        <f>"9780774805551"</f>
        <v>9780774805551</v>
      </c>
      <c r="D5652" t="str">
        <f>"9780774852432"</f>
        <v>9780774852432</v>
      </c>
      <c r="E5652" t="s">
        <v>26801</v>
      </c>
      <c r="F5652" t="s">
        <v>26801</v>
      </c>
      <c r="G5652" s="1">
        <v>35339</v>
      </c>
      <c r="J5652" t="s">
        <v>28813</v>
      </c>
      <c r="K5652" t="s">
        <v>291</v>
      </c>
      <c r="L5652" t="s">
        <v>28814</v>
      </c>
      <c r="M5652" t="s">
        <v>28333</v>
      </c>
      <c r="N5652" t="s">
        <v>28815</v>
      </c>
      <c r="O5652" t="s">
        <v>26</v>
      </c>
      <c r="R5652">
        <v>99</v>
      </c>
      <c r="T5652" t="s">
        <v>28816</v>
      </c>
    </row>
    <row r="5653" spans="1:20">
      <c r="A5653">
        <v>3412346</v>
      </c>
      <c r="B5653" t="s">
        <v>28817</v>
      </c>
      <c r="C5653" t="str">
        <f>"9780774808170"</f>
        <v>9780774808170</v>
      </c>
      <c r="D5653" t="str">
        <f>"9780774852029"</f>
        <v>9780774852029</v>
      </c>
      <c r="E5653" t="s">
        <v>26801</v>
      </c>
      <c r="F5653" t="s">
        <v>26801</v>
      </c>
      <c r="G5653" s="1">
        <v>39356</v>
      </c>
      <c r="I5653" t="s">
        <v>27589</v>
      </c>
      <c r="J5653" t="s">
        <v>28818</v>
      </c>
      <c r="K5653" t="s">
        <v>525</v>
      </c>
      <c r="L5653" t="s">
        <v>28819</v>
      </c>
      <c r="M5653">
        <v>341</v>
      </c>
      <c r="N5653" t="s">
        <v>28501</v>
      </c>
      <c r="O5653" t="s">
        <v>26</v>
      </c>
      <c r="R5653">
        <v>180</v>
      </c>
      <c r="T5653" t="s">
        <v>28820</v>
      </c>
    </row>
    <row r="5654" spans="1:20">
      <c r="A5654">
        <v>3412347</v>
      </c>
      <c r="B5654" t="s">
        <v>28821</v>
      </c>
      <c r="C5654" t="str">
        <f>"9780774805216"</f>
        <v>9780774805216</v>
      </c>
      <c r="D5654" t="str">
        <f>"9780774853040"</f>
        <v>9780774853040</v>
      </c>
      <c r="E5654" t="s">
        <v>26801</v>
      </c>
      <c r="F5654" t="s">
        <v>26801</v>
      </c>
      <c r="G5654" s="1">
        <v>34700</v>
      </c>
      <c r="J5654" t="s">
        <v>28822</v>
      </c>
      <c r="K5654" t="s">
        <v>550</v>
      </c>
      <c r="L5654" t="s">
        <v>28823</v>
      </c>
      <c r="M5654">
        <v>301</v>
      </c>
      <c r="N5654" t="s">
        <v>28824</v>
      </c>
      <c r="O5654" t="s">
        <v>26</v>
      </c>
      <c r="R5654">
        <v>99</v>
      </c>
      <c r="T5654" t="s">
        <v>28825</v>
      </c>
    </row>
    <row r="5655" spans="1:20">
      <c r="A5655">
        <v>3412348</v>
      </c>
      <c r="B5655" t="s">
        <v>28826</v>
      </c>
      <c r="C5655" t="str">
        <f>"9780774808644"</f>
        <v>9780774808644</v>
      </c>
      <c r="D5655" t="str">
        <f>"9780774850117"</f>
        <v>9780774850117</v>
      </c>
      <c r="E5655" t="s">
        <v>26801</v>
      </c>
      <c r="F5655" t="s">
        <v>26801</v>
      </c>
      <c r="G5655" s="1">
        <v>39356</v>
      </c>
      <c r="J5655" t="s">
        <v>28827</v>
      </c>
      <c r="K5655" t="s">
        <v>6444</v>
      </c>
      <c r="L5655" t="s">
        <v>28828</v>
      </c>
      <c r="M5655" t="s">
        <v>28829</v>
      </c>
      <c r="N5655" t="s">
        <v>28830</v>
      </c>
      <c r="O5655" t="s">
        <v>26</v>
      </c>
      <c r="R5655">
        <v>115</v>
      </c>
      <c r="T5655" t="s">
        <v>28831</v>
      </c>
    </row>
    <row r="5656" spans="1:20">
      <c r="A5656">
        <v>3412349</v>
      </c>
      <c r="B5656" t="s">
        <v>28832</v>
      </c>
      <c r="C5656" t="str">
        <f>"9780774807104"</f>
        <v>9780774807104</v>
      </c>
      <c r="D5656" t="str">
        <f>"9780774852210"</f>
        <v>9780774852210</v>
      </c>
      <c r="E5656" t="s">
        <v>26801</v>
      </c>
      <c r="F5656" t="s">
        <v>26801</v>
      </c>
      <c r="G5656" s="1">
        <v>36557</v>
      </c>
      <c r="J5656" t="s">
        <v>2974</v>
      </c>
      <c r="K5656" t="s">
        <v>291</v>
      </c>
      <c r="L5656" t="s">
        <v>28833</v>
      </c>
      <c r="M5656">
        <v>971</v>
      </c>
      <c r="N5656" t="s">
        <v>28834</v>
      </c>
      <c r="O5656" t="s">
        <v>26</v>
      </c>
      <c r="R5656">
        <v>99</v>
      </c>
      <c r="T5656" t="s">
        <v>28835</v>
      </c>
    </row>
    <row r="5657" spans="1:20">
      <c r="A5657">
        <v>3412350</v>
      </c>
      <c r="B5657" t="s">
        <v>28836</v>
      </c>
      <c r="C5657" t="str">
        <f>"9780774811729"</f>
        <v>9780774811729</v>
      </c>
      <c r="D5657" t="str">
        <f>"9780774853668"</f>
        <v>9780774853668</v>
      </c>
      <c r="E5657" t="s">
        <v>26801</v>
      </c>
      <c r="F5657" t="s">
        <v>26801</v>
      </c>
      <c r="G5657" s="1">
        <v>38899</v>
      </c>
      <c r="J5657" t="s">
        <v>28837</v>
      </c>
      <c r="K5657" t="s">
        <v>1530</v>
      </c>
      <c r="L5657" t="s">
        <v>28838</v>
      </c>
      <c r="M5657">
        <v>306.08999999999997</v>
      </c>
      <c r="N5657" t="s">
        <v>28839</v>
      </c>
      <c r="O5657" t="s">
        <v>26</v>
      </c>
      <c r="R5657">
        <v>115</v>
      </c>
      <c r="T5657" t="s">
        <v>28840</v>
      </c>
    </row>
    <row r="5658" spans="1:20">
      <c r="A5658">
        <v>3412351</v>
      </c>
      <c r="B5658" t="s">
        <v>28841</v>
      </c>
      <c r="C5658" t="str">
        <f>"9780774806565"</f>
        <v>9780774806565</v>
      </c>
      <c r="D5658" t="str">
        <f>"9780774853118"</f>
        <v>9780774853118</v>
      </c>
      <c r="E5658" t="s">
        <v>26801</v>
      </c>
      <c r="F5658" t="s">
        <v>26801</v>
      </c>
      <c r="G5658" s="1">
        <v>36557</v>
      </c>
      <c r="J5658" t="s">
        <v>28842</v>
      </c>
      <c r="K5658" t="s">
        <v>291</v>
      </c>
      <c r="L5658" t="s">
        <v>28843</v>
      </c>
      <c r="M5658">
        <v>971.2</v>
      </c>
      <c r="N5658" t="s">
        <v>28844</v>
      </c>
      <c r="O5658" t="s">
        <v>26</v>
      </c>
      <c r="R5658">
        <v>99</v>
      </c>
      <c r="T5658" t="s">
        <v>28845</v>
      </c>
    </row>
    <row r="5659" spans="1:20">
      <c r="A5659">
        <v>3412352</v>
      </c>
      <c r="B5659" t="s">
        <v>28846</v>
      </c>
      <c r="C5659" t="str">
        <f>"9780774804431"</f>
        <v>9780774804431</v>
      </c>
      <c r="D5659" t="str">
        <f>"9780774854641"</f>
        <v>9780774854641</v>
      </c>
      <c r="E5659" t="s">
        <v>26801</v>
      </c>
      <c r="F5659" t="s">
        <v>26801</v>
      </c>
      <c r="G5659" s="1">
        <v>33970</v>
      </c>
      <c r="J5659" t="s">
        <v>15087</v>
      </c>
      <c r="K5659" t="s">
        <v>305</v>
      </c>
      <c r="L5659" t="s">
        <v>28847</v>
      </c>
      <c r="M5659">
        <v>387.5</v>
      </c>
      <c r="N5659" t="s">
        <v>28848</v>
      </c>
      <c r="O5659" t="s">
        <v>26</v>
      </c>
      <c r="R5659">
        <v>99</v>
      </c>
      <c r="T5659" t="s">
        <v>28849</v>
      </c>
    </row>
    <row r="5660" spans="1:20">
      <c r="A5660">
        <v>3412353</v>
      </c>
      <c r="B5660" t="s">
        <v>28850</v>
      </c>
      <c r="C5660" t="str">
        <f>"9780774806770"</f>
        <v>9780774806770</v>
      </c>
      <c r="D5660" t="str">
        <f>"9780774852333"</f>
        <v>9780774852333</v>
      </c>
      <c r="E5660" t="s">
        <v>26801</v>
      </c>
      <c r="F5660" t="s">
        <v>26801</v>
      </c>
      <c r="G5660" s="1">
        <v>36081</v>
      </c>
      <c r="J5660" t="s">
        <v>28851</v>
      </c>
      <c r="K5660" t="s">
        <v>28852</v>
      </c>
      <c r="L5660" t="s">
        <v>28853</v>
      </c>
      <c r="M5660">
        <v>362.108</v>
      </c>
      <c r="N5660" t="s">
        <v>28854</v>
      </c>
      <c r="O5660" t="s">
        <v>26</v>
      </c>
      <c r="R5660">
        <v>99</v>
      </c>
      <c r="T5660" t="s">
        <v>28855</v>
      </c>
    </row>
    <row r="5661" spans="1:20">
      <c r="A5661">
        <v>3412354</v>
      </c>
      <c r="B5661" t="s">
        <v>28856</v>
      </c>
      <c r="C5661" t="str">
        <f>"9780774801133"</f>
        <v>9780774801133</v>
      </c>
      <c r="D5661" t="str">
        <f>"9780774854016"</f>
        <v>9780774854016</v>
      </c>
      <c r="E5661" t="s">
        <v>26801</v>
      </c>
      <c r="F5661" t="s">
        <v>26801</v>
      </c>
      <c r="G5661" s="1">
        <v>29495</v>
      </c>
      <c r="J5661" t="s">
        <v>28857</v>
      </c>
      <c r="K5661" t="s">
        <v>291</v>
      </c>
      <c r="L5661" t="s">
        <v>28858</v>
      </c>
      <c r="M5661">
        <v>971</v>
      </c>
      <c r="N5661" t="s">
        <v>28859</v>
      </c>
      <c r="O5661" t="s">
        <v>26</v>
      </c>
      <c r="R5661">
        <v>99</v>
      </c>
      <c r="T5661" t="s">
        <v>28860</v>
      </c>
    </row>
    <row r="5662" spans="1:20">
      <c r="A5662">
        <v>3412355</v>
      </c>
      <c r="B5662" t="s">
        <v>28861</v>
      </c>
      <c r="C5662" t="str">
        <f>"9780774812870"</f>
        <v>9780774812870</v>
      </c>
      <c r="D5662" t="str">
        <f>"9780774856010"</f>
        <v>9780774856010</v>
      </c>
      <c r="E5662" t="s">
        <v>26801</v>
      </c>
      <c r="F5662" t="s">
        <v>26801</v>
      </c>
      <c r="G5662" s="1">
        <v>39223</v>
      </c>
      <c r="I5662" t="s">
        <v>26935</v>
      </c>
      <c r="J5662" t="s">
        <v>28862</v>
      </c>
      <c r="K5662" t="s">
        <v>525</v>
      </c>
      <c r="L5662" t="s">
        <v>28863</v>
      </c>
      <c r="M5662" t="s">
        <v>28864</v>
      </c>
      <c r="N5662" t="s">
        <v>28865</v>
      </c>
      <c r="O5662" t="s">
        <v>26</v>
      </c>
      <c r="R5662">
        <v>99</v>
      </c>
      <c r="T5662" t="s">
        <v>28866</v>
      </c>
    </row>
    <row r="5663" spans="1:20">
      <c r="A5663">
        <v>3412356</v>
      </c>
      <c r="B5663" t="s">
        <v>28867</v>
      </c>
      <c r="C5663" t="str">
        <f>"9780774813952"</f>
        <v>9780774813952</v>
      </c>
      <c r="D5663" t="str">
        <f>"9780774855822"</f>
        <v>9780774855822</v>
      </c>
      <c r="E5663" t="s">
        <v>26801</v>
      </c>
      <c r="F5663" t="s">
        <v>26801</v>
      </c>
      <c r="G5663" s="1">
        <v>39393</v>
      </c>
      <c r="I5663" t="s">
        <v>26935</v>
      </c>
      <c r="J5663" t="s">
        <v>28868</v>
      </c>
      <c r="K5663" t="s">
        <v>263</v>
      </c>
      <c r="L5663" t="s">
        <v>28869</v>
      </c>
      <c r="M5663" t="s">
        <v>28870</v>
      </c>
      <c r="N5663" t="s">
        <v>28871</v>
      </c>
      <c r="O5663" t="s">
        <v>26</v>
      </c>
      <c r="R5663">
        <v>99</v>
      </c>
      <c r="T5663" t="s">
        <v>28872</v>
      </c>
    </row>
    <row r="5664" spans="1:20">
      <c r="A5664">
        <v>3412357</v>
      </c>
      <c r="B5664" t="s">
        <v>28873</v>
      </c>
      <c r="C5664" t="str">
        <f>"9780774813747"</f>
        <v>9780774813747</v>
      </c>
      <c r="D5664" t="str">
        <f>"9780774855716"</f>
        <v>9780774855716</v>
      </c>
      <c r="E5664" t="s">
        <v>26801</v>
      </c>
      <c r="F5664" t="s">
        <v>26801</v>
      </c>
      <c r="G5664" s="1">
        <v>39212</v>
      </c>
      <c r="I5664" t="s">
        <v>28874</v>
      </c>
      <c r="J5664" t="s">
        <v>28875</v>
      </c>
      <c r="K5664" t="s">
        <v>257</v>
      </c>
      <c r="L5664" t="s">
        <v>28876</v>
      </c>
      <c r="M5664">
        <v>371.78199999999998</v>
      </c>
      <c r="N5664" t="s">
        <v>28877</v>
      </c>
      <c r="O5664" t="s">
        <v>26</v>
      </c>
      <c r="R5664">
        <v>99</v>
      </c>
      <c r="T5664" t="s">
        <v>28878</v>
      </c>
    </row>
    <row r="5665" spans="1:20">
      <c r="A5665">
        <v>3412358</v>
      </c>
      <c r="B5665" t="s">
        <v>28879</v>
      </c>
      <c r="C5665" t="str">
        <f>"9780774812306"</f>
        <v>9780774812306</v>
      </c>
      <c r="D5665" t="str">
        <f>"9780774855006"</f>
        <v>9780774855006</v>
      </c>
      <c r="E5665" t="s">
        <v>26801</v>
      </c>
      <c r="F5665" t="s">
        <v>26801</v>
      </c>
      <c r="G5665" s="1">
        <v>39027</v>
      </c>
      <c r="J5665" t="s">
        <v>28880</v>
      </c>
      <c r="K5665" t="s">
        <v>2982</v>
      </c>
      <c r="L5665" t="s">
        <v>28881</v>
      </c>
      <c r="M5665" t="s">
        <v>28882</v>
      </c>
      <c r="N5665" t="s">
        <v>28883</v>
      </c>
      <c r="O5665" t="s">
        <v>26</v>
      </c>
      <c r="R5665">
        <v>99</v>
      </c>
      <c r="T5665" t="s">
        <v>28884</v>
      </c>
    </row>
    <row r="5666" spans="1:20">
      <c r="A5666">
        <v>3412359</v>
      </c>
      <c r="B5666" t="s">
        <v>28885</v>
      </c>
      <c r="C5666" t="str">
        <f>"9780774810296"</f>
        <v>9780774810296</v>
      </c>
      <c r="D5666" t="str">
        <f>"9780774850926"</f>
        <v>9780774850926</v>
      </c>
      <c r="E5666" t="s">
        <v>26801</v>
      </c>
      <c r="F5666" t="s">
        <v>26801</v>
      </c>
      <c r="G5666" s="1">
        <v>39356</v>
      </c>
      <c r="J5666" t="s">
        <v>28886</v>
      </c>
      <c r="K5666" t="s">
        <v>291</v>
      </c>
      <c r="L5666" t="s">
        <v>28887</v>
      </c>
      <c r="M5666">
        <v>971.3</v>
      </c>
      <c r="N5666" t="s">
        <v>28888</v>
      </c>
      <c r="O5666" t="s">
        <v>26</v>
      </c>
      <c r="R5666">
        <v>99</v>
      </c>
      <c r="T5666" t="s">
        <v>28889</v>
      </c>
    </row>
    <row r="5667" spans="1:20">
      <c r="A5667">
        <v>3412360</v>
      </c>
      <c r="B5667" t="s">
        <v>28890</v>
      </c>
      <c r="C5667" t="str">
        <f>"9780774810661"</f>
        <v>9780774810661</v>
      </c>
      <c r="D5667" t="str">
        <f>"9780774851596"</f>
        <v>9780774851596</v>
      </c>
      <c r="E5667" t="s">
        <v>26801</v>
      </c>
      <c r="F5667" t="s">
        <v>26801</v>
      </c>
      <c r="G5667" s="1">
        <v>38434</v>
      </c>
      <c r="J5667" t="s">
        <v>28891</v>
      </c>
      <c r="K5667" t="s">
        <v>155</v>
      </c>
      <c r="L5667" t="s">
        <v>28892</v>
      </c>
      <c r="M5667" t="s">
        <v>28893</v>
      </c>
      <c r="N5667" t="s">
        <v>28894</v>
      </c>
      <c r="O5667" t="s">
        <v>26</v>
      </c>
      <c r="R5667">
        <v>115</v>
      </c>
      <c r="T5667" t="s">
        <v>28895</v>
      </c>
    </row>
    <row r="5668" spans="1:20">
      <c r="A5668">
        <v>3412361</v>
      </c>
      <c r="B5668" t="s">
        <v>28896</v>
      </c>
      <c r="C5668" t="str">
        <f>"9780774812016"</f>
        <v>9780774812016</v>
      </c>
      <c r="D5668" t="str">
        <f>"9780774855310"</f>
        <v>9780774855310</v>
      </c>
      <c r="E5668" t="s">
        <v>26801</v>
      </c>
      <c r="F5668" t="s">
        <v>26801</v>
      </c>
      <c r="G5668" s="1">
        <v>38852</v>
      </c>
      <c r="K5668" t="s">
        <v>263</v>
      </c>
      <c r="L5668" t="s">
        <v>28897</v>
      </c>
      <c r="M5668">
        <v>305.42</v>
      </c>
      <c r="N5668" t="s">
        <v>28898</v>
      </c>
      <c r="O5668" t="s">
        <v>26</v>
      </c>
      <c r="R5668">
        <v>99</v>
      </c>
      <c r="T5668" t="s">
        <v>28899</v>
      </c>
    </row>
    <row r="5669" spans="1:20">
      <c r="A5669">
        <v>3412362</v>
      </c>
      <c r="B5669" t="s">
        <v>28900</v>
      </c>
      <c r="C5669" t="str">
        <f>"9780774813235"</f>
        <v>9780774813235</v>
      </c>
      <c r="D5669" t="str">
        <f>"9780774855815"</f>
        <v>9780774855815</v>
      </c>
      <c r="E5669" t="s">
        <v>26801</v>
      </c>
      <c r="F5669" t="s">
        <v>26801</v>
      </c>
      <c r="G5669" s="1">
        <v>39217</v>
      </c>
      <c r="J5669" t="s">
        <v>28901</v>
      </c>
      <c r="K5669" t="s">
        <v>291</v>
      </c>
      <c r="L5669" t="s">
        <v>28902</v>
      </c>
      <c r="M5669" t="s">
        <v>28903</v>
      </c>
      <c r="N5669" t="s">
        <v>28904</v>
      </c>
      <c r="O5669" t="s">
        <v>26</v>
      </c>
      <c r="R5669">
        <v>99</v>
      </c>
      <c r="T5669" t="s">
        <v>28905</v>
      </c>
    </row>
    <row r="5670" spans="1:20">
      <c r="A5670">
        <v>3412363</v>
      </c>
      <c r="B5670" t="s">
        <v>28906</v>
      </c>
      <c r="C5670" t="str">
        <f>"9780774813686"</f>
        <v>9780774813686</v>
      </c>
      <c r="D5670" t="str">
        <f>"9780774854009"</f>
        <v>9780774854009</v>
      </c>
      <c r="E5670" t="s">
        <v>26801</v>
      </c>
      <c r="F5670" t="s">
        <v>26801</v>
      </c>
      <c r="G5670" s="1">
        <v>39217</v>
      </c>
      <c r="J5670" t="s">
        <v>20439</v>
      </c>
      <c r="K5670" t="s">
        <v>2963</v>
      </c>
      <c r="L5670" t="s">
        <v>28907</v>
      </c>
      <c r="M5670">
        <v>909.82</v>
      </c>
      <c r="N5670" t="s">
        <v>28908</v>
      </c>
      <c r="O5670" t="s">
        <v>26</v>
      </c>
      <c r="R5670">
        <v>99</v>
      </c>
      <c r="T5670" t="s">
        <v>28909</v>
      </c>
    </row>
    <row r="5671" spans="1:20">
      <c r="A5671">
        <v>3412364</v>
      </c>
      <c r="B5671" t="s">
        <v>28910</v>
      </c>
      <c r="C5671" t="str">
        <f>"9780774812566"</f>
        <v>9780774812566</v>
      </c>
      <c r="D5671" t="str">
        <f>"9780774855051"</f>
        <v>9780774855051</v>
      </c>
      <c r="E5671" t="s">
        <v>26801</v>
      </c>
      <c r="F5671" t="s">
        <v>26801</v>
      </c>
      <c r="G5671" s="1">
        <v>38791</v>
      </c>
      <c r="I5671" t="s">
        <v>26924</v>
      </c>
      <c r="J5671" t="s">
        <v>26868</v>
      </c>
      <c r="K5671" t="s">
        <v>291</v>
      </c>
      <c r="L5671" t="s">
        <v>28911</v>
      </c>
      <c r="M5671" t="s">
        <v>28912</v>
      </c>
      <c r="N5671" t="s">
        <v>28913</v>
      </c>
      <c r="O5671" t="s">
        <v>26</v>
      </c>
      <c r="R5671">
        <v>99</v>
      </c>
      <c r="T5671" t="s">
        <v>28914</v>
      </c>
    </row>
    <row r="5672" spans="1:20">
      <c r="A5672">
        <v>3412365</v>
      </c>
      <c r="B5672" t="s">
        <v>28915</v>
      </c>
      <c r="C5672" t="str">
        <f>"9780774812788"</f>
        <v>9780774812788</v>
      </c>
      <c r="D5672" t="str">
        <f>"9780774855013"</f>
        <v>9780774855013</v>
      </c>
      <c r="E5672" t="s">
        <v>26801</v>
      </c>
      <c r="F5672" t="s">
        <v>26801</v>
      </c>
      <c r="G5672" s="1">
        <v>39022</v>
      </c>
      <c r="J5672" t="s">
        <v>28916</v>
      </c>
      <c r="K5672" t="s">
        <v>473</v>
      </c>
      <c r="L5672" t="s">
        <v>28917</v>
      </c>
      <c r="M5672" t="s">
        <v>28918</v>
      </c>
      <c r="N5672" t="s">
        <v>28919</v>
      </c>
      <c r="O5672" t="s">
        <v>26</v>
      </c>
      <c r="R5672">
        <v>99</v>
      </c>
      <c r="T5672" t="s">
        <v>28920</v>
      </c>
    </row>
    <row r="5673" spans="1:20">
      <c r="A5673">
        <v>3412366</v>
      </c>
      <c r="B5673" t="s">
        <v>28921</v>
      </c>
      <c r="C5673" t="str">
        <f>"9780774812856"</f>
        <v>9780774812856</v>
      </c>
      <c r="D5673" t="str">
        <f>"9780774855242"</f>
        <v>9780774855242</v>
      </c>
      <c r="E5673" t="s">
        <v>26801</v>
      </c>
      <c r="F5673" t="s">
        <v>26801</v>
      </c>
      <c r="G5673" s="1">
        <v>38812</v>
      </c>
      <c r="J5673" t="s">
        <v>28922</v>
      </c>
      <c r="K5673" t="s">
        <v>263</v>
      </c>
      <c r="L5673" t="s">
        <v>28923</v>
      </c>
      <c r="M5673">
        <v>305.42095490999998</v>
      </c>
      <c r="N5673" t="s">
        <v>28924</v>
      </c>
      <c r="O5673" t="s">
        <v>26</v>
      </c>
      <c r="R5673">
        <v>99</v>
      </c>
      <c r="T5673" t="s">
        <v>28925</v>
      </c>
    </row>
    <row r="5674" spans="1:20">
      <c r="A5674">
        <v>3412367</v>
      </c>
      <c r="B5674" t="s">
        <v>28926</v>
      </c>
      <c r="C5674" t="str">
        <f>"9780774813419"</f>
        <v>9780774813419</v>
      </c>
      <c r="D5674" t="str">
        <f>"9780774855914"</f>
        <v>9780774855914</v>
      </c>
      <c r="E5674" t="s">
        <v>26801</v>
      </c>
      <c r="F5674" t="s">
        <v>26801</v>
      </c>
      <c r="G5674" s="1">
        <v>39223</v>
      </c>
      <c r="J5674" t="s">
        <v>28483</v>
      </c>
      <c r="K5674" t="s">
        <v>473</v>
      </c>
      <c r="L5674" t="s">
        <v>28927</v>
      </c>
      <c r="M5674" t="s">
        <v>28928</v>
      </c>
      <c r="N5674" t="s">
        <v>28929</v>
      </c>
      <c r="O5674" t="s">
        <v>26</v>
      </c>
      <c r="R5674">
        <v>99</v>
      </c>
      <c r="T5674" t="s">
        <v>28930</v>
      </c>
    </row>
    <row r="5675" spans="1:20">
      <c r="A5675">
        <v>3412368</v>
      </c>
      <c r="B5675" t="s">
        <v>28931</v>
      </c>
      <c r="C5675" t="str">
        <f>"9780774812351"</f>
        <v>9780774812351</v>
      </c>
      <c r="D5675" t="str">
        <f>"9780774854993"</f>
        <v>9780774854993</v>
      </c>
      <c r="E5675" t="s">
        <v>26801</v>
      </c>
      <c r="F5675" t="s">
        <v>26801</v>
      </c>
      <c r="G5675" s="1">
        <v>38846</v>
      </c>
      <c r="I5675" t="s">
        <v>26935</v>
      </c>
      <c r="J5675" t="s">
        <v>28932</v>
      </c>
      <c r="K5675" t="s">
        <v>525</v>
      </c>
      <c r="L5675" t="s">
        <v>28933</v>
      </c>
      <c r="M5675" t="s">
        <v>28934</v>
      </c>
      <c r="N5675" t="s">
        <v>28935</v>
      </c>
      <c r="O5675" t="s">
        <v>26</v>
      </c>
      <c r="R5675">
        <v>115</v>
      </c>
      <c r="T5675" t="s">
        <v>28936</v>
      </c>
    </row>
    <row r="5676" spans="1:20">
      <c r="A5676">
        <v>3412369</v>
      </c>
      <c r="B5676" t="s">
        <v>28937</v>
      </c>
      <c r="C5676" t="str">
        <f>"9780774812580"</f>
        <v>9780774812580</v>
      </c>
      <c r="D5676" t="str">
        <f>"9780774855068"</f>
        <v>9780774855068</v>
      </c>
      <c r="E5676" t="s">
        <v>26801</v>
      </c>
      <c r="F5676" t="s">
        <v>26801</v>
      </c>
      <c r="G5676" s="1">
        <v>38852</v>
      </c>
      <c r="J5676" t="s">
        <v>28938</v>
      </c>
      <c r="K5676" t="s">
        <v>11294</v>
      </c>
      <c r="L5676" t="s">
        <v>28939</v>
      </c>
      <c r="M5676" t="s">
        <v>28940</v>
      </c>
      <c r="N5676" t="s">
        <v>28941</v>
      </c>
      <c r="O5676" t="s">
        <v>26</v>
      </c>
      <c r="R5676">
        <v>99</v>
      </c>
      <c r="T5676" t="s">
        <v>28942</v>
      </c>
    </row>
    <row r="5677" spans="1:20">
      <c r="A5677">
        <v>3412370</v>
      </c>
      <c r="B5677" t="s">
        <v>28943</v>
      </c>
      <c r="C5677" t="str">
        <f>"9780774813495"</f>
        <v>9780774813495</v>
      </c>
      <c r="D5677" t="str">
        <f>"9780774857208"</f>
        <v>9780774857208</v>
      </c>
      <c r="E5677" t="s">
        <v>26801</v>
      </c>
      <c r="F5677" t="s">
        <v>26801</v>
      </c>
      <c r="G5677" s="1">
        <v>39044</v>
      </c>
      <c r="J5677" t="s">
        <v>28041</v>
      </c>
      <c r="K5677" t="s">
        <v>291</v>
      </c>
      <c r="L5677" t="s">
        <v>28944</v>
      </c>
      <c r="M5677">
        <v>971.00496999999996</v>
      </c>
      <c r="N5677" t="s">
        <v>28945</v>
      </c>
      <c r="O5677" t="s">
        <v>26</v>
      </c>
      <c r="R5677">
        <v>99</v>
      </c>
      <c r="T5677" t="s">
        <v>28946</v>
      </c>
    </row>
    <row r="5678" spans="1:20">
      <c r="A5678">
        <v>3412371</v>
      </c>
      <c r="B5678" t="s">
        <v>28947</v>
      </c>
      <c r="C5678" t="str">
        <f>"9780774813297"</f>
        <v>9780774813297</v>
      </c>
      <c r="D5678" t="str">
        <f>"9780774855709"</f>
        <v>9780774855709</v>
      </c>
      <c r="E5678" t="s">
        <v>26801</v>
      </c>
      <c r="F5678" t="s">
        <v>26801</v>
      </c>
      <c r="G5678" s="1">
        <v>39364</v>
      </c>
      <c r="J5678" t="s">
        <v>28948</v>
      </c>
      <c r="K5678" t="s">
        <v>1028</v>
      </c>
      <c r="L5678" t="s">
        <v>28949</v>
      </c>
      <c r="M5678" t="s">
        <v>28950</v>
      </c>
      <c r="N5678" t="s">
        <v>28951</v>
      </c>
      <c r="O5678" t="s">
        <v>26</v>
      </c>
      <c r="R5678">
        <v>99</v>
      </c>
      <c r="T5678" t="s">
        <v>28952</v>
      </c>
    </row>
    <row r="5679" spans="1:20">
      <c r="A5679">
        <v>3412372</v>
      </c>
      <c r="B5679" t="s">
        <v>28953</v>
      </c>
      <c r="C5679" t="str">
        <f>"9780774812511"</f>
        <v>9780774812511</v>
      </c>
      <c r="D5679" t="str">
        <f>"9780774855419"</f>
        <v>9780774855419</v>
      </c>
      <c r="E5679" t="s">
        <v>26801</v>
      </c>
      <c r="F5679" t="s">
        <v>26801</v>
      </c>
      <c r="G5679" s="1">
        <v>38852</v>
      </c>
      <c r="I5679" t="s">
        <v>28954</v>
      </c>
      <c r="J5679" t="s">
        <v>19963</v>
      </c>
      <c r="K5679" t="s">
        <v>416</v>
      </c>
      <c r="L5679" t="s">
        <v>28955</v>
      </c>
      <c r="M5679" t="s">
        <v>28956</v>
      </c>
      <c r="N5679" t="s">
        <v>28957</v>
      </c>
      <c r="O5679" t="s">
        <v>26</v>
      </c>
      <c r="R5679">
        <v>99</v>
      </c>
      <c r="T5679" t="s">
        <v>28958</v>
      </c>
    </row>
    <row r="5680" spans="1:20">
      <c r="A5680">
        <v>3412374</v>
      </c>
      <c r="B5680" t="s">
        <v>28959</v>
      </c>
      <c r="C5680" t="str">
        <f>"9780774812917"</f>
        <v>9780774812917</v>
      </c>
      <c r="D5680" t="str">
        <f>"9780774855532"</f>
        <v>9780774855532</v>
      </c>
      <c r="E5680" t="s">
        <v>26801</v>
      </c>
      <c r="F5680" t="s">
        <v>26801</v>
      </c>
      <c r="G5680" s="1">
        <v>39113</v>
      </c>
      <c r="I5680" t="s">
        <v>28960</v>
      </c>
      <c r="J5680" t="s">
        <v>28961</v>
      </c>
      <c r="K5680" t="s">
        <v>3149</v>
      </c>
      <c r="L5680" t="s">
        <v>28962</v>
      </c>
      <c r="M5680" t="s">
        <v>28963</v>
      </c>
      <c r="N5680" t="s">
        <v>28964</v>
      </c>
      <c r="O5680" t="s">
        <v>26</v>
      </c>
      <c r="R5680">
        <v>99</v>
      </c>
      <c r="T5680" t="s">
        <v>28965</v>
      </c>
    </row>
    <row r="5681" spans="1:20">
      <c r="A5681">
        <v>3412375</v>
      </c>
      <c r="B5681" t="s">
        <v>28966</v>
      </c>
      <c r="C5681" t="str">
        <f>"9780774813136"</f>
        <v>9780774813136</v>
      </c>
      <c r="D5681" t="str">
        <f>"9780774855860"</f>
        <v>9780774855860</v>
      </c>
      <c r="E5681" t="s">
        <v>26801</v>
      </c>
      <c r="F5681" t="s">
        <v>26801</v>
      </c>
      <c r="G5681" s="1">
        <v>39217</v>
      </c>
      <c r="J5681" t="s">
        <v>28967</v>
      </c>
      <c r="K5681" t="s">
        <v>263</v>
      </c>
      <c r="L5681" t="s">
        <v>28968</v>
      </c>
      <c r="M5681">
        <v>305.8</v>
      </c>
      <c r="N5681" t="s">
        <v>28969</v>
      </c>
      <c r="O5681" t="s">
        <v>26</v>
      </c>
      <c r="R5681">
        <v>99</v>
      </c>
      <c r="T5681" t="s">
        <v>28970</v>
      </c>
    </row>
    <row r="5682" spans="1:20">
      <c r="A5682">
        <v>3412376</v>
      </c>
      <c r="B5682" t="s">
        <v>28971</v>
      </c>
      <c r="C5682" t="str">
        <f>"9780774813884"</f>
        <v>9780774813884</v>
      </c>
      <c r="D5682" t="str">
        <f>"9780774855990"</f>
        <v>9780774855990</v>
      </c>
      <c r="E5682" t="s">
        <v>26801</v>
      </c>
      <c r="F5682" t="s">
        <v>26801</v>
      </c>
      <c r="G5682" s="1">
        <v>39448</v>
      </c>
      <c r="J5682" t="s">
        <v>28972</v>
      </c>
      <c r="K5682" t="s">
        <v>568</v>
      </c>
      <c r="L5682" t="s">
        <v>28973</v>
      </c>
      <c r="M5682" t="s">
        <v>27341</v>
      </c>
      <c r="N5682" t="s">
        <v>28974</v>
      </c>
      <c r="O5682" t="s">
        <v>26</v>
      </c>
      <c r="R5682">
        <v>99</v>
      </c>
      <c r="T5682" t="s">
        <v>28975</v>
      </c>
    </row>
    <row r="5683" spans="1:20">
      <c r="A5683">
        <v>3412377</v>
      </c>
      <c r="B5683" t="s">
        <v>28976</v>
      </c>
      <c r="C5683" t="str">
        <f>"9780774812719"</f>
        <v>9780774812719</v>
      </c>
      <c r="D5683" t="str">
        <f>"9780774855174"</f>
        <v>9780774855174</v>
      </c>
      <c r="E5683" t="s">
        <v>26801</v>
      </c>
      <c r="F5683" t="s">
        <v>26801</v>
      </c>
      <c r="G5683" s="1">
        <v>39022</v>
      </c>
      <c r="J5683" t="s">
        <v>28977</v>
      </c>
      <c r="K5683" t="s">
        <v>1892</v>
      </c>
      <c r="L5683" t="s">
        <v>28978</v>
      </c>
      <c r="M5683" t="s">
        <v>28979</v>
      </c>
      <c r="N5683" t="s">
        <v>28980</v>
      </c>
      <c r="O5683" t="s">
        <v>26</v>
      </c>
      <c r="R5683">
        <v>99</v>
      </c>
      <c r="T5683" t="s">
        <v>28981</v>
      </c>
    </row>
    <row r="5684" spans="1:20">
      <c r="A5684">
        <v>3412378</v>
      </c>
      <c r="B5684" t="s">
        <v>28982</v>
      </c>
      <c r="C5684" t="str">
        <f>"9780774813372"</f>
        <v>9780774813372</v>
      </c>
      <c r="D5684" t="str">
        <f>"9780774855839"</f>
        <v>9780774855839</v>
      </c>
      <c r="E5684" t="s">
        <v>26801</v>
      </c>
      <c r="F5684" t="s">
        <v>26801</v>
      </c>
      <c r="G5684" s="1">
        <v>39263</v>
      </c>
      <c r="I5684" t="s">
        <v>28960</v>
      </c>
      <c r="J5684" t="s">
        <v>28983</v>
      </c>
      <c r="K5684" t="s">
        <v>1056</v>
      </c>
      <c r="L5684" t="s">
        <v>28984</v>
      </c>
      <c r="M5684" t="s">
        <v>28985</v>
      </c>
      <c r="N5684" t="s">
        <v>28986</v>
      </c>
      <c r="O5684" t="s">
        <v>26</v>
      </c>
      <c r="R5684">
        <v>99</v>
      </c>
      <c r="T5684" t="s">
        <v>28987</v>
      </c>
    </row>
    <row r="5685" spans="1:20">
      <c r="A5685">
        <v>3412379</v>
      </c>
      <c r="B5685" t="s">
        <v>28988</v>
      </c>
      <c r="C5685" t="str">
        <f>"9780774813112"</f>
        <v>9780774813112</v>
      </c>
      <c r="D5685" t="str">
        <f>"9780774855846"</f>
        <v>9780774855846</v>
      </c>
      <c r="E5685" t="s">
        <v>26801</v>
      </c>
      <c r="F5685" t="s">
        <v>26801</v>
      </c>
      <c r="G5685" s="1">
        <v>39146</v>
      </c>
      <c r="I5685" t="s">
        <v>26935</v>
      </c>
      <c r="J5685" t="s">
        <v>28989</v>
      </c>
      <c r="K5685" t="s">
        <v>525</v>
      </c>
      <c r="L5685" t="s">
        <v>28990</v>
      </c>
      <c r="M5685" t="s">
        <v>27375</v>
      </c>
      <c r="N5685" t="s">
        <v>28991</v>
      </c>
      <c r="O5685" t="s">
        <v>26</v>
      </c>
      <c r="R5685">
        <v>99</v>
      </c>
      <c r="T5685" t="s">
        <v>28992</v>
      </c>
    </row>
    <row r="5686" spans="1:20">
      <c r="A5686">
        <v>3412380</v>
      </c>
      <c r="B5686" t="s">
        <v>28993</v>
      </c>
      <c r="C5686" t="str">
        <f>"9780774811682"</f>
        <v>9780774811682</v>
      </c>
      <c r="D5686" t="str">
        <f>"9780774855204"</f>
        <v>9780774855204</v>
      </c>
      <c r="E5686" t="s">
        <v>26801</v>
      </c>
      <c r="F5686" t="s">
        <v>26801</v>
      </c>
      <c r="G5686" s="1">
        <v>38997</v>
      </c>
      <c r="J5686" t="s">
        <v>28994</v>
      </c>
      <c r="K5686" t="s">
        <v>525</v>
      </c>
      <c r="L5686" t="s">
        <v>28995</v>
      </c>
      <c r="M5686" t="s">
        <v>28996</v>
      </c>
      <c r="N5686" t="s">
        <v>28997</v>
      </c>
      <c r="O5686" t="s">
        <v>26</v>
      </c>
      <c r="R5686">
        <v>99</v>
      </c>
      <c r="T5686" t="s">
        <v>28998</v>
      </c>
    </row>
    <row r="5687" spans="1:20">
      <c r="A5687">
        <v>3412381</v>
      </c>
      <c r="B5687" t="s">
        <v>28999</v>
      </c>
      <c r="C5687" t="str">
        <f>"9780774813075"</f>
        <v>9780774813075</v>
      </c>
      <c r="D5687" t="str">
        <f>"9780774855167"</f>
        <v>9780774855167</v>
      </c>
      <c r="E5687" t="s">
        <v>26801</v>
      </c>
      <c r="F5687" t="s">
        <v>26801</v>
      </c>
      <c r="G5687" s="1">
        <v>39057</v>
      </c>
      <c r="J5687" t="s">
        <v>29000</v>
      </c>
      <c r="K5687" t="s">
        <v>416</v>
      </c>
      <c r="L5687" t="s">
        <v>29001</v>
      </c>
      <c r="M5687" t="s">
        <v>29002</v>
      </c>
      <c r="N5687" t="s">
        <v>29003</v>
      </c>
      <c r="O5687" t="s">
        <v>26</v>
      </c>
      <c r="R5687">
        <v>99</v>
      </c>
      <c r="T5687" t="s">
        <v>29004</v>
      </c>
    </row>
    <row r="5688" spans="1:20">
      <c r="A5688">
        <v>3412382</v>
      </c>
      <c r="B5688" t="s">
        <v>29005</v>
      </c>
      <c r="C5688" t="str">
        <f>"9780774812801"</f>
        <v>9780774812801</v>
      </c>
      <c r="D5688" t="str">
        <f>"9780774855075"</f>
        <v>9780774855075</v>
      </c>
      <c r="E5688" t="s">
        <v>26801</v>
      </c>
      <c r="F5688" t="s">
        <v>26801</v>
      </c>
      <c r="G5688" s="1">
        <v>38777</v>
      </c>
      <c r="J5688" t="s">
        <v>29006</v>
      </c>
      <c r="K5688" t="s">
        <v>1082</v>
      </c>
      <c r="L5688" t="s">
        <v>29007</v>
      </c>
      <c r="M5688" t="s">
        <v>29008</v>
      </c>
      <c r="N5688" t="s">
        <v>29009</v>
      </c>
      <c r="O5688" t="s">
        <v>26</v>
      </c>
      <c r="R5688">
        <v>99</v>
      </c>
      <c r="T5688" t="s">
        <v>29010</v>
      </c>
    </row>
    <row r="5689" spans="1:20">
      <c r="A5689">
        <v>3412383</v>
      </c>
      <c r="B5689" t="s">
        <v>29011</v>
      </c>
      <c r="C5689" t="str">
        <f>"9780774813396"</f>
        <v>9780774813396</v>
      </c>
      <c r="D5689" t="str">
        <f>"9780774856201"</f>
        <v>9780774856201</v>
      </c>
      <c r="E5689" t="s">
        <v>26801</v>
      </c>
      <c r="F5689" t="s">
        <v>26801</v>
      </c>
      <c r="G5689" s="1">
        <v>39050</v>
      </c>
      <c r="J5689" t="s">
        <v>29012</v>
      </c>
      <c r="K5689" t="s">
        <v>802</v>
      </c>
      <c r="L5689" t="s">
        <v>29013</v>
      </c>
      <c r="M5689" t="s">
        <v>29014</v>
      </c>
      <c r="N5689" t="s">
        <v>29015</v>
      </c>
      <c r="O5689" t="s">
        <v>26</v>
      </c>
      <c r="R5689">
        <v>99</v>
      </c>
      <c r="T5689" t="s">
        <v>29016</v>
      </c>
    </row>
    <row r="5690" spans="1:20">
      <c r="A5690">
        <v>3412384</v>
      </c>
      <c r="B5690" t="s">
        <v>29017</v>
      </c>
      <c r="C5690" t="str">
        <f>"9780774812399"</f>
        <v>9780774812399</v>
      </c>
      <c r="D5690" t="str">
        <f>"9780774855129"</f>
        <v>9780774855129</v>
      </c>
      <c r="E5690" t="s">
        <v>26801</v>
      </c>
      <c r="F5690" t="s">
        <v>26801</v>
      </c>
      <c r="G5690" s="1">
        <v>38822</v>
      </c>
      <c r="I5690" t="s">
        <v>26935</v>
      </c>
      <c r="J5690" t="s">
        <v>29018</v>
      </c>
      <c r="K5690" t="s">
        <v>7063</v>
      </c>
      <c r="L5690" t="s">
        <v>29019</v>
      </c>
      <c r="M5690" t="s">
        <v>29020</v>
      </c>
      <c r="N5690" t="s">
        <v>29021</v>
      </c>
      <c r="O5690" t="s">
        <v>26</v>
      </c>
      <c r="R5690">
        <v>115</v>
      </c>
      <c r="T5690" t="s">
        <v>29022</v>
      </c>
    </row>
    <row r="5691" spans="1:20">
      <c r="A5691">
        <v>3412385</v>
      </c>
      <c r="B5691" t="s">
        <v>29023</v>
      </c>
      <c r="C5691" t="str">
        <f>"9780774812191"</f>
        <v>9780774812191</v>
      </c>
      <c r="D5691" t="str">
        <f>"9780774855365"</f>
        <v>9780774855365</v>
      </c>
      <c r="E5691" t="s">
        <v>26801</v>
      </c>
      <c r="F5691" t="s">
        <v>26801</v>
      </c>
      <c r="G5691" s="1">
        <v>38838</v>
      </c>
      <c r="J5691" t="s">
        <v>29024</v>
      </c>
      <c r="K5691" t="s">
        <v>4562</v>
      </c>
      <c r="L5691" t="s">
        <v>29025</v>
      </c>
      <c r="M5691" t="s">
        <v>29026</v>
      </c>
      <c r="N5691" t="s">
        <v>29027</v>
      </c>
      <c r="O5691" t="s">
        <v>26</v>
      </c>
      <c r="R5691">
        <v>115</v>
      </c>
      <c r="T5691" t="s">
        <v>29028</v>
      </c>
    </row>
    <row r="5692" spans="1:20">
      <c r="A5692">
        <v>3412386</v>
      </c>
      <c r="B5692" t="s">
        <v>29029</v>
      </c>
      <c r="C5692" t="str">
        <f>"9780774813624"</f>
        <v>9780774813624</v>
      </c>
      <c r="D5692" t="str">
        <f>"9780774855884"</f>
        <v>9780774855884</v>
      </c>
      <c r="E5692" t="s">
        <v>26801</v>
      </c>
      <c r="F5692" t="s">
        <v>26801</v>
      </c>
      <c r="G5692" s="1">
        <v>39210</v>
      </c>
      <c r="I5692" t="s">
        <v>28960</v>
      </c>
      <c r="J5692" t="s">
        <v>29030</v>
      </c>
      <c r="K5692" t="s">
        <v>29031</v>
      </c>
      <c r="L5692" t="s">
        <v>29032</v>
      </c>
      <c r="M5692">
        <v>333.95</v>
      </c>
      <c r="N5692" t="s">
        <v>29033</v>
      </c>
      <c r="O5692" t="s">
        <v>26</v>
      </c>
      <c r="R5692">
        <v>99</v>
      </c>
      <c r="T5692" t="s">
        <v>29034</v>
      </c>
    </row>
    <row r="5693" spans="1:20">
      <c r="A5693">
        <v>3412387</v>
      </c>
      <c r="B5693" t="s">
        <v>29035</v>
      </c>
      <c r="C5693" t="str">
        <f>"9780774812054"</f>
        <v>9780774812054</v>
      </c>
      <c r="D5693" t="str">
        <f>"9780774855426"</f>
        <v>9780774855426</v>
      </c>
      <c r="E5693" t="s">
        <v>26801</v>
      </c>
      <c r="F5693" t="s">
        <v>26801</v>
      </c>
      <c r="G5693" s="1">
        <v>39051</v>
      </c>
      <c r="J5693" t="s">
        <v>29036</v>
      </c>
      <c r="K5693" t="s">
        <v>550</v>
      </c>
      <c r="L5693" t="s">
        <v>29037</v>
      </c>
      <c r="M5693">
        <v>306.3</v>
      </c>
      <c r="N5693" t="s">
        <v>29038</v>
      </c>
      <c r="O5693" t="s">
        <v>26</v>
      </c>
      <c r="R5693">
        <v>99</v>
      </c>
      <c r="T5693" t="s">
        <v>29039</v>
      </c>
    </row>
    <row r="5694" spans="1:20">
      <c r="A5694">
        <v>3412388</v>
      </c>
      <c r="B5694" t="s">
        <v>29040</v>
      </c>
      <c r="C5694" t="str">
        <f>"9780774813761"</f>
        <v>9780774813761</v>
      </c>
      <c r="D5694" t="str">
        <f>"9780774855969"</f>
        <v>9780774855969</v>
      </c>
      <c r="E5694" t="s">
        <v>26801</v>
      </c>
      <c r="F5694" t="s">
        <v>26801</v>
      </c>
      <c r="G5694" s="1">
        <v>39448</v>
      </c>
      <c r="I5694" t="s">
        <v>27495</v>
      </c>
      <c r="J5694" t="s">
        <v>29041</v>
      </c>
      <c r="K5694" t="s">
        <v>291</v>
      </c>
      <c r="L5694" t="s">
        <v>29042</v>
      </c>
      <c r="M5694">
        <v>971.1</v>
      </c>
      <c r="N5694" t="s">
        <v>29043</v>
      </c>
      <c r="O5694" t="s">
        <v>26</v>
      </c>
      <c r="R5694">
        <v>99</v>
      </c>
      <c r="T5694" t="s">
        <v>29044</v>
      </c>
    </row>
    <row r="5695" spans="1:20">
      <c r="A5695">
        <v>3412389</v>
      </c>
      <c r="B5695" t="s">
        <v>29045</v>
      </c>
      <c r="C5695" t="str">
        <f>"9780774813334"</f>
        <v>9780774813334</v>
      </c>
      <c r="D5695" t="str">
        <f>"9780774855747"</f>
        <v>9780774855747</v>
      </c>
      <c r="E5695" t="s">
        <v>26801</v>
      </c>
      <c r="F5695" t="s">
        <v>26801</v>
      </c>
      <c r="G5695" s="1">
        <v>39223</v>
      </c>
      <c r="I5695" t="s">
        <v>27129</v>
      </c>
      <c r="J5695" t="s">
        <v>29046</v>
      </c>
      <c r="K5695" t="s">
        <v>291</v>
      </c>
      <c r="L5695" t="s">
        <v>29047</v>
      </c>
      <c r="M5695">
        <v>951</v>
      </c>
      <c r="N5695" t="s">
        <v>29048</v>
      </c>
      <c r="O5695" t="s">
        <v>26</v>
      </c>
      <c r="R5695">
        <v>99</v>
      </c>
      <c r="T5695" t="s">
        <v>29049</v>
      </c>
    </row>
    <row r="5696" spans="1:20">
      <c r="A5696">
        <v>3412390</v>
      </c>
      <c r="B5696" t="s">
        <v>29050</v>
      </c>
      <c r="C5696" t="str">
        <f>"9780774813099"</f>
        <v>9780774813099</v>
      </c>
      <c r="D5696" t="str">
        <f>"9780774855235"</f>
        <v>9780774855235</v>
      </c>
      <c r="E5696" t="s">
        <v>26801</v>
      </c>
      <c r="F5696" t="s">
        <v>26801</v>
      </c>
      <c r="G5696" s="1">
        <v>39064</v>
      </c>
      <c r="I5696" t="s">
        <v>28467</v>
      </c>
      <c r="J5696" t="s">
        <v>29051</v>
      </c>
      <c r="K5696" t="s">
        <v>263</v>
      </c>
      <c r="L5696" t="s">
        <v>29052</v>
      </c>
      <c r="M5696">
        <v>302</v>
      </c>
      <c r="N5696" t="s">
        <v>29053</v>
      </c>
      <c r="O5696" t="s">
        <v>26</v>
      </c>
      <c r="R5696">
        <v>99</v>
      </c>
      <c r="T5696" t="s">
        <v>29054</v>
      </c>
    </row>
    <row r="5697" spans="1:20">
      <c r="A5697">
        <v>3412391</v>
      </c>
      <c r="B5697" t="s">
        <v>29055</v>
      </c>
      <c r="C5697" t="str">
        <f>"9780774814119"</f>
        <v>9780774814119</v>
      </c>
      <c r="D5697" t="str">
        <f>"9780774855549"</f>
        <v>9780774855549</v>
      </c>
      <c r="E5697" t="s">
        <v>26801</v>
      </c>
      <c r="F5697" t="s">
        <v>26801</v>
      </c>
      <c r="G5697" s="1">
        <v>39377</v>
      </c>
      <c r="I5697" t="s">
        <v>26935</v>
      </c>
      <c r="J5697" t="s">
        <v>29056</v>
      </c>
      <c r="K5697" t="s">
        <v>263</v>
      </c>
      <c r="L5697" t="s">
        <v>29057</v>
      </c>
      <c r="M5697">
        <v>305.42097100000001</v>
      </c>
      <c r="N5697" t="s">
        <v>29058</v>
      </c>
      <c r="O5697" t="s">
        <v>26</v>
      </c>
      <c r="R5697">
        <v>99</v>
      </c>
      <c r="T5697" t="s">
        <v>29059</v>
      </c>
    </row>
    <row r="5698" spans="1:20">
      <c r="A5698">
        <v>3412392</v>
      </c>
      <c r="B5698" t="s">
        <v>29060</v>
      </c>
      <c r="C5698" t="str">
        <f>"9780774812450"</f>
        <v>9780774812450</v>
      </c>
      <c r="D5698" t="str">
        <f>"9780774855143"</f>
        <v>9780774855143</v>
      </c>
      <c r="E5698" t="s">
        <v>26801</v>
      </c>
      <c r="F5698" t="s">
        <v>26801</v>
      </c>
      <c r="G5698" s="1">
        <v>38846</v>
      </c>
      <c r="I5698" t="s">
        <v>28874</v>
      </c>
      <c r="J5698" t="s">
        <v>29061</v>
      </c>
      <c r="K5698" t="s">
        <v>263</v>
      </c>
      <c r="L5698" t="s">
        <v>29062</v>
      </c>
      <c r="M5698">
        <v>306.76083509712299</v>
      </c>
      <c r="N5698" t="s">
        <v>29063</v>
      </c>
      <c r="O5698" t="s">
        <v>26</v>
      </c>
      <c r="R5698">
        <v>115</v>
      </c>
      <c r="T5698" t="s">
        <v>29064</v>
      </c>
    </row>
    <row r="5699" spans="1:20">
      <c r="A5699">
        <v>3412393</v>
      </c>
      <c r="B5699" t="s">
        <v>29065</v>
      </c>
      <c r="C5699" t="str">
        <f>"9780774813044"</f>
        <v>9780774813044</v>
      </c>
      <c r="D5699" t="str">
        <f>"9780774855112"</f>
        <v>9780774855112</v>
      </c>
      <c r="E5699" t="s">
        <v>26801</v>
      </c>
      <c r="F5699" t="s">
        <v>26801</v>
      </c>
      <c r="G5699" s="1">
        <v>38838</v>
      </c>
      <c r="J5699" t="s">
        <v>27798</v>
      </c>
      <c r="K5699" t="s">
        <v>263</v>
      </c>
      <c r="L5699" t="s">
        <v>29066</v>
      </c>
      <c r="M5699" t="s">
        <v>29067</v>
      </c>
      <c r="N5699" t="s">
        <v>29068</v>
      </c>
      <c r="O5699" t="s">
        <v>26</v>
      </c>
      <c r="R5699">
        <v>99</v>
      </c>
      <c r="T5699" t="s">
        <v>29069</v>
      </c>
    </row>
    <row r="5700" spans="1:20">
      <c r="A5700">
        <v>3412394</v>
      </c>
      <c r="B5700" t="s">
        <v>29070</v>
      </c>
      <c r="C5700" t="str">
        <f>"9780774812726"</f>
        <v>9780774812726</v>
      </c>
      <c r="D5700" t="str">
        <f>"9780774855181"</f>
        <v>9780774855181</v>
      </c>
      <c r="E5700" t="s">
        <v>26801</v>
      </c>
      <c r="F5700" t="s">
        <v>26801</v>
      </c>
      <c r="G5700" s="1">
        <v>39015</v>
      </c>
      <c r="J5700" t="s">
        <v>26976</v>
      </c>
      <c r="K5700" t="s">
        <v>263</v>
      </c>
      <c r="L5700" t="s">
        <v>29071</v>
      </c>
      <c r="M5700">
        <v>301.09710000000001</v>
      </c>
      <c r="N5700" t="s">
        <v>29072</v>
      </c>
      <c r="O5700" t="s">
        <v>26</v>
      </c>
      <c r="R5700">
        <v>99</v>
      </c>
      <c r="T5700" t="s">
        <v>29073</v>
      </c>
    </row>
    <row r="5701" spans="1:20">
      <c r="A5701">
        <v>3412395</v>
      </c>
      <c r="B5701" t="s">
        <v>29074</v>
      </c>
      <c r="C5701" t="str">
        <f>"9780774813563"</f>
        <v>9780774813563</v>
      </c>
      <c r="D5701" t="str">
        <f>"9780774855693"</f>
        <v>9780774855693</v>
      </c>
      <c r="E5701" t="s">
        <v>26801</v>
      </c>
      <c r="F5701" t="s">
        <v>26801</v>
      </c>
      <c r="G5701" s="1">
        <v>39448</v>
      </c>
      <c r="J5701" t="s">
        <v>29075</v>
      </c>
      <c r="K5701" t="s">
        <v>257</v>
      </c>
      <c r="L5701" t="s">
        <v>29076</v>
      </c>
      <c r="M5701" t="s">
        <v>29077</v>
      </c>
      <c r="N5701" t="s">
        <v>29078</v>
      </c>
      <c r="O5701" t="s">
        <v>26</v>
      </c>
      <c r="R5701">
        <v>99</v>
      </c>
      <c r="T5701" t="s">
        <v>29079</v>
      </c>
    </row>
    <row r="5702" spans="1:20">
      <c r="A5702">
        <v>3412396</v>
      </c>
      <c r="B5702" t="s">
        <v>29080</v>
      </c>
      <c r="C5702" t="str">
        <f>"9780774813457"</f>
        <v>9780774813457</v>
      </c>
      <c r="D5702" t="str">
        <f>"9780774855136"</f>
        <v>9780774855136</v>
      </c>
      <c r="E5702" t="s">
        <v>26801</v>
      </c>
      <c r="F5702" t="s">
        <v>26801</v>
      </c>
      <c r="G5702" s="1">
        <v>39029</v>
      </c>
      <c r="J5702" t="s">
        <v>29081</v>
      </c>
      <c r="K5702" t="s">
        <v>291</v>
      </c>
      <c r="L5702" t="s">
        <v>29082</v>
      </c>
      <c r="M5702" t="s">
        <v>29083</v>
      </c>
      <c r="N5702" t="s">
        <v>29084</v>
      </c>
      <c r="O5702" t="s">
        <v>26</v>
      </c>
      <c r="R5702">
        <v>99</v>
      </c>
      <c r="T5702" t="s">
        <v>29085</v>
      </c>
    </row>
    <row r="5703" spans="1:20">
      <c r="A5703">
        <v>3412397</v>
      </c>
      <c r="B5703" t="s">
        <v>29086</v>
      </c>
      <c r="C5703" t="str">
        <f>"9780774813501"</f>
        <v>9780774813501</v>
      </c>
      <c r="D5703" t="str">
        <f>"9780774855556"</f>
        <v>9780774855556</v>
      </c>
      <c r="E5703" t="s">
        <v>26801</v>
      </c>
      <c r="F5703" t="s">
        <v>26801</v>
      </c>
      <c r="G5703" s="1">
        <v>39202</v>
      </c>
      <c r="I5703" t="s">
        <v>26935</v>
      </c>
      <c r="J5703" t="s">
        <v>29087</v>
      </c>
      <c r="K5703" t="s">
        <v>14194</v>
      </c>
      <c r="L5703" t="s">
        <v>29088</v>
      </c>
      <c r="M5703">
        <v>346</v>
      </c>
      <c r="N5703" t="s">
        <v>29089</v>
      </c>
      <c r="O5703" t="s">
        <v>26</v>
      </c>
      <c r="R5703">
        <v>99</v>
      </c>
      <c r="T5703" t="s">
        <v>29090</v>
      </c>
    </row>
    <row r="5704" spans="1:20">
      <c r="A5704">
        <v>3412398</v>
      </c>
      <c r="B5704" t="s">
        <v>29091</v>
      </c>
      <c r="C5704" t="str">
        <f>"9780774812931"</f>
        <v>9780774812931</v>
      </c>
      <c r="D5704" t="str">
        <f>"9780774855327"</f>
        <v>9780774855327</v>
      </c>
      <c r="E5704" t="s">
        <v>26801</v>
      </c>
      <c r="F5704" t="s">
        <v>26801</v>
      </c>
      <c r="G5704" s="1">
        <v>39056</v>
      </c>
      <c r="J5704" t="s">
        <v>29092</v>
      </c>
      <c r="K5704" t="s">
        <v>29093</v>
      </c>
      <c r="L5704" t="s">
        <v>29094</v>
      </c>
      <c r="M5704">
        <v>799.29</v>
      </c>
      <c r="N5704" t="s">
        <v>29095</v>
      </c>
      <c r="O5704" t="s">
        <v>26</v>
      </c>
      <c r="R5704">
        <v>99</v>
      </c>
      <c r="T5704" t="s">
        <v>29096</v>
      </c>
    </row>
    <row r="5705" spans="1:20">
      <c r="A5705">
        <v>3412399</v>
      </c>
      <c r="B5705" t="s">
        <v>29097</v>
      </c>
      <c r="C5705" t="str">
        <f>"9780774810883"</f>
        <v>9780774810883</v>
      </c>
      <c r="D5705" t="str">
        <f>"9780774855198"</f>
        <v>9780774855198</v>
      </c>
      <c r="E5705" t="s">
        <v>26801</v>
      </c>
      <c r="F5705" t="s">
        <v>26801</v>
      </c>
      <c r="G5705" s="1">
        <v>39083</v>
      </c>
      <c r="J5705" t="s">
        <v>29098</v>
      </c>
      <c r="K5705" t="s">
        <v>291</v>
      </c>
      <c r="L5705" t="s">
        <v>29099</v>
      </c>
      <c r="M5705">
        <v>971.06399999999996</v>
      </c>
      <c r="N5705" t="s">
        <v>29100</v>
      </c>
      <c r="O5705" t="s">
        <v>26</v>
      </c>
      <c r="R5705">
        <v>99</v>
      </c>
      <c r="T5705" t="s">
        <v>29101</v>
      </c>
    </row>
    <row r="5706" spans="1:20">
      <c r="A5706">
        <v>3412400</v>
      </c>
      <c r="B5706" t="s">
        <v>29102</v>
      </c>
      <c r="C5706" t="str">
        <f>"9780774813051"</f>
        <v>9780774813051</v>
      </c>
      <c r="D5706" t="str">
        <f>"9780774855044"</f>
        <v>9780774855044</v>
      </c>
      <c r="E5706" t="s">
        <v>26801</v>
      </c>
      <c r="F5706" t="s">
        <v>26801</v>
      </c>
      <c r="G5706" s="1">
        <v>39023</v>
      </c>
      <c r="J5706" t="s">
        <v>29103</v>
      </c>
      <c r="K5706" t="s">
        <v>1530</v>
      </c>
      <c r="L5706" t="s">
        <v>29104</v>
      </c>
      <c r="M5706" t="s">
        <v>29105</v>
      </c>
      <c r="N5706" t="s">
        <v>29106</v>
      </c>
      <c r="O5706" t="s">
        <v>26</v>
      </c>
      <c r="R5706">
        <v>99</v>
      </c>
      <c r="T5706" t="s">
        <v>29107</v>
      </c>
    </row>
    <row r="5707" spans="1:20">
      <c r="A5707">
        <v>3412401</v>
      </c>
      <c r="B5707" t="s">
        <v>29108</v>
      </c>
      <c r="C5707" t="str">
        <f>"9780774813525"</f>
        <v>9780774813525</v>
      </c>
      <c r="D5707" t="str">
        <f>"9780774855877"</f>
        <v>9780774855877</v>
      </c>
      <c r="E5707" t="s">
        <v>26801</v>
      </c>
      <c r="F5707" t="s">
        <v>26801</v>
      </c>
      <c r="G5707" s="1">
        <v>39202</v>
      </c>
      <c r="I5707" t="s">
        <v>26935</v>
      </c>
      <c r="J5707" t="s">
        <v>29109</v>
      </c>
      <c r="K5707" t="s">
        <v>467</v>
      </c>
      <c r="L5707" t="s">
        <v>29110</v>
      </c>
      <c r="M5707" t="s">
        <v>29111</v>
      </c>
      <c r="N5707" t="s">
        <v>29112</v>
      </c>
      <c r="O5707" t="s">
        <v>26</v>
      </c>
      <c r="R5707">
        <v>99</v>
      </c>
      <c r="T5707" t="s">
        <v>29113</v>
      </c>
    </row>
    <row r="5708" spans="1:20">
      <c r="A5708">
        <v>3412402</v>
      </c>
      <c r="B5708" t="s">
        <v>29114</v>
      </c>
      <c r="C5708" t="str">
        <f>"9780774813808"</f>
        <v>9780774813808</v>
      </c>
      <c r="D5708" t="str">
        <f>"9780774855730"</f>
        <v>9780774855730</v>
      </c>
      <c r="E5708" t="s">
        <v>26801</v>
      </c>
      <c r="F5708" t="s">
        <v>26801</v>
      </c>
      <c r="G5708" s="1">
        <v>39228</v>
      </c>
      <c r="J5708" t="s">
        <v>27620</v>
      </c>
      <c r="K5708" t="s">
        <v>291</v>
      </c>
      <c r="L5708" t="s">
        <v>29115</v>
      </c>
      <c r="M5708" t="s">
        <v>27924</v>
      </c>
      <c r="N5708" t="s">
        <v>29116</v>
      </c>
      <c r="O5708" t="s">
        <v>26</v>
      </c>
      <c r="R5708">
        <v>99</v>
      </c>
      <c r="T5708" t="s">
        <v>29117</v>
      </c>
    </row>
    <row r="5709" spans="1:20">
      <c r="A5709">
        <v>3412403</v>
      </c>
      <c r="B5709" t="s">
        <v>29118</v>
      </c>
      <c r="C5709" t="str">
        <f>"9780774813358"</f>
        <v>9780774813358</v>
      </c>
      <c r="D5709" t="str">
        <f>"9780774855907"</f>
        <v>9780774855907</v>
      </c>
      <c r="E5709" t="s">
        <v>26801</v>
      </c>
      <c r="F5709" t="s">
        <v>26801</v>
      </c>
      <c r="G5709" s="1">
        <v>39195</v>
      </c>
      <c r="I5709" t="s">
        <v>27482</v>
      </c>
      <c r="J5709" t="s">
        <v>29119</v>
      </c>
      <c r="K5709" t="s">
        <v>1464</v>
      </c>
      <c r="L5709" t="s">
        <v>29120</v>
      </c>
      <c r="M5709" t="s">
        <v>29121</v>
      </c>
      <c r="N5709" t="s">
        <v>29122</v>
      </c>
      <c r="O5709" t="s">
        <v>26</v>
      </c>
      <c r="R5709">
        <v>99</v>
      </c>
      <c r="T5709" t="s">
        <v>29123</v>
      </c>
    </row>
    <row r="5710" spans="1:20">
      <c r="A5710">
        <v>3412404</v>
      </c>
      <c r="B5710" t="s">
        <v>29124</v>
      </c>
      <c r="C5710" t="str">
        <f>"9780774812337"</f>
        <v>9780774812337</v>
      </c>
      <c r="D5710" t="str">
        <f>"9780774855921"</f>
        <v>9780774855921</v>
      </c>
      <c r="E5710" t="s">
        <v>26801</v>
      </c>
      <c r="F5710" t="s">
        <v>26801</v>
      </c>
      <c r="G5710" s="1">
        <v>39448</v>
      </c>
      <c r="J5710" t="s">
        <v>29125</v>
      </c>
      <c r="K5710" t="s">
        <v>291</v>
      </c>
      <c r="L5710" t="s">
        <v>29126</v>
      </c>
      <c r="M5710" t="s">
        <v>29127</v>
      </c>
      <c r="N5710" t="s">
        <v>29128</v>
      </c>
      <c r="O5710" t="s">
        <v>26</v>
      </c>
      <c r="R5710">
        <v>99</v>
      </c>
      <c r="T5710" t="s">
        <v>29129</v>
      </c>
    </row>
    <row r="5711" spans="1:20">
      <c r="A5711">
        <v>3412405</v>
      </c>
      <c r="B5711" t="s">
        <v>29130</v>
      </c>
      <c r="C5711" t="str">
        <f>"9780774812955"</f>
        <v>9780774812955</v>
      </c>
      <c r="D5711" t="str">
        <f>"9780774855334"</f>
        <v>9780774855334</v>
      </c>
      <c r="E5711" t="s">
        <v>26801</v>
      </c>
      <c r="F5711" t="s">
        <v>26801</v>
      </c>
      <c r="G5711" s="1">
        <v>39042</v>
      </c>
      <c r="I5711" t="s">
        <v>26924</v>
      </c>
      <c r="J5711" t="s">
        <v>29131</v>
      </c>
      <c r="K5711" t="s">
        <v>4347</v>
      </c>
      <c r="L5711" t="s">
        <v>29132</v>
      </c>
      <c r="M5711" t="s">
        <v>29133</v>
      </c>
      <c r="N5711" t="s">
        <v>29134</v>
      </c>
      <c r="O5711" t="s">
        <v>26</v>
      </c>
      <c r="R5711">
        <v>99</v>
      </c>
      <c r="T5711" t="s">
        <v>29135</v>
      </c>
    </row>
    <row r="5712" spans="1:20">
      <c r="A5712">
        <v>3412406</v>
      </c>
      <c r="B5712" t="s">
        <v>29136</v>
      </c>
      <c r="C5712" t="str">
        <f>"9780774812894"</f>
        <v>9780774812894</v>
      </c>
      <c r="D5712" t="str">
        <f>"9780774855303"</f>
        <v>9780774855303</v>
      </c>
      <c r="E5712" t="s">
        <v>26801</v>
      </c>
      <c r="F5712" t="s">
        <v>26801</v>
      </c>
      <c r="G5712" s="1">
        <v>38861</v>
      </c>
      <c r="I5712" t="s">
        <v>28960</v>
      </c>
      <c r="J5712" t="s">
        <v>29137</v>
      </c>
      <c r="K5712" t="s">
        <v>29138</v>
      </c>
      <c r="L5712" t="s">
        <v>29139</v>
      </c>
      <c r="M5712" t="s">
        <v>29140</v>
      </c>
      <c r="N5712" t="s">
        <v>29141</v>
      </c>
      <c r="O5712" t="s">
        <v>26</v>
      </c>
      <c r="R5712">
        <v>99</v>
      </c>
      <c r="T5712" t="s">
        <v>29142</v>
      </c>
    </row>
    <row r="5713" spans="1:20">
      <c r="A5713">
        <v>3412407</v>
      </c>
      <c r="B5713" t="s">
        <v>29143</v>
      </c>
      <c r="C5713" t="str">
        <f>"9780774813648"</f>
        <v>9780774813648</v>
      </c>
      <c r="D5713" t="str">
        <f>"9780774855624"</f>
        <v>9780774855624</v>
      </c>
      <c r="E5713" t="s">
        <v>26801</v>
      </c>
      <c r="F5713" t="s">
        <v>26801</v>
      </c>
      <c r="G5713" s="1">
        <v>39217</v>
      </c>
      <c r="J5713" t="s">
        <v>29144</v>
      </c>
      <c r="K5713" t="s">
        <v>278</v>
      </c>
      <c r="L5713" t="s">
        <v>29145</v>
      </c>
      <c r="M5713" t="s">
        <v>29146</v>
      </c>
      <c r="N5713" t="s">
        <v>29147</v>
      </c>
      <c r="O5713" t="s">
        <v>26</v>
      </c>
      <c r="R5713">
        <v>99</v>
      </c>
      <c r="T5713" t="s">
        <v>29148</v>
      </c>
    </row>
    <row r="5714" spans="1:20">
      <c r="A5714">
        <v>3412408</v>
      </c>
      <c r="B5714" t="s">
        <v>29149</v>
      </c>
      <c r="C5714" t="str">
        <f>"9780774812375"</f>
        <v>9780774812375</v>
      </c>
      <c r="D5714" t="str">
        <f>"9780774855228"</f>
        <v>9780774855228</v>
      </c>
      <c r="E5714" t="s">
        <v>26801</v>
      </c>
      <c r="F5714" t="s">
        <v>26801</v>
      </c>
      <c r="G5714" s="1">
        <v>38838</v>
      </c>
      <c r="J5714" t="s">
        <v>29150</v>
      </c>
      <c r="K5714" t="s">
        <v>263</v>
      </c>
      <c r="L5714" t="s">
        <v>29151</v>
      </c>
      <c r="M5714" t="s">
        <v>29152</v>
      </c>
      <c r="N5714" t="s">
        <v>29153</v>
      </c>
      <c r="O5714" t="s">
        <v>26</v>
      </c>
      <c r="R5714">
        <v>115</v>
      </c>
      <c r="T5714" t="s">
        <v>29154</v>
      </c>
    </row>
    <row r="5715" spans="1:20">
      <c r="A5715">
        <v>3412409</v>
      </c>
      <c r="B5715" t="s">
        <v>29155</v>
      </c>
      <c r="C5715" t="str">
        <f>"9780774812832"</f>
        <v>9780774812832</v>
      </c>
      <c r="D5715" t="str">
        <f>"9780774855402"</f>
        <v>9780774855402</v>
      </c>
      <c r="E5715" t="s">
        <v>26801</v>
      </c>
      <c r="F5715" t="s">
        <v>26801</v>
      </c>
      <c r="G5715" s="1">
        <v>38847</v>
      </c>
      <c r="J5715" t="s">
        <v>29156</v>
      </c>
      <c r="K5715" t="s">
        <v>1550</v>
      </c>
      <c r="L5715" t="s">
        <v>29157</v>
      </c>
      <c r="M5715" t="s">
        <v>7499</v>
      </c>
      <c r="N5715" t="s">
        <v>29158</v>
      </c>
      <c r="O5715" t="s">
        <v>26</v>
      </c>
      <c r="R5715">
        <v>99</v>
      </c>
      <c r="T5715" t="s">
        <v>29159</v>
      </c>
    </row>
    <row r="5716" spans="1:20">
      <c r="A5716">
        <v>3412410</v>
      </c>
      <c r="B5716" t="s">
        <v>29160</v>
      </c>
      <c r="C5716" t="str">
        <f>"9780774814218"</f>
        <v>9780774814218</v>
      </c>
      <c r="D5716" t="str">
        <f>"9780774855662"</f>
        <v>9780774855662</v>
      </c>
      <c r="E5716" t="s">
        <v>26801</v>
      </c>
      <c r="F5716" t="s">
        <v>26801</v>
      </c>
      <c r="G5716" s="1">
        <v>39630</v>
      </c>
      <c r="J5716" t="s">
        <v>29161</v>
      </c>
      <c r="K5716" t="s">
        <v>263</v>
      </c>
      <c r="L5716" t="s">
        <v>29162</v>
      </c>
      <c r="M5716" t="s">
        <v>29163</v>
      </c>
      <c r="N5716" t="s">
        <v>29164</v>
      </c>
      <c r="O5716" t="s">
        <v>26</v>
      </c>
      <c r="R5716">
        <v>99</v>
      </c>
      <c r="T5716" t="s">
        <v>29165</v>
      </c>
    </row>
    <row r="5717" spans="1:20">
      <c r="A5717">
        <v>3412411</v>
      </c>
      <c r="B5717" t="s">
        <v>29166</v>
      </c>
      <c r="C5717" t="str">
        <f>"9780774812078"</f>
        <v>9780774812078</v>
      </c>
      <c r="D5717" t="str">
        <f>"9780774857192"</f>
        <v>9780774857192</v>
      </c>
      <c r="E5717" t="s">
        <v>26801</v>
      </c>
      <c r="F5717" t="s">
        <v>26801</v>
      </c>
      <c r="G5717" s="1">
        <v>38959</v>
      </c>
      <c r="I5717" t="s">
        <v>28467</v>
      </c>
      <c r="J5717" t="s">
        <v>29167</v>
      </c>
      <c r="K5717" t="s">
        <v>263</v>
      </c>
      <c r="L5717" t="s">
        <v>29168</v>
      </c>
      <c r="M5717">
        <v>305.09710000000001</v>
      </c>
      <c r="N5717" t="s">
        <v>29169</v>
      </c>
      <c r="O5717" t="s">
        <v>26</v>
      </c>
      <c r="R5717">
        <v>115</v>
      </c>
      <c r="T5717" t="s">
        <v>29170</v>
      </c>
    </row>
    <row r="5718" spans="1:20">
      <c r="A5718">
        <v>3412412</v>
      </c>
      <c r="B5718" t="s">
        <v>29171</v>
      </c>
      <c r="C5718" t="str">
        <f>"9780774812627"</f>
        <v>9780774812627</v>
      </c>
      <c r="D5718" t="str">
        <f>"9780774855785"</f>
        <v>9780774855785</v>
      </c>
      <c r="E5718" t="s">
        <v>26801</v>
      </c>
      <c r="F5718" t="s">
        <v>26801</v>
      </c>
      <c r="G5718" s="1">
        <v>39223</v>
      </c>
      <c r="J5718" t="s">
        <v>29172</v>
      </c>
      <c r="K5718" t="s">
        <v>1530</v>
      </c>
      <c r="L5718" t="s">
        <v>29173</v>
      </c>
      <c r="M5718">
        <v>305.8</v>
      </c>
      <c r="N5718" t="s">
        <v>29174</v>
      </c>
      <c r="O5718" t="s">
        <v>26</v>
      </c>
      <c r="R5718">
        <v>99</v>
      </c>
      <c r="T5718" t="s">
        <v>29175</v>
      </c>
    </row>
    <row r="5719" spans="1:20">
      <c r="A5719">
        <v>3412413</v>
      </c>
      <c r="B5719" t="s">
        <v>29176</v>
      </c>
      <c r="C5719" t="str">
        <f>"9780774813839"</f>
        <v>9780774813839</v>
      </c>
      <c r="D5719" t="str">
        <f>"9780774855457"</f>
        <v>9780774855457</v>
      </c>
      <c r="E5719" t="s">
        <v>26801</v>
      </c>
      <c r="F5719" t="s">
        <v>26801</v>
      </c>
      <c r="G5719" s="1">
        <v>39356</v>
      </c>
      <c r="I5719" t="s">
        <v>28954</v>
      </c>
      <c r="J5719" t="s">
        <v>29177</v>
      </c>
      <c r="K5719" t="s">
        <v>1028</v>
      </c>
      <c r="L5719" t="s">
        <v>29178</v>
      </c>
      <c r="M5719">
        <v>333.7</v>
      </c>
      <c r="N5719" t="s">
        <v>29179</v>
      </c>
      <c r="O5719" t="s">
        <v>26</v>
      </c>
      <c r="R5719">
        <v>99</v>
      </c>
      <c r="T5719" t="s">
        <v>29180</v>
      </c>
    </row>
    <row r="5720" spans="1:20">
      <c r="A5720">
        <v>3412414</v>
      </c>
      <c r="B5720" t="s">
        <v>29181</v>
      </c>
      <c r="C5720" t="str">
        <f>"9780774813150"</f>
        <v>9780774813150</v>
      </c>
      <c r="D5720" t="str">
        <f>"9780774855266"</f>
        <v>9780774855266</v>
      </c>
      <c r="E5720" t="s">
        <v>26801</v>
      </c>
      <c r="F5720" t="s">
        <v>26801</v>
      </c>
      <c r="G5720" s="1">
        <v>39064</v>
      </c>
      <c r="I5720" t="s">
        <v>26924</v>
      </c>
      <c r="J5720" t="s">
        <v>29182</v>
      </c>
      <c r="K5720" t="s">
        <v>7063</v>
      </c>
      <c r="L5720" t="s">
        <v>29183</v>
      </c>
      <c r="M5720">
        <v>323.11970710000003</v>
      </c>
      <c r="N5720" t="s">
        <v>29184</v>
      </c>
      <c r="O5720" t="s">
        <v>26</v>
      </c>
      <c r="R5720">
        <v>99</v>
      </c>
      <c r="T5720" t="s">
        <v>29185</v>
      </c>
    </row>
    <row r="5721" spans="1:20">
      <c r="A5721">
        <v>3412415</v>
      </c>
      <c r="B5721" t="s">
        <v>29186</v>
      </c>
      <c r="C5721" t="str">
        <f>"9780774813174"</f>
        <v>9780774813174</v>
      </c>
      <c r="D5721" t="str">
        <f>"9780774855372"</f>
        <v>9780774855372</v>
      </c>
      <c r="E5721" t="s">
        <v>26801</v>
      </c>
      <c r="F5721" t="s">
        <v>26801</v>
      </c>
      <c r="G5721" s="1">
        <v>39056</v>
      </c>
      <c r="J5721" t="s">
        <v>29187</v>
      </c>
      <c r="K5721" t="s">
        <v>467</v>
      </c>
      <c r="L5721" t="s">
        <v>29188</v>
      </c>
      <c r="M5721">
        <v>320.60971000000001</v>
      </c>
      <c r="N5721" t="s">
        <v>29189</v>
      </c>
      <c r="O5721" t="s">
        <v>26</v>
      </c>
      <c r="R5721">
        <v>99</v>
      </c>
      <c r="T5721" t="s">
        <v>29190</v>
      </c>
    </row>
    <row r="5722" spans="1:20">
      <c r="A5722">
        <v>3412416</v>
      </c>
      <c r="B5722" t="s">
        <v>29191</v>
      </c>
      <c r="C5722" t="str">
        <f>"9780774812641"</f>
        <v>9780774812641</v>
      </c>
      <c r="D5722" t="str">
        <f>"9780774856003"</f>
        <v>9780774856003</v>
      </c>
      <c r="E5722" t="s">
        <v>26801</v>
      </c>
      <c r="F5722" t="s">
        <v>26801</v>
      </c>
      <c r="G5722" s="1">
        <v>39187</v>
      </c>
      <c r="J5722" t="s">
        <v>29192</v>
      </c>
      <c r="K5722" t="s">
        <v>525</v>
      </c>
      <c r="L5722" t="s">
        <v>29193</v>
      </c>
      <c r="M5722">
        <v>345</v>
      </c>
      <c r="N5722" t="s">
        <v>29194</v>
      </c>
      <c r="O5722" t="s">
        <v>26</v>
      </c>
      <c r="R5722">
        <v>99</v>
      </c>
      <c r="T5722" t="s">
        <v>29195</v>
      </c>
    </row>
    <row r="5723" spans="1:20">
      <c r="A5723">
        <v>3412417</v>
      </c>
      <c r="B5723" t="s">
        <v>29196</v>
      </c>
      <c r="C5723" t="str">
        <f>"9780774813259"</f>
        <v>9780774813259</v>
      </c>
      <c r="D5723" t="str">
        <f>"9780774855648"</f>
        <v>9780774855648</v>
      </c>
      <c r="E5723" t="s">
        <v>26801</v>
      </c>
      <c r="F5723" t="s">
        <v>26801</v>
      </c>
      <c r="G5723" s="1">
        <v>39181</v>
      </c>
      <c r="J5723" t="s">
        <v>29197</v>
      </c>
      <c r="K5723" t="s">
        <v>257</v>
      </c>
      <c r="L5723" t="s">
        <v>29198</v>
      </c>
      <c r="M5723">
        <v>370.11709710000002</v>
      </c>
      <c r="N5723" t="s">
        <v>29199</v>
      </c>
      <c r="O5723" t="s">
        <v>26</v>
      </c>
      <c r="R5723">
        <v>99</v>
      </c>
      <c r="T5723" t="s">
        <v>29200</v>
      </c>
    </row>
    <row r="5724" spans="1:20">
      <c r="A5724">
        <v>3412418</v>
      </c>
      <c r="B5724" t="s">
        <v>29201</v>
      </c>
      <c r="C5724" t="str">
        <f>"9780774813198"</f>
        <v>9780774813198</v>
      </c>
      <c r="D5724" t="str">
        <f>"9780774855341"</f>
        <v>9780774855341</v>
      </c>
      <c r="E5724" t="s">
        <v>26801</v>
      </c>
      <c r="F5724" t="s">
        <v>26801</v>
      </c>
      <c r="G5724" s="1">
        <v>39035</v>
      </c>
      <c r="I5724" t="s">
        <v>26935</v>
      </c>
      <c r="J5724" t="s">
        <v>29202</v>
      </c>
      <c r="K5724" t="s">
        <v>14194</v>
      </c>
      <c r="L5724" t="s">
        <v>29203</v>
      </c>
      <c r="M5724" t="s">
        <v>29204</v>
      </c>
      <c r="N5724" t="s">
        <v>29205</v>
      </c>
      <c r="O5724" t="s">
        <v>26</v>
      </c>
      <c r="R5724">
        <v>99</v>
      </c>
      <c r="T5724" t="s">
        <v>29206</v>
      </c>
    </row>
    <row r="5725" spans="1:20">
      <c r="A5725">
        <v>3412419</v>
      </c>
      <c r="B5725" t="s">
        <v>29207</v>
      </c>
      <c r="C5725" t="str">
        <f>"9780774813785"</f>
        <v>9780774813785</v>
      </c>
      <c r="D5725" t="str">
        <f>"9780774855501"</f>
        <v>9780774855501</v>
      </c>
      <c r="E5725" t="s">
        <v>26801</v>
      </c>
      <c r="F5725" t="s">
        <v>26801</v>
      </c>
      <c r="G5725" s="1">
        <v>39217</v>
      </c>
      <c r="J5725" t="s">
        <v>29208</v>
      </c>
      <c r="K5725" t="s">
        <v>1471</v>
      </c>
      <c r="L5725" t="s">
        <v>29209</v>
      </c>
      <c r="M5725">
        <v>791.43</v>
      </c>
      <c r="N5725" t="s">
        <v>29210</v>
      </c>
      <c r="O5725" t="s">
        <v>26</v>
      </c>
      <c r="R5725">
        <v>99</v>
      </c>
      <c r="T5725" t="s">
        <v>29211</v>
      </c>
    </row>
    <row r="5726" spans="1:20">
      <c r="A5726">
        <v>3412420</v>
      </c>
      <c r="B5726" t="s">
        <v>29212</v>
      </c>
      <c r="C5726" t="str">
        <f>"9780774812412"</f>
        <v>9780774812412</v>
      </c>
      <c r="D5726" t="str">
        <f>"9780774855525"</f>
        <v>9780774855525</v>
      </c>
      <c r="E5726" t="s">
        <v>26801</v>
      </c>
      <c r="F5726" t="s">
        <v>26801</v>
      </c>
      <c r="G5726" s="1">
        <v>39330</v>
      </c>
      <c r="J5726" t="s">
        <v>29213</v>
      </c>
      <c r="K5726" t="s">
        <v>291</v>
      </c>
      <c r="L5726" t="s">
        <v>29214</v>
      </c>
      <c r="M5726" t="s">
        <v>29215</v>
      </c>
      <c r="N5726" t="s">
        <v>29216</v>
      </c>
      <c r="O5726" t="s">
        <v>26</v>
      </c>
      <c r="R5726">
        <v>99</v>
      </c>
      <c r="T5726" t="s">
        <v>29217</v>
      </c>
    </row>
    <row r="5727" spans="1:20">
      <c r="A5727">
        <v>3412421</v>
      </c>
      <c r="B5727" t="s">
        <v>29218</v>
      </c>
      <c r="C5727" t="str">
        <f>"9780774814072"</f>
        <v>9780774814072</v>
      </c>
      <c r="D5727" t="str">
        <f>"9780774855617"</f>
        <v>9780774855617</v>
      </c>
      <c r="E5727" t="s">
        <v>26801</v>
      </c>
      <c r="F5727" t="s">
        <v>26801</v>
      </c>
      <c r="G5727" s="1">
        <v>39630</v>
      </c>
      <c r="J5727" t="s">
        <v>29219</v>
      </c>
      <c r="K5727" t="s">
        <v>550</v>
      </c>
      <c r="L5727" t="s">
        <v>29220</v>
      </c>
      <c r="M5727" t="s">
        <v>29221</v>
      </c>
      <c r="N5727" t="s">
        <v>29222</v>
      </c>
      <c r="O5727" t="s">
        <v>26</v>
      </c>
      <c r="R5727">
        <v>99</v>
      </c>
      <c r="T5727" t="s">
        <v>29223</v>
      </c>
    </row>
    <row r="5728" spans="1:20">
      <c r="A5728">
        <v>3412422</v>
      </c>
      <c r="B5728" t="s">
        <v>29224</v>
      </c>
      <c r="C5728" t="str">
        <f>"9780774810807"</f>
        <v>9780774810807</v>
      </c>
      <c r="D5728" t="str">
        <f>"9780774855037"</f>
        <v>9780774855037</v>
      </c>
      <c r="E5728" t="s">
        <v>26801</v>
      </c>
      <c r="F5728" t="s">
        <v>26801</v>
      </c>
      <c r="G5728" s="1">
        <v>39083</v>
      </c>
      <c r="I5728" t="s">
        <v>27673</v>
      </c>
      <c r="J5728" t="s">
        <v>29225</v>
      </c>
      <c r="K5728" t="s">
        <v>1892</v>
      </c>
      <c r="L5728" t="s">
        <v>29226</v>
      </c>
      <c r="M5728">
        <v>294.30934000000002</v>
      </c>
      <c r="N5728" t="s">
        <v>29227</v>
      </c>
      <c r="O5728" t="s">
        <v>26</v>
      </c>
      <c r="R5728">
        <v>115</v>
      </c>
      <c r="T5728" t="s">
        <v>29228</v>
      </c>
    </row>
    <row r="5729" spans="1:20">
      <c r="A5729">
        <v>3412423</v>
      </c>
      <c r="B5729" t="s">
        <v>29229</v>
      </c>
      <c r="C5729" t="str">
        <f>"9780774812603"</f>
        <v>9780774812603</v>
      </c>
      <c r="D5729" t="str">
        <f>"9780774855105"</f>
        <v>9780774855105</v>
      </c>
      <c r="E5729" t="s">
        <v>26801</v>
      </c>
      <c r="F5729" t="s">
        <v>26801</v>
      </c>
      <c r="G5729" s="1">
        <v>38869</v>
      </c>
      <c r="I5729" t="s">
        <v>26924</v>
      </c>
      <c r="J5729" t="s">
        <v>29230</v>
      </c>
      <c r="K5729" t="s">
        <v>291</v>
      </c>
      <c r="L5729" t="s">
        <v>29231</v>
      </c>
      <c r="M5729" t="s">
        <v>24912</v>
      </c>
      <c r="N5729" t="s">
        <v>29232</v>
      </c>
      <c r="O5729" t="s">
        <v>26</v>
      </c>
      <c r="R5729">
        <v>99</v>
      </c>
      <c r="T5729" t="s">
        <v>29233</v>
      </c>
    </row>
    <row r="5730" spans="1:20">
      <c r="A5730">
        <v>3412424</v>
      </c>
      <c r="B5730" t="s">
        <v>29234</v>
      </c>
      <c r="C5730" t="str">
        <f>"9780774813273"</f>
        <v>9780774813273</v>
      </c>
      <c r="D5730" t="str">
        <f>"9780774855389"</f>
        <v>9780774855389</v>
      </c>
      <c r="E5730" t="s">
        <v>26801</v>
      </c>
      <c r="F5730" t="s">
        <v>26801</v>
      </c>
      <c r="G5730" s="1">
        <v>39029</v>
      </c>
      <c r="J5730" t="s">
        <v>29235</v>
      </c>
      <c r="K5730" t="s">
        <v>376</v>
      </c>
      <c r="L5730" t="s">
        <v>29236</v>
      </c>
      <c r="M5730">
        <v>363.80971</v>
      </c>
      <c r="N5730" t="s">
        <v>29237</v>
      </c>
      <c r="O5730" t="s">
        <v>26</v>
      </c>
      <c r="R5730">
        <v>99</v>
      </c>
      <c r="T5730" t="s">
        <v>29238</v>
      </c>
    </row>
    <row r="5731" spans="1:20">
      <c r="A5731">
        <v>3412425</v>
      </c>
      <c r="B5731" t="s">
        <v>29239</v>
      </c>
      <c r="C5731" t="str">
        <f>"9780774812276"</f>
        <v>9780774812276</v>
      </c>
      <c r="D5731" t="str">
        <f>"9780774855259"</f>
        <v>9780774855259</v>
      </c>
      <c r="E5731" t="s">
        <v>26801</v>
      </c>
      <c r="F5731" t="s">
        <v>26801</v>
      </c>
      <c r="G5731" s="1">
        <v>38783</v>
      </c>
      <c r="J5731" t="s">
        <v>29240</v>
      </c>
      <c r="K5731" t="s">
        <v>291</v>
      </c>
      <c r="L5731" t="s">
        <v>29241</v>
      </c>
      <c r="M5731" t="s">
        <v>29242</v>
      </c>
      <c r="N5731" t="s">
        <v>29243</v>
      </c>
      <c r="O5731" t="s">
        <v>26</v>
      </c>
      <c r="R5731">
        <v>99</v>
      </c>
      <c r="T5731" t="s">
        <v>29244</v>
      </c>
    </row>
    <row r="5732" spans="1:20">
      <c r="A5732">
        <v>3412426</v>
      </c>
      <c r="B5732" t="s">
        <v>29245</v>
      </c>
      <c r="C5732" t="str">
        <f>"9780774811842"</f>
        <v>9780774811842</v>
      </c>
      <c r="D5732" t="str">
        <f>"9780774855150"</f>
        <v>9780774855150</v>
      </c>
      <c r="E5732" t="s">
        <v>26801</v>
      </c>
      <c r="F5732" t="s">
        <v>26801</v>
      </c>
      <c r="G5732" s="1">
        <v>38803</v>
      </c>
      <c r="I5732" t="s">
        <v>29246</v>
      </c>
      <c r="J5732" t="s">
        <v>29247</v>
      </c>
      <c r="K5732" t="s">
        <v>525</v>
      </c>
      <c r="L5732" t="s">
        <v>29248</v>
      </c>
      <c r="M5732" t="s">
        <v>29249</v>
      </c>
      <c r="N5732" t="s">
        <v>29250</v>
      </c>
      <c r="O5732" t="s">
        <v>26</v>
      </c>
      <c r="R5732">
        <v>99</v>
      </c>
      <c r="T5732" t="s">
        <v>29251</v>
      </c>
    </row>
    <row r="5733" spans="1:20">
      <c r="A5733">
        <v>3412427</v>
      </c>
      <c r="B5733" t="s">
        <v>29252</v>
      </c>
      <c r="C5733" t="str">
        <f>"9780774812740"</f>
        <v>9780774812740</v>
      </c>
      <c r="D5733" t="str">
        <f>"9780774859561"</f>
        <v>9780774859561</v>
      </c>
      <c r="E5733" t="s">
        <v>26801</v>
      </c>
      <c r="F5733" t="s">
        <v>26801</v>
      </c>
      <c r="G5733" s="1">
        <v>39162</v>
      </c>
      <c r="I5733" t="s">
        <v>28874</v>
      </c>
      <c r="J5733" t="s">
        <v>29253</v>
      </c>
      <c r="K5733" t="s">
        <v>263</v>
      </c>
      <c r="L5733" t="s">
        <v>29254</v>
      </c>
      <c r="M5733" t="s">
        <v>29255</v>
      </c>
      <c r="N5733" t="s">
        <v>29256</v>
      </c>
      <c r="O5733" t="s">
        <v>26</v>
      </c>
      <c r="R5733">
        <v>99</v>
      </c>
      <c r="T5733" t="s">
        <v>29257</v>
      </c>
    </row>
    <row r="5734" spans="1:20">
      <c r="A5734">
        <v>3412428</v>
      </c>
      <c r="B5734" t="s">
        <v>29258</v>
      </c>
      <c r="C5734" t="str">
        <f>"9780774813310"</f>
        <v>9780774813310</v>
      </c>
      <c r="D5734" t="str">
        <f>"9780774855211"</f>
        <v>9780774855211</v>
      </c>
      <c r="E5734" t="s">
        <v>26801</v>
      </c>
      <c r="F5734" t="s">
        <v>26801</v>
      </c>
      <c r="G5734" s="1">
        <v>39026</v>
      </c>
      <c r="J5734" t="s">
        <v>27099</v>
      </c>
      <c r="K5734" t="s">
        <v>263</v>
      </c>
      <c r="L5734" t="s">
        <v>29259</v>
      </c>
      <c r="M5734">
        <v>306.7409715</v>
      </c>
      <c r="N5734" t="s">
        <v>29260</v>
      </c>
      <c r="O5734" t="s">
        <v>26</v>
      </c>
      <c r="R5734">
        <v>99</v>
      </c>
      <c r="T5734" t="s">
        <v>29261</v>
      </c>
    </row>
    <row r="5735" spans="1:20">
      <c r="A5735">
        <v>3412429</v>
      </c>
      <c r="B5735" t="s">
        <v>29262</v>
      </c>
      <c r="C5735" t="str">
        <f>"9780774813013"</f>
        <v>9780774813013</v>
      </c>
      <c r="D5735" t="str">
        <f>"9780774855280"</f>
        <v>9780774855280</v>
      </c>
      <c r="E5735" t="s">
        <v>26801</v>
      </c>
      <c r="F5735" t="s">
        <v>26801</v>
      </c>
      <c r="G5735" s="1">
        <v>38996</v>
      </c>
      <c r="I5735" t="s">
        <v>27482</v>
      </c>
      <c r="J5735" t="s">
        <v>29263</v>
      </c>
      <c r="K5735" t="s">
        <v>7063</v>
      </c>
      <c r="L5735" t="s">
        <v>29264</v>
      </c>
      <c r="M5735" t="s">
        <v>29265</v>
      </c>
      <c r="N5735" t="s">
        <v>29266</v>
      </c>
      <c r="O5735" t="s">
        <v>26</v>
      </c>
      <c r="R5735">
        <v>99</v>
      </c>
      <c r="T5735" t="s">
        <v>29267</v>
      </c>
    </row>
    <row r="5736" spans="1:20">
      <c r="A5736">
        <v>3412430</v>
      </c>
      <c r="B5736" t="s">
        <v>29268</v>
      </c>
      <c r="C5736" t="str">
        <f>"9780774800945"</f>
        <v>9780774800945</v>
      </c>
      <c r="D5736" t="str">
        <f>"9780774857925"</f>
        <v>9780774857925</v>
      </c>
      <c r="E5736" t="s">
        <v>26801</v>
      </c>
      <c r="F5736" t="s">
        <v>26801</v>
      </c>
      <c r="G5736" s="1">
        <v>28642</v>
      </c>
      <c r="J5736" t="s">
        <v>19661</v>
      </c>
      <c r="K5736" t="s">
        <v>291</v>
      </c>
      <c r="L5736" t="s">
        <v>29269</v>
      </c>
      <c r="M5736" t="s">
        <v>29270</v>
      </c>
      <c r="N5736" t="s">
        <v>29271</v>
      </c>
      <c r="O5736" t="s">
        <v>26</v>
      </c>
      <c r="R5736">
        <v>99</v>
      </c>
      <c r="T5736" t="s">
        <v>29272</v>
      </c>
    </row>
    <row r="5737" spans="1:20">
      <c r="A5737">
        <v>3412431</v>
      </c>
      <c r="B5737" t="s">
        <v>29273</v>
      </c>
      <c r="C5737" t="str">
        <f>"9780774803649"</f>
        <v>9780774803649</v>
      </c>
      <c r="D5737" t="str">
        <f>"9780774856652"</f>
        <v>9780774856652</v>
      </c>
      <c r="E5737" t="s">
        <v>26801</v>
      </c>
      <c r="F5737" t="s">
        <v>26801</v>
      </c>
      <c r="G5737" s="1">
        <v>33239</v>
      </c>
      <c r="J5737" t="s">
        <v>29274</v>
      </c>
      <c r="K5737" t="s">
        <v>1464</v>
      </c>
      <c r="L5737" t="s">
        <v>29275</v>
      </c>
      <c r="M5737">
        <v>813</v>
      </c>
      <c r="N5737" t="s">
        <v>29276</v>
      </c>
      <c r="O5737" t="s">
        <v>26</v>
      </c>
      <c r="R5737">
        <v>99</v>
      </c>
      <c r="T5737" t="s">
        <v>29277</v>
      </c>
    </row>
    <row r="5738" spans="1:20">
      <c r="A5738">
        <v>3412432</v>
      </c>
      <c r="B5738" t="s">
        <v>29278</v>
      </c>
      <c r="C5738" t="str">
        <f>"9780774801744"</f>
        <v>9780774801744</v>
      </c>
      <c r="D5738" t="str">
        <f>"9780774857680"</f>
        <v>9780774857680</v>
      </c>
      <c r="E5738" t="s">
        <v>26801</v>
      </c>
      <c r="F5738" t="s">
        <v>26801</v>
      </c>
      <c r="G5738" s="1">
        <v>30317</v>
      </c>
      <c r="I5738" t="s">
        <v>29279</v>
      </c>
      <c r="J5738" t="s">
        <v>29280</v>
      </c>
      <c r="K5738" t="s">
        <v>1464</v>
      </c>
      <c r="L5738" t="s">
        <v>29281</v>
      </c>
      <c r="M5738" t="s">
        <v>26510</v>
      </c>
      <c r="N5738" t="s">
        <v>29282</v>
      </c>
      <c r="O5738" t="s">
        <v>26</v>
      </c>
      <c r="R5738">
        <v>99</v>
      </c>
      <c r="T5738" t="s">
        <v>29283</v>
      </c>
    </row>
    <row r="5739" spans="1:20">
      <c r="A5739">
        <v>3412433</v>
      </c>
      <c r="B5739" t="s">
        <v>29284</v>
      </c>
      <c r="C5739" t="str">
        <f>"9780774800877"</f>
        <v>9780774800877</v>
      </c>
      <c r="D5739" t="str">
        <f>"9780774858021"</f>
        <v>9780774858021</v>
      </c>
      <c r="E5739" t="s">
        <v>26801</v>
      </c>
      <c r="F5739" t="s">
        <v>26801</v>
      </c>
      <c r="G5739" s="1">
        <v>24532</v>
      </c>
      <c r="J5739" t="s">
        <v>29285</v>
      </c>
      <c r="K5739" t="s">
        <v>1530</v>
      </c>
      <c r="L5739" t="s">
        <v>29286</v>
      </c>
      <c r="M5739" t="s">
        <v>29287</v>
      </c>
      <c r="N5739" t="s">
        <v>29288</v>
      </c>
      <c r="O5739" t="s">
        <v>26</v>
      </c>
      <c r="R5739">
        <v>99</v>
      </c>
      <c r="T5739" t="s">
        <v>29289</v>
      </c>
    </row>
    <row r="5740" spans="1:20">
      <c r="A5740">
        <v>3412434</v>
      </c>
      <c r="B5740" t="s">
        <v>29290</v>
      </c>
      <c r="C5740" t="str">
        <f>"9780774802529"</f>
        <v>9780774802529</v>
      </c>
      <c r="D5740" t="str">
        <f>"9780774857086"</f>
        <v>9780774857086</v>
      </c>
      <c r="E5740" t="s">
        <v>26801</v>
      </c>
      <c r="F5740" t="s">
        <v>26801</v>
      </c>
      <c r="G5740" s="1">
        <v>31413</v>
      </c>
      <c r="J5740" t="s">
        <v>29291</v>
      </c>
      <c r="K5740" t="s">
        <v>1464</v>
      </c>
      <c r="L5740" t="s">
        <v>29292</v>
      </c>
      <c r="M5740" t="s">
        <v>29293</v>
      </c>
      <c r="N5740" t="s">
        <v>29294</v>
      </c>
      <c r="O5740" t="s">
        <v>26</v>
      </c>
      <c r="R5740">
        <v>99</v>
      </c>
      <c r="T5740" t="s">
        <v>29295</v>
      </c>
    </row>
    <row r="5741" spans="1:20">
      <c r="A5741">
        <v>3412435</v>
      </c>
      <c r="B5741" t="s">
        <v>29296</v>
      </c>
      <c r="C5741" t="str">
        <f>"9780774802635"</f>
        <v>9780774802635</v>
      </c>
      <c r="D5741" t="str">
        <f>"9780774856959"</f>
        <v>9780774856959</v>
      </c>
      <c r="E5741" t="s">
        <v>26801</v>
      </c>
      <c r="F5741" t="s">
        <v>26801</v>
      </c>
      <c r="G5741" s="1">
        <v>31413</v>
      </c>
      <c r="J5741" t="s">
        <v>29297</v>
      </c>
      <c r="K5741" t="s">
        <v>1471</v>
      </c>
      <c r="L5741" t="s">
        <v>29298</v>
      </c>
      <c r="M5741">
        <v>730.92399999999998</v>
      </c>
      <c r="N5741" t="s">
        <v>29299</v>
      </c>
      <c r="O5741" t="s">
        <v>26</v>
      </c>
      <c r="R5741">
        <v>99</v>
      </c>
      <c r="T5741" t="s">
        <v>29300</v>
      </c>
    </row>
    <row r="5742" spans="1:20">
      <c r="A5742">
        <v>3412436</v>
      </c>
      <c r="B5742" t="s">
        <v>29301</v>
      </c>
      <c r="C5742" t="str">
        <f>"9780774807418"</f>
        <v>9780774807418</v>
      </c>
      <c r="D5742" t="str">
        <f>"9780774856256"</f>
        <v>9780774856256</v>
      </c>
      <c r="E5742" t="s">
        <v>26801</v>
      </c>
      <c r="F5742" t="s">
        <v>26801</v>
      </c>
      <c r="G5742" s="1">
        <v>36800</v>
      </c>
      <c r="J5742" t="s">
        <v>29302</v>
      </c>
      <c r="K5742" t="s">
        <v>291</v>
      </c>
      <c r="L5742" t="s">
        <v>29303</v>
      </c>
      <c r="M5742">
        <v>971.12019999999995</v>
      </c>
      <c r="N5742" t="s">
        <v>29304</v>
      </c>
      <c r="O5742" t="s">
        <v>26</v>
      </c>
      <c r="R5742">
        <v>99</v>
      </c>
      <c r="T5742" t="s">
        <v>29305</v>
      </c>
    </row>
    <row r="5743" spans="1:20">
      <c r="A5743">
        <v>3412437</v>
      </c>
      <c r="B5743" t="s">
        <v>29306</v>
      </c>
      <c r="C5743" t="str">
        <f>"9780774801102"</f>
        <v>9780774801102</v>
      </c>
      <c r="D5743" t="str">
        <f>"9780774857901"</f>
        <v>9780774857901</v>
      </c>
      <c r="E5743" t="s">
        <v>26801</v>
      </c>
      <c r="F5743" t="s">
        <v>26801</v>
      </c>
      <c r="G5743" s="1">
        <v>28856</v>
      </c>
      <c r="I5743" t="s">
        <v>29279</v>
      </c>
      <c r="J5743" t="s">
        <v>29307</v>
      </c>
      <c r="K5743" t="s">
        <v>291</v>
      </c>
      <c r="L5743" t="s">
        <v>29308</v>
      </c>
      <c r="M5743" t="s">
        <v>29309</v>
      </c>
      <c r="N5743" t="s">
        <v>29310</v>
      </c>
      <c r="O5743" t="s">
        <v>26</v>
      </c>
      <c r="R5743">
        <v>99</v>
      </c>
      <c r="T5743" t="s">
        <v>29311</v>
      </c>
    </row>
    <row r="5744" spans="1:20">
      <c r="A5744">
        <v>3412438</v>
      </c>
      <c r="B5744" t="s">
        <v>29312</v>
      </c>
      <c r="C5744" t="str">
        <f>"9780774800617"</f>
        <v>9780774800617</v>
      </c>
      <c r="D5744" t="str">
        <f>"9780774857970"</f>
        <v>9780774857970</v>
      </c>
      <c r="E5744" t="s">
        <v>26801</v>
      </c>
      <c r="F5744" t="s">
        <v>26801</v>
      </c>
      <c r="G5744" s="1">
        <v>28095</v>
      </c>
      <c r="J5744" t="s">
        <v>29313</v>
      </c>
      <c r="K5744" t="s">
        <v>416</v>
      </c>
      <c r="L5744" t="s">
        <v>29314</v>
      </c>
      <c r="M5744" t="s">
        <v>29315</v>
      </c>
      <c r="N5744" t="s">
        <v>29316</v>
      </c>
      <c r="O5744" t="s">
        <v>26</v>
      </c>
      <c r="R5744">
        <v>99</v>
      </c>
      <c r="T5744" t="s">
        <v>29317</v>
      </c>
    </row>
    <row r="5745" spans="1:20">
      <c r="A5745">
        <v>3412439</v>
      </c>
      <c r="B5745" t="s">
        <v>29318</v>
      </c>
      <c r="C5745" t="str">
        <f>"9780774803601"</f>
        <v>9780774803601</v>
      </c>
      <c r="D5745" t="str">
        <f>"9780774856690"</f>
        <v>9780774856690</v>
      </c>
      <c r="E5745" t="s">
        <v>26801</v>
      </c>
      <c r="F5745" t="s">
        <v>26801</v>
      </c>
      <c r="G5745" s="1">
        <v>32843</v>
      </c>
      <c r="H5745">
        <v>2</v>
      </c>
      <c r="J5745" t="s">
        <v>29319</v>
      </c>
      <c r="K5745" t="s">
        <v>416</v>
      </c>
      <c r="L5745" t="s">
        <v>29320</v>
      </c>
      <c r="M5745">
        <v>330.99</v>
      </c>
      <c r="N5745" t="s">
        <v>29321</v>
      </c>
      <c r="O5745" t="s">
        <v>26</v>
      </c>
      <c r="R5745">
        <v>99</v>
      </c>
      <c r="T5745" t="s">
        <v>29322</v>
      </c>
    </row>
    <row r="5746" spans="1:20">
      <c r="A5746">
        <v>3412440</v>
      </c>
      <c r="B5746" t="s">
        <v>29323</v>
      </c>
      <c r="C5746" t="str">
        <f>"9780774801027"</f>
        <v>9780774801027</v>
      </c>
      <c r="D5746" t="str">
        <f>"9780774857932"</f>
        <v>9780774857932</v>
      </c>
      <c r="E5746" t="s">
        <v>26801</v>
      </c>
      <c r="F5746" t="s">
        <v>26801</v>
      </c>
      <c r="G5746" s="1">
        <v>28491</v>
      </c>
      <c r="I5746" t="s">
        <v>29324</v>
      </c>
      <c r="J5746" t="s">
        <v>29325</v>
      </c>
      <c r="K5746" t="s">
        <v>263</v>
      </c>
      <c r="L5746" t="s">
        <v>29326</v>
      </c>
      <c r="M5746" t="s">
        <v>29327</v>
      </c>
      <c r="N5746" t="s">
        <v>29328</v>
      </c>
      <c r="O5746" t="s">
        <v>26</v>
      </c>
      <c r="R5746">
        <v>99</v>
      </c>
      <c r="T5746" t="s">
        <v>29329</v>
      </c>
    </row>
    <row r="5747" spans="1:20">
      <c r="A5747">
        <v>3412441</v>
      </c>
      <c r="B5747" t="s">
        <v>29330</v>
      </c>
      <c r="C5747" t="str">
        <f>"9780774807340"</f>
        <v>9780774807340</v>
      </c>
      <c r="D5747" t="str">
        <f>"9780774852227"</f>
        <v>9780774852227</v>
      </c>
      <c r="E5747" t="s">
        <v>26801</v>
      </c>
      <c r="F5747" t="s">
        <v>26801</v>
      </c>
      <c r="G5747" s="1">
        <v>39356</v>
      </c>
      <c r="I5747" t="s">
        <v>27589</v>
      </c>
      <c r="J5747" t="s">
        <v>29331</v>
      </c>
      <c r="K5747" t="s">
        <v>525</v>
      </c>
      <c r="L5747" t="s">
        <v>29332</v>
      </c>
      <c r="M5747">
        <v>341</v>
      </c>
      <c r="N5747" t="s">
        <v>29333</v>
      </c>
      <c r="O5747" t="s">
        <v>26</v>
      </c>
      <c r="R5747">
        <v>180</v>
      </c>
      <c r="T5747" t="s">
        <v>29334</v>
      </c>
    </row>
    <row r="5748" spans="1:20">
      <c r="A5748">
        <v>3412442</v>
      </c>
      <c r="B5748" t="s">
        <v>29335</v>
      </c>
      <c r="C5748" t="str">
        <f>"9780774803120"</f>
        <v>9780774803120</v>
      </c>
      <c r="D5748" t="str">
        <f>"9780774856829"</f>
        <v>9780774856829</v>
      </c>
      <c r="E5748" t="s">
        <v>26801</v>
      </c>
      <c r="F5748" t="s">
        <v>26801</v>
      </c>
      <c r="G5748" s="1">
        <v>32143</v>
      </c>
      <c r="J5748" t="s">
        <v>29336</v>
      </c>
      <c r="K5748" t="s">
        <v>4347</v>
      </c>
      <c r="L5748" t="s">
        <v>29337</v>
      </c>
      <c r="M5748" t="s">
        <v>29338</v>
      </c>
      <c r="N5748" t="s">
        <v>29339</v>
      </c>
      <c r="O5748" t="s">
        <v>26</v>
      </c>
      <c r="R5748">
        <v>99</v>
      </c>
      <c r="T5748" t="s">
        <v>29340</v>
      </c>
    </row>
    <row r="5749" spans="1:20">
      <c r="A5749">
        <v>3412443</v>
      </c>
      <c r="B5749" t="s">
        <v>29341</v>
      </c>
      <c r="C5749" t="str">
        <f>"9780774802581"</f>
        <v>9780774802581</v>
      </c>
      <c r="D5749" t="str">
        <f>"9780774857017"</f>
        <v>9780774857017</v>
      </c>
      <c r="E5749" t="s">
        <v>26801</v>
      </c>
      <c r="F5749" t="s">
        <v>26801</v>
      </c>
      <c r="G5749" s="1">
        <v>31413</v>
      </c>
      <c r="J5749" t="s">
        <v>13599</v>
      </c>
      <c r="K5749" t="s">
        <v>291</v>
      </c>
      <c r="L5749" t="s">
        <v>29342</v>
      </c>
      <c r="M5749">
        <v>941.072</v>
      </c>
      <c r="N5749" t="s">
        <v>29343</v>
      </c>
      <c r="O5749" t="s">
        <v>26</v>
      </c>
      <c r="R5749">
        <v>99</v>
      </c>
      <c r="T5749" t="s">
        <v>29344</v>
      </c>
    </row>
    <row r="5750" spans="1:20">
      <c r="A5750">
        <v>3412444</v>
      </c>
      <c r="B5750" t="s">
        <v>29345</v>
      </c>
      <c r="C5750" t="str">
        <f>"9780774813433"</f>
        <v>9780774813433</v>
      </c>
      <c r="D5750" t="str">
        <f>"9780774855686"</f>
        <v>9780774855686</v>
      </c>
      <c r="E5750" t="s">
        <v>26801</v>
      </c>
      <c r="F5750" t="s">
        <v>26801</v>
      </c>
      <c r="G5750" s="1">
        <v>39150</v>
      </c>
      <c r="J5750" t="s">
        <v>29346</v>
      </c>
      <c r="K5750" t="s">
        <v>29347</v>
      </c>
      <c r="L5750" t="s">
        <v>29348</v>
      </c>
      <c r="M5750">
        <v>571.30999999999995</v>
      </c>
      <c r="N5750" t="s">
        <v>29349</v>
      </c>
      <c r="O5750" t="s">
        <v>26</v>
      </c>
      <c r="R5750">
        <v>99</v>
      </c>
      <c r="T5750" t="s">
        <v>29350</v>
      </c>
    </row>
    <row r="5751" spans="1:20">
      <c r="A5751">
        <v>3412445</v>
      </c>
      <c r="B5751" t="s">
        <v>29351</v>
      </c>
      <c r="C5751" t="str">
        <f>"9780774800921"</f>
        <v>9780774800921</v>
      </c>
      <c r="D5751" t="str">
        <f>"9780774857888"</f>
        <v>9780774857888</v>
      </c>
      <c r="E5751" t="s">
        <v>26801</v>
      </c>
      <c r="F5751" t="s">
        <v>26801</v>
      </c>
      <c r="G5751" s="1">
        <v>29007</v>
      </c>
      <c r="J5751" t="s">
        <v>29352</v>
      </c>
      <c r="K5751" t="s">
        <v>3230</v>
      </c>
      <c r="L5751" t="s">
        <v>29353</v>
      </c>
      <c r="M5751">
        <v>912.71100000000001</v>
      </c>
      <c r="N5751" t="s">
        <v>29354</v>
      </c>
      <c r="O5751" t="s">
        <v>26</v>
      </c>
      <c r="R5751">
        <v>99</v>
      </c>
      <c r="T5751" t="s">
        <v>29355</v>
      </c>
    </row>
    <row r="5752" spans="1:20">
      <c r="A5752">
        <v>3412446</v>
      </c>
      <c r="B5752" t="s">
        <v>29356</v>
      </c>
      <c r="C5752" t="str">
        <f>"9780774801645"</f>
        <v>9780774801645</v>
      </c>
      <c r="D5752" t="str">
        <f>"9780774857734"</f>
        <v>9780774857734</v>
      </c>
      <c r="E5752" t="s">
        <v>26801</v>
      </c>
      <c r="F5752" t="s">
        <v>26801</v>
      </c>
      <c r="G5752" s="1">
        <v>30407</v>
      </c>
      <c r="J5752" t="s">
        <v>29357</v>
      </c>
      <c r="K5752" t="s">
        <v>263</v>
      </c>
      <c r="L5752" t="s">
        <v>29358</v>
      </c>
      <c r="M5752">
        <v>362.7</v>
      </c>
      <c r="N5752" t="s">
        <v>29359</v>
      </c>
      <c r="O5752" t="s">
        <v>26</v>
      </c>
      <c r="R5752">
        <v>99</v>
      </c>
      <c r="T5752" t="s">
        <v>29360</v>
      </c>
    </row>
    <row r="5753" spans="1:20">
      <c r="A5753">
        <v>3412447</v>
      </c>
      <c r="B5753" t="s">
        <v>29361</v>
      </c>
      <c r="C5753" t="str">
        <f>"9780774802499"</f>
        <v>9780774802499</v>
      </c>
      <c r="D5753" t="str">
        <f>"9780774856966"</f>
        <v>9780774856966</v>
      </c>
      <c r="E5753" t="s">
        <v>26801</v>
      </c>
      <c r="F5753" t="s">
        <v>26801</v>
      </c>
      <c r="G5753" s="1">
        <v>31413</v>
      </c>
      <c r="J5753" t="s">
        <v>29362</v>
      </c>
      <c r="K5753" t="s">
        <v>257</v>
      </c>
      <c r="L5753" t="s">
        <v>29363</v>
      </c>
      <c r="M5753">
        <v>378.15429999999998</v>
      </c>
      <c r="N5753" t="s">
        <v>29364</v>
      </c>
      <c r="O5753" t="s">
        <v>26</v>
      </c>
      <c r="R5753">
        <v>99</v>
      </c>
      <c r="T5753" t="s">
        <v>29365</v>
      </c>
    </row>
    <row r="5754" spans="1:20">
      <c r="A5754">
        <v>3412448</v>
      </c>
      <c r="B5754" t="s">
        <v>29366</v>
      </c>
      <c r="C5754" t="str">
        <f>"9780774807067"</f>
        <v>9780774807067</v>
      </c>
      <c r="D5754" t="str">
        <f>"9780774856324"</f>
        <v>9780774856324</v>
      </c>
      <c r="E5754" t="s">
        <v>26801</v>
      </c>
      <c r="F5754" t="s">
        <v>26801</v>
      </c>
      <c r="G5754" s="1">
        <v>36281</v>
      </c>
      <c r="J5754" t="s">
        <v>29367</v>
      </c>
      <c r="K5754" t="s">
        <v>291</v>
      </c>
      <c r="L5754" t="s">
        <v>29368</v>
      </c>
      <c r="N5754" t="s">
        <v>29369</v>
      </c>
      <c r="O5754" t="s">
        <v>26</v>
      </c>
      <c r="R5754">
        <v>99</v>
      </c>
      <c r="T5754" t="s">
        <v>29370</v>
      </c>
    </row>
    <row r="5755" spans="1:20">
      <c r="A5755">
        <v>3412449</v>
      </c>
      <c r="B5755" t="s">
        <v>29371</v>
      </c>
      <c r="C5755" t="str">
        <f>"9780774801409"</f>
        <v>9780774801409</v>
      </c>
      <c r="D5755" t="str">
        <f>"9780774857833"</f>
        <v>9780774857833</v>
      </c>
      <c r="E5755" t="s">
        <v>26801</v>
      </c>
      <c r="F5755" t="s">
        <v>26801</v>
      </c>
      <c r="G5755" s="1">
        <v>29587</v>
      </c>
      <c r="I5755" t="s">
        <v>29372</v>
      </c>
      <c r="J5755" t="s">
        <v>29373</v>
      </c>
      <c r="K5755" t="s">
        <v>263</v>
      </c>
      <c r="L5755" t="s">
        <v>29374</v>
      </c>
      <c r="M5755">
        <v>307.76089999999999</v>
      </c>
      <c r="N5755" t="s">
        <v>29375</v>
      </c>
      <c r="O5755" t="s">
        <v>26</v>
      </c>
      <c r="R5755">
        <v>99</v>
      </c>
      <c r="T5755" t="s">
        <v>29376</v>
      </c>
    </row>
    <row r="5756" spans="1:20">
      <c r="A5756">
        <v>3412450</v>
      </c>
      <c r="B5756" t="s">
        <v>29377</v>
      </c>
      <c r="C5756" t="str">
        <f>"9780774802086"</f>
        <v>9780774802086</v>
      </c>
      <c r="D5756" t="str">
        <f>"9780774857635"</f>
        <v>9780774857635</v>
      </c>
      <c r="E5756" t="s">
        <v>26801</v>
      </c>
      <c r="F5756" t="s">
        <v>26801</v>
      </c>
      <c r="G5756" s="1">
        <v>30682</v>
      </c>
      <c r="J5756" t="s">
        <v>16680</v>
      </c>
      <c r="K5756" t="s">
        <v>8461</v>
      </c>
      <c r="L5756" t="s">
        <v>29378</v>
      </c>
      <c r="M5756">
        <v>618.20000000000005</v>
      </c>
      <c r="N5756" t="s">
        <v>29379</v>
      </c>
      <c r="O5756" t="s">
        <v>26</v>
      </c>
      <c r="R5756">
        <v>99</v>
      </c>
      <c r="T5756" t="s">
        <v>29380</v>
      </c>
    </row>
    <row r="5757" spans="1:20">
      <c r="A5757">
        <v>3412451</v>
      </c>
      <c r="B5757" t="s">
        <v>29381</v>
      </c>
      <c r="C5757" t="str">
        <f>"9780774812993"</f>
        <v>9780774812993</v>
      </c>
      <c r="D5757" t="str">
        <f>"9780774855396"</f>
        <v>9780774855396</v>
      </c>
      <c r="E5757" t="s">
        <v>26801</v>
      </c>
      <c r="F5757" t="s">
        <v>26801</v>
      </c>
      <c r="G5757" s="1">
        <v>39083</v>
      </c>
      <c r="I5757" t="s">
        <v>26818</v>
      </c>
      <c r="J5757" t="s">
        <v>26819</v>
      </c>
      <c r="K5757" t="s">
        <v>525</v>
      </c>
      <c r="L5757" t="s">
        <v>29382</v>
      </c>
      <c r="M5757" t="s">
        <v>29383</v>
      </c>
      <c r="N5757" t="s">
        <v>29384</v>
      </c>
      <c r="O5757" t="s">
        <v>26</v>
      </c>
      <c r="R5757">
        <v>99</v>
      </c>
      <c r="T5757" t="s">
        <v>29385</v>
      </c>
    </row>
    <row r="5758" spans="1:20">
      <c r="A5758">
        <v>3412452</v>
      </c>
      <c r="B5758" t="s">
        <v>29386</v>
      </c>
      <c r="C5758" t="str">
        <f>"9780774802703"</f>
        <v>9780774802703</v>
      </c>
      <c r="D5758" t="str">
        <f>"9780774856935"</f>
        <v>9780774856935</v>
      </c>
      <c r="E5758" t="s">
        <v>26801</v>
      </c>
      <c r="F5758" t="s">
        <v>26801</v>
      </c>
      <c r="G5758" s="1">
        <v>31778</v>
      </c>
      <c r="J5758" t="s">
        <v>29387</v>
      </c>
      <c r="K5758" t="s">
        <v>291</v>
      </c>
      <c r="L5758" t="s">
        <v>29388</v>
      </c>
      <c r="M5758">
        <v>940.48860000000002</v>
      </c>
      <c r="N5758" t="s">
        <v>29389</v>
      </c>
      <c r="O5758" t="s">
        <v>26</v>
      </c>
      <c r="R5758">
        <v>99</v>
      </c>
      <c r="T5758" t="s">
        <v>29390</v>
      </c>
    </row>
    <row r="5759" spans="1:20">
      <c r="A5759">
        <v>3412453</v>
      </c>
      <c r="B5759" t="s">
        <v>29391</v>
      </c>
      <c r="C5759" t="str">
        <f>"9780774801393"</f>
        <v>9780774801393</v>
      </c>
      <c r="D5759" t="str">
        <f>"9780774857765"</f>
        <v>9780774857765</v>
      </c>
      <c r="E5759" t="s">
        <v>26801</v>
      </c>
      <c r="F5759" t="s">
        <v>26801</v>
      </c>
      <c r="G5759" s="1">
        <v>29952</v>
      </c>
      <c r="J5759" t="s">
        <v>29392</v>
      </c>
      <c r="K5759" t="s">
        <v>416</v>
      </c>
      <c r="L5759" t="s">
        <v>29393</v>
      </c>
      <c r="M5759">
        <v>338.1</v>
      </c>
      <c r="N5759" t="s">
        <v>29394</v>
      </c>
      <c r="O5759" t="s">
        <v>26</v>
      </c>
      <c r="R5759">
        <v>99</v>
      </c>
      <c r="T5759" t="s">
        <v>29395</v>
      </c>
    </row>
    <row r="5760" spans="1:20">
      <c r="A5760">
        <v>3412454</v>
      </c>
      <c r="B5760" t="s">
        <v>29396</v>
      </c>
      <c r="C5760" t="str">
        <f>"9780774802314"</f>
        <v>9780774802314</v>
      </c>
      <c r="D5760" t="str">
        <f>"9780774857000"</f>
        <v>9780774857000</v>
      </c>
      <c r="E5760" t="s">
        <v>26801</v>
      </c>
      <c r="F5760" t="s">
        <v>26801</v>
      </c>
      <c r="G5760" s="1">
        <v>31413</v>
      </c>
      <c r="J5760" t="s">
        <v>29397</v>
      </c>
      <c r="K5760" t="s">
        <v>3230</v>
      </c>
      <c r="L5760" t="s">
        <v>29398</v>
      </c>
      <c r="M5760">
        <v>915</v>
      </c>
      <c r="N5760" t="s">
        <v>29399</v>
      </c>
      <c r="O5760" t="s">
        <v>26</v>
      </c>
      <c r="R5760">
        <v>99</v>
      </c>
      <c r="T5760" t="s">
        <v>29400</v>
      </c>
    </row>
    <row r="5761" spans="1:20">
      <c r="A5761">
        <v>3412455</v>
      </c>
      <c r="B5761" t="s">
        <v>29401</v>
      </c>
      <c r="C5761" t="str">
        <f>"9780774802567"</f>
        <v>9780774802567</v>
      </c>
      <c r="D5761" t="str">
        <f>"9780774857079"</f>
        <v>9780774857079</v>
      </c>
      <c r="E5761" t="s">
        <v>26801</v>
      </c>
      <c r="F5761" t="s">
        <v>26801</v>
      </c>
      <c r="G5761" s="1">
        <v>31656</v>
      </c>
      <c r="J5761" t="s">
        <v>29402</v>
      </c>
      <c r="K5761" t="s">
        <v>1550</v>
      </c>
      <c r="L5761" t="s">
        <v>29403</v>
      </c>
      <c r="M5761">
        <v>971.1</v>
      </c>
      <c r="N5761" t="s">
        <v>29404</v>
      </c>
      <c r="O5761" t="s">
        <v>26</v>
      </c>
      <c r="R5761">
        <v>99</v>
      </c>
      <c r="T5761" t="s">
        <v>29405</v>
      </c>
    </row>
    <row r="5762" spans="1:20">
      <c r="A5762">
        <v>3412456</v>
      </c>
      <c r="B5762" t="s">
        <v>29406</v>
      </c>
      <c r="C5762" t="str">
        <f>"9780774803496"</f>
        <v>9780774803496</v>
      </c>
      <c r="D5762" t="str">
        <f>"9780774856706"</f>
        <v>9780774856706</v>
      </c>
      <c r="E5762" t="s">
        <v>26801</v>
      </c>
      <c r="F5762" t="s">
        <v>26801</v>
      </c>
      <c r="G5762" s="1">
        <v>32874</v>
      </c>
      <c r="J5762" t="s">
        <v>29407</v>
      </c>
      <c r="K5762" t="s">
        <v>574</v>
      </c>
      <c r="L5762" t="s">
        <v>29408</v>
      </c>
      <c r="M5762">
        <v>334.68299999999999</v>
      </c>
      <c r="N5762" t="s">
        <v>29409</v>
      </c>
      <c r="O5762" t="s">
        <v>26</v>
      </c>
      <c r="R5762">
        <v>99</v>
      </c>
      <c r="T5762" t="s">
        <v>29410</v>
      </c>
    </row>
    <row r="5763" spans="1:20">
      <c r="A5763">
        <v>3412457</v>
      </c>
      <c r="B5763" t="s">
        <v>29411</v>
      </c>
      <c r="C5763" t="str">
        <f>"9780774802352"</f>
        <v>9780774802352</v>
      </c>
      <c r="D5763" t="str">
        <f>"9780774857147"</f>
        <v>9780774857147</v>
      </c>
      <c r="E5763" t="s">
        <v>26801</v>
      </c>
      <c r="F5763" t="s">
        <v>26801</v>
      </c>
      <c r="G5763" s="1">
        <v>31048</v>
      </c>
      <c r="I5763" t="s">
        <v>29372</v>
      </c>
      <c r="J5763" t="s">
        <v>29412</v>
      </c>
      <c r="K5763" t="s">
        <v>435</v>
      </c>
      <c r="L5763" t="s">
        <v>29413</v>
      </c>
      <c r="M5763">
        <v>333.77</v>
      </c>
      <c r="N5763" t="s">
        <v>29414</v>
      </c>
      <c r="O5763" t="s">
        <v>26</v>
      </c>
      <c r="R5763">
        <v>99</v>
      </c>
      <c r="T5763" t="s">
        <v>29415</v>
      </c>
    </row>
    <row r="5764" spans="1:20">
      <c r="A5764">
        <v>3412458</v>
      </c>
      <c r="B5764" t="s">
        <v>29416</v>
      </c>
      <c r="C5764" t="str">
        <f>"9780774803151"</f>
        <v>9780774803151</v>
      </c>
      <c r="D5764" t="str">
        <f>"9780774856775"</f>
        <v>9780774856775</v>
      </c>
      <c r="E5764" t="s">
        <v>26801</v>
      </c>
      <c r="F5764" t="s">
        <v>26801</v>
      </c>
      <c r="G5764" s="1">
        <v>32509</v>
      </c>
      <c r="J5764" t="s">
        <v>29417</v>
      </c>
      <c r="K5764" t="s">
        <v>1859</v>
      </c>
      <c r="L5764" t="s">
        <v>29418</v>
      </c>
      <c r="M5764">
        <v>192</v>
      </c>
      <c r="N5764" t="s">
        <v>29419</v>
      </c>
      <c r="O5764" t="s">
        <v>26</v>
      </c>
      <c r="R5764">
        <v>99</v>
      </c>
      <c r="T5764" t="s">
        <v>29420</v>
      </c>
    </row>
    <row r="5765" spans="1:20">
      <c r="A5765">
        <v>3412459</v>
      </c>
      <c r="B5765" t="s">
        <v>29421</v>
      </c>
      <c r="C5765" t="str">
        <f>"9780774802604"</f>
        <v>9780774802604</v>
      </c>
      <c r="D5765" t="str">
        <f>"9780774857048"</f>
        <v>9780774857048</v>
      </c>
      <c r="E5765" t="s">
        <v>26801</v>
      </c>
      <c r="F5765" t="s">
        <v>26801</v>
      </c>
      <c r="G5765" s="1">
        <v>31413</v>
      </c>
      <c r="J5765" t="s">
        <v>29422</v>
      </c>
      <c r="K5765" t="s">
        <v>467</v>
      </c>
      <c r="L5765" t="s">
        <v>29423</v>
      </c>
      <c r="N5765" t="s">
        <v>29424</v>
      </c>
      <c r="O5765" t="s">
        <v>26</v>
      </c>
      <c r="R5765">
        <v>99</v>
      </c>
      <c r="T5765" t="s">
        <v>29425</v>
      </c>
    </row>
    <row r="5766" spans="1:20">
      <c r="A5766">
        <v>3412460</v>
      </c>
      <c r="B5766" t="s">
        <v>29426</v>
      </c>
      <c r="C5766" t="str">
        <f>"9780774800334"</f>
        <v>9780774800334</v>
      </c>
      <c r="D5766" t="str">
        <f>"9780774857994"</f>
        <v>9780774857994</v>
      </c>
      <c r="E5766" t="s">
        <v>26801</v>
      </c>
      <c r="F5766" t="s">
        <v>26801</v>
      </c>
      <c r="G5766" s="1">
        <v>27030</v>
      </c>
      <c r="J5766" t="s">
        <v>29427</v>
      </c>
      <c r="K5766" t="s">
        <v>7621</v>
      </c>
      <c r="L5766" t="s">
        <v>29428</v>
      </c>
      <c r="M5766">
        <v>299.7</v>
      </c>
      <c r="N5766" t="s">
        <v>29429</v>
      </c>
      <c r="O5766" t="s">
        <v>26</v>
      </c>
      <c r="R5766">
        <v>99</v>
      </c>
      <c r="T5766" t="s">
        <v>29430</v>
      </c>
    </row>
    <row r="5767" spans="1:20">
      <c r="A5767">
        <v>3412461</v>
      </c>
      <c r="B5767" t="s">
        <v>29431</v>
      </c>
      <c r="C5767" t="str">
        <f>"9780774802116"</f>
        <v>9780774802116</v>
      </c>
      <c r="D5767" t="str">
        <f>"9780774857567"</f>
        <v>9780774857567</v>
      </c>
      <c r="E5767" t="s">
        <v>26801</v>
      </c>
      <c r="F5767" t="s">
        <v>26801</v>
      </c>
      <c r="G5767" s="1">
        <v>31048</v>
      </c>
      <c r="J5767" t="s">
        <v>29432</v>
      </c>
      <c r="K5767" t="s">
        <v>1464</v>
      </c>
      <c r="L5767" t="s">
        <v>29433</v>
      </c>
      <c r="M5767" t="s">
        <v>8096</v>
      </c>
      <c r="N5767" t="s">
        <v>29434</v>
      </c>
      <c r="O5767" t="s">
        <v>26</v>
      </c>
      <c r="R5767">
        <v>99</v>
      </c>
      <c r="T5767" t="s">
        <v>29435</v>
      </c>
    </row>
    <row r="5768" spans="1:20">
      <c r="A5768">
        <v>3412462</v>
      </c>
      <c r="B5768" t="s">
        <v>29436</v>
      </c>
      <c r="C5768" t="str">
        <f>"9780774802055"</f>
        <v>9780774802055</v>
      </c>
      <c r="D5768" t="str">
        <f>"9780774857611"</f>
        <v>9780774857611</v>
      </c>
      <c r="E5768" t="s">
        <v>26801</v>
      </c>
      <c r="F5768" t="s">
        <v>26801</v>
      </c>
      <c r="G5768" s="1">
        <v>30834</v>
      </c>
      <c r="J5768" t="s">
        <v>28276</v>
      </c>
      <c r="K5768" t="s">
        <v>1464</v>
      </c>
      <c r="L5768" t="s">
        <v>29437</v>
      </c>
      <c r="M5768" t="s">
        <v>29438</v>
      </c>
      <c r="N5768" t="s">
        <v>29439</v>
      </c>
      <c r="O5768" t="s">
        <v>26</v>
      </c>
      <c r="R5768">
        <v>99</v>
      </c>
      <c r="T5768" t="s">
        <v>29440</v>
      </c>
    </row>
    <row r="5769" spans="1:20">
      <c r="A5769">
        <v>3412463</v>
      </c>
      <c r="B5769" t="s">
        <v>29441</v>
      </c>
      <c r="C5769" t="str">
        <f>"9780774801935"</f>
        <v>9780774801935</v>
      </c>
      <c r="D5769" t="str">
        <f>"9780774857628"</f>
        <v>9780774857628</v>
      </c>
      <c r="E5769" t="s">
        <v>26801</v>
      </c>
      <c r="F5769" t="s">
        <v>26801</v>
      </c>
      <c r="G5769" s="1">
        <v>30682</v>
      </c>
      <c r="J5769" t="s">
        <v>29442</v>
      </c>
      <c r="K5769" t="s">
        <v>1464</v>
      </c>
      <c r="L5769" t="s">
        <v>29443</v>
      </c>
      <c r="M5769" t="s">
        <v>29444</v>
      </c>
      <c r="N5769" t="s">
        <v>29445</v>
      </c>
      <c r="O5769" t="s">
        <v>26</v>
      </c>
      <c r="R5769">
        <v>99</v>
      </c>
      <c r="T5769" t="s">
        <v>29446</v>
      </c>
    </row>
    <row r="5770" spans="1:20">
      <c r="A5770">
        <v>3412464</v>
      </c>
      <c r="B5770" t="s">
        <v>29447</v>
      </c>
      <c r="C5770" t="str">
        <f>"9780774804288"</f>
        <v>9780774804288</v>
      </c>
      <c r="D5770" t="str">
        <f>"9780774856539"</f>
        <v>9780774856539</v>
      </c>
      <c r="E5770" t="s">
        <v>26801</v>
      </c>
      <c r="F5770" t="s">
        <v>26801</v>
      </c>
      <c r="G5770" s="1">
        <v>33970</v>
      </c>
      <c r="J5770" t="s">
        <v>29448</v>
      </c>
      <c r="K5770" t="s">
        <v>263</v>
      </c>
      <c r="L5770" t="s">
        <v>29449</v>
      </c>
      <c r="M5770">
        <v>361.61500000000001</v>
      </c>
      <c r="N5770" t="s">
        <v>29450</v>
      </c>
      <c r="O5770" t="s">
        <v>26</v>
      </c>
      <c r="R5770">
        <v>99</v>
      </c>
      <c r="T5770" t="s">
        <v>29451</v>
      </c>
    </row>
    <row r="5771" spans="1:20">
      <c r="A5771">
        <v>3412465</v>
      </c>
      <c r="B5771" t="s">
        <v>29452</v>
      </c>
      <c r="C5771" t="str">
        <f>"9780774800730"</f>
        <v>9780774800730</v>
      </c>
      <c r="D5771" t="str">
        <f>"9780774857949"</f>
        <v>9780774857949</v>
      </c>
      <c r="E5771" t="s">
        <v>26801</v>
      </c>
      <c r="F5771" t="s">
        <v>26801</v>
      </c>
      <c r="G5771" s="1">
        <v>28338</v>
      </c>
      <c r="J5771" t="s">
        <v>29453</v>
      </c>
      <c r="K5771" t="s">
        <v>778</v>
      </c>
      <c r="L5771" t="s">
        <v>29454</v>
      </c>
      <c r="M5771">
        <v>341.44799999999998</v>
      </c>
      <c r="N5771" t="s">
        <v>29455</v>
      </c>
      <c r="O5771" t="s">
        <v>26</v>
      </c>
      <c r="R5771">
        <v>99</v>
      </c>
      <c r="T5771" t="s">
        <v>29456</v>
      </c>
    </row>
    <row r="5772" spans="1:20">
      <c r="A5772">
        <v>3412466</v>
      </c>
      <c r="B5772" t="s">
        <v>29457</v>
      </c>
      <c r="C5772" t="str">
        <f>"9780774801652"</f>
        <v>9780774801652</v>
      </c>
      <c r="D5772" t="str">
        <f>"9780774857659"</f>
        <v>9780774857659</v>
      </c>
      <c r="E5772" t="s">
        <v>26801</v>
      </c>
      <c r="F5772" t="s">
        <v>26801</v>
      </c>
      <c r="G5772" s="1">
        <v>30317</v>
      </c>
      <c r="J5772" t="s">
        <v>24162</v>
      </c>
      <c r="K5772" t="s">
        <v>291</v>
      </c>
      <c r="L5772" t="s">
        <v>29458</v>
      </c>
      <c r="M5772">
        <v>971.1</v>
      </c>
      <c r="N5772" t="s">
        <v>29459</v>
      </c>
      <c r="O5772" t="s">
        <v>26</v>
      </c>
      <c r="R5772">
        <v>99</v>
      </c>
      <c r="T5772" t="s">
        <v>29460</v>
      </c>
    </row>
    <row r="5773" spans="1:20">
      <c r="A5773">
        <v>3412467</v>
      </c>
      <c r="B5773" t="s">
        <v>29461</v>
      </c>
      <c r="C5773" t="str">
        <f>"9780774805759"</f>
        <v>9780774805759</v>
      </c>
      <c r="D5773" t="str">
        <f>"9780774856430"</f>
        <v>9780774856430</v>
      </c>
      <c r="E5773" t="s">
        <v>26801</v>
      </c>
      <c r="F5773" t="s">
        <v>26801</v>
      </c>
      <c r="G5773" s="1">
        <v>35034</v>
      </c>
      <c r="J5773" t="s">
        <v>29462</v>
      </c>
      <c r="K5773" t="s">
        <v>155</v>
      </c>
      <c r="L5773" t="s">
        <v>29463</v>
      </c>
      <c r="N5773" t="s">
        <v>29464</v>
      </c>
      <c r="O5773" t="s">
        <v>26</v>
      </c>
      <c r="R5773">
        <v>99</v>
      </c>
      <c r="T5773" t="s">
        <v>29465</v>
      </c>
    </row>
    <row r="5774" spans="1:20">
      <c r="A5774">
        <v>3412468</v>
      </c>
      <c r="B5774" t="s">
        <v>29466</v>
      </c>
      <c r="C5774" t="str">
        <f>"9780774802383"</f>
        <v>9780774802383</v>
      </c>
      <c r="D5774" t="str">
        <f>"9780774857031"</f>
        <v>9780774857031</v>
      </c>
      <c r="E5774" t="s">
        <v>26801</v>
      </c>
      <c r="F5774" t="s">
        <v>26801</v>
      </c>
      <c r="G5774" s="1">
        <v>31413</v>
      </c>
      <c r="J5774" t="s">
        <v>29467</v>
      </c>
      <c r="K5774" t="s">
        <v>263</v>
      </c>
      <c r="L5774" t="s">
        <v>29468</v>
      </c>
      <c r="M5774" t="s">
        <v>21474</v>
      </c>
      <c r="N5774" t="s">
        <v>29469</v>
      </c>
      <c r="O5774" t="s">
        <v>26</v>
      </c>
      <c r="R5774">
        <v>99</v>
      </c>
      <c r="T5774" t="s">
        <v>29470</v>
      </c>
    </row>
    <row r="5775" spans="1:20">
      <c r="A5775">
        <v>3412469</v>
      </c>
      <c r="B5775" t="s">
        <v>29471</v>
      </c>
      <c r="C5775" t="str">
        <f>"9780774803342"</f>
        <v>9780774803342</v>
      </c>
      <c r="D5775" t="str">
        <f>"9780774856713"</f>
        <v>9780774856713</v>
      </c>
      <c r="E5775" t="s">
        <v>26801</v>
      </c>
      <c r="F5775" t="s">
        <v>26801</v>
      </c>
      <c r="G5775" s="1">
        <v>32874</v>
      </c>
      <c r="J5775" t="s">
        <v>29472</v>
      </c>
      <c r="K5775" t="s">
        <v>2951</v>
      </c>
      <c r="L5775" t="s">
        <v>29473</v>
      </c>
      <c r="M5775">
        <v>302.22399999999999</v>
      </c>
      <c r="N5775" t="s">
        <v>29474</v>
      </c>
      <c r="O5775" t="s">
        <v>26</v>
      </c>
      <c r="R5775">
        <v>99</v>
      </c>
      <c r="T5775" t="s">
        <v>29475</v>
      </c>
    </row>
    <row r="5776" spans="1:20">
      <c r="A5776">
        <v>3412470</v>
      </c>
      <c r="B5776" t="s">
        <v>29476</v>
      </c>
      <c r="C5776" t="str">
        <f>"9780774802277"</f>
        <v>9780774802277</v>
      </c>
      <c r="D5776" t="str">
        <f>"9780774857109"</f>
        <v>9780774857109</v>
      </c>
      <c r="E5776" t="s">
        <v>26801</v>
      </c>
      <c r="F5776" t="s">
        <v>26801</v>
      </c>
      <c r="G5776" s="1">
        <v>31017</v>
      </c>
      <c r="J5776" t="s">
        <v>29477</v>
      </c>
      <c r="K5776" t="s">
        <v>263</v>
      </c>
      <c r="L5776" t="s">
        <v>29478</v>
      </c>
      <c r="N5776" t="s">
        <v>29479</v>
      </c>
      <c r="O5776" t="s">
        <v>26</v>
      </c>
      <c r="R5776">
        <v>99</v>
      </c>
      <c r="T5776" t="s">
        <v>29480</v>
      </c>
    </row>
    <row r="5777" spans="1:20">
      <c r="A5777">
        <v>3412471</v>
      </c>
      <c r="B5777" t="s">
        <v>29481</v>
      </c>
      <c r="C5777" t="str">
        <f>"9780774801546"</f>
        <v>9780774801546</v>
      </c>
      <c r="D5777" t="str">
        <f>"9780774857772"</f>
        <v>9780774857772</v>
      </c>
      <c r="E5777" t="s">
        <v>26801</v>
      </c>
      <c r="F5777" t="s">
        <v>26801</v>
      </c>
      <c r="G5777" s="1">
        <v>29952</v>
      </c>
      <c r="J5777" t="s">
        <v>13129</v>
      </c>
      <c r="K5777" t="s">
        <v>1464</v>
      </c>
      <c r="L5777" t="s">
        <v>29482</v>
      </c>
      <c r="M5777" t="s">
        <v>1460</v>
      </c>
      <c r="N5777" t="s">
        <v>29483</v>
      </c>
      <c r="O5777" t="s">
        <v>26</v>
      </c>
      <c r="R5777">
        <v>99</v>
      </c>
      <c r="T5777" t="s">
        <v>29484</v>
      </c>
    </row>
    <row r="5778" spans="1:20">
      <c r="A5778">
        <v>3412472</v>
      </c>
      <c r="B5778" t="s">
        <v>29485</v>
      </c>
      <c r="C5778" t="str">
        <f>"9780774802888"</f>
        <v>9780774802888</v>
      </c>
      <c r="D5778" t="str">
        <f>"9780774857857"</f>
        <v>9780774857857</v>
      </c>
      <c r="E5778" t="s">
        <v>26801</v>
      </c>
      <c r="F5778" t="s">
        <v>26801</v>
      </c>
      <c r="G5778" s="1">
        <v>29221</v>
      </c>
      <c r="J5778" t="s">
        <v>29486</v>
      </c>
      <c r="K5778" t="s">
        <v>29487</v>
      </c>
      <c r="L5778" t="s">
        <v>29488</v>
      </c>
      <c r="M5778">
        <v>1.944</v>
      </c>
      <c r="N5778" t="s">
        <v>29489</v>
      </c>
      <c r="O5778" t="s">
        <v>26</v>
      </c>
      <c r="R5778">
        <v>99</v>
      </c>
      <c r="T5778" t="s">
        <v>29490</v>
      </c>
    </row>
    <row r="5779" spans="1:20">
      <c r="A5779">
        <v>3412473</v>
      </c>
      <c r="B5779" t="s">
        <v>29491</v>
      </c>
      <c r="C5779" t="str">
        <f>"9780774805964"</f>
        <v>9780774805964</v>
      </c>
      <c r="D5779" t="str">
        <f>"9780774856416"</f>
        <v>9780774856416</v>
      </c>
      <c r="E5779" t="s">
        <v>26801</v>
      </c>
      <c r="F5779" t="s">
        <v>26801</v>
      </c>
      <c r="G5779" s="1">
        <v>35796</v>
      </c>
      <c r="J5779" t="s">
        <v>29492</v>
      </c>
      <c r="K5779" t="s">
        <v>1550</v>
      </c>
      <c r="L5779" t="s">
        <v>29493</v>
      </c>
      <c r="M5779" t="s">
        <v>29494</v>
      </c>
      <c r="N5779" t="s">
        <v>29495</v>
      </c>
      <c r="O5779" t="s">
        <v>26</v>
      </c>
      <c r="R5779">
        <v>99</v>
      </c>
      <c r="T5779" t="s">
        <v>29496</v>
      </c>
    </row>
    <row r="5780" spans="1:20">
      <c r="A5780">
        <v>3412474</v>
      </c>
      <c r="B5780" t="s">
        <v>29497</v>
      </c>
      <c r="C5780" t="str">
        <f>"9780774800389"</f>
        <v>9780774800389</v>
      </c>
      <c r="D5780" t="str">
        <f>"9780774857987"</f>
        <v>9780774857987</v>
      </c>
      <c r="E5780" t="s">
        <v>26801</v>
      </c>
      <c r="F5780" t="s">
        <v>26801</v>
      </c>
      <c r="G5780" s="1">
        <v>27729</v>
      </c>
      <c r="I5780" t="s">
        <v>29279</v>
      </c>
      <c r="J5780" t="s">
        <v>29498</v>
      </c>
      <c r="K5780" t="s">
        <v>6444</v>
      </c>
      <c r="L5780" t="s">
        <v>29499</v>
      </c>
      <c r="M5780">
        <v>328</v>
      </c>
      <c r="N5780" t="s">
        <v>29500</v>
      </c>
      <c r="O5780" t="s">
        <v>26</v>
      </c>
      <c r="R5780">
        <v>99</v>
      </c>
      <c r="T5780" t="s">
        <v>29501</v>
      </c>
    </row>
    <row r="5781" spans="1:20">
      <c r="A5781">
        <v>3412475</v>
      </c>
      <c r="B5781" t="s">
        <v>29502</v>
      </c>
      <c r="C5781" t="str">
        <f>"9780774802956"</f>
        <v>9780774802956</v>
      </c>
      <c r="D5781" t="str">
        <f>"9780774856638"</f>
        <v>9780774856638</v>
      </c>
      <c r="E5781" t="s">
        <v>26801</v>
      </c>
      <c r="F5781" t="s">
        <v>26801</v>
      </c>
      <c r="G5781" s="1">
        <v>32143</v>
      </c>
      <c r="J5781" t="s">
        <v>16803</v>
      </c>
      <c r="K5781" t="s">
        <v>263</v>
      </c>
      <c r="L5781" t="s">
        <v>29503</v>
      </c>
      <c r="M5781">
        <v>307.76097099999998</v>
      </c>
      <c r="N5781" t="s">
        <v>29504</v>
      </c>
      <c r="O5781" t="s">
        <v>26</v>
      </c>
      <c r="R5781">
        <v>99</v>
      </c>
      <c r="T5781" t="s">
        <v>29505</v>
      </c>
    </row>
    <row r="5782" spans="1:20">
      <c r="A5782">
        <v>3412476</v>
      </c>
      <c r="B5782" t="s">
        <v>29506</v>
      </c>
      <c r="C5782" t="str">
        <f>"9780774810388"</f>
        <v>9780774810388</v>
      </c>
      <c r="D5782" t="str">
        <f>"9780774850537"</f>
        <v>9780774850537</v>
      </c>
      <c r="E5782" t="s">
        <v>26801</v>
      </c>
      <c r="F5782" t="s">
        <v>26801</v>
      </c>
      <c r="G5782" s="1">
        <v>37742</v>
      </c>
      <c r="I5782" t="s">
        <v>27673</v>
      </c>
      <c r="J5782" t="s">
        <v>29507</v>
      </c>
      <c r="K5782" t="s">
        <v>1892</v>
      </c>
      <c r="L5782" t="s">
        <v>29508</v>
      </c>
      <c r="M5782">
        <v>291</v>
      </c>
      <c r="N5782" t="s">
        <v>29509</v>
      </c>
      <c r="O5782" t="s">
        <v>26</v>
      </c>
      <c r="R5782">
        <v>115</v>
      </c>
      <c r="T5782" t="s">
        <v>29510</v>
      </c>
    </row>
    <row r="5783" spans="1:20">
      <c r="A5783">
        <v>3412477</v>
      </c>
      <c r="B5783" t="s">
        <v>29511</v>
      </c>
      <c r="C5783" t="str">
        <f>"9780774801638"</f>
        <v>9780774801638</v>
      </c>
      <c r="D5783" t="str">
        <f>"9780774857727"</f>
        <v>9780774857727</v>
      </c>
      <c r="E5783" t="s">
        <v>26801</v>
      </c>
      <c r="F5783" t="s">
        <v>26801</v>
      </c>
      <c r="G5783" s="1">
        <v>30286</v>
      </c>
      <c r="J5783" t="s">
        <v>28446</v>
      </c>
      <c r="K5783" t="s">
        <v>291</v>
      </c>
      <c r="L5783" t="s">
        <v>29512</v>
      </c>
      <c r="N5783" t="s">
        <v>29513</v>
      </c>
      <c r="O5783" t="s">
        <v>26</v>
      </c>
      <c r="R5783">
        <v>99</v>
      </c>
      <c r="T5783" t="s">
        <v>29514</v>
      </c>
    </row>
    <row r="5784" spans="1:20">
      <c r="A5784">
        <v>3412478</v>
      </c>
      <c r="B5784" t="s">
        <v>29515</v>
      </c>
      <c r="C5784" t="str">
        <f>"9780774802772"</f>
        <v>9780774802772</v>
      </c>
      <c r="D5784" t="str">
        <f>"9780774856881"</f>
        <v>9780774856881</v>
      </c>
      <c r="E5784" t="s">
        <v>26801</v>
      </c>
      <c r="F5784" t="s">
        <v>26801</v>
      </c>
      <c r="G5784" s="1">
        <v>31778</v>
      </c>
      <c r="J5784" t="s">
        <v>29516</v>
      </c>
      <c r="K5784" t="s">
        <v>1464</v>
      </c>
      <c r="L5784" t="s">
        <v>29517</v>
      </c>
      <c r="M5784">
        <v>810.93520539999997</v>
      </c>
      <c r="N5784" t="s">
        <v>29518</v>
      </c>
      <c r="O5784" t="s">
        <v>26</v>
      </c>
      <c r="R5784">
        <v>99</v>
      </c>
      <c r="T5784" t="s">
        <v>29519</v>
      </c>
    </row>
    <row r="5785" spans="1:20">
      <c r="A5785">
        <v>3412479</v>
      </c>
      <c r="B5785" t="s">
        <v>29520</v>
      </c>
      <c r="C5785" t="str">
        <f>"9780774801997"</f>
        <v>9780774801997</v>
      </c>
      <c r="D5785" t="str">
        <f>"9780774857574"</f>
        <v>9780774857574</v>
      </c>
      <c r="E5785" t="s">
        <v>26801</v>
      </c>
      <c r="F5785" t="s">
        <v>26801</v>
      </c>
      <c r="G5785" s="1">
        <v>30956</v>
      </c>
      <c r="J5785" t="s">
        <v>29521</v>
      </c>
      <c r="K5785" t="s">
        <v>1464</v>
      </c>
      <c r="L5785" t="s">
        <v>29522</v>
      </c>
      <c r="M5785">
        <v>813.54</v>
      </c>
      <c r="N5785" t="s">
        <v>29523</v>
      </c>
      <c r="O5785" t="s">
        <v>26</v>
      </c>
      <c r="R5785">
        <v>99</v>
      </c>
      <c r="T5785" t="s">
        <v>29524</v>
      </c>
    </row>
    <row r="5786" spans="1:20">
      <c r="A5786">
        <v>3412480</v>
      </c>
      <c r="B5786" t="s">
        <v>29525</v>
      </c>
      <c r="C5786" t="str">
        <f>"9780774801522"</f>
        <v>9780774801522</v>
      </c>
      <c r="D5786" t="str">
        <f>"9780774857741"</f>
        <v>9780774857741</v>
      </c>
      <c r="E5786" t="s">
        <v>26801</v>
      </c>
      <c r="F5786" t="s">
        <v>26801</v>
      </c>
      <c r="G5786" s="1">
        <v>29952</v>
      </c>
      <c r="J5786" t="s">
        <v>29526</v>
      </c>
      <c r="K5786" t="s">
        <v>4347</v>
      </c>
      <c r="L5786" t="s">
        <v>29527</v>
      </c>
      <c r="M5786">
        <v>359</v>
      </c>
      <c r="N5786" t="s">
        <v>29528</v>
      </c>
      <c r="O5786" t="s">
        <v>26</v>
      </c>
      <c r="R5786">
        <v>99</v>
      </c>
      <c r="T5786" t="s">
        <v>29529</v>
      </c>
    </row>
    <row r="5787" spans="1:20">
      <c r="A5787">
        <v>3412481</v>
      </c>
      <c r="B5787" t="s">
        <v>29530</v>
      </c>
      <c r="C5787" t="str">
        <f>"9780774802451"</f>
        <v>9780774802451</v>
      </c>
      <c r="D5787" t="str">
        <f>"9780774857536"</f>
        <v>9780774857536</v>
      </c>
      <c r="E5787" t="s">
        <v>26801</v>
      </c>
      <c r="F5787" t="s">
        <v>26801</v>
      </c>
      <c r="G5787" s="1">
        <v>31048</v>
      </c>
      <c r="J5787" t="s">
        <v>29531</v>
      </c>
      <c r="K5787" t="s">
        <v>263</v>
      </c>
      <c r="L5787" t="s">
        <v>29532</v>
      </c>
      <c r="M5787">
        <v>363</v>
      </c>
      <c r="N5787" t="s">
        <v>29533</v>
      </c>
      <c r="O5787" t="s">
        <v>26</v>
      </c>
      <c r="R5787">
        <v>99</v>
      </c>
      <c r="T5787" t="s">
        <v>29534</v>
      </c>
    </row>
    <row r="5788" spans="1:20">
      <c r="A5788">
        <v>3412482</v>
      </c>
      <c r="B5788" t="s">
        <v>29535</v>
      </c>
      <c r="C5788" t="str">
        <f>"9780919494671"</f>
        <v>9780919494671</v>
      </c>
      <c r="D5788" t="str">
        <f>"9780774853293"</f>
        <v>9780774853293</v>
      </c>
      <c r="E5788" t="s">
        <v>26801</v>
      </c>
      <c r="F5788" t="s">
        <v>26801</v>
      </c>
      <c r="G5788" s="1">
        <v>25552</v>
      </c>
      <c r="I5788" t="s">
        <v>27589</v>
      </c>
      <c r="J5788" t="s">
        <v>28096</v>
      </c>
      <c r="K5788" t="s">
        <v>525</v>
      </c>
      <c r="L5788" t="s">
        <v>29536</v>
      </c>
      <c r="M5788">
        <v>341</v>
      </c>
      <c r="N5788" t="s">
        <v>29537</v>
      </c>
      <c r="O5788" t="s">
        <v>26</v>
      </c>
      <c r="R5788">
        <v>180</v>
      </c>
      <c r="T5788" t="s">
        <v>29538</v>
      </c>
    </row>
    <row r="5789" spans="1:20">
      <c r="A5789">
        <v>3412483</v>
      </c>
      <c r="B5789" t="s">
        <v>29539</v>
      </c>
      <c r="C5789" t="str">
        <f>"9780774807357"</f>
        <v>9780774807357</v>
      </c>
      <c r="D5789" t="str">
        <f>"9780774856294"</f>
        <v>9780774856294</v>
      </c>
      <c r="E5789" t="s">
        <v>26801</v>
      </c>
      <c r="F5789" t="s">
        <v>26801</v>
      </c>
      <c r="G5789" s="1">
        <v>36647</v>
      </c>
      <c r="J5789" t="s">
        <v>29540</v>
      </c>
      <c r="K5789" t="s">
        <v>29541</v>
      </c>
      <c r="L5789" t="s">
        <v>29542</v>
      </c>
      <c r="M5789">
        <v>508</v>
      </c>
      <c r="N5789" t="s">
        <v>29543</v>
      </c>
      <c r="O5789" t="s">
        <v>26</v>
      </c>
      <c r="R5789">
        <v>99</v>
      </c>
      <c r="T5789" t="s">
        <v>29544</v>
      </c>
    </row>
    <row r="5790" spans="1:20">
      <c r="A5790">
        <v>3412484</v>
      </c>
      <c r="B5790" t="s">
        <v>29545</v>
      </c>
      <c r="C5790" t="str">
        <f>"9780774801263"</f>
        <v>9780774801263</v>
      </c>
      <c r="D5790" t="str">
        <f>"9780774857840"</f>
        <v>9780774857840</v>
      </c>
      <c r="E5790" t="s">
        <v>26801</v>
      </c>
      <c r="F5790" t="s">
        <v>26801</v>
      </c>
      <c r="G5790" s="1">
        <v>29618</v>
      </c>
      <c r="J5790" t="s">
        <v>29546</v>
      </c>
      <c r="K5790" t="s">
        <v>29547</v>
      </c>
      <c r="L5790" t="s">
        <v>29548</v>
      </c>
      <c r="M5790">
        <v>322.2</v>
      </c>
      <c r="N5790" t="s">
        <v>29549</v>
      </c>
      <c r="O5790" t="s">
        <v>26</v>
      </c>
      <c r="R5790">
        <v>99</v>
      </c>
      <c r="T5790" t="s">
        <v>29550</v>
      </c>
    </row>
    <row r="5791" spans="1:20">
      <c r="A5791">
        <v>3412485</v>
      </c>
      <c r="B5791" t="s">
        <v>29551</v>
      </c>
      <c r="C5791" t="str">
        <f>"9780774807494"</f>
        <v>9780774807494</v>
      </c>
      <c r="D5791" t="str">
        <f>"9780774854528"</f>
        <v>9780774854528</v>
      </c>
      <c r="E5791" t="s">
        <v>26801</v>
      </c>
      <c r="F5791" t="s">
        <v>26801</v>
      </c>
      <c r="G5791" s="1">
        <v>36600</v>
      </c>
      <c r="J5791" t="s">
        <v>29552</v>
      </c>
      <c r="K5791" t="s">
        <v>76</v>
      </c>
      <c r="L5791" t="s">
        <v>29553</v>
      </c>
      <c r="M5791">
        <v>634.97519999999997</v>
      </c>
      <c r="N5791" t="s">
        <v>29554</v>
      </c>
      <c r="O5791" t="s">
        <v>26</v>
      </c>
      <c r="R5791">
        <v>99</v>
      </c>
      <c r="T5791" t="s">
        <v>29555</v>
      </c>
    </row>
    <row r="5792" spans="1:20">
      <c r="A5792">
        <v>3412486</v>
      </c>
      <c r="B5792" t="s">
        <v>29556</v>
      </c>
      <c r="C5792" t="str">
        <f>"9780774802406"</f>
        <v>9780774802406</v>
      </c>
      <c r="D5792" t="str">
        <f>"9780774857062"</f>
        <v>9780774857062</v>
      </c>
      <c r="E5792" t="s">
        <v>26801</v>
      </c>
      <c r="F5792" t="s">
        <v>26801</v>
      </c>
      <c r="G5792" s="1">
        <v>31413</v>
      </c>
      <c r="J5792" t="s">
        <v>29557</v>
      </c>
      <c r="K5792" t="s">
        <v>29558</v>
      </c>
      <c r="L5792" t="s">
        <v>29559</v>
      </c>
      <c r="M5792">
        <v>338.26</v>
      </c>
      <c r="N5792" t="s">
        <v>29560</v>
      </c>
      <c r="O5792" t="s">
        <v>26</v>
      </c>
      <c r="R5792">
        <v>99</v>
      </c>
      <c r="T5792" t="s">
        <v>29561</v>
      </c>
    </row>
    <row r="5793" spans="1:20">
      <c r="A5793">
        <v>3412487</v>
      </c>
      <c r="B5793" t="s">
        <v>29562</v>
      </c>
      <c r="C5793" t="str">
        <f>"9780774800150"</f>
        <v>9780774800150</v>
      </c>
      <c r="D5793" t="str">
        <f>"9780774857963"</f>
        <v>9780774857963</v>
      </c>
      <c r="E5793" t="s">
        <v>26801</v>
      </c>
      <c r="F5793" t="s">
        <v>26801</v>
      </c>
      <c r="G5793" s="1">
        <v>27760</v>
      </c>
      <c r="J5793" t="s">
        <v>29563</v>
      </c>
      <c r="K5793" t="s">
        <v>7063</v>
      </c>
      <c r="L5793" t="s">
        <v>29564</v>
      </c>
      <c r="M5793">
        <v>327.5</v>
      </c>
      <c r="N5793" t="s">
        <v>29565</v>
      </c>
      <c r="O5793" t="s">
        <v>26</v>
      </c>
      <c r="R5793">
        <v>99</v>
      </c>
      <c r="T5793" t="s">
        <v>29566</v>
      </c>
    </row>
    <row r="5794" spans="1:20">
      <c r="A5794">
        <v>3412488</v>
      </c>
      <c r="B5794" t="s">
        <v>29567</v>
      </c>
      <c r="C5794" t="str">
        <f>"9780774802628"</f>
        <v>9780774802628</v>
      </c>
      <c r="D5794" t="str">
        <f>"9780774856997"</f>
        <v>9780774856997</v>
      </c>
      <c r="E5794" t="s">
        <v>26801</v>
      </c>
      <c r="F5794" t="s">
        <v>26801</v>
      </c>
      <c r="G5794" s="1">
        <v>31382</v>
      </c>
      <c r="J5794" t="s">
        <v>29568</v>
      </c>
      <c r="K5794" t="s">
        <v>1471</v>
      </c>
      <c r="L5794" t="s">
        <v>29569</v>
      </c>
      <c r="N5794" t="s">
        <v>29570</v>
      </c>
      <c r="O5794" t="s">
        <v>26</v>
      </c>
      <c r="R5794">
        <v>99</v>
      </c>
      <c r="T5794" t="s">
        <v>29571</v>
      </c>
    </row>
    <row r="5795" spans="1:20">
      <c r="A5795">
        <v>3412489</v>
      </c>
      <c r="B5795" t="s">
        <v>29572</v>
      </c>
      <c r="C5795" t="str">
        <f>"9780774803090"</f>
        <v>9780774803090</v>
      </c>
      <c r="D5795" t="str">
        <f>"9780774856799"</f>
        <v>9780774856799</v>
      </c>
      <c r="E5795" t="s">
        <v>26801</v>
      </c>
      <c r="F5795" t="s">
        <v>26801</v>
      </c>
      <c r="G5795" s="1">
        <v>32112</v>
      </c>
      <c r="J5795" t="s">
        <v>29573</v>
      </c>
      <c r="K5795" t="s">
        <v>291</v>
      </c>
      <c r="L5795" t="s">
        <v>29574</v>
      </c>
      <c r="N5795" t="s">
        <v>29575</v>
      </c>
      <c r="O5795" t="s">
        <v>26</v>
      </c>
      <c r="R5795">
        <v>99</v>
      </c>
      <c r="T5795" t="s">
        <v>29576</v>
      </c>
    </row>
    <row r="5796" spans="1:20">
      <c r="A5796">
        <v>3412490</v>
      </c>
      <c r="B5796" t="s">
        <v>29577</v>
      </c>
      <c r="C5796" t="str">
        <f>"9780774805445"</f>
        <v>9780774805445</v>
      </c>
      <c r="D5796" t="str">
        <f>"9780774856454"</f>
        <v>9780774856454</v>
      </c>
      <c r="E5796" t="s">
        <v>26801</v>
      </c>
      <c r="F5796" t="s">
        <v>26801</v>
      </c>
      <c r="G5796" s="1">
        <v>35065</v>
      </c>
      <c r="J5796" t="s">
        <v>29578</v>
      </c>
      <c r="K5796" t="s">
        <v>291</v>
      </c>
      <c r="L5796" t="s">
        <v>29579</v>
      </c>
      <c r="M5796" t="s">
        <v>29580</v>
      </c>
      <c r="N5796" t="s">
        <v>29581</v>
      </c>
      <c r="O5796" t="s">
        <v>26</v>
      </c>
      <c r="R5796">
        <v>99</v>
      </c>
      <c r="T5796" t="s">
        <v>29582</v>
      </c>
    </row>
    <row r="5797" spans="1:20">
      <c r="A5797">
        <v>3412491</v>
      </c>
      <c r="B5797" t="s">
        <v>29583</v>
      </c>
      <c r="C5797" t="str">
        <f>"9780774805902"</f>
        <v>9780774805902</v>
      </c>
      <c r="D5797" t="str">
        <f>"9780774856331"</f>
        <v>9780774856331</v>
      </c>
      <c r="E5797" t="s">
        <v>26801</v>
      </c>
      <c r="F5797" t="s">
        <v>26801</v>
      </c>
      <c r="G5797" s="1">
        <v>36192</v>
      </c>
      <c r="J5797" t="s">
        <v>29584</v>
      </c>
      <c r="K5797" t="s">
        <v>964</v>
      </c>
      <c r="L5797" t="s">
        <v>29585</v>
      </c>
      <c r="M5797">
        <v>338.17498000000001</v>
      </c>
      <c r="N5797" t="s">
        <v>29586</v>
      </c>
      <c r="O5797" t="s">
        <v>26</v>
      </c>
      <c r="R5797">
        <v>99</v>
      </c>
      <c r="T5797" t="s">
        <v>29587</v>
      </c>
    </row>
    <row r="5798" spans="1:20">
      <c r="A5798">
        <v>3412492</v>
      </c>
      <c r="B5798" t="s">
        <v>29588</v>
      </c>
      <c r="C5798" t="str">
        <f>"9780774802376"</f>
        <v>9780774802376</v>
      </c>
      <c r="D5798" t="str">
        <f>"9780774856904"</f>
        <v>9780774856904</v>
      </c>
      <c r="E5798" t="s">
        <v>26801</v>
      </c>
      <c r="F5798" t="s">
        <v>26801</v>
      </c>
      <c r="G5798" s="1">
        <v>31778</v>
      </c>
      <c r="J5798" t="s">
        <v>29589</v>
      </c>
      <c r="K5798" t="s">
        <v>291</v>
      </c>
      <c r="L5798" t="s">
        <v>29590</v>
      </c>
      <c r="M5798">
        <v>971.38400000000001</v>
      </c>
      <c r="N5798" t="s">
        <v>29591</v>
      </c>
      <c r="O5798" t="s">
        <v>26</v>
      </c>
      <c r="R5798">
        <v>99</v>
      </c>
      <c r="T5798" t="s">
        <v>29592</v>
      </c>
    </row>
    <row r="5799" spans="1:20">
      <c r="A5799">
        <v>3412493</v>
      </c>
      <c r="B5799" t="s">
        <v>29593</v>
      </c>
      <c r="C5799" t="str">
        <f>"9780774801010"</f>
        <v>9780774801010</v>
      </c>
      <c r="D5799" t="str">
        <f>"9780774857918"</f>
        <v>9780774857918</v>
      </c>
      <c r="E5799" t="s">
        <v>26801</v>
      </c>
      <c r="F5799" t="s">
        <v>26801</v>
      </c>
      <c r="G5799" s="1">
        <v>28491</v>
      </c>
      <c r="J5799" t="s">
        <v>29594</v>
      </c>
      <c r="K5799" t="s">
        <v>2963</v>
      </c>
      <c r="L5799" t="s">
        <v>29595</v>
      </c>
      <c r="M5799">
        <v>909.09644000000003</v>
      </c>
      <c r="N5799" t="s">
        <v>29596</v>
      </c>
      <c r="O5799" t="s">
        <v>26</v>
      </c>
      <c r="R5799">
        <v>99</v>
      </c>
      <c r="T5799" t="s">
        <v>29597</v>
      </c>
    </row>
    <row r="5800" spans="1:20">
      <c r="A5800">
        <v>3412494</v>
      </c>
      <c r="B5800" t="s">
        <v>29598</v>
      </c>
      <c r="C5800" t="str">
        <f>"9780774802543"</f>
        <v>9780774802543</v>
      </c>
      <c r="D5800" t="str">
        <f>"9780774857093"</f>
        <v>9780774857093</v>
      </c>
      <c r="E5800" t="s">
        <v>26801</v>
      </c>
      <c r="F5800" t="s">
        <v>26801</v>
      </c>
      <c r="G5800" s="1">
        <v>31413</v>
      </c>
      <c r="J5800" t="s">
        <v>29599</v>
      </c>
      <c r="K5800" t="s">
        <v>1892</v>
      </c>
      <c r="L5800" t="s">
        <v>29600</v>
      </c>
      <c r="M5800">
        <v>266.2</v>
      </c>
      <c r="N5800" t="s">
        <v>29601</v>
      </c>
      <c r="O5800" t="s">
        <v>26</v>
      </c>
      <c r="R5800">
        <v>99</v>
      </c>
      <c r="T5800" t="s">
        <v>29602</v>
      </c>
    </row>
    <row r="5801" spans="1:20">
      <c r="A5801">
        <v>3412495</v>
      </c>
      <c r="B5801" t="s">
        <v>29603</v>
      </c>
      <c r="C5801" t="str">
        <f>"9780774803458"</f>
        <v>9780774803458</v>
      </c>
      <c r="D5801" t="str">
        <f>"9780774856737"</f>
        <v>9780774856737</v>
      </c>
      <c r="E5801" t="s">
        <v>26801</v>
      </c>
      <c r="F5801" t="s">
        <v>26801</v>
      </c>
      <c r="G5801" s="1">
        <v>32874</v>
      </c>
      <c r="J5801" t="s">
        <v>29604</v>
      </c>
      <c r="K5801" t="s">
        <v>1464</v>
      </c>
      <c r="L5801" t="s">
        <v>29605</v>
      </c>
      <c r="M5801">
        <v>812.54</v>
      </c>
      <c r="N5801" t="s">
        <v>29606</v>
      </c>
      <c r="O5801" t="s">
        <v>26</v>
      </c>
      <c r="R5801">
        <v>99</v>
      </c>
      <c r="T5801" t="s">
        <v>29607</v>
      </c>
    </row>
    <row r="5802" spans="1:20">
      <c r="A5802">
        <v>3412496</v>
      </c>
      <c r="B5802" t="s">
        <v>29608</v>
      </c>
      <c r="C5802" t="str">
        <f>"9780774801416"</f>
        <v>9780774801416</v>
      </c>
      <c r="D5802" t="str">
        <f>"9780774857819"</f>
        <v>9780774857819</v>
      </c>
      <c r="E5802" t="s">
        <v>26801</v>
      </c>
      <c r="F5802" t="s">
        <v>26801</v>
      </c>
      <c r="G5802" s="1">
        <v>29556</v>
      </c>
      <c r="J5802" t="s">
        <v>29568</v>
      </c>
      <c r="K5802" t="s">
        <v>291</v>
      </c>
      <c r="L5802" t="s">
        <v>29609</v>
      </c>
      <c r="N5802" t="s">
        <v>29610</v>
      </c>
      <c r="O5802" t="s">
        <v>26</v>
      </c>
      <c r="R5802">
        <v>99</v>
      </c>
      <c r="T5802" t="s">
        <v>29611</v>
      </c>
    </row>
    <row r="5803" spans="1:20">
      <c r="A5803">
        <v>3412497</v>
      </c>
      <c r="B5803" t="s">
        <v>29612</v>
      </c>
      <c r="C5803" t="str">
        <f>"9780774803687"</f>
        <v>9780774803687</v>
      </c>
      <c r="D5803" t="str">
        <f>"9780774856614"</f>
        <v>9780774856614</v>
      </c>
      <c r="E5803" t="s">
        <v>26801</v>
      </c>
      <c r="F5803" t="s">
        <v>26801</v>
      </c>
      <c r="G5803" s="1">
        <v>33239</v>
      </c>
      <c r="J5803" t="s">
        <v>29613</v>
      </c>
      <c r="K5803" t="s">
        <v>291</v>
      </c>
      <c r="L5803" t="s">
        <v>29614</v>
      </c>
      <c r="M5803">
        <v>996.11</v>
      </c>
      <c r="N5803" t="s">
        <v>29615</v>
      </c>
      <c r="O5803" t="s">
        <v>26</v>
      </c>
      <c r="R5803">
        <v>99</v>
      </c>
      <c r="T5803" t="s">
        <v>29616</v>
      </c>
    </row>
    <row r="5804" spans="1:20">
      <c r="A5804">
        <v>3412498</v>
      </c>
      <c r="B5804" t="s">
        <v>29617</v>
      </c>
      <c r="C5804" t="str">
        <f>"9780774801171"</f>
        <v>9780774801171</v>
      </c>
      <c r="D5804" t="str">
        <f>"9780774857796"</f>
        <v>9780774857796</v>
      </c>
      <c r="E5804" t="s">
        <v>26801</v>
      </c>
      <c r="F5804" t="s">
        <v>26801</v>
      </c>
      <c r="G5804" s="1">
        <v>29646</v>
      </c>
      <c r="I5804" t="s">
        <v>29618</v>
      </c>
      <c r="J5804" t="s">
        <v>24162</v>
      </c>
      <c r="K5804" t="s">
        <v>291</v>
      </c>
      <c r="L5804" t="s">
        <v>29619</v>
      </c>
      <c r="M5804">
        <v>979.01</v>
      </c>
      <c r="N5804" t="s">
        <v>29620</v>
      </c>
      <c r="O5804" t="s">
        <v>26</v>
      </c>
      <c r="R5804">
        <v>99</v>
      </c>
      <c r="T5804" t="s">
        <v>29621</v>
      </c>
    </row>
    <row r="5805" spans="1:20">
      <c r="A5805">
        <v>3412500</v>
      </c>
      <c r="B5805" t="s">
        <v>29622</v>
      </c>
      <c r="C5805" t="str">
        <f>"9780774803052"</f>
        <v>9780774803052</v>
      </c>
      <c r="D5805" t="str">
        <f>"9780774856843"</f>
        <v>9780774856843</v>
      </c>
      <c r="E5805" t="s">
        <v>26801</v>
      </c>
      <c r="F5805" t="s">
        <v>26801</v>
      </c>
      <c r="G5805" s="1">
        <v>32112</v>
      </c>
      <c r="J5805" t="s">
        <v>24162</v>
      </c>
      <c r="K5805" t="s">
        <v>291</v>
      </c>
      <c r="L5805" t="s">
        <v>29623</v>
      </c>
      <c r="N5805" t="s">
        <v>29624</v>
      </c>
      <c r="O5805" t="s">
        <v>26</v>
      </c>
      <c r="R5805">
        <v>99</v>
      </c>
      <c r="T5805" t="s">
        <v>29625</v>
      </c>
    </row>
    <row r="5806" spans="1:20">
      <c r="A5806">
        <v>3412501</v>
      </c>
      <c r="B5806" t="s">
        <v>29626</v>
      </c>
      <c r="C5806" t="str">
        <f>"9780774802727"</f>
        <v>9780774802727</v>
      </c>
      <c r="D5806" t="str">
        <f>"9780774856874"</f>
        <v>9780774856874</v>
      </c>
      <c r="E5806" t="s">
        <v>26801</v>
      </c>
      <c r="F5806" t="s">
        <v>26801</v>
      </c>
      <c r="G5806" s="1">
        <v>31778</v>
      </c>
      <c r="J5806" t="s">
        <v>29627</v>
      </c>
      <c r="K5806" t="s">
        <v>2963</v>
      </c>
      <c r="L5806" t="s">
        <v>29628</v>
      </c>
      <c r="M5806">
        <v>914.04</v>
      </c>
      <c r="N5806" t="s">
        <v>29629</v>
      </c>
      <c r="O5806" t="s">
        <v>26</v>
      </c>
      <c r="R5806">
        <v>99</v>
      </c>
      <c r="T5806" t="s">
        <v>29630</v>
      </c>
    </row>
    <row r="5807" spans="1:20">
      <c r="A5807">
        <v>3412502</v>
      </c>
      <c r="B5807" t="s">
        <v>29631</v>
      </c>
      <c r="C5807" t="str">
        <f>"9780774800723"</f>
        <v>9780774800723</v>
      </c>
      <c r="D5807" t="str">
        <f>"9780774858014"</f>
        <v>9780774858014</v>
      </c>
      <c r="E5807" t="s">
        <v>26801</v>
      </c>
      <c r="F5807" t="s">
        <v>26801</v>
      </c>
      <c r="G5807" s="1">
        <v>26299</v>
      </c>
      <c r="J5807" t="s">
        <v>29632</v>
      </c>
      <c r="K5807" t="s">
        <v>467</v>
      </c>
      <c r="L5807" t="s">
        <v>29633</v>
      </c>
      <c r="M5807">
        <v>327.1720952</v>
      </c>
      <c r="N5807" t="s">
        <v>29634</v>
      </c>
      <c r="O5807" t="s">
        <v>26</v>
      </c>
      <c r="R5807">
        <v>99</v>
      </c>
      <c r="T5807" t="s">
        <v>29635</v>
      </c>
    </row>
    <row r="5808" spans="1:20">
      <c r="A5808">
        <v>3412503</v>
      </c>
      <c r="B5808" t="s">
        <v>29636</v>
      </c>
      <c r="C5808" t="str">
        <f>"9780774802857"</f>
        <v>9780774802857</v>
      </c>
      <c r="D5808" t="str">
        <f>"9780774856898"</f>
        <v>9780774856898</v>
      </c>
      <c r="E5808" t="s">
        <v>26801</v>
      </c>
      <c r="F5808" t="s">
        <v>26801</v>
      </c>
      <c r="G5808" s="1">
        <v>31778</v>
      </c>
      <c r="J5808" t="s">
        <v>20109</v>
      </c>
      <c r="K5808" t="s">
        <v>257</v>
      </c>
      <c r="L5808" t="s">
        <v>29637</v>
      </c>
      <c r="M5808">
        <v>378.11099999999999</v>
      </c>
      <c r="N5808" t="s">
        <v>29638</v>
      </c>
      <c r="O5808" t="s">
        <v>26</v>
      </c>
      <c r="R5808">
        <v>99</v>
      </c>
      <c r="T5808" t="s">
        <v>29639</v>
      </c>
    </row>
    <row r="5809" spans="1:20">
      <c r="A5809">
        <v>3412504</v>
      </c>
      <c r="B5809" t="s">
        <v>29640</v>
      </c>
      <c r="C5809" t="str">
        <f>"9780774807173"</f>
        <v>9780774807173</v>
      </c>
      <c r="D5809" t="str">
        <f>"9780774856300"</f>
        <v>9780774856300</v>
      </c>
      <c r="E5809" t="s">
        <v>26801</v>
      </c>
      <c r="F5809" t="s">
        <v>26801</v>
      </c>
      <c r="G5809" s="1">
        <v>36130</v>
      </c>
      <c r="J5809" t="s">
        <v>29641</v>
      </c>
      <c r="K5809" t="s">
        <v>155</v>
      </c>
      <c r="L5809" t="s">
        <v>29642</v>
      </c>
      <c r="M5809" t="s">
        <v>29643</v>
      </c>
      <c r="N5809" t="s">
        <v>29644</v>
      </c>
      <c r="O5809" t="s">
        <v>26</v>
      </c>
      <c r="R5809">
        <v>99</v>
      </c>
      <c r="T5809" t="s">
        <v>29645</v>
      </c>
    </row>
    <row r="5810" spans="1:20">
      <c r="A5810">
        <v>3412505</v>
      </c>
      <c r="B5810" t="s">
        <v>29646</v>
      </c>
      <c r="C5810" t="str">
        <f>"9780774803519"</f>
        <v>9780774803519</v>
      </c>
      <c r="D5810" t="str">
        <f>"9780774856607"</f>
        <v>9780774856607</v>
      </c>
      <c r="E5810" t="s">
        <v>26801</v>
      </c>
      <c r="F5810" t="s">
        <v>26801</v>
      </c>
      <c r="G5810" s="1">
        <v>33239</v>
      </c>
      <c r="J5810" t="s">
        <v>29647</v>
      </c>
      <c r="K5810" t="s">
        <v>136</v>
      </c>
      <c r="L5810" t="s">
        <v>29648</v>
      </c>
      <c r="M5810" t="s">
        <v>29649</v>
      </c>
      <c r="N5810" t="s">
        <v>29650</v>
      </c>
      <c r="O5810" t="s">
        <v>26</v>
      </c>
      <c r="R5810">
        <v>99</v>
      </c>
      <c r="T5810" t="s">
        <v>29651</v>
      </c>
    </row>
    <row r="5811" spans="1:20">
      <c r="A5811">
        <v>3412506</v>
      </c>
      <c r="B5811" t="s">
        <v>29652</v>
      </c>
      <c r="C5811" t="str">
        <f>"9780774802192"</f>
        <v>9780774802192</v>
      </c>
      <c r="D5811" t="str">
        <f>"9780774857123"</f>
        <v>9780774857123</v>
      </c>
      <c r="E5811" t="s">
        <v>26801</v>
      </c>
      <c r="F5811" t="s">
        <v>26801</v>
      </c>
      <c r="G5811" s="1">
        <v>31048</v>
      </c>
      <c r="J5811" t="s">
        <v>21100</v>
      </c>
      <c r="K5811" t="s">
        <v>574</v>
      </c>
      <c r="L5811" t="s">
        <v>29653</v>
      </c>
      <c r="M5811">
        <v>338.1</v>
      </c>
      <c r="N5811" t="s">
        <v>29654</v>
      </c>
      <c r="O5811" t="s">
        <v>26</v>
      </c>
      <c r="R5811">
        <v>99</v>
      </c>
      <c r="T5811" t="s">
        <v>29655</v>
      </c>
    </row>
    <row r="5812" spans="1:20">
      <c r="A5812">
        <v>3412507</v>
      </c>
      <c r="B5812" t="s">
        <v>29656</v>
      </c>
      <c r="C5812" t="str">
        <f>"9780774802208"</f>
        <v>9780774802208</v>
      </c>
      <c r="D5812" t="str">
        <f>"9780774857178"</f>
        <v>9780774857178</v>
      </c>
      <c r="E5812" t="s">
        <v>26801</v>
      </c>
      <c r="F5812" t="s">
        <v>26801</v>
      </c>
      <c r="G5812" s="1">
        <v>31048</v>
      </c>
      <c r="J5812" t="s">
        <v>29657</v>
      </c>
      <c r="K5812" t="s">
        <v>29658</v>
      </c>
      <c r="L5812" t="s">
        <v>29659</v>
      </c>
      <c r="M5812">
        <v>16</v>
      </c>
      <c r="N5812" t="s">
        <v>29660</v>
      </c>
      <c r="O5812" t="s">
        <v>26</v>
      </c>
      <c r="R5812">
        <v>99</v>
      </c>
      <c r="T5812" t="s">
        <v>29661</v>
      </c>
    </row>
    <row r="5813" spans="1:20">
      <c r="A5813">
        <v>3412508</v>
      </c>
      <c r="B5813" t="s">
        <v>29662</v>
      </c>
      <c r="C5813" t="str">
        <f>"9780774805384"</f>
        <v>9780774805384</v>
      </c>
      <c r="D5813" t="str">
        <f>"9780774856447"</f>
        <v>9780774856447</v>
      </c>
      <c r="E5813" t="s">
        <v>26801</v>
      </c>
      <c r="F5813" t="s">
        <v>26801</v>
      </c>
      <c r="G5813" s="1">
        <v>35490</v>
      </c>
      <c r="J5813" t="s">
        <v>29663</v>
      </c>
      <c r="K5813" t="s">
        <v>291</v>
      </c>
      <c r="L5813" t="s">
        <v>29664</v>
      </c>
      <c r="M5813" t="s">
        <v>29665</v>
      </c>
      <c r="N5813" t="s">
        <v>29666</v>
      </c>
      <c r="O5813" t="s">
        <v>26</v>
      </c>
      <c r="R5813">
        <v>99</v>
      </c>
      <c r="T5813" t="s">
        <v>29667</v>
      </c>
    </row>
    <row r="5814" spans="1:20">
      <c r="A5814">
        <v>3412509</v>
      </c>
      <c r="B5814" t="s">
        <v>29668</v>
      </c>
      <c r="C5814" t="str">
        <f>"9780774801706"</f>
        <v>9780774801706</v>
      </c>
      <c r="D5814" t="str">
        <f>"9780774857703"</f>
        <v>9780774857703</v>
      </c>
      <c r="E5814" t="s">
        <v>26801</v>
      </c>
      <c r="F5814" t="s">
        <v>26801</v>
      </c>
      <c r="G5814" s="1">
        <v>30317</v>
      </c>
      <c r="J5814" t="s">
        <v>29669</v>
      </c>
      <c r="K5814" t="s">
        <v>1464</v>
      </c>
      <c r="L5814" t="s">
        <v>29670</v>
      </c>
      <c r="M5814">
        <v>813.54</v>
      </c>
      <c r="N5814" t="s">
        <v>29671</v>
      </c>
      <c r="O5814" t="s">
        <v>26</v>
      </c>
      <c r="R5814">
        <v>99</v>
      </c>
      <c r="T5814" t="s">
        <v>29672</v>
      </c>
    </row>
    <row r="5815" spans="1:20">
      <c r="A5815">
        <v>3412511</v>
      </c>
      <c r="B5815" t="s">
        <v>29673</v>
      </c>
      <c r="C5815" t="str">
        <f>"9780774804844"</f>
        <v>9780774804844</v>
      </c>
      <c r="D5815" t="str">
        <f>"9780774856461"</f>
        <v>9780774856461</v>
      </c>
      <c r="E5815" t="s">
        <v>26801</v>
      </c>
      <c r="F5815" t="s">
        <v>26801</v>
      </c>
      <c r="G5815" s="1">
        <v>30317</v>
      </c>
      <c r="J5815" t="s">
        <v>28446</v>
      </c>
      <c r="K5815" t="s">
        <v>291</v>
      </c>
      <c r="L5815" t="s">
        <v>29674</v>
      </c>
      <c r="N5815" t="s">
        <v>29675</v>
      </c>
      <c r="O5815" t="s">
        <v>26</v>
      </c>
      <c r="R5815">
        <v>99</v>
      </c>
      <c r="T5815" t="s">
        <v>29676</v>
      </c>
    </row>
    <row r="5816" spans="1:20">
      <c r="A5816">
        <v>3412512</v>
      </c>
      <c r="B5816" t="s">
        <v>29677</v>
      </c>
      <c r="C5816" t="str">
        <f>"9780774802918"</f>
        <v>9780774802918</v>
      </c>
      <c r="D5816" t="str">
        <f>"9780774856836"</f>
        <v>9780774856836</v>
      </c>
      <c r="E5816" t="s">
        <v>26801</v>
      </c>
      <c r="F5816" t="s">
        <v>26801</v>
      </c>
      <c r="G5816" s="1">
        <v>32143</v>
      </c>
      <c r="J5816" t="s">
        <v>24162</v>
      </c>
      <c r="K5816" t="s">
        <v>1550</v>
      </c>
      <c r="L5816" t="s">
        <v>29678</v>
      </c>
      <c r="M5816">
        <v>303.48247093999998</v>
      </c>
      <c r="N5816" t="s">
        <v>29679</v>
      </c>
      <c r="O5816" t="s">
        <v>26</v>
      </c>
      <c r="R5816">
        <v>99</v>
      </c>
      <c r="T5816" t="s">
        <v>29680</v>
      </c>
    </row>
    <row r="5817" spans="1:20">
      <c r="A5817">
        <v>3412513</v>
      </c>
      <c r="B5817" t="s">
        <v>29681</v>
      </c>
      <c r="C5817" t="str">
        <f>"9780774802833"</f>
        <v>9780774802833</v>
      </c>
      <c r="D5817" t="str">
        <f>"9780774856850"</f>
        <v>9780774856850</v>
      </c>
      <c r="E5817" t="s">
        <v>26801</v>
      </c>
      <c r="F5817" t="s">
        <v>26801</v>
      </c>
      <c r="G5817" s="1">
        <v>32143</v>
      </c>
      <c r="J5817" t="s">
        <v>29682</v>
      </c>
      <c r="K5817" t="s">
        <v>550</v>
      </c>
      <c r="L5817" t="s">
        <v>29683</v>
      </c>
      <c r="M5817">
        <v>305.56200000000001</v>
      </c>
      <c r="N5817" t="s">
        <v>29684</v>
      </c>
      <c r="O5817" t="s">
        <v>26</v>
      </c>
      <c r="R5817">
        <v>99</v>
      </c>
      <c r="T5817" t="s">
        <v>29685</v>
      </c>
    </row>
    <row r="5818" spans="1:20">
      <c r="A5818">
        <v>3412514</v>
      </c>
      <c r="B5818" t="s">
        <v>29686</v>
      </c>
      <c r="C5818" t="str">
        <f>"9780774804097"</f>
        <v>9780774804097</v>
      </c>
      <c r="D5818" t="str">
        <f>"9780774856584"</f>
        <v>9780774856584</v>
      </c>
      <c r="E5818" t="s">
        <v>26801</v>
      </c>
      <c r="F5818" t="s">
        <v>26801</v>
      </c>
      <c r="G5818" s="1">
        <v>33604</v>
      </c>
      <c r="J5818" t="s">
        <v>24162</v>
      </c>
      <c r="K5818" t="s">
        <v>291</v>
      </c>
      <c r="L5818" t="s">
        <v>29687</v>
      </c>
      <c r="M5818">
        <v>996.3</v>
      </c>
      <c r="N5818" t="s">
        <v>29688</v>
      </c>
      <c r="O5818" t="s">
        <v>26</v>
      </c>
      <c r="R5818">
        <v>99</v>
      </c>
      <c r="T5818" t="s">
        <v>29689</v>
      </c>
    </row>
    <row r="5819" spans="1:20">
      <c r="A5819">
        <v>3412515</v>
      </c>
      <c r="B5819" t="s">
        <v>29690</v>
      </c>
      <c r="C5819" t="str">
        <f>"9780774802994"</f>
        <v>9780774802994</v>
      </c>
      <c r="D5819" t="str">
        <f>"9780774856805"</f>
        <v>9780774856805</v>
      </c>
      <c r="E5819" t="s">
        <v>26801</v>
      </c>
      <c r="F5819" t="s">
        <v>26801</v>
      </c>
      <c r="G5819" s="1">
        <v>32143</v>
      </c>
      <c r="J5819" t="s">
        <v>29691</v>
      </c>
      <c r="K5819" t="s">
        <v>7732</v>
      </c>
      <c r="L5819" t="s">
        <v>29692</v>
      </c>
      <c r="M5819">
        <v>940.54589999999996</v>
      </c>
      <c r="N5819" t="s">
        <v>29693</v>
      </c>
      <c r="O5819" t="s">
        <v>26</v>
      </c>
      <c r="R5819">
        <v>99</v>
      </c>
      <c r="T5819" t="s">
        <v>29694</v>
      </c>
    </row>
    <row r="5820" spans="1:20">
      <c r="A5820">
        <v>3412516</v>
      </c>
      <c r="B5820" t="s">
        <v>29695</v>
      </c>
      <c r="C5820" t="str">
        <f>"9780774802031"</f>
        <v>9780774802031</v>
      </c>
      <c r="D5820" t="str">
        <f>"9780774857642"</f>
        <v>9780774857642</v>
      </c>
      <c r="E5820" t="s">
        <v>26801</v>
      </c>
      <c r="F5820" t="s">
        <v>26801</v>
      </c>
      <c r="G5820" s="1">
        <v>30651</v>
      </c>
      <c r="J5820" t="s">
        <v>29696</v>
      </c>
      <c r="K5820" t="s">
        <v>525</v>
      </c>
      <c r="L5820" t="s">
        <v>29697</v>
      </c>
      <c r="N5820" t="s">
        <v>29698</v>
      </c>
      <c r="O5820" t="s">
        <v>26</v>
      </c>
      <c r="R5820">
        <v>99</v>
      </c>
      <c r="T5820" t="s">
        <v>29699</v>
      </c>
    </row>
    <row r="5821" spans="1:20">
      <c r="A5821">
        <v>3412517</v>
      </c>
      <c r="B5821" t="s">
        <v>29700</v>
      </c>
      <c r="C5821" t="str">
        <f>"9780774802147"</f>
        <v>9780774802147</v>
      </c>
      <c r="D5821" t="str">
        <f>"9780774854092"</f>
        <v>9780774854092</v>
      </c>
      <c r="E5821" t="s">
        <v>26801</v>
      </c>
      <c r="F5821" t="s">
        <v>26801</v>
      </c>
      <c r="G5821" s="1">
        <v>30682</v>
      </c>
      <c r="I5821" t="s">
        <v>26970</v>
      </c>
      <c r="J5821" t="s">
        <v>27146</v>
      </c>
      <c r="K5821" t="s">
        <v>291</v>
      </c>
      <c r="L5821" t="s">
        <v>29701</v>
      </c>
      <c r="M5821">
        <v>942</v>
      </c>
      <c r="N5821" t="s">
        <v>29702</v>
      </c>
      <c r="O5821" t="s">
        <v>26</v>
      </c>
      <c r="R5821">
        <v>99</v>
      </c>
      <c r="T5821" t="s">
        <v>29703</v>
      </c>
    </row>
    <row r="5822" spans="1:20">
      <c r="A5822">
        <v>3412518</v>
      </c>
      <c r="B5822" t="s">
        <v>29704</v>
      </c>
      <c r="C5822" t="str">
        <f>"9780774801713"</f>
        <v>9780774801713</v>
      </c>
      <c r="D5822" t="str">
        <f>"9780774857710"</f>
        <v>9780774857710</v>
      </c>
      <c r="E5822" t="s">
        <v>26801</v>
      </c>
      <c r="F5822" t="s">
        <v>26801</v>
      </c>
      <c r="G5822" s="1">
        <v>30317</v>
      </c>
      <c r="J5822" t="s">
        <v>29705</v>
      </c>
      <c r="K5822" t="s">
        <v>291</v>
      </c>
      <c r="L5822" t="s">
        <v>29706</v>
      </c>
      <c r="M5822">
        <v>971.06</v>
      </c>
      <c r="N5822" t="s">
        <v>29707</v>
      </c>
      <c r="O5822" t="s">
        <v>26</v>
      </c>
      <c r="R5822">
        <v>99</v>
      </c>
      <c r="T5822" t="s">
        <v>29708</v>
      </c>
    </row>
    <row r="5823" spans="1:20">
      <c r="A5823">
        <v>3412519</v>
      </c>
      <c r="B5823" t="s">
        <v>29709</v>
      </c>
      <c r="C5823" t="str">
        <f>"9780774803540"</f>
        <v>9780774803540</v>
      </c>
      <c r="D5823" t="str">
        <f>"9780774856676"</f>
        <v>9780774856676</v>
      </c>
      <c r="E5823" t="s">
        <v>26801</v>
      </c>
      <c r="F5823" t="s">
        <v>26801</v>
      </c>
      <c r="G5823" s="1">
        <v>39356</v>
      </c>
      <c r="J5823" t="s">
        <v>29710</v>
      </c>
      <c r="K5823" t="s">
        <v>291</v>
      </c>
      <c r="L5823" t="s">
        <v>29711</v>
      </c>
      <c r="M5823">
        <v>972.6</v>
      </c>
      <c r="N5823" t="s">
        <v>29712</v>
      </c>
      <c r="O5823" t="s">
        <v>26</v>
      </c>
      <c r="R5823">
        <v>99</v>
      </c>
      <c r="T5823" t="s">
        <v>29713</v>
      </c>
    </row>
    <row r="5824" spans="1:20">
      <c r="A5824">
        <v>3412520</v>
      </c>
      <c r="B5824" t="s">
        <v>29714</v>
      </c>
      <c r="C5824" t="str">
        <f>"9780774803762"</f>
        <v>9780774803762</v>
      </c>
      <c r="D5824" t="str">
        <f>"9780774856621"</f>
        <v>9780774856621</v>
      </c>
      <c r="E5824" t="s">
        <v>26801</v>
      </c>
      <c r="F5824" t="s">
        <v>26801</v>
      </c>
      <c r="G5824" s="1">
        <v>33239</v>
      </c>
      <c r="J5824" t="s">
        <v>29715</v>
      </c>
      <c r="K5824" t="s">
        <v>1892</v>
      </c>
      <c r="L5824" t="s">
        <v>29716</v>
      </c>
      <c r="M5824">
        <v>266</v>
      </c>
      <c r="N5824" t="s">
        <v>29717</v>
      </c>
      <c r="O5824" t="s">
        <v>26</v>
      </c>
      <c r="R5824">
        <v>99</v>
      </c>
      <c r="T5824" t="s">
        <v>29718</v>
      </c>
    </row>
    <row r="5825" spans="1:20">
      <c r="A5825">
        <v>3412521</v>
      </c>
      <c r="B5825" t="s">
        <v>29719</v>
      </c>
      <c r="C5825" t="str">
        <f>"9780774802215"</f>
        <v>9780774802215</v>
      </c>
      <c r="D5825" t="str">
        <f>"9780774857161"</f>
        <v>9780774857161</v>
      </c>
      <c r="E5825" t="s">
        <v>26801</v>
      </c>
      <c r="F5825" t="s">
        <v>26801</v>
      </c>
      <c r="G5825" s="1">
        <v>31412</v>
      </c>
      <c r="J5825" t="s">
        <v>29720</v>
      </c>
      <c r="K5825" t="s">
        <v>7075</v>
      </c>
      <c r="L5825" t="s">
        <v>29721</v>
      </c>
      <c r="M5825">
        <v>16</v>
      </c>
      <c r="N5825" t="s">
        <v>29722</v>
      </c>
      <c r="O5825" t="s">
        <v>26</v>
      </c>
      <c r="R5825">
        <v>99</v>
      </c>
      <c r="T5825" t="s">
        <v>29723</v>
      </c>
    </row>
    <row r="5826" spans="1:20">
      <c r="A5826">
        <v>3412522</v>
      </c>
      <c r="B5826" t="s">
        <v>29724</v>
      </c>
      <c r="C5826" t="str">
        <f>"9780774801423"</f>
        <v>9780774801423</v>
      </c>
      <c r="D5826" t="str">
        <f>"9780774857758"</f>
        <v>9780774857758</v>
      </c>
      <c r="E5826" t="s">
        <v>26801</v>
      </c>
      <c r="F5826" t="s">
        <v>26801</v>
      </c>
      <c r="G5826" s="1">
        <v>29952</v>
      </c>
      <c r="J5826" t="s">
        <v>29725</v>
      </c>
      <c r="K5826" t="s">
        <v>1464</v>
      </c>
      <c r="L5826" t="s">
        <v>29726</v>
      </c>
      <c r="M5826">
        <v>895.11307999999997</v>
      </c>
      <c r="N5826" t="s">
        <v>29727</v>
      </c>
      <c r="O5826" t="s">
        <v>26</v>
      </c>
      <c r="R5826">
        <v>99</v>
      </c>
      <c r="T5826" t="s">
        <v>29728</v>
      </c>
    </row>
    <row r="5827" spans="1:20">
      <c r="A5827">
        <v>3412523</v>
      </c>
      <c r="B5827" t="s">
        <v>29729</v>
      </c>
      <c r="C5827" t="str">
        <f>"9780774802239"</f>
        <v>9780774802239</v>
      </c>
      <c r="D5827" t="str">
        <f>"9780774857505"</f>
        <v>9780774857505</v>
      </c>
      <c r="E5827" t="s">
        <v>26801</v>
      </c>
      <c r="F5827" t="s">
        <v>26801</v>
      </c>
      <c r="G5827" s="1">
        <v>31048</v>
      </c>
      <c r="J5827" t="s">
        <v>29730</v>
      </c>
      <c r="K5827" t="s">
        <v>467</v>
      </c>
      <c r="L5827" t="s">
        <v>29731</v>
      </c>
      <c r="M5827">
        <v>320.97109999999998</v>
      </c>
      <c r="N5827" t="s">
        <v>29732</v>
      </c>
      <c r="O5827" t="s">
        <v>26</v>
      </c>
      <c r="R5827">
        <v>99</v>
      </c>
      <c r="T5827" t="s">
        <v>29733</v>
      </c>
    </row>
    <row r="5828" spans="1:20">
      <c r="A5828">
        <v>3412524</v>
      </c>
      <c r="B5828" t="s">
        <v>29734</v>
      </c>
      <c r="C5828" t="str">
        <f>"9780774803991"</f>
        <v>9780774803991</v>
      </c>
      <c r="D5828" t="str">
        <f>"9780774856553"</f>
        <v>9780774856553</v>
      </c>
      <c r="E5828" t="s">
        <v>26801</v>
      </c>
      <c r="F5828" t="s">
        <v>26801</v>
      </c>
      <c r="G5828" s="1">
        <v>33604</v>
      </c>
      <c r="I5828" t="s">
        <v>26986</v>
      </c>
      <c r="J5828" t="s">
        <v>28284</v>
      </c>
      <c r="K5828" t="s">
        <v>291</v>
      </c>
      <c r="L5828" t="s">
        <v>29735</v>
      </c>
      <c r="M5828">
        <v>971.101</v>
      </c>
      <c r="N5828" t="s">
        <v>29736</v>
      </c>
      <c r="O5828" t="s">
        <v>26</v>
      </c>
      <c r="R5828">
        <v>99</v>
      </c>
      <c r="T5828" t="s">
        <v>29737</v>
      </c>
    </row>
    <row r="5829" spans="1:20">
      <c r="A5829">
        <v>3412525</v>
      </c>
      <c r="B5829" t="s">
        <v>29738</v>
      </c>
      <c r="C5829" t="str">
        <f>"9780774803779"</f>
        <v>9780774803779</v>
      </c>
      <c r="D5829" t="str">
        <f>"9780774856591"</f>
        <v>9780774856591</v>
      </c>
      <c r="E5829" t="s">
        <v>26801</v>
      </c>
      <c r="F5829" t="s">
        <v>26801</v>
      </c>
      <c r="G5829" s="1">
        <v>33239</v>
      </c>
      <c r="I5829" t="s">
        <v>29739</v>
      </c>
      <c r="J5829" t="s">
        <v>29740</v>
      </c>
      <c r="K5829" t="s">
        <v>305</v>
      </c>
      <c r="L5829" t="s">
        <v>29741</v>
      </c>
      <c r="M5829">
        <v>382.41</v>
      </c>
      <c r="N5829" t="s">
        <v>29742</v>
      </c>
      <c r="O5829" t="s">
        <v>26</v>
      </c>
      <c r="R5829">
        <v>99</v>
      </c>
      <c r="T5829" t="s">
        <v>29743</v>
      </c>
    </row>
    <row r="5830" spans="1:20">
      <c r="A5830">
        <v>3412526</v>
      </c>
      <c r="B5830" t="s">
        <v>29744</v>
      </c>
      <c r="C5830" t="str">
        <f>"9780774802963"</f>
        <v>9780774802963</v>
      </c>
      <c r="D5830" t="str">
        <f>"9780774858076"</f>
        <v>9780774858076</v>
      </c>
      <c r="E5830" t="s">
        <v>26801</v>
      </c>
      <c r="F5830" t="s">
        <v>26801</v>
      </c>
      <c r="G5830" s="1">
        <v>31778</v>
      </c>
      <c r="J5830" t="s">
        <v>29745</v>
      </c>
      <c r="K5830" t="s">
        <v>29746</v>
      </c>
      <c r="L5830" t="s">
        <v>29747</v>
      </c>
      <c r="M5830" t="s">
        <v>29748</v>
      </c>
      <c r="N5830" t="s">
        <v>29749</v>
      </c>
      <c r="O5830" t="s">
        <v>26</v>
      </c>
      <c r="R5830">
        <v>99</v>
      </c>
      <c r="T5830" t="s">
        <v>29750</v>
      </c>
    </row>
    <row r="5831" spans="1:20">
      <c r="A5831">
        <v>3412527</v>
      </c>
      <c r="B5831" t="s">
        <v>29751</v>
      </c>
      <c r="C5831" t="str">
        <f>"9780774802154"</f>
        <v>9780774802154</v>
      </c>
      <c r="D5831" t="str">
        <f>"9780774857154"</f>
        <v>9780774857154</v>
      </c>
      <c r="E5831" t="s">
        <v>26801</v>
      </c>
      <c r="F5831" t="s">
        <v>26801</v>
      </c>
      <c r="G5831" s="1">
        <v>31048</v>
      </c>
      <c r="J5831" t="s">
        <v>29752</v>
      </c>
      <c r="K5831" t="s">
        <v>1859</v>
      </c>
      <c r="L5831" t="s">
        <v>29753</v>
      </c>
      <c r="N5831" t="s">
        <v>29754</v>
      </c>
      <c r="O5831" t="s">
        <v>26</v>
      </c>
      <c r="R5831">
        <v>99</v>
      </c>
      <c r="T5831" t="s">
        <v>29755</v>
      </c>
    </row>
    <row r="5832" spans="1:20">
      <c r="A5832">
        <v>3412528</v>
      </c>
      <c r="B5832" t="s">
        <v>29756</v>
      </c>
      <c r="C5832" t="str">
        <f>"9780774812139"</f>
        <v>9780774812139</v>
      </c>
      <c r="D5832" t="str">
        <f>"9780774857215"</f>
        <v>9780774857215</v>
      </c>
      <c r="E5832" t="s">
        <v>26801</v>
      </c>
      <c r="F5832" t="s">
        <v>26801</v>
      </c>
      <c r="G5832" s="1">
        <v>38687</v>
      </c>
      <c r="I5832" t="s">
        <v>28954</v>
      </c>
      <c r="J5832" t="s">
        <v>29757</v>
      </c>
      <c r="K5832" t="s">
        <v>305</v>
      </c>
      <c r="L5832" t="s">
        <v>29758</v>
      </c>
      <c r="M5832">
        <v>658.40830000000005</v>
      </c>
      <c r="N5832" t="s">
        <v>29759</v>
      </c>
      <c r="O5832" t="s">
        <v>26</v>
      </c>
      <c r="R5832">
        <v>99</v>
      </c>
      <c r="T5832" t="s">
        <v>29760</v>
      </c>
    </row>
    <row r="5833" spans="1:20">
      <c r="A5833">
        <v>3412529</v>
      </c>
      <c r="B5833" t="s">
        <v>29761</v>
      </c>
      <c r="C5833" t="str">
        <f>"9780774802185"</f>
        <v>9780774802185</v>
      </c>
      <c r="D5833" t="str">
        <f>"9780774857130"</f>
        <v>9780774857130</v>
      </c>
      <c r="E5833" t="s">
        <v>26801</v>
      </c>
      <c r="F5833" t="s">
        <v>26801</v>
      </c>
      <c r="G5833" s="1">
        <v>31048</v>
      </c>
      <c r="J5833" t="s">
        <v>29762</v>
      </c>
      <c r="K5833" t="s">
        <v>263</v>
      </c>
      <c r="L5833" t="s">
        <v>29763</v>
      </c>
      <c r="N5833" t="s">
        <v>29764</v>
      </c>
      <c r="O5833" t="s">
        <v>26</v>
      </c>
      <c r="R5833">
        <v>99</v>
      </c>
      <c r="T5833" t="s">
        <v>29765</v>
      </c>
    </row>
    <row r="5834" spans="1:20">
      <c r="A5834">
        <v>3412530</v>
      </c>
      <c r="B5834" t="s">
        <v>29766</v>
      </c>
      <c r="C5834" t="str">
        <f>"9780774801300"</f>
        <v>9780774801300</v>
      </c>
      <c r="D5834" t="str">
        <f>"9780774857895"</f>
        <v>9780774857895</v>
      </c>
      <c r="E5834" t="s">
        <v>26801</v>
      </c>
      <c r="F5834" t="s">
        <v>26801</v>
      </c>
      <c r="G5834" s="1">
        <v>28856</v>
      </c>
      <c r="J5834" t="s">
        <v>29767</v>
      </c>
      <c r="K5834" t="s">
        <v>1464</v>
      </c>
      <c r="L5834" t="s">
        <v>29768</v>
      </c>
      <c r="M5834">
        <v>811.00900000000001</v>
      </c>
      <c r="N5834" t="s">
        <v>29769</v>
      </c>
      <c r="O5834" t="s">
        <v>26</v>
      </c>
      <c r="R5834">
        <v>99</v>
      </c>
      <c r="T5834" t="s">
        <v>29770</v>
      </c>
    </row>
    <row r="5835" spans="1:20">
      <c r="A5835">
        <v>3412531</v>
      </c>
      <c r="B5835" t="s">
        <v>29771</v>
      </c>
      <c r="C5835" t="str">
        <f>"9780774801225"</f>
        <v>9780774801225</v>
      </c>
      <c r="D5835" t="str">
        <f>"9780774857871"</f>
        <v>9780774857871</v>
      </c>
      <c r="E5835" t="s">
        <v>26801</v>
      </c>
      <c r="F5835" t="s">
        <v>26801</v>
      </c>
      <c r="G5835" s="1">
        <v>29281</v>
      </c>
      <c r="J5835" t="s">
        <v>29772</v>
      </c>
      <c r="K5835" t="s">
        <v>416</v>
      </c>
      <c r="L5835" t="s">
        <v>29773</v>
      </c>
      <c r="M5835">
        <v>330.95</v>
      </c>
      <c r="N5835" t="s">
        <v>29774</v>
      </c>
      <c r="O5835" t="s">
        <v>26</v>
      </c>
      <c r="R5835">
        <v>99</v>
      </c>
      <c r="T5835" t="s">
        <v>29775</v>
      </c>
    </row>
    <row r="5836" spans="1:20">
      <c r="A5836">
        <v>3412532</v>
      </c>
      <c r="B5836" t="s">
        <v>29776</v>
      </c>
      <c r="C5836" t="str">
        <f>"9780774804769"</f>
        <v>9780774804769</v>
      </c>
      <c r="D5836" t="str">
        <f>"9780774856508"</f>
        <v>9780774856508</v>
      </c>
      <c r="E5836" t="s">
        <v>26801</v>
      </c>
      <c r="F5836" t="s">
        <v>26801</v>
      </c>
      <c r="G5836" s="1">
        <v>34335</v>
      </c>
      <c r="I5836" t="s">
        <v>29777</v>
      </c>
      <c r="J5836" t="s">
        <v>29778</v>
      </c>
      <c r="K5836" t="s">
        <v>2312</v>
      </c>
      <c r="L5836" t="s">
        <v>29779</v>
      </c>
      <c r="M5836">
        <v>327.71080000000001</v>
      </c>
      <c r="N5836" t="s">
        <v>29780</v>
      </c>
      <c r="O5836" t="s">
        <v>26</v>
      </c>
      <c r="R5836">
        <v>99</v>
      </c>
      <c r="T5836" t="s">
        <v>29781</v>
      </c>
    </row>
    <row r="5837" spans="1:20">
      <c r="A5837">
        <v>3412533</v>
      </c>
      <c r="B5837" t="s">
        <v>29782</v>
      </c>
      <c r="C5837" t="str">
        <f>"9780774801782"</f>
        <v>9780774801782</v>
      </c>
      <c r="D5837" t="str">
        <f>"9780774857666"</f>
        <v>9780774857666</v>
      </c>
      <c r="E5837" t="s">
        <v>26801</v>
      </c>
      <c r="F5837" t="s">
        <v>26801</v>
      </c>
      <c r="G5837" s="1">
        <v>30317</v>
      </c>
      <c r="J5837" t="s">
        <v>29783</v>
      </c>
      <c r="K5837" t="s">
        <v>7838</v>
      </c>
      <c r="L5837" t="s">
        <v>29784</v>
      </c>
      <c r="M5837">
        <v>720.92</v>
      </c>
      <c r="N5837" t="s">
        <v>29785</v>
      </c>
      <c r="O5837" t="s">
        <v>26</v>
      </c>
      <c r="R5837">
        <v>99</v>
      </c>
      <c r="T5837" t="s">
        <v>29786</v>
      </c>
    </row>
    <row r="5838" spans="1:20">
      <c r="A5838">
        <v>3412534</v>
      </c>
      <c r="B5838" t="s">
        <v>29787</v>
      </c>
      <c r="C5838" t="str">
        <f>"9780774803533"</f>
        <v>9780774803533</v>
      </c>
      <c r="D5838" t="str">
        <f>"9780774856683"</f>
        <v>9780774856683</v>
      </c>
      <c r="E5838" t="s">
        <v>26801</v>
      </c>
      <c r="F5838" t="s">
        <v>26801</v>
      </c>
      <c r="G5838" s="1">
        <v>32874</v>
      </c>
      <c r="J5838" t="s">
        <v>29788</v>
      </c>
      <c r="K5838" t="s">
        <v>257</v>
      </c>
      <c r="L5838" t="s">
        <v>29789</v>
      </c>
      <c r="M5838">
        <v>378.71132999999998</v>
      </c>
      <c r="N5838" t="s">
        <v>29790</v>
      </c>
      <c r="O5838" t="s">
        <v>26</v>
      </c>
      <c r="R5838">
        <v>99</v>
      </c>
      <c r="T5838" t="s">
        <v>29791</v>
      </c>
    </row>
    <row r="5839" spans="1:20">
      <c r="A5839">
        <v>3412535</v>
      </c>
      <c r="B5839" t="s">
        <v>29792</v>
      </c>
      <c r="C5839" t="str">
        <f>"9780774808095"</f>
        <v>9780774808095</v>
      </c>
      <c r="D5839" t="str">
        <f>"9780774856232"</f>
        <v>9780774856232</v>
      </c>
      <c r="E5839" t="s">
        <v>26801</v>
      </c>
      <c r="F5839" t="s">
        <v>26801</v>
      </c>
      <c r="G5839" s="1">
        <v>36965</v>
      </c>
      <c r="J5839" t="s">
        <v>29793</v>
      </c>
      <c r="K5839" t="s">
        <v>155</v>
      </c>
      <c r="L5839" t="s">
        <v>29794</v>
      </c>
      <c r="M5839">
        <v>595</v>
      </c>
      <c r="N5839" t="s">
        <v>29795</v>
      </c>
      <c r="O5839" t="s">
        <v>26</v>
      </c>
      <c r="R5839">
        <v>150</v>
      </c>
      <c r="T5839" t="s">
        <v>29796</v>
      </c>
    </row>
    <row r="5840" spans="1:20">
      <c r="A5840">
        <v>3412536</v>
      </c>
      <c r="B5840" t="s">
        <v>29797</v>
      </c>
      <c r="C5840" t="str">
        <f>"9780774802291"</f>
        <v>9780774802291</v>
      </c>
      <c r="D5840" t="str">
        <f>"9780774857512"</f>
        <v>9780774857512</v>
      </c>
      <c r="E5840" t="s">
        <v>26801</v>
      </c>
      <c r="F5840" t="s">
        <v>26801</v>
      </c>
      <c r="G5840" s="1">
        <v>31382</v>
      </c>
      <c r="J5840" t="s">
        <v>29798</v>
      </c>
      <c r="K5840" t="s">
        <v>305</v>
      </c>
      <c r="L5840" t="s">
        <v>29799</v>
      </c>
      <c r="M5840">
        <v>388.1</v>
      </c>
      <c r="N5840" t="s">
        <v>29800</v>
      </c>
      <c r="O5840" t="s">
        <v>26</v>
      </c>
      <c r="R5840">
        <v>99</v>
      </c>
      <c r="T5840" t="s">
        <v>29801</v>
      </c>
    </row>
    <row r="5841" spans="1:20">
      <c r="A5841">
        <v>3412537</v>
      </c>
      <c r="B5841" t="s">
        <v>29802</v>
      </c>
      <c r="C5841" t="str">
        <f>"9780774805926"</f>
        <v>9780774805926</v>
      </c>
      <c r="D5841" t="str">
        <f>"9780774856379"</f>
        <v>9780774856379</v>
      </c>
      <c r="E5841" t="s">
        <v>26801</v>
      </c>
      <c r="F5841" t="s">
        <v>26801</v>
      </c>
      <c r="G5841" s="1">
        <v>39356</v>
      </c>
      <c r="J5841" t="s">
        <v>29803</v>
      </c>
      <c r="K5841" t="s">
        <v>1471</v>
      </c>
      <c r="L5841" t="s">
        <v>29804</v>
      </c>
      <c r="M5841" t="s">
        <v>29805</v>
      </c>
      <c r="N5841" t="s">
        <v>29806</v>
      </c>
      <c r="O5841" t="s">
        <v>26</v>
      </c>
      <c r="R5841">
        <v>99</v>
      </c>
      <c r="T5841" t="s">
        <v>29807</v>
      </c>
    </row>
    <row r="5842" spans="1:20">
      <c r="A5842">
        <v>3412538</v>
      </c>
      <c r="B5842" t="s">
        <v>29808</v>
      </c>
      <c r="C5842" t="str">
        <f>"9780774802642"</f>
        <v>9780774802642</v>
      </c>
      <c r="D5842" t="str">
        <f>"9780774856928"</f>
        <v>9780774856928</v>
      </c>
      <c r="E5842" t="s">
        <v>26801</v>
      </c>
      <c r="F5842" t="s">
        <v>26801</v>
      </c>
      <c r="G5842" s="1">
        <v>31413</v>
      </c>
      <c r="J5842" t="s">
        <v>29809</v>
      </c>
      <c r="K5842" t="s">
        <v>291</v>
      </c>
      <c r="L5842" t="s">
        <v>29810</v>
      </c>
      <c r="N5842" t="s">
        <v>29811</v>
      </c>
      <c r="O5842" t="s">
        <v>26</v>
      </c>
      <c r="R5842">
        <v>99</v>
      </c>
      <c r="T5842" t="s">
        <v>29812</v>
      </c>
    </row>
    <row r="5843" spans="1:20">
      <c r="A5843">
        <v>3412540</v>
      </c>
      <c r="B5843" t="s">
        <v>29813</v>
      </c>
      <c r="C5843" t="str">
        <f>"9780774812979"</f>
        <v>9780774812979</v>
      </c>
      <c r="D5843" t="str">
        <f>"9780774855099"</f>
        <v>9780774855099</v>
      </c>
      <c r="E5843" t="s">
        <v>26801</v>
      </c>
      <c r="F5843" t="s">
        <v>26801</v>
      </c>
      <c r="G5843" s="1">
        <v>39036</v>
      </c>
      <c r="J5843" t="s">
        <v>29814</v>
      </c>
      <c r="K5843" t="s">
        <v>4158</v>
      </c>
      <c r="L5843" t="s">
        <v>29815</v>
      </c>
      <c r="M5843" t="s">
        <v>29816</v>
      </c>
      <c r="N5843" t="s">
        <v>29817</v>
      </c>
      <c r="O5843" t="s">
        <v>26</v>
      </c>
      <c r="R5843">
        <v>99</v>
      </c>
      <c r="T5843" t="s">
        <v>29818</v>
      </c>
    </row>
    <row r="5844" spans="1:20">
      <c r="A5844">
        <v>3412541</v>
      </c>
      <c r="B5844" t="s">
        <v>29819</v>
      </c>
      <c r="C5844" t="str">
        <f>"9780774800310"</f>
        <v>9780774800310</v>
      </c>
      <c r="D5844" t="str">
        <f>"9780774858007"</f>
        <v>9780774858007</v>
      </c>
      <c r="E5844" t="s">
        <v>26801</v>
      </c>
      <c r="F5844" t="s">
        <v>26801</v>
      </c>
      <c r="G5844" s="1">
        <v>27030</v>
      </c>
      <c r="J5844" t="s">
        <v>29820</v>
      </c>
      <c r="K5844" t="s">
        <v>1464</v>
      </c>
      <c r="L5844" t="s">
        <v>29821</v>
      </c>
      <c r="M5844">
        <v>811.40899999999999</v>
      </c>
      <c r="N5844" t="s">
        <v>29822</v>
      </c>
      <c r="O5844" t="s">
        <v>26</v>
      </c>
      <c r="R5844">
        <v>99</v>
      </c>
      <c r="T5844" t="s">
        <v>29823</v>
      </c>
    </row>
    <row r="5845" spans="1:20">
      <c r="A5845">
        <v>3412542</v>
      </c>
      <c r="B5845" t="s">
        <v>29824</v>
      </c>
      <c r="C5845" t="str">
        <f>"9780774804547"</f>
        <v>9780774804547</v>
      </c>
      <c r="D5845" t="str">
        <f>"9780774856478"</f>
        <v>9780774856478</v>
      </c>
      <c r="E5845" t="s">
        <v>26801</v>
      </c>
      <c r="F5845" t="s">
        <v>26801</v>
      </c>
      <c r="G5845" s="1">
        <v>34335</v>
      </c>
      <c r="J5845" t="s">
        <v>29825</v>
      </c>
      <c r="K5845" t="s">
        <v>550</v>
      </c>
      <c r="L5845" t="s">
        <v>29826</v>
      </c>
      <c r="M5845">
        <v>363.5</v>
      </c>
      <c r="N5845" t="s">
        <v>29827</v>
      </c>
      <c r="O5845" t="s">
        <v>26</v>
      </c>
      <c r="R5845">
        <v>99</v>
      </c>
      <c r="T5845" t="s">
        <v>29828</v>
      </c>
    </row>
    <row r="5846" spans="1:20">
      <c r="A5846">
        <v>3412543</v>
      </c>
      <c r="B5846" t="s">
        <v>29829</v>
      </c>
      <c r="C5846" t="str">
        <f>"9780774801249"</f>
        <v>9780774801249</v>
      </c>
      <c r="D5846" t="str">
        <f>"9780774857864"</f>
        <v>9780774857864</v>
      </c>
      <c r="E5846" t="s">
        <v>26801</v>
      </c>
      <c r="F5846" t="s">
        <v>26801</v>
      </c>
      <c r="G5846" s="1">
        <v>29190</v>
      </c>
      <c r="I5846" t="s">
        <v>29372</v>
      </c>
      <c r="J5846" t="s">
        <v>29830</v>
      </c>
      <c r="K5846" t="s">
        <v>305</v>
      </c>
      <c r="L5846" t="s">
        <v>29831</v>
      </c>
      <c r="N5846" t="s">
        <v>29832</v>
      </c>
      <c r="O5846" t="s">
        <v>26</v>
      </c>
      <c r="R5846">
        <v>99</v>
      </c>
      <c r="T5846" t="s">
        <v>29833</v>
      </c>
    </row>
    <row r="5847" spans="1:20">
      <c r="A5847">
        <v>3412544</v>
      </c>
      <c r="B5847" t="s">
        <v>29834</v>
      </c>
      <c r="C5847" t="str">
        <f>"9780774802413"</f>
        <v>9780774802413</v>
      </c>
      <c r="D5847" t="str">
        <f>"9780774857055"</f>
        <v>9780774857055</v>
      </c>
      <c r="E5847" t="s">
        <v>26801</v>
      </c>
      <c r="F5847" t="s">
        <v>26801</v>
      </c>
      <c r="G5847" s="1">
        <v>31444</v>
      </c>
      <c r="J5847" t="s">
        <v>29835</v>
      </c>
      <c r="K5847" t="s">
        <v>10089</v>
      </c>
      <c r="L5847" t="s">
        <v>29836</v>
      </c>
      <c r="M5847">
        <v>381.45</v>
      </c>
      <c r="N5847" t="s">
        <v>29837</v>
      </c>
      <c r="O5847" t="s">
        <v>26</v>
      </c>
      <c r="R5847">
        <v>99</v>
      </c>
      <c r="T5847" t="s">
        <v>29838</v>
      </c>
    </row>
    <row r="5848" spans="1:20">
      <c r="A5848">
        <v>3412545</v>
      </c>
      <c r="B5848" t="s">
        <v>29839</v>
      </c>
      <c r="C5848" t="str">
        <f>"9780774801669"</f>
        <v>9780774801669</v>
      </c>
      <c r="D5848" t="str">
        <f>"9780774857697"</f>
        <v>9780774857697</v>
      </c>
      <c r="E5848" t="s">
        <v>26801</v>
      </c>
      <c r="F5848" t="s">
        <v>26801</v>
      </c>
      <c r="G5848" s="1">
        <v>30317</v>
      </c>
      <c r="J5848" t="s">
        <v>29840</v>
      </c>
      <c r="K5848" t="s">
        <v>1530</v>
      </c>
      <c r="L5848" t="s">
        <v>29841</v>
      </c>
      <c r="M5848">
        <v>391.43</v>
      </c>
      <c r="N5848" t="s">
        <v>29842</v>
      </c>
      <c r="O5848" t="s">
        <v>26</v>
      </c>
      <c r="R5848">
        <v>99</v>
      </c>
      <c r="T5848" t="s">
        <v>29843</v>
      </c>
    </row>
    <row r="5849" spans="1:20">
      <c r="A5849">
        <v>3412546</v>
      </c>
      <c r="B5849" t="s">
        <v>29844</v>
      </c>
      <c r="C5849" t="str">
        <f>"9780774802307"</f>
        <v>9780774802307</v>
      </c>
      <c r="D5849" t="str">
        <f>"9780774856980"</f>
        <v>9780774856980</v>
      </c>
      <c r="E5849" t="s">
        <v>26801</v>
      </c>
      <c r="F5849" t="s">
        <v>26801</v>
      </c>
      <c r="G5849" s="1">
        <v>31413</v>
      </c>
      <c r="J5849" t="s">
        <v>29845</v>
      </c>
      <c r="K5849" t="s">
        <v>257</v>
      </c>
      <c r="L5849" t="s">
        <v>29846</v>
      </c>
      <c r="M5849">
        <v>370</v>
      </c>
      <c r="N5849" t="s">
        <v>29847</v>
      </c>
      <c r="O5849" t="s">
        <v>26</v>
      </c>
      <c r="R5849">
        <v>99</v>
      </c>
      <c r="T5849" t="s">
        <v>29848</v>
      </c>
    </row>
    <row r="5850" spans="1:20">
      <c r="A5850">
        <v>3412547</v>
      </c>
      <c r="B5850" t="s">
        <v>29849</v>
      </c>
      <c r="C5850" t="str">
        <f>"9780774808002"</f>
        <v>9780774808002</v>
      </c>
      <c r="D5850" t="str">
        <f>"9780774852449"</f>
        <v>9780774852449</v>
      </c>
      <c r="E5850" t="s">
        <v>26801</v>
      </c>
      <c r="F5850" t="s">
        <v>26801</v>
      </c>
      <c r="G5850" s="1">
        <v>34304</v>
      </c>
      <c r="H5850">
        <v>2</v>
      </c>
      <c r="J5850" t="s">
        <v>29850</v>
      </c>
      <c r="K5850" t="s">
        <v>23</v>
      </c>
      <c r="L5850" t="s">
        <v>29851</v>
      </c>
      <c r="N5850" t="s">
        <v>29852</v>
      </c>
      <c r="O5850" t="s">
        <v>26</v>
      </c>
      <c r="R5850">
        <v>99</v>
      </c>
      <c r="T5850" t="s">
        <v>29853</v>
      </c>
    </row>
    <row r="5851" spans="1:20">
      <c r="A5851">
        <v>3412548</v>
      </c>
      <c r="B5851" t="s">
        <v>29854</v>
      </c>
      <c r="C5851" t="str">
        <f>"9780774801775"</f>
        <v>9780774801775</v>
      </c>
      <c r="D5851" t="str">
        <f>"9780774857673"</f>
        <v>9780774857673</v>
      </c>
      <c r="E5851" t="s">
        <v>26801</v>
      </c>
      <c r="F5851" t="s">
        <v>26801</v>
      </c>
      <c r="G5851" s="1">
        <v>30317</v>
      </c>
      <c r="J5851" t="s">
        <v>29855</v>
      </c>
      <c r="K5851" t="s">
        <v>1464</v>
      </c>
      <c r="L5851" t="s">
        <v>29856</v>
      </c>
      <c r="M5851">
        <v>818.54089999999997</v>
      </c>
      <c r="N5851" t="s">
        <v>29857</v>
      </c>
      <c r="O5851" t="s">
        <v>26</v>
      </c>
      <c r="R5851">
        <v>99</v>
      </c>
      <c r="T5851" t="s">
        <v>29858</v>
      </c>
    </row>
    <row r="5852" spans="1:20">
      <c r="A5852">
        <v>3412549</v>
      </c>
      <c r="B5852" t="s">
        <v>29859</v>
      </c>
      <c r="C5852" t="str">
        <f>"9780774805728"</f>
        <v>9780774805728</v>
      </c>
      <c r="D5852" t="str">
        <f>"9780774856362"</f>
        <v>9780774856362</v>
      </c>
      <c r="E5852" t="s">
        <v>26801</v>
      </c>
      <c r="F5852" t="s">
        <v>26801</v>
      </c>
      <c r="G5852" s="1">
        <v>39356</v>
      </c>
      <c r="J5852" t="s">
        <v>29860</v>
      </c>
      <c r="K5852" t="s">
        <v>23</v>
      </c>
      <c r="L5852" t="s">
        <v>29861</v>
      </c>
      <c r="M5852">
        <v>598.09711000000004</v>
      </c>
      <c r="N5852" t="s">
        <v>29862</v>
      </c>
      <c r="O5852" t="s">
        <v>26</v>
      </c>
      <c r="R5852">
        <v>150</v>
      </c>
      <c r="T5852" t="s">
        <v>29863</v>
      </c>
    </row>
    <row r="5853" spans="1:20">
      <c r="A5853">
        <v>3412550</v>
      </c>
      <c r="B5853" t="s">
        <v>29864</v>
      </c>
      <c r="C5853" t="str">
        <f>"9780774807692"</f>
        <v>9780774807692</v>
      </c>
      <c r="D5853" t="str">
        <f>"9780774852098"</f>
        <v>9780774852098</v>
      </c>
      <c r="E5853" t="s">
        <v>26801</v>
      </c>
      <c r="F5853" t="s">
        <v>26801</v>
      </c>
      <c r="G5853" s="1">
        <v>39356</v>
      </c>
      <c r="I5853" t="s">
        <v>26986</v>
      </c>
      <c r="J5853" t="s">
        <v>29865</v>
      </c>
      <c r="K5853" t="s">
        <v>305</v>
      </c>
      <c r="L5853" t="s">
        <v>29866</v>
      </c>
      <c r="M5853" t="s">
        <v>29867</v>
      </c>
      <c r="N5853" t="s">
        <v>29868</v>
      </c>
      <c r="O5853" t="s">
        <v>26</v>
      </c>
      <c r="R5853">
        <v>99</v>
      </c>
      <c r="T5853" t="s">
        <v>29869</v>
      </c>
    </row>
    <row r="5854" spans="1:20">
      <c r="A5854">
        <v>3412551</v>
      </c>
      <c r="B5854" t="s">
        <v>29870</v>
      </c>
      <c r="C5854" t="str">
        <f>"9780774813594"</f>
        <v>9780774813594</v>
      </c>
      <c r="D5854" t="str">
        <f>"9780774857246"</f>
        <v>9780774857246</v>
      </c>
      <c r="E5854" t="s">
        <v>26801</v>
      </c>
      <c r="F5854" t="s">
        <v>26801</v>
      </c>
      <c r="G5854" s="1">
        <v>39114</v>
      </c>
      <c r="I5854" t="s">
        <v>27589</v>
      </c>
      <c r="J5854" t="s">
        <v>27590</v>
      </c>
      <c r="K5854" t="s">
        <v>525</v>
      </c>
      <c r="L5854" t="s">
        <v>29871</v>
      </c>
      <c r="M5854">
        <v>341</v>
      </c>
      <c r="N5854" t="s">
        <v>29537</v>
      </c>
      <c r="O5854" t="s">
        <v>26</v>
      </c>
      <c r="R5854">
        <v>180</v>
      </c>
      <c r="T5854" t="s">
        <v>29872</v>
      </c>
    </row>
    <row r="5855" spans="1:20">
      <c r="A5855">
        <v>3412552</v>
      </c>
      <c r="B5855" t="s">
        <v>29873</v>
      </c>
      <c r="C5855" t="str">
        <f>"9780774812689"</f>
        <v>9780774812689</v>
      </c>
      <c r="D5855" t="str">
        <f>"9780774855587"</f>
        <v>9780774855587</v>
      </c>
      <c r="E5855" t="s">
        <v>26801</v>
      </c>
      <c r="F5855" t="s">
        <v>26801</v>
      </c>
      <c r="G5855" s="1">
        <v>39203</v>
      </c>
      <c r="J5855" t="s">
        <v>29874</v>
      </c>
      <c r="K5855" t="s">
        <v>29875</v>
      </c>
      <c r="L5855" t="s">
        <v>29876</v>
      </c>
      <c r="M5855">
        <v>343.07866059999998</v>
      </c>
      <c r="N5855" t="s">
        <v>29877</v>
      </c>
      <c r="O5855" t="s">
        <v>26</v>
      </c>
      <c r="R5855">
        <v>99</v>
      </c>
      <c r="T5855" t="s">
        <v>29878</v>
      </c>
    </row>
    <row r="5856" spans="1:20">
      <c r="A5856">
        <v>3412553</v>
      </c>
      <c r="B5856" t="s">
        <v>29879</v>
      </c>
      <c r="C5856" t="str">
        <f>"9780774800686"</f>
        <v>9780774800686</v>
      </c>
      <c r="D5856" t="str">
        <f>"9780774857956"</f>
        <v>9780774857956</v>
      </c>
      <c r="E5856" t="s">
        <v>26801</v>
      </c>
      <c r="F5856" t="s">
        <v>26801</v>
      </c>
      <c r="G5856" s="1">
        <v>28126</v>
      </c>
      <c r="J5856" t="s">
        <v>29880</v>
      </c>
      <c r="K5856" t="s">
        <v>291</v>
      </c>
      <c r="L5856" t="s">
        <v>29881</v>
      </c>
      <c r="M5856">
        <v>971.06420000000003</v>
      </c>
      <c r="N5856" t="s">
        <v>29882</v>
      </c>
      <c r="O5856" t="s">
        <v>26</v>
      </c>
      <c r="R5856">
        <v>99</v>
      </c>
      <c r="T5856" t="s">
        <v>29883</v>
      </c>
    </row>
    <row r="5857" spans="1:20">
      <c r="A5857">
        <v>3412554</v>
      </c>
      <c r="B5857" t="s">
        <v>29884</v>
      </c>
      <c r="C5857" t="str">
        <f>"9780774803113"</f>
        <v>9780774803113</v>
      </c>
      <c r="D5857" t="str">
        <f>"9780774856768"</f>
        <v>9780774856768</v>
      </c>
      <c r="E5857" t="s">
        <v>26801</v>
      </c>
      <c r="F5857" t="s">
        <v>26801</v>
      </c>
      <c r="G5857" s="1">
        <v>32509</v>
      </c>
      <c r="J5857" t="s">
        <v>29885</v>
      </c>
      <c r="K5857" t="s">
        <v>1550</v>
      </c>
      <c r="L5857" t="s">
        <v>29886</v>
      </c>
      <c r="M5857">
        <v>305.89699999999999</v>
      </c>
      <c r="N5857" t="s">
        <v>29887</v>
      </c>
      <c r="O5857" t="s">
        <v>26</v>
      </c>
      <c r="R5857">
        <v>99</v>
      </c>
      <c r="T5857" t="s">
        <v>29888</v>
      </c>
    </row>
    <row r="5858" spans="1:20">
      <c r="A5858">
        <v>3412555</v>
      </c>
      <c r="B5858" t="s">
        <v>29889</v>
      </c>
      <c r="C5858" t="str">
        <f>"9780774806350"</f>
        <v>9780774806350</v>
      </c>
      <c r="D5858" t="str">
        <f>"9780774856423"</f>
        <v>9780774856423</v>
      </c>
      <c r="E5858" t="s">
        <v>26801</v>
      </c>
      <c r="F5858" t="s">
        <v>26801</v>
      </c>
      <c r="G5858" s="1">
        <v>35703</v>
      </c>
      <c r="J5858" t="s">
        <v>29890</v>
      </c>
      <c r="K5858" t="s">
        <v>155</v>
      </c>
      <c r="L5858" t="s">
        <v>29891</v>
      </c>
      <c r="M5858" t="s">
        <v>29892</v>
      </c>
      <c r="N5858" t="s">
        <v>29893</v>
      </c>
      <c r="O5858" t="s">
        <v>26</v>
      </c>
      <c r="R5858">
        <v>99</v>
      </c>
      <c r="T5858" t="s">
        <v>29894</v>
      </c>
    </row>
    <row r="5859" spans="1:20">
      <c r="A5859">
        <v>3412556</v>
      </c>
      <c r="B5859" t="s">
        <v>29895</v>
      </c>
      <c r="C5859" t="str">
        <f>"9780774803212"</f>
        <v>9780774803212</v>
      </c>
      <c r="D5859" t="str">
        <f>"9780774856744"</f>
        <v>9780774856744</v>
      </c>
      <c r="E5859" t="s">
        <v>26801</v>
      </c>
      <c r="F5859" t="s">
        <v>26801</v>
      </c>
      <c r="G5859" s="1">
        <v>32509</v>
      </c>
      <c r="J5859" t="s">
        <v>29896</v>
      </c>
      <c r="K5859" t="s">
        <v>110</v>
      </c>
      <c r="L5859" t="s">
        <v>29897</v>
      </c>
      <c r="N5859" t="s">
        <v>29898</v>
      </c>
      <c r="O5859" t="s">
        <v>26</v>
      </c>
      <c r="R5859">
        <v>99</v>
      </c>
      <c r="T5859" t="s">
        <v>29899</v>
      </c>
    </row>
    <row r="5860" spans="1:20">
      <c r="A5860">
        <v>3412557</v>
      </c>
      <c r="B5860" t="s">
        <v>29900</v>
      </c>
      <c r="C5860" t="str">
        <f>"9780774802024"</f>
        <v>9780774802024</v>
      </c>
      <c r="D5860" t="str">
        <f>"9780774857581"</f>
        <v>9780774857581</v>
      </c>
      <c r="E5860" t="s">
        <v>26801</v>
      </c>
      <c r="F5860" t="s">
        <v>26801</v>
      </c>
      <c r="G5860" s="1">
        <v>30682</v>
      </c>
      <c r="J5860" t="s">
        <v>29901</v>
      </c>
      <c r="K5860" t="s">
        <v>257</v>
      </c>
      <c r="L5860" t="s">
        <v>29902</v>
      </c>
      <c r="M5860">
        <v>371.02</v>
      </c>
      <c r="N5860" t="s">
        <v>29903</v>
      </c>
      <c r="O5860" t="s">
        <v>26</v>
      </c>
      <c r="R5860">
        <v>99</v>
      </c>
      <c r="T5860" t="s">
        <v>29904</v>
      </c>
    </row>
    <row r="5861" spans="1:20">
      <c r="A5861">
        <v>3412558</v>
      </c>
      <c r="B5861" t="s">
        <v>29905</v>
      </c>
      <c r="C5861" t="str">
        <f>"9780774804110"</f>
        <v>9780774804110</v>
      </c>
      <c r="D5861" t="str">
        <f>"9780774856560"</f>
        <v>9780774856560</v>
      </c>
      <c r="E5861" t="s">
        <v>26801</v>
      </c>
      <c r="F5861" t="s">
        <v>26801</v>
      </c>
      <c r="G5861" s="1">
        <v>33573</v>
      </c>
      <c r="J5861" t="s">
        <v>29906</v>
      </c>
      <c r="K5861" t="s">
        <v>291</v>
      </c>
      <c r="L5861" t="s">
        <v>29907</v>
      </c>
      <c r="M5861" t="s">
        <v>29908</v>
      </c>
      <c r="N5861" t="s">
        <v>29909</v>
      </c>
      <c r="O5861" t="s">
        <v>26</v>
      </c>
      <c r="R5861">
        <v>99</v>
      </c>
      <c r="T5861" t="s">
        <v>29910</v>
      </c>
    </row>
    <row r="5862" spans="1:20">
      <c r="A5862">
        <v>3412559</v>
      </c>
      <c r="B5862" t="s">
        <v>29911</v>
      </c>
      <c r="C5862" t="str">
        <f>"9780774809375"</f>
        <v>9780774809375</v>
      </c>
      <c r="D5862" t="str">
        <f>"9780774851800"</f>
        <v>9780774851800</v>
      </c>
      <c r="E5862" t="s">
        <v>26801</v>
      </c>
      <c r="F5862" t="s">
        <v>26801</v>
      </c>
      <c r="G5862" s="1">
        <v>39356</v>
      </c>
      <c r="I5862" t="s">
        <v>27589</v>
      </c>
      <c r="J5862" t="s">
        <v>27590</v>
      </c>
      <c r="K5862" t="s">
        <v>525</v>
      </c>
      <c r="L5862" t="s">
        <v>29912</v>
      </c>
      <c r="M5862">
        <v>341</v>
      </c>
      <c r="N5862" t="s">
        <v>29333</v>
      </c>
      <c r="O5862" t="s">
        <v>26</v>
      </c>
      <c r="R5862">
        <v>180</v>
      </c>
      <c r="T5862" t="s">
        <v>29913</v>
      </c>
    </row>
    <row r="5863" spans="1:20">
      <c r="A5863">
        <v>3412560</v>
      </c>
      <c r="B5863" t="s">
        <v>29914</v>
      </c>
      <c r="C5863" t="str">
        <f>"9780774812214"</f>
        <v>9780774812214</v>
      </c>
      <c r="D5863" t="str">
        <f>"9780774855761"</f>
        <v>9780774855761</v>
      </c>
      <c r="E5863" t="s">
        <v>26801</v>
      </c>
      <c r="F5863" t="s">
        <v>26801</v>
      </c>
      <c r="G5863" s="1">
        <v>39264</v>
      </c>
      <c r="J5863" t="s">
        <v>29915</v>
      </c>
      <c r="K5863" t="s">
        <v>291</v>
      </c>
      <c r="L5863" t="s">
        <v>29916</v>
      </c>
      <c r="M5863">
        <v>971.00495000000001</v>
      </c>
      <c r="N5863" t="s">
        <v>29917</v>
      </c>
      <c r="O5863" t="s">
        <v>26</v>
      </c>
      <c r="R5863">
        <v>99</v>
      </c>
      <c r="T5863" t="s">
        <v>29918</v>
      </c>
    </row>
    <row r="5864" spans="1:20">
      <c r="A5864">
        <v>3412561</v>
      </c>
      <c r="B5864" t="s">
        <v>29919</v>
      </c>
      <c r="C5864" t="str">
        <f>"9780774813600"</f>
        <v>9780774813600</v>
      </c>
      <c r="D5864" t="str">
        <f>"9780774855570"</f>
        <v>9780774855570</v>
      </c>
      <c r="E5864" t="s">
        <v>26801</v>
      </c>
      <c r="F5864" t="s">
        <v>26801</v>
      </c>
      <c r="G5864" s="1">
        <v>39083</v>
      </c>
      <c r="J5864" t="s">
        <v>29920</v>
      </c>
      <c r="K5864" t="s">
        <v>568</v>
      </c>
      <c r="L5864" t="s">
        <v>29921</v>
      </c>
      <c r="M5864" t="s">
        <v>26864</v>
      </c>
      <c r="N5864" t="s">
        <v>29922</v>
      </c>
      <c r="O5864" t="s">
        <v>26</v>
      </c>
      <c r="R5864">
        <v>99</v>
      </c>
      <c r="T5864" t="s">
        <v>29923</v>
      </c>
    </row>
    <row r="5865" spans="1:20">
      <c r="A5865">
        <v>3412562</v>
      </c>
      <c r="B5865" t="s">
        <v>29924</v>
      </c>
      <c r="C5865" t="str">
        <f>"9780774813914"</f>
        <v>9780774813914</v>
      </c>
      <c r="D5865" t="str">
        <f>"9780774855853"</f>
        <v>9780774855853</v>
      </c>
      <c r="E5865" t="s">
        <v>26801</v>
      </c>
      <c r="F5865" t="s">
        <v>26801</v>
      </c>
      <c r="G5865" s="1">
        <v>39393</v>
      </c>
      <c r="I5865" t="s">
        <v>29925</v>
      </c>
      <c r="J5865" t="s">
        <v>29926</v>
      </c>
      <c r="K5865" t="s">
        <v>814</v>
      </c>
      <c r="L5865" t="s">
        <v>29927</v>
      </c>
      <c r="M5865">
        <v>304.2</v>
      </c>
      <c r="N5865" t="s">
        <v>29928</v>
      </c>
      <c r="O5865" t="s">
        <v>26</v>
      </c>
      <c r="R5865">
        <v>99</v>
      </c>
      <c r="T5865" t="s">
        <v>29929</v>
      </c>
    </row>
    <row r="5866" spans="1:20">
      <c r="A5866">
        <v>3412563</v>
      </c>
      <c r="B5866" t="s">
        <v>29930</v>
      </c>
      <c r="C5866" t="str">
        <f>"9780774806183"</f>
        <v>9780774806183</v>
      </c>
      <c r="D5866" t="str">
        <f>"9780774856348"</f>
        <v>9780774856348</v>
      </c>
      <c r="E5866" t="s">
        <v>26801</v>
      </c>
      <c r="F5866" t="s">
        <v>26801</v>
      </c>
      <c r="G5866" s="1">
        <v>39356</v>
      </c>
      <c r="J5866" t="s">
        <v>29931</v>
      </c>
      <c r="K5866" t="s">
        <v>155</v>
      </c>
      <c r="L5866" t="s">
        <v>29932</v>
      </c>
      <c r="M5866">
        <v>598.09699999999998</v>
      </c>
      <c r="N5866" t="s">
        <v>29933</v>
      </c>
      <c r="O5866" t="s">
        <v>26</v>
      </c>
      <c r="R5866">
        <v>150</v>
      </c>
      <c r="T5866" t="s">
        <v>29934</v>
      </c>
    </row>
    <row r="5867" spans="1:20">
      <c r="A5867">
        <v>3412564</v>
      </c>
      <c r="B5867" t="s">
        <v>29935</v>
      </c>
      <c r="C5867" t="str">
        <f>"9780774806190"</f>
        <v>9780774806190</v>
      </c>
      <c r="D5867" t="str">
        <f>"9780774856355"</f>
        <v>9780774856355</v>
      </c>
      <c r="E5867" t="s">
        <v>26801</v>
      </c>
      <c r="F5867" t="s">
        <v>26801</v>
      </c>
      <c r="G5867" s="1">
        <v>39356</v>
      </c>
      <c r="J5867" t="s">
        <v>29936</v>
      </c>
      <c r="K5867" t="s">
        <v>155</v>
      </c>
      <c r="L5867" t="s">
        <v>29937</v>
      </c>
      <c r="M5867">
        <v>598.09699999999998</v>
      </c>
      <c r="N5867" t="s">
        <v>29938</v>
      </c>
      <c r="O5867" t="s">
        <v>26</v>
      </c>
      <c r="R5867">
        <v>150</v>
      </c>
      <c r="T5867" t="s">
        <v>29939</v>
      </c>
    </row>
    <row r="5868" spans="1:20">
      <c r="A5868">
        <v>3412565</v>
      </c>
      <c r="B5868" t="s">
        <v>29940</v>
      </c>
      <c r="C5868" t="str">
        <f>"9780774810128"</f>
        <v>9780774810128</v>
      </c>
      <c r="D5868" t="str">
        <f>"9780774856218"</f>
        <v>9780774856218</v>
      </c>
      <c r="E5868" t="s">
        <v>26801</v>
      </c>
      <c r="F5868" t="s">
        <v>26801</v>
      </c>
      <c r="G5868" s="1">
        <v>39387</v>
      </c>
      <c r="J5868" t="s">
        <v>29941</v>
      </c>
      <c r="K5868" t="s">
        <v>23</v>
      </c>
      <c r="L5868" t="s">
        <v>29942</v>
      </c>
      <c r="M5868">
        <v>598.09719099999995</v>
      </c>
      <c r="N5868" t="s">
        <v>29943</v>
      </c>
      <c r="O5868" t="s">
        <v>26</v>
      </c>
      <c r="R5868">
        <v>180</v>
      </c>
      <c r="T5868" t="s">
        <v>29944</v>
      </c>
    </row>
    <row r="5869" spans="1:20">
      <c r="A5869">
        <v>3412566</v>
      </c>
      <c r="B5869" t="s">
        <v>29945</v>
      </c>
      <c r="C5869" t="str">
        <f>"9780774806213"</f>
        <v>9780774806213</v>
      </c>
      <c r="D5869" t="str">
        <f>"9780774856225"</f>
        <v>9780774856225</v>
      </c>
      <c r="E5869" t="s">
        <v>26801</v>
      </c>
      <c r="F5869" t="s">
        <v>26801</v>
      </c>
      <c r="G5869" s="1">
        <v>39387</v>
      </c>
      <c r="J5869" t="s">
        <v>29946</v>
      </c>
      <c r="K5869" t="s">
        <v>23</v>
      </c>
      <c r="L5869" t="s">
        <v>29947</v>
      </c>
      <c r="M5869">
        <v>598.09699999999998</v>
      </c>
      <c r="N5869" t="s">
        <v>29948</v>
      </c>
      <c r="O5869" t="s">
        <v>26</v>
      </c>
      <c r="R5869">
        <v>150</v>
      </c>
      <c r="T5869" t="s">
        <v>29949</v>
      </c>
    </row>
    <row r="5870" spans="1:20">
      <c r="A5870">
        <v>3412567</v>
      </c>
      <c r="B5870" t="s">
        <v>29950</v>
      </c>
      <c r="C5870" t="str">
        <f>"9780774814553"</f>
        <v>9780774814553</v>
      </c>
      <c r="D5870" t="str">
        <f>"9780774855808"</f>
        <v>9780774855808</v>
      </c>
      <c r="E5870" t="s">
        <v>26801</v>
      </c>
      <c r="F5870" t="s">
        <v>26801</v>
      </c>
      <c r="G5870" s="1">
        <v>39630</v>
      </c>
      <c r="J5870" t="s">
        <v>29951</v>
      </c>
      <c r="K5870" t="s">
        <v>1464</v>
      </c>
      <c r="L5870" t="s">
        <v>29952</v>
      </c>
      <c r="M5870" t="s">
        <v>29953</v>
      </c>
      <c r="N5870" t="s">
        <v>29954</v>
      </c>
      <c r="O5870" t="s">
        <v>26</v>
      </c>
      <c r="R5870">
        <v>99</v>
      </c>
      <c r="T5870" t="s">
        <v>29955</v>
      </c>
    </row>
    <row r="5871" spans="1:20">
      <c r="A5871">
        <v>3412568</v>
      </c>
      <c r="B5871" t="s">
        <v>29956</v>
      </c>
      <c r="C5871" t="str">
        <f>"9780774813709"</f>
        <v>9780774813709</v>
      </c>
      <c r="D5871" t="str">
        <f>"9780774855778"</f>
        <v>9780774855778</v>
      </c>
      <c r="E5871" t="s">
        <v>26801</v>
      </c>
      <c r="F5871" t="s">
        <v>26801</v>
      </c>
      <c r="G5871" s="1">
        <v>39448</v>
      </c>
      <c r="I5871" t="s">
        <v>26818</v>
      </c>
      <c r="J5871" t="s">
        <v>29957</v>
      </c>
      <c r="K5871" t="s">
        <v>525</v>
      </c>
      <c r="L5871" t="s">
        <v>29958</v>
      </c>
      <c r="M5871" t="s">
        <v>10334</v>
      </c>
      <c r="N5871" t="s">
        <v>29959</v>
      </c>
      <c r="O5871" t="s">
        <v>26</v>
      </c>
      <c r="R5871">
        <v>99</v>
      </c>
      <c r="T5871" t="s">
        <v>29960</v>
      </c>
    </row>
    <row r="5872" spans="1:20">
      <c r="A5872">
        <v>3412569</v>
      </c>
      <c r="B5872" t="s">
        <v>29961</v>
      </c>
      <c r="C5872" t="str">
        <f>"9780774813938"</f>
        <v>9780774813938</v>
      </c>
      <c r="D5872" t="str">
        <f>"9780774855976"</f>
        <v>9780774855976</v>
      </c>
      <c r="E5872" t="s">
        <v>26801</v>
      </c>
      <c r="F5872" t="s">
        <v>26801</v>
      </c>
      <c r="G5872" s="1">
        <v>39630</v>
      </c>
      <c r="I5872" t="s">
        <v>26843</v>
      </c>
      <c r="J5872" t="s">
        <v>29962</v>
      </c>
      <c r="K5872" t="s">
        <v>1297</v>
      </c>
      <c r="L5872" t="s">
        <v>29963</v>
      </c>
      <c r="M5872">
        <v>333.76</v>
      </c>
      <c r="N5872" t="s">
        <v>29964</v>
      </c>
      <c r="O5872" t="s">
        <v>26</v>
      </c>
      <c r="R5872">
        <v>99</v>
      </c>
      <c r="T5872" t="s">
        <v>29965</v>
      </c>
    </row>
    <row r="5873" spans="1:20">
      <c r="A5873">
        <v>3412570</v>
      </c>
      <c r="B5873" t="s">
        <v>29966</v>
      </c>
      <c r="C5873" t="str">
        <f>"9780774814454"</f>
        <v>9780774814454</v>
      </c>
      <c r="D5873" t="str">
        <f>"9780774855938"</f>
        <v>9780774855938</v>
      </c>
      <c r="E5873" t="s">
        <v>26801</v>
      </c>
      <c r="F5873" t="s">
        <v>26801</v>
      </c>
      <c r="G5873" s="1">
        <v>39630</v>
      </c>
      <c r="I5873" t="s">
        <v>27576</v>
      </c>
      <c r="J5873" t="s">
        <v>29967</v>
      </c>
      <c r="K5873" t="s">
        <v>525</v>
      </c>
      <c r="L5873" t="s">
        <v>29968</v>
      </c>
      <c r="M5873">
        <v>342.7</v>
      </c>
      <c r="N5873" t="s">
        <v>29969</v>
      </c>
      <c r="O5873" t="s">
        <v>26</v>
      </c>
      <c r="R5873">
        <v>99</v>
      </c>
      <c r="T5873" t="s">
        <v>29970</v>
      </c>
    </row>
    <row r="5874" spans="1:20">
      <c r="A5874">
        <v>3412571</v>
      </c>
      <c r="B5874" t="s">
        <v>29971</v>
      </c>
      <c r="C5874" t="str">
        <f>"9780774814232"</f>
        <v>9780774814232</v>
      </c>
      <c r="D5874" t="str">
        <f>"9780774855655"</f>
        <v>9780774855655</v>
      </c>
      <c r="E5874" t="s">
        <v>26801</v>
      </c>
      <c r="F5874" t="s">
        <v>26801</v>
      </c>
      <c r="G5874" s="1">
        <v>39630</v>
      </c>
      <c r="J5874" t="s">
        <v>19648</v>
      </c>
      <c r="K5874" t="s">
        <v>6444</v>
      </c>
      <c r="L5874" t="s">
        <v>29972</v>
      </c>
      <c r="M5874">
        <v>320.97194999999999</v>
      </c>
      <c r="N5874" t="s">
        <v>29973</v>
      </c>
      <c r="O5874" t="s">
        <v>26</v>
      </c>
      <c r="R5874">
        <v>99</v>
      </c>
      <c r="T5874" t="s">
        <v>29974</v>
      </c>
    </row>
    <row r="5875" spans="1:20">
      <c r="A5875">
        <v>3412572</v>
      </c>
      <c r="B5875" t="s">
        <v>29975</v>
      </c>
      <c r="C5875" t="str">
        <f>"9780774814034"</f>
        <v>9780774814034</v>
      </c>
      <c r="D5875" t="str">
        <f>"9780774855433"</f>
        <v>9780774855433</v>
      </c>
      <c r="E5875" t="s">
        <v>26801</v>
      </c>
      <c r="F5875" t="s">
        <v>26801</v>
      </c>
      <c r="G5875" s="1">
        <v>39630</v>
      </c>
      <c r="I5875" t="s">
        <v>27576</v>
      </c>
      <c r="J5875" t="s">
        <v>29976</v>
      </c>
      <c r="K5875" t="s">
        <v>525</v>
      </c>
      <c r="L5875" t="s">
        <v>29977</v>
      </c>
      <c r="M5875" t="s">
        <v>21902</v>
      </c>
      <c r="N5875" t="s">
        <v>29978</v>
      </c>
      <c r="O5875" t="s">
        <v>26</v>
      </c>
      <c r="R5875">
        <v>110</v>
      </c>
      <c r="T5875" t="s">
        <v>29979</v>
      </c>
    </row>
    <row r="5876" spans="1:20">
      <c r="A5876">
        <v>3412573</v>
      </c>
      <c r="B5876" t="s">
        <v>29980</v>
      </c>
      <c r="C5876" t="str">
        <f>"9780774814133"</f>
        <v>9780774814133</v>
      </c>
      <c r="D5876" t="str">
        <f>"9780774855495"</f>
        <v>9780774855495</v>
      </c>
      <c r="E5876" t="s">
        <v>26801</v>
      </c>
      <c r="F5876" t="s">
        <v>26801</v>
      </c>
      <c r="G5876" s="1">
        <v>39630</v>
      </c>
      <c r="J5876" t="s">
        <v>29981</v>
      </c>
      <c r="K5876" t="s">
        <v>291</v>
      </c>
      <c r="L5876" t="s">
        <v>29982</v>
      </c>
      <c r="M5876" t="s">
        <v>6633</v>
      </c>
      <c r="N5876" t="s">
        <v>29983</v>
      </c>
      <c r="O5876" t="s">
        <v>26</v>
      </c>
      <c r="R5876">
        <v>99</v>
      </c>
      <c r="T5876" t="s">
        <v>29984</v>
      </c>
    </row>
    <row r="5877" spans="1:20">
      <c r="A5877">
        <v>3412574</v>
      </c>
      <c r="B5877" t="s">
        <v>29985</v>
      </c>
      <c r="C5877" t="str">
        <f>"9780774813846"</f>
        <v>9780774813846</v>
      </c>
      <c r="D5877" t="str">
        <f>"9780774855518"</f>
        <v>9780774855518</v>
      </c>
      <c r="E5877" t="s">
        <v>26801</v>
      </c>
      <c r="F5877" t="s">
        <v>26801</v>
      </c>
      <c r="G5877" s="1">
        <v>39630</v>
      </c>
      <c r="J5877" t="s">
        <v>29986</v>
      </c>
      <c r="K5877" t="s">
        <v>291</v>
      </c>
      <c r="L5877" t="s">
        <v>29987</v>
      </c>
      <c r="M5877">
        <v>971.06320000000005</v>
      </c>
      <c r="N5877" t="s">
        <v>29988</v>
      </c>
      <c r="O5877" t="s">
        <v>26</v>
      </c>
      <c r="R5877">
        <v>110</v>
      </c>
      <c r="T5877" t="s">
        <v>29989</v>
      </c>
    </row>
    <row r="5878" spans="1:20">
      <c r="A5878">
        <v>3412575</v>
      </c>
      <c r="B5878" t="s">
        <v>29990</v>
      </c>
      <c r="C5878" t="str">
        <f>"9780774814058"</f>
        <v>9780774814058</v>
      </c>
      <c r="D5878" t="str">
        <f>"9780774855891"</f>
        <v>9780774855891</v>
      </c>
      <c r="E5878" t="s">
        <v>26801</v>
      </c>
      <c r="F5878" t="s">
        <v>26801</v>
      </c>
      <c r="G5878" s="1">
        <v>39630</v>
      </c>
      <c r="J5878" t="s">
        <v>29991</v>
      </c>
      <c r="K5878" t="s">
        <v>11813</v>
      </c>
      <c r="L5878" t="s">
        <v>29992</v>
      </c>
      <c r="M5878" t="s">
        <v>29993</v>
      </c>
      <c r="N5878" t="s">
        <v>29994</v>
      </c>
      <c r="O5878" t="s">
        <v>26</v>
      </c>
      <c r="R5878">
        <v>99</v>
      </c>
      <c r="T5878" t="s">
        <v>29995</v>
      </c>
    </row>
    <row r="5879" spans="1:20">
      <c r="A5879">
        <v>3412576</v>
      </c>
      <c r="B5879" t="s">
        <v>29996</v>
      </c>
      <c r="C5879" t="str">
        <f>"9780774814478"</f>
        <v>9780774814478</v>
      </c>
      <c r="D5879" t="str">
        <f>"9780774855945"</f>
        <v>9780774855945</v>
      </c>
      <c r="E5879" t="s">
        <v>26801</v>
      </c>
      <c r="F5879" t="s">
        <v>26801</v>
      </c>
      <c r="G5879" s="1">
        <v>39569</v>
      </c>
      <c r="I5879" t="s">
        <v>29997</v>
      </c>
      <c r="J5879" t="s">
        <v>29998</v>
      </c>
      <c r="K5879" t="s">
        <v>291</v>
      </c>
      <c r="L5879" t="s">
        <v>29999</v>
      </c>
      <c r="M5879">
        <v>940.54750000000001</v>
      </c>
      <c r="N5879" t="s">
        <v>30000</v>
      </c>
      <c r="O5879" t="s">
        <v>26</v>
      </c>
      <c r="R5879">
        <v>99</v>
      </c>
      <c r="T5879" t="s">
        <v>30001</v>
      </c>
    </row>
    <row r="5880" spans="1:20">
      <c r="A5880">
        <v>3412577</v>
      </c>
      <c r="B5880" t="s">
        <v>30002</v>
      </c>
      <c r="C5880" t="str">
        <f>"9780774812764"</f>
        <v>9780774812764</v>
      </c>
      <c r="D5880" t="str">
        <f>"9780774855983"</f>
        <v>9780774855983</v>
      </c>
      <c r="E5880" t="s">
        <v>26801</v>
      </c>
      <c r="F5880" t="s">
        <v>26801</v>
      </c>
      <c r="G5880" s="1">
        <v>39630</v>
      </c>
      <c r="I5880" t="s">
        <v>27576</v>
      </c>
      <c r="J5880" t="s">
        <v>30003</v>
      </c>
      <c r="K5880" t="s">
        <v>525</v>
      </c>
      <c r="L5880" t="s">
        <v>30004</v>
      </c>
      <c r="M5880" t="s">
        <v>30005</v>
      </c>
      <c r="N5880" t="s">
        <v>30006</v>
      </c>
      <c r="O5880" t="s">
        <v>26</v>
      </c>
      <c r="R5880">
        <v>99</v>
      </c>
      <c r="T5880" t="s">
        <v>30007</v>
      </c>
    </row>
    <row r="5881" spans="1:20">
      <c r="A5881">
        <v>3412578</v>
      </c>
      <c r="B5881" t="s">
        <v>30008</v>
      </c>
      <c r="C5881" t="str">
        <f>"9780774813549"</f>
        <v>9780774813549</v>
      </c>
      <c r="D5881" t="str">
        <f>"9780774855600"</f>
        <v>9780774855600</v>
      </c>
      <c r="E5881" t="s">
        <v>26801</v>
      </c>
      <c r="F5881" t="s">
        <v>26801</v>
      </c>
      <c r="G5881" s="1">
        <v>39356</v>
      </c>
      <c r="I5881" t="s">
        <v>27495</v>
      </c>
      <c r="J5881" t="s">
        <v>30009</v>
      </c>
      <c r="K5881" t="s">
        <v>30010</v>
      </c>
      <c r="L5881" t="s">
        <v>30011</v>
      </c>
      <c r="M5881">
        <v>799.26</v>
      </c>
      <c r="N5881" t="s">
        <v>30012</v>
      </c>
      <c r="O5881" t="s">
        <v>26</v>
      </c>
      <c r="R5881">
        <v>99</v>
      </c>
      <c r="T5881" t="s">
        <v>30013</v>
      </c>
    </row>
    <row r="5882" spans="1:20">
      <c r="A5882">
        <v>3412579</v>
      </c>
      <c r="B5882" t="s">
        <v>30014</v>
      </c>
      <c r="C5882" t="str">
        <f>"9780774812177"</f>
        <v>9780774812177</v>
      </c>
      <c r="D5882" t="str">
        <f>"9780774855082"</f>
        <v>9780774855082</v>
      </c>
      <c r="E5882" t="s">
        <v>26801</v>
      </c>
      <c r="F5882" t="s">
        <v>26801</v>
      </c>
      <c r="G5882" s="1">
        <v>39083</v>
      </c>
      <c r="J5882" t="s">
        <v>30015</v>
      </c>
      <c r="K5882" t="s">
        <v>1471</v>
      </c>
      <c r="L5882" t="s">
        <v>30016</v>
      </c>
      <c r="M5882">
        <v>709</v>
      </c>
      <c r="N5882" t="s">
        <v>30017</v>
      </c>
      <c r="O5882" t="s">
        <v>26</v>
      </c>
      <c r="R5882">
        <v>99</v>
      </c>
      <c r="T5882" t="s">
        <v>30018</v>
      </c>
    </row>
    <row r="5883" spans="1:20">
      <c r="A5883">
        <v>3412580</v>
      </c>
      <c r="B5883" t="s">
        <v>30019</v>
      </c>
      <c r="C5883" t="str">
        <f>"9780774802093"</f>
        <v>9780774802093</v>
      </c>
      <c r="D5883" t="str">
        <f>"9780774857116"</f>
        <v>9780774857116</v>
      </c>
      <c r="E5883" t="s">
        <v>26801</v>
      </c>
      <c r="F5883" t="s">
        <v>26801</v>
      </c>
      <c r="G5883" s="1">
        <v>31048</v>
      </c>
      <c r="J5883" t="s">
        <v>30020</v>
      </c>
      <c r="K5883" t="s">
        <v>291</v>
      </c>
      <c r="L5883" t="s">
        <v>30021</v>
      </c>
      <c r="M5883">
        <v>971.05600000000004</v>
      </c>
      <c r="N5883" t="s">
        <v>30022</v>
      </c>
      <c r="O5883" t="s">
        <v>26</v>
      </c>
      <c r="R5883">
        <v>99</v>
      </c>
      <c r="T5883" t="s">
        <v>30023</v>
      </c>
    </row>
    <row r="5884" spans="1:20">
      <c r="A5884">
        <v>3412581</v>
      </c>
      <c r="B5884" t="s">
        <v>30024</v>
      </c>
      <c r="C5884" t="str">
        <f>"9780774804882"</f>
        <v>9780774804882</v>
      </c>
      <c r="D5884" t="str">
        <f>"9780774854320"</f>
        <v>9780774854320</v>
      </c>
      <c r="E5884" t="s">
        <v>26801</v>
      </c>
      <c r="F5884" t="s">
        <v>26801</v>
      </c>
      <c r="G5884" s="1">
        <v>34700</v>
      </c>
      <c r="J5884" t="s">
        <v>30025</v>
      </c>
      <c r="K5884" t="s">
        <v>291</v>
      </c>
      <c r="L5884" t="s">
        <v>30026</v>
      </c>
      <c r="M5884">
        <v>971.04899999999998</v>
      </c>
      <c r="N5884" t="s">
        <v>30027</v>
      </c>
      <c r="O5884" t="s">
        <v>26</v>
      </c>
      <c r="R5884">
        <v>99</v>
      </c>
      <c r="T5884" t="s">
        <v>30028</v>
      </c>
    </row>
    <row r="5885" spans="1:20">
      <c r="A5885">
        <v>3412582</v>
      </c>
      <c r="B5885" t="s">
        <v>30029</v>
      </c>
      <c r="C5885" t="str">
        <f>"9780774814317"</f>
        <v>9780774814317</v>
      </c>
      <c r="D5885" t="str">
        <f>"9780774855464"</f>
        <v>9780774855464</v>
      </c>
      <c r="E5885" t="s">
        <v>26801</v>
      </c>
      <c r="F5885" t="s">
        <v>26801</v>
      </c>
      <c r="G5885" s="1">
        <v>39630</v>
      </c>
      <c r="J5885" t="s">
        <v>30030</v>
      </c>
      <c r="K5885" t="s">
        <v>291</v>
      </c>
      <c r="L5885" t="s">
        <v>30031</v>
      </c>
      <c r="M5885">
        <v>971</v>
      </c>
      <c r="N5885" t="s">
        <v>30032</v>
      </c>
      <c r="O5885" t="s">
        <v>26</v>
      </c>
      <c r="R5885">
        <v>99</v>
      </c>
      <c r="T5885" t="s">
        <v>30033</v>
      </c>
    </row>
    <row r="5886" spans="1:20">
      <c r="A5886">
        <v>3412583</v>
      </c>
      <c r="B5886" t="s">
        <v>30034</v>
      </c>
      <c r="C5886" t="str">
        <f>"9780774813662"</f>
        <v>9780774813662</v>
      </c>
      <c r="D5886" t="str">
        <f>"9780774855952"</f>
        <v>9780774855952</v>
      </c>
      <c r="E5886" t="s">
        <v>26801</v>
      </c>
      <c r="F5886" t="s">
        <v>26801</v>
      </c>
      <c r="G5886" s="1">
        <v>39539</v>
      </c>
      <c r="J5886" t="s">
        <v>30035</v>
      </c>
      <c r="K5886" t="s">
        <v>3219</v>
      </c>
      <c r="L5886" t="s">
        <v>30036</v>
      </c>
      <c r="M5886">
        <v>917.904</v>
      </c>
      <c r="N5886" t="s">
        <v>30037</v>
      </c>
      <c r="O5886" t="s">
        <v>26</v>
      </c>
      <c r="R5886">
        <v>99</v>
      </c>
      <c r="T5886" t="s">
        <v>30038</v>
      </c>
    </row>
    <row r="5887" spans="1:20">
      <c r="A5887">
        <v>3412584</v>
      </c>
      <c r="B5887" t="s">
        <v>30039</v>
      </c>
      <c r="C5887" t="str">
        <f>"9780774814713"</f>
        <v>9780774814713</v>
      </c>
      <c r="D5887" t="str">
        <f>"9780774856126"</f>
        <v>9780774856126</v>
      </c>
      <c r="E5887" t="s">
        <v>26801</v>
      </c>
      <c r="F5887" t="s">
        <v>26801</v>
      </c>
      <c r="G5887" s="1">
        <v>39753</v>
      </c>
      <c r="J5887" t="s">
        <v>30040</v>
      </c>
      <c r="K5887" t="s">
        <v>30041</v>
      </c>
      <c r="L5887" t="s">
        <v>30042</v>
      </c>
      <c r="M5887">
        <v>639.29092000000003</v>
      </c>
      <c r="N5887" t="s">
        <v>30043</v>
      </c>
      <c r="O5887" t="s">
        <v>26</v>
      </c>
      <c r="R5887">
        <v>99</v>
      </c>
      <c r="T5887" t="s">
        <v>30044</v>
      </c>
    </row>
    <row r="5888" spans="1:20">
      <c r="A5888">
        <v>3412585</v>
      </c>
      <c r="B5888" t="s">
        <v>30045</v>
      </c>
      <c r="C5888" t="str">
        <f>"9780774815260"</f>
        <v>9780774815260</v>
      </c>
      <c r="D5888" t="str">
        <f>"9780774815284"</f>
        <v>9780774815284</v>
      </c>
      <c r="E5888" t="s">
        <v>26801</v>
      </c>
      <c r="F5888" t="s">
        <v>26801</v>
      </c>
      <c r="G5888" s="1">
        <v>39995</v>
      </c>
      <c r="I5888" t="s">
        <v>30046</v>
      </c>
      <c r="J5888" t="s">
        <v>30047</v>
      </c>
      <c r="K5888" t="s">
        <v>4081</v>
      </c>
      <c r="L5888" t="s">
        <v>30048</v>
      </c>
      <c r="M5888" t="s">
        <v>30049</v>
      </c>
      <c r="N5888" t="s">
        <v>30050</v>
      </c>
      <c r="O5888" t="s">
        <v>26</v>
      </c>
      <c r="R5888">
        <v>99</v>
      </c>
      <c r="T5888" t="s">
        <v>30051</v>
      </c>
    </row>
    <row r="5889" spans="1:20">
      <c r="A5889">
        <v>3412586</v>
      </c>
      <c r="B5889" t="s">
        <v>30052</v>
      </c>
      <c r="C5889" t="str">
        <f>"9780774816335"</f>
        <v>9780774816335</v>
      </c>
      <c r="D5889" t="str">
        <f>"9780774816359"</f>
        <v>9780774816359</v>
      </c>
      <c r="E5889" t="s">
        <v>26801</v>
      </c>
      <c r="F5889" t="s">
        <v>26801</v>
      </c>
      <c r="G5889" s="1">
        <v>40179</v>
      </c>
      <c r="I5889" t="s">
        <v>26935</v>
      </c>
      <c r="J5889" t="s">
        <v>30053</v>
      </c>
      <c r="K5889" t="s">
        <v>291</v>
      </c>
      <c r="L5889" t="s">
        <v>30054</v>
      </c>
      <c r="M5889">
        <v>971.10299999999995</v>
      </c>
      <c r="N5889" t="s">
        <v>30055</v>
      </c>
      <c r="O5889" t="s">
        <v>26</v>
      </c>
      <c r="R5889">
        <v>99</v>
      </c>
      <c r="T5889" t="s">
        <v>30056</v>
      </c>
    </row>
    <row r="5890" spans="1:20">
      <c r="A5890">
        <v>3412587</v>
      </c>
      <c r="B5890" t="s">
        <v>30057</v>
      </c>
      <c r="C5890" t="str">
        <f>"9780774801355"</f>
        <v>9780774801355</v>
      </c>
      <c r="D5890" t="str">
        <f>"9780774857802"</f>
        <v>9780774857802</v>
      </c>
      <c r="E5890" t="s">
        <v>26801</v>
      </c>
      <c r="F5890" t="s">
        <v>26801</v>
      </c>
      <c r="G5890" s="1">
        <v>29587</v>
      </c>
      <c r="J5890" t="s">
        <v>30020</v>
      </c>
      <c r="K5890" t="s">
        <v>291</v>
      </c>
      <c r="L5890" t="s">
        <v>30058</v>
      </c>
      <c r="M5890">
        <v>971.05600000000004</v>
      </c>
      <c r="N5890" t="s">
        <v>30059</v>
      </c>
      <c r="O5890" t="s">
        <v>26</v>
      </c>
      <c r="R5890">
        <v>99</v>
      </c>
      <c r="T5890" t="s">
        <v>30060</v>
      </c>
    </row>
    <row r="5891" spans="1:20">
      <c r="A5891">
        <v>3412588</v>
      </c>
      <c r="B5891" t="s">
        <v>30061</v>
      </c>
      <c r="C5891" t="str">
        <f>"9780774814539"</f>
        <v>9780774814539</v>
      </c>
      <c r="D5891" t="str">
        <f>"9780774856034"</f>
        <v>9780774856034</v>
      </c>
      <c r="E5891" t="s">
        <v>26801</v>
      </c>
      <c r="F5891" t="s">
        <v>26801</v>
      </c>
      <c r="G5891" s="1">
        <v>41773</v>
      </c>
      <c r="J5891" t="s">
        <v>30062</v>
      </c>
      <c r="K5891" t="s">
        <v>416</v>
      </c>
      <c r="L5891" t="s">
        <v>30063</v>
      </c>
      <c r="M5891" t="s">
        <v>30064</v>
      </c>
      <c r="N5891" t="s">
        <v>30065</v>
      </c>
      <c r="O5891" t="s">
        <v>26</v>
      </c>
      <c r="R5891">
        <v>99</v>
      </c>
      <c r="T5891" t="s">
        <v>30066</v>
      </c>
    </row>
    <row r="5892" spans="1:20">
      <c r="A5892">
        <v>3412589</v>
      </c>
      <c r="B5892" t="s">
        <v>30067</v>
      </c>
      <c r="C5892" t="str">
        <f>"9780774814010"</f>
        <v>9780774814010</v>
      </c>
      <c r="D5892" t="str">
        <f>"9780774855440"</f>
        <v>9780774855440</v>
      </c>
      <c r="E5892" t="s">
        <v>26801</v>
      </c>
      <c r="F5892" t="s">
        <v>26801</v>
      </c>
      <c r="G5892" s="1">
        <v>39484</v>
      </c>
      <c r="K5892" t="s">
        <v>1550</v>
      </c>
      <c r="L5892" t="s">
        <v>30068</v>
      </c>
      <c r="M5892" t="s">
        <v>30069</v>
      </c>
      <c r="N5892" t="s">
        <v>30070</v>
      </c>
      <c r="O5892" t="s">
        <v>26</v>
      </c>
      <c r="R5892">
        <v>99</v>
      </c>
      <c r="T5892" t="s">
        <v>30071</v>
      </c>
    </row>
    <row r="5893" spans="1:20">
      <c r="A5893">
        <v>3412590</v>
      </c>
      <c r="B5893" t="s">
        <v>30072</v>
      </c>
      <c r="C5893" t="str">
        <f>"9780774814157"</f>
        <v>9780774814157</v>
      </c>
      <c r="D5893" t="str">
        <f>"9780774855471"</f>
        <v>9780774855471</v>
      </c>
      <c r="E5893" t="s">
        <v>26801</v>
      </c>
      <c r="F5893" t="s">
        <v>26801</v>
      </c>
      <c r="G5893" s="1">
        <v>39512</v>
      </c>
      <c r="J5893" t="s">
        <v>30073</v>
      </c>
      <c r="K5893" t="s">
        <v>7063</v>
      </c>
      <c r="L5893" t="s">
        <v>30074</v>
      </c>
      <c r="M5893" t="s">
        <v>30075</v>
      </c>
      <c r="N5893" t="s">
        <v>30076</v>
      </c>
      <c r="O5893" t="s">
        <v>26</v>
      </c>
      <c r="R5893">
        <v>99</v>
      </c>
      <c r="T5893" t="s">
        <v>30077</v>
      </c>
    </row>
    <row r="5894" spans="1:20">
      <c r="A5894">
        <v>3412591</v>
      </c>
      <c r="B5894" t="s">
        <v>30078</v>
      </c>
      <c r="C5894" t="str">
        <f>"9780774814294"</f>
        <v>9780774814294</v>
      </c>
      <c r="D5894" t="str">
        <f>"9780774855488"</f>
        <v>9780774855488</v>
      </c>
      <c r="E5894" t="s">
        <v>26801</v>
      </c>
      <c r="F5894" t="s">
        <v>26801</v>
      </c>
      <c r="G5894" s="1">
        <v>39462</v>
      </c>
      <c r="I5894" t="s">
        <v>26935</v>
      </c>
      <c r="J5894" t="s">
        <v>30079</v>
      </c>
      <c r="K5894" t="s">
        <v>525</v>
      </c>
      <c r="L5894" t="s">
        <v>30080</v>
      </c>
      <c r="M5894" t="s">
        <v>30081</v>
      </c>
      <c r="N5894" t="s">
        <v>30082</v>
      </c>
      <c r="O5894" t="s">
        <v>26</v>
      </c>
      <c r="R5894">
        <v>99</v>
      </c>
      <c r="T5894" t="s">
        <v>30083</v>
      </c>
    </row>
    <row r="5895" spans="1:20">
      <c r="A5895">
        <v>3412592</v>
      </c>
      <c r="B5895" t="s">
        <v>30084</v>
      </c>
      <c r="C5895" t="str">
        <f>"9780774815451"</f>
        <v>9780774815451</v>
      </c>
      <c r="D5895" t="str">
        <f>"9780774815475"</f>
        <v>9780774815475</v>
      </c>
      <c r="E5895" t="s">
        <v>26801</v>
      </c>
      <c r="F5895" t="s">
        <v>26801</v>
      </c>
      <c r="G5895" s="1">
        <v>39995</v>
      </c>
      <c r="J5895" t="s">
        <v>30085</v>
      </c>
      <c r="K5895" t="s">
        <v>550</v>
      </c>
      <c r="L5895" t="s">
        <v>30086</v>
      </c>
      <c r="M5895">
        <v>304.60000000000002</v>
      </c>
      <c r="N5895" t="s">
        <v>30087</v>
      </c>
      <c r="O5895" t="s">
        <v>26</v>
      </c>
      <c r="R5895">
        <v>99</v>
      </c>
      <c r="T5895" t="s">
        <v>30088</v>
      </c>
    </row>
    <row r="5896" spans="1:20">
      <c r="A5896">
        <v>3412593</v>
      </c>
      <c r="B5896" t="s">
        <v>30089</v>
      </c>
      <c r="C5896" t="str">
        <f>"9780774814942"</f>
        <v>9780774814942</v>
      </c>
      <c r="D5896" t="str">
        <f>"9780774814966"</f>
        <v>9780774814966</v>
      </c>
      <c r="E5896" t="s">
        <v>26801</v>
      </c>
      <c r="F5896" t="s">
        <v>26801</v>
      </c>
      <c r="G5896" s="1">
        <v>39995</v>
      </c>
      <c r="I5896" t="s">
        <v>29925</v>
      </c>
      <c r="J5896" t="s">
        <v>30090</v>
      </c>
      <c r="K5896" t="s">
        <v>291</v>
      </c>
      <c r="L5896" t="s">
        <v>30091</v>
      </c>
      <c r="M5896" t="s">
        <v>10077</v>
      </c>
      <c r="N5896" t="s">
        <v>30092</v>
      </c>
      <c r="O5896" t="s">
        <v>26</v>
      </c>
      <c r="R5896">
        <v>99</v>
      </c>
      <c r="T5896" t="s">
        <v>30093</v>
      </c>
    </row>
    <row r="5897" spans="1:20">
      <c r="A5897">
        <v>3412594</v>
      </c>
      <c r="B5897" t="s">
        <v>30094</v>
      </c>
      <c r="C5897" t="str">
        <f>"9780774814799"</f>
        <v>9780774814799</v>
      </c>
      <c r="D5897" t="str">
        <f>"9780774814812"</f>
        <v>9780774814812</v>
      </c>
      <c r="E5897" t="s">
        <v>26801</v>
      </c>
      <c r="F5897" t="s">
        <v>26801</v>
      </c>
      <c r="G5897" s="1">
        <v>39589</v>
      </c>
      <c r="J5897" t="s">
        <v>30095</v>
      </c>
      <c r="K5897" t="s">
        <v>467</v>
      </c>
      <c r="L5897" t="s">
        <v>30096</v>
      </c>
      <c r="M5897">
        <v>323</v>
      </c>
      <c r="N5897" t="s">
        <v>30097</v>
      </c>
      <c r="O5897" t="s">
        <v>26</v>
      </c>
      <c r="R5897">
        <v>99</v>
      </c>
      <c r="T5897" t="s">
        <v>30098</v>
      </c>
    </row>
    <row r="5898" spans="1:20">
      <c r="A5898">
        <v>3412595</v>
      </c>
      <c r="B5898" t="s">
        <v>30099</v>
      </c>
      <c r="C5898" t="str">
        <f>"9780774813976"</f>
        <v>9780774813976</v>
      </c>
      <c r="D5898" t="str">
        <f>"9780774856072"</f>
        <v>9780774856072</v>
      </c>
      <c r="E5898" t="s">
        <v>26801</v>
      </c>
      <c r="F5898" t="s">
        <v>26801</v>
      </c>
      <c r="G5898" s="1">
        <v>39814</v>
      </c>
      <c r="J5898" t="s">
        <v>30100</v>
      </c>
      <c r="K5898" t="s">
        <v>278</v>
      </c>
      <c r="L5898" t="s">
        <v>30101</v>
      </c>
      <c r="M5898">
        <v>332.67254000000003</v>
      </c>
      <c r="N5898" t="s">
        <v>30102</v>
      </c>
      <c r="O5898" t="s">
        <v>26</v>
      </c>
      <c r="R5898">
        <v>99</v>
      </c>
      <c r="T5898" t="s">
        <v>30103</v>
      </c>
    </row>
    <row r="5899" spans="1:20">
      <c r="A5899">
        <v>3412596</v>
      </c>
      <c r="B5899" t="s">
        <v>30104</v>
      </c>
      <c r="C5899" t="str">
        <f>"9780774815178"</f>
        <v>9780774815178</v>
      </c>
      <c r="D5899" t="str">
        <f>"9780774815192"</f>
        <v>9780774815192</v>
      </c>
      <c r="E5899" t="s">
        <v>26801</v>
      </c>
      <c r="F5899" t="s">
        <v>26801</v>
      </c>
      <c r="G5899" s="1">
        <v>39802</v>
      </c>
      <c r="J5899" t="s">
        <v>30105</v>
      </c>
      <c r="K5899" t="s">
        <v>291</v>
      </c>
      <c r="L5899" t="s">
        <v>30106</v>
      </c>
      <c r="M5899">
        <v>971</v>
      </c>
      <c r="N5899" t="s">
        <v>30107</v>
      </c>
      <c r="O5899" t="s">
        <v>26</v>
      </c>
      <c r="R5899">
        <v>99</v>
      </c>
      <c r="T5899" t="s">
        <v>30108</v>
      </c>
    </row>
    <row r="5900" spans="1:20">
      <c r="A5900">
        <v>3412597</v>
      </c>
      <c r="B5900" t="s">
        <v>30109</v>
      </c>
      <c r="C5900" t="str">
        <f>"9780774814768"</f>
        <v>9780774814768</v>
      </c>
      <c r="D5900" t="str">
        <f>"9780774814782"</f>
        <v>9780774814782</v>
      </c>
      <c r="E5900" t="s">
        <v>26801</v>
      </c>
      <c r="F5900" t="s">
        <v>26801</v>
      </c>
      <c r="G5900" s="1">
        <v>39814</v>
      </c>
      <c r="J5900" t="s">
        <v>30110</v>
      </c>
      <c r="K5900" t="s">
        <v>376</v>
      </c>
      <c r="L5900" t="s">
        <v>30111</v>
      </c>
      <c r="M5900">
        <v>362.10601000000003</v>
      </c>
      <c r="N5900" t="s">
        <v>30112</v>
      </c>
      <c r="O5900" t="s">
        <v>26</v>
      </c>
      <c r="R5900">
        <v>99</v>
      </c>
      <c r="T5900" t="s">
        <v>30113</v>
      </c>
    </row>
    <row r="5901" spans="1:20">
      <c r="A5901">
        <v>3412598</v>
      </c>
      <c r="B5901" t="s">
        <v>30114</v>
      </c>
      <c r="C5901" t="str">
        <f>"9780774813990"</f>
        <v>9780774813990</v>
      </c>
      <c r="D5901" t="str">
        <f>"9780774855631"</f>
        <v>9780774855631</v>
      </c>
      <c r="E5901" t="s">
        <v>26801</v>
      </c>
      <c r="F5901" t="s">
        <v>26801</v>
      </c>
      <c r="G5901" s="1">
        <v>39462</v>
      </c>
      <c r="J5901" t="s">
        <v>30115</v>
      </c>
      <c r="K5901" t="s">
        <v>3308</v>
      </c>
      <c r="L5901" t="s">
        <v>30116</v>
      </c>
      <c r="M5901">
        <v>362.10899999999998</v>
      </c>
      <c r="N5901" t="s">
        <v>30117</v>
      </c>
      <c r="O5901" t="s">
        <v>26</v>
      </c>
      <c r="R5901">
        <v>99</v>
      </c>
      <c r="T5901" t="s">
        <v>30118</v>
      </c>
    </row>
    <row r="5902" spans="1:20">
      <c r="A5902">
        <v>3412599</v>
      </c>
      <c r="B5902" t="s">
        <v>30119</v>
      </c>
      <c r="C5902" t="str">
        <f>"9780774814492"</f>
        <v>9780774814492</v>
      </c>
      <c r="D5902" t="str">
        <f>"9780774856096"</f>
        <v>9780774856096</v>
      </c>
      <c r="E5902" t="s">
        <v>26801</v>
      </c>
      <c r="F5902" t="s">
        <v>26801</v>
      </c>
      <c r="G5902" s="1">
        <v>39575</v>
      </c>
      <c r="J5902" t="s">
        <v>17969</v>
      </c>
      <c r="K5902" t="s">
        <v>291</v>
      </c>
      <c r="L5902" t="s">
        <v>30120</v>
      </c>
      <c r="M5902">
        <v>971</v>
      </c>
      <c r="N5902" t="s">
        <v>30121</v>
      </c>
      <c r="O5902" t="s">
        <v>26</v>
      </c>
      <c r="R5902">
        <v>99</v>
      </c>
      <c r="T5902" t="s">
        <v>30122</v>
      </c>
    </row>
    <row r="5903" spans="1:20">
      <c r="A5903">
        <v>3412600</v>
      </c>
      <c r="B5903" t="s">
        <v>30123</v>
      </c>
      <c r="C5903" t="str">
        <f>"9780774814195"</f>
        <v>9780774814195</v>
      </c>
      <c r="D5903" t="str">
        <f>"9780774856102"</f>
        <v>9780774856102</v>
      </c>
      <c r="E5903" t="s">
        <v>26801</v>
      </c>
      <c r="F5903" t="s">
        <v>26801</v>
      </c>
      <c r="G5903" s="1">
        <v>39595</v>
      </c>
      <c r="I5903" t="s">
        <v>26935</v>
      </c>
      <c r="J5903" t="s">
        <v>30124</v>
      </c>
      <c r="K5903" t="s">
        <v>525</v>
      </c>
      <c r="L5903" t="s">
        <v>30125</v>
      </c>
      <c r="M5903" t="s">
        <v>30126</v>
      </c>
      <c r="N5903" t="s">
        <v>30127</v>
      </c>
      <c r="O5903" t="s">
        <v>26</v>
      </c>
      <c r="R5903">
        <v>99</v>
      </c>
      <c r="T5903" t="s">
        <v>30128</v>
      </c>
    </row>
    <row r="5904" spans="1:20">
      <c r="A5904">
        <v>3412601</v>
      </c>
      <c r="B5904" t="s">
        <v>30129</v>
      </c>
      <c r="C5904" t="str">
        <f>"9780774815871"</f>
        <v>9780774815871</v>
      </c>
      <c r="D5904" t="str">
        <f>"9780774815895"</f>
        <v>9780774815895</v>
      </c>
      <c r="E5904" t="s">
        <v>26801</v>
      </c>
      <c r="F5904" t="s">
        <v>26801</v>
      </c>
      <c r="G5904" s="1">
        <v>39783</v>
      </c>
      <c r="J5904" t="s">
        <v>26987</v>
      </c>
      <c r="K5904" t="s">
        <v>467</v>
      </c>
      <c r="L5904" t="s">
        <v>30130</v>
      </c>
      <c r="M5904">
        <v>327.7</v>
      </c>
      <c r="N5904" t="s">
        <v>30131</v>
      </c>
      <c r="O5904" t="s">
        <v>26</v>
      </c>
      <c r="R5904">
        <v>99</v>
      </c>
      <c r="T5904" t="s">
        <v>30132</v>
      </c>
    </row>
    <row r="5905" spans="1:20">
      <c r="A5905">
        <v>3412602</v>
      </c>
      <c r="B5905" t="s">
        <v>30133</v>
      </c>
      <c r="C5905" t="str">
        <f>"9780774814829"</f>
        <v>9780774814829</v>
      </c>
      <c r="D5905" t="str">
        <f>"9780774814843"</f>
        <v>9780774814843</v>
      </c>
      <c r="E5905" t="s">
        <v>26801</v>
      </c>
      <c r="F5905" t="s">
        <v>26801</v>
      </c>
      <c r="G5905" s="1">
        <v>39629</v>
      </c>
      <c r="J5905" t="s">
        <v>30134</v>
      </c>
      <c r="K5905" t="s">
        <v>10339</v>
      </c>
      <c r="L5905" t="s">
        <v>30135</v>
      </c>
      <c r="M5905">
        <v>940.54859999999996</v>
      </c>
      <c r="N5905" t="s">
        <v>30136</v>
      </c>
      <c r="O5905" t="s">
        <v>26</v>
      </c>
      <c r="R5905">
        <v>99</v>
      </c>
      <c r="T5905" t="s">
        <v>30137</v>
      </c>
    </row>
    <row r="5906" spans="1:20">
      <c r="A5906">
        <v>3412603</v>
      </c>
      <c r="B5906" t="s">
        <v>30138</v>
      </c>
      <c r="C5906" t="str">
        <f>"9780774815840"</f>
        <v>9780774815840</v>
      </c>
      <c r="D5906" t="str">
        <f>"9780774815864"</f>
        <v>9780774815864</v>
      </c>
      <c r="E5906" t="s">
        <v>26801</v>
      </c>
      <c r="F5906" t="s">
        <v>26801</v>
      </c>
      <c r="G5906" s="1">
        <v>39995</v>
      </c>
      <c r="J5906" t="s">
        <v>30139</v>
      </c>
      <c r="K5906" t="s">
        <v>305</v>
      </c>
      <c r="L5906" t="s">
        <v>30140</v>
      </c>
      <c r="M5906">
        <v>382.3</v>
      </c>
      <c r="N5906" t="s">
        <v>30141</v>
      </c>
      <c r="O5906" t="s">
        <v>26</v>
      </c>
      <c r="R5906">
        <v>99</v>
      </c>
      <c r="T5906" t="s">
        <v>30142</v>
      </c>
    </row>
    <row r="5907" spans="1:20">
      <c r="A5907">
        <v>3412604</v>
      </c>
      <c r="B5907" t="s">
        <v>30143</v>
      </c>
      <c r="C5907" t="str">
        <f>"9780774814690"</f>
        <v>9780774814690</v>
      </c>
      <c r="D5907" t="str">
        <f>"9780774856119"</f>
        <v>9780774856119</v>
      </c>
      <c r="E5907" t="s">
        <v>26801</v>
      </c>
      <c r="F5907" t="s">
        <v>26801</v>
      </c>
      <c r="G5907" s="1">
        <v>39554</v>
      </c>
      <c r="I5907" t="s">
        <v>28874</v>
      </c>
      <c r="J5907" t="s">
        <v>30144</v>
      </c>
      <c r="K5907" t="s">
        <v>1471</v>
      </c>
      <c r="L5907" t="s">
        <v>30145</v>
      </c>
      <c r="M5907">
        <v>700</v>
      </c>
      <c r="N5907" t="s">
        <v>30146</v>
      </c>
      <c r="O5907" t="s">
        <v>26</v>
      </c>
      <c r="R5907">
        <v>99</v>
      </c>
      <c r="T5907" t="s">
        <v>30147</v>
      </c>
    </row>
    <row r="5908" spans="1:20">
      <c r="A5908">
        <v>3412605</v>
      </c>
      <c r="B5908" t="s">
        <v>30148</v>
      </c>
      <c r="C5908" t="str">
        <f>"9780774811392"</f>
        <v>9780774811392</v>
      </c>
      <c r="D5908" t="str">
        <f>"9780774855594"</f>
        <v>9780774855594</v>
      </c>
      <c r="E5908" t="s">
        <v>26801</v>
      </c>
      <c r="F5908" t="s">
        <v>26801</v>
      </c>
      <c r="G5908" s="1">
        <v>39568</v>
      </c>
      <c r="J5908" t="s">
        <v>30149</v>
      </c>
      <c r="K5908" t="s">
        <v>6444</v>
      </c>
      <c r="L5908" t="s">
        <v>30150</v>
      </c>
      <c r="M5908">
        <v>323.11970710999998</v>
      </c>
      <c r="N5908" t="s">
        <v>30151</v>
      </c>
      <c r="O5908" t="s">
        <v>26</v>
      </c>
      <c r="R5908">
        <v>99</v>
      </c>
      <c r="T5908" t="s">
        <v>30152</v>
      </c>
    </row>
    <row r="5909" spans="1:20">
      <c r="A5909">
        <v>3412606</v>
      </c>
      <c r="B5909" t="s">
        <v>30153</v>
      </c>
      <c r="C5909" t="str">
        <f>"9780774814355"</f>
        <v>9780774814355</v>
      </c>
      <c r="D5909" t="str">
        <f>"9780774855792"</f>
        <v>9780774855792</v>
      </c>
      <c r="E5909" t="s">
        <v>26801</v>
      </c>
      <c r="F5909" t="s">
        <v>26801</v>
      </c>
      <c r="G5909" s="1">
        <v>39462</v>
      </c>
      <c r="I5909" t="s">
        <v>26935</v>
      </c>
      <c r="K5909" t="s">
        <v>525</v>
      </c>
      <c r="L5909" t="s">
        <v>30154</v>
      </c>
      <c r="M5909" t="s">
        <v>30155</v>
      </c>
      <c r="N5909" t="s">
        <v>30156</v>
      </c>
      <c r="O5909" t="s">
        <v>26</v>
      </c>
      <c r="R5909">
        <v>99</v>
      </c>
      <c r="T5909" t="s">
        <v>30157</v>
      </c>
    </row>
    <row r="5910" spans="1:20">
      <c r="A5910">
        <v>3412607</v>
      </c>
      <c r="B5910" t="s">
        <v>30158</v>
      </c>
      <c r="C5910" t="str">
        <f>"9780774814171"</f>
        <v>9780774814171</v>
      </c>
      <c r="D5910" t="str">
        <f>"9780774856157"</f>
        <v>9780774856157</v>
      </c>
      <c r="E5910" t="s">
        <v>26801</v>
      </c>
      <c r="F5910" t="s">
        <v>26801</v>
      </c>
      <c r="G5910" s="1">
        <v>39528</v>
      </c>
      <c r="I5910" t="s">
        <v>26924</v>
      </c>
      <c r="J5910" t="s">
        <v>30159</v>
      </c>
      <c r="K5910" t="s">
        <v>291</v>
      </c>
      <c r="L5910" t="s">
        <v>30160</v>
      </c>
      <c r="M5910" t="s">
        <v>30161</v>
      </c>
      <c r="N5910" t="s">
        <v>30162</v>
      </c>
      <c r="O5910" t="s">
        <v>26</v>
      </c>
      <c r="R5910">
        <v>99</v>
      </c>
      <c r="T5910" t="s">
        <v>30163</v>
      </c>
    </row>
    <row r="5911" spans="1:20">
      <c r="A5911">
        <v>3412608</v>
      </c>
      <c r="B5911" t="s">
        <v>30164</v>
      </c>
      <c r="C5911" t="str">
        <f>"9780774815093"</f>
        <v>9780774815093</v>
      </c>
      <c r="D5911" t="str">
        <f>"9780774815116"</f>
        <v>9780774815116</v>
      </c>
      <c r="E5911" t="s">
        <v>26801</v>
      </c>
      <c r="F5911" t="s">
        <v>26801</v>
      </c>
      <c r="G5911" s="1">
        <v>39728</v>
      </c>
      <c r="J5911" t="s">
        <v>27141</v>
      </c>
      <c r="K5911" t="s">
        <v>30165</v>
      </c>
      <c r="L5911" t="s">
        <v>30166</v>
      </c>
      <c r="M5911">
        <v>179.3</v>
      </c>
      <c r="N5911" t="s">
        <v>30167</v>
      </c>
      <c r="O5911" t="s">
        <v>26</v>
      </c>
      <c r="R5911">
        <v>99</v>
      </c>
      <c r="T5911" t="s">
        <v>30168</v>
      </c>
    </row>
    <row r="5912" spans="1:20">
      <c r="A5912">
        <v>3412609</v>
      </c>
      <c r="B5912" t="s">
        <v>30169</v>
      </c>
      <c r="C5912" t="str">
        <f>"9780774814676"</f>
        <v>9780774814676</v>
      </c>
      <c r="D5912" t="str">
        <f>"9780774856164"</f>
        <v>9780774856164</v>
      </c>
      <c r="E5912" t="s">
        <v>26801</v>
      </c>
      <c r="F5912" t="s">
        <v>26801</v>
      </c>
      <c r="G5912" s="1">
        <v>39596</v>
      </c>
      <c r="J5912" t="s">
        <v>30170</v>
      </c>
      <c r="K5912" t="s">
        <v>291</v>
      </c>
      <c r="L5912" t="s">
        <v>30171</v>
      </c>
      <c r="M5912">
        <v>957</v>
      </c>
      <c r="N5912" t="s">
        <v>30172</v>
      </c>
      <c r="O5912" t="s">
        <v>26</v>
      </c>
      <c r="R5912">
        <v>99</v>
      </c>
      <c r="T5912" t="s">
        <v>30173</v>
      </c>
    </row>
    <row r="5913" spans="1:20">
      <c r="A5913">
        <v>3412610</v>
      </c>
      <c r="B5913" t="s">
        <v>30174</v>
      </c>
      <c r="C5913" t="str">
        <f>"9780774814737"</f>
        <v>9780774814737</v>
      </c>
      <c r="D5913" t="str">
        <f>"9780774814751"</f>
        <v>9780774814751</v>
      </c>
      <c r="E5913" t="s">
        <v>26801</v>
      </c>
      <c r="F5913" t="s">
        <v>26801</v>
      </c>
      <c r="G5913" s="1">
        <v>39569</v>
      </c>
      <c r="J5913" t="s">
        <v>30175</v>
      </c>
      <c r="K5913" t="s">
        <v>263</v>
      </c>
      <c r="L5913" t="s">
        <v>30176</v>
      </c>
      <c r="M5913" t="s">
        <v>30177</v>
      </c>
      <c r="N5913" t="s">
        <v>30178</v>
      </c>
      <c r="O5913" t="s">
        <v>26</v>
      </c>
      <c r="R5913">
        <v>99</v>
      </c>
      <c r="T5913" t="s">
        <v>30179</v>
      </c>
    </row>
    <row r="5914" spans="1:20">
      <c r="A5914">
        <v>3412611</v>
      </c>
      <c r="B5914" t="s">
        <v>30180</v>
      </c>
      <c r="C5914" t="str">
        <f>"9780774814652"</f>
        <v>9780774814652</v>
      </c>
      <c r="D5914" t="str">
        <f>"9780774856027"</f>
        <v>9780774856027</v>
      </c>
      <c r="E5914" t="s">
        <v>26801</v>
      </c>
      <c r="F5914" t="s">
        <v>26801</v>
      </c>
      <c r="G5914" s="1">
        <v>39539</v>
      </c>
      <c r="J5914" t="s">
        <v>30181</v>
      </c>
      <c r="K5914" t="s">
        <v>263</v>
      </c>
      <c r="L5914" t="s">
        <v>30182</v>
      </c>
      <c r="M5914">
        <v>305.42009999999999</v>
      </c>
      <c r="N5914" t="s">
        <v>30183</v>
      </c>
      <c r="O5914" t="s">
        <v>26</v>
      </c>
      <c r="R5914">
        <v>99</v>
      </c>
      <c r="T5914" t="s">
        <v>30184</v>
      </c>
    </row>
    <row r="5915" spans="1:20">
      <c r="A5915">
        <v>3412612</v>
      </c>
      <c r="B5915" t="s">
        <v>30185</v>
      </c>
      <c r="C5915" t="str">
        <f>"9780774814515"</f>
        <v>9780774814515</v>
      </c>
      <c r="D5915" t="str">
        <f>"9780774856041"</f>
        <v>9780774856041</v>
      </c>
      <c r="E5915" t="s">
        <v>26801</v>
      </c>
      <c r="F5915" t="s">
        <v>26801</v>
      </c>
      <c r="G5915" s="1">
        <v>39539</v>
      </c>
      <c r="I5915" t="s">
        <v>30186</v>
      </c>
      <c r="J5915" t="s">
        <v>30187</v>
      </c>
      <c r="K5915" t="s">
        <v>467</v>
      </c>
      <c r="L5915" t="s">
        <v>30188</v>
      </c>
      <c r="M5915" t="s">
        <v>629</v>
      </c>
      <c r="N5915" t="s">
        <v>30189</v>
      </c>
      <c r="O5915" t="s">
        <v>26</v>
      </c>
      <c r="R5915">
        <v>99</v>
      </c>
      <c r="T5915" t="s">
        <v>30190</v>
      </c>
    </row>
    <row r="5916" spans="1:20">
      <c r="A5916">
        <v>3412613</v>
      </c>
      <c r="B5916" t="s">
        <v>30191</v>
      </c>
      <c r="C5916" t="str">
        <f>"9780774815482"</f>
        <v>9780774815482</v>
      </c>
      <c r="D5916" t="str">
        <f>"9780774815505"</f>
        <v>9780774815505</v>
      </c>
      <c r="E5916" t="s">
        <v>26801</v>
      </c>
      <c r="F5916" t="s">
        <v>26801</v>
      </c>
      <c r="G5916" s="1">
        <v>39802</v>
      </c>
      <c r="J5916" t="s">
        <v>30192</v>
      </c>
      <c r="K5916" t="s">
        <v>23693</v>
      </c>
      <c r="L5916" t="s">
        <v>30193</v>
      </c>
      <c r="M5916">
        <v>303.483</v>
      </c>
      <c r="N5916" t="s">
        <v>30194</v>
      </c>
      <c r="O5916" t="s">
        <v>26</v>
      </c>
      <c r="R5916">
        <v>99</v>
      </c>
      <c r="T5916" t="s">
        <v>30195</v>
      </c>
    </row>
    <row r="5917" spans="1:20">
      <c r="A5917">
        <v>3412614</v>
      </c>
      <c r="B5917" t="s">
        <v>30196</v>
      </c>
      <c r="C5917" t="str">
        <f>"9780774814973"</f>
        <v>9780774814973</v>
      </c>
      <c r="D5917" t="str">
        <f>"9780774814997"</f>
        <v>9780774814997</v>
      </c>
      <c r="E5917" t="s">
        <v>26801</v>
      </c>
      <c r="F5917" t="s">
        <v>26801</v>
      </c>
      <c r="G5917" s="1">
        <v>39738</v>
      </c>
      <c r="I5917" t="s">
        <v>26935</v>
      </c>
      <c r="J5917" t="s">
        <v>30197</v>
      </c>
      <c r="K5917" t="s">
        <v>525</v>
      </c>
      <c r="L5917" t="s">
        <v>30198</v>
      </c>
      <c r="M5917" t="s">
        <v>30199</v>
      </c>
      <c r="N5917" t="s">
        <v>30200</v>
      </c>
      <c r="O5917" t="s">
        <v>26</v>
      </c>
      <c r="R5917">
        <v>99</v>
      </c>
      <c r="T5917" t="s">
        <v>30201</v>
      </c>
    </row>
    <row r="5918" spans="1:20">
      <c r="A5918">
        <v>3412615</v>
      </c>
      <c r="B5918" t="s">
        <v>30202</v>
      </c>
      <c r="C5918" t="str">
        <f>"9780774814393"</f>
        <v>9780774814393</v>
      </c>
      <c r="D5918" t="str">
        <f>"9780774856133"</f>
        <v>9780774856133</v>
      </c>
      <c r="E5918" t="s">
        <v>26801</v>
      </c>
      <c r="F5918" t="s">
        <v>26801</v>
      </c>
      <c r="G5918" s="1">
        <v>39559</v>
      </c>
      <c r="J5918" t="s">
        <v>30203</v>
      </c>
      <c r="K5918" t="s">
        <v>550</v>
      </c>
      <c r="L5918" t="s">
        <v>30204</v>
      </c>
      <c r="M5918">
        <v>305.56200000000001</v>
      </c>
      <c r="N5918" t="s">
        <v>30205</v>
      </c>
      <c r="O5918" t="s">
        <v>26</v>
      </c>
      <c r="R5918">
        <v>99</v>
      </c>
      <c r="T5918" t="s">
        <v>30206</v>
      </c>
    </row>
    <row r="5919" spans="1:20">
      <c r="A5919">
        <v>3412616</v>
      </c>
      <c r="B5919" t="s">
        <v>30207</v>
      </c>
      <c r="C5919" t="str">
        <f>"9780774815062"</f>
        <v>9780774815062</v>
      </c>
      <c r="D5919" t="str">
        <f>"9780774815086"</f>
        <v>9780774815086</v>
      </c>
      <c r="E5919" t="s">
        <v>26801</v>
      </c>
      <c r="F5919" t="s">
        <v>26801</v>
      </c>
      <c r="G5919" s="1">
        <v>39599</v>
      </c>
      <c r="I5919" t="s">
        <v>30208</v>
      </c>
      <c r="J5919" t="s">
        <v>30209</v>
      </c>
      <c r="K5919" t="s">
        <v>473</v>
      </c>
      <c r="L5919" t="s">
        <v>30210</v>
      </c>
      <c r="M5919">
        <v>303.48200000000003</v>
      </c>
      <c r="N5919" t="s">
        <v>30211</v>
      </c>
      <c r="O5919" t="s">
        <v>26</v>
      </c>
      <c r="R5919">
        <v>99</v>
      </c>
      <c r="T5919" t="s">
        <v>30212</v>
      </c>
    </row>
    <row r="5920" spans="1:20">
      <c r="A5920">
        <v>3412617</v>
      </c>
      <c r="B5920" t="s">
        <v>30213</v>
      </c>
      <c r="C5920" t="str">
        <f>"9780774814331"</f>
        <v>9780774814331</v>
      </c>
      <c r="D5920" t="str">
        <f>"9780774856140"</f>
        <v>9780774856140</v>
      </c>
      <c r="E5920" t="s">
        <v>26801</v>
      </c>
      <c r="F5920" t="s">
        <v>26801</v>
      </c>
      <c r="G5920" s="1">
        <v>39814</v>
      </c>
      <c r="I5920" t="s">
        <v>30208</v>
      </c>
      <c r="J5920" t="s">
        <v>30214</v>
      </c>
      <c r="K5920" t="s">
        <v>778</v>
      </c>
      <c r="L5920" t="s">
        <v>30215</v>
      </c>
      <c r="M5920">
        <v>341.2</v>
      </c>
      <c r="N5920" t="s">
        <v>30216</v>
      </c>
      <c r="O5920" t="s">
        <v>26</v>
      </c>
      <c r="R5920">
        <v>99</v>
      </c>
      <c r="T5920" t="s">
        <v>30217</v>
      </c>
    </row>
    <row r="5921" spans="1:20">
      <c r="A5921">
        <v>3412618</v>
      </c>
      <c r="B5921" t="s">
        <v>30218</v>
      </c>
      <c r="C5921" t="str">
        <f>"9780774814096"</f>
        <v>9780774814096</v>
      </c>
      <c r="D5921" t="str">
        <f>"9780774855563"</f>
        <v>9780774855563</v>
      </c>
      <c r="E5921" t="s">
        <v>26801</v>
      </c>
      <c r="F5921" t="s">
        <v>26801</v>
      </c>
      <c r="G5921" s="1">
        <v>39484</v>
      </c>
      <c r="J5921" t="s">
        <v>30219</v>
      </c>
      <c r="K5921" t="s">
        <v>467</v>
      </c>
      <c r="L5921" t="s">
        <v>30220</v>
      </c>
      <c r="M5921">
        <v>320.01</v>
      </c>
      <c r="N5921" t="s">
        <v>30221</v>
      </c>
      <c r="O5921" t="s">
        <v>26</v>
      </c>
      <c r="R5921">
        <v>99</v>
      </c>
      <c r="T5921" t="s">
        <v>30222</v>
      </c>
    </row>
    <row r="5922" spans="1:20">
      <c r="A5922">
        <v>3412619</v>
      </c>
      <c r="B5922" t="s">
        <v>30223</v>
      </c>
      <c r="C5922" t="str">
        <f>"9780774814256"</f>
        <v>9780774814256</v>
      </c>
      <c r="D5922" t="str">
        <f>"9780774856065"</f>
        <v>9780774856065</v>
      </c>
      <c r="E5922" t="s">
        <v>26801</v>
      </c>
      <c r="F5922" t="s">
        <v>26801</v>
      </c>
      <c r="G5922" s="1">
        <v>41773</v>
      </c>
      <c r="J5922" t="s">
        <v>30224</v>
      </c>
      <c r="K5922" t="s">
        <v>3230</v>
      </c>
      <c r="L5922" t="s">
        <v>30225</v>
      </c>
      <c r="M5922">
        <v>911.71400000000006</v>
      </c>
      <c r="N5922" t="s">
        <v>30226</v>
      </c>
      <c r="O5922" t="s">
        <v>26</v>
      </c>
      <c r="R5922">
        <v>99</v>
      </c>
      <c r="T5922" t="s">
        <v>30227</v>
      </c>
    </row>
    <row r="5923" spans="1:20">
      <c r="A5923">
        <v>3412620</v>
      </c>
      <c r="B5923" t="s">
        <v>30228</v>
      </c>
      <c r="C5923" t="str">
        <f>"9780774814614"</f>
        <v>9780774814614</v>
      </c>
      <c r="D5923" t="str">
        <f>"9780774856058"</f>
        <v>9780774856058</v>
      </c>
      <c r="E5923" t="s">
        <v>26801</v>
      </c>
      <c r="F5923" t="s">
        <v>26801</v>
      </c>
      <c r="G5923" s="1">
        <v>39673</v>
      </c>
      <c r="I5923" t="s">
        <v>26935</v>
      </c>
      <c r="J5923" t="s">
        <v>30229</v>
      </c>
      <c r="K5923" t="s">
        <v>4158</v>
      </c>
      <c r="L5923" t="s">
        <v>30230</v>
      </c>
      <c r="M5923">
        <v>971</v>
      </c>
      <c r="N5923" t="s">
        <v>30231</v>
      </c>
      <c r="O5923" t="s">
        <v>26</v>
      </c>
      <c r="R5923">
        <v>99</v>
      </c>
      <c r="T5923" t="s">
        <v>30232</v>
      </c>
    </row>
    <row r="5924" spans="1:20">
      <c r="A5924">
        <v>3412621</v>
      </c>
      <c r="B5924" t="s">
        <v>30233</v>
      </c>
      <c r="C5924" t="str">
        <f>"9780774814638"</f>
        <v>9780774814638</v>
      </c>
      <c r="D5924" t="str">
        <f>"9780774857222"</f>
        <v>9780774857222</v>
      </c>
      <c r="E5924" t="s">
        <v>26801</v>
      </c>
      <c r="F5924" t="s">
        <v>30234</v>
      </c>
      <c r="G5924" s="1">
        <v>39797</v>
      </c>
      <c r="I5924" t="s">
        <v>26935</v>
      </c>
      <c r="J5924" t="s">
        <v>30235</v>
      </c>
      <c r="K5924" t="s">
        <v>14458</v>
      </c>
      <c r="L5924" t="s">
        <v>30236</v>
      </c>
      <c r="M5924" t="s">
        <v>6633</v>
      </c>
      <c r="N5924" t="s">
        <v>30237</v>
      </c>
      <c r="O5924" t="s">
        <v>26</v>
      </c>
      <c r="R5924">
        <v>99</v>
      </c>
      <c r="T5924" t="s">
        <v>30238</v>
      </c>
    </row>
    <row r="5925" spans="1:20">
      <c r="A5925">
        <v>3412622</v>
      </c>
      <c r="B5925" t="s">
        <v>30239</v>
      </c>
      <c r="C5925" t="str">
        <f>"9780774814430"</f>
        <v>9780774814430</v>
      </c>
      <c r="D5925" t="str">
        <f>"9780774856089"</f>
        <v>9780774856089</v>
      </c>
      <c r="E5925" t="s">
        <v>26801</v>
      </c>
      <c r="F5925" t="s">
        <v>26801</v>
      </c>
      <c r="G5925" s="1">
        <v>39568</v>
      </c>
      <c r="J5925" t="s">
        <v>30240</v>
      </c>
      <c r="K5925" t="s">
        <v>7063</v>
      </c>
      <c r="L5925" t="s">
        <v>30241</v>
      </c>
      <c r="M5925">
        <v>327.7</v>
      </c>
      <c r="N5925" t="s">
        <v>30242</v>
      </c>
      <c r="O5925" t="s">
        <v>26</v>
      </c>
      <c r="R5925">
        <v>99</v>
      </c>
      <c r="T5925" t="s">
        <v>30243</v>
      </c>
    </row>
    <row r="5926" spans="1:20">
      <c r="A5926">
        <v>3412623</v>
      </c>
      <c r="B5926" t="s">
        <v>30244</v>
      </c>
      <c r="C5926" t="str">
        <f>"9780774815321"</f>
        <v>9780774815321</v>
      </c>
      <c r="D5926" t="str">
        <f>"9780774815345"</f>
        <v>9780774815345</v>
      </c>
      <c r="E5926" t="s">
        <v>26801</v>
      </c>
      <c r="F5926" t="s">
        <v>26801</v>
      </c>
      <c r="G5926" s="1">
        <v>40179</v>
      </c>
      <c r="I5926" t="s">
        <v>30245</v>
      </c>
      <c r="J5926" t="s">
        <v>30246</v>
      </c>
      <c r="K5926" t="s">
        <v>899</v>
      </c>
      <c r="L5926" t="s">
        <v>30247</v>
      </c>
      <c r="M5926">
        <v>304.27999999999997</v>
      </c>
      <c r="N5926" t="s">
        <v>30248</v>
      </c>
      <c r="O5926" t="s">
        <v>26</v>
      </c>
      <c r="R5926">
        <v>99</v>
      </c>
      <c r="T5926" t="s">
        <v>30249</v>
      </c>
    </row>
    <row r="5927" spans="1:20">
      <c r="A5927">
        <v>3412624</v>
      </c>
      <c r="B5927" t="s">
        <v>30250</v>
      </c>
      <c r="C5927" t="str">
        <f>"9780774815932"</f>
        <v>9780774815932</v>
      </c>
      <c r="D5927" t="str">
        <f>"9780774815956"</f>
        <v>9780774815956</v>
      </c>
      <c r="E5927" t="s">
        <v>26801</v>
      </c>
      <c r="F5927" t="s">
        <v>26801</v>
      </c>
      <c r="G5927" s="1">
        <v>39783</v>
      </c>
      <c r="I5927" t="s">
        <v>26924</v>
      </c>
      <c r="J5927" t="s">
        <v>30251</v>
      </c>
      <c r="K5927" t="s">
        <v>4347</v>
      </c>
      <c r="L5927" t="s">
        <v>30252</v>
      </c>
      <c r="M5927">
        <v>355.22409709999999</v>
      </c>
      <c r="N5927" t="s">
        <v>30253</v>
      </c>
      <c r="O5927" t="s">
        <v>26</v>
      </c>
      <c r="R5927">
        <v>99</v>
      </c>
      <c r="T5927" t="s">
        <v>30254</v>
      </c>
    </row>
    <row r="5928" spans="1:20">
      <c r="A5928">
        <v>3412625</v>
      </c>
      <c r="B5928" t="s">
        <v>30255</v>
      </c>
      <c r="C5928" t="str">
        <f>"9780774815697"</f>
        <v>9780774815697</v>
      </c>
      <c r="D5928" t="str">
        <f>"9780774815710"</f>
        <v>9780774815710</v>
      </c>
      <c r="E5928" t="s">
        <v>26801</v>
      </c>
      <c r="F5928" t="s">
        <v>26801</v>
      </c>
      <c r="G5928" s="1">
        <v>39752</v>
      </c>
      <c r="J5928" t="s">
        <v>30256</v>
      </c>
      <c r="K5928" t="s">
        <v>30257</v>
      </c>
      <c r="L5928" t="s">
        <v>30258</v>
      </c>
      <c r="M5928" t="s">
        <v>30259</v>
      </c>
      <c r="N5928" t="s">
        <v>30260</v>
      </c>
      <c r="O5928" t="s">
        <v>26</v>
      </c>
      <c r="R5928">
        <v>99</v>
      </c>
      <c r="T5928" t="s">
        <v>30261</v>
      </c>
    </row>
    <row r="5929" spans="1:20">
      <c r="A5929">
        <v>3412626</v>
      </c>
      <c r="B5929" t="s">
        <v>30262</v>
      </c>
      <c r="C5929" t="str">
        <f>"9780774815543"</f>
        <v>9780774815543</v>
      </c>
      <c r="D5929" t="str">
        <f>"9780774815567"</f>
        <v>9780774815567</v>
      </c>
      <c r="E5929" t="s">
        <v>26801</v>
      </c>
      <c r="F5929" t="s">
        <v>26801</v>
      </c>
      <c r="G5929" s="1">
        <v>39750</v>
      </c>
      <c r="J5929" t="s">
        <v>30263</v>
      </c>
      <c r="K5929" t="s">
        <v>4433</v>
      </c>
      <c r="L5929" t="s">
        <v>30264</v>
      </c>
      <c r="M5929">
        <v>320</v>
      </c>
      <c r="N5929" t="s">
        <v>30265</v>
      </c>
      <c r="O5929" t="s">
        <v>26</v>
      </c>
      <c r="R5929">
        <v>99</v>
      </c>
      <c r="T5929" t="s">
        <v>30266</v>
      </c>
    </row>
    <row r="5930" spans="1:20">
      <c r="A5930">
        <v>3412627</v>
      </c>
      <c r="B5930" t="s">
        <v>30267</v>
      </c>
      <c r="C5930" t="str">
        <f>"9780774814911"</f>
        <v>9780774814911</v>
      </c>
      <c r="D5930" t="str">
        <f>"9780774814935"</f>
        <v>9780774814935</v>
      </c>
      <c r="E5930" t="s">
        <v>26801</v>
      </c>
      <c r="F5930" t="s">
        <v>26801</v>
      </c>
      <c r="G5930" s="1">
        <v>39727</v>
      </c>
      <c r="I5930" t="s">
        <v>26935</v>
      </c>
      <c r="J5930" t="s">
        <v>30268</v>
      </c>
      <c r="K5930" t="s">
        <v>525</v>
      </c>
      <c r="L5930" t="s">
        <v>30269</v>
      </c>
      <c r="M5930">
        <v>349.41</v>
      </c>
      <c r="N5930" t="s">
        <v>30270</v>
      </c>
      <c r="O5930" t="s">
        <v>26</v>
      </c>
      <c r="R5930">
        <v>99</v>
      </c>
      <c r="T5930" t="s">
        <v>30271</v>
      </c>
    </row>
    <row r="5931" spans="1:20">
      <c r="A5931">
        <v>3412628</v>
      </c>
      <c r="B5931" t="s">
        <v>30272</v>
      </c>
      <c r="C5931" t="str">
        <f>"9780774815239"</f>
        <v>9780774815239</v>
      </c>
      <c r="D5931" t="str">
        <f>"9780774815253"</f>
        <v>9780774815253</v>
      </c>
      <c r="E5931" t="s">
        <v>26801</v>
      </c>
      <c r="F5931" t="s">
        <v>26801</v>
      </c>
      <c r="G5931" s="1">
        <v>39787</v>
      </c>
      <c r="J5931" t="s">
        <v>30273</v>
      </c>
      <c r="K5931" t="s">
        <v>6154</v>
      </c>
      <c r="L5931" t="s">
        <v>30274</v>
      </c>
      <c r="M5931">
        <v>362.20899700000001</v>
      </c>
      <c r="N5931" t="s">
        <v>30275</v>
      </c>
      <c r="O5931" t="s">
        <v>26</v>
      </c>
      <c r="R5931">
        <v>115</v>
      </c>
      <c r="T5931" t="s">
        <v>30276</v>
      </c>
    </row>
    <row r="5932" spans="1:20">
      <c r="A5932">
        <v>3412629</v>
      </c>
      <c r="B5932" t="s">
        <v>30277</v>
      </c>
      <c r="C5932" t="str">
        <f>"9780774814379"</f>
        <v>9780774814379</v>
      </c>
      <c r="D5932" t="str">
        <f>"9780774856171"</f>
        <v>9780774856171</v>
      </c>
      <c r="E5932" t="s">
        <v>26801</v>
      </c>
      <c r="F5932" t="s">
        <v>26801</v>
      </c>
      <c r="G5932" s="1">
        <v>39738</v>
      </c>
      <c r="J5932" t="s">
        <v>30278</v>
      </c>
      <c r="K5932" t="s">
        <v>76</v>
      </c>
      <c r="L5932" t="s">
        <v>30279</v>
      </c>
      <c r="M5932">
        <v>634.91999999999996</v>
      </c>
      <c r="N5932" t="s">
        <v>30280</v>
      </c>
      <c r="O5932" t="s">
        <v>26</v>
      </c>
      <c r="R5932">
        <v>99</v>
      </c>
      <c r="T5932" t="s">
        <v>30281</v>
      </c>
    </row>
    <row r="5933" spans="1:20">
      <c r="A5933">
        <v>3412630</v>
      </c>
      <c r="B5933" t="s">
        <v>30282</v>
      </c>
      <c r="C5933" t="str">
        <f>"9780774814850"</f>
        <v>9780774814850</v>
      </c>
      <c r="D5933" t="str">
        <f>"9780774814874"</f>
        <v>9780774814874</v>
      </c>
      <c r="E5933" t="s">
        <v>26801</v>
      </c>
      <c r="F5933" t="s">
        <v>26801</v>
      </c>
      <c r="G5933" s="1">
        <v>39995</v>
      </c>
      <c r="J5933" t="s">
        <v>30283</v>
      </c>
      <c r="K5933" t="s">
        <v>467</v>
      </c>
      <c r="L5933" t="s">
        <v>30284</v>
      </c>
      <c r="M5933" t="s">
        <v>30285</v>
      </c>
      <c r="N5933" t="s">
        <v>30286</v>
      </c>
      <c r="O5933" t="s">
        <v>26</v>
      </c>
      <c r="R5933">
        <v>99</v>
      </c>
      <c r="T5933" t="s">
        <v>30287</v>
      </c>
    </row>
    <row r="5934" spans="1:20">
      <c r="A5934">
        <v>3412631</v>
      </c>
      <c r="B5934" t="s">
        <v>30288</v>
      </c>
      <c r="C5934" t="str">
        <f>"9780774815574"</f>
        <v>9780774815574</v>
      </c>
      <c r="D5934" t="str">
        <f>"9780774815598"</f>
        <v>9780774815598</v>
      </c>
      <c r="E5934" t="s">
        <v>26801</v>
      </c>
      <c r="F5934" t="s">
        <v>26801</v>
      </c>
      <c r="G5934" s="1">
        <v>39773</v>
      </c>
      <c r="J5934" t="s">
        <v>30289</v>
      </c>
      <c r="K5934" t="s">
        <v>3994</v>
      </c>
      <c r="L5934" t="s">
        <v>30290</v>
      </c>
      <c r="M5934">
        <v>610.73097099999995</v>
      </c>
      <c r="N5934" t="s">
        <v>30291</v>
      </c>
      <c r="O5934" t="s">
        <v>26</v>
      </c>
      <c r="R5934">
        <v>99</v>
      </c>
      <c r="T5934" t="s">
        <v>30292</v>
      </c>
    </row>
    <row r="5935" spans="1:20">
      <c r="A5935">
        <v>3412632</v>
      </c>
      <c r="B5935" t="s">
        <v>30293</v>
      </c>
      <c r="C5935" t="str">
        <f>"9780774814270"</f>
        <v>9780774814270</v>
      </c>
      <c r="D5935" t="str">
        <f>"9780774856188"</f>
        <v>9780774856188</v>
      </c>
      <c r="E5935" t="s">
        <v>26801</v>
      </c>
      <c r="F5935" t="s">
        <v>26801</v>
      </c>
      <c r="G5935" s="1">
        <v>39519</v>
      </c>
      <c r="J5935" t="s">
        <v>30294</v>
      </c>
      <c r="K5935" t="s">
        <v>467</v>
      </c>
      <c r="L5935" t="s">
        <v>30295</v>
      </c>
      <c r="M5935" t="s">
        <v>30296</v>
      </c>
      <c r="N5935" t="s">
        <v>30297</v>
      </c>
      <c r="O5935" t="s">
        <v>26</v>
      </c>
      <c r="R5935">
        <v>99</v>
      </c>
      <c r="T5935" t="s">
        <v>30298</v>
      </c>
    </row>
    <row r="5936" spans="1:20">
      <c r="A5936">
        <v>3412633</v>
      </c>
      <c r="B5936" t="s">
        <v>30299</v>
      </c>
      <c r="C5936" t="str">
        <f>"9780774814607"</f>
        <v>9780774814607</v>
      </c>
      <c r="D5936" t="str">
        <f>"9780774857239"</f>
        <v>9780774857239</v>
      </c>
      <c r="E5936" t="s">
        <v>26801</v>
      </c>
      <c r="F5936" t="s">
        <v>26801</v>
      </c>
      <c r="G5936" s="1">
        <v>39476</v>
      </c>
      <c r="I5936" t="s">
        <v>27589</v>
      </c>
      <c r="J5936" t="s">
        <v>30300</v>
      </c>
      <c r="K5936" t="s">
        <v>525</v>
      </c>
      <c r="L5936" t="s">
        <v>29871</v>
      </c>
      <c r="M5936">
        <v>341</v>
      </c>
      <c r="N5936" t="s">
        <v>27593</v>
      </c>
      <c r="O5936" t="s">
        <v>26</v>
      </c>
      <c r="R5936">
        <v>190</v>
      </c>
      <c r="T5936" t="s">
        <v>30301</v>
      </c>
    </row>
    <row r="5937" spans="1:20">
      <c r="A5937">
        <v>3412634</v>
      </c>
      <c r="B5937" t="s">
        <v>30302</v>
      </c>
      <c r="C5937" t="str">
        <f>"9780774815031"</f>
        <v>9780774815031</v>
      </c>
      <c r="D5937" t="str">
        <f>"9780774815055"</f>
        <v>9780774815055</v>
      </c>
      <c r="E5937" t="s">
        <v>26801</v>
      </c>
      <c r="F5937" t="s">
        <v>26801</v>
      </c>
      <c r="G5937" s="1">
        <v>40179</v>
      </c>
      <c r="J5937" t="s">
        <v>30303</v>
      </c>
      <c r="K5937" t="s">
        <v>6304</v>
      </c>
      <c r="L5937" t="s">
        <v>30304</v>
      </c>
      <c r="M5937" t="s">
        <v>22725</v>
      </c>
      <c r="N5937" t="s">
        <v>30305</v>
      </c>
      <c r="O5937" t="s">
        <v>26</v>
      </c>
      <c r="R5937">
        <v>99</v>
      </c>
      <c r="T5937" t="s">
        <v>30306</v>
      </c>
    </row>
    <row r="5938" spans="1:20">
      <c r="A5938">
        <v>3412635</v>
      </c>
      <c r="B5938" t="s">
        <v>30307</v>
      </c>
      <c r="C5938" t="str">
        <f>"9780774815291"</f>
        <v>9780774815291</v>
      </c>
      <c r="D5938" t="str">
        <f>"9780774815314"</f>
        <v>9780774815314</v>
      </c>
      <c r="E5938" t="s">
        <v>26801</v>
      </c>
      <c r="F5938" t="s">
        <v>26801</v>
      </c>
      <c r="G5938" s="1">
        <v>39948</v>
      </c>
      <c r="J5938" t="s">
        <v>30308</v>
      </c>
      <c r="K5938" t="s">
        <v>30309</v>
      </c>
      <c r="L5938" t="s">
        <v>30310</v>
      </c>
      <c r="M5938" t="s">
        <v>30311</v>
      </c>
      <c r="N5938" t="s">
        <v>30312</v>
      </c>
      <c r="O5938" t="s">
        <v>26</v>
      </c>
      <c r="R5938">
        <v>99</v>
      </c>
      <c r="T5938" t="s">
        <v>30313</v>
      </c>
    </row>
    <row r="5939" spans="1:20">
      <c r="A5939">
        <v>3412636</v>
      </c>
      <c r="B5939" t="s">
        <v>30314</v>
      </c>
      <c r="C5939" t="str">
        <f>"9780774815352"</f>
        <v>9780774815352</v>
      </c>
      <c r="D5939" t="str">
        <f>"9780774815376"</f>
        <v>9780774815376</v>
      </c>
      <c r="E5939" t="s">
        <v>26801</v>
      </c>
      <c r="F5939" t="s">
        <v>26801</v>
      </c>
      <c r="G5939" s="1">
        <v>40180</v>
      </c>
      <c r="J5939" t="s">
        <v>30315</v>
      </c>
      <c r="K5939" t="s">
        <v>291</v>
      </c>
      <c r="L5939" t="s">
        <v>30316</v>
      </c>
      <c r="M5939" t="s">
        <v>7826</v>
      </c>
      <c r="N5939" t="s">
        <v>30317</v>
      </c>
      <c r="O5939" t="s">
        <v>26</v>
      </c>
      <c r="R5939">
        <v>99</v>
      </c>
      <c r="T5939" t="s">
        <v>30318</v>
      </c>
    </row>
    <row r="5940" spans="1:20">
      <c r="A5940">
        <v>3412637</v>
      </c>
      <c r="B5940" t="s">
        <v>30319</v>
      </c>
      <c r="C5940" t="str">
        <f>"9780774815512"</f>
        <v>9780774815512</v>
      </c>
      <c r="D5940" t="str">
        <f>"9780774815536"</f>
        <v>9780774815536</v>
      </c>
      <c r="E5940" t="s">
        <v>26801</v>
      </c>
      <c r="F5940" t="s">
        <v>26801</v>
      </c>
      <c r="G5940" s="1">
        <v>39954</v>
      </c>
      <c r="J5940" t="s">
        <v>26850</v>
      </c>
      <c r="K5940" t="s">
        <v>291</v>
      </c>
      <c r="L5940" t="s">
        <v>30320</v>
      </c>
      <c r="M5940" t="s">
        <v>6633</v>
      </c>
      <c r="N5940" t="s">
        <v>30321</v>
      </c>
      <c r="O5940" t="s">
        <v>26</v>
      </c>
      <c r="R5940">
        <v>99</v>
      </c>
      <c r="T5940" t="s">
        <v>30322</v>
      </c>
    </row>
    <row r="5941" spans="1:20">
      <c r="A5941">
        <v>3412638</v>
      </c>
      <c r="B5941" t="s">
        <v>30323</v>
      </c>
      <c r="C5941" t="str">
        <f>"9780774815635"</f>
        <v>9780774815635</v>
      </c>
      <c r="D5941" t="str">
        <f>"9780774815659"</f>
        <v>9780774815659</v>
      </c>
      <c r="E5941" t="s">
        <v>26801</v>
      </c>
      <c r="F5941" t="s">
        <v>26801</v>
      </c>
      <c r="G5941" s="1">
        <v>40179</v>
      </c>
      <c r="J5941" t="s">
        <v>28916</v>
      </c>
      <c r="K5941" t="s">
        <v>568</v>
      </c>
      <c r="L5941" t="s">
        <v>30324</v>
      </c>
      <c r="M5941" t="s">
        <v>30325</v>
      </c>
      <c r="N5941" t="s">
        <v>30326</v>
      </c>
      <c r="O5941" t="s">
        <v>26</v>
      </c>
      <c r="R5941">
        <v>99</v>
      </c>
      <c r="T5941" t="s">
        <v>30327</v>
      </c>
    </row>
    <row r="5942" spans="1:20">
      <c r="A5942">
        <v>3412639</v>
      </c>
      <c r="B5942" t="s">
        <v>30328</v>
      </c>
      <c r="C5942" t="str">
        <f>"9780774815819"</f>
        <v>9780774815819</v>
      </c>
      <c r="D5942" t="str">
        <f>"9780774815833"</f>
        <v>9780774815833</v>
      </c>
      <c r="E5942" t="s">
        <v>26801</v>
      </c>
      <c r="F5942" t="s">
        <v>26801</v>
      </c>
      <c r="G5942" s="1">
        <v>39954</v>
      </c>
      <c r="J5942" t="s">
        <v>30329</v>
      </c>
      <c r="K5942" t="s">
        <v>291</v>
      </c>
      <c r="L5942" t="s">
        <v>30330</v>
      </c>
      <c r="M5942" t="s">
        <v>30331</v>
      </c>
      <c r="N5942" t="s">
        <v>30332</v>
      </c>
      <c r="O5942" t="s">
        <v>26</v>
      </c>
      <c r="R5942">
        <v>99</v>
      </c>
      <c r="T5942" t="s">
        <v>30333</v>
      </c>
    </row>
    <row r="5943" spans="1:20">
      <c r="A5943">
        <v>3412640</v>
      </c>
      <c r="B5943" t="s">
        <v>30334</v>
      </c>
      <c r="C5943" t="str">
        <f>"9780774815901"</f>
        <v>9780774815901</v>
      </c>
      <c r="D5943" t="str">
        <f>"9780774815925"</f>
        <v>9780774815925</v>
      </c>
      <c r="E5943" t="s">
        <v>26801</v>
      </c>
      <c r="F5943" t="s">
        <v>26801</v>
      </c>
      <c r="G5943" s="1">
        <v>40179</v>
      </c>
      <c r="J5943" t="s">
        <v>30335</v>
      </c>
      <c r="K5943" t="s">
        <v>6444</v>
      </c>
      <c r="L5943" t="s">
        <v>30336</v>
      </c>
      <c r="M5943">
        <v>323.17099999999999</v>
      </c>
      <c r="N5943" t="s">
        <v>30337</v>
      </c>
      <c r="O5943" t="s">
        <v>26</v>
      </c>
      <c r="R5943">
        <v>99</v>
      </c>
      <c r="T5943" t="s">
        <v>30338</v>
      </c>
    </row>
    <row r="5944" spans="1:20">
      <c r="A5944">
        <v>3412641</v>
      </c>
      <c r="B5944" t="s">
        <v>30339</v>
      </c>
      <c r="C5944" t="str">
        <f>"9780774815963"</f>
        <v>9780774815963</v>
      </c>
      <c r="D5944" t="str">
        <f>"9780774815987"</f>
        <v>9780774815987</v>
      </c>
      <c r="E5944" t="s">
        <v>26801</v>
      </c>
      <c r="F5944" t="s">
        <v>26801</v>
      </c>
      <c r="G5944" s="1">
        <v>40179</v>
      </c>
      <c r="I5944" t="s">
        <v>26935</v>
      </c>
      <c r="J5944" t="s">
        <v>30340</v>
      </c>
      <c r="K5944" t="s">
        <v>525</v>
      </c>
      <c r="L5944" t="s">
        <v>30341</v>
      </c>
      <c r="M5944">
        <v>347</v>
      </c>
      <c r="N5944" t="s">
        <v>30342</v>
      </c>
      <c r="O5944" t="s">
        <v>26</v>
      </c>
      <c r="R5944">
        <v>99</v>
      </c>
      <c r="T5944" t="s">
        <v>30343</v>
      </c>
    </row>
    <row r="5945" spans="1:20">
      <c r="A5945">
        <v>3412642</v>
      </c>
      <c r="B5945" t="s">
        <v>30344</v>
      </c>
      <c r="C5945" t="str">
        <f>"9780774815994"</f>
        <v>9780774815994</v>
      </c>
      <c r="D5945" t="str">
        <f>"9780774816014"</f>
        <v>9780774816014</v>
      </c>
      <c r="E5945" t="s">
        <v>26801</v>
      </c>
      <c r="F5945" t="s">
        <v>26801</v>
      </c>
      <c r="G5945" s="1">
        <v>40179</v>
      </c>
      <c r="I5945" t="s">
        <v>30345</v>
      </c>
      <c r="J5945" t="s">
        <v>30346</v>
      </c>
      <c r="K5945" t="s">
        <v>473</v>
      </c>
      <c r="L5945" t="s">
        <v>30347</v>
      </c>
      <c r="M5945" t="s">
        <v>30348</v>
      </c>
      <c r="N5945" t="s">
        <v>30349</v>
      </c>
      <c r="O5945" t="s">
        <v>26</v>
      </c>
      <c r="R5945">
        <v>99</v>
      </c>
      <c r="T5945" t="s">
        <v>30350</v>
      </c>
    </row>
    <row r="5946" spans="1:20">
      <c r="A5946">
        <v>3412644</v>
      </c>
      <c r="B5946" t="s">
        <v>30351</v>
      </c>
      <c r="C5946" t="str">
        <f>"9780774816083"</f>
        <v>9780774816083</v>
      </c>
      <c r="D5946" t="str">
        <f>"9780774816106"</f>
        <v>9780774816106</v>
      </c>
      <c r="E5946" t="s">
        <v>26801</v>
      </c>
      <c r="F5946" t="s">
        <v>26801</v>
      </c>
      <c r="G5946" s="1">
        <v>40179</v>
      </c>
      <c r="J5946" t="s">
        <v>30352</v>
      </c>
      <c r="K5946" t="s">
        <v>291</v>
      </c>
      <c r="L5946" t="s">
        <v>30353</v>
      </c>
      <c r="M5946" t="s">
        <v>24290</v>
      </c>
      <c r="N5946" t="s">
        <v>30354</v>
      </c>
      <c r="O5946" t="s">
        <v>26</v>
      </c>
      <c r="R5946">
        <v>99</v>
      </c>
      <c r="T5946" t="s">
        <v>30355</v>
      </c>
    </row>
    <row r="5947" spans="1:20">
      <c r="A5947">
        <v>3412645</v>
      </c>
      <c r="B5947" t="s">
        <v>30356</v>
      </c>
      <c r="C5947" t="str">
        <f>"9780774816113"</f>
        <v>9780774816113</v>
      </c>
      <c r="D5947" t="str">
        <f>"9780774816137"</f>
        <v>9780774816137</v>
      </c>
      <c r="E5947" t="s">
        <v>26801</v>
      </c>
      <c r="F5947" t="s">
        <v>26801</v>
      </c>
      <c r="G5947" s="1">
        <v>39918</v>
      </c>
      <c r="J5947" t="s">
        <v>30357</v>
      </c>
      <c r="K5947" t="s">
        <v>263</v>
      </c>
      <c r="L5947" t="s">
        <v>30358</v>
      </c>
      <c r="M5947" t="s">
        <v>30359</v>
      </c>
      <c r="N5947" t="s">
        <v>30360</v>
      </c>
      <c r="O5947" t="s">
        <v>26</v>
      </c>
      <c r="R5947">
        <v>99</v>
      </c>
      <c r="T5947" t="s">
        <v>30361</v>
      </c>
    </row>
    <row r="5948" spans="1:20">
      <c r="A5948">
        <v>3412646</v>
      </c>
      <c r="B5948" t="s">
        <v>30362</v>
      </c>
      <c r="C5948" t="str">
        <f>"9780774816144"</f>
        <v>9780774816144</v>
      </c>
      <c r="D5948" t="str">
        <f>"9780774816168"</f>
        <v>9780774816168</v>
      </c>
      <c r="E5948" t="s">
        <v>26801</v>
      </c>
      <c r="F5948" t="s">
        <v>26801</v>
      </c>
      <c r="G5948" s="1">
        <v>40179</v>
      </c>
      <c r="J5948" t="s">
        <v>30363</v>
      </c>
      <c r="K5948" t="s">
        <v>263</v>
      </c>
      <c r="L5948" t="s">
        <v>30364</v>
      </c>
      <c r="M5948" t="s">
        <v>10358</v>
      </c>
      <c r="N5948" t="s">
        <v>30365</v>
      </c>
      <c r="O5948" t="s">
        <v>26</v>
      </c>
      <c r="R5948">
        <v>99</v>
      </c>
      <c r="T5948" t="s">
        <v>30366</v>
      </c>
    </row>
    <row r="5949" spans="1:20">
      <c r="A5949">
        <v>3412647</v>
      </c>
      <c r="B5949" t="s">
        <v>30367</v>
      </c>
      <c r="C5949" t="str">
        <f>"9780774816175"</f>
        <v>9780774816175</v>
      </c>
      <c r="D5949" t="str">
        <f>"9780774816434"</f>
        <v>9780774816434</v>
      </c>
      <c r="E5949" t="s">
        <v>26801</v>
      </c>
      <c r="F5949" t="s">
        <v>26801</v>
      </c>
      <c r="G5949" s="1">
        <v>39843</v>
      </c>
      <c r="I5949" t="s">
        <v>27589</v>
      </c>
      <c r="J5949" t="s">
        <v>30300</v>
      </c>
      <c r="K5949" t="s">
        <v>525</v>
      </c>
      <c r="L5949" t="s">
        <v>30368</v>
      </c>
      <c r="M5949">
        <v>341</v>
      </c>
      <c r="N5949" t="s">
        <v>27593</v>
      </c>
      <c r="O5949" t="s">
        <v>26</v>
      </c>
      <c r="R5949">
        <v>190</v>
      </c>
      <c r="T5949" t="s">
        <v>30369</v>
      </c>
    </row>
    <row r="5950" spans="1:20">
      <c r="A5950">
        <v>3412648</v>
      </c>
      <c r="B5950" t="s">
        <v>30370</v>
      </c>
      <c r="C5950" t="str">
        <f>"9780774816182"</f>
        <v>9780774816182</v>
      </c>
      <c r="D5950" t="str">
        <f>"9780774816205"</f>
        <v>9780774816205</v>
      </c>
      <c r="E5950" t="s">
        <v>26801</v>
      </c>
      <c r="F5950" t="s">
        <v>26801</v>
      </c>
      <c r="G5950" s="1">
        <v>40179</v>
      </c>
      <c r="J5950" t="s">
        <v>30371</v>
      </c>
      <c r="K5950" t="s">
        <v>330</v>
      </c>
      <c r="L5950" t="s">
        <v>30372</v>
      </c>
      <c r="M5950" t="s">
        <v>30373</v>
      </c>
      <c r="N5950" t="s">
        <v>30374</v>
      </c>
      <c r="O5950" t="s">
        <v>26</v>
      </c>
      <c r="R5950">
        <v>99</v>
      </c>
      <c r="T5950" t="s">
        <v>30375</v>
      </c>
    </row>
    <row r="5951" spans="1:20">
      <c r="A5951">
        <v>3412649</v>
      </c>
      <c r="B5951" t="s">
        <v>30376</v>
      </c>
      <c r="C5951" t="str">
        <f>"9780774816243"</f>
        <v>9780774816243</v>
      </c>
      <c r="D5951" t="str">
        <f>"9780774816267"</f>
        <v>9780774816267</v>
      </c>
      <c r="E5951" t="s">
        <v>26801</v>
      </c>
      <c r="F5951" t="s">
        <v>26801</v>
      </c>
      <c r="G5951" s="1">
        <v>40179</v>
      </c>
      <c r="J5951" t="s">
        <v>30377</v>
      </c>
      <c r="K5951" t="s">
        <v>6444</v>
      </c>
      <c r="L5951" t="s">
        <v>30378</v>
      </c>
      <c r="M5951" t="s">
        <v>30379</v>
      </c>
      <c r="N5951" t="s">
        <v>30380</v>
      </c>
      <c r="O5951" t="s">
        <v>26</v>
      </c>
      <c r="R5951">
        <v>99</v>
      </c>
      <c r="T5951" t="s">
        <v>30381</v>
      </c>
    </row>
    <row r="5952" spans="1:20">
      <c r="A5952">
        <v>3412650</v>
      </c>
      <c r="B5952" t="s">
        <v>30382</v>
      </c>
      <c r="C5952" t="str">
        <f>"9780774816304"</f>
        <v>9780774816304</v>
      </c>
      <c r="D5952" t="str">
        <f>"9780774816328"</f>
        <v>9780774816328</v>
      </c>
      <c r="E5952" t="s">
        <v>26801</v>
      </c>
      <c r="F5952" t="s">
        <v>26801</v>
      </c>
      <c r="G5952" s="1">
        <v>40179</v>
      </c>
      <c r="J5952" t="s">
        <v>30383</v>
      </c>
      <c r="K5952" t="s">
        <v>467</v>
      </c>
      <c r="L5952" t="s">
        <v>30384</v>
      </c>
      <c r="M5952">
        <v>320.971</v>
      </c>
      <c r="N5952" t="s">
        <v>30385</v>
      </c>
      <c r="O5952" t="s">
        <v>26</v>
      </c>
      <c r="R5952">
        <v>99</v>
      </c>
      <c r="T5952" t="s">
        <v>30386</v>
      </c>
    </row>
    <row r="5953" spans="1:20">
      <c r="A5953">
        <v>3412651</v>
      </c>
      <c r="B5953" t="s">
        <v>30387</v>
      </c>
      <c r="C5953" t="str">
        <f>"9780774816366"</f>
        <v>9780774816366</v>
      </c>
      <c r="D5953" t="str">
        <f>"9780774816380"</f>
        <v>9780774816380</v>
      </c>
      <c r="E5953" t="s">
        <v>26801</v>
      </c>
      <c r="F5953" t="s">
        <v>26801</v>
      </c>
      <c r="G5953" s="1">
        <v>40040</v>
      </c>
      <c r="J5953" t="s">
        <v>30388</v>
      </c>
      <c r="K5953" t="s">
        <v>291</v>
      </c>
      <c r="L5953" t="s">
        <v>30389</v>
      </c>
      <c r="M5953">
        <v>967.51030000000003</v>
      </c>
      <c r="N5953" t="s">
        <v>30390</v>
      </c>
      <c r="O5953" t="s">
        <v>26</v>
      </c>
      <c r="R5953">
        <v>99</v>
      </c>
      <c r="T5953" t="s">
        <v>30391</v>
      </c>
    </row>
    <row r="5954" spans="1:20">
      <c r="A5954">
        <v>3412652</v>
      </c>
      <c r="B5954" t="s">
        <v>30392</v>
      </c>
      <c r="C5954" t="str">
        <f>"9780774816397"</f>
        <v>9780774816397</v>
      </c>
      <c r="D5954" t="str">
        <f>"9780774816410"</f>
        <v>9780774816410</v>
      </c>
      <c r="E5954" t="s">
        <v>26801</v>
      </c>
      <c r="F5954" t="s">
        <v>26801</v>
      </c>
      <c r="G5954" s="1">
        <v>40179</v>
      </c>
      <c r="I5954" t="s">
        <v>29925</v>
      </c>
      <c r="J5954" t="s">
        <v>30393</v>
      </c>
      <c r="K5954" t="s">
        <v>9858</v>
      </c>
      <c r="L5954" t="s">
        <v>30394</v>
      </c>
      <c r="M5954" t="s">
        <v>30395</v>
      </c>
      <c r="N5954" t="s">
        <v>30396</v>
      </c>
      <c r="O5954" t="s">
        <v>26</v>
      </c>
      <c r="R5954">
        <v>99</v>
      </c>
      <c r="T5954" t="s">
        <v>30397</v>
      </c>
    </row>
    <row r="5955" spans="1:20">
      <c r="A5955">
        <v>3412653</v>
      </c>
      <c r="B5955" t="s">
        <v>30398</v>
      </c>
      <c r="C5955" t="str">
        <f>"9780774816595"</f>
        <v>9780774816595</v>
      </c>
      <c r="D5955" t="str">
        <f>"9780774816618"</f>
        <v>9780774816618</v>
      </c>
      <c r="E5955" t="s">
        <v>26801</v>
      </c>
      <c r="F5955" t="s">
        <v>26801</v>
      </c>
      <c r="G5955" s="1">
        <v>39969</v>
      </c>
      <c r="J5955" t="s">
        <v>30399</v>
      </c>
      <c r="K5955" t="s">
        <v>257</v>
      </c>
      <c r="L5955" t="s">
        <v>30400</v>
      </c>
      <c r="M5955">
        <v>372.21</v>
      </c>
      <c r="N5955" t="s">
        <v>30401</v>
      </c>
      <c r="O5955" t="s">
        <v>26</v>
      </c>
      <c r="R5955">
        <v>99</v>
      </c>
      <c r="T5955" t="s">
        <v>30402</v>
      </c>
    </row>
    <row r="5956" spans="1:20">
      <c r="A5956">
        <v>3412654</v>
      </c>
      <c r="B5956" t="s">
        <v>30403</v>
      </c>
      <c r="C5956" t="str">
        <f>"9780774816656"</f>
        <v>9780774816656</v>
      </c>
      <c r="D5956" t="str">
        <f>"9780774816670"</f>
        <v>9780774816670</v>
      </c>
      <c r="E5956" t="s">
        <v>26801</v>
      </c>
      <c r="F5956" t="s">
        <v>26801</v>
      </c>
      <c r="G5956" s="1">
        <v>39918</v>
      </c>
      <c r="J5956" t="s">
        <v>29865</v>
      </c>
      <c r="K5956" t="s">
        <v>416</v>
      </c>
      <c r="L5956" t="s">
        <v>30404</v>
      </c>
      <c r="M5956" t="s">
        <v>30405</v>
      </c>
      <c r="N5956" t="s">
        <v>30406</v>
      </c>
      <c r="O5956" t="s">
        <v>26</v>
      </c>
      <c r="R5956">
        <v>99</v>
      </c>
      <c r="T5956" t="s">
        <v>30407</v>
      </c>
    </row>
    <row r="5957" spans="1:20">
      <c r="A5957">
        <v>3412655</v>
      </c>
      <c r="B5957" t="s">
        <v>30408</v>
      </c>
      <c r="C5957" t="str">
        <f>"9780774816717"</f>
        <v>9780774816717</v>
      </c>
      <c r="D5957" t="str">
        <f>"9780774816731"</f>
        <v>9780774816731</v>
      </c>
      <c r="E5957" t="s">
        <v>26801</v>
      </c>
      <c r="F5957" t="s">
        <v>26801</v>
      </c>
      <c r="G5957" s="1">
        <v>40179</v>
      </c>
      <c r="J5957" t="s">
        <v>27775</v>
      </c>
      <c r="K5957" t="s">
        <v>7063</v>
      </c>
      <c r="L5957" t="s">
        <v>30409</v>
      </c>
      <c r="M5957">
        <v>327.71009199999997</v>
      </c>
      <c r="N5957" t="s">
        <v>30410</v>
      </c>
      <c r="O5957" t="s">
        <v>26</v>
      </c>
      <c r="R5957">
        <v>99</v>
      </c>
      <c r="T5957" t="s">
        <v>30411</v>
      </c>
    </row>
    <row r="5958" spans="1:20">
      <c r="A5958">
        <v>3412656</v>
      </c>
      <c r="B5958" t="s">
        <v>30412</v>
      </c>
      <c r="C5958" t="str">
        <f>"9780774816748"</f>
        <v>9780774816748</v>
      </c>
      <c r="D5958" t="str">
        <f>"9780774816762"</f>
        <v>9780774816762</v>
      </c>
      <c r="E5958" t="s">
        <v>26801</v>
      </c>
      <c r="F5958" t="s">
        <v>26801</v>
      </c>
      <c r="G5958" s="1">
        <v>40179</v>
      </c>
      <c r="I5958" t="s">
        <v>26935</v>
      </c>
      <c r="J5958" t="s">
        <v>30413</v>
      </c>
      <c r="K5958" t="s">
        <v>525</v>
      </c>
      <c r="L5958" t="s">
        <v>30414</v>
      </c>
      <c r="M5958" t="s">
        <v>21679</v>
      </c>
      <c r="N5958" t="s">
        <v>30415</v>
      </c>
      <c r="O5958" t="s">
        <v>26</v>
      </c>
      <c r="R5958">
        <v>99</v>
      </c>
      <c r="T5958" t="s">
        <v>30416</v>
      </c>
    </row>
    <row r="5959" spans="1:20">
      <c r="A5959">
        <v>3412657</v>
      </c>
      <c r="B5959" t="s">
        <v>30417</v>
      </c>
      <c r="C5959" t="str">
        <f>"9780774816830"</f>
        <v>9780774816830</v>
      </c>
      <c r="D5959" t="str">
        <f>"9780774816854"</f>
        <v>9780774816854</v>
      </c>
      <c r="E5959" t="s">
        <v>26801</v>
      </c>
      <c r="F5959" t="s">
        <v>26801</v>
      </c>
      <c r="G5959" s="1">
        <v>40179</v>
      </c>
      <c r="J5959" t="s">
        <v>30418</v>
      </c>
      <c r="K5959" t="s">
        <v>6444</v>
      </c>
      <c r="L5959" t="s">
        <v>30419</v>
      </c>
      <c r="M5959">
        <v>327.710598</v>
      </c>
      <c r="N5959" t="s">
        <v>30420</v>
      </c>
      <c r="O5959" t="s">
        <v>26</v>
      </c>
      <c r="R5959">
        <v>99</v>
      </c>
      <c r="T5959" t="s">
        <v>30421</v>
      </c>
    </row>
    <row r="5960" spans="1:20">
      <c r="A5960">
        <v>3412658</v>
      </c>
      <c r="B5960" t="s">
        <v>30422</v>
      </c>
      <c r="C5960" t="str">
        <f>"9780774816779"</f>
        <v>9780774816779</v>
      </c>
      <c r="D5960" t="str">
        <f>"9780774816793"</f>
        <v>9780774816793</v>
      </c>
      <c r="E5960" t="s">
        <v>26801</v>
      </c>
      <c r="F5960" t="s">
        <v>26801</v>
      </c>
      <c r="G5960" s="1">
        <v>40360</v>
      </c>
      <c r="J5960" t="s">
        <v>30423</v>
      </c>
      <c r="K5960" t="s">
        <v>467</v>
      </c>
      <c r="L5960" t="s">
        <v>30424</v>
      </c>
      <c r="M5960">
        <v>321.8</v>
      </c>
      <c r="N5960" t="s">
        <v>30425</v>
      </c>
      <c r="O5960" t="s">
        <v>26</v>
      </c>
      <c r="R5960">
        <v>99</v>
      </c>
      <c r="T5960" t="s">
        <v>30426</v>
      </c>
    </row>
    <row r="5961" spans="1:20">
      <c r="A5961">
        <v>3412659</v>
      </c>
      <c r="B5961" t="s">
        <v>30427</v>
      </c>
      <c r="C5961" t="str">
        <f>"9780774818162"</f>
        <v>9780774818162</v>
      </c>
      <c r="D5961" t="str">
        <f>"9780774818186"</f>
        <v>9780774818186</v>
      </c>
      <c r="E5961" t="s">
        <v>26801</v>
      </c>
      <c r="F5961" t="s">
        <v>26801</v>
      </c>
      <c r="G5961" s="1">
        <v>40291</v>
      </c>
      <c r="I5961" t="s">
        <v>27673</v>
      </c>
      <c r="J5961" t="s">
        <v>30428</v>
      </c>
      <c r="K5961" t="s">
        <v>263</v>
      </c>
      <c r="L5961" t="s">
        <v>30429</v>
      </c>
      <c r="M5961" t="s">
        <v>30430</v>
      </c>
      <c r="N5961" t="s">
        <v>30431</v>
      </c>
      <c r="O5961" t="s">
        <v>26</v>
      </c>
      <c r="R5961">
        <v>99</v>
      </c>
      <c r="T5961" t="s">
        <v>30432</v>
      </c>
    </row>
    <row r="5962" spans="1:20">
      <c r="A5962">
        <v>3412660</v>
      </c>
      <c r="B5962" t="s">
        <v>30433</v>
      </c>
      <c r="C5962" t="str">
        <f>"9780774816625"</f>
        <v>9780774816625</v>
      </c>
      <c r="D5962" t="str">
        <f>"9780774816649"</f>
        <v>9780774816649</v>
      </c>
      <c r="E5962" t="s">
        <v>26801</v>
      </c>
      <c r="F5962" t="s">
        <v>26801</v>
      </c>
      <c r="G5962" s="1">
        <v>40324</v>
      </c>
      <c r="J5962" t="s">
        <v>30434</v>
      </c>
      <c r="K5962" t="s">
        <v>1892</v>
      </c>
      <c r="L5962" t="s">
        <v>30435</v>
      </c>
      <c r="M5962">
        <v>200.89</v>
      </c>
      <c r="N5962" t="s">
        <v>30436</v>
      </c>
      <c r="O5962" t="s">
        <v>26</v>
      </c>
      <c r="R5962">
        <v>99</v>
      </c>
      <c r="T5962" t="s">
        <v>30437</v>
      </c>
    </row>
    <row r="5963" spans="1:20">
      <c r="A5963">
        <v>3412661</v>
      </c>
      <c r="B5963" t="s">
        <v>30438</v>
      </c>
      <c r="C5963" t="str">
        <f>"9780774817745"</f>
        <v>9780774817745</v>
      </c>
      <c r="D5963" t="str">
        <f>"9780774817769"</f>
        <v>9780774817769</v>
      </c>
      <c r="E5963" t="s">
        <v>26801</v>
      </c>
      <c r="F5963" t="s">
        <v>26801</v>
      </c>
      <c r="G5963" s="1">
        <v>40269</v>
      </c>
      <c r="J5963" t="s">
        <v>30439</v>
      </c>
      <c r="K5963" t="s">
        <v>263</v>
      </c>
      <c r="L5963" t="s">
        <v>30440</v>
      </c>
      <c r="M5963">
        <v>302.23097100000001</v>
      </c>
      <c r="N5963" t="s">
        <v>30441</v>
      </c>
      <c r="O5963" t="s">
        <v>26</v>
      </c>
      <c r="R5963">
        <v>99</v>
      </c>
      <c r="T5963" t="s">
        <v>30442</v>
      </c>
    </row>
    <row r="5964" spans="1:20">
      <c r="A5964">
        <v>3412663</v>
      </c>
      <c r="B5964" t="s">
        <v>30443</v>
      </c>
      <c r="C5964" t="str">
        <f>"9780774819152"</f>
        <v>9780774819152</v>
      </c>
      <c r="D5964" t="str">
        <f>"9780774819176"</f>
        <v>9780774819176</v>
      </c>
      <c r="E5964" t="s">
        <v>26801</v>
      </c>
      <c r="F5964" t="s">
        <v>26801</v>
      </c>
      <c r="G5964" s="1">
        <v>40609</v>
      </c>
      <c r="I5964" t="s">
        <v>27673</v>
      </c>
      <c r="J5964" t="s">
        <v>30444</v>
      </c>
      <c r="K5964" t="s">
        <v>1530</v>
      </c>
      <c r="L5964" t="s">
        <v>30445</v>
      </c>
      <c r="M5964">
        <v>305.3</v>
      </c>
      <c r="N5964" t="s">
        <v>30446</v>
      </c>
      <c r="O5964" t="s">
        <v>26</v>
      </c>
      <c r="R5964">
        <v>99</v>
      </c>
      <c r="T5964" t="s">
        <v>30447</v>
      </c>
    </row>
    <row r="5965" spans="1:20">
      <c r="A5965">
        <v>3412664</v>
      </c>
      <c r="B5965" t="s">
        <v>30448</v>
      </c>
      <c r="C5965" t="str">
        <f>"9780774817264"</f>
        <v>9780774817264</v>
      </c>
      <c r="D5965" t="str">
        <f>"9780774817288"</f>
        <v>9780774817288</v>
      </c>
      <c r="E5965" t="s">
        <v>26801</v>
      </c>
      <c r="F5965" t="s">
        <v>26801</v>
      </c>
      <c r="G5965" s="1">
        <v>40602</v>
      </c>
      <c r="I5965" t="s">
        <v>27129</v>
      </c>
      <c r="J5965" t="s">
        <v>30449</v>
      </c>
      <c r="K5965" t="s">
        <v>291</v>
      </c>
      <c r="L5965" t="s">
        <v>30450</v>
      </c>
      <c r="M5965">
        <v>951.05</v>
      </c>
      <c r="N5965" t="s">
        <v>30451</v>
      </c>
      <c r="O5965" t="s">
        <v>26</v>
      </c>
      <c r="R5965">
        <v>99</v>
      </c>
      <c r="T5965" t="s">
        <v>30452</v>
      </c>
    </row>
    <row r="5966" spans="1:20">
      <c r="A5966">
        <v>3412665</v>
      </c>
      <c r="B5966" t="s">
        <v>30453</v>
      </c>
      <c r="C5966" t="str">
        <f>"9780774817202"</f>
        <v>9780774817202</v>
      </c>
      <c r="D5966" t="str">
        <f>"9780774817226"</f>
        <v>9780774817226</v>
      </c>
      <c r="E5966" t="s">
        <v>26801</v>
      </c>
      <c r="F5966" t="s">
        <v>26801</v>
      </c>
      <c r="G5966" s="1">
        <v>41773</v>
      </c>
      <c r="I5966" t="s">
        <v>27736</v>
      </c>
      <c r="J5966" t="s">
        <v>30454</v>
      </c>
      <c r="K5966" t="s">
        <v>263</v>
      </c>
      <c r="L5966" t="s">
        <v>30455</v>
      </c>
      <c r="M5966">
        <v>306.76600000000002</v>
      </c>
      <c r="N5966" t="s">
        <v>30456</v>
      </c>
      <c r="O5966" t="s">
        <v>26</v>
      </c>
      <c r="R5966">
        <v>99</v>
      </c>
      <c r="T5966" t="s">
        <v>30457</v>
      </c>
    </row>
    <row r="5967" spans="1:20">
      <c r="A5967">
        <v>3412667</v>
      </c>
      <c r="B5967" t="s">
        <v>30458</v>
      </c>
      <c r="C5967" t="str">
        <f>"9780774818919"</f>
        <v>9780774818919</v>
      </c>
      <c r="D5967" t="str">
        <f>"9780774818933"</f>
        <v>9780774818933</v>
      </c>
      <c r="E5967" t="s">
        <v>26801</v>
      </c>
      <c r="F5967" t="s">
        <v>26801</v>
      </c>
      <c r="G5967" s="1">
        <v>40589</v>
      </c>
      <c r="J5967" t="s">
        <v>30459</v>
      </c>
      <c r="K5967" t="s">
        <v>1214</v>
      </c>
      <c r="L5967" t="s">
        <v>30460</v>
      </c>
      <c r="M5967">
        <v>324.7</v>
      </c>
      <c r="N5967" t="s">
        <v>30461</v>
      </c>
      <c r="O5967" t="s">
        <v>26</v>
      </c>
      <c r="R5967">
        <v>99</v>
      </c>
      <c r="T5967" t="s">
        <v>30462</v>
      </c>
    </row>
    <row r="5968" spans="1:20">
      <c r="A5968">
        <v>3412668</v>
      </c>
      <c r="B5968" t="s">
        <v>30463</v>
      </c>
      <c r="C5968" t="str">
        <f>"9780774819039"</f>
        <v>9780774819039</v>
      </c>
      <c r="D5968" t="str">
        <f>"9780774819053"</f>
        <v>9780774819053</v>
      </c>
      <c r="E5968" t="s">
        <v>26801</v>
      </c>
      <c r="F5968" t="s">
        <v>26801</v>
      </c>
      <c r="G5968" s="1">
        <v>40609</v>
      </c>
      <c r="I5968" t="s">
        <v>30464</v>
      </c>
      <c r="J5968" t="s">
        <v>30465</v>
      </c>
      <c r="K5968" t="s">
        <v>525</v>
      </c>
      <c r="L5968" t="s">
        <v>30466</v>
      </c>
      <c r="M5968">
        <v>343.5</v>
      </c>
      <c r="N5968" t="s">
        <v>30467</v>
      </c>
      <c r="O5968" t="s">
        <v>26</v>
      </c>
      <c r="R5968">
        <v>110</v>
      </c>
      <c r="T5968" t="s">
        <v>30468</v>
      </c>
    </row>
    <row r="5969" spans="1:20">
      <c r="A5969">
        <v>3412669</v>
      </c>
      <c r="B5969" t="s">
        <v>30469</v>
      </c>
      <c r="C5969" t="str">
        <f>"9780774820745"</f>
        <v>9780774820745</v>
      </c>
      <c r="D5969" t="str">
        <f>"9780774820769"</f>
        <v>9780774820769</v>
      </c>
      <c r="E5969" t="s">
        <v>26801</v>
      </c>
      <c r="F5969" t="s">
        <v>26801</v>
      </c>
      <c r="G5969" s="1">
        <v>40609</v>
      </c>
      <c r="J5969" t="s">
        <v>30470</v>
      </c>
      <c r="K5969" t="s">
        <v>6444</v>
      </c>
      <c r="L5969" t="s">
        <v>30471</v>
      </c>
      <c r="M5969">
        <v>971.2</v>
      </c>
      <c r="N5969" t="s">
        <v>30472</v>
      </c>
      <c r="O5969" t="s">
        <v>26</v>
      </c>
      <c r="R5969">
        <v>99</v>
      </c>
      <c r="T5969" t="s">
        <v>30473</v>
      </c>
    </row>
    <row r="5970" spans="1:20">
      <c r="A5970">
        <v>3412670</v>
      </c>
      <c r="B5970" t="s">
        <v>30474</v>
      </c>
      <c r="C5970" t="str">
        <f>"9780774820219"</f>
        <v>9780774820219</v>
      </c>
      <c r="D5970" t="str">
        <f>"9780774820233"</f>
        <v>9780774820233</v>
      </c>
      <c r="E5970" t="s">
        <v>26801</v>
      </c>
      <c r="F5970" t="s">
        <v>26801</v>
      </c>
      <c r="G5970" s="1">
        <v>40969</v>
      </c>
      <c r="I5970" t="s">
        <v>27673</v>
      </c>
      <c r="J5970" t="s">
        <v>30475</v>
      </c>
      <c r="K5970" t="s">
        <v>1892</v>
      </c>
      <c r="L5970" t="s">
        <v>30476</v>
      </c>
      <c r="M5970">
        <v>282</v>
      </c>
      <c r="N5970" t="s">
        <v>30477</v>
      </c>
      <c r="O5970" t="s">
        <v>26</v>
      </c>
      <c r="R5970">
        <v>99</v>
      </c>
      <c r="T5970" t="s">
        <v>30478</v>
      </c>
    </row>
    <row r="5971" spans="1:20">
      <c r="A5971">
        <v>3412671</v>
      </c>
      <c r="B5971" t="s">
        <v>30479</v>
      </c>
      <c r="C5971" t="str">
        <f>"9780774819978"</f>
        <v>9780774819978</v>
      </c>
      <c r="D5971" t="str">
        <f>"9780774819992"</f>
        <v>9780774819992</v>
      </c>
      <c r="E5971" t="s">
        <v>26801</v>
      </c>
      <c r="F5971" t="s">
        <v>26801</v>
      </c>
      <c r="G5971" s="1">
        <v>40969</v>
      </c>
      <c r="I5971" t="s">
        <v>27129</v>
      </c>
      <c r="J5971" t="s">
        <v>30480</v>
      </c>
      <c r="K5971" t="s">
        <v>2387</v>
      </c>
      <c r="L5971" t="s">
        <v>30481</v>
      </c>
      <c r="M5971">
        <v>640</v>
      </c>
      <c r="N5971" t="s">
        <v>30482</v>
      </c>
      <c r="O5971" t="s">
        <v>26</v>
      </c>
      <c r="R5971">
        <v>99</v>
      </c>
      <c r="T5971" t="s">
        <v>30483</v>
      </c>
    </row>
    <row r="5972" spans="1:20">
      <c r="A5972">
        <v>3412672</v>
      </c>
      <c r="B5972" t="s">
        <v>30484</v>
      </c>
      <c r="C5972" t="str">
        <f>"9780774819671"</f>
        <v>9780774819671</v>
      </c>
      <c r="D5972" t="str">
        <f>"9780774819695"</f>
        <v>9780774819695</v>
      </c>
      <c r="E5972" t="s">
        <v>26801</v>
      </c>
      <c r="F5972" t="s">
        <v>26801</v>
      </c>
      <c r="G5972" s="1">
        <v>40602</v>
      </c>
      <c r="J5972" t="s">
        <v>30485</v>
      </c>
      <c r="K5972" t="s">
        <v>899</v>
      </c>
      <c r="L5972" t="s">
        <v>30486</v>
      </c>
      <c r="M5972">
        <v>306.3</v>
      </c>
      <c r="N5972" t="s">
        <v>30487</v>
      </c>
      <c r="O5972" t="s">
        <v>26</v>
      </c>
      <c r="R5972">
        <v>110</v>
      </c>
      <c r="T5972" t="s">
        <v>30488</v>
      </c>
    </row>
    <row r="5973" spans="1:20">
      <c r="A5973">
        <v>3412673</v>
      </c>
      <c r="B5973" t="s">
        <v>30489</v>
      </c>
      <c r="C5973" t="str">
        <f>"9780774820097"</f>
        <v>9780774820097</v>
      </c>
      <c r="D5973" t="str">
        <f>"9780774820110"</f>
        <v>9780774820110</v>
      </c>
      <c r="E5973" t="s">
        <v>26801</v>
      </c>
      <c r="F5973" t="s">
        <v>26801</v>
      </c>
      <c r="G5973" s="1">
        <v>40609</v>
      </c>
      <c r="J5973" t="s">
        <v>30490</v>
      </c>
      <c r="K5973" t="s">
        <v>568</v>
      </c>
      <c r="L5973" t="s">
        <v>30491</v>
      </c>
      <c r="M5973">
        <v>323.3</v>
      </c>
      <c r="N5973" t="s">
        <v>30492</v>
      </c>
      <c r="O5973" t="s">
        <v>26</v>
      </c>
      <c r="R5973">
        <v>110</v>
      </c>
      <c r="T5973" t="s">
        <v>30493</v>
      </c>
    </row>
    <row r="5974" spans="1:20">
      <c r="A5974">
        <v>3412674</v>
      </c>
      <c r="B5974" t="s">
        <v>30494</v>
      </c>
      <c r="C5974" t="str">
        <f>"9780774818490"</f>
        <v>9780774818490</v>
      </c>
      <c r="D5974" t="str">
        <f>"9780774818513"</f>
        <v>9780774818513</v>
      </c>
      <c r="E5974" t="s">
        <v>26801</v>
      </c>
      <c r="F5974" t="s">
        <v>26801</v>
      </c>
      <c r="G5974" s="1">
        <v>40574</v>
      </c>
      <c r="J5974" t="s">
        <v>30495</v>
      </c>
      <c r="K5974" t="s">
        <v>1297</v>
      </c>
      <c r="L5974" t="s">
        <v>30496</v>
      </c>
      <c r="M5974">
        <v>333.75097110000002</v>
      </c>
      <c r="N5974" t="s">
        <v>30497</v>
      </c>
      <c r="O5974" t="s">
        <v>26</v>
      </c>
      <c r="R5974">
        <v>99</v>
      </c>
      <c r="T5974" t="s">
        <v>30498</v>
      </c>
    </row>
    <row r="5975" spans="1:20">
      <c r="A5975">
        <v>3412675</v>
      </c>
      <c r="B5975" t="s">
        <v>30499</v>
      </c>
      <c r="C5975" t="str">
        <f>"9780774819312"</f>
        <v>9780774819312</v>
      </c>
      <c r="D5975" t="str">
        <f>"9780774819336"</f>
        <v>9780774819336</v>
      </c>
      <c r="E5975" t="s">
        <v>26801</v>
      </c>
      <c r="F5975" t="s">
        <v>26801</v>
      </c>
      <c r="G5975" s="1">
        <v>40589</v>
      </c>
      <c r="J5975" t="s">
        <v>30500</v>
      </c>
      <c r="K5975" t="s">
        <v>1530</v>
      </c>
      <c r="L5975" t="s">
        <v>30501</v>
      </c>
      <c r="M5975">
        <v>971.1</v>
      </c>
      <c r="N5975" t="s">
        <v>30502</v>
      </c>
      <c r="O5975" t="s">
        <v>26</v>
      </c>
      <c r="R5975">
        <v>115</v>
      </c>
      <c r="T5975" t="s">
        <v>30503</v>
      </c>
    </row>
    <row r="5976" spans="1:20">
      <c r="A5976">
        <v>3412676</v>
      </c>
      <c r="B5976" t="s">
        <v>30504</v>
      </c>
      <c r="C5976" t="str">
        <f>"9780774819473"</f>
        <v>9780774819473</v>
      </c>
      <c r="D5976" t="str">
        <f>"9780774819497"</f>
        <v>9780774819497</v>
      </c>
      <c r="E5976" t="s">
        <v>26801</v>
      </c>
      <c r="F5976" t="s">
        <v>26801</v>
      </c>
      <c r="G5976" s="1">
        <v>40589</v>
      </c>
      <c r="J5976" t="s">
        <v>30505</v>
      </c>
      <c r="K5976" t="s">
        <v>899</v>
      </c>
      <c r="L5976" t="s">
        <v>30506</v>
      </c>
      <c r="M5976">
        <v>306.3</v>
      </c>
      <c r="N5976" t="s">
        <v>30507</v>
      </c>
      <c r="O5976" t="s">
        <v>26</v>
      </c>
      <c r="R5976">
        <v>99</v>
      </c>
      <c r="T5976" t="s">
        <v>30508</v>
      </c>
    </row>
    <row r="5977" spans="1:20">
      <c r="A5977">
        <v>3412677</v>
      </c>
      <c r="B5977" t="s">
        <v>30509</v>
      </c>
      <c r="C5977" t="str">
        <f>"9780774820332"</f>
        <v>9780774820332</v>
      </c>
      <c r="D5977" t="str">
        <f>"9780774820356"</f>
        <v>9780774820356</v>
      </c>
      <c r="E5977" t="s">
        <v>26801</v>
      </c>
      <c r="F5977" t="s">
        <v>26801</v>
      </c>
      <c r="G5977" s="1">
        <v>40690</v>
      </c>
      <c r="J5977" t="s">
        <v>30510</v>
      </c>
      <c r="K5977" t="s">
        <v>76</v>
      </c>
      <c r="L5977" t="s">
        <v>30511</v>
      </c>
      <c r="M5977">
        <v>634.92021799999998</v>
      </c>
      <c r="N5977" t="s">
        <v>30512</v>
      </c>
      <c r="O5977" t="s">
        <v>26</v>
      </c>
      <c r="R5977">
        <v>99</v>
      </c>
      <c r="T5977" t="s">
        <v>30513</v>
      </c>
    </row>
    <row r="5978" spans="1:20">
      <c r="A5978">
        <v>3412678</v>
      </c>
      <c r="B5978" t="s">
        <v>30514</v>
      </c>
      <c r="C5978" t="str">
        <f>"9780774820172"</f>
        <v>9780774820172</v>
      </c>
      <c r="D5978" t="str">
        <f>"9780774820196"</f>
        <v>9780774820196</v>
      </c>
      <c r="E5978" t="s">
        <v>26801</v>
      </c>
      <c r="F5978" t="s">
        <v>26801</v>
      </c>
      <c r="G5978" s="1">
        <v>40664</v>
      </c>
      <c r="I5978" t="s">
        <v>30208</v>
      </c>
      <c r="J5978" t="s">
        <v>17311</v>
      </c>
      <c r="K5978" t="s">
        <v>467</v>
      </c>
      <c r="L5978" t="s">
        <v>30515</v>
      </c>
      <c r="M5978">
        <v>327.10000000000002</v>
      </c>
      <c r="N5978" t="s">
        <v>30516</v>
      </c>
      <c r="O5978" t="s">
        <v>26</v>
      </c>
      <c r="R5978">
        <v>99</v>
      </c>
      <c r="T5978" t="s">
        <v>30517</v>
      </c>
    </row>
    <row r="5979" spans="1:20">
      <c r="A5979">
        <v>3412679</v>
      </c>
      <c r="B5979" t="s">
        <v>30518</v>
      </c>
      <c r="C5979" t="str">
        <f>"9780774819794"</f>
        <v>9780774819794</v>
      </c>
      <c r="D5979" t="str">
        <f>"9780774819817"</f>
        <v>9780774819817</v>
      </c>
      <c r="E5979" t="s">
        <v>26801</v>
      </c>
      <c r="F5979" t="s">
        <v>26801</v>
      </c>
      <c r="G5979" s="1">
        <v>40678</v>
      </c>
      <c r="J5979" t="s">
        <v>30519</v>
      </c>
      <c r="K5979" t="s">
        <v>291</v>
      </c>
      <c r="L5979" t="s">
        <v>30520</v>
      </c>
      <c r="M5979" t="s">
        <v>6633</v>
      </c>
      <c r="N5979" t="s">
        <v>30521</v>
      </c>
      <c r="O5979" t="s">
        <v>26</v>
      </c>
      <c r="R5979">
        <v>99</v>
      </c>
      <c r="T5979" t="s">
        <v>30522</v>
      </c>
    </row>
    <row r="5980" spans="1:20">
      <c r="A5980">
        <v>3412680</v>
      </c>
      <c r="B5980" t="s">
        <v>30523</v>
      </c>
      <c r="C5980" t="str">
        <f>"9780774819596"</f>
        <v>9780774819596</v>
      </c>
      <c r="D5980" t="str">
        <f>"9780774819619"</f>
        <v>9780774819619</v>
      </c>
      <c r="E5980" t="s">
        <v>26801</v>
      </c>
      <c r="F5980" t="s">
        <v>26801</v>
      </c>
      <c r="G5980" s="1">
        <v>40634</v>
      </c>
      <c r="I5980" t="s">
        <v>29997</v>
      </c>
      <c r="J5980" t="s">
        <v>30524</v>
      </c>
      <c r="K5980" t="s">
        <v>30525</v>
      </c>
      <c r="L5980" t="s">
        <v>30526</v>
      </c>
      <c r="M5980" t="s">
        <v>30527</v>
      </c>
      <c r="N5980" t="s">
        <v>30528</v>
      </c>
      <c r="O5980" t="s">
        <v>26</v>
      </c>
      <c r="R5980">
        <v>99</v>
      </c>
      <c r="T5980" t="s">
        <v>30529</v>
      </c>
    </row>
    <row r="5981" spans="1:20">
      <c r="A5981">
        <v>3412681</v>
      </c>
      <c r="B5981" t="s">
        <v>30530</v>
      </c>
      <c r="C5981" t="str">
        <f>"9780774819633"</f>
        <v>9780774819633</v>
      </c>
      <c r="D5981" t="str">
        <f>"9780774819657"</f>
        <v>9780774819657</v>
      </c>
      <c r="E5981" t="s">
        <v>26801</v>
      </c>
      <c r="F5981" t="s">
        <v>26801</v>
      </c>
      <c r="G5981" s="1">
        <v>40668</v>
      </c>
      <c r="I5981" t="s">
        <v>27576</v>
      </c>
      <c r="J5981" t="s">
        <v>30531</v>
      </c>
      <c r="K5981" t="s">
        <v>525</v>
      </c>
      <c r="L5981" t="s">
        <v>30532</v>
      </c>
      <c r="M5981" t="s">
        <v>30533</v>
      </c>
      <c r="N5981" t="s">
        <v>30534</v>
      </c>
      <c r="O5981" t="s">
        <v>26</v>
      </c>
      <c r="R5981">
        <v>99</v>
      </c>
      <c r="T5981" t="s">
        <v>30535</v>
      </c>
    </row>
    <row r="5982" spans="1:20">
      <c r="A5982">
        <v>3412682</v>
      </c>
      <c r="B5982" t="s">
        <v>30536</v>
      </c>
      <c r="C5982" t="str">
        <f>"9780774819831"</f>
        <v>9780774819831</v>
      </c>
      <c r="D5982" t="str">
        <f>"9780774819855"</f>
        <v>9780774819855</v>
      </c>
      <c r="E5982" t="s">
        <v>26801</v>
      </c>
      <c r="F5982" t="s">
        <v>26801</v>
      </c>
      <c r="G5982" s="1">
        <v>40909</v>
      </c>
      <c r="J5982" t="s">
        <v>30537</v>
      </c>
      <c r="K5982" t="s">
        <v>7063</v>
      </c>
      <c r="L5982" t="s">
        <v>30538</v>
      </c>
      <c r="M5982">
        <v>327.71018229999999</v>
      </c>
      <c r="N5982" t="s">
        <v>30539</v>
      </c>
      <c r="O5982" t="s">
        <v>26</v>
      </c>
      <c r="R5982">
        <v>99</v>
      </c>
      <c r="T5982" t="s">
        <v>30540</v>
      </c>
    </row>
    <row r="5983" spans="1:20">
      <c r="A5983">
        <v>3412683</v>
      </c>
      <c r="B5983" t="s">
        <v>30541</v>
      </c>
      <c r="C5983" t="str">
        <f>"9780774818582"</f>
        <v>9780774818582</v>
      </c>
      <c r="D5983" t="str">
        <f>"9780774818605"</f>
        <v>9780774818605</v>
      </c>
      <c r="E5983" t="s">
        <v>26801</v>
      </c>
      <c r="F5983" t="s">
        <v>26801</v>
      </c>
      <c r="G5983" s="1">
        <v>40787</v>
      </c>
      <c r="I5983" t="s">
        <v>27576</v>
      </c>
      <c r="J5983" t="s">
        <v>30542</v>
      </c>
      <c r="K5983" t="s">
        <v>263</v>
      </c>
      <c r="L5983" t="s">
        <v>30543</v>
      </c>
      <c r="M5983">
        <v>364.0820971</v>
      </c>
      <c r="N5983" t="s">
        <v>30544</v>
      </c>
      <c r="O5983" t="s">
        <v>26</v>
      </c>
      <c r="R5983">
        <v>110</v>
      </c>
      <c r="T5983" t="s">
        <v>30545</v>
      </c>
    </row>
    <row r="5984" spans="1:20">
      <c r="A5984">
        <v>3412684</v>
      </c>
      <c r="B5984" t="s">
        <v>30546</v>
      </c>
      <c r="C5984" t="str">
        <f>"9780774820899"</f>
        <v>9780774820899</v>
      </c>
      <c r="D5984" t="str">
        <f>"9780774820912"</f>
        <v>9780774820912</v>
      </c>
      <c r="E5984" t="s">
        <v>26801</v>
      </c>
      <c r="F5984" t="s">
        <v>26801</v>
      </c>
      <c r="G5984" s="1">
        <v>40634</v>
      </c>
      <c r="I5984" t="s">
        <v>29997</v>
      </c>
      <c r="J5984" t="s">
        <v>30547</v>
      </c>
      <c r="K5984" t="s">
        <v>291</v>
      </c>
      <c r="L5984" t="s">
        <v>30548</v>
      </c>
      <c r="M5984">
        <v>940.53710000000001</v>
      </c>
      <c r="N5984" t="s">
        <v>30549</v>
      </c>
      <c r="O5984" t="s">
        <v>26</v>
      </c>
      <c r="R5984">
        <v>99</v>
      </c>
      <c r="T5984" t="s">
        <v>30550</v>
      </c>
    </row>
    <row r="5985" spans="1:20">
      <c r="A5985">
        <v>3412685</v>
      </c>
      <c r="B5985" t="s">
        <v>30551</v>
      </c>
      <c r="C5985" t="str">
        <f>"9780774820974"</f>
        <v>9780774820974</v>
      </c>
      <c r="D5985" t="str">
        <f>"9780774820998"</f>
        <v>9780774820998</v>
      </c>
      <c r="E5985" t="s">
        <v>26801</v>
      </c>
      <c r="F5985" t="s">
        <v>26801</v>
      </c>
      <c r="G5985" s="1">
        <v>40909</v>
      </c>
      <c r="J5985" t="s">
        <v>30552</v>
      </c>
      <c r="K5985" t="s">
        <v>467</v>
      </c>
      <c r="L5985" t="s">
        <v>30553</v>
      </c>
      <c r="M5985">
        <v>324.27105999999998</v>
      </c>
      <c r="N5985" t="s">
        <v>30554</v>
      </c>
      <c r="O5985" t="s">
        <v>26</v>
      </c>
      <c r="R5985">
        <v>99</v>
      </c>
      <c r="T5985" t="s">
        <v>30555</v>
      </c>
    </row>
    <row r="5986" spans="1:20">
      <c r="A5986">
        <v>3412686</v>
      </c>
      <c r="B5986" t="s">
        <v>30556</v>
      </c>
      <c r="C5986" t="str">
        <f>"9780774818520"</f>
        <v>9780774818520</v>
      </c>
      <c r="D5986" t="str">
        <f>"9780774818544"</f>
        <v>9780774818544</v>
      </c>
      <c r="E5986" t="s">
        <v>26801</v>
      </c>
      <c r="F5986" t="s">
        <v>26801</v>
      </c>
      <c r="G5986" s="1">
        <v>40723</v>
      </c>
      <c r="I5986" t="s">
        <v>27495</v>
      </c>
      <c r="J5986" t="s">
        <v>30557</v>
      </c>
      <c r="K5986" t="s">
        <v>27111</v>
      </c>
      <c r="L5986" t="s">
        <v>30558</v>
      </c>
      <c r="M5986" t="s">
        <v>30559</v>
      </c>
      <c r="N5986" t="s">
        <v>30560</v>
      </c>
      <c r="O5986" t="s">
        <v>26</v>
      </c>
      <c r="R5986">
        <v>99</v>
      </c>
      <c r="T5986" t="s">
        <v>30561</v>
      </c>
    </row>
    <row r="5987" spans="1:20">
      <c r="A5987">
        <v>3412687</v>
      </c>
      <c r="B5987" t="s">
        <v>30562</v>
      </c>
      <c r="C5987" t="str">
        <f>"9780774820585"</f>
        <v>9780774820585</v>
      </c>
      <c r="D5987" t="str">
        <f>"9780774820608"</f>
        <v>9780774820608</v>
      </c>
      <c r="E5987" t="s">
        <v>26801</v>
      </c>
      <c r="F5987" t="s">
        <v>26801</v>
      </c>
      <c r="G5987" s="1">
        <v>40756</v>
      </c>
      <c r="J5987" t="s">
        <v>30563</v>
      </c>
      <c r="K5987" t="s">
        <v>291</v>
      </c>
      <c r="L5987" t="s">
        <v>30564</v>
      </c>
      <c r="M5987">
        <v>971.00710000000004</v>
      </c>
      <c r="N5987" t="s">
        <v>30565</v>
      </c>
      <c r="O5987" t="s">
        <v>26</v>
      </c>
      <c r="R5987">
        <v>99</v>
      </c>
      <c r="T5987" t="s">
        <v>30566</v>
      </c>
    </row>
    <row r="5988" spans="1:20">
      <c r="A5988">
        <v>3412688</v>
      </c>
      <c r="B5988" t="s">
        <v>30567</v>
      </c>
      <c r="C5988" t="str">
        <f>"9780774818254"</f>
        <v>9780774818254</v>
      </c>
      <c r="D5988" t="str">
        <f>"9780774818278"</f>
        <v>9780774818278</v>
      </c>
      <c r="E5988" t="s">
        <v>26801</v>
      </c>
      <c r="F5988" t="s">
        <v>26801</v>
      </c>
      <c r="G5988" s="1">
        <v>40909</v>
      </c>
      <c r="I5988" t="s">
        <v>27576</v>
      </c>
      <c r="J5988" t="s">
        <v>30568</v>
      </c>
      <c r="K5988" t="s">
        <v>467</v>
      </c>
      <c r="L5988" t="s">
        <v>30569</v>
      </c>
      <c r="M5988">
        <v>323.09710000000001</v>
      </c>
      <c r="N5988" t="s">
        <v>30570</v>
      </c>
      <c r="O5988" t="s">
        <v>26</v>
      </c>
      <c r="R5988">
        <v>99</v>
      </c>
      <c r="T5988" t="s">
        <v>30571</v>
      </c>
    </row>
    <row r="5989" spans="1:20">
      <c r="A5989">
        <v>3412689</v>
      </c>
      <c r="B5989" t="s">
        <v>30572</v>
      </c>
      <c r="C5989" t="str">
        <f>"9780774820011"</f>
        <v>9780774820011</v>
      </c>
      <c r="D5989" t="str">
        <f>"9780774820035"</f>
        <v>9780774820035</v>
      </c>
      <c r="E5989" t="s">
        <v>26801</v>
      </c>
      <c r="F5989" t="s">
        <v>26801</v>
      </c>
      <c r="G5989" s="1">
        <v>40683</v>
      </c>
      <c r="J5989" t="s">
        <v>30573</v>
      </c>
      <c r="K5989" t="s">
        <v>416</v>
      </c>
      <c r="L5989" t="s">
        <v>30574</v>
      </c>
      <c r="M5989" t="s">
        <v>30575</v>
      </c>
      <c r="N5989" t="s">
        <v>30576</v>
      </c>
      <c r="O5989" t="s">
        <v>26</v>
      </c>
      <c r="R5989">
        <v>99</v>
      </c>
      <c r="T5989" t="s">
        <v>30577</v>
      </c>
    </row>
    <row r="5990" spans="1:20">
      <c r="A5990">
        <v>3412690</v>
      </c>
      <c r="B5990" t="s">
        <v>30578</v>
      </c>
      <c r="C5990" t="str">
        <f>"9780774820059"</f>
        <v>9780774820059</v>
      </c>
      <c r="D5990" t="str">
        <f>"9780774820073"</f>
        <v>9780774820073</v>
      </c>
      <c r="E5990" t="s">
        <v>26801</v>
      </c>
      <c r="F5990" t="s">
        <v>26801</v>
      </c>
      <c r="G5990" s="1">
        <v>40909</v>
      </c>
      <c r="J5990" t="s">
        <v>30579</v>
      </c>
      <c r="K5990" t="s">
        <v>291</v>
      </c>
      <c r="L5990" t="s">
        <v>30580</v>
      </c>
      <c r="M5990">
        <v>971.10049741</v>
      </c>
      <c r="N5990" t="s">
        <v>30581</v>
      </c>
      <c r="O5990" t="s">
        <v>26</v>
      </c>
      <c r="R5990">
        <v>99</v>
      </c>
      <c r="T5990" t="s">
        <v>30582</v>
      </c>
    </row>
    <row r="5991" spans="1:20">
      <c r="A5991">
        <v>3412691</v>
      </c>
      <c r="B5991" t="s">
        <v>30583</v>
      </c>
      <c r="C5991" t="str">
        <f>"9780774819510"</f>
        <v>9780774819510</v>
      </c>
      <c r="D5991" t="str">
        <f>"9780774819534"</f>
        <v>9780774819534</v>
      </c>
      <c r="E5991" t="s">
        <v>26801</v>
      </c>
      <c r="F5991" t="s">
        <v>26801</v>
      </c>
      <c r="G5991" s="1">
        <v>40695</v>
      </c>
      <c r="J5991" t="s">
        <v>30584</v>
      </c>
      <c r="K5991" t="s">
        <v>263</v>
      </c>
      <c r="L5991" t="s">
        <v>30585</v>
      </c>
      <c r="M5991">
        <v>306.87230970000002</v>
      </c>
      <c r="N5991" t="s">
        <v>30586</v>
      </c>
      <c r="O5991" t="s">
        <v>26</v>
      </c>
      <c r="R5991">
        <v>99</v>
      </c>
      <c r="T5991" t="s">
        <v>30587</v>
      </c>
    </row>
    <row r="5992" spans="1:20">
      <c r="A5992">
        <v>3412692</v>
      </c>
      <c r="B5992" t="s">
        <v>30588</v>
      </c>
      <c r="C5992" t="str">
        <f>"9780774819718"</f>
        <v>9780774819718</v>
      </c>
      <c r="D5992" t="str">
        <f>"9780774819732"</f>
        <v>9780774819732</v>
      </c>
      <c r="E5992" t="s">
        <v>26801</v>
      </c>
      <c r="F5992" t="s">
        <v>26801</v>
      </c>
      <c r="G5992" s="1">
        <v>40573</v>
      </c>
      <c r="J5992" t="s">
        <v>30589</v>
      </c>
      <c r="K5992" t="s">
        <v>416</v>
      </c>
      <c r="L5992" t="s">
        <v>30590</v>
      </c>
      <c r="M5992" t="s">
        <v>30591</v>
      </c>
      <c r="N5992" t="s">
        <v>30592</v>
      </c>
      <c r="O5992" t="s">
        <v>26</v>
      </c>
      <c r="R5992">
        <v>99</v>
      </c>
      <c r="T5992" t="s">
        <v>30593</v>
      </c>
    </row>
    <row r="5993" spans="1:20">
      <c r="A5993">
        <v>3412693</v>
      </c>
      <c r="B5993" t="s">
        <v>30594</v>
      </c>
      <c r="C5993" t="str">
        <f>"9780774819558"</f>
        <v>9780774819558</v>
      </c>
      <c r="D5993" t="str">
        <f>"9780774819572"</f>
        <v>9780774819572</v>
      </c>
      <c r="E5993" t="s">
        <v>26801</v>
      </c>
      <c r="F5993" t="s">
        <v>26801</v>
      </c>
      <c r="G5993" s="1">
        <v>40646</v>
      </c>
      <c r="I5993" t="s">
        <v>27129</v>
      </c>
      <c r="J5993" t="s">
        <v>30595</v>
      </c>
      <c r="K5993" t="s">
        <v>7732</v>
      </c>
      <c r="L5993" t="s">
        <v>30596</v>
      </c>
      <c r="M5993">
        <v>951.05</v>
      </c>
      <c r="N5993" t="s">
        <v>30597</v>
      </c>
      <c r="O5993" t="s">
        <v>26</v>
      </c>
      <c r="R5993">
        <v>99</v>
      </c>
      <c r="T5993" t="s">
        <v>30598</v>
      </c>
    </row>
    <row r="5994" spans="1:20">
      <c r="A5994">
        <v>3412694</v>
      </c>
      <c r="B5994" t="s">
        <v>30599</v>
      </c>
      <c r="C5994" t="str">
        <f>"9780774818346"</f>
        <v>9780774818346</v>
      </c>
      <c r="D5994" t="str">
        <f>"9780774818360"</f>
        <v>9780774818360</v>
      </c>
      <c r="E5994" t="s">
        <v>26801</v>
      </c>
      <c r="F5994" t="s">
        <v>26801</v>
      </c>
      <c r="G5994" s="1">
        <v>40513</v>
      </c>
      <c r="I5994" t="s">
        <v>27576</v>
      </c>
      <c r="J5994" t="s">
        <v>30600</v>
      </c>
      <c r="K5994" t="s">
        <v>263</v>
      </c>
      <c r="L5994" t="s">
        <v>30601</v>
      </c>
      <c r="M5994">
        <v>364</v>
      </c>
      <c r="N5994" t="s">
        <v>30602</v>
      </c>
      <c r="O5994" t="s">
        <v>26</v>
      </c>
      <c r="R5994">
        <v>110</v>
      </c>
      <c r="T5994" t="s">
        <v>30603</v>
      </c>
    </row>
    <row r="5995" spans="1:20">
      <c r="A5995">
        <v>3412695</v>
      </c>
      <c r="B5995" t="s">
        <v>30604</v>
      </c>
      <c r="C5995" t="str">
        <f>"9780774820707"</f>
        <v>9780774820707</v>
      </c>
      <c r="D5995" t="str">
        <f>"9780774820721"</f>
        <v>9780774820721</v>
      </c>
      <c r="E5995" t="s">
        <v>26801</v>
      </c>
      <c r="F5995" t="s">
        <v>26801</v>
      </c>
      <c r="G5995" s="1">
        <v>40671</v>
      </c>
      <c r="J5995" t="s">
        <v>30605</v>
      </c>
      <c r="K5995" t="s">
        <v>525</v>
      </c>
      <c r="L5995" t="s">
        <v>30606</v>
      </c>
      <c r="M5995">
        <v>342.71087199999999</v>
      </c>
      <c r="N5995" t="s">
        <v>30607</v>
      </c>
      <c r="O5995" t="s">
        <v>26</v>
      </c>
      <c r="R5995">
        <v>99</v>
      </c>
      <c r="T5995" t="s">
        <v>30608</v>
      </c>
    </row>
    <row r="5996" spans="1:20">
      <c r="A5996">
        <v>3412780</v>
      </c>
      <c r="B5996" t="s">
        <v>30609</v>
      </c>
      <c r="C5996" t="str">
        <f>"9780774822282"</f>
        <v>9780774822282</v>
      </c>
      <c r="D5996" t="str">
        <f>"9780774822305"</f>
        <v>9780774822305</v>
      </c>
      <c r="E5996" t="s">
        <v>26801</v>
      </c>
      <c r="F5996" t="s">
        <v>26801</v>
      </c>
      <c r="G5996" s="1">
        <v>40909</v>
      </c>
      <c r="I5996" t="s">
        <v>30610</v>
      </c>
      <c r="J5996" t="s">
        <v>30611</v>
      </c>
      <c r="K5996" t="s">
        <v>467</v>
      </c>
      <c r="L5996" t="s">
        <v>30612</v>
      </c>
      <c r="N5996" t="s">
        <v>30613</v>
      </c>
      <c r="O5996" t="s">
        <v>26</v>
      </c>
      <c r="R5996">
        <v>99</v>
      </c>
      <c r="T5996" t="s">
        <v>30614</v>
      </c>
    </row>
    <row r="5997" spans="1:20">
      <c r="A5997">
        <v>3412782</v>
      </c>
      <c r="B5997" t="s">
        <v>30615</v>
      </c>
      <c r="C5997" t="str">
        <f>"9780774821568"</f>
        <v>9780774821568</v>
      </c>
      <c r="D5997" t="str">
        <f>"9780774821582"</f>
        <v>9780774821582</v>
      </c>
      <c r="E5997" t="s">
        <v>26801</v>
      </c>
      <c r="F5997" t="s">
        <v>26801</v>
      </c>
      <c r="G5997" s="1">
        <v>41011</v>
      </c>
      <c r="J5997" t="s">
        <v>30616</v>
      </c>
      <c r="K5997" t="s">
        <v>467</v>
      </c>
      <c r="L5997" t="s">
        <v>30617</v>
      </c>
      <c r="M5997">
        <v>328.71077200000002</v>
      </c>
      <c r="N5997" t="s">
        <v>30618</v>
      </c>
      <c r="O5997" t="s">
        <v>26</v>
      </c>
      <c r="R5997">
        <v>99</v>
      </c>
      <c r="T5997" t="s">
        <v>30619</v>
      </c>
    </row>
    <row r="5998" spans="1:20">
      <c r="A5998">
        <v>3412783</v>
      </c>
      <c r="B5998" t="s">
        <v>30620</v>
      </c>
      <c r="C5998" t="str">
        <f>"9780774823180"</f>
        <v>9780774823180</v>
      </c>
      <c r="D5998" t="str">
        <f>"9780774823203"</f>
        <v>9780774823203</v>
      </c>
      <c r="E5998" t="s">
        <v>26801</v>
      </c>
      <c r="F5998" t="s">
        <v>26801</v>
      </c>
      <c r="G5998" s="1">
        <v>41000</v>
      </c>
      <c r="I5998" t="s">
        <v>30208</v>
      </c>
      <c r="J5998" t="s">
        <v>30621</v>
      </c>
      <c r="K5998" t="s">
        <v>6665</v>
      </c>
      <c r="L5998" t="s">
        <v>30622</v>
      </c>
      <c r="M5998">
        <v>909.09</v>
      </c>
      <c r="N5998" t="s">
        <v>30623</v>
      </c>
      <c r="O5998" t="s">
        <v>26</v>
      </c>
      <c r="R5998">
        <v>99</v>
      </c>
      <c r="T5998" t="s">
        <v>30624</v>
      </c>
    </row>
    <row r="5999" spans="1:20">
      <c r="A5999">
        <v>3412784</v>
      </c>
      <c r="B5999" t="s">
        <v>30625</v>
      </c>
      <c r="C5999" t="str">
        <f>"9780774822565"</f>
        <v>9780774822565</v>
      </c>
      <c r="D5999" t="str">
        <f>"9780774822589"</f>
        <v>9780774822589</v>
      </c>
      <c r="E5999" t="s">
        <v>26801</v>
      </c>
      <c r="F5999" t="s">
        <v>26801</v>
      </c>
      <c r="G5999" s="1">
        <v>41014</v>
      </c>
      <c r="J5999" t="s">
        <v>30626</v>
      </c>
      <c r="K5999" t="s">
        <v>291</v>
      </c>
      <c r="L5999" t="s">
        <v>30627</v>
      </c>
      <c r="M5999">
        <v>940.30799999999999</v>
      </c>
      <c r="N5999" t="s">
        <v>30628</v>
      </c>
      <c r="O5999" t="s">
        <v>26</v>
      </c>
      <c r="R5999">
        <v>99</v>
      </c>
      <c r="T5999" t="s">
        <v>30629</v>
      </c>
    </row>
    <row r="6000" spans="1:20">
      <c r="A6000">
        <v>3412785</v>
      </c>
      <c r="B6000" t="s">
        <v>30630</v>
      </c>
      <c r="C6000" t="str">
        <f>"9780774821964"</f>
        <v>9780774821964</v>
      </c>
      <c r="D6000" t="str">
        <f>"9780774821988"</f>
        <v>9780774821988</v>
      </c>
      <c r="E6000" t="s">
        <v>26801</v>
      </c>
      <c r="F6000" t="s">
        <v>26801</v>
      </c>
      <c r="G6000" s="1">
        <v>41000</v>
      </c>
      <c r="J6000" t="s">
        <v>30631</v>
      </c>
      <c r="K6000" t="s">
        <v>1150</v>
      </c>
      <c r="L6000" t="s">
        <v>30632</v>
      </c>
      <c r="M6000">
        <v>796.93097109999997</v>
      </c>
      <c r="N6000" t="s">
        <v>30633</v>
      </c>
      <c r="O6000" t="s">
        <v>26</v>
      </c>
      <c r="R6000">
        <v>99</v>
      </c>
      <c r="T6000" t="s">
        <v>30634</v>
      </c>
    </row>
    <row r="6001" spans="1:20">
      <c r="A6001">
        <v>3412786</v>
      </c>
      <c r="B6001" t="s">
        <v>30635</v>
      </c>
      <c r="C6001" t="str">
        <f>"9780774822725"</f>
        <v>9780774822725</v>
      </c>
      <c r="D6001" t="str">
        <f>"9780774822749"</f>
        <v>9780774822749</v>
      </c>
      <c r="E6001" t="s">
        <v>26801</v>
      </c>
      <c r="F6001" t="s">
        <v>26801</v>
      </c>
      <c r="G6001" s="1">
        <v>41019</v>
      </c>
      <c r="J6001" t="s">
        <v>30636</v>
      </c>
      <c r="K6001" t="s">
        <v>1550</v>
      </c>
      <c r="L6001" t="s">
        <v>30637</v>
      </c>
      <c r="M6001">
        <v>305.697</v>
      </c>
      <c r="N6001" t="s">
        <v>30638</v>
      </c>
      <c r="O6001" t="s">
        <v>26</v>
      </c>
      <c r="R6001">
        <v>99</v>
      </c>
      <c r="T6001" t="s">
        <v>30639</v>
      </c>
    </row>
    <row r="6002" spans="1:20">
      <c r="A6002">
        <v>3412788</v>
      </c>
      <c r="B6002" t="s">
        <v>30640</v>
      </c>
      <c r="C6002" t="str">
        <f>"9780774823425"</f>
        <v>9780774823425</v>
      </c>
      <c r="D6002" t="str">
        <f>"9780774823449"</f>
        <v>9780774823449</v>
      </c>
      <c r="E6002" t="s">
        <v>26801</v>
      </c>
      <c r="F6002" t="s">
        <v>26801</v>
      </c>
      <c r="G6002" s="1">
        <v>41075</v>
      </c>
      <c r="I6002" t="s">
        <v>30641</v>
      </c>
      <c r="J6002" t="s">
        <v>30642</v>
      </c>
      <c r="K6002" t="s">
        <v>416</v>
      </c>
      <c r="L6002" t="s">
        <v>30643</v>
      </c>
      <c r="M6002">
        <v>331.8809</v>
      </c>
      <c r="N6002" t="s">
        <v>30644</v>
      </c>
      <c r="O6002" t="s">
        <v>26</v>
      </c>
      <c r="R6002">
        <v>99</v>
      </c>
      <c r="T6002" t="s">
        <v>30645</v>
      </c>
    </row>
    <row r="6003" spans="1:20">
      <c r="A6003">
        <v>3412789</v>
      </c>
      <c r="B6003" t="s">
        <v>30646</v>
      </c>
      <c r="C6003" t="str">
        <f>"9780774820417"</f>
        <v>9780774820417</v>
      </c>
      <c r="D6003" t="str">
        <f>"9780774820431"</f>
        <v>9780774820431</v>
      </c>
      <c r="E6003" t="s">
        <v>26801</v>
      </c>
      <c r="F6003" t="s">
        <v>26801</v>
      </c>
      <c r="G6003" s="1">
        <v>41061</v>
      </c>
      <c r="J6003" t="s">
        <v>30647</v>
      </c>
      <c r="K6003" t="s">
        <v>7063</v>
      </c>
      <c r="L6003" t="s">
        <v>30648</v>
      </c>
      <c r="M6003">
        <v>327.71073089999999</v>
      </c>
      <c r="N6003" t="s">
        <v>30649</v>
      </c>
      <c r="O6003" t="s">
        <v>26</v>
      </c>
      <c r="R6003">
        <v>99</v>
      </c>
      <c r="T6003" t="s">
        <v>30650</v>
      </c>
    </row>
    <row r="6004" spans="1:20">
      <c r="A6004">
        <v>3412790</v>
      </c>
      <c r="B6004" t="s">
        <v>30651</v>
      </c>
      <c r="C6004" t="str">
        <f>"9780774821643"</f>
        <v>9780774821643</v>
      </c>
      <c r="D6004" t="str">
        <f>"9780774821667"</f>
        <v>9780774821667</v>
      </c>
      <c r="E6004" t="s">
        <v>26801</v>
      </c>
      <c r="F6004" t="s">
        <v>26801</v>
      </c>
      <c r="G6004" s="1">
        <v>41024</v>
      </c>
      <c r="J6004" t="s">
        <v>30652</v>
      </c>
      <c r="K6004" t="s">
        <v>263</v>
      </c>
      <c r="L6004" t="s">
        <v>30653</v>
      </c>
      <c r="M6004">
        <v>302.23097100000001</v>
      </c>
      <c r="N6004" t="s">
        <v>30654</v>
      </c>
      <c r="O6004" t="s">
        <v>26</v>
      </c>
      <c r="R6004">
        <v>99</v>
      </c>
      <c r="T6004" t="s">
        <v>30655</v>
      </c>
    </row>
    <row r="6005" spans="1:20">
      <c r="A6005">
        <v>3412792</v>
      </c>
      <c r="B6005" t="s">
        <v>30656</v>
      </c>
      <c r="C6005" t="str">
        <f>"9780774822329"</f>
        <v>9780774822329</v>
      </c>
      <c r="D6005" t="str">
        <f>"9780774822343"</f>
        <v>9780774822343</v>
      </c>
      <c r="E6005" t="s">
        <v>26801</v>
      </c>
      <c r="F6005" t="s">
        <v>26801</v>
      </c>
      <c r="G6005" s="1">
        <v>41044</v>
      </c>
      <c r="J6005" t="s">
        <v>30657</v>
      </c>
      <c r="K6005" t="s">
        <v>525</v>
      </c>
      <c r="L6005" t="s">
        <v>30658</v>
      </c>
      <c r="M6005">
        <v>341.67</v>
      </c>
      <c r="N6005" t="s">
        <v>30659</v>
      </c>
      <c r="O6005" t="s">
        <v>26</v>
      </c>
      <c r="R6005">
        <v>99</v>
      </c>
      <c r="T6005" t="s">
        <v>30660</v>
      </c>
    </row>
    <row r="6006" spans="1:20">
      <c r="A6006">
        <v>3412793</v>
      </c>
      <c r="B6006" t="s">
        <v>30661</v>
      </c>
      <c r="C6006" t="str">
        <f>"9780774822244"</f>
        <v>9780774822244</v>
      </c>
      <c r="D6006" t="str">
        <f>"9780774822268"</f>
        <v>9780774822268</v>
      </c>
      <c r="E6006" t="s">
        <v>26801</v>
      </c>
      <c r="F6006" t="s">
        <v>26801</v>
      </c>
      <c r="G6006" s="1">
        <v>41275</v>
      </c>
      <c r="J6006" t="s">
        <v>30662</v>
      </c>
      <c r="K6006" t="s">
        <v>6444</v>
      </c>
      <c r="L6006" t="s">
        <v>30663</v>
      </c>
      <c r="M6006">
        <v>327.71044000000001</v>
      </c>
      <c r="N6006" t="s">
        <v>30664</v>
      </c>
      <c r="O6006" t="s">
        <v>26</v>
      </c>
      <c r="R6006">
        <v>99</v>
      </c>
      <c r="T6006" t="s">
        <v>30665</v>
      </c>
    </row>
    <row r="6007" spans="1:20">
      <c r="A6007">
        <v>3412794</v>
      </c>
      <c r="B6007" t="s">
        <v>30666</v>
      </c>
      <c r="C6007" t="str">
        <f>"9780774819114"</f>
        <v>9780774819114</v>
      </c>
      <c r="D6007" t="str">
        <f>"9780774819138"</f>
        <v>9780774819138</v>
      </c>
      <c r="E6007" t="s">
        <v>26801</v>
      </c>
      <c r="F6007" t="s">
        <v>26801</v>
      </c>
      <c r="G6007" s="1">
        <v>41059</v>
      </c>
      <c r="J6007" t="s">
        <v>30667</v>
      </c>
      <c r="K6007" t="s">
        <v>467</v>
      </c>
      <c r="L6007" t="s">
        <v>30668</v>
      </c>
      <c r="M6007">
        <v>324.97106000000002</v>
      </c>
      <c r="N6007" t="s">
        <v>30669</v>
      </c>
      <c r="O6007" t="s">
        <v>26</v>
      </c>
      <c r="R6007">
        <v>99</v>
      </c>
      <c r="T6007" t="s">
        <v>30670</v>
      </c>
    </row>
    <row r="6008" spans="1:20">
      <c r="A6008">
        <v>3412795</v>
      </c>
      <c r="B6008" t="s">
        <v>30671</v>
      </c>
      <c r="C6008" t="str">
        <f>"9780774822879"</f>
        <v>9780774822879</v>
      </c>
      <c r="D6008" t="str">
        <f>"9780774822893"</f>
        <v>9780774822893</v>
      </c>
      <c r="E6008" t="s">
        <v>26801</v>
      </c>
      <c r="F6008" t="s">
        <v>26801</v>
      </c>
      <c r="G6008" s="1">
        <v>41075</v>
      </c>
      <c r="J6008" t="s">
        <v>30672</v>
      </c>
      <c r="K6008" t="s">
        <v>291</v>
      </c>
      <c r="L6008" t="s">
        <v>30673</v>
      </c>
      <c r="M6008">
        <v>971.30049732999998</v>
      </c>
      <c r="N6008" t="s">
        <v>30674</v>
      </c>
      <c r="O6008" t="s">
        <v>26</v>
      </c>
      <c r="R6008">
        <v>99</v>
      </c>
      <c r="T6008" t="s">
        <v>30675</v>
      </c>
    </row>
    <row r="6009" spans="1:20">
      <c r="A6009">
        <v>3412796</v>
      </c>
      <c r="B6009" t="s">
        <v>30676</v>
      </c>
      <c r="C6009" t="str">
        <f>"9780774821681"</f>
        <v>9780774821681</v>
      </c>
      <c r="D6009" t="str">
        <f>"9780774821704"</f>
        <v>9780774821704</v>
      </c>
      <c r="E6009" t="s">
        <v>26801</v>
      </c>
      <c r="F6009" t="s">
        <v>26801</v>
      </c>
      <c r="G6009" s="1">
        <v>41044</v>
      </c>
      <c r="J6009" t="s">
        <v>30677</v>
      </c>
      <c r="K6009" t="s">
        <v>291</v>
      </c>
      <c r="L6009" t="s">
        <v>30678</v>
      </c>
      <c r="M6009">
        <v>971.1</v>
      </c>
      <c r="N6009" t="s">
        <v>30679</v>
      </c>
      <c r="O6009" t="s">
        <v>26</v>
      </c>
      <c r="R6009">
        <v>99</v>
      </c>
      <c r="T6009" t="s">
        <v>30680</v>
      </c>
    </row>
    <row r="6010" spans="1:20">
      <c r="A6010">
        <v>3412797</v>
      </c>
      <c r="B6010" t="s">
        <v>30681</v>
      </c>
      <c r="C6010" t="str">
        <f>"9780774822206"</f>
        <v>9780774822206</v>
      </c>
      <c r="D6010" t="str">
        <f>"9780774822220"</f>
        <v>9780774822220</v>
      </c>
      <c r="E6010" t="s">
        <v>26801</v>
      </c>
      <c r="F6010" t="s">
        <v>26801</v>
      </c>
      <c r="G6010" s="1">
        <v>41018</v>
      </c>
      <c r="J6010" t="s">
        <v>30682</v>
      </c>
      <c r="K6010" t="s">
        <v>263</v>
      </c>
      <c r="L6010" t="s">
        <v>30683</v>
      </c>
      <c r="M6010">
        <v>363.4</v>
      </c>
      <c r="N6010" t="s">
        <v>30684</v>
      </c>
      <c r="O6010" t="s">
        <v>26</v>
      </c>
      <c r="R6010">
        <v>99</v>
      </c>
      <c r="T6010" t="s">
        <v>30685</v>
      </c>
    </row>
    <row r="6011" spans="1:20">
      <c r="A6011">
        <v>3412798</v>
      </c>
      <c r="B6011" t="s">
        <v>30686</v>
      </c>
      <c r="C6011" t="str">
        <f>"9780774815666"</f>
        <v>9780774815666</v>
      </c>
      <c r="D6011" t="str">
        <f>"9780774815680"</f>
        <v>9780774815680</v>
      </c>
      <c r="E6011" t="s">
        <v>26801</v>
      </c>
      <c r="F6011" t="s">
        <v>26801</v>
      </c>
      <c r="G6011" s="1">
        <v>41275</v>
      </c>
      <c r="J6011" t="s">
        <v>30687</v>
      </c>
      <c r="K6011" t="s">
        <v>467</v>
      </c>
      <c r="L6011" t="s">
        <v>30688</v>
      </c>
      <c r="M6011">
        <v>325.7</v>
      </c>
      <c r="N6011" t="s">
        <v>30689</v>
      </c>
      <c r="O6011" t="s">
        <v>26</v>
      </c>
      <c r="R6011">
        <v>99</v>
      </c>
      <c r="T6011" t="s">
        <v>30690</v>
      </c>
    </row>
    <row r="6012" spans="1:20">
      <c r="A6012">
        <v>3412799</v>
      </c>
      <c r="B6012" t="s">
        <v>30691</v>
      </c>
      <c r="C6012" t="str">
        <f>"9780774821926"</f>
        <v>9780774821926</v>
      </c>
      <c r="D6012" t="str">
        <f>"9780774821940"</f>
        <v>9780774821940</v>
      </c>
      <c r="E6012" t="s">
        <v>26801</v>
      </c>
      <c r="F6012" t="s">
        <v>26801</v>
      </c>
      <c r="G6012" s="1">
        <v>40898</v>
      </c>
      <c r="J6012" t="s">
        <v>30692</v>
      </c>
      <c r="K6012" t="s">
        <v>263</v>
      </c>
      <c r="L6012" t="s">
        <v>30693</v>
      </c>
      <c r="M6012" t="s">
        <v>30694</v>
      </c>
      <c r="N6012" t="s">
        <v>30695</v>
      </c>
      <c r="O6012" t="s">
        <v>26</v>
      </c>
      <c r="R6012">
        <v>99</v>
      </c>
      <c r="T6012" t="s">
        <v>30696</v>
      </c>
    </row>
    <row r="6013" spans="1:20">
      <c r="A6013">
        <v>3412801</v>
      </c>
      <c r="B6013" t="s">
        <v>30697</v>
      </c>
      <c r="C6013" t="str">
        <f>"9780774823067"</f>
        <v>9780774823067</v>
      </c>
      <c r="D6013" t="str">
        <f>"9780774823081"</f>
        <v>9780774823081</v>
      </c>
      <c r="E6013" t="s">
        <v>26801</v>
      </c>
      <c r="F6013" t="s">
        <v>26801</v>
      </c>
      <c r="G6013" s="1">
        <v>41030</v>
      </c>
      <c r="I6013" t="s">
        <v>27576</v>
      </c>
      <c r="J6013" t="s">
        <v>30698</v>
      </c>
      <c r="K6013" t="s">
        <v>525</v>
      </c>
      <c r="L6013" t="s">
        <v>30699</v>
      </c>
      <c r="M6013">
        <v>343.71</v>
      </c>
      <c r="N6013" t="s">
        <v>30700</v>
      </c>
      <c r="O6013" t="s">
        <v>26</v>
      </c>
      <c r="R6013">
        <v>99</v>
      </c>
      <c r="T6013" t="s">
        <v>30701</v>
      </c>
    </row>
    <row r="6014" spans="1:20">
      <c r="A6014">
        <v>3412802</v>
      </c>
      <c r="B6014" t="s">
        <v>30702</v>
      </c>
      <c r="C6014" t="str">
        <f>"9780774822602"</f>
        <v>9780774822602</v>
      </c>
      <c r="D6014" t="str">
        <f>"9780774822626"</f>
        <v>9780774822626</v>
      </c>
      <c r="E6014" t="s">
        <v>26801</v>
      </c>
      <c r="F6014" t="s">
        <v>26801</v>
      </c>
      <c r="G6014" s="1">
        <v>41275</v>
      </c>
      <c r="J6014" t="s">
        <v>30703</v>
      </c>
      <c r="K6014" t="s">
        <v>7063</v>
      </c>
      <c r="L6014" t="s">
        <v>30704</v>
      </c>
      <c r="M6014">
        <v>327.71</v>
      </c>
      <c r="N6014" t="s">
        <v>30705</v>
      </c>
      <c r="O6014" t="s">
        <v>26</v>
      </c>
      <c r="R6014">
        <v>99</v>
      </c>
      <c r="T6014" t="s">
        <v>30706</v>
      </c>
    </row>
    <row r="6015" spans="1:20">
      <c r="A6015">
        <v>3412803</v>
      </c>
      <c r="B6015" t="s">
        <v>30707</v>
      </c>
      <c r="C6015" t="str">
        <f>"9780774822688"</f>
        <v>9780774822688</v>
      </c>
      <c r="D6015" t="str">
        <f>"9780774822701"</f>
        <v>9780774822701</v>
      </c>
      <c r="E6015" t="s">
        <v>26801</v>
      </c>
      <c r="F6015" t="s">
        <v>26801</v>
      </c>
      <c r="G6015" s="1">
        <v>41108</v>
      </c>
      <c r="I6015" t="s">
        <v>26843</v>
      </c>
      <c r="J6015" t="s">
        <v>30708</v>
      </c>
      <c r="K6015" t="s">
        <v>376</v>
      </c>
      <c r="L6015" t="s">
        <v>30709</v>
      </c>
      <c r="M6015">
        <v>363.19</v>
      </c>
      <c r="N6015" t="s">
        <v>30710</v>
      </c>
      <c r="O6015" t="s">
        <v>26</v>
      </c>
      <c r="R6015">
        <v>99</v>
      </c>
      <c r="T6015" t="s">
        <v>30711</v>
      </c>
    </row>
    <row r="6016" spans="1:20">
      <c r="A6016">
        <v>3412804</v>
      </c>
      <c r="B6016" t="s">
        <v>30712</v>
      </c>
      <c r="C6016" t="str">
        <f>"9780774823227"</f>
        <v>9780774823227</v>
      </c>
      <c r="D6016" t="str">
        <f>"9780774823241"</f>
        <v>9780774823241</v>
      </c>
      <c r="E6016" t="s">
        <v>26801</v>
      </c>
      <c r="F6016" t="s">
        <v>26801</v>
      </c>
      <c r="G6016" s="1">
        <v>41275</v>
      </c>
      <c r="J6016" t="s">
        <v>30713</v>
      </c>
      <c r="K6016" t="s">
        <v>525</v>
      </c>
      <c r="L6016" t="s">
        <v>30714</v>
      </c>
      <c r="M6016" t="s">
        <v>30715</v>
      </c>
      <c r="N6016" t="s">
        <v>30716</v>
      </c>
      <c r="O6016" t="s">
        <v>26</v>
      </c>
      <c r="R6016">
        <v>99</v>
      </c>
      <c r="T6016" t="s">
        <v>30717</v>
      </c>
    </row>
    <row r="6017" spans="1:20">
      <c r="A6017">
        <v>3412805</v>
      </c>
      <c r="B6017" t="s">
        <v>30718</v>
      </c>
      <c r="C6017" t="str">
        <f>"9780774824286"</f>
        <v>9780774824286</v>
      </c>
      <c r="D6017" t="str">
        <f>"9780774824309"</f>
        <v>9780774824309</v>
      </c>
      <c r="E6017" t="s">
        <v>26801</v>
      </c>
      <c r="F6017" t="s">
        <v>26801</v>
      </c>
      <c r="G6017" s="1">
        <v>41185</v>
      </c>
      <c r="I6017" t="s">
        <v>27129</v>
      </c>
      <c r="J6017" t="s">
        <v>29119</v>
      </c>
      <c r="K6017" t="s">
        <v>1082</v>
      </c>
      <c r="L6017" t="s">
        <v>30719</v>
      </c>
      <c r="M6017">
        <v>362.29209517999999</v>
      </c>
      <c r="N6017" t="s">
        <v>30720</v>
      </c>
      <c r="O6017" t="s">
        <v>26</v>
      </c>
      <c r="R6017">
        <v>99</v>
      </c>
      <c r="T6017" t="s">
        <v>30721</v>
      </c>
    </row>
    <row r="6018" spans="1:20">
      <c r="A6018">
        <v>3412806</v>
      </c>
      <c r="B6018" t="s">
        <v>30722</v>
      </c>
      <c r="C6018" t="str">
        <f>"9780774823302"</f>
        <v>9780774823302</v>
      </c>
      <c r="D6018" t="str">
        <f>"9780774823326"</f>
        <v>9780774823326</v>
      </c>
      <c r="E6018" t="s">
        <v>26801</v>
      </c>
      <c r="F6018" t="s">
        <v>26801</v>
      </c>
      <c r="G6018" s="1">
        <v>41275</v>
      </c>
      <c r="J6018" t="s">
        <v>30723</v>
      </c>
      <c r="K6018" t="s">
        <v>263</v>
      </c>
      <c r="L6018" t="s">
        <v>30724</v>
      </c>
      <c r="M6018" t="s">
        <v>30725</v>
      </c>
      <c r="N6018" t="s">
        <v>30726</v>
      </c>
      <c r="O6018" t="s">
        <v>26</v>
      </c>
      <c r="R6018">
        <v>99</v>
      </c>
      <c r="T6018" t="s">
        <v>30727</v>
      </c>
    </row>
    <row r="6019" spans="1:20">
      <c r="A6019">
        <v>3412807</v>
      </c>
      <c r="B6019" t="s">
        <v>30728</v>
      </c>
      <c r="C6019" t="str">
        <f>"9780774822442"</f>
        <v>9780774822442</v>
      </c>
      <c r="D6019" t="str">
        <f>"9780774822466"</f>
        <v>9780774822466</v>
      </c>
      <c r="E6019" t="s">
        <v>26801</v>
      </c>
      <c r="F6019" t="s">
        <v>26801</v>
      </c>
      <c r="G6019" s="1">
        <v>41183</v>
      </c>
      <c r="J6019" t="s">
        <v>30729</v>
      </c>
      <c r="K6019" t="s">
        <v>291</v>
      </c>
      <c r="L6019" t="s">
        <v>30730</v>
      </c>
      <c r="M6019">
        <v>970.00496999999996</v>
      </c>
      <c r="N6019" t="s">
        <v>30731</v>
      </c>
      <c r="O6019" t="s">
        <v>26</v>
      </c>
      <c r="R6019">
        <v>99</v>
      </c>
      <c r="T6019" t="s">
        <v>30732</v>
      </c>
    </row>
    <row r="6020" spans="1:20">
      <c r="A6020">
        <v>3412811</v>
      </c>
      <c r="B6020" t="s">
        <v>30733</v>
      </c>
      <c r="C6020" t="str">
        <f>"9780774823463"</f>
        <v>9780774823463</v>
      </c>
      <c r="D6020" t="str">
        <f>"9780774823487"</f>
        <v>9780774823487</v>
      </c>
      <c r="E6020" t="s">
        <v>26801</v>
      </c>
      <c r="F6020" t="s">
        <v>26801</v>
      </c>
      <c r="G6020" s="1">
        <v>41187</v>
      </c>
      <c r="J6020" t="s">
        <v>30734</v>
      </c>
      <c r="K6020" t="s">
        <v>1550</v>
      </c>
      <c r="L6020" t="s">
        <v>30735</v>
      </c>
      <c r="M6020">
        <v>305.488</v>
      </c>
      <c r="N6020" t="s">
        <v>30736</v>
      </c>
      <c r="O6020" t="s">
        <v>26</v>
      </c>
      <c r="R6020">
        <v>99</v>
      </c>
      <c r="T6020" t="s">
        <v>30737</v>
      </c>
    </row>
    <row r="6021" spans="1:20">
      <c r="A6021">
        <v>3412812</v>
      </c>
      <c r="B6021" t="s">
        <v>30738</v>
      </c>
      <c r="C6021" t="str">
        <f>"9780774823760"</f>
        <v>9780774823760</v>
      </c>
      <c r="D6021" t="str">
        <f>"9780774823784"</f>
        <v>9780774823784</v>
      </c>
      <c r="E6021" t="s">
        <v>26801</v>
      </c>
      <c r="F6021" t="s">
        <v>26801</v>
      </c>
      <c r="G6021" s="1">
        <v>41187</v>
      </c>
      <c r="J6021" t="s">
        <v>30739</v>
      </c>
      <c r="K6021" t="s">
        <v>467</v>
      </c>
      <c r="L6021" t="s">
        <v>30740</v>
      </c>
      <c r="M6021">
        <v>320.97109</v>
      </c>
      <c r="N6021" t="s">
        <v>30741</v>
      </c>
      <c r="O6021" t="s">
        <v>26</v>
      </c>
      <c r="R6021">
        <v>99</v>
      </c>
      <c r="T6021" t="s">
        <v>30742</v>
      </c>
    </row>
    <row r="6022" spans="1:20">
      <c r="A6022">
        <v>3412813</v>
      </c>
      <c r="B6022" t="s">
        <v>30743</v>
      </c>
      <c r="C6022" t="str">
        <f>"9780774822916"</f>
        <v>9780774822916</v>
      </c>
      <c r="D6022" t="str">
        <f>"9780774822930"</f>
        <v>9780774822930</v>
      </c>
      <c r="E6022" t="s">
        <v>26801</v>
      </c>
      <c r="F6022" t="s">
        <v>26801</v>
      </c>
      <c r="G6022" s="1">
        <v>41152</v>
      </c>
      <c r="J6022" t="s">
        <v>30744</v>
      </c>
      <c r="K6022" t="s">
        <v>416</v>
      </c>
      <c r="L6022" t="s">
        <v>30745</v>
      </c>
      <c r="M6022">
        <v>338.97118</v>
      </c>
      <c r="N6022" t="s">
        <v>30746</v>
      </c>
      <c r="O6022" t="s">
        <v>26</v>
      </c>
      <c r="R6022">
        <v>99</v>
      </c>
      <c r="T6022" t="s">
        <v>30747</v>
      </c>
    </row>
    <row r="6023" spans="1:20">
      <c r="A6023">
        <v>3412814</v>
      </c>
      <c r="B6023" t="s">
        <v>30748</v>
      </c>
      <c r="C6023" t="str">
        <f>"9780774823968"</f>
        <v>9780774823968</v>
      </c>
      <c r="D6023" t="str">
        <f>"9780774823982"</f>
        <v>9780774823982</v>
      </c>
      <c r="E6023" t="s">
        <v>26801</v>
      </c>
      <c r="F6023" t="s">
        <v>26801</v>
      </c>
      <c r="G6023" s="1">
        <v>41152</v>
      </c>
      <c r="J6023" t="s">
        <v>30749</v>
      </c>
      <c r="K6023" t="s">
        <v>257</v>
      </c>
      <c r="L6023" t="s">
        <v>30750</v>
      </c>
      <c r="M6023" t="s">
        <v>30751</v>
      </c>
      <c r="N6023" t="s">
        <v>30752</v>
      </c>
      <c r="O6023" t="s">
        <v>26</v>
      </c>
      <c r="R6023">
        <v>99</v>
      </c>
      <c r="T6023" t="s">
        <v>30753</v>
      </c>
    </row>
    <row r="6024" spans="1:20">
      <c r="A6024">
        <v>3412815</v>
      </c>
      <c r="B6024" t="s">
        <v>30754</v>
      </c>
      <c r="C6024" t="str">
        <f>"9780774823845"</f>
        <v>9780774823845</v>
      </c>
      <c r="D6024" t="str">
        <f>"9780774823869"</f>
        <v>9780774823869</v>
      </c>
      <c r="E6024" t="s">
        <v>26801</v>
      </c>
      <c r="F6024" t="s">
        <v>26801</v>
      </c>
      <c r="G6024" s="1">
        <v>41183</v>
      </c>
      <c r="I6024" t="s">
        <v>30755</v>
      </c>
      <c r="J6024" t="s">
        <v>30756</v>
      </c>
      <c r="K6024" t="s">
        <v>1550</v>
      </c>
      <c r="L6024" t="s">
        <v>30757</v>
      </c>
      <c r="M6024">
        <v>971.10040000000004</v>
      </c>
      <c r="N6024" t="s">
        <v>30758</v>
      </c>
      <c r="O6024" t="s">
        <v>26</v>
      </c>
      <c r="R6024">
        <v>99</v>
      </c>
      <c r="T6024" t="s">
        <v>30759</v>
      </c>
    </row>
    <row r="6025" spans="1:20">
      <c r="A6025">
        <v>3412816</v>
      </c>
      <c r="B6025" t="s">
        <v>30760</v>
      </c>
      <c r="C6025" t="str">
        <f>"9780774821018"</f>
        <v>9780774821018</v>
      </c>
      <c r="D6025" t="str">
        <f>"9780774821032"</f>
        <v>9780774821032</v>
      </c>
      <c r="E6025" t="s">
        <v>26801</v>
      </c>
      <c r="F6025" t="s">
        <v>26801</v>
      </c>
      <c r="G6025" s="1">
        <v>41121</v>
      </c>
      <c r="J6025" t="s">
        <v>30761</v>
      </c>
      <c r="K6025" t="s">
        <v>2154</v>
      </c>
      <c r="L6025" t="s">
        <v>30762</v>
      </c>
      <c r="M6025">
        <v>304.2</v>
      </c>
      <c r="N6025" t="s">
        <v>30763</v>
      </c>
      <c r="O6025" t="s">
        <v>26</v>
      </c>
      <c r="R6025">
        <v>99</v>
      </c>
      <c r="T6025" t="s">
        <v>30764</v>
      </c>
    </row>
    <row r="6026" spans="1:20">
      <c r="A6026">
        <v>3412817</v>
      </c>
      <c r="B6026" t="s">
        <v>30765</v>
      </c>
      <c r="C6026" t="str">
        <f>"9780774823388"</f>
        <v>9780774823388</v>
      </c>
      <c r="D6026" t="str">
        <f>"9780774823401"</f>
        <v>9780774823401</v>
      </c>
      <c r="E6026" t="s">
        <v>26801</v>
      </c>
      <c r="F6026" t="s">
        <v>26801</v>
      </c>
      <c r="G6026" s="1">
        <v>41205</v>
      </c>
      <c r="I6026" t="s">
        <v>27129</v>
      </c>
      <c r="J6026" t="s">
        <v>30766</v>
      </c>
      <c r="K6026" t="s">
        <v>10956</v>
      </c>
      <c r="L6026" t="s">
        <v>30767</v>
      </c>
      <c r="M6026">
        <v>79</v>
      </c>
      <c r="N6026" t="s">
        <v>30768</v>
      </c>
      <c r="O6026" t="s">
        <v>26</v>
      </c>
      <c r="R6026">
        <v>99</v>
      </c>
      <c r="T6026" t="s">
        <v>30769</v>
      </c>
    </row>
    <row r="6027" spans="1:20">
      <c r="A6027">
        <v>3412818</v>
      </c>
      <c r="B6027" t="s">
        <v>30770</v>
      </c>
      <c r="C6027" t="str">
        <f>"9780774823593"</f>
        <v>9780774823593</v>
      </c>
      <c r="D6027" t="str">
        <f>"9780774823616"</f>
        <v>9780774823616</v>
      </c>
      <c r="E6027" t="s">
        <v>26801</v>
      </c>
      <c r="F6027" t="s">
        <v>26801</v>
      </c>
      <c r="G6027" s="1">
        <v>41198</v>
      </c>
      <c r="I6027" t="s">
        <v>27576</v>
      </c>
      <c r="J6027" t="s">
        <v>30771</v>
      </c>
      <c r="K6027" t="s">
        <v>14194</v>
      </c>
      <c r="L6027" t="s">
        <v>30772</v>
      </c>
      <c r="M6027">
        <v>345.71026799999999</v>
      </c>
      <c r="N6027" t="s">
        <v>30773</v>
      </c>
      <c r="O6027" t="s">
        <v>26</v>
      </c>
      <c r="R6027">
        <v>99</v>
      </c>
      <c r="T6027" t="s">
        <v>30774</v>
      </c>
    </row>
    <row r="6028" spans="1:20">
      <c r="A6028">
        <v>3412819</v>
      </c>
      <c r="B6028" t="s">
        <v>30775</v>
      </c>
      <c r="C6028" t="str">
        <f>"9780774822527"</f>
        <v>9780774822527</v>
      </c>
      <c r="D6028" t="str">
        <f>"9780774822541"</f>
        <v>9780774822541</v>
      </c>
      <c r="E6028" t="s">
        <v>26801</v>
      </c>
      <c r="F6028" t="s">
        <v>26801</v>
      </c>
      <c r="G6028" s="1">
        <v>41183</v>
      </c>
      <c r="I6028" t="s">
        <v>27576</v>
      </c>
      <c r="J6028" t="s">
        <v>30776</v>
      </c>
      <c r="K6028" t="s">
        <v>525</v>
      </c>
      <c r="L6028" t="s">
        <v>30777</v>
      </c>
      <c r="M6028">
        <v>345</v>
      </c>
      <c r="N6028" t="s">
        <v>30778</v>
      </c>
      <c r="O6028" t="s">
        <v>26</v>
      </c>
      <c r="R6028">
        <v>99</v>
      </c>
      <c r="T6028" t="s">
        <v>30779</v>
      </c>
    </row>
    <row r="6029" spans="1:20">
      <c r="A6029">
        <v>3412820</v>
      </c>
      <c r="B6029" t="s">
        <v>30780</v>
      </c>
      <c r="C6029" t="str">
        <f>"9780774822657"</f>
        <v>9780774822657</v>
      </c>
      <c r="D6029" t="str">
        <f>"9780774822770"</f>
        <v>9780774822770</v>
      </c>
      <c r="E6029" t="s">
        <v>26801</v>
      </c>
      <c r="F6029" t="s">
        <v>26801</v>
      </c>
      <c r="G6029" s="1">
        <v>41456</v>
      </c>
      <c r="J6029" t="s">
        <v>30079</v>
      </c>
      <c r="K6029" t="s">
        <v>11294</v>
      </c>
      <c r="L6029" t="s">
        <v>30781</v>
      </c>
      <c r="M6029">
        <v>306.60000000000002</v>
      </c>
      <c r="N6029" t="s">
        <v>30782</v>
      </c>
      <c r="O6029" t="s">
        <v>26</v>
      </c>
      <c r="R6029">
        <v>99</v>
      </c>
      <c r="T6029" t="s">
        <v>30783</v>
      </c>
    </row>
    <row r="6030" spans="1:20">
      <c r="A6030">
        <v>3412821</v>
      </c>
      <c r="B6030" t="s">
        <v>30784</v>
      </c>
      <c r="C6030" t="str">
        <f>"9780774823920"</f>
        <v>9780774823920</v>
      </c>
      <c r="D6030" t="str">
        <f>"9780774823944"</f>
        <v>9780774823944</v>
      </c>
      <c r="E6030" t="s">
        <v>26801</v>
      </c>
      <c r="F6030" t="s">
        <v>26801</v>
      </c>
      <c r="G6030" s="1">
        <v>41456</v>
      </c>
      <c r="J6030" t="s">
        <v>30785</v>
      </c>
      <c r="K6030" t="s">
        <v>467</v>
      </c>
      <c r="L6030" t="s">
        <v>30786</v>
      </c>
      <c r="M6030">
        <v>325.7</v>
      </c>
      <c r="N6030" t="s">
        <v>30787</v>
      </c>
      <c r="O6030" t="s">
        <v>26</v>
      </c>
      <c r="R6030">
        <v>99</v>
      </c>
      <c r="T6030" t="s">
        <v>30788</v>
      </c>
    </row>
    <row r="6031" spans="1:20">
      <c r="A6031">
        <v>3412822</v>
      </c>
      <c r="B6031" t="s">
        <v>30789</v>
      </c>
      <c r="C6031" t="str">
        <f>"9780774824125"</f>
        <v>9780774824125</v>
      </c>
      <c r="D6031" t="str">
        <f>"9780774824149"</f>
        <v>9780774824149</v>
      </c>
      <c r="E6031" t="s">
        <v>26801</v>
      </c>
      <c r="F6031" t="s">
        <v>26801</v>
      </c>
      <c r="G6031" s="1">
        <v>41183</v>
      </c>
      <c r="I6031" t="s">
        <v>27576</v>
      </c>
      <c r="J6031" t="s">
        <v>27724</v>
      </c>
      <c r="K6031" t="s">
        <v>525</v>
      </c>
      <c r="L6031" t="s">
        <v>30790</v>
      </c>
      <c r="M6031">
        <v>344.71046000000001</v>
      </c>
      <c r="N6031" t="s">
        <v>30791</v>
      </c>
      <c r="O6031" t="s">
        <v>26</v>
      </c>
      <c r="R6031">
        <v>99</v>
      </c>
      <c r="T6031" t="s">
        <v>30792</v>
      </c>
    </row>
    <row r="6032" spans="1:20">
      <c r="A6032">
        <v>3412823</v>
      </c>
      <c r="B6032" t="s">
        <v>30793</v>
      </c>
      <c r="C6032" t="str">
        <f>"9780774824569"</f>
        <v>9780774824569</v>
      </c>
      <c r="D6032" t="str">
        <f>"9780774824583"</f>
        <v>9780774824583</v>
      </c>
      <c r="E6032" t="s">
        <v>26801</v>
      </c>
      <c r="F6032" t="s">
        <v>26801</v>
      </c>
      <c r="G6032" s="1">
        <v>41214</v>
      </c>
      <c r="I6032" t="s">
        <v>27576</v>
      </c>
      <c r="J6032" t="s">
        <v>30794</v>
      </c>
      <c r="K6032" t="s">
        <v>525</v>
      </c>
      <c r="L6032" t="s">
        <v>30795</v>
      </c>
      <c r="M6032">
        <v>342.71087199999999</v>
      </c>
      <c r="N6032" t="s">
        <v>30796</v>
      </c>
      <c r="O6032" t="s">
        <v>26</v>
      </c>
      <c r="R6032">
        <v>99</v>
      </c>
      <c r="T6032" t="s">
        <v>30797</v>
      </c>
    </row>
    <row r="6033" spans="1:20">
      <c r="A6033">
        <v>3412824</v>
      </c>
      <c r="B6033" t="s">
        <v>30798</v>
      </c>
      <c r="C6033" t="str">
        <f>"9780774823807"</f>
        <v>9780774823807</v>
      </c>
      <c r="D6033" t="str">
        <f>"9780774823821"</f>
        <v>9780774823821</v>
      </c>
      <c r="E6033" t="s">
        <v>26801</v>
      </c>
      <c r="F6033" t="s">
        <v>26801</v>
      </c>
      <c r="G6033" s="1">
        <v>41249</v>
      </c>
      <c r="J6033" t="s">
        <v>30799</v>
      </c>
      <c r="K6033" t="s">
        <v>263</v>
      </c>
      <c r="L6033" t="s">
        <v>30800</v>
      </c>
      <c r="M6033">
        <v>307.72097100000002</v>
      </c>
      <c r="N6033" t="s">
        <v>30801</v>
      </c>
      <c r="O6033" t="s">
        <v>26</v>
      </c>
      <c r="R6033">
        <v>99</v>
      </c>
      <c r="T6033" t="s">
        <v>30802</v>
      </c>
    </row>
    <row r="6034" spans="1:20">
      <c r="A6034">
        <v>3412825</v>
      </c>
      <c r="B6034" t="s">
        <v>30803</v>
      </c>
      <c r="C6034" t="str">
        <f>"9780774824002"</f>
        <v>9780774824002</v>
      </c>
      <c r="D6034" t="str">
        <f>"9780774824026"</f>
        <v>9780774824026</v>
      </c>
      <c r="E6034" t="s">
        <v>26801</v>
      </c>
      <c r="F6034" t="s">
        <v>26801</v>
      </c>
      <c r="G6034" s="1">
        <v>41244</v>
      </c>
      <c r="J6034" t="s">
        <v>30804</v>
      </c>
      <c r="K6034" t="s">
        <v>263</v>
      </c>
      <c r="L6034" t="s">
        <v>30805</v>
      </c>
      <c r="M6034">
        <v>306.87419999999997</v>
      </c>
      <c r="N6034" t="s">
        <v>30806</v>
      </c>
      <c r="O6034" t="s">
        <v>26</v>
      </c>
      <c r="R6034">
        <v>99</v>
      </c>
      <c r="T6034" t="s">
        <v>30807</v>
      </c>
    </row>
    <row r="6035" spans="1:20">
      <c r="A6035">
        <v>3412826</v>
      </c>
      <c r="B6035" t="s">
        <v>30808</v>
      </c>
      <c r="C6035" t="str">
        <f>"9780774823500"</f>
        <v>9780774823500</v>
      </c>
      <c r="D6035" t="str">
        <f>"9780774823524"</f>
        <v>9780774823524</v>
      </c>
      <c r="E6035" t="s">
        <v>26801</v>
      </c>
      <c r="F6035" t="s">
        <v>26801</v>
      </c>
      <c r="G6035" s="1">
        <v>41248</v>
      </c>
      <c r="I6035" t="s">
        <v>26935</v>
      </c>
      <c r="J6035" t="s">
        <v>30809</v>
      </c>
      <c r="K6035" t="s">
        <v>525</v>
      </c>
      <c r="L6035" t="s">
        <v>30810</v>
      </c>
      <c r="M6035">
        <v>347.71035000000001</v>
      </c>
      <c r="N6035" t="s">
        <v>30811</v>
      </c>
      <c r="O6035" t="s">
        <v>26</v>
      </c>
      <c r="R6035">
        <v>99</v>
      </c>
      <c r="T6035" t="s">
        <v>30812</v>
      </c>
    </row>
    <row r="6036" spans="1:20">
      <c r="A6036">
        <v>3412827</v>
      </c>
      <c r="B6036" t="s">
        <v>30813</v>
      </c>
      <c r="C6036" t="str">
        <f>"9780774824200"</f>
        <v>9780774824200</v>
      </c>
      <c r="D6036" t="str">
        <f>"9780774824224"</f>
        <v>9780774824224</v>
      </c>
      <c r="E6036" t="s">
        <v>26801</v>
      </c>
      <c r="F6036" t="s">
        <v>26801</v>
      </c>
      <c r="G6036" s="1">
        <v>41268</v>
      </c>
      <c r="J6036" t="s">
        <v>30814</v>
      </c>
      <c r="K6036" t="s">
        <v>3794</v>
      </c>
      <c r="L6036" t="s">
        <v>30815</v>
      </c>
      <c r="M6036">
        <v>796.08</v>
      </c>
      <c r="N6036" t="s">
        <v>30816</v>
      </c>
      <c r="O6036" t="s">
        <v>26</v>
      </c>
      <c r="R6036">
        <v>99</v>
      </c>
      <c r="T6036" t="s">
        <v>30817</v>
      </c>
    </row>
    <row r="6037" spans="1:20">
      <c r="A6037">
        <v>3412828</v>
      </c>
      <c r="B6037" t="s">
        <v>30818</v>
      </c>
      <c r="C6037" t="str">
        <f>"9780774824606"</f>
        <v>9780774824606</v>
      </c>
      <c r="D6037" t="str">
        <f>"9780774824620"</f>
        <v>9780774824620</v>
      </c>
      <c r="E6037" t="s">
        <v>26801</v>
      </c>
      <c r="F6037" t="s">
        <v>26801</v>
      </c>
      <c r="G6037" s="1">
        <v>41456</v>
      </c>
      <c r="J6037" t="s">
        <v>30819</v>
      </c>
      <c r="K6037" t="s">
        <v>27393</v>
      </c>
      <c r="L6037" t="s">
        <v>30820</v>
      </c>
      <c r="M6037">
        <v>303.483</v>
      </c>
      <c r="N6037" t="s">
        <v>30821</v>
      </c>
      <c r="O6037" t="s">
        <v>26</v>
      </c>
      <c r="R6037">
        <v>99</v>
      </c>
      <c r="T6037" t="s">
        <v>30822</v>
      </c>
    </row>
    <row r="6038" spans="1:20">
      <c r="A6038">
        <v>3412829</v>
      </c>
      <c r="B6038" t="s">
        <v>30823</v>
      </c>
      <c r="C6038" t="str">
        <f>"9780774823722"</f>
        <v>9780774823722</v>
      </c>
      <c r="D6038" t="str">
        <f>"9780774823746"</f>
        <v>9780774823746</v>
      </c>
      <c r="E6038" t="s">
        <v>26801</v>
      </c>
      <c r="F6038" t="s">
        <v>26801</v>
      </c>
      <c r="G6038" s="1">
        <v>41289</v>
      </c>
      <c r="I6038" t="s">
        <v>27129</v>
      </c>
      <c r="J6038" t="s">
        <v>30824</v>
      </c>
      <c r="K6038" t="s">
        <v>1464</v>
      </c>
      <c r="L6038" t="s">
        <v>30825</v>
      </c>
      <c r="M6038">
        <v>895.10900519999996</v>
      </c>
      <c r="N6038" t="s">
        <v>30826</v>
      </c>
      <c r="O6038" t="s">
        <v>26</v>
      </c>
      <c r="R6038">
        <v>99</v>
      </c>
      <c r="T6038" t="s">
        <v>30827</v>
      </c>
    </row>
    <row r="6039" spans="1:20">
      <c r="A6039">
        <v>3412830</v>
      </c>
      <c r="B6039" t="s">
        <v>30828</v>
      </c>
      <c r="C6039" t="str">
        <f>"9780774825283"</f>
        <v>9780774825283</v>
      </c>
      <c r="D6039" t="str">
        <f>"9780774825306"</f>
        <v>9780774825306</v>
      </c>
      <c r="E6039" t="s">
        <v>26801</v>
      </c>
      <c r="F6039" t="s">
        <v>26801</v>
      </c>
      <c r="G6039" s="1">
        <v>41275</v>
      </c>
      <c r="J6039" t="s">
        <v>30829</v>
      </c>
      <c r="K6039" t="s">
        <v>376</v>
      </c>
      <c r="L6039" t="s">
        <v>30830</v>
      </c>
      <c r="M6039">
        <v>613.70000000000005</v>
      </c>
      <c r="N6039" t="s">
        <v>30831</v>
      </c>
      <c r="O6039" t="s">
        <v>26</v>
      </c>
      <c r="R6039">
        <v>99</v>
      </c>
      <c r="T6039" t="s">
        <v>30832</v>
      </c>
    </row>
    <row r="6040" spans="1:20">
      <c r="A6040">
        <v>3412832</v>
      </c>
      <c r="B6040" t="s">
        <v>30833</v>
      </c>
      <c r="C6040" t="str">
        <f>"9780774824729"</f>
        <v>9780774824729</v>
      </c>
      <c r="D6040" t="str">
        <f>"9780774824743"</f>
        <v>9780774824743</v>
      </c>
      <c r="E6040" t="s">
        <v>26801</v>
      </c>
      <c r="F6040" t="s">
        <v>26801</v>
      </c>
      <c r="G6040" s="1">
        <v>41456</v>
      </c>
      <c r="J6040" t="s">
        <v>30834</v>
      </c>
      <c r="K6040" t="s">
        <v>416</v>
      </c>
      <c r="L6040" t="s">
        <v>30835</v>
      </c>
      <c r="M6040">
        <v>337</v>
      </c>
      <c r="N6040" t="s">
        <v>30836</v>
      </c>
      <c r="O6040" t="s">
        <v>26</v>
      </c>
      <c r="R6040">
        <v>99</v>
      </c>
      <c r="T6040" t="s">
        <v>30837</v>
      </c>
    </row>
    <row r="6041" spans="1:20">
      <c r="A6041">
        <v>3412833</v>
      </c>
      <c r="B6041" t="s">
        <v>30838</v>
      </c>
      <c r="C6041" t="str">
        <f>"9780774824088"</f>
        <v>9780774824088</v>
      </c>
      <c r="D6041" t="str">
        <f>"9780774824101"</f>
        <v>9780774824101</v>
      </c>
      <c r="E6041" t="s">
        <v>26801</v>
      </c>
      <c r="F6041" t="s">
        <v>26801</v>
      </c>
      <c r="G6041" s="1">
        <v>41334</v>
      </c>
      <c r="J6041" t="s">
        <v>30839</v>
      </c>
      <c r="K6041" t="s">
        <v>291</v>
      </c>
      <c r="L6041" t="s">
        <v>30840</v>
      </c>
      <c r="M6041">
        <v>971.06479999999999</v>
      </c>
      <c r="N6041" t="s">
        <v>30841</v>
      </c>
      <c r="O6041" t="s">
        <v>26</v>
      </c>
      <c r="R6041">
        <v>99</v>
      </c>
      <c r="T6041" t="s">
        <v>30842</v>
      </c>
    </row>
    <row r="6042" spans="1:20">
      <c r="A6042">
        <v>3412834</v>
      </c>
      <c r="B6042" t="s">
        <v>30843</v>
      </c>
      <c r="C6042" t="str">
        <f>"9780774824774"</f>
        <v>9780774824774</v>
      </c>
      <c r="D6042" t="str">
        <f>"9780774824798"</f>
        <v>9780774824798</v>
      </c>
      <c r="E6042" t="s">
        <v>26801</v>
      </c>
      <c r="F6042" t="s">
        <v>26801</v>
      </c>
      <c r="G6042" s="1">
        <v>41334</v>
      </c>
      <c r="I6042" t="s">
        <v>27576</v>
      </c>
      <c r="J6042" t="s">
        <v>30844</v>
      </c>
      <c r="K6042" t="s">
        <v>525</v>
      </c>
      <c r="L6042" t="s">
        <v>30845</v>
      </c>
      <c r="M6042">
        <v>342.7</v>
      </c>
      <c r="N6042" t="s">
        <v>30846</v>
      </c>
      <c r="O6042" t="s">
        <v>26</v>
      </c>
      <c r="R6042">
        <v>99</v>
      </c>
      <c r="T6042" t="s">
        <v>30847</v>
      </c>
    </row>
    <row r="6043" spans="1:20">
      <c r="A6043">
        <v>3412835</v>
      </c>
      <c r="B6043" t="s">
        <v>30848</v>
      </c>
      <c r="C6043" t="str">
        <f>"9780774822954"</f>
        <v>9780774822954</v>
      </c>
      <c r="D6043" t="str">
        <f>"9780774822978"</f>
        <v>9780774822978</v>
      </c>
      <c r="E6043" t="s">
        <v>26801</v>
      </c>
      <c r="F6043" t="s">
        <v>26801</v>
      </c>
      <c r="G6043" s="1">
        <v>41456</v>
      </c>
      <c r="J6043" t="s">
        <v>30849</v>
      </c>
      <c r="K6043" t="s">
        <v>291</v>
      </c>
      <c r="L6043" t="s">
        <v>30850</v>
      </c>
      <c r="M6043">
        <v>971.1</v>
      </c>
      <c r="N6043" t="s">
        <v>30851</v>
      </c>
      <c r="O6043" t="s">
        <v>26</v>
      </c>
      <c r="R6043">
        <v>99</v>
      </c>
      <c r="T6043" t="s">
        <v>30852</v>
      </c>
    </row>
    <row r="6044" spans="1:20">
      <c r="A6044">
        <v>3412836</v>
      </c>
      <c r="B6044" t="s">
        <v>30853</v>
      </c>
      <c r="C6044" t="str">
        <f>"9780774824040"</f>
        <v>9780774824040</v>
      </c>
      <c r="D6044" t="str">
        <f>"9780774824064"</f>
        <v>9780774824064</v>
      </c>
      <c r="E6044" t="s">
        <v>26801</v>
      </c>
      <c r="F6044" t="s">
        <v>26801</v>
      </c>
      <c r="G6044" s="1">
        <v>41331</v>
      </c>
      <c r="J6044" t="s">
        <v>30854</v>
      </c>
      <c r="K6044" t="s">
        <v>525</v>
      </c>
      <c r="L6044" t="s">
        <v>30855</v>
      </c>
      <c r="M6044">
        <v>346.7</v>
      </c>
      <c r="N6044" t="s">
        <v>30856</v>
      </c>
      <c r="O6044" t="s">
        <v>26</v>
      </c>
      <c r="R6044">
        <v>99</v>
      </c>
      <c r="T6044" t="s">
        <v>30857</v>
      </c>
    </row>
    <row r="6045" spans="1:20">
      <c r="A6045">
        <v>3412837</v>
      </c>
      <c r="B6045" t="s">
        <v>30858</v>
      </c>
      <c r="C6045" t="str">
        <f>"9780774823265"</f>
        <v>9780774823265</v>
      </c>
      <c r="D6045" t="str">
        <f>"9780774823289"</f>
        <v>9780774823289</v>
      </c>
      <c r="E6045" t="s">
        <v>26801</v>
      </c>
      <c r="F6045" t="s">
        <v>26801</v>
      </c>
      <c r="G6045" s="1">
        <v>41334</v>
      </c>
      <c r="I6045" t="s">
        <v>27576</v>
      </c>
      <c r="J6045" t="s">
        <v>30859</v>
      </c>
      <c r="K6045" t="s">
        <v>257</v>
      </c>
      <c r="L6045" t="s">
        <v>30860</v>
      </c>
      <c r="M6045">
        <v>373</v>
      </c>
      <c r="N6045" t="s">
        <v>30861</v>
      </c>
      <c r="O6045" t="s">
        <v>26</v>
      </c>
      <c r="R6045">
        <v>99</v>
      </c>
      <c r="T6045" t="s">
        <v>30862</v>
      </c>
    </row>
    <row r="6046" spans="1:20">
      <c r="A6046">
        <v>3412838</v>
      </c>
      <c r="B6046" t="s">
        <v>30863</v>
      </c>
      <c r="C6046" t="str">
        <f>"9780774824361"</f>
        <v>9780774824361</v>
      </c>
      <c r="D6046" t="str">
        <f>"9780774824385"</f>
        <v>9780774824385</v>
      </c>
      <c r="E6046" t="s">
        <v>26801</v>
      </c>
      <c r="F6046" t="s">
        <v>26801</v>
      </c>
      <c r="G6046" s="1">
        <v>41320</v>
      </c>
      <c r="J6046" t="s">
        <v>30864</v>
      </c>
      <c r="K6046" t="s">
        <v>291</v>
      </c>
      <c r="L6046" t="s">
        <v>30865</v>
      </c>
      <c r="M6046">
        <v>940.54886999999997</v>
      </c>
      <c r="N6046" t="s">
        <v>30866</v>
      </c>
      <c r="O6046" t="s">
        <v>26</v>
      </c>
      <c r="R6046">
        <v>99</v>
      </c>
      <c r="T6046" t="s">
        <v>30867</v>
      </c>
    </row>
    <row r="6047" spans="1:20">
      <c r="A6047">
        <v>3412839</v>
      </c>
      <c r="B6047" t="s">
        <v>30868</v>
      </c>
      <c r="C6047" t="str">
        <f>"9780774823685"</f>
        <v>9780774823685</v>
      </c>
      <c r="D6047" t="str">
        <f>"9780774823708"</f>
        <v>9780774823708</v>
      </c>
      <c r="E6047" t="s">
        <v>26801</v>
      </c>
      <c r="F6047" t="s">
        <v>26801</v>
      </c>
      <c r="G6047" s="1">
        <v>41340</v>
      </c>
      <c r="I6047" t="s">
        <v>27129</v>
      </c>
      <c r="J6047" t="s">
        <v>30869</v>
      </c>
      <c r="K6047" t="s">
        <v>1550</v>
      </c>
      <c r="L6047" t="s">
        <v>30870</v>
      </c>
      <c r="M6047">
        <v>305.80090000000001</v>
      </c>
      <c r="N6047" t="s">
        <v>30871</v>
      </c>
      <c r="O6047" t="s">
        <v>26</v>
      </c>
      <c r="R6047">
        <v>99</v>
      </c>
      <c r="T6047" t="s">
        <v>30872</v>
      </c>
    </row>
    <row r="6048" spans="1:20">
      <c r="A6048">
        <v>3412840</v>
      </c>
      <c r="B6048" t="s">
        <v>30873</v>
      </c>
      <c r="C6048" t="str">
        <f>"9780774824484"</f>
        <v>9780774824484</v>
      </c>
      <c r="D6048" t="str">
        <f>"9780774824507"</f>
        <v>9780774824507</v>
      </c>
      <c r="E6048" t="s">
        <v>26801</v>
      </c>
      <c r="F6048" t="s">
        <v>26801</v>
      </c>
      <c r="G6048" s="1">
        <v>41395</v>
      </c>
      <c r="I6048" t="s">
        <v>27736</v>
      </c>
      <c r="J6048" t="s">
        <v>30874</v>
      </c>
      <c r="K6048" t="s">
        <v>263</v>
      </c>
      <c r="L6048" t="s">
        <v>30875</v>
      </c>
      <c r="M6048">
        <v>306.74</v>
      </c>
      <c r="N6048" t="s">
        <v>30876</v>
      </c>
      <c r="O6048" t="s">
        <v>26</v>
      </c>
      <c r="R6048">
        <v>99</v>
      </c>
      <c r="T6048" t="s">
        <v>30877</v>
      </c>
    </row>
    <row r="6049" spans="1:20">
      <c r="A6049">
        <v>3412841</v>
      </c>
      <c r="B6049" t="s">
        <v>30878</v>
      </c>
      <c r="C6049" t="str">
        <f>"9780774823104"</f>
        <v>9780774823104</v>
      </c>
      <c r="D6049" t="str">
        <f>"9780774823128"</f>
        <v>9780774823128</v>
      </c>
      <c r="E6049" t="s">
        <v>26801</v>
      </c>
      <c r="F6049" t="s">
        <v>26801</v>
      </c>
      <c r="G6049" s="1">
        <v>41346</v>
      </c>
      <c r="J6049" t="s">
        <v>30879</v>
      </c>
      <c r="K6049" t="s">
        <v>76</v>
      </c>
      <c r="L6049" t="s">
        <v>30880</v>
      </c>
      <c r="M6049">
        <v>630.9</v>
      </c>
      <c r="N6049" t="s">
        <v>30881</v>
      </c>
      <c r="O6049" t="s">
        <v>26</v>
      </c>
      <c r="R6049">
        <v>99</v>
      </c>
      <c r="T6049" t="s">
        <v>30882</v>
      </c>
    </row>
    <row r="6050" spans="1:20">
      <c r="A6050">
        <v>3412842</v>
      </c>
      <c r="B6050" t="s">
        <v>30883</v>
      </c>
      <c r="C6050" t="str">
        <f>"9780774824408"</f>
        <v>9780774824408</v>
      </c>
      <c r="D6050" t="str">
        <f>"9780774824422"</f>
        <v>9780774824422</v>
      </c>
      <c r="E6050" t="s">
        <v>26801</v>
      </c>
      <c r="F6050" t="s">
        <v>26801</v>
      </c>
      <c r="G6050" s="1">
        <v>41365</v>
      </c>
      <c r="J6050" t="s">
        <v>30884</v>
      </c>
      <c r="K6050" t="s">
        <v>6444</v>
      </c>
      <c r="L6050" t="s">
        <v>30885</v>
      </c>
      <c r="M6050">
        <v>323.11</v>
      </c>
      <c r="N6050" t="s">
        <v>30886</v>
      </c>
      <c r="O6050" t="s">
        <v>26</v>
      </c>
      <c r="R6050">
        <v>99</v>
      </c>
      <c r="T6050" t="s">
        <v>30887</v>
      </c>
    </row>
    <row r="6051" spans="1:20">
      <c r="A6051">
        <v>3412843</v>
      </c>
      <c r="B6051" t="s">
        <v>30888</v>
      </c>
      <c r="C6051" t="str">
        <f>"9780774825559"</f>
        <v>9780774825559</v>
      </c>
      <c r="D6051" t="str">
        <f>"9780774825573"</f>
        <v>9780774825573</v>
      </c>
      <c r="E6051" t="s">
        <v>26801</v>
      </c>
      <c r="F6051" t="s">
        <v>26801</v>
      </c>
      <c r="G6051" s="1">
        <v>41395</v>
      </c>
      <c r="J6051" t="s">
        <v>30889</v>
      </c>
      <c r="K6051" t="s">
        <v>291</v>
      </c>
      <c r="L6051" t="s">
        <v>30890</v>
      </c>
      <c r="M6051">
        <v>970.3</v>
      </c>
      <c r="N6051" t="s">
        <v>30891</v>
      </c>
      <c r="O6051" t="s">
        <v>26</v>
      </c>
      <c r="R6051">
        <v>99</v>
      </c>
      <c r="T6051" t="s">
        <v>30892</v>
      </c>
    </row>
    <row r="6052" spans="1:20">
      <c r="A6052">
        <v>3412844</v>
      </c>
      <c r="B6052" t="s">
        <v>30893</v>
      </c>
      <c r="C6052" t="str">
        <f>"9780774824644"</f>
        <v>9780774824644</v>
      </c>
      <c r="D6052" t="str">
        <f>"9780774824668"</f>
        <v>9780774824668</v>
      </c>
      <c r="E6052" t="s">
        <v>26801</v>
      </c>
      <c r="F6052" t="s">
        <v>26801</v>
      </c>
      <c r="G6052" s="1">
        <v>41386</v>
      </c>
      <c r="J6052" t="s">
        <v>30894</v>
      </c>
      <c r="K6052" t="s">
        <v>1550</v>
      </c>
      <c r="L6052" t="s">
        <v>30895</v>
      </c>
      <c r="M6052">
        <v>305.89699999999999</v>
      </c>
      <c r="N6052" t="s">
        <v>30896</v>
      </c>
      <c r="O6052" t="s">
        <v>26</v>
      </c>
      <c r="R6052">
        <v>99</v>
      </c>
      <c r="T6052" t="s">
        <v>30897</v>
      </c>
    </row>
    <row r="6053" spans="1:20">
      <c r="A6053">
        <v>3412846</v>
      </c>
      <c r="B6053" t="s">
        <v>30898</v>
      </c>
      <c r="C6053" t="str">
        <f>"9780774824163"</f>
        <v>9780774824163</v>
      </c>
      <c r="D6053" t="str">
        <f>"9780774824187"</f>
        <v>9780774824187</v>
      </c>
      <c r="E6053" t="s">
        <v>26801</v>
      </c>
      <c r="F6053" t="s">
        <v>26801</v>
      </c>
      <c r="G6053" s="1">
        <v>41395</v>
      </c>
      <c r="I6053" t="s">
        <v>27495</v>
      </c>
      <c r="J6053" t="s">
        <v>30899</v>
      </c>
      <c r="K6053" t="s">
        <v>423</v>
      </c>
      <c r="L6053" t="s">
        <v>30900</v>
      </c>
      <c r="M6053">
        <v>333.91399999999999</v>
      </c>
      <c r="N6053" t="s">
        <v>30901</v>
      </c>
      <c r="O6053" t="s">
        <v>26</v>
      </c>
      <c r="R6053">
        <v>99</v>
      </c>
      <c r="T6053" t="s">
        <v>30902</v>
      </c>
    </row>
    <row r="6054" spans="1:20">
      <c r="A6054">
        <v>3412847</v>
      </c>
      <c r="B6054" t="s">
        <v>30903</v>
      </c>
      <c r="C6054" t="str">
        <f>"9780774824941"</f>
        <v>9780774824941</v>
      </c>
      <c r="D6054" t="str">
        <f>"9780774824958"</f>
        <v>9780774824958</v>
      </c>
      <c r="E6054" t="s">
        <v>26801</v>
      </c>
      <c r="F6054" t="s">
        <v>26801</v>
      </c>
      <c r="G6054" s="1">
        <v>41640</v>
      </c>
      <c r="J6054" t="s">
        <v>30904</v>
      </c>
      <c r="K6054" t="s">
        <v>263</v>
      </c>
      <c r="L6054" t="s">
        <v>30905</v>
      </c>
      <c r="M6054">
        <v>305.8</v>
      </c>
      <c r="N6054" t="s">
        <v>30906</v>
      </c>
      <c r="O6054" t="s">
        <v>26</v>
      </c>
      <c r="R6054">
        <v>99</v>
      </c>
      <c r="T6054" t="s">
        <v>30907</v>
      </c>
    </row>
    <row r="6055" spans="1:20">
      <c r="A6055">
        <v>3412849</v>
      </c>
      <c r="B6055" t="s">
        <v>30908</v>
      </c>
      <c r="C6055" t="str">
        <f>"9780774825368"</f>
        <v>9780774825368</v>
      </c>
      <c r="D6055" t="str">
        <f>"9780774825382"</f>
        <v>9780774825382</v>
      </c>
      <c r="E6055" t="s">
        <v>26801</v>
      </c>
      <c r="F6055" t="s">
        <v>26801</v>
      </c>
      <c r="G6055" s="1">
        <v>41423</v>
      </c>
      <c r="I6055" t="s">
        <v>27576</v>
      </c>
      <c r="J6055" t="s">
        <v>30909</v>
      </c>
      <c r="K6055" t="s">
        <v>263</v>
      </c>
      <c r="L6055" t="s">
        <v>30910</v>
      </c>
      <c r="M6055">
        <v>364.8</v>
      </c>
      <c r="N6055" t="s">
        <v>30911</v>
      </c>
      <c r="O6055" t="s">
        <v>26</v>
      </c>
      <c r="R6055">
        <v>99</v>
      </c>
      <c r="T6055" t="s">
        <v>30912</v>
      </c>
    </row>
    <row r="6056" spans="1:20">
      <c r="A6056">
        <v>3412850</v>
      </c>
      <c r="B6056" t="s">
        <v>30913</v>
      </c>
      <c r="C6056" t="str">
        <f>"9780774821414"</f>
        <v>9780774821414</v>
      </c>
      <c r="D6056" t="str">
        <f>"9780774821421"</f>
        <v>9780774821421</v>
      </c>
      <c r="E6056" t="s">
        <v>26801</v>
      </c>
      <c r="F6056" t="s">
        <v>26801</v>
      </c>
      <c r="G6056" s="1">
        <v>41773</v>
      </c>
      <c r="I6056" t="s">
        <v>27495</v>
      </c>
      <c r="J6056" t="s">
        <v>30914</v>
      </c>
      <c r="K6056" t="s">
        <v>30915</v>
      </c>
      <c r="L6056" t="s">
        <v>30916</v>
      </c>
      <c r="M6056">
        <v>333.95416</v>
      </c>
      <c r="N6056" t="s">
        <v>30917</v>
      </c>
      <c r="O6056" t="s">
        <v>26</v>
      </c>
      <c r="R6056">
        <v>99</v>
      </c>
      <c r="T6056" t="s">
        <v>30918</v>
      </c>
    </row>
    <row r="6057" spans="1:20">
      <c r="A6057">
        <v>3412851</v>
      </c>
      <c r="B6057" t="s">
        <v>30919</v>
      </c>
      <c r="C6057" t="str">
        <f>"9780774825085"</f>
        <v>9780774825085</v>
      </c>
      <c r="D6057" t="str">
        <f>"9780774825108"</f>
        <v>9780774825108</v>
      </c>
      <c r="E6057" t="s">
        <v>26801</v>
      </c>
      <c r="F6057" t="s">
        <v>26801</v>
      </c>
      <c r="G6057" s="1">
        <v>41415</v>
      </c>
      <c r="I6057" t="s">
        <v>30755</v>
      </c>
      <c r="J6057" t="s">
        <v>30920</v>
      </c>
      <c r="K6057" t="s">
        <v>1530</v>
      </c>
      <c r="L6057" t="s">
        <v>30921</v>
      </c>
      <c r="M6057">
        <v>305.89699999999999</v>
      </c>
      <c r="N6057" t="s">
        <v>30922</v>
      </c>
      <c r="O6057" t="s">
        <v>26</v>
      </c>
      <c r="R6057">
        <v>99</v>
      </c>
      <c r="T6057" t="s">
        <v>30923</v>
      </c>
    </row>
    <row r="6058" spans="1:20">
      <c r="A6058">
        <v>3412852</v>
      </c>
      <c r="B6058" t="s">
        <v>30924</v>
      </c>
      <c r="C6058" t="str">
        <f>"9780774825528"</f>
        <v>9780774825528</v>
      </c>
      <c r="D6058" t="str">
        <f>"9780774825535"</f>
        <v>9780774825535</v>
      </c>
      <c r="E6058" t="s">
        <v>26801</v>
      </c>
      <c r="F6058" t="s">
        <v>26801</v>
      </c>
      <c r="G6058" s="1">
        <v>41487</v>
      </c>
      <c r="J6058" t="s">
        <v>30925</v>
      </c>
      <c r="K6058" t="s">
        <v>376</v>
      </c>
      <c r="L6058" t="s">
        <v>30926</v>
      </c>
      <c r="M6058">
        <v>363.8</v>
      </c>
      <c r="N6058" t="s">
        <v>30927</v>
      </c>
      <c r="O6058" t="s">
        <v>26</v>
      </c>
      <c r="R6058">
        <v>99</v>
      </c>
      <c r="T6058" t="s">
        <v>30928</v>
      </c>
    </row>
    <row r="6059" spans="1:20">
      <c r="A6059">
        <v>3412853</v>
      </c>
      <c r="B6059" t="s">
        <v>30929</v>
      </c>
      <c r="C6059" t="str">
        <f>"9780774825207"</f>
        <v>9780774825207</v>
      </c>
      <c r="D6059" t="str">
        <f>"9780774825221"</f>
        <v>9780774825221</v>
      </c>
      <c r="E6059" t="s">
        <v>26801</v>
      </c>
      <c r="F6059" t="s">
        <v>26801</v>
      </c>
      <c r="G6059" s="1">
        <v>41425</v>
      </c>
      <c r="J6059" t="s">
        <v>30930</v>
      </c>
      <c r="K6059" t="s">
        <v>263</v>
      </c>
      <c r="L6059" t="s">
        <v>30931</v>
      </c>
      <c r="M6059">
        <v>305.43</v>
      </c>
      <c r="N6059" t="s">
        <v>30932</v>
      </c>
      <c r="O6059" t="s">
        <v>26</v>
      </c>
      <c r="R6059">
        <v>99</v>
      </c>
      <c r="T6059" t="s">
        <v>30933</v>
      </c>
    </row>
    <row r="6060" spans="1:20">
      <c r="A6060">
        <v>3412854</v>
      </c>
      <c r="B6060" t="s">
        <v>30934</v>
      </c>
      <c r="C6060" t="str">
        <f>"9780774824903"</f>
        <v>9780774824903</v>
      </c>
      <c r="D6060" t="str">
        <f>"9780774824910"</f>
        <v>9780774824910</v>
      </c>
      <c r="E6060" t="s">
        <v>26801</v>
      </c>
      <c r="F6060" t="s">
        <v>26801</v>
      </c>
      <c r="G6060" s="1">
        <v>41773</v>
      </c>
      <c r="J6060" t="s">
        <v>20627</v>
      </c>
      <c r="K6060" t="s">
        <v>473</v>
      </c>
      <c r="L6060" t="s">
        <v>30935</v>
      </c>
      <c r="M6060">
        <v>322.42</v>
      </c>
      <c r="N6060" t="s">
        <v>30936</v>
      </c>
      <c r="O6060" t="s">
        <v>26</v>
      </c>
      <c r="R6060">
        <v>99</v>
      </c>
      <c r="T6060" t="s">
        <v>30937</v>
      </c>
    </row>
    <row r="6061" spans="1:20">
      <c r="A6061">
        <v>3412857</v>
      </c>
      <c r="B6061" t="s">
        <v>30938</v>
      </c>
      <c r="C6061" t="str">
        <f>"9780774824828"</f>
        <v>9780774824828</v>
      </c>
      <c r="D6061" t="str">
        <f>"9780774824835"</f>
        <v>9780774824835</v>
      </c>
      <c r="E6061" t="s">
        <v>26801</v>
      </c>
      <c r="F6061" t="s">
        <v>26801</v>
      </c>
      <c r="G6061" s="1">
        <v>41395</v>
      </c>
      <c r="I6061" t="s">
        <v>27129</v>
      </c>
      <c r="J6061" t="s">
        <v>30939</v>
      </c>
      <c r="K6061" t="s">
        <v>1150</v>
      </c>
      <c r="L6061" t="s">
        <v>30940</v>
      </c>
      <c r="N6061" t="s">
        <v>30941</v>
      </c>
      <c r="O6061" t="s">
        <v>26</v>
      </c>
      <c r="R6061">
        <v>99</v>
      </c>
      <c r="T6061" t="s">
        <v>30942</v>
      </c>
    </row>
    <row r="6062" spans="1:20">
      <c r="A6062">
        <v>3412858</v>
      </c>
      <c r="B6062" t="s">
        <v>30943</v>
      </c>
      <c r="C6062" t="str">
        <f>"9780774824699"</f>
        <v>9780774824699</v>
      </c>
      <c r="D6062" t="str">
        <f>"9780774824705"</f>
        <v>9780774824705</v>
      </c>
      <c r="E6062" t="s">
        <v>26801</v>
      </c>
      <c r="F6062" t="s">
        <v>26801</v>
      </c>
      <c r="G6062" s="1">
        <v>41395</v>
      </c>
      <c r="J6062" t="s">
        <v>30944</v>
      </c>
      <c r="K6062" t="s">
        <v>305</v>
      </c>
      <c r="L6062" t="s">
        <v>30945</v>
      </c>
      <c r="N6062" t="s">
        <v>30946</v>
      </c>
      <c r="O6062" t="s">
        <v>26</v>
      </c>
      <c r="R6062">
        <v>99</v>
      </c>
      <c r="T6062" t="s">
        <v>30947</v>
      </c>
    </row>
    <row r="6063" spans="1:20">
      <c r="A6063">
        <v>3412860</v>
      </c>
      <c r="B6063" t="s">
        <v>30948</v>
      </c>
      <c r="C6063" t="str">
        <f>"9780774825689"</f>
        <v>9780774825689</v>
      </c>
      <c r="D6063" t="str">
        <f>"9780774825696"</f>
        <v>9780774825696</v>
      </c>
      <c r="E6063" t="s">
        <v>26801</v>
      </c>
      <c r="F6063" t="s">
        <v>26801</v>
      </c>
      <c r="G6063" s="1">
        <v>41773</v>
      </c>
      <c r="I6063" t="s">
        <v>29997</v>
      </c>
      <c r="J6063" t="s">
        <v>30949</v>
      </c>
      <c r="K6063" t="s">
        <v>525</v>
      </c>
      <c r="L6063" t="s">
        <v>30950</v>
      </c>
      <c r="M6063">
        <v>343.71</v>
      </c>
      <c r="N6063" t="s">
        <v>30951</v>
      </c>
      <c r="O6063" t="s">
        <v>26</v>
      </c>
      <c r="R6063">
        <v>99</v>
      </c>
      <c r="T6063" t="s">
        <v>30952</v>
      </c>
    </row>
    <row r="6064" spans="1:20">
      <c r="A6064">
        <v>3412864</v>
      </c>
      <c r="B6064" t="s">
        <v>30953</v>
      </c>
      <c r="C6064" t="str">
        <f>"9780774816533"</f>
        <v>9780774816533</v>
      </c>
      <c r="D6064" t="str">
        <f>"9780774816557"</f>
        <v>9780774816557</v>
      </c>
      <c r="E6064" t="s">
        <v>26801</v>
      </c>
      <c r="F6064" t="s">
        <v>26801</v>
      </c>
      <c r="G6064" s="1">
        <v>40848</v>
      </c>
      <c r="I6064" t="s">
        <v>27129</v>
      </c>
      <c r="J6064" t="s">
        <v>30954</v>
      </c>
      <c r="K6064" t="s">
        <v>291</v>
      </c>
      <c r="L6064" t="s">
        <v>30955</v>
      </c>
      <c r="M6064" t="s">
        <v>30956</v>
      </c>
      <c r="N6064" t="s">
        <v>30957</v>
      </c>
      <c r="O6064" t="s">
        <v>26</v>
      </c>
      <c r="R6064">
        <v>110</v>
      </c>
      <c r="T6064" t="s">
        <v>30958</v>
      </c>
    </row>
    <row r="6065" spans="1:20">
      <c r="A6065">
        <v>3412865</v>
      </c>
      <c r="B6065" t="s">
        <v>30959</v>
      </c>
      <c r="C6065" t="str">
        <f>"9780774826044"</f>
        <v>9780774826044</v>
      </c>
      <c r="D6065" t="str">
        <f>"9780774826051"</f>
        <v>9780774826051</v>
      </c>
      <c r="E6065" t="s">
        <v>26801</v>
      </c>
      <c r="F6065" t="s">
        <v>26801</v>
      </c>
      <c r="G6065" s="1">
        <v>41773</v>
      </c>
      <c r="J6065" t="s">
        <v>27093</v>
      </c>
      <c r="K6065" t="s">
        <v>416</v>
      </c>
      <c r="L6065" t="s">
        <v>30960</v>
      </c>
      <c r="M6065">
        <v>338.91</v>
      </c>
      <c r="N6065" t="s">
        <v>30961</v>
      </c>
      <c r="O6065" t="s">
        <v>26</v>
      </c>
      <c r="R6065">
        <v>99</v>
      </c>
      <c r="T6065" t="s">
        <v>30962</v>
      </c>
    </row>
    <row r="6066" spans="1:20">
      <c r="A6066">
        <v>3412866</v>
      </c>
      <c r="B6066" t="s">
        <v>30963</v>
      </c>
      <c r="C6066" t="str">
        <f>"9780774825245"</f>
        <v>9780774825245</v>
      </c>
      <c r="D6066" t="str">
        <f>"9780774825269"</f>
        <v>9780774825269</v>
      </c>
      <c r="E6066" t="s">
        <v>26801</v>
      </c>
      <c r="F6066" t="s">
        <v>26801</v>
      </c>
      <c r="G6066" s="1">
        <v>41537</v>
      </c>
      <c r="J6066" t="s">
        <v>30964</v>
      </c>
      <c r="K6066" t="s">
        <v>291</v>
      </c>
      <c r="L6066" t="s">
        <v>30965</v>
      </c>
      <c r="M6066">
        <v>971.06439999999998</v>
      </c>
      <c r="N6066" t="s">
        <v>30966</v>
      </c>
      <c r="O6066" t="s">
        <v>26</v>
      </c>
      <c r="R6066">
        <v>99</v>
      </c>
      <c r="T6066" t="s">
        <v>30967</v>
      </c>
    </row>
    <row r="6067" spans="1:20">
      <c r="A6067">
        <v>3412867</v>
      </c>
      <c r="B6067" t="s">
        <v>30968</v>
      </c>
      <c r="C6067" t="str">
        <f>"9780774818728"</f>
        <v>9780774818728</v>
      </c>
      <c r="D6067" t="str">
        <f>"9780774818735"</f>
        <v>9780774818735</v>
      </c>
      <c r="E6067" t="s">
        <v>26801</v>
      </c>
      <c r="F6067" t="s">
        <v>26801</v>
      </c>
      <c r="G6067" s="1">
        <v>40544</v>
      </c>
      <c r="J6067" t="s">
        <v>30969</v>
      </c>
      <c r="K6067" t="s">
        <v>263</v>
      </c>
      <c r="L6067" t="s">
        <v>30970</v>
      </c>
      <c r="M6067" t="s">
        <v>30971</v>
      </c>
      <c r="N6067" t="s">
        <v>30972</v>
      </c>
      <c r="O6067" t="s">
        <v>26</v>
      </c>
      <c r="R6067">
        <v>99</v>
      </c>
      <c r="T6067" t="s">
        <v>30973</v>
      </c>
    </row>
    <row r="6068" spans="1:20">
      <c r="A6068">
        <v>3412868</v>
      </c>
      <c r="B6068" t="s">
        <v>30974</v>
      </c>
      <c r="C6068" t="str">
        <f>"9780774817424"</f>
        <v>9780774817424</v>
      </c>
      <c r="D6068" t="str">
        <f>"9780774817431"</f>
        <v>9780774817431</v>
      </c>
      <c r="E6068" t="s">
        <v>26801</v>
      </c>
      <c r="F6068" t="s">
        <v>26801</v>
      </c>
      <c r="G6068" s="1">
        <v>40360</v>
      </c>
      <c r="J6068" t="s">
        <v>13403</v>
      </c>
      <c r="K6068" t="s">
        <v>291</v>
      </c>
      <c r="L6068" t="s">
        <v>30975</v>
      </c>
      <c r="M6068" t="s">
        <v>30976</v>
      </c>
      <c r="N6068" t="s">
        <v>30977</v>
      </c>
      <c r="O6068" t="s">
        <v>26</v>
      </c>
      <c r="R6068">
        <v>99</v>
      </c>
      <c r="T6068" t="s">
        <v>30978</v>
      </c>
    </row>
    <row r="6069" spans="1:20">
      <c r="A6069">
        <v>3412869</v>
      </c>
      <c r="B6069" t="s">
        <v>30979</v>
      </c>
      <c r="C6069" t="str">
        <f>"9780774826129"</f>
        <v>9780774826129</v>
      </c>
      <c r="D6069" t="str">
        <f>"9780774826136"</f>
        <v>9780774826136</v>
      </c>
      <c r="E6069" t="s">
        <v>26801</v>
      </c>
      <c r="F6069" t="s">
        <v>26801</v>
      </c>
      <c r="G6069" s="1">
        <v>41773</v>
      </c>
      <c r="I6069" t="s">
        <v>27736</v>
      </c>
      <c r="J6069" t="s">
        <v>30980</v>
      </c>
      <c r="K6069" t="s">
        <v>263</v>
      </c>
      <c r="L6069" t="s">
        <v>30981</v>
      </c>
      <c r="M6069">
        <v>306.74</v>
      </c>
      <c r="N6069" t="s">
        <v>30982</v>
      </c>
      <c r="O6069" t="s">
        <v>26</v>
      </c>
      <c r="R6069">
        <v>99</v>
      </c>
      <c r="T6069" t="s">
        <v>30983</v>
      </c>
    </row>
    <row r="6070" spans="1:20">
      <c r="A6070">
        <v>3412870</v>
      </c>
      <c r="B6070" t="s">
        <v>30984</v>
      </c>
      <c r="C6070" t="str">
        <f>"9780774825054"</f>
        <v>9780774825054</v>
      </c>
      <c r="D6070" t="str">
        <f>"9780774825061"</f>
        <v>9780774825061</v>
      </c>
      <c r="E6070" t="s">
        <v>26801</v>
      </c>
      <c r="F6070" t="s">
        <v>26801</v>
      </c>
      <c r="G6070" s="1">
        <v>41817</v>
      </c>
      <c r="J6070" t="s">
        <v>30062</v>
      </c>
      <c r="K6070" t="s">
        <v>278</v>
      </c>
      <c r="L6070" t="s">
        <v>30985</v>
      </c>
      <c r="M6070">
        <v>338.47660000000002</v>
      </c>
      <c r="N6070" t="s">
        <v>30986</v>
      </c>
      <c r="O6070" t="s">
        <v>26</v>
      </c>
      <c r="R6070">
        <v>99</v>
      </c>
      <c r="T6070" t="s">
        <v>30987</v>
      </c>
    </row>
    <row r="6071" spans="1:20">
      <c r="A6071">
        <v>3412871</v>
      </c>
      <c r="B6071" t="s">
        <v>30988</v>
      </c>
      <c r="C6071" t="str">
        <f>"9780774825320"</f>
        <v>9780774825320</v>
      </c>
      <c r="D6071" t="str">
        <f>"9780774825344"</f>
        <v>9780774825344</v>
      </c>
      <c r="E6071" t="s">
        <v>26801</v>
      </c>
      <c r="F6071" t="s">
        <v>26801</v>
      </c>
      <c r="G6071" s="1">
        <v>41545</v>
      </c>
      <c r="J6071" t="s">
        <v>30989</v>
      </c>
      <c r="K6071" t="s">
        <v>30990</v>
      </c>
      <c r="L6071" t="s">
        <v>30991</v>
      </c>
      <c r="M6071">
        <v>338.27</v>
      </c>
      <c r="N6071" t="s">
        <v>30992</v>
      </c>
      <c r="O6071" t="s">
        <v>26</v>
      </c>
      <c r="R6071">
        <v>99</v>
      </c>
      <c r="T6071" t="s">
        <v>30993</v>
      </c>
    </row>
    <row r="6072" spans="1:20">
      <c r="A6072">
        <v>3412873</v>
      </c>
      <c r="B6072" t="s">
        <v>30994</v>
      </c>
      <c r="C6072" t="str">
        <f>"9780774825122"</f>
        <v>9780774825122</v>
      </c>
      <c r="D6072" t="str">
        <f>"9780774825146"</f>
        <v>9780774825146</v>
      </c>
      <c r="E6072" t="s">
        <v>26801</v>
      </c>
      <c r="F6072" t="s">
        <v>26801</v>
      </c>
      <c r="G6072" s="1">
        <v>41572</v>
      </c>
      <c r="I6072" t="s">
        <v>30995</v>
      </c>
      <c r="J6072" t="s">
        <v>30996</v>
      </c>
      <c r="K6072" t="s">
        <v>14398</v>
      </c>
      <c r="L6072" t="s">
        <v>30997</v>
      </c>
      <c r="M6072" t="s">
        <v>6361</v>
      </c>
      <c r="N6072" t="s">
        <v>30998</v>
      </c>
      <c r="O6072" t="s">
        <v>26</v>
      </c>
      <c r="R6072">
        <v>99</v>
      </c>
      <c r="T6072" t="s">
        <v>30999</v>
      </c>
    </row>
    <row r="6073" spans="1:20">
      <c r="A6073">
        <v>3412874</v>
      </c>
      <c r="B6073" t="s">
        <v>31000</v>
      </c>
      <c r="C6073" t="str">
        <f>"9780774826396"</f>
        <v>9780774826396</v>
      </c>
      <c r="D6073" t="str">
        <f>"9780774826419"</f>
        <v>9780774826419</v>
      </c>
      <c r="E6073" t="s">
        <v>26801</v>
      </c>
      <c r="F6073" t="s">
        <v>26801</v>
      </c>
      <c r="G6073" s="1">
        <v>41579</v>
      </c>
      <c r="I6073" t="s">
        <v>29997</v>
      </c>
      <c r="J6073" t="s">
        <v>31001</v>
      </c>
      <c r="K6073" t="s">
        <v>4347</v>
      </c>
      <c r="L6073" t="s">
        <v>31002</v>
      </c>
      <c r="M6073">
        <v>355.00970999999998</v>
      </c>
      <c r="N6073" t="s">
        <v>31003</v>
      </c>
      <c r="O6073" t="s">
        <v>26</v>
      </c>
      <c r="R6073">
        <v>99</v>
      </c>
      <c r="T6073" t="s">
        <v>31004</v>
      </c>
    </row>
    <row r="6074" spans="1:20">
      <c r="A6074">
        <v>3412875</v>
      </c>
      <c r="B6074" t="s">
        <v>31005</v>
      </c>
      <c r="C6074" t="str">
        <f>"9780774823630"</f>
        <v>9780774823630</v>
      </c>
      <c r="D6074" t="str">
        <f>"9780774823654"</f>
        <v>9780774823654</v>
      </c>
      <c r="E6074" t="s">
        <v>26801</v>
      </c>
      <c r="F6074" t="s">
        <v>26801</v>
      </c>
      <c r="G6074" s="1">
        <v>41568</v>
      </c>
      <c r="I6074" t="s">
        <v>29997</v>
      </c>
      <c r="J6074" t="s">
        <v>31006</v>
      </c>
      <c r="K6074" t="s">
        <v>899</v>
      </c>
      <c r="L6074" t="s">
        <v>31007</v>
      </c>
      <c r="M6074">
        <v>306.3</v>
      </c>
      <c r="N6074" t="s">
        <v>31008</v>
      </c>
      <c r="O6074" t="s">
        <v>26</v>
      </c>
      <c r="R6074">
        <v>99</v>
      </c>
      <c r="T6074" t="s">
        <v>31009</v>
      </c>
    </row>
    <row r="6075" spans="1:20">
      <c r="A6075">
        <v>3412878</v>
      </c>
      <c r="B6075" t="s">
        <v>31010</v>
      </c>
      <c r="C6075" t="str">
        <f>"9780774824989"</f>
        <v>9780774824989</v>
      </c>
      <c r="D6075" t="str">
        <f>"9780774824996"</f>
        <v>9780774824996</v>
      </c>
      <c r="E6075" t="s">
        <v>26801</v>
      </c>
      <c r="F6075" t="s">
        <v>26801</v>
      </c>
      <c r="G6075" s="1">
        <v>41821</v>
      </c>
      <c r="I6075" t="s">
        <v>27576</v>
      </c>
      <c r="J6075" t="s">
        <v>31011</v>
      </c>
      <c r="K6075" t="s">
        <v>263</v>
      </c>
      <c r="L6075" t="s">
        <v>31012</v>
      </c>
      <c r="M6075">
        <v>364.971</v>
      </c>
      <c r="N6075" t="s">
        <v>31013</v>
      </c>
      <c r="O6075" t="s">
        <v>26</v>
      </c>
      <c r="R6075">
        <v>99</v>
      </c>
      <c r="T6075" t="s">
        <v>31014</v>
      </c>
    </row>
    <row r="6076" spans="1:20">
      <c r="A6076">
        <v>3412880</v>
      </c>
      <c r="B6076" t="s">
        <v>31015</v>
      </c>
      <c r="C6076" t="str">
        <f>"9780774825795"</f>
        <v>9780774825795</v>
      </c>
      <c r="D6076" t="str">
        <f>"9780774825818"</f>
        <v>9780774825818</v>
      </c>
      <c r="E6076" t="s">
        <v>26801</v>
      </c>
      <c r="F6076" t="s">
        <v>26801</v>
      </c>
      <c r="G6076" s="1">
        <v>41579</v>
      </c>
      <c r="J6076" t="s">
        <v>31016</v>
      </c>
      <c r="K6076" t="s">
        <v>1530</v>
      </c>
      <c r="L6076" t="s">
        <v>31017</v>
      </c>
      <c r="M6076">
        <v>305.488</v>
      </c>
      <c r="N6076" t="s">
        <v>31018</v>
      </c>
      <c r="O6076" t="s">
        <v>26</v>
      </c>
      <c r="R6076">
        <v>99</v>
      </c>
      <c r="T6076" t="s">
        <v>31019</v>
      </c>
    </row>
    <row r="6077" spans="1:20">
      <c r="A6077">
        <v>3412881</v>
      </c>
      <c r="B6077" t="s">
        <v>31020</v>
      </c>
      <c r="C6077" t="str">
        <f>"9780774825924"</f>
        <v>9780774825924</v>
      </c>
      <c r="D6077" t="str">
        <f>"9780774825931"</f>
        <v>9780774825931</v>
      </c>
      <c r="E6077" t="s">
        <v>26801</v>
      </c>
      <c r="F6077" t="s">
        <v>26801</v>
      </c>
      <c r="G6077" s="1">
        <v>41821</v>
      </c>
      <c r="I6077" t="s">
        <v>27129</v>
      </c>
      <c r="J6077" t="s">
        <v>31021</v>
      </c>
      <c r="K6077" t="s">
        <v>1530</v>
      </c>
      <c r="L6077" t="s">
        <v>31022</v>
      </c>
      <c r="M6077">
        <v>305.80090000000001</v>
      </c>
      <c r="N6077" t="s">
        <v>31023</v>
      </c>
      <c r="O6077" t="s">
        <v>26</v>
      </c>
      <c r="R6077">
        <v>99</v>
      </c>
      <c r="T6077" t="s">
        <v>31024</v>
      </c>
    </row>
    <row r="6078" spans="1:20">
      <c r="A6078">
        <v>3412885</v>
      </c>
      <c r="B6078" t="s">
        <v>31025</v>
      </c>
      <c r="C6078" t="str">
        <f>"9780774824521"</f>
        <v>9780774824521</v>
      </c>
      <c r="D6078" t="str">
        <f>"9780774824545"</f>
        <v>9780774824545</v>
      </c>
      <c r="E6078" t="s">
        <v>26801</v>
      </c>
      <c r="F6078" t="s">
        <v>26801</v>
      </c>
      <c r="G6078" s="1">
        <v>41487</v>
      </c>
      <c r="I6078" t="s">
        <v>29997</v>
      </c>
      <c r="J6078" t="s">
        <v>29182</v>
      </c>
      <c r="K6078" t="s">
        <v>4347</v>
      </c>
      <c r="L6078" t="s">
        <v>31026</v>
      </c>
      <c r="M6078">
        <v>355.37</v>
      </c>
      <c r="N6078" t="s">
        <v>31027</v>
      </c>
      <c r="O6078" t="s">
        <v>26</v>
      </c>
      <c r="R6078">
        <v>99</v>
      </c>
      <c r="T6078" t="s">
        <v>31028</v>
      </c>
    </row>
    <row r="6079" spans="1:20">
      <c r="A6079">
        <v>3412886</v>
      </c>
      <c r="B6079" t="s">
        <v>31029</v>
      </c>
      <c r="C6079" t="str">
        <f>"9780774825450"</f>
        <v>9780774825450</v>
      </c>
      <c r="D6079" t="str">
        <f>"9780774825467"</f>
        <v>9780774825467</v>
      </c>
      <c r="E6079" t="s">
        <v>26801</v>
      </c>
      <c r="F6079" t="s">
        <v>26801</v>
      </c>
      <c r="G6079" s="1">
        <v>41640</v>
      </c>
      <c r="I6079" t="s">
        <v>27482</v>
      </c>
      <c r="J6079" t="s">
        <v>31030</v>
      </c>
      <c r="K6079" t="s">
        <v>291</v>
      </c>
      <c r="L6079" t="s">
        <v>31031</v>
      </c>
      <c r="M6079">
        <v>940.54049999999995</v>
      </c>
      <c r="N6079" t="s">
        <v>31032</v>
      </c>
      <c r="O6079" t="s">
        <v>26</v>
      </c>
      <c r="R6079">
        <v>99</v>
      </c>
      <c r="T6079" t="s">
        <v>31033</v>
      </c>
    </row>
    <row r="6080" spans="1:20">
      <c r="A6080">
        <v>3412888</v>
      </c>
      <c r="B6080" t="s">
        <v>31034</v>
      </c>
      <c r="C6080" t="str">
        <f>"9780774826686"</f>
        <v>9780774826686</v>
      </c>
      <c r="D6080" t="str">
        <f>"9780774826693"</f>
        <v>9780774826693</v>
      </c>
      <c r="E6080" t="s">
        <v>26801</v>
      </c>
      <c r="F6080" t="s">
        <v>26801</v>
      </c>
      <c r="G6080" s="1">
        <v>41821</v>
      </c>
      <c r="J6080" t="s">
        <v>31035</v>
      </c>
      <c r="K6080" t="s">
        <v>263</v>
      </c>
      <c r="L6080" t="s">
        <v>31036</v>
      </c>
      <c r="M6080">
        <v>307.76089999999999</v>
      </c>
      <c r="N6080" t="s">
        <v>31037</v>
      </c>
      <c r="O6080" t="s">
        <v>26</v>
      </c>
      <c r="R6080">
        <v>99</v>
      </c>
      <c r="T6080" t="s">
        <v>31038</v>
      </c>
    </row>
    <row r="6081" spans="1:20">
      <c r="A6081">
        <v>3412889</v>
      </c>
      <c r="B6081" t="s">
        <v>31039</v>
      </c>
      <c r="C6081" t="str">
        <f>"9780774826150"</f>
        <v>9780774826150</v>
      </c>
      <c r="D6081" t="str">
        <f>"9780774826174"</f>
        <v>9780774826174</v>
      </c>
      <c r="E6081" t="s">
        <v>26801</v>
      </c>
      <c r="F6081" t="s">
        <v>26801</v>
      </c>
      <c r="G6081" s="1">
        <v>41604</v>
      </c>
      <c r="J6081" t="s">
        <v>31040</v>
      </c>
      <c r="K6081" t="s">
        <v>263</v>
      </c>
      <c r="L6081" t="s">
        <v>31041</v>
      </c>
      <c r="M6081">
        <v>306.84230000000002</v>
      </c>
      <c r="N6081" t="s">
        <v>31042</v>
      </c>
      <c r="O6081" t="s">
        <v>26</v>
      </c>
      <c r="R6081">
        <v>99</v>
      </c>
      <c r="T6081" t="s">
        <v>31043</v>
      </c>
    </row>
    <row r="6082" spans="1:20">
      <c r="A6082">
        <v>3412890</v>
      </c>
      <c r="B6082" t="s">
        <v>31044</v>
      </c>
      <c r="C6082" t="str">
        <f>"9780774823555"</f>
        <v>9780774823555</v>
      </c>
      <c r="D6082" t="str">
        <f>"9780774823579"</f>
        <v>9780774823579</v>
      </c>
      <c r="E6082" t="s">
        <v>26801</v>
      </c>
      <c r="F6082" t="s">
        <v>26801</v>
      </c>
      <c r="G6082" s="1">
        <v>41671</v>
      </c>
      <c r="I6082" t="s">
        <v>27443</v>
      </c>
      <c r="J6082" t="s">
        <v>31045</v>
      </c>
      <c r="K6082" t="s">
        <v>2260</v>
      </c>
      <c r="L6082" t="s">
        <v>31046</v>
      </c>
      <c r="M6082">
        <v>617</v>
      </c>
      <c r="N6082" t="s">
        <v>31047</v>
      </c>
      <c r="O6082" t="s">
        <v>26</v>
      </c>
      <c r="R6082">
        <v>199</v>
      </c>
      <c r="T6082" t="s">
        <v>31048</v>
      </c>
    </row>
    <row r="6083" spans="1:20">
      <c r="A6083">
        <v>3412892</v>
      </c>
      <c r="B6083" t="s">
        <v>31049</v>
      </c>
      <c r="C6083" t="str">
        <f>"9780774817172"</f>
        <v>9780774817172</v>
      </c>
      <c r="D6083" t="str">
        <f>"9780774817196"</f>
        <v>9780774817196</v>
      </c>
      <c r="E6083" t="s">
        <v>26801</v>
      </c>
      <c r="F6083" t="s">
        <v>26801</v>
      </c>
      <c r="G6083" s="1">
        <v>40087</v>
      </c>
      <c r="I6083" t="s">
        <v>30208</v>
      </c>
      <c r="J6083" t="s">
        <v>31050</v>
      </c>
      <c r="K6083" t="s">
        <v>467</v>
      </c>
      <c r="L6083" t="s">
        <v>31051</v>
      </c>
      <c r="M6083">
        <v>327.10000000000002</v>
      </c>
      <c r="N6083" t="s">
        <v>31052</v>
      </c>
      <c r="O6083" t="s">
        <v>26</v>
      </c>
      <c r="R6083">
        <v>99</v>
      </c>
      <c r="T6083" t="s">
        <v>31053</v>
      </c>
    </row>
    <row r="6084" spans="1:20">
      <c r="A6084">
        <v>3412893</v>
      </c>
      <c r="B6084" t="s">
        <v>31054</v>
      </c>
      <c r="C6084" t="str">
        <f>"9780774818131"</f>
        <v>9780774818131</v>
      </c>
      <c r="D6084" t="str">
        <f>"9780774818155"</f>
        <v>9780774818155</v>
      </c>
      <c r="E6084" t="s">
        <v>26801</v>
      </c>
      <c r="F6084" t="s">
        <v>26801</v>
      </c>
      <c r="G6084" s="1">
        <v>40544</v>
      </c>
      <c r="J6084" t="s">
        <v>31055</v>
      </c>
      <c r="K6084" t="s">
        <v>550</v>
      </c>
      <c r="L6084" t="s">
        <v>31056</v>
      </c>
      <c r="M6084" t="s">
        <v>31057</v>
      </c>
      <c r="N6084" t="s">
        <v>31058</v>
      </c>
      <c r="O6084" t="s">
        <v>26</v>
      </c>
      <c r="R6084">
        <v>99</v>
      </c>
      <c r="T6084" t="s">
        <v>31059</v>
      </c>
    </row>
    <row r="6085" spans="1:20">
      <c r="A6085">
        <v>3412894</v>
      </c>
      <c r="B6085" t="s">
        <v>31060</v>
      </c>
      <c r="C6085" t="str">
        <f>"9780774818445"</f>
        <v>9780774818445</v>
      </c>
      <c r="D6085" t="str">
        <f>"9780774818452"</f>
        <v>9780774818452</v>
      </c>
      <c r="E6085" t="s">
        <v>26801</v>
      </c>
      <c r="F6085" t="s">
        <v>26801</v>
      </c>
      <c r="G6085" s="1">
        <v>40422</v>
      </c>
      <c r="J6085" t="s">
        <v>31061</v>
      </c>
      <c r="K6085" t="s">
        <v>291</v>
      </c>
      <c r="L6085" t="s">
        <v>31062</v>
      </c>
      <c r="M6085" t="s">
        <v>6633</v>
      </c>
      <c r="N6085" t="s">
        <v>31063</v>
      </c>
      <c r="O6085" t="s">
        <v>26</v>
      </c>
      <c r="R6085">
        <v>110</v>
      </c>
      <c r="T6085" t="s">
        <v>31064</v>
      </c>
    </row>
    <row r="6086" spans="1:20">
      <c r="A6086">
        <v>3412895</v>
      </c>
      <c r="B6086" t="s">
        <v>31065</v>
      </c>
      <c r="C6086" t="str">
        <f>"9780774819008"</f>
        <v>9780774819008</v>
      </c>
      <c r="D6086" t="str">
        <f>"9780774819015"</f>
        <v>9780774819015</v>
      </c>
      <c r="E6086" t="s">
        <v>26801</v>
      </c>
      <c r="F6086" t="s">
        <v>26801</v>
      </c>
      <c r="G6086" s="1">
        <v>40725</v>
      </c>
      <c r="I6086" t="s">
        <v>29997</v>
      </c>
      <c r="J6086" t="s">
        <v>31066</v>
      </c>
      <c r="K6086" t="s">
        <v>7732</v>
      </c>
      <c r="L6086" t="s">
        <v>31067</v>
      </c>
      <c r="M6086" t="s">
        <v>31068</v>
      </c>
      <c r="N6086" t="s">
        <v>31069</v>
      </c>
      <c r="O6086" t="s">
        <v>26</v>
      </c>
      <c r="R6086">
        <v>99</v>
      </c>
      <c r="T6086" t="s">
        <v>31070</v>
      </c>
    </row>
    <row r="6087" spans="1:20">
      <c r="A6087">
        <v>3412896</v>
      </c>
      <c r="B6087" t="s">
        <v>31071</v>
      </c>
      <c r="C6087" t="str">
        <f>"9780774817899"</f>
        <v>9780774817899</v>
      </c>
      <c r="D6087" t="str">
        <f>"9780774817912"</f>
        <v>9780774817912</v>
      </c>
      <c r="E6087" t="s">
        <v>26801</v>
      </c>
      <c r="F6087" t="s">
        <v>26801</v>
      </c>
      <c r="G6087" s="1">
        <v>40319</v>
      </c>
      <c r="J6087" t="s">
        <v>31072</v>
      </c>
      <c r="K6087" t="s">
        <v>525</v>
      </c>
      <c r="L6087" t="s">
        <v>31073</v>
      </c>
      <c r="M6087" t="s">
        <v>31074</v>
      </c>
      <c r="N6087" t="s">
        <v>31075</v>
      </c>
      <c r="O6087" t="s">
        <v>26</v>
      </c>
      <c r="R6087">
        <v>99</v>
      </c>
      <c r="T6087" t="s">
        <v>31076</v>
      </c>
    </row>
    <row r="6088" spans="1:20">
      <c r="A6088">
        <v>3412897</v>
      </c>
      <c r="B6088" t="s">
        <v>31077</v>
      </c>
      <c r="C6088" t="str">
        <f>"9780774818841"</f>
        <v>9780774818841</v>
      </c>
      <c r="D6088" t="str">
        <f>"9780774818858"</f>
        <v>9780774818858</v>
      </c>
      <c r="E6088" t="s">
        <v>26801</v>
      </c>
      <c r="F6088" t="s">
        <v>26801</v>
      </c>
      <c r="G6088" s="1">
        <v>40725</v>
      </c>
      <c r="J6088" t="s">
        <v>31078</v>
      </c>
      <c r="K6088" t="s">
        <v>1214</v>
      </c>
      <c r="L6088" t="s">
        <v>31079</v>
      </c>
      <c r="M6088" t="s">
        <v>31080</v>
      </c>
      <c r="N6088" t="s">
        <v>31081</v>
      </c>
      <c r="O6088" t="s">
        <v>26</v>
      </c>
      <c r="R6088">
        <v>99</v>
      </c>
      <c r="T6088" t="s">
        <v>31082</v>
      </c>
    </row>
    <row r="6089" spans="1:20">
      <c r="A6089">
        <v>3412898</v>
      </c>
      <c r="B6089" t="s">
        <v>31083</v>
      </c>
      <c r="C6089" t="str">
        <f>"9780774818681"</f>
        <v>9780774818681</v>
      </c>
      <c r="D6089" t="str">
        <f>"9780774818698"</f>
        <v>9780774818698</v>
      </c>
      <c r="E6089" t="s">
        <v>26801</v>
      </c>
      <c r="F6089" t="s">
        <v>26801</v>
      </c>
      <c r="G6089" s="1">
        <v>40725</v>
      </c>
      <c r="J6089" t="s">
        <v>31084</v>
      </c>
      <c r="K6089" t="s">
        <v>2963</v>
      </c>
      <c r="L6089" t="s">
        <v>31085</v>
      </c>
      <c r="M6089" t="s">
        <v>31086</v>
      </c>
      <c r="N6089" t="s">
        <v>31087</v>
      </c>
      <c r="O6089" t="s">
        <v>26</v>
      </c>
      <c r="R6089">
        <v>99</v>
      </c>
      <c r="T6089" t="s">
        <v>31088</v>
      </c>
    </row>
    <row r="6090" spans="1:20">
      <c r="A6090">
        <v>3412899</v>
      </c>
      <c r="B6090" t="s">
        <v>31089</v>
      </c>
      <c r="C6090" t="str">
        <f>"9780774815437"</f>
        <v>9780774815437</v>
      </c>
      <c r="D6090" t="str">
        <f>"9780774815444"</f>
        <v>9780774815444</v>
      </c>
      <c r="E6090" t="s">
        <v>26801</v>
      </c>
      <c r="F6090" t="s">
        <v>26801</v>
      </c>
      <c r="G6090" s="1">
        <v>40360</v>
      </c>
      <c r="I6090" t="s">
        <v>27129</v>
      </c>
      <c r="J6090" t="s">
        <v>31090</v>
      </c>
      <c r="K6090" t="s">
        <v>1471</v>
      </c>
      <c r="L6090" t="s">
        <v>31091</v>
      </c>
      <c r="M6090" t="s">
        <v>31092</v>
      </c>
      <c r="N6090" t="s">
        <v>31093</v>
      </c>
      <c r="O6090" t="s">
        <v>26</v>
      </c>
      <c r="R6090">
        <v>99</v>
      </c>
      <c r="T6090" t="s">
        <v>31094</v>
      </c>
    </row>
    <row r="6091" spans="1:20">
      <c r="A6091">
        <v>3412900</v>
      </c>
      <c r="B6091" t="s">
        <v>31095</v>
      </c>
      <c r="C6091" t="str">
        <f>"9780774817387"</f>
        <v>9780774817387</v>
      </c>
      <c r="D6091" t="str">
        <f>"9780774817400"</f>
        <v>9780774817400</v>
      </c>
      <c r="E6091" t="s">
        <v>26801</v>
      </c>
      <c r="F6091" t="s">
        <v>26801</v>
      </c>
      <c r="G6091" s="1">
        <v>40269</v>
      </c>
      <c r="I6091" t="s">
        <v>27736</v>
      </c>
      <c r="J6091" t="s">
        <v>31096</v>
      </c>
      <c r="K6091" t="s">
        <v>263</v>
      </c>
      <c r="L6091" t="s">
        <v>31097</v>
      </c>
      <c r="M6091" t="s">
        <v>31098</v>
      </c>
      <c r="N6091" t="s">
        <v>31099</v>
      </c>
      <c r="O6091" t="s">
        <v>26</v>
      </c>
      <c r="R6091">
        <v>99</v>
      </c>
      <c r="T6091" t="s">
        <v>31100</v>
      </c>
    </row>
    <row r="6092" spans="1:20">
      <c r="A6092">
        <v>3412902</v>
      </c>
      <c r="B6092" t="s">
        <v>31101</v>
      </c>
      <c r="C6092" t="str">
        <f>"9780774818469"</f>
        <v>9780774818469</v>
      </c>
      <c r="D6092" t="str">
        <f>"9780774818483"</f>
        <v>9780774818483</v>
      </c>
      <c r="E6092" t="s">
        <v>26801</v>
      </c>
      <c r="F6092" t="s">
        <v>26801</v>
      </c>
      <c r="G6092" s="1">
        <v>40544</v>
      </c>
      <c r="I6092" t="s">
        <v>27576</v>
      </c>
      <c r="J6092" t="s">
        <v>20517</v>
      </c>
      <c r="K6092" t="s">
        <v>467</v>
      </c>
      <c r="L6092" t="s">
        <v>31102</v>
      </c>
      <c r="M6092" t="s">
        <v>31103</v>
      </c>
      <c r="N6092" t="s">
        <v>31104</v>
      </c>
      <c r="O6092" t="s">
        <v>26</v>
      </c>
      <c r="R6092">
        <v>99</v>
      </c>
      <c r="T6092" t="s">
        <v>31105</v>
      </c>
    </row>
    <row r="6093" spans="1:20">
      <c r="A6093">
        <v>3412903</v>
      </c>
      <c r="B6093" t="s">
        <v>31106</v>
      </c>
      <c r="C6093" t="str">
        <f>"9780774818285"</f>
        <v>9780774818285</v>
      </c>
      <c r="D6093" t="str">
        <f>"9780774818308"</f>
        <v>9780774818308</v>
      </c>
      <c r="E6093" t="s">
        <v>26801</v>
      </c>
      <c r="F6093" t="s">
        <v>26801</v>
      </c>
      <c r="G6093" s="1">
        <v>40479</v>
      </c>
      <c r="I6093" t="s">
        <v>30755</v>
      </c>
      <c r="J6093" t="s">
        <v>31107</v>
      </c>
      <c r="K6093" t="s">
        <v>376</v>
      </c>
      <c r="L6093" t="s">
        <v>31108</v>
      </c>
      <c r="M6093">
        <v>362.10820000000001</v>
      </c>
      <c r="N6093" t="s">
        <v>31109</v>
      </c>
      <c r="O6093" t="s">
        <v>26</v>
      </c>
      <c r="R6093">
        <v>99</v>
      </c>
      <c r="T6093" t="s">
        <v>31110</v>
      </c>
    </row>
    <row r="6094" spans="1:20">
      <c r="A6094">
        <v>3412904</v>
      </c>
      <c r="B6094" t="s">
        <v>31111</v>
      </c>
      <c r="C6094" t="str">
        <f>"9780774813471"</f>
        <v>9780774813471</v>
      </c>
      <c r="D6094" t="str">
        <f>"9780774855723"</f>
        <v>9780774855723</v>
      </c>
      <c r="E6094" t="s">
        <v>26801</v>
      </c>
      <c r="F6094" t="s">
        <v>26801</v>
      </c>
      <c r="G6094" s="1">
        <v>39141</v>
      </c>
      <c r="I6094" t="s">
        <v>27129</v>
      </c>
      <c r="J6094" t="s">
        <v>31112</v>
      </c>
      <c r="K6094" t="s">
        <v>3421</v>
      </c>
      <c r="L6094" t="s">
        <v>31113</v>
      </c>
      <c r="M6094">
        <v>317</v>
      </c>
      <c r="N6094" t="s">
        <v>31114</v>
      </c>
      <c r="O6094" t="s">
        <v>26</v>
      </c>
      <c r="R6094">
        <v>99</v>
      </c>
      <c r="T6094" t="s">
        <v>31115</v>
      </c>
    </row>
    <row r="6095" spans="1:20">
      <c r="A6095">
        <v>3412905</v>
      </c>
      <c r="B6095" t="s">
        <v>31116</v>
      </c>
      <c r="C6095" t="str">
        <f>"9780774817011"</f>
        <v>9780774817011</v>
      </c>
      <c r="D6095" t="str">
        <f>"9780774817035"</f>
        <v>9780774817035</v>
      </c>
      <c r="E6095" t="s">
        <v>26801</v>
      </c>
      <c r="F6095" t="s">
        <v>26801</v>
      </c>
      <c r="G6095" s="1">
        <v>41425</v>
      </c>
      <c r="I6095" t="s">
        <v>27495</v>
      </c>
      <c r="J6095" t="s">
        <v>31117</v>
      </c>
      <c r="K6095" t="s">
        <v>136</v>
      </c>
      <c r="L6095" t="s">
        <v>31118</v>
      </c>
      <c r="M6095">
        <v>553.70000000000005</v>
      </c>
      <c r="N6095" t="s">
        <v>31119</v>
      </c>
      <c r="O6095" t="s">
        <v>26</v>
      </c>
      <c r="R6095">
        <v>99</v>
      </c>
      <c r="T6095" t="s">
        <v>31120</v>
      </c>
    </row>
    <row r="6096" spans="1:20">
      <c r="A6096">
        <v>3412906</v>
      </c>
      <c r="B6096" t="s">
        <v>31121</v>
      </c>
      <c r="C6096" t="str">
        <f>"9780774818018"</f>
        <v>9780774818018</v>
      </c>
      <c r="D6096" t="str">
        <f>"9780774818032"</f>
        <v>9780774818032</v>
      </c>
      <c r="E6096" t="s">
        <v>26801</v>
      </c>
      <c r="F6096" t="s">
        <v>26801</v>
      </c>
      <c r="G6096" s="1">
        <v>40299</v>
      </c>
      <c r="I6096" t="s">
        <v>29997</v>
      </c>
      <c r="J6096" t="s">
        <v>31122</v>
      </c>
      <c r="K6096" t="s">
        <v>291</v>
      </c>
      <c r="L6096" t="s">
        <v>31123</v>
      </c>
      <c r="M6096" t="s">
        <v>31124</v>
      </c>
      <c r="N6096" t="s">
        <v>31125</v>
      </c>
      <c r="O6096" t="s">
        <v>26</v>
      </c>
      <c r="R6096">
        <v>99</v>
      </c>
      <c r="T6096" t="s">
        <v>31126</v>
      </c>
    </row>
    <row r="6097" spans="1:20">
      <c r="A6097">
        <v>3412907</v>
      </c>
      <c r="B6097" t="s">
        <v>31127</v>
      </c>
      <c r="C6097" t="str">
        <f>"9780774815208"</f>
        <v>9780774815208</v>
      </c>
      <c r="D6097" t="str">
        <f>"9780774815222"</f>
        <v>9780774815222</v>
      </c>
      <c r="E6097" t="s">
        <v>26801</v>
      </c>
      <c r="F6097" t="s">
        <v>26801</v>
      </c>
      <c r="G6097" s="1">
        <v>39995</v>
      </c>
      <c r="J6097" t="s">
        <v>31128</v>
      </c>
      <c r="K6097" t="s">
        <v>263</v>
      </c>
      <c r="L6097" t="s">
        <v>31129</v>
      </c>
      <c r="M6097">
        <v>306.85000000000002</v>
      </c>
      <c r="N6097" t="s">
        <v>31130</v>
      </c>
      <c r="O6097" t="s">
        <v>26</v>
      </c>
      <c r="R6097">
        <v>99</v>
      </c>
      <c r="T6097" t="s">
        <v>31131</v>
      </c>
    </row>
    <row r="6098" spans="1:20">
      <c r="A6098">
        <v>3412908</v>
      </c>
      <c r="B6098" t="s">
        <v>31132</v>
      </c>
      <c r="C6098" t="str">
        <f>"9780774817660"</f>
        <v>9780774817660</v>
      </c>
      <c r="D6098" t="str">
        <f>"9780774817677"</f>
        <v>9780774817677</v>
      </c>
      <c r="E6098" t="s">
        <v>26801</v>
      </c>
      <c r="F6098" t="s">
        <v>26801</v>
      </c>
      <c r="G6098" s="1">
        <v>40288</v>
      </c>
      <c r="I6098" t="s">
        <v>29997</v>
      </c>
      <c r="J6098" t="s">
        <v>31133</v>
      </c>
      <c r="K6098" t="s">
        <v>7732</v>
      </c>
      <c r="L6098" t="s">
        <v>31134</v>
      </c>
      <c r="M6098">
        <v>355.00970999999998</v>
      </c>
      <c r="N6098" t="s">
        <v>31135</v>
      </c>
      <c r="O6098" t="s">
        <v>26</v>
      </c>
      <c r="R6098">
        <v>99</v>
      </c>
      <c r="T6098" t="s">
        <v>31136</v>
      </c>
    </row>
    <row r="6099" spans="1:20">
      <c r="A6099">
        <v>3412909</v>
      </c>
      <c r="B6099" t="s">
        <v>31137</v>
      </c>
      <c r="C6099" t="str">
        <f>"9780774818568"</f>
        <v>9780774818568</v>
      </c>
      <c r="D6099" t="str">
        <f>"9780774818575"</f>
        <v>9780774818575</v>
      </c>
      <c r="E6099" t="s">
        <v>26801</v>
      </c>
      <c r="F6099" t="s">
        <v>26801</v>
      </c>
      <c r="G6099" s="1">
        <v>40238</v>
      </c>
      <c r="I6099" t="s">
        <v>29997</v>
      </c>
      <c r="J6099" t="s">
        <v>31138</v>
      </c>
      <c r="K6099" t="s">
        <v>6457</v>
      </c>
      <c r="L6099" t="s">
        <v>31139</v>
      </c>
      <c r="M6099" t="s">
        <v>23378</v>
      </c>
      <c r="N6099" t="s">
        <v>31140</v>
      </c>
      <c r="O6099" t="s">
        <v>26</v>
      </c>
      <c r="R6099">
        <v>99</v>
      </c>
      <c r="T6099" t="s">
        <v>31141</v>
      </c>
    </row>
    <row r="6100" spans="1:20">
      <c r="A6100">
        <v>3412910</v>
      </c>
      <c r="B6100" t="s">
        <v>31142</v>
      </c>
      <c r="C6100" t="str">
        <f>"9780774815611"</f>
        <v>9780774815611</v>
      </c>
      <c r="D6100" t="str">
        <f>"9780774815628"</f>
        <v>9780774815628</v>
      </c>
      <c r="E6100" t="s">
        <v>26801</v>
      </c>
      <c r="F6100" t="s">
        <v>26801</v>
      </c>
      <c r="G6100" s="1">
        <v>40544</v>
      </c>
      <c r="I6100" t="s">
        <v>27576</v>
      </c>
      <c r="J6100" t="s">
        <v>31143</v>
      </c>
      <c r="K6100" t="s">
        <v>525</v>
      </c>
      <c r="L6100" t="s">
        <v>31144</v>
      </c>
      <c r="M6100" t="s">
        <v>21902</v>
      </c>
      <c r="N6100" t="s">
        <v>31145</v>
      </c>
      <c r="O6100" t="s">
        <v>26</v>
      </c>
      <c r="R6100">
        <v>99</v>
      </c>
      <c r="T6100" t="s">
        <v>31146</v>
      </c>
    </row>
    <row r="6101" spans="1:20">
      <c r="A6101">
        <v>3412911</v>
      </c>
      <c r="B6101" t="s">
        <v>31147</v>
      </c>
      <c r="C6101" t="str">
        <f>"9780774814423"</f>
        <v>9780774814423</v>
      </c>
      <c r="D6101" t="str">
        <f>"9780774816427"</f>
        <v>9780774816427</v>
      </c>
      <c r="E6101" t="s">
        <v>26801</v>
      </c>
      <c r="F6101" t="s">
        <v>26801</v>
      </c>
      <c r="G6101" s="1">
        <v>40179</v>
      </c>
      <c r="J6101" t="s">
        <v>31148</v>
      </c>
      <c r="K6101" t="s">
        <v>291</v>
      </c>
      <c r="L6101" t="s">
        <v>31149</v>
      </c>
      <c r="M6101" t="s">
        <v>31150</v>
      </c>
      <c r="N6101" t="s">
        <v>31151</v>
      </c>
      <c r="O6101" t="s">
        <v>26</v>
      </c>
      <c r="R6101">
        <v>99</v>
      </c>
      <c r="T6101" t="s">
        <v>31152</v>
      </c>
    </row>
    <row r="6102" spans="1:20">
      <c r="A6102">
        <v>3412912</v>
      </c>
      <c r="B6102" t="s">
        <v>31153</v>
      </c>
      <c r="C6102" t="str">
        <f>"9780774817509"</f>
        <v>9780774817509</v>
      </c>
      <c r="D6102" t="str">
        <f>"9780774817523"</f>
        <v>9780774817523</v>
      </c>
      <c r="E6102" t="s">
        <v>26801</v>
      </c>
      <c r="F6102" t="s">
        <v>26801</v>
      </c>
      <c r="G6102" s="1">
        <v>40544</v>
      </c>
      <c r="I6102" t="s">
        <v>29997</v>
      </c>
      <c r="J6102" t="s">
        <v>31154</v>
      </c>
      <c r="K6102" t="s">
        <v>4347</v>
      </c>
      <c r="L6102" t="s">
        <v>31155</v>
      </c>
      <c r="M6102" t="s">
        <v>31156</v>
      </c>
      <c r="N6102" t="s">
        <v>31157</v>
      </c>
      <c r="O6102" t="s">
        <v>26</v>
      </c>
      <c r="R6102">
        <v>99</v>
      </c>
      <c r="T6102" t="s">
        <v>31158</v>
      </c>
    </row>
    <row r="6103" spans="1:20">
      <c r="A6103">
        <v>3412914</v>
      </c>
      <c r="B6103" t="s">
        <v>31159</v>
      </c>
      <c r="C6103" t="str">
        <f>"9780774827072"</f>
        <v>9780774827072</v>
      </c>
      <c r="D6103" t="str">
        <f>"9780774827089"</f>
        <v>9780774827089</v>
      </c>
      <c r="E6103" t="s">
        <v>26801</v>
      </c>
      <c r="F6103" t="s">
        <v>26801</v>
      </c>
      <c r="G6103" s="1">
        <v>41852</v>
      </c>
      <c r="J6103" t="s">
        <v>31160</v>
      </c>
      <c r="K6103" t="s">
        <v>1530</v>
      </c>
      <c r="L6103" t="s">
        <v>31161</v>
      </c>
      <c r="M6103">
        <v>973.93100000000004</v>
      </c>
      <c r="N6103" t="s">
        <v>31162</v>
      </c>
      <c r="O6103" t="s">
        <v>26</v>
      </c>
      <c r="R6103">
        <v>99</v>
      </c>
      <c r="T6103" t="s">
        <v>31163</v>
      </c>
    </row>
    <row r="6104" spans="1:20">
      <c r="A6104">
        <v>3412915</v>
      </c>
      <c r="B6104" t="s">
        <v>31164</v>
      </c>
      <c r="C6104" t="str">
        <f>"9780774827690"</f>
        <v>9780774827690</v>
      </c>
      <c r="D6104" t="str">
        <f>"9780774827706"</f>
        <v>9780774827706</v>
      </c>
      <c r="E6104" t="s">
        <v>26801</v>
      </c>
      <c r="F6104" t="s">
        <v>26801</v>
      </c>
      <c r="G6104" s="1">
        <v>41699</v>
      </c>
      <c r="J6104" t="s">
        <v>31165</v>
      </c>
      <c r="K6104" t="s">
        <v>291</v>
      </c>
      <c r="L6104" t="s">
        <v>31166</v>
      </c>
      <c r="M6104">
        <v>993.02</v>
      </c>
      <c r="N6104" t="s">
        <v>31167</v>
      </c>
      <c r="O6104" t="s">
        <v>26</v>
      </c>
      <c r="R6104">
        <v>99</v>
      </c>
      <c r="T6104" t="s">
        <v>31168</v>
      </c>
    </row>
    <row r="6105" spans="1:20">
      <c r="A6105">
        <v>3412917</v>
      </c>
      <c r="B6105" t="s">
        <v>31169</v>
      </c>
      <c r="C6105" t="str">
        <f>"9780774826433"</f>
        <v>9780774826433</v>
      </c>
      <c r="D6105" t="str">
        <f>"9780774826457"</f>
        <v>9780774826457</v>
      </c>
      <c r="E6105" t="s">
        <v>26801</v>
      </c>
      <c r="F6105" t="s">
        <v>26801</v>
      </c>
      <c r="G6105" s="1">
        <v>41699</v>
      </c>
      <c r="I6105" t="s">
        <v>27495</v>
      </c>
      <c r="J6105" t="s">
        <v>31170</v>
      </c>
      <c r="K6105" t="s">
        <v>6161</v>
      </c>
      <c r="L6105" t="s">
        <v>31171</v>
      </c>
      <c r="M6105">
        <v>346.73066399999999</v>
      </c>
      <c r="N6105" t="s">
        <v>31172</v>
      </c>
      <c r="O6105" t="s">
        <v>26</v>
      </c>
      <c r="R6105">
        <v>99</v>
      </c>
      <c r="T6105" t="s">
        <v>31173</v>
      </c>
    </row>
    <row r="6106" spans="1:20">
      <c r="A6106">
        <v>3412918</v>
      </c>
      <c r="B6106" t="s">
        <v>31174</v>
      </c>
      <c r="C6106" t="str">
        <f>"9780774827102"</f>
        <v>9780774827102</v>
      </c>
      <c r="D6106" t="str">
        <f>"9780774827126"</f>
        <v>9780774827126</v>
      </c>
      <c r="E6106" t="s">
        <v>26801</v>
      </c>
      <c r="F6106" t="s">
        <v>26801</v>
      </c>
      <c r="G6106" s="1">
        <v>41744</v>
      </c>
      <c r="I6106" t="s">
        <v>30755</v>
      </c>
      <c r="J6106" t="s">
        <v>31175</v>
      </c>
      <c r="K6106" t="s">
        <v>1550</v>
      </c>
      <c r="L6106" t="s">
        <v>31176</v>
      </c>
      <c r="M6106" t="s">
        <v>31177</v>
      </c>
      <c r="N6106" t="s">
        <v>31178</v>
      </c>
      <c r="O6106" t="s">
        <v>26</v>
      </c>
      <c r="R6106">
        <v>125</v>
      </c>
      <c r="T6106" t="s">
        <v>31179</v>
      </c>
    </row>
    <row r="6107" spans="1:20">
      <c r="A6107">
        <v>3412919</v>
      </c>
      <c r="B6107" t="s">
        <v>31180</v>
      </c>
      <c r="C6107" t="str">
        <f>"9780774827416"</f>
        <v>9780774827416</v>
      </c>
      <c r="D6107" t="str">
        <f>"9780774827430"</f>
        <v>9780774827430</v>
      </c>
      <c r="E6107" t="s">
        <v>26801</v>
      </c>
      <c r="F6107" t="s">
        <v>26801</v>
      </c>
      <c r="G6107" s="1">
        <v>41730</v>
      </c>
      <c r="I6107" t="s">
        <v>30995</v>
      </c>
      <c r="J6107" t="s">
        <v>31181</v>
      </c>
      <c r="K6107" t="s">
        <v>467</v>
      </c>
      <c r="L6107" t="s">
        <v>31182</v>
      </c>
      <c r="M6107">
        <v>323.10000000000002</v>
      </c>
      <c r="N6107" t="s">
        <v>31183</v>
      </c>
      <c r="O6107" t="s">
        <v>26</v>
      </c>
      <c r="R6107">
        <v>99</v>
      </c>
      <c r="T6107" t="s">
        <v>31184</v>
      </c>
    </row>
    <row r="6108" spans="1:20">
      <c r="A6108">
        <v>3412920</v>
      </c>
      <c r="B6108" t="s">
        <v>31185</v>
      </c>
      <c r="C6108" t="str">
        <f>"9780774827218"</f>
        <v>9780774827218</v>
      </c>
      <c r="D6108" t="str">
        <f>"9780774827232"</f>
        <v>9780774827232</v>
      </c>
      <c r="E6108" t="s">
        <v>26801</v>
      </c>
      <c r="F6108" t="s">
        <v>26801</v>
      </c>
      <c r="G6108" s="1">
        <v>41771</v>
      </c>
      <c r="J6108" t="s">
        <v>31186</v>
      </c>
      <c r="K6108" t="s">
        <v>291</v>
      </c>
      <c r="L6108" t="s">
        <v>31187</v>
      </c>
      <c r="M6108">
        <v>971.00496999999996</v>
      </c>
      <c r="N6108" t="s">
        <v>31188</v>
      </c>
      <c r="O6108" t="s">
        <v>26</v>
      </c>
      <c r="R6108">
        <v>99</v>
      </c>
      <c r="T6108" t="s">
        <v>31189</v>
      </c>
    </row>
    <row r="6109" spans="1:20">
      <c r="A6109">
        <v>3412922</v>
      </c>
      <c r="B6109" t="s">
        <v>31190</v>
      </c>
      <c r="C6109" t="str">
        <f>"9780774825757"</f>
        <v>9780774825757</v>
      </c>
      <c r="D6109" t="str">
        <f>"9780774825771"</f>
        <v>9780774825771</v>
      </c>
      <c r="E6109" t="s">
        <v>26801</v>
      </c>
      <c r="F6109" t="s">
        <v>26801</v>
      </c>
      <c r="G6109" s="1">
        <v>41719</v>
      </c>
      <c r="I6109" t="s">
        <v>27129</v>
      </c>
      <c r="J6109" t="s">
        <v>31191</v>
      </c>
      <c r="K6109" t="s">
        <v>568</v>
      </c>
      <c r="L6109" t="s">
        <v>31192</v>
      </c>
      <c r="M6109">
        <v>305.48412000000002</v>
      </c>
      <c r="N6109" t="s">
        <v>31193</v>
      </c>
      <c r="O6109" t="s">
        <v>26</v>
      </c>
      <c r="R6109">
        <v>99</v>
      </c>
      <c r="T6109" t="s">
        <v>31194</v>
      </c>
    </row>
    <row r="6110" spans="1:20">
      <c r="A6110">
        <v>3412924</v>
      </c>
      <c r="B6110" t="s">
        <v>31195</v>
      </c>
      <c r="C6110" t="str">
        <f>"9780774825603"</f>
        <v>9780774825603</v>
      </c>
      <c r="D6110" t="str">
        <f>"9780774825610"</f>
        <v>9780774825610</v>
      </c>
      <c r="E6110" t="s">
        <v>26801</v>
      </c>
      <c r="F6110" t="s">
        <v>26801</v>
      </c>
      <c r="G6110" s="1">
        <v>41852</v>
      </c>
      <c r="I6110" t="s">
        <v>31196</v>
      </c>
      <c r="J6110" t="s">
        <v>31197</v>
      </c>
      <c r="K6110" t="s">
        <v>27713</v>
      </c>
      <c r="L6110" t="s">
        <v>31198</v>
      </c>
      <c r="M6110">
        <v>341.48440266510698</v>
      </c>
      <c r="N6110" t="s">
        <v>31199</v>
      </c>
      <c r="O6110" t="s">
        <v>26</v>
      </c>
      <c r="R6110">
        <v>99</v>
      </c>
      <c r="T6110" t="s">
        <v>31200</v>
      </c>
    </row>
    <row r="6111" spans="1:20">
      <c r="A6111">
        <v>3412925</v>
      </c>
      <c r="B6111" t="s">
        <v>31201</v>
      </c>
      <c r="C6111" t="str">
        <f>"9780774824323"</f>
        <v>9780774824323</v>
      </c>
      <c r="D6111" t="str">
        <f>"9780774824347"</f>
        <v>9780774824347</v>
      </c>
      <c r="E6111" t="s">
        <v>26801</v>
      </c>
      <c r="F6111" t="s">
        <v>26801</v>
      </c>
      <c r="G6111" s="1">
        <v>41736</v>
      </c>
      <c r="I6111" t="s">
        <v>27129</v>
      </c>
      <c r="J6111" t="s">
        <v>31202</v>
      </c>
      <c r="K6111" t="s">
        <v>2260</v>
      </c>
      <c r="L6111" t="s">
        <v>31203</v>
      </c>
      <c r="M6111">
        <v>610.95100000000002</v>
      </c>
      <c r="N6111" t="s">
        <v>31204</v>
      </c>
      <c r="O6111" t="s">
        <v>26</v>
      </c>
      <c r="R6111">
        <v>99</v>
      </c>
      <c r="T6111" t="s">
        <v>31205</v>
      </c>
    </row>
    <row r="6112" spans="1:20">
      <c r="A6112">
        <v>3412927</v>
      </c>
      <c r="B6112" t="s">
        <v>31206</v>
      </c>
      <c r="C6112" t="str">
        <f>"9780774825481"</f>
        <v>9780774825481</v>
      </c>
      <c r="D6112" t="str">
        <f>"9780774825498"</f>
        <v>9780774825498</v>
      </c>
      <c r="E6112" t="s">
        <v>26801</v>
      </c>
      <c r="F6112" t="s">
        <v>26801</v>
      </c>
      <c r="G6112" s="1">
        <v>41751</v>
      </c>
      <c r="H6112" t="s">
        <v>31207</v>
      </c>
      <c r="J6112" t="s">
        <v>31208</v>
      </c>
      <c r="K6112" t="s">
        <v>6444</v>
      </c>
      <c r="L6112" t="s">
        <v>31209</v>
      </c>
      <c r="M6112" t="s">
        <v>31210</v>
      </c>
      <c r="N6112" t="s">
        <v>31211</v>
      </c>
      <c r="O6112" t="s">
        <v>26</v>
      </c>
      <c r="R6112">
        <v>99</v>
      </c>
      <c r="T6112" t="s">
        <v>31212</v>
      </c>
    </row>
    <row r="6113" spans="1:20">
      <c r="A6113">
        <v>3412928</v>
      </c>
      <c r="B6113" t="s">
        <v>31213</v>
      </c>
      <c r="C6113" t="str">
        <f>"9780774826921"</f>
        <v>9780774826921</v>
      </c>
      <c r="D6113" t="str">
        <f>"9780774826938"</f>
        <v>9780774826938</v>
      </c>
      <c r="E6113" t="s">
        <v>26801</v>
      </c>
      <c r="F6113" t="s">
        <v>26801</v>
      </c>
      <c r="G6113" s="1">
        <v>41824</v>
      </c>
      <c r="J6113" t="s">
        <v>31214</v>
      </c>
      <c r="K6113" t="s">
        <v>263</v>
      </c>
      <c r="L6113" t="s">
        <v>31215</v>
      </c>
      <c r="M6113">
        <v>361.609713</v>
      </c>
      <c r="N6113" t="s">
        <v>31216</v>
      </c>
      <c r="O6113" t="s">
        <v>26</v>
      </c>
      <c r="R6113">
        <v>99</v>
      </c>
      <c r="T6113" t="s">
        <v>31217</v>
      </c>
    </row>
    <row r="6114" spans="1:20">
      <c r="A6114">
        <v>3412931</v>
      </c>
      <c r="B6114" t="s">
        <v>31218</v>
      </c>
      <c r="C6114" t="str">
        <f>"9780774826648"</f>
        <v>9780774826648</v>
      </c>
      <c r="D6114" t="str">
        <f>"9780774826655"</f>
        <v>9780774826655</v>
      </c>
      <c r="E6114" t="s">
        <v>26801</v>
      </c>
      <c r="F6114" t="s">
        <v>26801</v>
      </c>
      <c r="G6114" s="1">
        <v>41760</v>
      </c>
      <c r="J6114" t="s">
        <v>31219</v>
      </c>
      <c r="K6114" t="s">
        <v>263</v>
      </c>
      <c r="L6114" t="s">
        <v>31220</v>
      </c>
      <c r="M6114">
        <v>301.01</v>
      </c>
      <c r="N6114" t="s">
        <v>31221</v>
      </c>
      <c r="O6114" t="s">
        <v>26</v>
      </c>
      <c r="R6114">
        <v>99</v>
      </c>
      <c r="T6114" t="s">
        <v>31222</v>
      </c>
    </row>
    <row r="6115" spans="1:20">
      <c r="A6115">
        <v>3412935</v>
      </c>
      <c r="B6115" t="s">
        <v>31223</v>
      </c>
      <c r="C6115" t="str">
        <f>"9780774825832"</f>
        <v>9780774825832</v>
      </c>
      <c r="D6115" t="str">
        <f>"9780774825856"</f>
        <v>9780774825856</v>
      </c>
      <c r="E6115" t="s">
        <v>26801</v>
      </c>
      <c r="F6115" t="s">
        <v>26801</v>
      </c>
      <c r="G6115" s="1">
        <v>41699</v>
      </c>
      <c r="I6115" t="s">
        <v>30995</v>
      </c>
      <c r="J6115" t="s">
        <v>31224</v>
      </c>
      <c r="K6115" t="s">
        <v>263</v>
      </c>
      <c r="L6115" t="s">
        <v>31225</v>
      </c>
      <c r="M6115">
        <v>307.76089000000002</v>
      </c>
      <c r="N6115" t="s">
        <v>31226</v>
      </c>
      <c r="O6115" t="s">
        <v>26</v>
      </c>
      <c r="R6115">
        <v>99</v>
      </c>
      <c r="T6115" t="s">
        <v>31227</v>
      </c>
    </row>
    <row r="6116" spans="1:20">
      <c r="A6116">
        <v>3412936</v>
      </c>
      <c r="B6116" t="s">
        <v>31228</v>
      </c>
      <c r="C6116" t="str">
        <f>"9780774827140"</f>
        <v>9780774827140</v>
      </c>
      <c r="D6116" t="str">
        <f>"9780774827164"</f>
        <v>9780774827164</v>
      </c>
      <c r="E6116" t="s">
        <v>26801</v>
      </c>
      <c r="F6116" t="s">
        <v>26801</v>
      </c>
      <c r="G6116" s="1">
        <v>41713</v>
      </c>
      <c r="I6116" t="s">
        <v>27576</v>
      </c>
      <c r="J6116" t="s">
        <v>31229</v>
      </c>
      <c r="K6116" t="s">
        <v>525</v>
      </c>
      <c r="L6116" t="s">
        <v>31230</v>
      </c>
      <c r="M6116">
        <v>342.71</v>
      </c>
      <c r="N6116" t="s">
        <v>31231</v>
      </c>
      <c r="O6116" t="s">
        <v>26</v>
      </c>
      <c r="R6116">
        <v>99</v>
      </c>
      <c r="T6116" t="s">
        <v>31232</v>
      </c>
    </row>
    <row r="6117" spans="1:20">
      <c r="A6117">
        <v>3412947</v>
      </c>
      <c r="B6117" t="s">
        <v>31233</v>
      </c>
      <c r="C6117" t="str">
        <f>"9780774827843"</f>
        <v>9780774827843</v>
      </c>
      <c r="D6117" t="str">
        <f>"9780774827867"</f>
        <v>9780774827867</v>
      </c>
      <c r="E6117" t="s">
        <v>26801</v>
      </c>
      <c r="F6117" t="s">
        <v>26801</v>
      </c>
      <c r="G6117" s="1">
        <v>41883</v>
      </c>
      <c r="J6117" t="s">
        <v>31234</v>
      </c>
      <c r="K6117" t="s">
        <v>467</v>
      </c>
      <c r="L6117" t="s">
        <v>31235</v>
      </c>
      <c r="M6117">
        <v>320.01</v>
      </c>
      <c r="N6117" t="s">
        <v>31236</v>
      </c>
      <c r="O6117" t="s">
        <v>26</v>
      </c>
      <c r="R6117">
        <v>99</v>
      </c>
      <c r="T6117" t="s">
        <v>31237</v>
      </c>
    </row>
    <row r="6118" spans="1:20">
      <c r="A6118">
        <v>3412948</v>
      </c>
      <c r="B6118" t="s">
        <v>31238</v>
      </c>
      <c r="C6118" t="str">
        <f>"9780774827577"</f>
        <v>9780774827577</v>
      </c>
      <c r="D6118" t="str">
        <f>"9780774827591"</f>
        <v>9780774827591</v>
      </c>
      <c r="E6118" t="s">
        <v>26801</v>
      </c>
      <c r="F6118" t="s">
        <v>26801</v>
      </c>
      <c r="G6118" s="1">
        <v>41897</v>
      </c>
      <c r="J6118" t="s">
        <v>31239</v>
      </c>
      <c r="K6118" t="s">
        <v>2975</v>
      </c>
      <c r="L6118" t="s">
        <v>31240</v>
      </c>
      <c r="M6118">
        <v>371.97970709999998</v>
      </c>
      <c r="N6118" t="s">
        <v>31241</v>
      </c>
      <c r="O6118" t="s">
        <v>26</v>
      </c>
      <c r="R6118">
        <v>99</v>
      </c>
      <c r="T6118" t="s">
        <v>31242</v>
      </c>
    </row>
    <row r="6119" spans="1:20">
      <c r="A6119">
        <v>3412950</v>
      </c>
      <c r="B6119" t="s">
        <v>31243</v>
      </c>
      <c r="C6119" t="str">
        <f>"9780774828734"</f>
        <v>9780774828734</v>
      </c>
      <c r="D6119" t="str">
        <f>"9780774828741"</f>
        <v>9780774828741</v>
      </c>
      <c r="E6119" t="s">
        <v>26801</v>
      </c>
      <c r="F6119" t="s">
        <v>26801</v>
      </c>
      <c r="G6119" s="1">
        <v>41944</v>
      </c>
      <c r="J6119" t="s">
        <v>28041</v>
      </c>
      <c r="K6119" t="s">
        <v>291</v>
      </c>
      <c r="L6119" t="s">
        <v>31244</v>
      </c>
      <c r="M6119">
        <v>971.10049700000002</v>
      </c>
      <c r="N6119" t="s">
        <v>28945</v>
      </c>
      <c r="O6119" t="s">
        <v>26</v>
      </c>
      <c r="R6119">
        <v>99</v>
      </c>
      <c r="T6119" t="s">
        <v>31245</v>
      </c>
    </row>
    <row r="6120" spans="1:20">
      <c r="A6120">
        <v>3412951</v>
      </c>
      <c r="B6120" t="s">
        <v>31246</v>
      </c>
      <c r="C6120" t="str">
        <f>"9780774827898"</f>
        <v>9780774827898</v>
      </c>
      <c r="D6120" t="str">
        <f>"9780774827904"</f>
        <v>9780774827904</v>
      </c>
      <c r="E6120" t="s">
        <v>26801</v>
      </c>
      <c r="F6120" t="s">
        <v>26801</v>
      </c>
      <c r="G6120" s="1">
        <v>41913</v>
      </c>
      <c r="J6120" t="s">
        <v>31247</v>
      </c>
      <c r="K6120" t="s">
        <v>278</v>
      </c>
      <c r="L6120" t="s">
        <v>31248</v>
      </c>
      <c r="M6120">
        <v>334.09710000000001</v>
      </c>
      <c r="N6120" t="s">
        <v>31249</v>
      </c>
      <c r="O6120" t="s">
        <v>26</v>
      </c>
      <c r="R6120">
        <v>99</v>
      </c>
      <c r="T6120" t="s">
        <v>31250</v>
      </c>
    </row>
    <row r="6121" spans="1:20">
      <c r="A6121">
        <v>3412952</v>
      </c>
      <c r="B6121" t="s">
        <v>31251</v>
      </c>
      <c r="C6121" t="str">
        <f>"9780774827966"</f>
        <v>9780774827966</v>
      </c>
      <c r="D6121" t="str">
        <f>"9780774827980"</f>
        <v>9780774827980</v>
      </c>
      <c r="E6121" t="s">
        <v>26801</v>
      </c>
      <c r="F6121" t="s">
        <v>26801</v>
      </c>
      <c r="G6121" s="1">
        <v>41933</v>
      </c>
      <c r="J6121" t="s">
        <v>31252</v>
      </c>
      <c r="K6121" t="s">
        <v>263</v>
      </c>
      <c r="L6121" t="s">
        <v>31253</v>
      </c>
      <c r="M6121">
        <v>305.56072</v>
      </c>
      <c r="N6121" t="s">
        <v>31254</v>
      </c>
      <c r="O6121" t="s">
        <v>26</v>
      </c>
      <c r="R6121">
        <v>99</v>
      </c>
      <c r="T6121" t="s">
        <v>31255</v>
      </c>
    </row>
    <row r="6122" spans="1:20">
      <c r="A6122">
        <v>3412954</v>
      </c>
      <c r="B6122" t="s">
        <v>31256</v>
      </c>
      <c r="C6122" t="str">
        <f>"9780774827720"</f>
        <v>9780774827720</v>
      </c>
      <c r="D6122" t="str">
        <f>"9780774827744"</f>
        <v>9780774827744</v>
      </c>
      <c r="E6122" t="s">
        <v>26801</v>
      </c>
      <c r="F6122" t="s">
        <v>26801</v>
      </c>
      <c r="G6122" s="1">
        <v>41933</v>
      </c>
      <c r="J6122" t="s">
        <v>31257</v>
      </c>
      <c r="K6122" t="s">
        <v>263</v>
      </c>
      <c r="L6122" t="s">
        <v>31258</v>
      </c>
      <c r="M6122">
        <v>305.8</v>
      </c>
      <c r="N6122" t="s">
        <v>31259</v>
      </c>
      <c r="O6122" t="s">
        <v>26</v>
      </c>
      <c r="R6122">
        <v>99</v>
      </c>
      <c r="T6122" t="s">
        <v>31260</v>
      </c>
    </row>
    <row r="6123" spans="1:20">
      <c r="A6123">
        <v>3412959</v>
      </c>
      <c r="B6123" t="s">
        <v>31261</v>
      </c>
      <c r="C6123" t="str">
        <f>"9780774827812"</f>
        <v>9780774827812</v>
      </c>
      <c r="D6123" t="str">
        <f>"9780774827829"</f>
        <v>9780774827829</v>
      </c>
      <c r="E6123" t="s">
        <v>26801</v>
      </c>
      <c r="F6123" t="s">
        <v>26801</v>
      </c>
      <c r="G6123" s="1">
        <v>41913</v>
      </c>
      <c r="I6123" t="s">
        <v>27482</v>
      </c>
      <c r="J6123" t="s">
        <v>31262</v>
      </c>
      <c r="K6123" t="s">
        <v>416</v>
      </c>
      <c r="L6123" t="s">
        <v>31263</v>
      </c>
      <c r="M6123">
        <v>338.47700951000002</v>
      </c>
      <c r="N6123" t="s">
        <v>31264</v>
      </c>
      <c r="O6123" t="s">
        <v>26</v>
      </c>
      <c r="R6123">
        <v>99</v>
      </c>
      <c r="T6123" t="s">
        <v>31265</v>
      </c>
    </row>
    <row r="6124" spans="1:20">
      <c r="A6124">
        <v>3433717</v>
      </c>
      <c r="B6124" t="s">
        <v>31266</v>
      </c>
      <c r="C6124" t="str">
        <f>"9780773532137"</f>
        <v>9780773532137</v>
      </c>
      <c r="D6124" t="str">
        <f>"9780773574526"</f>
        <v>9780773574526</v>
      </c>
      <c r="E6124" t="s">
        <v>12863</v>
      </c>
      <c r="F6124" t="s">
        <v>12863</v>
      </c>
      <c r="G6124" s="1">
        <v>39510</v>
      </c>
      <c r="I6124" t="s">
        <v>13270</v>
      </c>
      <c r="J6124" t="s">
        <v>31267</v>
      </c>
      <c r="K6124" t="s">
        <v>6444</v>
      </c>
      <c r="L6124" t="s">
        <v>31268</v>
      </c>
      <c r="M6124">
        <v>320.54000000000002</v>
      </c>
      <c r="N6124" t="s">
        <v>31269</v>
      </c>
      <c r="O6124" t="s">
        <v>26</v>
      </c>
      <c r="P6124">
        <v>127.5</v>
      </c>
      <c r="Q6124">
        <v>106.25</v>
      </c>
      <c r="R6124">
        <v>85</v>
      </c>
      <c r="S6124">
        <v>127.5</v>
      </c>
      <c r="T6124" t="s">
        <v>31270</v>
      </c>
    </row>
    <row r="6125" spans="1:20">
      <c r="A6125">
        <v>3433720</v>
      </c>
      <c r="B6125" t="s">
        <v>31271</v>
      </c>
      <c r="C6125" t="str">
        <f>"9780773544956"</f>
        <v>9780773544956</v>
      </c>
      <c r="D6125" t="str">
        <f>"9780773583528"</f>
        <v>9780773583528</v>
      </c>
      <c r="E6125" t="s">
        <v>12863</v>
      </c>
      <c r="F6125" t="s">
        <v>12863</v>
      </c>
      <c r="G6125" s="1">
        <v>42153</v>
      </c>
      <c r="I6125" t="s">
        <v>13270</v>
      </c>
      <c r="J6125" t="s">
        <v>31272</v>
      </c>
      <c r="K6125" t="s">
        <v>2963</v>
      </c>
      <c r="L6125" t="s">
        <v>31273</v>
      </c>
      <c r="M6125">
        <v>907.2</v>
      </c>
      <c r="N6125" t="s">
        <v>31274</v>
      </c>
      <c r="O6125" t="s">
        <v>26</v>
      </c>
      <c r="P6125">
        <v>150</v>
      </c>
      <c r="Q6125">
        <v>125</v>
      </c>
      <c r="R6125">
        <v>100</v>
      </c>
      <c r="S6125">
        <v>150</v>
      </c>
      <c r="T6125" t="s">
        <v>31275</v>
      </c>
    </row>
    <row r="6126" spans="1:20">
      <c r="A6126">
        <v>3433721</v>
      </c>
      <c r="B6126" t="s">
        <v>31276</v>
      </c>
      <c r="C6126" t="str">
        <f>"9780773545052"</f>
        <v>9780773545052</v>
      </c>
      <c r="D6126" t="str">
        <f>"9780773583924"</f>
        <v>9780773583924</v>
      </c>
      <c r="E6126" t="s">
        <v>12863</v>
      </c>
      <c r="F6126" t="s">
        <v>12863</v>
      </c>
      <c r="G6126" s="1">
        <v>42146</v>
      </c>
      <c r="J6126" t="s">
        <v>31277</v>
      </c>
      <c r="K6126" t="s">
        <v>1530</v>
      </c>
      <c r="L6126" t="s">
        <v>31278</v>
      </c>
      <c r="M6126" t="s">
        <v>3873</v>
      </c>
      <c r="N6126" t="s">
        <v>31279</v>
      </c>
      <c r="O6126" t="s">
        <v>26</v>
      </c>
      <c r="P6126">
        <v>150</v>
      </c>
      <c r="Q6126">
        <v>125</v>
      </c>
      <c r="R6126">
        <v>100</v>
      </c>
      <c r="S6126">
        <v>150</v>
      </c>
      <c r="T6126" t="s">
        <v>31280</v>
      </c>
    </row>
    <row r="6127" spans="1:20">
      <c r="A6127">
        <v>3433722</v>
      </c>
      <c r="B6127" t="s">
        <v>31281</v>
      </c>
      <c r="C6127" t="str">
        <f>"9780773545427"</f>
        <v>9780773545427</v>
      </c>
      <c r="D6127" t="str">
        <f>"9780773582453"</f>
        <v>9780773582453</v>
      </c>
      <c r="E6127" t="s">
        <v>12863</v>
      </c>
      <c r="F6127" t="s">
        <v>12863</v>
      </c>
      <c r="G6127" s="1">
        <v>42153</v>
      </c>
      <c r="J6127" t="s">
        <v>13321</v>
      </c>
      <c r="K6127" t="s">
        <v>1892</v>
      </c>
      <c r="L6127" t="s">
        <v>31282</v>
      </c>
      <c r="M6127">
        <v>230.01</v>
      </c>
      <c r="N6127" t="s">
        <v>31283</v>
      </c>
      <c r="O6127" t="s">
        <v>26</v>
      </c>
      <c r="P6127">
        <v>150</v>
      </c>
      <c r="Q6127">
        <v>125</v>
      </c>
      <c r="R6127">
        <v>100</v>
      </c>
      <c r="S6127">
        <v>150</v>
      </c>
      <c r="T6127" t="s">
        <v>31284</v>
      </c>
    </row>
    <row r="6128" spans="1:20">
      <c r="A6128">
        <v>3433723</v>
      </c>
      <c r="B6128" t="s">
        <v>31285</v>
      </c>
      <c r="C6128" t="str">
        <f>"9780773544833"</f>
        <v>9780773544833</v>
      </c>
      <c r="D6128" t="str">
        <f>"9780773582897"</f>
        <v>9780773582897</v>
      </c>
      <c r="E6128" t="s">
        <v>12863</v>
      </c>
      <c r="F6128" t="s">
        <v>12863</v>
      </c>
      <c r="G6128" s="1">
        <v>42160</v>
      </c>
      <c r="J6128" t="s">
        <v>31286</v>
      </c>
      <c r="K6128" t="s">
        <v>2951</v>
      </c>
      <c r="L6128" t="s">
        <v>31287</v>
      </c>
      <c r="M6128" t="s">
        <v>31288</v>
      </c>
      <c r="N6128" t="s">
        <v>31289</v>
      </c>
      <c r="O6128" t="s">
        <v>26</v>
      </c>
      <c r="P6128">
        <v>150</v>
      </c>
      <c r="Q6128">
        <v>125</v>
      </c>
      <c r="R6128">
        <v>100</v>
      </c>
      <c r="S6128">
        <v>150</v>
      </c>
      <c r="T6128" t="s">
        <v>31290</v>
      </c>
    </row>
    <row r="6129" spans="1:20">
      <c r="A6129">
        <v>3433724</v>
      </c>
      <c r="B6129" t="s">
        <v>31291</v>
      </c>
      <c r="C6129" t="str">
        <f>"9780773545465"</f>
        <v>9780773545465</v>
      </c>
      <c r="D6129" t="str">
        <f>"9780773583085"</f>
        <v>9780773583085</v>
      </c>
      <c r="E6129" t="s">
        <v>12863</v>
      </c>
      <c r="F6129" t="s">
        <v>12863</v>
      </c>
      <c r="G6129" s="1">
        <v>42153</v>
      </c>
      <c r="I6129" t="s">
        <v>18279</v>
      </c>
      <c r="J6129" t="s">
        <v>31292</v>
      </c>
      <c r="K6129" t="s">
        <v>291</v>
      </c>
      <c r="L6129" t="s">
        <v>31293</v>
      </c>
      <c r="M6129" t="s">
        <v>31294</v>
      </c>
      <c r="N6129" t="s">
        <v>31295</v>
      </c>
      <c r="O6129" t="s">
        <v>26</v>
      </c>
      <c r="P6129">
        <v>150</v>
      </c>
      <c r="Q6129">
        <v>125</v>
      </c>
      <c r="R6129">
        <v>100</v>
      </c>
      <c r="S6129">
        <v>150</v>
      </c>
      <c r="T6129" t="s">
        <v>31296</v>
      </c>
    </row>
    <row r="6130" spans="1:20">
      <c r="A6130">
        <v>3433725</v>
      </c>
      <c r="B6130" t="s">
        <v>31297</v>
      </c>
      <c r="C6130" t="str">
        <f>"9780773545267"</f>
        <v>9780773545267</v>
      </c>
      <c r="D6130" t="str">
        <f>"9780773583658"</f>
        <v>9780773583658</v>
      </c>
      <c r="E6130" t="s">
        <v>12863</v>
      </c>
      <c r="F6130" t="s">
        <v>12863</v>
      </c>
      <c r="G6130" s="1">
        <v>42170</v>
      </c>
      <c r="H6130">
        <v>4</v>
      </c>
      <c r="J6130" t="s">
        <v>31298</v>
      </c>
      <c r="K6130" t="s">
        <v>3219</v>
      </c>
      <c r="L6130" t="s">
        <v>31299</v>
      </c>
      <c r="M6130">
        <v>911.72810000000004</v>
      </c>
      <c r="N6130" t="s">
        <v>19142</v>
      </c>
      <c r="O6130" t="s">
        <v>26</v>
      </c>
      <c r="P6130">
        <v>150</v>
      </c>
      <c r="Q6130">
        <v>125</v>
      </c>
      <c r="R6130">
        <v>100</v>
      </c>
      <c r="S6130">
        <v>150</v>
      </c>
      <c r="T6130" t="s">
        <v>31300</v>
      </c>
    </row>
    <row r="6131" spans="1:20">
      <c r="A6131">
        <v>3433726</v>
      </c>
      <c r="B6131" t="s">
        <v>31301</v>
      </c>
      <c r="C6131" t="str">
        <f>"9780773545557"</f>
        <v>9780773545557</v>
      </c>
      <c r="D6131" t="str">
        <f>"9780773584150"</f>
        <v>9780773584150</v>
      </c>
      <c r="E6131" t="s">
        <v>12863</v>
      </c>
      <c r="F6131" t="s">
        <v>12863</v>
      </c>
      <c r="G6131" s="1">
        <v>42170</v>
      </c>
      <c r="J6131" t="s">
        <v>31302</v>
      </c>
      <c r="K6131" t="s">
        <v>1471</v>
      </c>
      <c r="L6131" t="s">
        <v>31303</v>
      </c>
      <c r="M6131">
        <v>780.92</v>
      </c>
      <c r="N6131" t="s">
        <v>31304</v>
      </c>
      <c r="O6131" t="s">
        <v>26</v>
      </c>
      <c r="P6131">
        <v>150</v>
      </c>
      <c r="Q6131">
        <v>125</v>
      </c>
      <c r="R6131">
        <v>100</v>
      </c>
      <c r="S6131">
        <v>150</v>
      </c>
      <c r="T6131" t="s">
        <v>31305</v>
      </c>
    </row>
    <row r="6132" spans="1:20">
      <c r="A6132">
        <v>3433727</v>
      </c>
      <c r="B6132" t="s">
        <v>31306</v>
      </c>
      <c r="C6132" t="str">
        <f>"9780773545595"</f>
        <v>9780773545595</v>
      </c>
      <c r="D6132" t="str">
        <f>"9780773583375"</f>
        <v>9780773583375</v>
      </c>
      <c r="E6132" t="s">
        <v>12863</v>
      </c>
      <c r="F6132" t="s">
        <v>12863</v>
      </c>
      <c r="G6132" s="1">
        <v>42170</v>
      </c>
      <c r="I6132" t="s">
        <v>12942</v>
      </c>
      <c r="J6132" t="s">
        <v>13864</v>
      </c>
      <c r="K6132" t="s">
        <v>4158</v>
      </c>
      <c r="L6132" t="s">
        <v>31307</v>
      </c>
      <c r="M6132" t="s">
        <v>4240</v>
      </c>
      <c r="N6132" t="s">
        <v>31308</v>
      </c>
      <c r="O6132" t="s">
        <v>26</v>
      </c>
      <c r="P6132">
        <v>150</v>
      </c>
      <c r="Q6132">
        <v>125</v>
      </c>
      <c r="R6132">
        <v>100</v>
      </c>
      <c r="S6132">
        <v>150</v>
      </c>
      <c r="T6132" t="s">
        <v>31309</v>
      </c>
    </row>
    <row r="6133" spans="1:20">
      <c r="A6133">
        <v>3433728</v>
      </c>
      <c r="B6133" t="s">
        <v>31310</v>
      </c>
      <c r="C6133" t="str">
        <f>"9780773544789"</f>
        <v>9780773544789</v>
      </c>
      <c r="D6133" t="str">
        <f>"9780773583122"</f>
        <v>9780773583122</v>
      </c>
      <c r="E6133" t="s">
        <v>12863</v>
      </c>
      <c r="F6133" t="s">
        <v>12863</v>
      </c>
      <c r="G6133" s="1">
        <v>42170</v>
      </c>
      <c r="J6133" t="s">
        <v>31311</v>
      </c>
      <c r="K6133" t="s">
        <v>3176</v>
      </c>
      <c r="L6133" t="s">
        <v>31312</v>
      </c>
      <c r="M6133">
        <v>304.2</v>
      </c>
      <c r="N6133" t="s">
        <v>31313</v>
      </c>
      <c r="O6133" t="s">
        <v>26</v>
      </c>
      <c r="P6133">
        <v>150</v>
      </c>
      <c r="Q6133">
        <v>125</v>
      </c>
      <c r="R6133">
        <v>100</v>
      </c>
      <c r="S6133">
        <v>150</v>
      </c>
      <c r="T6133" t="s">
        <v>31314</v>
      </c>
    </row>
    <row r="6134" spans="1:20">
      <c r="A6134">
        <v>3433729</v>
      </c>
      <c r="B6134" t="s">
        <v>31315</v>
      </c>
      <c r="C6134" t="str">
        <f>"9780773545519"</f>
        <v>9780773545519</v>
      </c>
      <c r="D6134" t="str">
        <f>"9780773583696"</f>
        <v>9780773583696</v>
      </c>
      <c r="E6134" t="s">
        <v>12863</v>
      </c>
      <c r="F6134" t="s">
        <v>12863</v>
      </c>
      <c r="G6134" s="1">
        <v>42125</v>
      </c>
      <c r="J6134" t="s">
        <v>31316</v>
      </c>
      <c r="K6134" t="s">
        <v>2963</v>
      </c>
      <c r="L6134" t="s">
        <v>31317</v>
      </c>
      <c r="M6134" t="s">
        <v>31318</v>
      </c>
      <c r="N6134" t="s">
        <v>31319</v>
      </c>
      <c r="O6134" t="s">
        <v>26</v>
      </c>
      <c r="P6134">
        <v>150</v>
      </c>
      <c r="Q6134">
        <v>125</v>
      </c>
      <c r="R6134">
        <v>100</v>
      </c>
      <c r="S6134">
        <v>150</v>
      </c>
      <c r="T6134" t="s">
        <v>31320</v>
      </c>
    </row>
    <row r="6135" spans="1:20">
      <c r="A6135">
        <v>3433730</v>
      </c>
      <c r="B6135" t="s">
        <v>31321</v>
      </c>
      <c r="C6135" t="str">
        <f>"9780773545359"</f>
        <v>9780773545359</v>
      </c>
      <c r="D6135" t="str">
        <f>"9780773583979"</f>
        <v>9780773583979</v>
      </c>
      <c r="E6135" t="s">
        <v>12863</v>
      </c>
      <c r="F6135" t="s">
        <v>12863</v>
      </c>
      <c r="G6135" s="1">
        <v>42186</v>
      </c>
      <c r="J6135" t="s">
        <v>19507</v>
      </c>
      <c r="K6135" t="s">
        <v>31322</v>
      </c>
      <c r="L6135" t="s">
        <v>31323</v>
      </c>
      <c r="M6135" t="s">
        <v>31324</v>
      </c>
      <c r="N6135" t="s">
        <v>31325</v>
      </c>
      <c r="O6135" t="s">
        <v>26</v>
      </c>
      <c r="P6135">
        <v>150</v>
      </c>
      <c r="Q6135">
        <v>125</v>
      </c>
      <c r="R6135">
        <v>100</v>
      </c>
      <c r="S6135">
        <v>150</v>
      </c>
      <c r="T6135" t="s">
        <v>31326</v>
      </c>
    </row>
    <row r="6136" spans="1:20">
      <c r="A6136">
        <v>3433731</v>
      </c>
      <c r="B6136" t="s">
        <v>31327</v>
      </c>
      <c r="C6136" t="str">
        <f>"9780773544666"</f>
        <v>9780773544666</v>
      </c>
      <c r="D6136" t="str">
        <f>"9780773596689"</f>
        <v>9780773596689</v>
      </c>
      <c r="E6136" t="s">
        <v>12863</v>
      </c>
      <c r="F6136" t="s">
        <v>12863</v>
      </c>
      <c r="G6136" s="1">
        <v>42153</v>
      </c>
      <c r="J6136" t="s">
        <v>31328</v>
      </c>
      <c r="K6136" t="s">
        <v>473</v>
      </c>
      <c r="L6136" t="s">
        <v>31329</v>
      </c>
      <c r="M6136" t="s">
        <v>31330</v>
      </c>
      <c r="N6136" t="s">
        <v>31331</v>
      </c>
      <c r="O6136" t="s">
        <v>26</v>
      </c>
      <c r="P6136">
        <v>150</v>
      </c>
      <c r="Q6136">
        <v>125</v>
      </c>
      <c r="R6136">
        <v>100</v>
      </c>
      <c r="S6136">
        <v>150</v>
      </c>
      <c r="T6136" t="s">
        <v>31332</v>
      </c>
    </row>
    <row r="6137" spans="1:20">
      <c r="A6137">
        <v>3433732</v>
      </c>
      <c r="B6137" t="s">
        <v>31333</v>
      </c>
      <c r="C6137" t="str">
        <f>"9780773544703"</f>
        <v>9780773544703</v>
      </c>
      <c r="D6137" t="str">
        <f>"9780773596856"</f>
        <v>9780773596856</v>
      </c>
      <c r="E6137" t="s">
        <v>12863</v>
      </c>
      <c r="F6137" t="s">
        <v>12863</v>
      </c>
      <c r="G6137" s="1">
        <v>42181</v>
      </c>
      <c r="J6137" t="s">
        <v>31334</v>
      </c>
      <c r="K6137" t="s">
        <v>473</v>
      </c>
      <c r="L6137" t="s">
        <v>31335</v>
      </c>
      <c r="M6137">
        <v>306.20970999999997</v>
      </c>
      <c r="N6137" t="s">
        <v>31336</v>
      </c>
      <c r="O6137" t="s">
        <v>26</v>
      </c>
      <c r="P6137">
        <v>150</v>
      </c>
      <c r="Q6137">
        <v>125</v>
      </c>
      <c r="R6137">
        <v>100</v>
      </c>
      <c r="S6137">
        <v>150</v>
      </c>
      <c r="T6137" t="s">
        <v>31337</v>
      </c>
    </row>
    <row r="6138" spans="1:20">
      <c r="A6138">
        <v>3433733</v>
      </c>
      <c r="B6138" t="s">
        <v>31338</v>
      </c>
      <c r="C6138" t="str">
        <f>"9780773545298"</f>
        <v>9780773545298</v>
      </c>
      <c r="D6138" t="str">
        <f>"9780773583825"</f>
        <v>9780773583825</v>
      </c>
      <c r="E6138" t="s">
        <v>12863</v>
      </c>
      <c r="F6138" t="s">
        <v>12863</v>
      </c>
      <c r="G6138" s="1">
        <v>42170</v>
      </c>
      <c r="J6138" t="s">
        <v>31339</v>
      </c>
      <c r="K6138" t="s">
        <v>473</v>
      </c>
      <c r="L6138" t="s">
        <v>31340</v>
      </c>
      <c r="M6138" t="s">
        <v>20952</v>
      </c>
      <c r="N6138" t="s">
        <v>31341</v>
      </c>
      <c r="O6138" t="s">
        <v>26</v>
      </c>
      <c r="P6138">
        <v>150</v>
      </c>
      <c r="Q6138">
        <v>125</v>
      </c>
      <c r="R6138">
        <v>100</v>
      </c>
      <c r="S6138">
        <v>150</v>
      </c>
      <c r="T6138" t="s">
        <v>31342</v>
      </c>
    </row>
    <row r="6139" spans="1:20">
      <c r="A6139">
        <v>3433734</v>
      </c>
      <c r="B6139" t="s">
        <v>31343</v>
      </c>
      <c r="C6139" t="str">
        <f>"9780773545649"</f>
        <v>9780773545649</v>
      </c>
      <c r="D6139" t="str">
        <f>"9780773597280"</f>
        <v>9780773597280</v>
      </c>
      <c r="E6139" t="s">
        <v>12863</v>
      </c>
      <c r="F6139" t="s">
        <v>12863</v>
      </c>
      <c r="G6139" s="1">
        <v>42188</v>
      </c>
      <c r="J6139" t="s">
        <v>31344</v>
      </c>
      <c r="K6139" t="s">
        <v>467</v>
      </c>
      <c r="L6139" t="s">
        <v>31345</v>
      </c>
      <c r="M6139" t="s">
        <v>31346</v>
      </c>
      <c r="N6139" t="s">
        <v>31347</v>
      </c>
      <c r="O6139" t="s">
        <v>26</v>
      </c>
      <c r="P6139">
        <v>150</v>
      </c>
      <c r="R6139">
        <v>100</v>
      </c>
      <c r="T6139" t="s">
        <v>31348</v>
      </c>
    </row>
    <row r="6140" spans="1:20">
      <c r="A6140">
        <v>3433735</v>
      </c>
      <c r="B6140" t="s">
        <v>31349</v>
      </c>
      <c r="C6140" t="str">
        <f>"9780773545373"</f>
        <v>9780773545373</v>
      </c>
      <c r="D6140" t="str">
        <f>"9780773584037"</f>
        <v>9780773584037</v>
      </c>
      <c r="E6140" t="s">
        <v>12863</v>
      </c>
      <c r="F6140" t="s">
        <v>12863</v>
      </c>
      <c r="G6140" s="1">
        <v>42156</v>
      </c>
      <c r="I6140" t="s">
        <v>14374</v>
      </c>
      <c r="J6140" t="s">
        <v>31350</v>
      </c>
      <c r="K6140" t="s">
        <v>278</v>
      </c>
      <c r="L6140" t="s">
        <v>31351</v>
      </c>
      <c r="M6140">
        <v>330.971428</v>
      </c>
      <c r="N6140" t="s">
        <v>31352</v>
      </c>
      <c r="O6140" t="s">
        <v>26</v>
      </c>
      <c r="P6140">
        <v>150</v>
      </c>
      <c r="Q6140">
        <v>125</v>
      </c>
      <c r="R6140">
        <v>100</v>
      </c>
      <c r="S6140">
        <v>150</v>
      </c>
      <c r="T6140" t="s">
        <v>31353</v>
      </c>
    </row>
    <row r="6141" spans="1:20">
      <c r="A6141">
        <v>3433736</v>
      </c>
      <c r="B6141" t="s">
        <v>31354</v>
      </c>
      <c r="C6141" t="str">
        <f>"9780773545335"</f>
        <v>9780773545335</v>
      </c>
      <c r="D6141" t="str">
        <f>"9780773583887"</f>
        <v>9780773583887</v>
      </c>
      <c r="E6141" t="s">
        <v>12863</v>
      </c>
      <c r="F6141" t="s">
        <v>12863</v>
      </c>
      <c r="G6141" s="1">
        <v>42195</v>
      </c>
      <c r="I6141" t="s">
        <v>14374</v>
      </c>
      <c r="J6141" t="s">
        <v>31355</v>
      </c>
      <c r="K6141" t="s">
        <v>263</v>
      </c>
      <c r="L6141" t="s">
        <v>31356</v>
      </c>
      <c r="M6141">
        <v>306.74097142709002</v>
      </c>
      <c r="N6141" t="s">
        <v>31357</v>
      </c>
      <c r="O6141" t="s">
        <v>26</v>
      </c>
      <c r="P6141">
        <v>150</v>
      </c>
      <c r="Q6141">
        <v>125</v>
      </c>
      <c r="R6141">
        <v>100</v>
      </c>
      <c r="S6141">
        <v>150</v>
      </c>
      <c r="T6141" t="s">
        <v>31358</v>
      </c>
    </row>
    <row r="6142" spans="1:20">
      <c r="A6142">
        <v>3433737</v>
      </c>
      <c r="B6142" t="s">
        <v>31359</v>
      </c>
      <c r="C6142" t="str">
        <f>"9780773545236"</f>
        <v>9780773545236</v>
      </c>
      <c r="D6142" t="str">
        <f>"9780773583412"</f>
        <v>9780773583412</v>
      </c>
      <c r="E6142" t="s">
        <v>12863</v>
      </c>
      <c r="F6142" t="s">
        <v>12863</v>
      </c>
      <c r="G6142" s="1">
        <v>42209</v>
      </c>
      <c r="J6142" t="s">
        <v>31360</v>
      </c>
      <c r="K6142" t="s">
        <v>525</v>
      </c>
      <c r="L6142" t="s">
        <v>31361</v>
      </c>
      <c r="M6142">
        <v>340.10919999999999</v>
      </c>
      <c r="N6142" t="s">
        <v>31362</v>
      </c>
      <c r="O6142" t="s">
        <v>26</v>
      </c>
      <c r="P6142">
        <v>150</v>
      </c>
      <c r="Q6142">
        <v>125</v>
      </c>
      <c r="R6142">
        <v>100</v>
      </c>
      <c r="S6142">
        <v>150</v>
      </c>
      <c r="T6142" t="s">
        <v>31363</v>
      </c>
    </row>
    <row r="6143" spans="1:20">
      <c r="A6143">
        <v>3433738</v>
      </c>
      <c r="B6143" t="s">
        <v>31364</v>
      </c>
      <c r="C6143" t="str">
        <f>"9780773545540"</f>
        <v>9780773545540</v>
      </c>
      <c r="D6143" t="str">
        <f>"9780773583993"</f>
        <v>9780773583993</v>
      </c>
      <c r="E6143" t="s">
        <v>12863</v>
      </c>
      <c r="F6143" t="s">
        <v>12863</v>
      </c>
      <c r="G6143" s="1">
        <v>42230</v>
      </c>
      <c r="J6143" t="s">
        <v>31365</v>
      </c>
      <c r="K6143" t="s">
        <v>1530</v>
      </c>
      <c r="L6143" t="s">
        <v>31366</v>
      </c>
      <c r="M6143" t="s">
        <v>31367</v>
      </c>
      <c r="N6143" t="s">
        <v>31368</v>
      </c>
      <c r="O6143" t="s">
        <v>26</v>
      </c>
      <c r="P6143">
        <v>150</v>
      </c>
      <c r="Q6143">
        <v>125</v>
      </c>
      <c r="R6143">
        <v>100</v>
      </c>
      <c r="S6143">
        <v>150</v>
      </c>
      <c r="T6143" t="s">
        <v>31369</v>
      </c>
    </row>
    <row r="6144" spans="1:20">
      <c r="A6144">
        <v>3433739</v>
      </c>
      <c r="B6144" t="s">
        <v>31370</v>
      </c>
      <c r="C6144" t="str">
        <f>"9780773544826"</f>
        <v>9780773544826</v>
      </c>
      <c r="D6144" t="str">
        <f>"9780773582583"</f>
        <v>9780773582583</v>
      </c>
      <c r="E6144" t="s">
        <v>12863</v>
      </c>
      <c r="F6144" t="s">
        <v>12863</v>
      </c>
      <c r="G6144" s="1">
        <v>42223</v>
      </c>
      <c r="J6144" t="s">
        <v>31371</v>
      </c>
      <c r="K6144" t="s">
        <v>6813</v>
      </c>
      <c r="L6144" t="s">
        <v>31372</v>
      </c>
      <c r="M6144">
        <v>361.75097099999999</v>
      </c>
      <c r="N6144" t="s">
        <v>31373</v>
      </c>
      <c r="O6144" t="s">
        <v>94</v>
      </c>
      <c r="P6144">
        <v>150</v>
      </c>
      <c r="Q6144">
        <v>125</v>
      </c>
      <c r="R6144">
        <v>100</v>
      </c>
      <c r="S6144">
        <v>150</v>
      </c>
      <c r="T6144" t="s">
        <v>31374</v>
      </c>
    </row>
    <row r="6145" spans="1:20">
      <c r="A6145">
        <v>3433740</v>
      </c>
      <c r="B6145" t="s">
        <v>31375</v>
      </c>
      <c r="C6145" t="str">
        <f>"9780773545434"</f>
        <v>9780773545434</v>
      </c>
      <c r="D6145" t="str">
        <f>"9780773582972"</f>
        <v>9780773582972</v>
      </c>
      <c r="E6145" t="s">
        <v>12863</v>
      </c>
      <c r="F6145" t="s">
        <v>12863</v>
      </c>
      <c r="G6145" s="1">
        <v>42230</v>
      </c>
      <c r="J6145" t="s">
        <v>20646</v>
      </c>
      <c r="K6145" t="s">
        <v>1471</v>
      </c>
      <c r="L6145" t="s">
        <v>31376</v>
      </c>
      <c r="M6145" t="s">
        <v>31377</v>
      </c>
      <c r="N6145" t="s">
        <v>31378</v>
      </c>
      <c r="O6145" t="s">
        <v>26</v>
      </c>
      <c r="P6145">
        <v>150</v>
      </c>
      <c r="Q6145">
        <v>125</v>
      </c>
      <c r="R6145">
        <v>100</v>
      </c>
      <c r="S6145">
        <v>150</v>
      </c>
      <c r="T6145" t="s">
        <v>31379</v>
      </c>
    </row>
    <row r="6146" spans="1:20">
      <c r="A6146">
        <v>3433741</v>
      </c>
      <c r="B6146" t="s">
        <v>31380</v>
      </c>
      <c r="C6146" t="str">
        <f>"9780773545618"</f>
        <v>9780773545618</v>
      </c>
      <c r="D6146" t="str">
        <f>"9780773584129"</f>
        <v>9780773584129</v>
      </c>
      <c r="E6146" t="s">
        <v>12863</v>
      </c>
      <c r="F6146" t="s">
        <v>12863</v>
      </c>
      <c r="G6146" s="1">
        <v>42223</v>
      </c>
      <c r="I6146" t="s">
        <v>19859</v>
      </c>
      <c r="J6146" t="s">
        <v>31381</v>
      </c>
      <c r="K6146" t="s">
        <v>291</v>
      </c>
      <c r="L6146" t="s">
        <v>31382</v>
      </c>
      <c r="M6146">
        <v>971.03</v>
      </c>
      <c r="N6146" t="s">
        <v>31383</v>
      </c>
      <c r="O6146" t="s">
        <v>26</v>
      </c>
      <c r="P6146">
        <v>165</v>
      </c>
      <c r="Q6146">
        <v>137.5</v>
      </c>
      <c r="R6146">
        <v>110</v>
      </c>
      <c r="S6146">
        <v>165</v>
      </c>
      <c r="T6146" t="s">
        <v>31384</v>
      </c>
    </row>
    <row r="6147" spans="1:20">
      <c r="A6147">
        <v>3433742</v>
      </c>
      <c r="B6147" t="s">
        <v>31385</v>
      </c>
      <c r="C6147" t="str">
        <f>"9780773546028"</f>
        <v>9780773546028</v>
      </c>
      <c r="D6147" t="str">
        <f>"9780773597761"</f>
        <v>9780773597761</v>
      </c>
      <c r="E6147" t="s">
        <v>12863</v>
      </c>
      <c r="F6147" t="s">
        <v>12863</v>
      </c>
      <c r="G6147" s="1">
        <v>42223</v>
      </c>
      <c r="J6147" t="s">
        <v>31386</v>
      </c>
      <c r="K6147" t="s">
        <v>1464</v>
      </c>
      <c r="L6147" t="s">
        <v>31387</v>
      </c>
      <c r="M6147" t="s">
        <v>7511</v>
      </c>
      <c r="N6147" t="s">
        <v>31388</v>
      </c>
      <c r="O6147" t="s">
        <v>26</v>
      </c>
      <c r="P6147">
        <v>150</v>
      </c>
      <c r="Q6147">
        <v>125</v>
      </c>
      <c r="R6147">
        <v>100</v>
      </c>
      <c r="S6147">
        <v>150</v>
      </c>
      <c r="T6147" t="s">
        <v>31389</v>
      </c>
    </row>
    <row r="6148" spans="1:20">
      <c r="A6148">
        <v>3433743</v>
      </c>
      <c r="B6148" t="s">
        <v>31390</v>
      </c>
      <c r="C6148" t="str">
        <f>"9780773545939"</f>
        <v>9780773545939</v>
      </c>
      <c r="D6148" t="str">
        <f>"9780773597662"</f>
        <v>9780773597662</v>
      </c>
      <c r="E6148" t="s">
        <v>12863</v>
      </c>
      <c r="F6148" t="s">
        <v>12863</v>
      </c>
      <c r="G6148" s="1">
        <v>42244</v>
      </c>
      <c r="J6148" t="s">
        <v>31391</v>
      </c>
      <c r="K6148" t="s">
        <v>1464</v>
      </c>
      <c r="L6148" t="s">
        <v>31392</v>
      </c>
      <c r="M6148" t="s">
        <v>6931</v>
      </c>
      <c r="N6148" t="s">
        <v>31393</v>
      </c>
      <c r="O6148" t="s">
        <v>26</v>
      </c>
      <c r="P6148">
        <v>150</v>
      </c>
      <c r="Q6148">
        <v>125</v>
      </c>
      <c r="R6148">
        <v>100</v>
      </c>
      <c r="S6148">
        <v>150</v>
      </c>
      <c r="T6148" t="s">
        <v>31394</v>
      </c>
    </row>
    <row r="6149" spans="1:20">
      <c r="A6149">
        <v>3433744</v>
      </c>
      <c r="B6149" t="s">
        <v>31395</v>
      </c>
      <c r="C6149" t="str">
        <f>"9780773545809"</f>
        <v>9780773545809</v>
      </c>
      <c r="D6149" t="str">
        <f>"9780773597464"</f>
        <v>9780773597464</v>
      </c>
      <c r="E6149" t="s">
        <v>12863</v>
      </c>
      <c r="F6149" t="s">
        <v>12863</v>
      </c>
      <c r="G6149" s="1">
        <v>42230</v>
      </c>
      <c r="J6149" t="s">
        <v>31396</v>
      </c>
      <c r="K6149" t="s">
        <v>1464</v>
      </c>
      <c r="L6149" t="s">
        <v>31397</v>
      </c>
      <c r="M6149" t="s">
        <v>1466</v>
      </c>
      <c r="N6149" t="s">
        <v>7851</v>
      </c>
      <c r="O6149" t="s">
        <v>26</v>
      </c>
      <c r="P6149">
        <v>150</v>
      </c>
      <c r="Q6149">
        <v>125</v>
      </c>
      <c r="R6149">
        <v>100</v>
      </c>
      <c r="S6149">
        <v>150</v>
      </c>
      <c r="T6149" t="s">
        <v>31398</v>
      </c>
    </row>
    <row r="6150" spans="1:20">
      <c r="A6150">
        <v>3433745</v>
      </c>
      <c r="B6150" t="s">
        <v>31399</v>
      </c>
      <c r="C6150" t="str">
        <f>"9780773545663"</f>
        <v>9780773545663</v>
      </c>
      <c r="D6150" t="str">
        <f>"9780773597303"</f>
        <v>9780773597303</v>
      </c>
      <c r="E6150" t="s">
        <v>12863</v>
      </c>
      <c r="F6150" t="s">
        <v>12863</v>
      </c>
      <c r="G6150" s="1">
        <v>42188</v>
      </c>
      <c r="J6150" t="s">
        <v>31400</v>
      </c>
      <c r="K6150" t="s">
        <v>1892</v>
      </c>
      <c r="L6150" t="s">
        <v>31401</v>
      </c>
      <c r="M6150" t="s">
        <v>31402</v>
      </c>
      <c r="N6150" t="s">
        <v>31403</v>
      </c>
      <c r="O6150" t="s">
        <v>26</v>
      </c>
      <c r="P6150">
        <v>150</v>
      </c>
      <c r="Q6150">
        <v>125</v>
      </c>
      <c r="R6150">
        <v>100</v>
      </c>
      <c r="S6150">
        <v>150</v>
      </c>
      <c r="T6150" t="s">
        <v>31404</v>
      </c>
    </row>
    <row r="6151" spans="1:20">
      <c r="A6151">
        <v>3433746</v>
      </c>
      <c r="B6151" t="s">
        <v>31405</v>
      </c>
      <c r="C6151" t="str">
        <f>"9780773546219"</f>
        <v>9780773546219</v>
      </c>
      <c r="D6151" t="str">
        <f>"9780773597945"</f>
        <v>9780773597945</v>
      </c>
      <c r="E6151" t="s">
        <v>12863</v>
      </c>
      <c r="F6151" t="s">
        <v>12863</v>
      </c>
      <c r="G6151" s="1">
        <v>42248</v>
      </c>
      <c r="J6151" t="s">
        <v>17039</v>
      </c>
      <c r="K6151" t="s">
        <v>467</v>
      </c>
      <c r="L6151" t="s">
        <v>31406</v>
      </c>
      <c r="M6151">
        <v>351.71</v>
      </c>
      <c r="N6151" t="s">
        <v>31407</v>
      </c>
      <c r="O6151" t="s">
        <v>26</v>
      </c>
      <c r="P6151">
        <v>150</v>
      </c>
      <c r="Q6151">
        <v>125</v>
      </c>
      <c r="R6151">
        <v>100</v>
      </c>
      <c r="S6151">
        <v>150</v>
      </c>
      <c r="T6151" t="s">
        <v>31408</v>
      </c>
    </row>
    <row r="6152" spans="1:20">
      <c r="A6152">
        <v>3433747</v>
      </c>
      <c r="B6152" t="s">
        <v>31409</v>
      </c>
      <c r="C6152" t="str">
        <f>"9780773546059"</f>
        <v>9780773546059</v>
      </c>
      <c r="D6152" t="str">
        <f>"9780773597808"</f>
        <v>9780773597808</v>
      </c>
      <c r="E6152" t="s">
        <v>12863</v>
      </c>
      <c r="F6152" t="s">
        <v>12863</v>
      </c>
      <c r="G6152" s="1">
        <v>42248</v>
      </c>
      <c r="J6152" t="s">
        <v>31410</v>
      </c>
      <c r="K6152" t="s">
        <v>291</v>
      </c>
      <c r="L6152" t="s">
        <v>31411</v>
      </c>
      <c r="M6152">
        <v>944.08100000000002</v>
      </c>
      <c r="N6152" t="s">
        <v>31412</v>
      </c>
      <c r="O6152" t="s">
        <v>26</v>
      </c>
      <c r="P6152">
        <v>150</v>
      </c>
      <c r="Q6152">
        <v>125</v>
      </c>
      <c r="R6152">
        <v>100</v>
      </c>
      <c r="S6152">
        <v>150</v>
      </c>
      <c r="T6152" t="s">
        <v>31413</v>
      </c>
    </row>
    <row r="6153" spans="1:20">
      <c r="A6153">
        <v>3433748</v>
      </c>
      <c r="B6153" t="s">
        <v>31414</v>
      </c>
      <c r="C6153" t="str">
        <f>"9780773545168"</f>
        <v>9780773545168</v>
      </c>
      <c r="D6153" t="str">
        <f>"9780773582835"</f>
        <v>9780773582835</v>
      </c>
      <c r="E6153" t="s">
        <v>12863</v>
      </c>
      <c r="F6153" t="s">
        <v>12863</v>
      </c>
      <c r="G6153" s="1">
        <v>42244</v>
      </c>
      <c r="J6153" t="s">
        <v>31415</v>
      </c>
      <c r="K6153" t="s">
        <v>263</v>
      </c>
      <c r="L6153" t="s">
        <v>31416</v>
      </c>
      <c r="M6153">
        <v>362.87</v>
      </c>
      <c r="N6153" t="s">
        <v>31417</v>
      </c>
      <c r="O6153" t="s">
        <v>26</v>
      </c>
      <c r="P6153">
        <v>150</v>
      </c>
      <c r="Q6153">
        <v>125</v>
      </c>
      <c r="R6153">
        <v>100</v>
      </c>
      <c r="S6153">
        <v>150</v>
      </c>
      <c r="T6153" t="s">
        <v>31418</v>
      </c>
    </row>
    <row r="6154" spans="1:20">
      <c r="A6154">
        <v>3440655</v>
      </c>
      <c r="B6154" t="s">
        <v>31419</v>
      </c>
      <c r="C6154" t="str">
        <f>"9780774828802"</f>
        <v>9780774828802</v>
      </c>
      <c r="D6154" t="str">
        <f>"9780774828826"</f>
        <v>9780774828826</v>
      </c>
      <c r="E6154" t="s">
        <v>26801</v>
      </c>
      <c r="F6154" t="s">
        <v>26801</v>
      </c>
      <c r="G6154" s="1">
        <v>42160</v>
      </c>
      <c r="I6154" t="s">
        <v>31196</v>
      </c>
      <c r="J6154" t="s">
        <v>31420</v>
      </c>
      <c r="K6154" t="s">
        <v>1214</v>
      </c>
      <c r="L6154" t="s">
        <v>31421</v>
      </c>
      <c r="M6154">
        <v>323.09728100000001</v>
      </c>
      <c r="N6154" t="s">
        <v>31422</v>
      </c>
      <c r="O6154" t="s">
        <v>26</v>
      </c>
      <c r="R6154">
        <v>99</v>
      </c>
      <c r="T6154" t="s">
        <v>31423</v>
      </c>
    </row>
    <row r="6155" spans="1:20">
      <c r="A6155">
        <v>3440658</v>
      </c>
      <c r="B6155" t="s">
        <v>31424</v>
      </c>
      <c r="C6155" t="str">
        <f>"9780774828451"</f>
        <v>9780774828451</v>
      </c>
      <c r="D6155" t="str">
        <f>"9780774828475"</f>
        <v>9780774828475</v>
      </c>
      <c r="E6155" t="s">
        <v>26801</v>
      </c>
      <c r="F6155" t="s">
        <v>26801</v>
      </c>
      <c r="G6155" s="1">
        <v>42186</v>
      </c>
      <c r="I6155" t="s">
        <v>29925</v>
      </c>
      <c r="J6155" t="s">
        <v>31425</v>
      </c>
      <c r="K6155" t="s">
        <v>416</v>
      </c>
      <c r="L6155" t="s">
        <v>31426</v>
      </c>
      <c r="M6155">
        <v>338.27285097100003</v>
      </c>
      <c r="N6155" t="s">
        <v>31427</v>
      </c>
      <c r="O6155" t="s">
        <v>26</v>
      </c>
      <c r="R6155">
        <v>99</v>
      </c>
      <c r="T6155" t="s">
        <v>31428</v>
      </c>
    </row>
    <row r="6156" spans="1:20">
      <c r="A6156">
        <v>3440660</v>
      </c>
      <c r="B6156" t="s">
        <v>31429</v>
      </c>
      <c r="C6156" t="str">
        <f>"9780774829687"</f>
        <v>9780774829687</v>
      </c>
      <c r="D6156" t="str">
        <f>"9780774829694"</f>
        <v>9780774829694</v>
      </c>
      <c r="E6156" t="s">
        <v>26801</v>
      </c>
      <c r="F6156" t="s">
        <v>26801</v>
      </c>
      <c r="G6156" s="1">
        <v>42200</v>
      </c>
      <c r="J6156" t="s">
        <v>31430</v>
      </c>
      <c r="K6156" t="s">
        <v>263</v>
      </c>
      <c r="L6156" t="s">
        <v>31431</v>
      </c>
      <c r="M6156">
        <v>363.47</v>
      </c>
      <c r="N6156" t="s">
        <v>31432</v>
      </c>
      <c r="O6156" t="s">
        <v>26</v>
      </c>
      <c r="R6156">
        <v>99</v>
      </c>
      <c r="T6156" t="s">
        <v>31433</v>
      </c>
    </row>
    <row r="6157" spans="1:20">
      <c r="A6157">
        <v>3443813</v>
      </c>
      <c r="B6157" t="s">
        <v>31434</v>
      </c>
      <c r="C6157" t="str">
        <f>"9780802066695"</f>
        <v>9780802066695</v>
      </c>
      <c r="D6157" t="str">
        <f>"9781442673106"</f>
        <v>9781442673106</v>
      </c>
      <c r="E6157" t="s">
        <v>31435</v>
      </c>
      <c r="F6157" t="s">
        <v>31436</v>
      </c>
      <c r="G6157" s="1">
        <v>32112</v>
      </c>
      <c r="J6157" t="s">
        <v>31437</v>
      </c>
      <c r="K6157" t="s">
        <v>1471</v>
      </c>
      <c r="L6157" t="s">
        <v>31438</v>
      </c>
      <c r="M6157" t="s">
        <v>31439</v>
      </c>
      <c r="N6157" t="s">
        <v>31440</v>
      </c>
      <c r="O6157" t="s">
        <v>26</v>
      </c>
      <c r="R6157">
        <v>48.95</v>
      </c>
      <c r="S6157">
        <v>73.430000000000007</v>
      </c>
      <c r="T6157" t="s">
        <v>31441</v>
      </c>
    </row>
    <row r="6158" spans="1:20">
      <c r="A6158">
        <v>3443814</v>
      </c>
      <c r="B6158" t="s">
        <v>31442</v>
      </c>
      <c r="C6158" t="str">
        <f>"9780802087249"</f>
        <v>9780802087249</v>
      </c>
      <c r="D6158" t="str">
        <f>"9781442679528"</f>
        <v>9781442679528</v>
      </c>
      <c r="E6158" t="s">
        <v>31435</v>
      </c>
      <c r="F6158" t="s">
        <v>31436</v>
      </c>
      <c r="G6158" s="1">
        <v>38273</v>
      </c>
      <c r="I6158" t="s">
        <v>31443</v>
      </c>
      <c r="J6158" t="s">
        <v>31444</v>
      </c>
      <c r="K6158" t="s">
        <v>1464</v>
      </c>
      <c r="L6158" t="s">
        <v>31445</v>
      </c>
      <c r="M6158" t="s">
        <v>31446</v>
      </c>
      <c r="N6158" t="s">
        <v>31447</v>
      </c>
      <c r="O6158" t="s">
        <v>26</v>
      </c>
      <c r="R6158">
        <v>72</v>
      </c>
      <c r="S6158">
        <v>108</v>
      </c>
      <c r="T6158" t="s">
        <v>31448</v>
      </c>
    </row>
    <row r="6159" spans="1:20">
      <c r="A6159">
        <v>3443815</v>
      </c>
      <c r="B6159" t="s">
        <v>31449</v>
      </c>
      <c r="C6159" t="str">
        <f>"9780802088260"</f>
        <v>9780802088260</v>
      </c>
      <c r="D6159" t="str">
        <f>"9781442683815"</f>
        <v>9781442683815</v>
      </c>
      <c r="E6159" t="s">
        <v>31435</v>
      </c>
      <c r="F6159" t="s">
        <v>31436</v>
      </c>
      <c r="G6159" s="1">
        <v>38110</v>
      </c>
      <c r="I6159" t="s">
        <v>31450</v>
      </c>
      <c r="J6159" t="s">
        <v>31451</v>
      </c>
      <c r="K6159" t="s">
        <v>31452</v>
      </c>
      <c r="L6159" t="s">
        <v>31453</v>
      </c>
      <c r="M6159">
        <v>155.84970089999999</v>
      </c>
      <c r="N6159" t="s">
        <v>31454</v>
      </c>
      <c r="O6159" t="s">
        <v>26</v>
      </c>
      <c r="R6159">
        <v>104</v>
      </c>
      <c r="S6159">
        <v>156</v>
      </c>
      <c r="T6159" t="s">
        <v>31455</v>
      </c>
    </row>
    <row r="6160" spans="1:20">
      <c r="A6160">
        <v>3444539</v>
      </c>
      <c r="B6160" t="s">
        <v>31456</v>
      </c>
      <c r="C6160" t="str">
        <f>"9780295979571"</f>
        <v>9780295979571</v>
      </c>
      <c r="D6160" t="str">
        <f>"9780295802688"</f>
        <v>9780295802688</v>
      </c>
      <c r="E6160" t="s">
        <v>31457</v>
      </c>
      <c r="F6160" t="s">
        <v>31458</v>
      </c>
      <c r="G6160" s="1">
        <v>36526</v>
      </c>
      <c r="I6160" t="s">
        <v>31459</v>
      </c>
      <c r="J6160" t="s">
        <v>31460</v>
      </c>
      <c r="K6160" t="s">
        <v>291</v>
      </c>
      <c r="L6160" t="s">
        <v>31461</v>
      </c>
      <c r="M6160" t="s">
        <v>31462</v>
      </c>
      <c r="N6160" t="s">
        <v>31463</v>
      </c>
      <c r="O6160" t="s">
        <v>26</v>
      </c>
      <c r="R6160">
        <v>20</v>
      </c>
      <c r="S6160">
        <v>30</v>
      </c>
      <c r="T6160" t="s">
        <v>31464</v>
      </c>
    </row>
    <row r="6161" spans="1:20">
      <c r="A6161">
        <v>3563611</v>
      </c>
      <c r="B6161" t="s">
        <v>31465</v>
      </c>
      <c r="C6161" t="str">
        <f>"9780660190280"</f>
        <v>9780660190280</v>
      </c>
      <c r="D6161" t="str">
        <f>"9781459302495"</f>
        <v>9781459302495</v>
      </c>
      <c r="E6161" t="s">
        <v>21</v>
      </c>
      <c r="F6161" t="s">
        <v>21</v>
      </c>
      <c r="G6161" s="1">
        <v>37622</v>
      </c>
      <c r="J6161" t="s">
        <v>31466</v>
      </c>
      <c r="K6161" t="s">
        <v>16707</v>
      </c>
      <c r="L6161" t="s">
        <v>31467</v>
      </c>
      <c r="M6161">
        <v>4.3499999999999996</v>
      </c>
      <c r="N6161" t="s">
        <v>31468</v>
      </c>
      <c r="O6161" t="s">
        <v>26</v>
      </c>
      <c r="P6161">
        <v>20</v>
      </c>
      <c r="T6161" t="s">
        <v>31469</v>
      </c>
    </row>
    <row r="6162" spans="1:20">
      <c r="A6162">
        <v>3564831</v>
      </c>
      <c r="B6162" t="s">
        <v>31470</v>
      </c>
      <c r="C6162" t="str">
        <f>"9781770412415"</f>
        <v>9781770412415</v>
      </c>
      <c r="D6162" t="str">
        <f>"9781770907218"</f>
        <v>9781770907218</v>
      </c>
      <c r="E6162" t="s">
        <v>7707</v>
      </c>
      <c r="F6162" t="s">
        <v>7707</v>
      </c>
      <c r="G6162" s="1">
        <v>42108</v>
      </c>
      <c r="J6162" t="s">
        <v>31471</v>
      </c>
      <c r="K6162" t="s">
        <v>1464</v>
      </c>
      <c r="L6162" t="s">
        <v>31472</v>
      </c>
      <c r="M6162" t="s">
        <v>1545</v>
      </c>
      <c r="N6162" t="s">
        <v>31473</v>
      </c>
      <c r="O6162" t="s">
        <v>26</v>
      </c>
      <c r="P6162">
        <v>13.99</v>
      </c>
      <c r="R6162">
        <v>13.99</v>
      </c>
      <c r="S6162">
        <v>20.99</v>
      </c>
      <c r="T6162" t="s">
        <v>31474</v>
      </c>
    </row>
    <row r="6163" spans="1:20">
      <c r="A6163">
        <v>3564836</v>
      </c>
      <c r="B6163" t="s">
        <v>31475</v>
      </c>
      <c r="C6163" t="str">
        <f>"9781770411913"</f>
        <v>9781770411913</v>
      </c>
      <c r="D6163" t="str">
        <f>"9781770907003"</f>
        <v>9781770907003</v>
      </c>
      <c r="E6163" t="s">
        <v>7707</v>
      </c>
      <c r="F6163" t="s">
        <v>7707</v>
      </c>
      <c r="G6163" s="1">
        <v>42136</v>
      </c>
      <c r="J6163" t="s">
        <v>11123</v>
      </c>
      <c r="K6163" t="s">
        <v>15517</v>
      </c>
      <c r="L6163" t="s">
        <v>31476</v>
      </c>
      <c r="M6163">
        <v>500</v>
      </c>
      <c r="N6163" t="s">
        <v>31477</v>
      </c>
      <c r="O6163" t="s">
        <v>26</v>
      </c>
      <c r="P6163">
        <v>12.99</v>
      </c>
      <c r="R6163">
        <v>12.99</v>
      </c>
      <c r="S6163">
        <v>19.489999999999998</v>
      </c>
      <c r="T6163" t="s">
        <v>31478</v>
      </c>
    </row>
    <row r="6164" spans="1:20">
      <c r="A6164">
        <v>3564842</v>
      </c>
      <c r="B6164" t="s">
        <v>31479</v>
      </c>
      <c r="C6164" t="str">
        <f>"9781770412606"</f>
        <v>9781770412606</v>
      </c>
      <c r="D6164" t="str">
        <f>"9781770907331"</f>
        <v>9781770907331</v>
      </c>
      <c r="E6164" t="s">
        <v>7707</v>
      </c>
      <c r="F6164" t="s">
        <v>7707</v>
      </c>
      <c r="G6164" s="1">
        <v>42136</v>
      </c>
      <c r="J6164" t="s">
        <v>31480</v>
      </c>
      <c r="K6164" t="s">
        <v>10956</v>
      </c>
      <c r="L6164" t="s">
        <v>31481</v>
      </c>
      <c r="M6164">
        <v>70.409239999999997</v>
      </c>
      <c r="N6164" t="s">
        <v>31482</v>
      </c>
      <c r="O6164" t="s">
        <v>26</v>
      </c>
      <c r="P6164">
        <v>16.989999999999998</v>
      </c>
      <c r="R6164">
        <v>16.989999999999998</v>
      </c>
      <c r="S6164">
        <v>25.49</v>
      </c>
      <c r="T6164" t="s">
        <v>31483</v>
      </c>
    </row>
    <row r="6165" spans="1:20">
      <c r="A6165">
        <v>3564853</v>
      </c>
      <c r="B6165" t="s">
        <v>31484</v>
      </c>
      <c r="C6165" t="str">
        <f>"9781770412330"</f>
        <v>9781770412330</v>
      </c>
      <c r="D6165" t="str">
        <f>"9781770907157"</f>
        <v>9781770907157</v>
      </c>
      <c r="E6165" t="s">
        <v>7707</v>
      </c>
      <c r="F6165" t="s">
        <v>7707</v>
      </c>
      <c r="G6165" s="1">
        <v>41275</v>
      </c>
      <c r="J6165" t="s">
        <v>31485</v>
      </c>
      <c r="K6165" t="s">
        <v>1464</v>
      </c>
      <c r="L6165" t="s">
        <v>31486</v>
      </c>
      <c r="M6165" t="s">
        <v>1509</v>
      </c>
      <c r="N6165" t="s">
        <v>31487</v>
      </c>
      <c r="O6165" t="s">
        <v>26</v>
      </c>
      <c r="P6165">
        <v>13.99</v>
      </c>
      <c r="R6165">
        <v>13.99</v>
      </c>
      <c r="S6165">
        <v>20.99</v>
      </c>
      <c r="T6165" t="s">
        <v>31488</v>
      </c>
    </row>
    <row r="6166" spans="1:20">
      <c r="A6166">
        <v>3564854</v>
      </c>
      <c r="B6166" t="s">
        <v>31489</v>
      </c>
      <c r="C6166" t="str">
        <f>"9781770412088"</f>
        <v>9781770412088</v>
      </c>
      <c r="D6166" t="str">
        <f>"9781770907034"</f>
        <v>9781770907034</v>
      </c>
      <c r="E6166" t="s">
        <v>7707</v>
      </c>
      <c r="F6166" t="s">
        <v>7707</v>
      </c>
      <c r="G6166" s="1">
        <v>42164</v>
      </c>
      <c r="J6166" t="s">
        <v>31490</v>
      </c>
      <c r="K6166" t="s">
        <v>110</v>
      </c>
      <c r="L6166" t="s">
        <v>31491</v>
      </c>
      <c r="M6166">
        <v>581.70000000000005</v>
      </c>
      <c r="N6166" t="s">
        <v>31492</v>
      </c>
      <c r="O6166" t="s">
        <v>26</v>
      </c>
      <c r="P6166">
        <v>17.989999999999998</v>
      </c>
      <c r="R6166">
        <v>17.989999999999998</v>
      </c>
      <c r="S6166">
        <v>26.99</v>
      </c>
      <c r="T6166" t="s">
        <v>31493</v>
      </c>
    </row>
    <row r="6167" spans="1:20">
      <c r="A6167">
        <v>3564898</v>
      </c>
      <c r="B6167" t="s">
        <v>31494</v>
      </c>
      <c r="C6167" t="str">
        <f>"9781771960403"</f>
        <v>9781771960403</v>
      </c>
      <c r="D6167" t="str">
        <f>"9781771960410"</f>
        <v>9781771960410</v>
      </c>
      <c r="E6167" t="s">
        <v>8302</v>
      </c>
      <c r="F6167" t="s">
        <v>8302</v>
      </c>
      <c r="G6167" s="1">
        <v>42276</v>
      </c>
      <c r="J6167" t="s">
        <v>31495</v>
      </c>
      <c r="K6167" t="s">
        <v>1464</v>
      </c>
      <c r="L6167" t="s">
        <v>31496</v>
      </c>
      <c r="M6167" t="s">
        <v>1509</v>
      </c>
      <c r="N6167" t="s">
        <v>31497</v>
      </c>
      <c r="O6167" t="s">
        <v>26</v>
      </c>
      <c r="P6167">
        <v>15.95</v>
      </c>
      <c r="R6167">
        <v>15.95</v>
      </c>
      <c r="S6167">
        <v>23.93</v>
      </c>
      <c r="T6167" t="s">
        <v>31498</v>
      </c>
    </row>
    <row r="6168" spans="1:20">
      <c r="A6168">
        <v>4006590</v>
      </c>
      <c r="B6168" t="s">
        <v>31499</v>
      </c>
      <c r="C6168" t="str">
        <f>"9781459809048"</f>
        <v>9781459809048</v>
      </c>
      <c r="D6168" t="str">
        <f>"9781459809055"</f>
        <v>9781459809055</v>
      </c>
      <c r="E6168" t="s">
        <v>4668</v>
      </c>
      <c r="F6168" t="s">
        <v>4668</v>
      </c>
      <c r="G6168" s="1">
        <v>42269</v>
      </c>
      <c r="I6168" t="s">
        <v>8158</v>
      </c>
      <c r="J6168" t="s">
        <v>31500</v>
      </c>
      <c r="K6168" t="s">
        <v>1464</v>
      </c>
      <c r="L6168" t="s">
        <v>31501</v>
      </c>
      <c r="M6168">
        <v>813.6</v>
      </c>
      <c r="N6168" t="s">
        <v>31502</v>
      </c>
      <c r="O6168" t="s">
        <v>26</v>
      </c>
      <c r="P6168">
        <v>9.99</v>
      </c>
      <c r="Q6168">
        <v>12.49</v>
      </c>
      <c r="R6168">
        <v>9.99</v>
      </c>
      <c r="T6168" t="s">
        <v>31503</v>
      </c>
    </row>
    <row r="6169" spans="1:20">
      <c r="A6169">
        <v>4006618</v>
      </c>
      <c r="B6169" t="s">
        <v>31504</v>
      </c>
      <c r="C6169" t="str">
        <f>"9780819575678"</f>
        <v>9780819575678</v>
      </c>
      <c r="D6169" t="str">
        <f>"9780819575685"</f>
        <v>9780819575685</v>
      </c>
      <c r="E6169" t="s">
        <v>31505</v>
      </c>
      <c r="F6169" t="s">
        <v>31506</v>
      </c>
      <c r="G6169" s="1">
        <v>42283</v>
      </c>
      <c r="I6169" t="s">
        <v>31507</v>
      </c>
      <c r="J6169" t="s">
        <v>31508</v>
      </c>
      <c r="K6169" t="s">
        <v>1464</v>
      </c>
      <c r="L6169" t="s">
        <v>31509</v>
      </c>
      <c r="M6169">
        <v>811.54</v>
      </c>
      <c r="N6169" t="s">
        <v>31510</v>
      </c>
      <c r="O6169" t="s">
        <v>26</v>
      </c>
      <c r="P6169">
        <v>12.99</v>
      </c>
      <c r="Q6169">
        <v>16.239999999999998</v>
      </c>
      <c r="R6169">
        <v>12.99</v>
      </c>
      <c r="S6169">
        <v>19.489999999999998</v>
      </c>
      <c r="T6169" t="s">
        <v>31511</v>
      </c>
    </row>
    <row r="6170" spans="1:20">
      <c r="A6170">
        <v>4006672</v>
      </c>
      <c r="B6170" t="s">
        <v>31512</v>
      </c>
      <c r="C6170" t="str">
        <f>"9781459810822"</f>
        <v>9781459810822</v>
      </c>
      <c r="D6170" t="str">
        <f>"9781459810846"</f>
        <v>9781459810846</v>
      </c>
      <c r="E6170" t="s">
        <v>4668</v>
      </c>
      <c r="F6170" t="s">
        <v>4668</v>
      </c>
      <c r="G6170" s="1">
        <v>42276</v>
      </c>
      <c r="I6170" t="s">
        <v>31513</v>
      </c>
      <c r="J6170" t="s">
        <v>31514</v>
      </c>
      <c r="K6170" t="s">
        <v>1464</v>
      </c>
      <c r="M6170">
        <v>813.54079999999999</v>
      </c>
      <c r="O6170" t="s">
        <v>26</v>
      </c>
      <c r="P6170">
        <v>79.989999999999995</v>
      </c>
      <c r="Q6170">
        <v>99.99</v>
      </c>
      <c r="R6170">
        <v>79.989999999999995</v>
      </c>
      <c r="T6170" t="s">
        <v>31515</v>
      </c>
    </row>
    <row r="6171" spans="1:20">
      <c r="A6171">
        <v>4013698</v>
      </c>
      <c r="B6171" t="s">
        <v>31516</v>
      </c>
      <c r="C6171" t="str">
        <f>"9781459807976"</f>
        <v>9781459807976</v>
      </c>
      <c r="D6171" t="str">
        <f>"9781459807990"</f>
        <v>9781459807990</v>
      </c>
      <c r="E6171" t="s">
        <v>4668</v>
      </c>
      <c r="F6171" t="s">
        <v>4668</v>
      </c>
      <c r="G6171" s="1">
        <v>42290</v>
      </c>
      <c r="J6171" t="s">
        <v>8245</v>
      </c>
      <c r="K6171" t="s">
        <v>1464</v>
      </c>
      <c r="M6171">
        <v>813.6</v>
      </c>
      <c r="N6171" t="s">
        <v>31513</v>
      </c>
      <c r="O6171" t="s">
        <v>26</v>
      </c>
      <c r="P6171">
        <v>14.99</v>
      </c>
      <c r="Q6171">
        <v>18.739999999999998</v>
      </c>
      <c r="R6171">
        <v>14.99</v>
      </c>
      <c r="T6171" t="s">
        <v>31517</v>
      </c>
    </row>
    <row r="6172" spans="1:20">
      <c r="A6172">
        <v>4013715</v>
      </c>
      <c r="B6172" t="s">
        <v>31518</v>
      </c>
      <c r="C6172" t="str">
        <f>"9781459809604"</f>
        <v>9781459809604</v>
      </c>
      <c r="D6172" t="str">
        <f>"9781459809611"</f>
        <v>9781459809611</v>
      </c>
      <c r="E6172" t="s">
        <v>4668</v>
      </c>
      <c r="F6172" t="s">
        <v>4668</v>
      </c>
      <c r="G6172" s="1">
        <v>42269</v>
      </c>
      <c r="I6172" t="s">
        <v>9938</v>
      </c>
      <c r="J6172" t="s">
        <v>31519</v>
      </c>
      <c r="K6172" t="s">
        <v>23</v>
      </c>
      <c r="L6172" t="s">
        <v>31520</v>
      </c>
      <c r="M6172">
        <v>595.79899999999998</v>
      </c>
      <c r="N6172" t="s">
        <v>31521</v>
      </c>
      <c r="O6172" t="s">
        <v>26</v>
      </c>
      <c r="P6172">
        <v>19.989999999999998</v>
      </c>
      <c r="Q6172">
        <v>24.99</v>
      </c>
      <c r="R6172">
        <v>19.989999999999998</v>
      </c>
      <c r="T6172" t="s">
        <v>31522</v>
      </c>
    </row>
    <row r="6173" spans="1:20">
      <c r="A6173">
        <v>4013947</v>
      </c>
      <c r="B6173" t="s">
        <v>31523</v>
      </c>
      <c r="C6173" t="str">
        <f>"9781459807228"</f>
        <v>9781459807228</v>
      </c>
      <c r="D6173" t="str">
        <f>"9781459807242"</f>
        <v>9781459807242</v>
      </c>
      <c r="E6173" t="s">
        <v>4668</v>
      </c>
      <c r="F6173" t="s">
        <v>4668</v>
      </c>
      <c r="G6173" s="1">
        <v>42290</v>
      </c>
      <c r="I6173" t="s">
        <v>31524</v>
      </c>
      <c r="J6173" t="s">
        <v>31525</v>
      </c>
      <c r="K6173" t="s">
        <v>1464</v>
      </c>
      <c r="M6173">
        <v>813.6</v>
      </c>
      <c r="N6173" t="s">
        <v>31526</v>
      </c>
      <c r="O6173" t="s">
        <v>26</v>
      </c>
      <c r="P6173">
        <v>9.99</v>
      </c>
      <c r="Q6173">
        <v>12.49</v>
      </c>
      <c r="R6173">
        <v>9.99</v>
      </c>
      <c r="T6173" t="s">
        <v>31527</v>
      </c>
    </row>
    <row r="6174" spans="1:20">
      <c r="A6174">
        <v>4013948</v>
      </c>
      <c r="B6174" t="s">
        <v>31528</v>
      </c>
      <c r="C6174" t="str">
        <f>"9781459807266"</f>
        <v>9781459807266</v>
      </c>
      <c r="D6174" t="str">
        <f>"9781459807280"</f>
        <v>9781459807280</v>
      </c>
      <c r="E6174" t="s">
        <v>4668</v>
      </c>
      <c r="F6174" t="s">
        <v>4668</v>
      </c>
      <c r="G6174" s="1">
        <v>42290</v>
      </c>
      <c r="I6174" t="s">
        <v>31524</v>
      </c>
      <c r="J6174" t="s">
        <v>31529</v>
      </c>
      <c r="K6174" t="s">
        <v>1464</v>
      </c>
      <c r="M6174">
        <v>813.6</v>
      </c>
      <c r="O6174" t="s">
        <v>26</v>
      </c>
      <c r="P6174">
        <v>9.99</v>
      </c>
      <c r="Q6174">
        <v>12.49</v>
      </c>
      <c r="R6174">
        <v>9.99</v>
      </c>
      <c r="T6174" t="s">
        <v>31530</v>
      </c>
    </row>
    <row r="6175" spans="1:20">
      <c r="A6175">
        <v>4013949</v>
      </c>
      <c r="B6175" t="s">
        <v>31531</v>
      </c>
      <c r="C6175" t="str">
        <f>"9781459807303"</f>
        <v>9781459807303</v>
      </c>
      <c r="D6175" t="str">
        <f>"9781459807327"</f>
        <v>9781459807327</v>
      </c>
      <c r="E6175" t="s">
        <v>4668</v>
      </c>
      <c r="F6175" t="s">
        <v>4668</v>
      </c>
      <c r="G6175" s="1">
        <v>42290</v>
      </c>
      <c r="I6175" t="s">
        <v>31524</v>
      </c>
      <c r="J6175" t="s">
        <v>8672</v>
      </c>
      <c r="K6175" t="s">
        <v>1464</v>
      </c>
      <c r="M6175">
        <v>813.54</v>
      </c>
      <c r="N6175" t="s">
        <v>31532</v>
      </c>
      <c r="O6175" t="s">
        <v>26</v>
      </c>
      <c r="P6175">
        <v>9.99</v>
      </c>
      <c r="Q6175">
        <v>12.49</v>
      </c>
      <c r="R6175">
        <v>9.99</v>
      </c>
      <c r="T6175" t="s">
        <v>31533</v>
      </c>
    </row>
    <row r="6176" spans="1:20">
      <c r="A6176">
        <v>4013954</v>
      </c>
      <c r="B6176" t="s">
        <v>31534</v>
      </c>
      <c r="C6176" t="str">
        <f>"9781459810341"</f>
        <v>9781459810341</v>
      </c>
      <c r="D6176" t="str">
        <f>"9781459810365"</f>
        <v>9781459810365</v>
      </c>
      <c r="E6176" t="s">
        <v>4668</v>
      </c>
      <c r="F6176" t="s">
        <v>4668</v>
      </c>
      <c r="G6176" s="1">
        <v>42283</v>
      </c>
      <c r="I6176" t="s">
        <v>5056</v>
      </c>
      <c r="J6176" t="s">
        <v>5881</v>
      </c>
      <c r="K6176" t="s">
        <v>1464</v>
      </c>
      <c r="M6176">
        <v>813.6</v>
      </c>
      <c r="N6176" t="s">
        <v>31535</v>
      </c>
      <c r="O6176" t="s">
        <v>26</v>
      </c>
      <c r="P6176">
        <v>9.99</v>
      </c>
      <c r="Q6176">
        <v>12.49</v>
      </c>
      <c r="R6176">
        <v>9.99</v>
      </c>
      <c r="T6176" t="s">
        <v>31536</v>
      </c>
    </row>
    <row r="6177" spans="1:20">
      <c r="A6177">
        <v>4306718</v>
      </c>
      <c r="B6177" t="s">
        <v>31537</v>
      </c>
      <c r="C6177" t="str">
        <f>"9781771860642"</f>
        <v>9781771860642</v>
      </c>
      <c r="D6177" t="str">
        <f>"9781771860666"</f>
        <v>9781771860666</v>
      </c>
      <c r="E6177" t="s">
        <v>9223</v>
      </c>
      <c r="F6177" t="s">
        <v>9223</v>
      </c>
      <c r="G6177" s="1">
        <v>42309</v>
      </c>
      <c r="J6177" t="s">
        <v>31538</v>
      </c>
      <c r="K6177" t="s">
        <v>263</v>
      </c>
      <c r="L6177" t="s">
        <v>31539</v>
      </c>
      <c r="M6177">
        <v>361.61094800000001</v>
      </c>
      <c r="O6177" t="s">
        <v>26</v>
      </c>
      <c r="P6177">
        <v>23.99</v>
      </c>
      <c r="Q6177">
        <v>20.79</v>
      </c>
      <c r="R6177">
        <v>15.99</v>
      </c>
      <c r="S6177">
        <v>23.99</v>
      </c>
      <c r="T6177" t="s">
        <v>31540</v>
      </c>
    </row>
    <row r="6178" spans="1:20">
      <c r="A6178">
        <v>4306963</v>
      </c>
      <c r="B6178" t="s">
        <v>31541</v>
      </c>
      <c r="C6178" t="str">
        <f>"9781926639864"</f>
        <v>9781926639864</v>
      </c>
      <c r="D6178" t="str">
        <f>"9781988040004"</f>
        <v>9781988040004</v>
      </c>
      <c r="E6178" t="s">
        <v>10636</v>
      </c>
      <c r="F6178" t="s">
        <v>10636</v>
      </c>
      <c r="G6178" s="1">
        <v>42217</v>
      </c>
      <c r="J6178" t="s">
        <v>31542</v>
      </c>
      <c r="K6178" t="s">
        <v>1464</v>
      </c>
      <c r="L6178" t="s">
        <v>31543</v>
      </c>
      <c r="M6178" t="s">
        <v>1460</v>
      </c>
      <c r="O6178" t="s">
        <v>26</v>
      </c>
      <c r="P6178">
        <v>17.989999999999998</v>
      </c>
      <c r="Q6178">
        <v>15.59</v>
      </c>
      <c r="R6178">
        <v>11.99</v>
      </c>
      <c r="S6178">
        <v>17.989999999999998</v>
      </c>
      <c r="T6178" t="s">
        <v>31544</v>
      </c>
    </row>
    <row r="6179" spans="1:20">
      <c r="A6179">
        <v>4321934</v>
      </c>
      <c r="B6179" t="s">
        <v>31545</v>
      </c>
      <c r="C6179" t="str">
        <f>"9780807829103"</f>
        <v>9780807829103</v>
      </c>
      <c r="D6179" t="str">
        <f>"9781469601175"</f>
        <v>9781469601175</v>
      </c>
      <c r="E6179" t="s">
        <v>31546</v>
      </c>
      <c r="F6179" t="s">
        <v>31546</v>
      </c>
      <c r="G6179" s="1">
        <v>41244</v>
      </c>
      <c r="I6179" t="s">
        <v>31547</v>
      </c>
      <c r="J6179" t="s">
        <v>31548</v>
      </c>
      <c r="K6179" t="s">
        <v>291</v>
      </c>
      <c r="L6179" t="s">
        <v>31549</v>
      </c>
      <c r="M6179" t="s">
        <v>31550</v>
      </c>
      <c r="O6179" t="s">
        <v>26</v>
      </c>
      <c r="P6179">
        <v>124.5</v>
      </c>
      <c r="Q6179">
        <v>155.63</v>
      </c>
      <c r="R6179">
        <v>124.5</v>
      </c>
      <c r="S6179">
        <v>186.75</v>
      </c>
      <c r="T6179" t="s">
        <v>31551</v>
      </c>
    </row>
    <row r="6180" spans="1:20">
      <c r="A6180">
        <v>4321947</v>
      </c>
      <c r="B6180" t="s">
        <v>31552</v>
      </c>
      <c r="C6180" t="str">
        <f>"9780807835586"</f>
        <v>9780807835586</v>
      </c>
      <c r="D6180" t="str">
        <f>"9781469601359"</f>
        <v>9781469601359</v>
      </c>
      <c r="E6180" t="s">
        <v>31546</v>
      </c>
      <c r="F6180" t="s">
        <v>31546</v>
      </c>
      <c r="G6180" s="1">
        <v>41060</v>
      </c>
      <c r="I6180" t="s">
        <v>31547</v>
      </c>
      <c r="J6180" t="s">
        <v>31553</v>
      </c>
      <c r="K6180" t="s">
        <v>263</v>
      </c>
      <c r="L6180" t="s">
        <v>31554</v>
      </c>
      <c r="M6180" t="s">
        <v>31555</v>
      </c>
      <c r="O6180" t="s">
        <v>26</v>
      </c>
      <c r="P6180">
        <v>60</v>
      </c>
      <c r="Q6180">
        <v>75</v>
      </c>
      <c r="R6180">
        <v>60</v>
      </c>
      <c r="S6180">
        <v>90</v>
      </c>
      <c r="T6180" t="s">
        <v>31556</v>
      </c>
    </row>
    <row r="6181" spans="1:20">
      <c r="A6181">
        <v>4396085</v>
      </c>
      <c r="B6181" t="s">
        <v>31557</v>
      </c>
      <c r="C6181" t="str">
        <f>"9780773520295"</f>
        <v>9780773520295</v>
      </c>
      <c r="D6181" t="str">
        <f>"9780773575394"</f>
        <v>9780773575394</v>
      </c>
      <c r="E6181" t="s">
        <v>12863</v>
      </c>
      <c r="F6181" t="s">
        <v>12863</v>
      </c>
      <c r="G6181" s="1">
        <v>36312</v>
      </c>
      <c r="H6181">
        <v>2</v>
      </c>
      <c r="J6181" t="s">
        <v>14307</v>
      </c>
      <c r="K6181" t="s">
        <v>263</v>
      </c>
      <c r="M6181">
        <v>305.89162071300001</v>
      </c>
      <c r="O6181" t="s">
        <v>26</v>
      </c>
      <c r="P6181">
        <v>150</v>
      </c>
      <c r="R6181">
        <v>100</v>
      </c>
      <c r="T6181" t="s">
        <v>31558</v>
      </c>
    </row>
    <row r="6182" spans="1:20">
      <c r="A6182">
        <v>4396090</v>
      </c>
      <c r="B6182" t="s">
        <v>31559</v>
      </c>
      <c r="C6182" t="str">
        <f>"9780773544932"</f>
        <v>9780773544932</v>
      </c>
      <c r="D6182" t="str">
        <f>"9780773583436"</f>
        <v>9780773583436</v>
      </c>
      <c r="E6182" t="s">
        <v>12863</v>
      </c>
      <c r="F6182" t="s">
        <v>12863</v>
      </c>
      <c r="G6182" s="1">
        <v>42293</v>
      </c>
      <c r="J6182" t="s">
        <v>31560</v>
      </c>
      <c r="K6182" t="s">
        <v>263</v>
      </c>
      <c r="M6182">
        <v>306.09718199999998</v>
      </c>
      <c r="O6182" t="s">
        <v>26</v>
      </c>
      <c r="P6182">
        <v>150</v>
      </c>
      <c r="R6182">
        <v>100</v>
      </c>
      <c r="T6182" t="s">
        <v>31561</v>
      </c>
    </row>
    <row r="6183" spans="1:20">
      <c r="A6183">
        <v>4396091</v>
      </c>
      <c r="B6183" t="s">
        <v>31562</v>
      </c>
      <c r="C6183" t="str">
        <f>"9780773545533"</f>
        <v>9780773545533</v>
      </c>
      <c r="D6183" t="str">
        <f>"9780773583788"</f>
        <v>9780773583788</v>
      </c>
      <c r="E6183" t="s">
        <v>12863</v>
      </c>
      <c r="F6183" t="s">
        <v>12863</v>
      </c>
      <c r="G6183" s="1">
        <v>42293</v>
      </c>
      <c r="J6183" t="s">
        <v>13305</v>
      </c>
      <c r="K6183" t="s">
        <v>263</v>
      </c>
      <c r="M6183">
        <v>305.31</v>
      </c>
      <c r="O6183" t="s">
        <v>26</v>
      </c>
      <c r="P6183">
        <v>150</v>
      </c>
      <c r="Q6183">
        <v>125</v>
      </c>
      <c r="R6183">
        <v>100</v>
      </c>
      <c r="S6183">
        <v>150</v>
      </c>
      <c r="T6183" t="s">
        <v>31563</v>
      </c>
    </row>
    <row r="6184" spans="1:20">
      <c r="A6184">
        <v>4396096</v>
      </c>
      <c r="B6184" t="s">
        <v>31564</v>
      </c>
      <c r="C6184" t="str">
        <f>"9780886291112"</f>
        <v>9780886291112</v>
      </c>
      <c r="D6184" t="str">
        <f>"9780773596054"</f>
        <v>9780773596054</v>
      </c>
      <c r="E6184" t="s">
        <v>12863</v>
      </c>
      <c r="F6184" t="s">
        <v>12863</v>
      </c>
      <c r="G6184" s="1">
        <v>32888</v>
      </c>
      <c r="J6184" t="s">
        <v>31565</v>
      </c>
      <c r="K6184" t="s">
        <v>1471</v>
      </c>
      <c r="M6184">
        <v>701</v>
      </c>
      <c r="O6184" t="s">
        <v>26</v>
      </c>
      <c r="P6184">
        <v>127.5</v>
      </c>
      <c r="Q6184">
        <v>106.25</v>
      </c>
      <c r="R6184">
        <v>85</v>
      </c>
      <c r="S6184">
        <v>127.5</v>
      </c>
      <c r="T6184" t="s">
        <v>31566</v>
      </c>
    </row>
    <row r="6185" spans="1:20">
      <c r="A6185">
        <v>4396097</v>
      </c>
      <c r="B6185" t="s">
        <v>31567</v>
      </c>
      <c r="C6185" t="str">
        <f>"9780773545212"</f>
        <v>9780773545212</v>
      </c>
      <c r="D6185" t="str">
        <f>"9780773597068"</f>
        <v>9780773597068</v>
      </c>
      <c r="E6185" t="s">
        <v>12863</v>
      </c>
      <c r="F6185" t="s">
        <v>12863</v>
      </c>
      <c r="G6185" s="1">
        <v>42311</v>
      </c>
      <c r="I6185" t="s">
        <v>14082</v>
      </c>
      <c r="J6185" t="s">
        <v>31568</v>
      </c>
      <c r="K6185" t="s">
        <v>4158</v>
      </c>
      <c r="L6185" t="s">
        <v>31569</v>
      </c>
      <c r="M6185">
        <v>971.27430100000004</v>
      </c>
      <c r="O6185" t="s">
        <v>26</v>
      </c>
      <c r="P6185">
        <v>150</v>
      </c>
      <c r="Q6185">
        <v>125</v>
      </c>
      <c r="R6185">
        <v>100</v>
      </c>
      <c r="S6185">
        <v>150</v>
      </c>
      <c r="T6185" t="s">
        <v>31570</v>
      </c>
    </row>
    <row r="6186" spans="1:20">
      <c r="A6186">
        <v>4396098</v>
      </c>
      <c r="B6186" t="s">
        <v>31571</v>
      </c>
      <c r="C6186" t="str">
        <f>"9780773545632"</f>
        <v>9780773545632</v>
      </c>
      <c r="D6186" t="str">
        <f>"9780773597075"</f>
        <v>9780773597075</v>
      </c>
      <c r="E6186" t="s">
        <v>12863</v>
      </c>
      <c r="F6186" t="s">
        <v>12863</v>
      </c>
      <c r="G6186" s="1">
        <v>42311</v>
      </c>
      <c r="I6186" t="s">
        <v>14082</v>
      </c>
      <c r="J6186" t="s">
        <v>31568</v>
      </c>
      <c r="K6186" t="s">
        <v>14458</v>
      </c>
      <c r="L6186" t="s">
        <v>31569</v>
      </c>
      <c r="M6186">
        <v>971.27430100000004</v>
      </c>
      <c r="O6186" t="s">
        <v>26</v>
      </c>
      <c r="P6186">
        <v>195</v>
      </c>
      <c r="Q6186">
        <v>162.5</v>
      </c>
      <c r="R6186">
        <v>130</v>
      </c>
      <c r="S6186">
        <v>195</v>
      </c>
      <c r="T6186" t="s">
        <v>31572</v>
      </c>
    </row>
    <row r="6187" spans="1:20">
      <c r="A6187">
        <v>4396099</v>
      </c>
      <c r="B6187" t="s">
        <v>31573</v>
      </c>
      <c r="C6187" t="str">
        <f>"9780773545717"</f>
        <v>9780773545717</v>
      </c>
      <c r="D6187" t="str">
        <f>"9780773597327"</f>
        <v>9780773597327</v>
      </c>
      <c r="E6187" t="s">
        <v>12863</v>
      </c>
      <c r="F6187" t="s">
        <v>12863</v>
      </c>
      <c r="G6187" s="1">
        <v>42300</v>
      </c>
      <c r="J6187" t="s">
        <v>31574</v>
      </c>
      <c r="K6187" t="s">
        <v>791</v>
      </c>
      <c r="L6187" t="s">
        <v>31575</v>
      </c>
      <c r="M6187">
        <v>573.80899999999997</v>
      </c>
      <c r="N6187" t="s">
        <v>31576</v>
      </c>
      <c r="O6187" t="s">
        <v>26</v>
      </c>
      <c r="P6187">
        <v>150</v>
      </c>
      <c r="Q6187">
        <v>125</v>
      </c>
      <c r="R6187">
        <v>100</v>
      </c>
      <c r="S6187">
        <v>150</v>
      </c>
      <c r="T6187" t="s">
        <v>31577</v>
      </c>
    </row>
    <row r="6188" spans="1:20">
      <c r="A6188">
        <v>4396100</v>
      </c>
      <c r="B6188" t="s">
        <v>31578</v>
      </c>
      <c r="C6188" t="str">
        <f>"9780773545694"</f>
        <v>9780773545694</v>
      </c>
      <c r="D6188" t="str">
        <f>"9780773597341"</f>
        <v>9780773597341</v>
      </c>
      <c r="E6188" t="s">
        <v>12863</v>
      </c>
      <c r="F6188" t="s">
        <v>12863</v>
      </c>
      <c r="G6188" s="1">
        <v>42320</v>
      </c>
      <c r="I6188" t="s">
        <v>12886</v>
      </c>
      <c r="J6188" t="s">
        <v>31579</v>
      </c>
      <c r="K6188" t="s">
        <v>1892</v>
      </c>
      <c r="L6188" t="s">
        <v>31580</v>
      </c>
      <c r="M6188">
        <v>274.15080999999998</v>
      </c>
      <c r="O6188" t="s">
        <v>26</v>
      </c>
      <c r="P6188">
        <v>165</v>
      </c>
      <c r="R6188">
        <v>110</v>
      </c>
      <c r="T6188" t="s">
        <v>31581</v>
      </c>
    </row>
    <row r="6189" spans="1:20">
      <c r="A6189">
        <v>4396101</v>
      </c>
      <c r="B6189" t="s">
        <v>31582</v>
      </c>
      <c r="C6189" t="str">
        <f>"9780773545724"</f>
        <v>9780773545724</v>
      </c>
      <c r="D6189" t="str">
        <f>"9780773597365"</f>
        <v>9780773597365</v>
      </c>
      <c r="E6189" t="s">
        <v>12863</v>
      </c>
      <c r="F6189" t="s">
        <v>12863</v>
      </c>
      <c r="G6189" s="1">
        <v>42361</v>
      </c>
      <c r="J6189" t="s">
        <v>31583</v>
      </c>
      <c r="K6189" t="s">
        <v>1464</v>
      </c>
      <c r="L6189" t="s">
        <v>31584</v>
      </c>
      <c r="M6189">
        <v>801.95092</v>
      </c>
      <c r="O6189" t="s">
        <v>26</v>
      </c>
      <c r="P6189">
        <v>150</v>
      </c>
      <c r="Q6189">
        <v>125</v>
      </c>
      <c r="R6189">
        <v>100</v>
      </c>
      <c r="S6189">
        <v>150</v>
      </c>
      <c r="T6189" t="s">
        <v>31585</v>
      </c>
    </row>
    <row r="6190" spans="1:20">
      <c r="A6190">
        <v>4396102</v>
      </c>
      <c r="B6190" t="s">
        <v>31586</v>
      </c>
      <c r="C6190" t="str">
        <f>"9780773545748"</f>
        <v>9780773545748</v>
      </c>
      <c r="D6190" t="str">
        <f>"9780773597389"</f>
        <v>9780773597389</v>
      </c>
      <c r="E6190" t="s">
        <v>12863</v>
      </c>
      <c r="F6190" t="s">
        <v>12863</v>
      </c>
      <c r="G6190" s="1">
        <v>42286</v>
      </c>
      <c r="J6190" t="s">
        <v>31587</v>
      </c>
      <c r="K6190" t="s">
        <v>1464</v>
      </c>
      <c r="L6190" t="s">
        <v>31588</v>
      </c>
      <c r="M6190">
        <v>813.52</v>
      </c>
      <c r="O6190" t="s">
        <v>26</v>
      </c>
      <c r="P6190">
        <v>150</v>
      </c>
      <c r="Q6190">
        <v>125</v>
      </c>
      <c r="R6190">
        <v>100</v>
      </c>
      <c r="S6190">
        <v>150</v>
      </c>
      <c r="T6190" t="s">
        <v>31589</v>
      </c>
    </row>
    <row r="6191" spans="1:20">
      <c r="A6191">
        <v>4396103</v>
      </c>
      <c r="B6191" t="s">
        <v>31590</v>
      </c>
      <c r="C6191" t="str">
        <f>"9780773545762"</f>
        <v>9780773545762</v>
      </c>
      <c r="D6191" t="str">
        <f>"9780773597402"</f>
        <v>9780773597402</v>
      </c>
      <c r="E6191" t="s">
        <v>12863</v>
      </c>
      <c r="F6191" t="s">
        <v>12863</v>
      </c>
      <c r="G6191" s="1">
        <v>42272</v>
      </c>
      <c r="J6191" t="s">
        <v>31591</v>
      </c>
      <c r="K6191" t="s">
        <v>2260</v>
      </c>
      <c r="L6191" t="s">
        <v>31592</v>
      </c>
      <c r="M6191">
        <v>610.94090329999995</v>
      </c>
      <c r="O6191" t="s">
        <v>26</v>
      </c>
      <c r="P6191">
        <v>150</v>
      </c>
      <c r="Q6191">
        <v>125</v>
      </c>
      <c r="R6191">
        <v>100</v>
      </c>
      <c r="S6191">
        <v>150</v>
      </c>
      <c r="T6191" t="s">
        <v>31593</v>
      </c>
    </row>
    <row r="6192" spans="1:20">
      <c r="A6192">
        <v>4396104</v>
      </c>
      <c r="B6192" t="s">
        <v>31594</v>
      </c>
      <c r="C6192" t="str">
        <f>"9780773545779"</f>
        <v>9780773545779</v>
      </c>
      <c r="D6192" t="str">
        <f>"9780773597426"</f>
        <v>9780773597426</v>
      </c>
      <c r="E6192" t="s">
        <v>12863</v>
      </c>
      <c r="F6192" t="s">
        <v>12863</v>
      </c>
      <c r="G6192" s="1">
        <v>42272</v>
      </c>
      <c r="I6192" t="s">
        <v>18279</v>
      </c>
      <c r="J6192" t="s">
        <v>31595</v>
      </c>
      <c r="K6192" t="s">
        <v>467</v>
      </c>
      <c r="L6192" t="s">
        <v>31596</v>
      </c>
      <c r="M6192">
        <v>324.27140609200001</v>
      </c>
      <c r="O6192" t="s">
        <v>26</v>
      </c>
      <c r="P6192">
        <v>150</v>
      </c>
      <c r="Q6192">
        <v>125</v>
      </c>
      <c r="R6192">
        <v>100</v>
      </c>
      <c r="S6192">
        <v>150</v>
      </c>
      <c r="T6192" t="s">
        <v>31597</v>
      </c>
    </row>
    <row r="6193" spans="1:20">
      <c r="A6193">
        <v>4396106</v>
      </c>
      <c r="B6193" t="s">
        <v>31598</v>
      </c>
      <c r="C6193" t="str">
        <f>"9780773545816"</f>
        <v>9780773545816</v>
      </c>
      <c r="D6193" t="str">
        <f>"9780773597488"</f>
        <v>9780773597488</v>
      </c>
      <c r="E6193" t="s">
        <v>12863</v>
      </c>
      <c r="F6193" t="s">
        <v>12863</v>
      </c>
      <c r="G6193" s="1">
        <v>42307</v>
      </c>
      <c r="I6193" t="s">
        <v>13270</v>
      </c>
      <c r="J6193" t="s">
        <v>31599</v>
      </c>
      <c r="K6193" t="s">
        <v>330</v>
      </c>
      <c r="L6193" t="s">
        <v>20412</v>
      </c>
      <c r="M6193">
        <v>363.70097099999998</v>
      </c>
      <c r="O6193" t="s">
        <v>26</v>
      </c>
      <c r="P6193">
        <v>150</v>
      </c>
      <c r="R6193">
        <v>100</v>
      </c>
      <c r="T6193" t="s">
        <v>31600</v>
      </c>
    </row>
    <row r="6194" spans="1:20">
      <c r="A6194">
        <v>4396107</v>
      </c>
      <c r="B6194" t="s">
        <v>31601</v>
      </c>
      <c r="C6194" t="str">
        <f>"9780773545847"</f>
        <v>9780773545847</v>
      </c>
      <c r="D6194" t="str">
        <f>"9780773597525"</f>
        <v>9780773597525</v>
      </c>
      <c r="E6194" t="s">
        <v>12863</v>
      </c>
      <c r="F6194" t="s">
        <v>12863</v>
      </c>
      <c r="G6194" s="1">
        <v>42286</v>
      </c>
      <c r="J6194" t="s">
        <v>16433</v>
      </c>
      <c r="K6194" t="s">
        <v>6359</v>
      </c>
      <c r="L6194" t="s">
        <v>31602</v>
      </c>
      <c r="M6194">
        <v>322.10000000000002</v>
      </c>
      <c r="O6194" t="s">
        <v>26</v>
      </c>
      <c r="P6194">
        <v>150</v>
      </c>
      <c r="R6194">
        <v>100</v>
      </c>
      <c r="T6194" t="s">
        <v>31603</v>
      </c>
    </row>
    <row r="6195" spans="1:20">
      <c r="A6195">
        <v>4396108</v>
      </c>
      <c r="B6195" t="s">
        <v>31604</v>
      </c>
      <c r="C6195" t="str">
        <f>"9780773545861"</f>
        <v>9780773545861</v>
      </c>
      <c r="D6195" t="str">
        <f>"9780773597549"</f>
        <v>9780773597549</v>
      </c>
      <c r="E6195" t="s">
        <v>12863</v>
      </c>
      <c r="F6195" t="s">
        <v>12863</v>
      </c>
      <c r="G6195" s="1">
        <v>42311</v>
      </c>
      <c r="I6195" t="s">
        <v>12871</v>
      </c>
      <c r="J6195" t="s">
        <v>31605</v>
      </c>
      <c r="K6195" t="s">
        <v>4158</v>
      </c>
      <c r="L6195" t="s">
        <v>31606</v>
      </c>
      <c r="M6195">
        <v>971.02</v>
      </c>
      <c r="O6195" t="s">
        <v>26</v>
      </c>
      <c r="P6195">
        <v>150</v>
      </c>
      <c r="R6195">
        <v>100</v>
      </c>
      <c r="T6195" t="s">
        <v>31607</v>
      </c>
    </row>
    <row r="6196" spans="1:20">
      <c r="A6196">
        <v>4396109</v>
      </c>
      <c r="B6196" t="s">
        <v>31608</v>
      </c>
      <c r="C6196" t="str">
        <f>"9780773546141"</f>
        <v>9780773546141</v>
      </c>
      <c r="D6196" t="str">
        <f>"9780773597563"</f>
        <v>9780773597563</v>
      </c>
      <c r="E6196" t="s">
        <v>12863</v>
      </c>
      <c r="F6196" t="s">
        <v>12863</v>
      </c>
      <c r="G6196" s="1">
        <v>42272</v>
      </c>
      <c r="J6196" t="s">
        <v>31609</v>
      </c>
      <c r="K6196" t="s">
        <v>1859</v>
      </c>
      <c r="L6196" t="s">
        <v>31610</v>
      </c>
      <c r="M6196">
        <v>171</v>
      </c>
      <c r="O6196" t="s">
        <v>26</v>
      </c>
      <c r="P6196">
        <v>150</v>
      </c>
      <c r="R6196">
        <v>100</v>
      </c>
      <c r="T6196" t="s">
        <v>31611</v>
      </c>
    </row>
    <row r="6197" spans="1:20">
      <c r="A6197">
        <v>4396110</v>
      </c>
      <c r="B6197" t="s">
        <v>31612</v>
      </c>
      <c r="C6197" t="str">
        <f>"9780773545892"</f>
        <v>9780773545892</v>
      </c>
      <c r="D6197" t="str">
        <f>"9780773597587"</f>
        <v>9780773597587</v>
      </c>
      <c r="E6197" t="s">
        <v>12863</v>
      </c>
      <c r="F6197" t="s">
        <v>12863</v>
      </c>
      <c r="G6197" s="1">
        <v>42293</v>
      </c>
      <c r="I6197" t="s">
        <v>31613</v>
      </c>
      <c r="J6197" t="s">
        <v>18264</v>
      </c>
      <c r="K6197" t="s">
        <v>263</v>
      </c>
      <c r="L6197" t="s">
        <v>31614</v>
      </c>
      <c r="M6197">
        <v>305.48896068475</v>
      </c>
      <c r="O6197" t="s">
        <v>26</v>
      </c>
      <c r="P6197">
        <v>150</v>
      </c>
      <c r="R6197">
        <v>100</v>
      </c>
      <c r="T6197" t="s">
        <v>31615</v>
      </c>
    </row>
    <row r="6198" spans="1:20">
      <c r="A6198">
        <v>4396111</v>
      </c>
      <c r="B6198" t="s">
        <v>31616</v>
      </c>
      <c r="C6198" t="str">
        <f>"9780773545915"</f>
        <v>9780773545915</v>
      </c>
      <c r="D6198" t="str">
        <f>"9780773597600"</f>
        <v>9780773597600</v>
      </c>
      <c r="E6198" t="s">
        <v>12863</v>
      </c>
      <c r="F6198" t="s">
        <v>12863</v>
      </c>
      <c r="G6198" s="1">
        <v>42293</v>
      </c>
      <c r="J6198" t="s">
        <v>31617</v>
      </c>
      <c r="K6198" t="s">
        <v>10956</v>
      </c>
      <c r="L6198" t="s">
        <v>31618</v>
      </c>
      <c r="M6198">
        <v>71.108999999999995</v>
      </c>
      <c r="O6198" t="s">
        <v>26</v>
      </c>
      <c r="P6198">
        <v>150</v>
      </c>
      <c r="R6198">
        <v>100</v>
      </c>
      <c r="T6198" t="s">
        <v>31619</v>
      </c>
    </row>
    <row r="6199" spans="1:20">
      <c r="A6199">
        <v>4396112</v>
      </c>
      <c r="B6199" t="s">
        <v>31620</v>
      </c>
      <c r="C6199" t="str">
        <f>"9780773546387"</f>
        <v>9780773546387</v>
      </c>
      <c r="D6199" t="str">
        <f>"9780773597624"</f>
        <v>9780773597624</v>
      </c>
      <c r="E6199" t="s">
        <v>12863</v>
      </c>
      <c r="F6199" t="s">
        <v>12863</v>
      </c>
      <c r="G6199" s="1">
        <v>42320</v>
      </c>
      <c r="I6199" t="s">
        <v>13270</v>
      </c>
      <c r="J6199" t="s">
        <v>31621</v>
      </c>
      <c r="K6199" t="s">
        <v>278</v>
      </c>
      <c r="L6199" t="s">
        <v>31622</v>
      </c>
      <c r="M6199">
        <v>330.92</v>
      </c>
      <c r="O6199" t="s">
        <v>26</v>
      </c>
      <c r="P6199">
        <v>150</v>
      </c>
      <c r="Q6199">
        <v>125</v>
      </c>
      <c r="R6199">
        <v>100</v>
      </c>
      <c r="S6199">
        <v>150</v>
      </c>
      <c r="T6199" t="s">
        <v>31623</v>
      </c>
    </row>
    <row r="6200" spans="1:20">
      <c r="A6200">
        <v>4396113</v>
      </c>
      <c r="B6200" t="s">
        <v>31624</v>
      </c>
      <c r="C6200" t="str">
        <f>"9780773546356"</f>
        <v>9780773546356</v>
      </c>
      <c r="D6200" t="str">
        <f>"9780773597648"</f>
        <v>9780773597648</v>
      </c>
      <c r="E6200" t="s">
        <v>12863</v>
      </c>
      <c r="F6200" t="s">
        <v>12863</v>
      </c>
      <c r="G6200" s="1">
        <v>42272</v>
      </c>
      <c r="J6200" t="s">
        <v>19990</v>
      </c>
      <c r="K6200" t="s">
        <v>257</v>
      </c>
      <c r="L6200" t="s">
        <v>31625</v>
      </c>
      <c r="M6200">
        <v>371.82209713999998</v>
      </c>
      <c r="O6200" t="s">
        <v>26</v>
      </c>
      <c r="P6200">
        <v>150</v>
      </c>
      <c r="Q6200">
        <v>125</v>
      </c>
      <c r="R6200">
        <v>100</v>
      </c>
      <c r="S6200">
        <v>150</v>
      </c>
      <c r="T6200" t="s">
        <v>31626</v>
      </c>
    </row>
    <row r="6201" spans="1:20">
      <c r="A6201">
        <v>4396114</v>
      </c>
      <c r="B6201" t="s">
        <v>31627</v>
      </c>
      <c r="C6201" t="str">
        <f>"9780773545946"</f>
        <v>9780773545946</v>
      </c>
      <c r="D6201" t="str">
        <f>"9780773597686"</f>
        <v>9780773597686</v>
      </c>
      <c r="E6201" t="s">
        <v>12863</v>
      </c>
      <c r="F6201" t="s">
        <v>12863</v>
      </c>
      <c r="G6201" s="1">
        <v>42309</v>
      </c>
      <c r="J6201" t="s">
        <v>31628</v>
      </c>
      <c r="K6201" t="s">
        <v>291</v>
      </c>
      <c r="L6201" t="s">
        <v>31629</v>
      </c>
      <c r="M6201">
        <v>971.00496999999996</v>
      </c>
      <c r="O6201" t="s">
        <v>26</v>
      </c>
      <c r="P6201">
        <v>150</v>
      </c>
      <c r="R6201">
        <v>100</v>
      </c>
      <c r="T6201" t="s">
        <v>31630</v>
      </c>
    </row>
    <row r="6202" spans="1:20">
      <c r="A6202">
        <v>4396115</v>
      </c>
      <c r="B6202" t="s">
        <v>31631</v>
      </c>
      <c r="C6202" t="str">
        <f>"9780773545960"</f>
        <v>9780773545960</v>
      </c>
      <c r="D6202" t="str">
        <f>"9780773597709"</f>
        <v>9780773597709</v>
      </c>
      <c r="E6202" t="s">
        <v>12863</v>
      </c>
      <c r="F6202" t="s">
        <v>12863</v>
      </c>
      <c r="G6202" s="1">
        <v>42332</v>
      </c>
      <c r="I6202" t="s">
        <v>13270</v>
      </c>
      <c r="J6202" t="s">
        <v>31632</v>
      </c>
      <c r="K6202" t="s">
        <v>278</v>
      </c>
      <c r="L6202" t="s">
        <v>31633</v>
      </c>
      <c r="M6202">
        <v>338.971</v>
      </c>
      <c r="O6202" t="s">
        <v>26</v>
      </c>
      <c r="P6202">
        <v>150</v>
      </c>
      <c r="R6202">
        <v>100</v>
      </c>
      <c r="T6202" t="s">
        <v>31634</v>
      </c>
    </row>
    <row r="6203" spans="1:20">
      <c r="A6203">
        <v>4396116</v>
      </c>
      <c r="B6203" t="s">
        <v>31635</v>
      </c>
      <c r="C6203" t="str">
        <f>"9780773545984"</f>
        <v>9780773545984</v>
      </c>
      <c r="D6203" t="str">
        <f>"9780773597723"</f>
        <v>9780773597723</v>
      </c>
      <c r="E6203" t="s">
        <v>12863</v>
      </c>
      <c r="F6203" t="s">
        <v>12863</v>
      </c>
      <c r="G6203" s="1">
        <v>42363</v>
      </c>
      <c r="J6203" t="s">
        <v>31636</v>
      </c>
      <c r="K6203" t="s">
        <v>1464</v>
      </c>
      <c r="L6203" t="s">
        <v>31637</v>
      </c>
      <c r="M6203">
        <v>810.9384</v>
      </c>
      <c r="O6203" t="s">
        <v>26</v>
      </c>
      <c r="P6203">
        <v>150</v>
      </c>
      <c r="Q6203">
        <v>125</v>
      </c>
      <c r="R6203">
        <v>100</v>
      </c>
      <c r="S6203">
        <v>150</v>
      </c>
      <c r="T6203" t="s">
        <v>31638</v>
      </c>
    </row>
    <row r="6204" spans="1:20">
      <c r="A6204">
        <v>4396117</v>
      </c>
      <c r="B6204" t="s">
        <v>31639</v>
      </c>
      <c r="C6204" t="str">
        <f>"9780773546004"</f>
        <v>9780773546004</v>
      </c>
      <c r="D6204" t="str">
        <f>"9780773597747"</f>
        <v>9780773597747</v>
      </c>
      <c r="E6204" t="s">
        <v>12863</v>
      </c>
      <c r="F6204" t="s">
        <v>12863</v>
      </c>
      <c r="G6204" s="1">
        <v>42332</v>
      </c>
      <c r="J6204" t="s">
        <v>31640</v>
      </c>
      <c r="K6204" t="s">
        <v>2260</v>
      </c>
      <c r="L6204" t="s">
        <v>31641</v>
      </c>
      <c r="M6204">
        <v>617.952</v>
      </c>
      <c r="O6204" t="s">
        <v>26</v>
      </c>
      <c r="P6204">
        <v>150</v>
      </c>
      <c r="R6204">
        <v>100</v>
      </c>
      <c r="T6204" t="s">
        <v>31642</v>
      </c>
    </row>
    <row r="6205" spans="1:20">
      <c r="A6205">
        <v>4396118</v>
      </c>
      <c r="B6205" t="s">
        <v>31643</v>
      </c>
      <c r="C6205" t="str">
        <f>"9780773546035"</f>
        <v>9780773546035</v>
      </c>
      <c r="D6205" t="str">
        <f>"9780773597785"</f>
        <v>9780773597785</v>
      </c>
      <c r="E6205" t="s">
        <v>12863</v>
      </c>
      <c r="F6205" t="s">
        <v>12863</v>
      </c>
      <c r="G6205" s="1">
        <v>42314</v>
      </c>
      <c r="I6205" t="s">
        <v>31613</v>
      </c>
      <c r="J6205" t="s">
        <v>31644</v>
      </c>
      <c r="K6205" t="s">
        <v>263</v>
      </c>
      <c r="L6205" t="s">
        <v>31645</v>
      </c>
      <c r="M6205">
        <v>307.76</v>
      </c>
      <c r="O6205" t="s">
        <v>26</v>
      </c>
      <c r="P6205">
        <v>150</v>
      </c>
      <c r="R6205">
        <v>100</v>
      </c>
      <c r="T6205" t="s">
        <v>31646</v>
      </c>
    </row>
    <row r="6206" spans="1:20">
      <c r="A6206">
        <v>4396119</v>
      </c>
      <c r="B6206" t="s">
        <v>31647</v>
      </c>
      <c r="C6206" t="str">
        <f>"9780773546066"</f>
        <v>9780773546066</v>
      </c>
      <c r="D6206" t="str">
        <f>"9780773597822"</f>
        <v>9780773597822</v>
      </c>
      <c r="E6206" t="s">
        <v>12863</v>
      </c>
      <c r="F6206" t="s">
        <v>12863</v>
      </c>
      <c r="G6206" s="1">
        <v>42328</v>
      </c>
      <c r="J6206" t="s">
        <v>31648</v>
      </c>
      <c r="K6206" t="s">
        <v>4158</v>
      </c>
      <c r="L6206" t="s">
        <v>31649</v>
      </c>
      <c r="M6206">
        <v>971.02</v>
      </c>
      <c r="O6206" t="s">
        <v>26</v>
      </c>
      <c r="P6206">
        <v>150</v>
      </c>
      <c r="R6206">
        <v>100</v>
      </c>
      <c r="T6206" t="s">
        <v>31650</v>
      </c>
    </row>
    <row r="6207" spans="1:20">
      <c r="A6207">
        <v>4396120</v>
      </c>
      <c r="B6207" t="s">
        <v>31651</v>
      </c>
      <c r="C6207" t="str">
        <f>"9780773546080"</f>
        <v>9780773546080</v>
      </c>
      <c r="D6207" t="str">
        <f>"9780773597846"</f>
        <v>9780773597846</v>
      </c>
      <c r="E6207" t="s">
        <v>12863</v>
      </c>
      <c r="F6207" t="s">
        <v>12863</v>
      </c>
      <c r="G6207" s="1">
        <v>42272</v>
      </c>
      <c r="J6207" t="s">
        <v>31652</v>
      </c>
      <c r="K6207" t="s">
        <v>257</v>
      </c>
      <c r="L6207" t="s">
        <v>31653</v>
      </c>
      <c r="M6207">
        <v>379.71</v>
      </c>
      <c r="O6207" t="s">
        <v>26</v>
      </c>
      <c r="P6207">
        <v>150</v>
      </c>
      <c r="R6207">
        <v>100</v>
      </c>
      <c r="T6207" t="s">
        <v>31654</v>
      </c>
    </row>
    <row r="6208" spans="1:20">
      <c r="A6208">
        <v>4396121</v>
      </c>
      <c r="B6208" t="s">
        <v>31655</v>
      </c>
      <c r="C6208" t="str">
        <f>"9780773546103"</f>
        <v>9780773546103</v>
      </c>
      <c r="D6208" t="str">
        <f>"9780773597860"</f>
        <v>9780773597860</v>
      </c>
      <c r="E6208" t="s">
        <v>12863</v>
      </c>
      <c r="F6208" t="s">
        <v>12863</v>
      </c>
      <c r="G6208" s="1">
        <v>42339</v>
      </c>
      <c r="I6208" t="s">
        <v>12871</v>
      </c>
      <c r="J6208" t="s">
        <v>31656</v>
      </c>
      <c r="K6208" t="s">
        <v>291</v>
      </c>
      <c r="L6208" t="s">
        <v>12975</v>
      </c>
      <c r="M6208" t="s">
        <v>31657</v>
      </c>
      <c r="O6208" t="s">
        <v>26</v>
      </c>
      <c r="P6208">
        <v>150</v>
      </c>
      <c r="Q6208">
        <v>125</v>
      </c>
      <c r="R6208">
        <v>100</v>
      </c>
      <c r="S6208">
        <v>150</v>
      </c>
      <c r="T6208" t="s">
        <v>31658</v>
      </c>
    </row>
    <row r="6209" spans="1:20">
      <c r="A6209">
        <v>4396122</v>
      </c>
      <c r="B6209" t="s">
        <v>31659</v>
      </c>
      <c r="C6209" t="str">
        <f>"9780773546127"</f>
        <v>9780773546127</v>
      </c>
      <c r="D6209" t="str">
        <f>"9780773597884"</f>
        <v>9780773597884</v>
      </c>
      <c r="E6209" t="s">
        <v>12863</v>
      </c>
      <c r="F6209" t="s">
        <v>12863</v>
      </c>
      <c r="G6209" s="1">
        <v>42307</v>
      </c>
      <c r="J6209" t="s">
        <v>31660</v>
      </c>
      <c r="K6209" t="s">
        <v>15764</v>
      </c>
      <c r="L6209" t="s">
        <v>31661</v>
      </c>
      <c r="M6209">
        <v>152.38399999999999</v>
      </c>
      <c r="N6209" t="s">
        <v>31662</v>
      </c>
      <c r="O6209" t="s">
        <v>26</v>
      </c>
      <c r="P6209">
        <v>150</v>
      </c>
      <c r="R6209">
        <v>100</v>
      </c>
      <c r="T6209" t="s">
        <v>31663</v>
      </c>
    </row>
    <row r="6210" spans="1:20">
      <c r="A6210">
        <v>4396123</v>
      </c>
      <c r="B6210" t="s">
        <v>31664</v>
      </c>
      <c r="C6210" t="str">
        <f>"9780773546172"</f>
        <v>9780773546172</v>
      </c>
      <c r="D6210" t="str">
        <f>"9780773597907"</f>
        <v>9780773597907</v>
      </c>
      <c r="E6210" t="s">
        <v>12863</v>
      </c>
      <c r="F6210" t="s">
        <v>12863</v>
      </c>
      <c r="G6210" s="1">
        <v>42353</v>
      </c>
      <c r="I6210" t="s">
        <v>13270</v>
      </c>
      <c r="J6210" t="s">
        <v>31665</v>
      </c>
      <c r="K6210" t="s">
        <v>291</v>
      </c>
      <c r="L6210" t="s">
        <v>31666</v>
      </c>
      <c r="M6210">
        <v>940.40971000000002</v>
      </c>
      <c r="O6210" t="s">
        <v>26</v>
      </c>
      <c r="P6210">
        <v>150</v>
      </c>
      <c r="Q6210">
        <v>125</v>
      </c>
      <c r="R6210">
        <v>100</v>
      </c>
      <c r="S6210">
        <v>150</v>
      </c>
      <c r="T6210" t="s">
        <v>31667</v>
      </c>
    </row>
    <row r="6211" spans="1:20">
      <c r="A6211">
        <v>4396124</v>
      </c>
      <c r="B6211" t="s">
        <v>31668</v>
      </c>
      <c r="C6211" t="str">
        <f>"9780773546196"</f>
        <v>9780773546196</v>
      </c>
      <c r="D6211" t="str">
        <f>"9780773597921"</f>
        <v>9780773597921</v>
      </c>
      <c r="E6211" t="s">
        <v>12863</v>
      </c>
      <c r="F6211" t="s">
        <v>12863</v>
      </c>
      <c r="G6211" s="1">
        <v>42363</v>
      </c>
      <c r="J6211" t="s">
        <v>31669</v>
      </c>
      <c r="K6211" t="s">
        <v>525</v>
      </c>
      <c r="L6211" t="s">
        <v>31670</v>
      </c>
      <c r="M6211">
        <v>345.71025300000002</v>
      </c>
      <c r="O6211" t="s">
        <v>26</v>
      </c>
      <c r="P6211">
        <v>150</v>
      </c>
      <c r="R6211">
        <v>100</v>
      </c>
      <c r="T6211" t="s">
        <v>31671</v>
      </c>
    </row>
    <row r="6212" spans="1:20">
      <c r="A6212">
        <v>4396125</v>
      </c>
      <c r="B6212" t="s">
        <v>31672</v>
      </c>
      <c r="C6212" t="str">
        <f>"9780773546226"</f>
        <v>9780773546226</v>
      </c>
      <c r="D6212" t="str">
        <f>"9780773597969"</f>
        <v>9780773597969</v>
      </c>
      <c r="E6212" t="s">
        <v>12863</v>
      </c>
      <c r="F6212" t="s">
        <v>12863</v>
      </c>
      <c r="G6212" s="1">
        <v>42309</v>
      </c>
      <c r="J6212" t="s">
        <v>31673</v>
      </c>
      <c r="K6212" t="s">
        <v>6444</v>
      </c>
      <c r="L6212" t="s">
        <v>31674</v>
      </c>
      <c r="M6212">
        <v>973.04916200000002</v>
      </c>
      <c r="O6212" t="s">
        <v>26</v>
      </c>
      <c r="P6212">
        <v>165</v>
      </c>
      <c r="Q6212">
        <v>137.5</v>
      </c>
      <c r="R6212">
        <v>110</v>
      </c>
      <c r="S6212">
        <v>165</v>
      </c>
      <c r="T6212" t="s">
        <v>31675</v>
      </c>
    </row>
    <row r="6213" spans="1:20">
      <c r="A6213">
        <v>4396126</v>
      </c>
      <c r="B6213" t="s">
        <v>31676</v>
      </c>
      <c r="C6213" t="str">
        <f>"9780773546240"</f>
        <v>9780773546240</v>
      </c>
      <c r="D6213" t="str">
        <f>"9780773597983"</f>
        <v>9780773597983</v>
      </c>
      <c r="E6213" t="s">
        <v>12863</v>
      </c>
      <c r="F6213" t="s">
        <v>12863</v>
      </c>
      <c r="G6213" s="1">
        <v>42293</v>
      </c>
      <c r="I6213" t="s">
        <v>31613</v>
      </c>
      <c r="J6213" t="s">
        <v>31677</v>
      </c>
      <c r="K6213" t="s">
        <v>1471</v>
      </c>
      <c r="L6213" t="s">
        <v>31678</v>
      </c>
      <c r="M6213">
        <v>791.43023309199998</v>
      </c>
      <c r="O6213" t="s">
        <v>26</v>
      </c>
      <c r="P6213">
        <v>150</v>
      </c>
      <c r="Q6213">
        <v>125</v>
      </c>
      <c r="R6213">
        <v>100</v>
      </c>
      <c r="S6213">
        <v>150</v>
      </c>
      <c r="T6213" t="s">
        <v>31679</v>
      </c>
    </row>
    <row r="6214" spans="1:20">
      <c r="A6214">
        <v>4396127</v>
      </c>
      <c r="B6214" t="s">
        <v>31680</v>
      </c>
      <c r="C6214" t="str">
        <f>"9780773546257"</f>
        <v>9780773546257</v>
      </c>
      <c r="D6214" t="str">
        <f>"9780773598003"</f>
        <v>9780773598003</v>
      </c>
      <c r="E6214" t="s">
        <v>12863</v>
      </c>
      <c r="F6214" t="s">
        <v>12863</v>
      </c>
      <c r="G6214" s="1">
        <v>42307</v>
      </c>
      <c r="J6214" t="s">
        <v>31681</v>
      </c>
      <c r="K6214" t="s">
        <v>291</v>
      </c>
      <c r="L6214" t="s">
        <v>31682</v>
      </c>
      <c r="M6214">
        <v>940.40092000000004</v>
      </c>
      <c r="O6214" t="s">
        <v>26</v>
      </c>
      <c r="P6214">
        <v>150</v>
      </c>
      <c r="Q6214">
        <v>125</v>
      </c>
      <c r="R6214">
        <v>100</v>
      </c>
      <c r="S6214">
        <v>150</v>
      </c>
      <c r="T6214" t="s">
        <v>31683</v>
      </c>
    </row>
    <row r="6215" spans="1:20">
      <c r="A6215">
        <v>4396128</v>
      </c>
      <c r="B6215" t="s">
        <v>31684</v>
      </c>
      <c r="C6215" t="str">
        <f>"9780773546264"</f>
        <v>9780773546264</v>
      </c>
      <c r="D6215" t="str">
        <f>"9780773598027"</f>
        <v>9780773598027</v>
      </c>
      <c r="E6215" t="s">
        <v>12863</v>
      </c>
      <c r="F6215" t="s">
        <v>12863</v>
      </c>
      <c r="G6215" s="1">
        <v>42307</v>
      </c>
      <c r="J6215" t="s">
        <v>31685</v>
      </c>
      <c r="K6215" t="s">
        <v>1892</v>
      </c>
      <c r="L6215" t="s">
        <v>31686</v>
      </c>
      <c r="M6215">
        <v>200.971</v>
      </c>
      <c r="O6215" t="s">
        <v>26</v>
      </c>
      <c r="P6215">
        <v>150</v>
      </c>
      <c r="R6215">
        <v>100</v>
      </c>
      <c r="T6215" t="s">
        <v>31687</v>
      </c>
    </row>
    <row r="6216" spans="1:20">
      <c r="A6216">
        <v>4396129</v>
      </c>
      <c r="B6216" t="s">
        <v>31688</v>
      </c>
      <c r="C6216" t="str">
        <f>"9780773546288"</f>
        <v>9780773546288</v>
      </c>
      <c r="D6216" t="str">
        <f>"9780773598041"</f>
        <v>9780773598041</v>
      </c>
      <c r="E6216" t="s">
        <v>12863</v>
      </c>
      <c r="F6216" t="s">
        <v>12863</v>
      </c>
      <c r="G6216" s="1">
        <v>42307</v>
      </c>
      <c r="J6216" t="s">
        <v>31689</v>
      </c>
      <c r="K6216" t="s">
        <v>1471</v>
      </c>
      <c r="L6216" t="s">
        <v>31690</v>
      </c>
      <c r="M6216">
        <v>791.43097109040002</v>
      </c>
      <c r="O6216" t="s">
        <v>26</v>
      </c>
      <c r="P6216">
        <v>150</v>
      </c>
      <c r="R6216">
        <v>100</v>
      </c>
      <c r="T6216" t="s">
        <v>31691</v>
      </c>
    </row>
    <row r="6217" spans="1:20">
      <c r="A6217">
        <v>4396130</v>
      </c>
      <c r="B6217" t="s">
        <v>31692</v>
      </c>
      <c r="C6217" t="str">
        <f>"9780773546301"</f>
        <v>9780773546301</v>
      </c>
      <c r="D6217" t="str">
        <f>"9780773598065"</f>
        <v>9780773598065</v>
      </c>
      <c r="E6217" t="s">
        <v>12863</v>
      </c>
      <c r="F6217" t="s">
        <v>12863</v>
      </c>
      <c r="G6217" s="1">
        <v>42277</v>
      </c>
      <c r="J6217" t="s">
        <v>31693</v>
      </c>
      <c r="K6217" t="s">
        <v>28169</v>
      </c>
      <c r="L6217" t="s">
        <v>31694</v>
      </c>
      <c r="M6217">
        <v>174.90703999999999</v>
      </c>
      <c r="O6217" t="s">
        <v>26</v>
      </c>
      <c r="P6217">
        <v>187.5</v>
      </c>
      <c r="R6217">
        <v>125</v>
      </c>
      <c r="T6217" t="s">
        <v>31695</v>
      </c>
    </row>
    <row r="6218" spans="1:20">
      <c r="A6218">
        <v>4396131</v>
      </c>
      <c r="B6218" t="s">
        <v>31696</v>
      </c>
      <c r="C6218" t="str">
        <f>"9780773546325"</f>
        <v>9780773546325</v>
      </c>
      <c r="D6218" t="str">
        <f>"9780773598089"</f>
        <v>9780773598089</v>
      </c>
      <c r="E6218" t="s">
        <v>12863</v>
      </c>
      <c r="F6218" t="s">
        <v>12863</v>
      </c>
      <c r="G6218" s="1">
        <v>42339</v>
      </c>
      <c r="J6218" t="s">
        <v>31697</v>
      </c>
      <c r="K6218" t="s">
        <v>257</v>
      </c>
      <c r="L6218" t="s">
        <v>31698</v>
      </c>
      <c r="M6218">
        <v>378.00819999999999</v>
      </c>
      <c r="O6218" t="s">
        <v>26</v>
      </c>
      <c r="P6218">
        <v>150</v>
      </c>
      <c r="Q6218">
        <v>125</v>
      </c>
      <c r="R6218">
        <v>100</v>
      </c>
      <c r="S6218">
        <v>150</v>
      </c>
      <c r="T6218" t="s">
        <v>31699</v>
      </c>
    </row>
    <row r="6219" spans="1:20">
      <c r="A6219">
        <v>4396132</v>
      </c>
      <c r="B6219" t="s">
        <v>31700</v>
      </c>
      <c r="C6219" t="str">
        <f>"9780773546349"</f>
        <v>9780773546349</v>
      </c>
      <c r="D6219" t="str">
        <f>"9780773598102"</f>
        <v>9780773598102</v>
      </c>
      <c r="E6219" t="s">
        <v>12863</v>
      </c>
      <c r="F6219" t="s">
        <v>12863</v>
      </c>
      <c r="G6219" s="1">
        <v>42335</v>
      </c>
      <c r="J6219" t="s">
        <v>31701</v>
      </c>
      <c r="K6219" t="s">
        <v>1464</v>
      </c>
      <c r="L6219" t="s">
        <v>31702</v>
      </c>
      <c r="M6219">
        <v>818.6</v>
      </c>
      <c r="O6219" t="s">
        <v>26</v>
      </c>
      <c r="P6219">
        <v>150</v>
      </c>
      <c r="Q6219">
        <v>125</v>
      </c>
      <c r="R6219">
        <v>100</v>
      </c>
      <c r="S6219">
        <v>150</v>
      </c>
      <c r="T6219" t="s">
        <v>31703</v>
      </c>
    </row>
    <row r="6220" spans="1:20">
      <c r="A6220">
        <v>4396133</v>
      </c>
      <c r="B6220" t="s">
        <v>31704</v>
      </c>
      <c r="C6220" t="str">
        <f>"9780773546400"</f>
        <v>9780773546400</v>
      </c>
      <c r="D6220" t="str">
        <f>"9780773598140"</f>
        <v>9780773598140</v>
      </c>
      <c r="E6220" t="s">
        <v>12863</v>
      </c>
      <c r="F6220" t="s">
        <v>12863</v>
      </c>
      <c r="G6220" s="1">
        <v>42326</v>
      </c>
      <c r="J6220" t="s">
        <v>31705</v>
      </c>
      <c r="K6220" t="s">
        <v>2432</v>
      </c>
      <c r="L6220" t="s">
        <v>31706</v>
      </c>
      <c r="M6220">
        <v>110</v>
      </c>
      <c r="O6220" t="s">
        <v>26</v>
      </c>
      <c r="P6220">
        <v>150</v>
      </c>
      <c r="R6220">
        <v>100</v>
      </c>
      <c r="T6220" t="s">
        <v>31707</v>
      </c>
    </row>
    <row r="6221" spans="1:20">
      <c r="A6221">
        <v>4396134</v>
      </c>
      <c r="B6221" t="s">
        <v>31708</v>
      </c>
      <c r="C6221" t="str">
        <f>"9780773546707"</f>
        <v>9780773546707</v>
      </c>
      <c r="D6221" t="str">
        <f>"9780773598454"</f>
        <v>9780773598454</v>
      </c>
      <c r="E6221" t="s">
        <v>12863</v>
      </c>
      <c r="F6221" t="s">
        <v>12863</v>
      </c>
      <c r="G6221" s="1">
        <v>42300</v>
      </c>
      <c r="J6221" t="s">
        <v>31709</v>
      </c>
      <c r="O6221" t="s">
        <v>94</v>
      </c>
      <c r="P6221">
        <v>165</v>
      </c>
      <c r="Q6221">
        <v>137.5</v>
      </c>
      <c r="R6221">
        <v>110</v>
      </c>
      <c r="S6221">
        <v>165</v>
      </c>
      <c r="T6221" t="s">
        <v>31710</v>
      </c>
    </row>
    <row r="6222" spans="1:20">
      <c r="A6222">
        <v>4397158</v>
      </c>
      <c r="B6222" t="s">
        <v>31711</v>
      </c>
      <c r="C6222" t="str">
        <f>"9780820348124"</f>
        <v>9780820348124</v>
      </c>
      <c r="D6222" t="str">
        <f>"9780820348148"</f>
        <v>9780820348148</v>
      </c>
      <c r="E6222" t="s">
        <v>31712</v>
      </c>
      <c r="F6222" t="s">
        <v>31712</v>
      </c>
      <c r="G6222" s="1">
        <v>42185</v>
      </c>
      <c r="I6222" t="s">
        <v>31713</v>
      </c>
      <c r="J6222" t="s">
        <v>31714</v>
      </c>
      <c r="K6222" t="s">
        <v>568</v>
      </c>
      <c r="L6222" t="s">
        <v>31715</v>
      </c>
      <c r="M6222">
        <v>305.89481107</v>
      </c>
      <c r="N6222" t="s">
        <v>31716</v>
      </c>
      <c r="O6222" t="s">
        <v>26</v>
      </c>
      <c r="P6222">
        <v>79.95</v>
      </c>
      <c r="Q6222">
        <v>99.94</v>
      </c>
      <c r="R6222">
        <v>79.95</v>
      </c>
      <c r="S6222">
        <v>119.93</v>
      </c>
      <c r="T6222" t="s">
        <v>31717</v>
      </c>
    </row>
    <row r="6223" spans="1:20">
      <c r="A6223">
        <v>4414210</v>
      </c>
      <c r="B6223" t="s">
        <v>31718</v>
      </c>
      <c r="C6223" t="str">
        <f>"9781551525945"</f>
        <v>9781551525945</v>
      </c>
      <c r="D6223" t="str">
        <f>"9781551526126"</f>
        <v>9781551526126</v>
      </c>
      <c r="E6223" t="s">
        <v>2416</v>
      </c>
      <c r="F6223" t="s">
        <v>2416</v>
      </c>
      <c r="G6223" s="1">
        <v>42303</v>
      </c>
      <c r="J6223" t="s">
        <v>31719</v>
      </c>
      <c r="K6223" t="s">
        <v>291</v>
      </c>
      <c r="M6223">
        <v>972.91064091999999</v>
      </c>
      <c r="N6223" t="s">
        <v>31720</v>
      </c>
      <c r="O6223" t="s">
        <v>26</v>
      </c>
      <c r="P6223">
        <v>22.99</v>
      </c>
      <c r="Q6223">
        <v>28.74</v>
      </c>
      <c r="R6223">
        <v>22.99</v>
      </c>
      <c r="S6223">
        <v>34.49</v>
      </c>
      <c r="T6223" t="s">
        <v>31721</v>
      </c>
    </row>
    <row r="6224" spans="1:20">
      <c r="A6224">
        <v>4454171</v>
      </c>
      <c r="B6224" t="s">
        <v>31722</v>
      </c>
      <c r="C6224" t="str">
        <f>"9781926639734"</f>
        <v>9781926639734</v>
      </c>
      <c r="D6224" t="str">
        <f>"9781988040172"</f>
        <v>9781988040172</v>
      </c>
      <c r="E6224" t="s">
        <v>10636</v>
      </c>
      <c r="F6224" t="s">
        <v>10636</v>
      </c>
      <c r="G6224" s="1">
        <v>41791</v>
      </c>
      <c r="H6224">
        <v>1</v>
      </c>
      <c r="J6224" t="s">
        <v>31723</v>
      </c>
      <c r="K6224" t="s">
        <v>1464</v>
      </c>
      <c r="L6224" t="s">
        <v>31724</v>
      </c>
      <c r="M6224">
        <v>813.6</v>
      </c>
      <c r="O6224" t="s">
        <v>26</v>
      </c>
      <c r="P6224">
        <v>14.99</v>
      </c>
      <c r="Q6224">
        <v>12.99</v>
      </c>
      <c r="R6224">
        <v>9.99</v>
      </c>
      <c r="S6224">
        <v>14.99</v>
      </c>
      <c r="T6224" t="s">
        <v>31725</v>
      </c>
    </row>
    <row r="6225" spans="1:20">
      <c r="A6225">
        <v>4459449</v>
      </c>
      <c r="B6225" t="s">
        <v>31726</v>
      </c>
      <c r="C6225" t="str">
        <f>"9781550964332"</f>
        <v>9781550964332</v>
      </c>
      <c r="D6225" t="str">
        <f>"9781550964349"</f>
        <v>9781550964349</v>
      </c>
      <c r="E6225" t="s">
        <v>31727</v>
      </c>
      <c r="F6225" t="s">
        <v>31727</v>
      </c>
      <c r="G6225" s="1">
        <v>42248</v>
      </c>
      <c r="H6225">
        <v>1</v>
      </c>
      <c r="J6225" t="s">
        <v>31728</v>
      </c>
      <c r="K6225" t="s">
        <v>1464</v>
      </c>
      <c r="L6225" t="s">
        <v>31729</v>
      </c>
      <c r="M6225" t="s">
        <v>1466</v>
      </c>
      <c r="O6225" t="s">
        <v>26</v>
      </c>
      <c r="P6225">
        <v>11.99</v>
      </c>
      <c r="Q6225">
        <v>10.39</v>
      </c>
      <c r="R6225">
        <v>7.99</v>
      </c>
      <c r="S6225">
        <v>11.99</v>
      </c>
      <c r="T6225" t="s">
        <v>31730</v>
      </c>
    </row>
    <row r="6226" spans="1:20">
      <c r="A6226">
        <v>4459451</v>
      </c>
      <c r="B6226" t="s">
        <v>31731</v>
      </c>
      <c r="C6226" t="str">
        <f>"9781550964769"</f>
        <v>9781550964769</v>
      </c>
      <c r="D6226" t="str">
        <f>"9781550964790"</f>
        <v>9781550964790</v>
      </c>
      <c r="E6226" t="s">
        <v>31727</v>
      </c>
      <c r="F6226" t="s">
        <v>31727</v>
      </c>
      <c r="G6226" s="1">
        <v>42248</v>
      </c>
      <c r="H6226">
        <v>1</v>
      </c>
      <c r="J6226" t="s">
        <v>31732</v>
      </c>
      <c r="K6226" t="s">
        <v>1464</v>
      </c>
      <c r="L6226" t="s">
        <v>31733</v>
      </c>
      <c r="M6226">
        <v>811</v>
      </c>
      <c r="O6226" t="s">
        <v>26</v>
      </c>
      <c r="P6226">
        <v>11.99</v>
      </c>
      <c r="Q6226">
        <v>10.39</v>
      </c>
      <c r="R6226">
        <v>7.99</v>
      </c>
      <c r="S6226">
        <v>11.99</v>
      </c>
      <c r="T6226" t="s">
        <v>31734</v>
      </c>
    </row>
    <row r="6227" spans="1:20">
      <c r="A6227">
        <v>4459452</v>
      </c>
      <c r="B6227" t="s">
        <v>31735</v>
      </c>
      <c r="C6227" t="str">
        <f>"9781550964905"</f>
        <v>9781550964905</v>
      </c>
      <c r="D6227" t="str">
        <f>"9781550964936"</f>
        <v>9781550964936</v>
      </c>
      <c r="E6227" t="s">
        <v>31727</v>
      </c>
      <c r="F6227" t="s">
        <v>31727</v>
      </c>
      <c r="G6227" s="1">
        <v>42278</v>
      </c>
      <c r="H6227">
        <v>1</v>
      </c>
      <c r="I6227" t="s">
        <v>31736</v>
      </c>
      <c r="J6227" t="s">
        <v>31737</v>
      </c>
      <c r="K6227" t="s">
        <v>1464</v>
      </c>
      <c r="L6227" t="s">
        <v>31738</v>
      </c>
      <c r="M6227">
        <v>813.01089709999997</v>
      </c>
      <c r="O6227" t="s">
        <v>26</v>
      </c>
      <c r="P6227">
        <v>11.99</v>
      </c>
      <c r="Q6227">
        <v>10.39</v>
      </c>
      <c r="R6227">
        <v>7.99</v>
      </c>
      <c r="S6227">
        <v>11.99</v>
      </c>
      <c r="T6227" t="s">
        <v>31739</v>
      </c>
    </row>
    <row r="6228" spans="1:20">
      <c r="A6228">
        <v>4462575</v>
      </c>
      <c r="B6228" t="s">
        <v>31740</v>
      </c>
      <c r="C6228" t="str">
        <f>"9781621900979"</f>
        <v>9781621900979</v>
      </c>
      <c r="D6228" t="str">
        <f>"9781621901327"</f>
        <v>9781621901327</v>
      </c>
      <c r="E6228" t="s">
        <v>31741</v>
      </c>
      <c r="F6228" t="s">
        <v>31742</v>
      </c>
      <c r="G6228" s="1">
        <v>42118</v>
      </c>
      <c r="I6228" t="s">
        <v>31743</v>
      </c>
      <c r="J6228" t="s">
        <v>31744</v>
      </c>
      <c r="K6228" t="s">
        <v>1471</v>
      </c>
      <c r="L6228" t="s">
        <v>31745</v>
      </c>
      <c r="M6228" t="s">
        <v>31746</v>
      </c>
      <c r="N6228" t="s">
        <v>31747</v>
      </c>
      <c r="O6228" t="s">
        <v>26</v>
      </c>
      <c r="P6228">
        <v>39.950000000000003</v>
      </c>
      <c r="Q6228">
        <v>49.94</v>
      </c>
      <c r="R6228">
        <v>39.950000000000003</v>
      </c>
      <c r="S6228">
        <v>59.93</v>
      </c>
      <c r="T6228" t="s">
        <v>31748</v>
      </c>
    </row>
    <row r="6229" spans="1:20">
      <c r="A6229">
        <v>4500628</v>
      </c>
      <c r="B6229" t="s">
        <v>31749</v>
      </c>
      <c r="C6229" t="str">
        <f>"9780773546646"</f>
        <v>9780773546646</v>
      </c>
      <c r="D6229" t="str">
        <f>"9780773598331"</f>
        <v>9780773598331</v>
      </c>
      <c r="E6229" t="s">
        <v>12863</v>
      </c>
      <c r="F6229" t="s">
        <v>12863</v>
      </c>
      <c r="G6229" s="1">
        <v>42347</v>
      </c>
      <c r="J6229" t="s">
        <v>31709</v>
      </c>
      <c r="O6229" t="s">
        <v>94</v>
      </c>
      <c r="P6229">
        <v>262.5</v>
      </c>
      <c r="Q6229">
        <v>218.75</v>
      </c>
      <c r="R6229">
        <v>175</v>
      </c>
      <c r="S6229">
        <v>262.5</v>
      </c>
      <c r="T6229" t="s">
        <v>31750</v>
      </c>
    </row>
    <row r="6230" spans="1:20">
      <c r="A6230">
        <v>4502786</v>
      </c>
      <c r="B6230" t="s">
        <v>31751</v>
      </c>
      <c r="C6230" t="str">
        <f>"9780773534414"</f>
        <v>9780773534414</v>
      </c>
      <c r="D6230" t="str">
        <f>"9780773577626"</f>
        <v>9780773577626</v>
      </c>
      <c r="E6230" t="s">
        <v>12863</v>
      </c>
      <c r="F6230" t="s">
        <v>12863</v>
      </c>
      <c r="G6230" s="1">
        <v>39814</v>
      </c>
      <c r="J6230" t="s">
        <v>31752</v>
      </c>
      <c r="K6230" t="s">
        <v>263</v>
      </c>
      <c r="L6230" t="s">
        <v>31753</v>
      </c>
      <c r="M6230">
        <v>306.74509710000001</v>
      </c>
      <c r="O6230" t="s">
        <v>26</v>
      </c>
      <c r="P6230">
        <v>44.93</v>
      </c>
      <c r="Q6230">
        <v>37.44</v>
      </c>
      <c r="R6230">
        <v>29.95</v>
      </c>
      <c r="S6230">
        <v>44.93</v>
      </c>
      <c r="T6230" t="s">
        <v>31754</v>
      </c>
    </row>
    <row r="6231" spans="1:20">
      <c r="A6231">
        <v>4502812</v>
      </c>
      <c r="B6231" t="s">
        <v>31755</v>
      </c>
      <c r="C6231" t="str">
        <f>""</f>
        <v/>
      </c>
      <c r="D6231" t="str">
        <f>"9780773582422"</f>
        <v>9780773582422</v>
      </c>
      <c r="E6231" t="s">
        <v>12863</v>
      </c>
      <c r="F6231" t="s">
        <v>12863</v>
      </c>
      <c r="G6231" s="1">
        <v>41759</v>
      </c>
      <c r="J6231" t="s">
        <v>8486</v>
      </c>
      <c r="K6231" t="s">
        <v>1464</v>
      </c>
      <c r="M6231">
        <v>861.64</v>
      </c>
      <c r="O6231" t="s">
        <v>26</v>
      </c>
      <c r="P6231">
        <v>187.5</v>
      </c>
      <c r="Q6231">
        <v>156.25</v>
      </c>
      <c r="R6231">
        <v>125</v>
      </c>
      <c r="S6231">
        <v>187.5</v>
      </c>
      <c r="T6231" t="s">
        <v>31756</v>
      </c>
    </row>
    <row r="6232" spans="1:20">
      <c r="A6232">
        <v>4502828</v>
      </c>
      <c r="B6232" t="s">
        <v>31757</v>
      </c>
      <c r="C6232" t="str">
        <f>"9780773546462"</f>
        <v>9780773546462</v>
      </c>
      <c r="D6232" t="str">
        <f>"9780773584211"</f>
        <v>9780773584211</v>
      </c>
      <c r="E6232" t="s">
        <v>12863</v>
      </c>
      <c r="F6232" t="s">
        <v>12863</v>
      </c>
      <c r="G6232" s="1">
        <v>42248</v>
      </c>
      <c r="J6232" t="s">
        <v>31758</v>
      </c>
      <c r="K6232" t="s">
        <v>257</v>
      </c>
      <c r="M6232">
        <v>378.71352000000002</v>
      </c>
      <c r="O6232" t="s">
        <v>26</v>
      </c>
      <c r="P6232">
        <v>150</v>
      </c>
      <c r="Q6232">
        <v>125</v>
      </c>
      <c r="R6232">
        <v>100</v>
      </c>
      <c r="S6232">
        <v>150</v>
      </c>
      <c r="T6232" t="s">
        <v>31759</v>
      </c>
    </row>
    <row r="6233" spans="1:20">
      <c r="A6233">
        <v>4502829</v>
      </c>
      <c r="B6233" t="s">
        <v>31760</v>
      </c>
      <c r="C6233" t="str">
        <f>"9780773546479"</f>
        <v>9780773546479</v>
      </c>
      <c r="D6233" t="str">
        <f>"9780773584228"</f>
        <v>9780773584228</v>
      </c>
      <c r="E6233" t="s">
        <v>12863</v>
      </c>
      <c r="F6233" t="s">
        <v>12863</v>
      </c>
      <c r="G6233" s="1">
        <v>42248</v>
      </c>
      <c r="J6233" t="s">
        <v>31758</v>
      </c>
      <c r="K6233" t="s">
        <v>257</v>
      </c>
      <c r="M6233">
        <v>378.71352000000002</v>
      </c>
      <c r="O6233" t="s">
        <v>26</v>
      </c>
      <c r="P6233">
        <v>150</v>
      </c>
      <c r="Q6233">
        <v>125</v>
      </c>
      <c r="R6233">
        <v>100</v>
      </c>
      <c r="S6233">
        <v>150</v>
      </c>
      <c r="T6233" t="s">
        <v>31761</v>
      </c>
    </row>
    <row r="6234" spans="1:20">
      <c r="A6234">
        <v>4502844</v>
      </c>
      <c r="B6234" t="s">
        <v>31762</v>
      </c>
      <c r="C6234" t="str">
        <f>"9780773531505"</f>
        <v>9780773531505</v>
      </c>
      <c r="D6234" t="str">
        <f>"9780773578197"</f>
        <v>9780773578197</v>
      </c>
      <c r="E6234" t="s">
        <v>12863</v>
      </c>
      <c r="F6234" t="s">
        <v>12863</v>
      </c>
      <c r="G6234" s="1">
        <v>38930</v>
      </c>
      <c r="J6234" t="s">
        <v>18859</v>
      </c>
      <c r="K6234" t="s">
        <v>11294</v>
      </c>
      <c r="L6234" t="s">
        <v>31763</v>
      </c>
      <c r="M6234">
        <v>363.32499999999999</v>
      </c>
      <c r="O6234" t="s">
        <v>26</v>
      </c>
      <c r="P6234">
        <v>37.43</v>
      </c>
      <c r="Q6234">
        <v>31.19</v>
      </c>
      <c r="R6234">
        <v>24.95</v>
      </c>
      <c r="S6234">
        <v>37.43</v>
      </c>
      <c r="T6234" t="s">
        <v>31764</v>
      </c>
    </row>
    <row r="6235" spans="1:20">
      <c r="A6235">
        <v>4502852</v>
      </c>
      <c r="B6235" t="s">
        <v>31765</v>
      </c>
      <c r="C6235" t="str">
        <f>"9780773540262"</f>
        <v>9780773540262</v>
      </c>
      <c r="D6235" t="str">
        <f>"9780773587076"</f>
        <v>9780773587076</v>
      </c>
      <c r="E6235" t="s">
        <v>12863</v>
      </c>
      <c r="F6235" t="s">
        <v>12863</v>
      </c>
      <c r="G6235" s="1">
        <v>41030</v>
      </c>
      <c r="J6235" t="s">
        <v>31766</v>
      </c>
      <c r="K6235" t="s">
        <v>291</v>
      </c>
      <c r="M6235">
        <v>971.03</v>
      </c>
      <c r="O6235" t="s">
        <v>26</v>
      </c>
      <c r="P6235">
        <v>142.5</v>
      </c>
      <c r="Q6235">
        <v>118.75</v>
      </c>
      <c r="R6235">
        <v>95</v>
      </c>
      <c r="S6235">
        <v>142.5</v>
      </c>
      <c r="T6235" t="s">
        <v>31767</v>
      </c>
    </row>
    <row r="6236" spans="1:20">
      <c r="A6236">
        <v>4502855</v>
      </c>
      <c r="B6236" t="s">
        <v>31768</v>
      </c>
      <c r="C6236" t="str">
        <f>"9780773530461"</f>
        <v>9780773530461</v>
      </c>
      <c r="D6236" t="str">
        <f>"9780773578296"</f>
        <v>9780773578296</v>
      </c>
      <c r="E6236" t="s">
        <v>12863</v>
      </c>
      <c r="F6236" t="s">
        <v>12863</v>
      </c>
      <c r="G6236" s="1">
        <v>38899</v>
      </c>
      <c r="J6236" t="s">
        <v>12969</v>
      </c>
      <c r="K6236" t="s">
        <v>11854</v>
      </c>
      <c r="L6236" t="s">
        <v>31769</v>
      </c>
      <c r="M6236">
        <v>891.8537</v>
      </c>
      <c r="O6236" t="s">
        <v>26</v>
      </c>
      <c r="P6236">
        <v>142.5</v>
      </c>
      <c r="Q6236">
        <v>118.75</v>
      </c>
      <c r="R6236">
        <v>95</v>
      </c>
      <c r="S6236">
        <v>142.5</v>
      </c>
      <c r="T6236" t="s">
        <v>31770</v>
      </c>
    </row>
    <row r="6237" spans="1:20">
      <c r="A6237">
        <v>4502882</v>
      </c>
      <c r="B6237" t="s">
        <v>31771</v>
      </c>
      <c r="C6237" t="str">
        <f>"9780773535435"</f>
        <v>9780773535435</v>
      </c>
      <c r="D6237" t="str">
        <f>"9780773590847"</f>
        <v>9780773590847</v>
      </c>
      <c r="E6237" t="s">
        <v>12863</v>
      </c>
      <c r="F6237" t="s">
        <v>12863</v>
      </c>
      <c r="G6237" s="1">
        <v>40019</v>
      </c>
      <c r="J6237" t="s">
        <v>31772</v>
      </c>
      <c r="K6237" t="s">
        <v>467</v>
      </c>
      <c r="M6237">
        <v>321.02</v>
      </c>
      <c r="N6237" t="s">
        <v>31773</v>
      </c>
      <c r="O6237" t="s">
        <v>26</v>
      </c>
      <c r="P6237">
        <v>19.43</v>
      </c>
      <c r="Q6237">
        <v>16.190000000000001</v>
      </c>
      <c r="R6237">
        <v>12.95</v>
      </c>
      <c r="S6237">
        <v>19.43</v>
      </c>
      <c r="T6237" t="s">
        <v>31774</v>
      </c>
    </row>
    <row r="6238" spans="1:20">
      <c r="A6238">
        <v>4502883</v>
      </c>
      <c r="B6238" t="s">
        <v>31775</v>
      </c>
      <c r="C6238" t="str">
        <f>"9780773536562"</f>
        <v>9780773536562</v>
      </c>
      <c r="D6238" t="str">
        <f>"9780773590854"</f>
        <v>9780773590854</v>
      </c>
      <c r="E6238" t="s">
        <v>12863</v>
      </c>
      <c r="F6238" t="s">
        <v>12863</v>
      </c>
      <c r="G6238" s="1">
        <v>40262</v>
      </c>
      <c r="I6238" t="s">
        <v>31776</v>
      </c>
      <c r="J6238" t="s">
        <v>31777</v>
      </c>
      <c r="K6238" t="s">
        <v>467</v>
      </c>
      <c r="L6238" t="s">
        <v>31778</v>
      </c>
      <c r="M6238">
        <v>321.02</v>
      </c>
      <c r="N6238" t="s">
        <v>31773</v>
      </c>
      <c r="O6238" t="s">
        <v>26</v>
      </c>
      <c r="P6238">
        <v>19.43</v>
      </c>
      <c r="Q6238">
        <v>16.190000000000001</v>
      </c>
      <c r="R6238">
        <v>12.95</v>
      </c>
      <c r="S6238">
        <v>19.43</v>
      </c>
      <c r="T6238" t="s">
        <v>31779</v>
      </c>
    </row>
    <row r="6239" spans="1:20">
      <c r="A6239">
        <v>4502884</v>
      </c>
      <c r="B6239" t="s">
        <v>31780</v>
      </c>
      <c r="C6239" t="str">
        <f>"9780773537408"</f>
        <v>9780773537408</v>
      </c>
      <c r="D6239" t="str">
        <f>"9780773590861"</f>
        <v>9780773590861</v>
      </c>
      <c r="E6239" t="s">
        <v>12863</v>
      </c>
      <c r="F6239" t="s">
        <v>12863</v>
      </c>
      <c r="G6239" s="1">
        <v>40308</v>
      </c>
      <c r="I6239" t="s">
        <v>18119</v>
      </c>
      <c r="J6239" t="s">
        <v>31781</v>
      </c>
      <c r="K6239" t="s">
        <v>467</v>
      </c>
      <c r="L6239" t="s">
        <v>20774</v>
      </c>
      <c r="M6239">
        <v>320.8</v>
      </c>
      <c r="N6239" t="s">
        <v>31773</v>
      </c>
      <c r="O6239" t="s">
        <v>26</v>
      </c>
      <c r="P6239">
        <v>19.43</v>
      </c>
      <c r="Q6239">
        <v>16.190000000000001</v>
      </c>
      <c r="R6239">
        <v>12.95</v>
      </c>
      <c r="S6239">
        <v>19.43</v>
      </c>
      <c r="T6239" t="s">
        <v>31782</v>
      </c>
    </row>
    <row r="6240" spans="1:20">
      <c r="A6240">
        <v>4502903</v>
      </c>
      <c r="B6240" t="s">
        <v>31783</v>
      </c>
      <c r="C6240" t="str">
        <f>"9780771098024"</f>
        <v>9780771098024</v>
      </c>
      <c r="D6240" t="str">
        <f>"9780773591646"</f>
        <v>9780773591646</v>
      </c>
      <c r="E6240" t="s">
        <v>12863</v>
      </c>
      <c r="F6240" t="s">
        <v>12863</v>
      </c>
      <c r="G6240" s="1">
        <v>41803</v>
      </c>
      <c r="J6240" t="s">
        <v>31784</v>
      </c>
      <c r="K6240" t="s">
        <v>1859</v>
      </c>
      <c r="M6240">
        <v>172</v>
      </c>
      <c r="O6240" t="s">
        <v>26</v>
      </c>
      <c r="P6240">
        <v>112.5</v>
      </c>
      <c r="Q6240">
        <v>93.75</v>
      </c>
      <c r="R6240">
        <v>75</v>
      </c>
      <c r="S6240">
        <v>112.5</v>
      </c>
      <c r="T6240" t="s">
        <v>31785</v>
      </c>
    </row>
    <row r="6241" spans="1:20">
      <c r="A6241">
        <v>4502908</v>
      </c>
      <c r="B6241" t="s">
        <v>31786</v>
      </c>
      <c r="C6241" t="str">
        <f>"9780773505780"</f>
        <v>9780773505780</v>
      </c>
      <c r="D6241" t="str">
        <f>"9780773592490"</f>
        <v>9780773592490</v>
      </c>
      <c r="E6241" t="s">
        <v>12863</v>
      </c>
      <c r="F6241" t="s">
        <v>12863</v>
      </c>
      <c r="G6241" s="1">
        <v>31048</v>
      </c>
      <c r="J6241" t="s">
        <v>31787</v>
      </c>
      <c r="O6241" t="s">
        <v>26</v>
      </c>
      <c r="P6241">
        <v>127.5</v>
      </c>
      <c r="Q6241">
        <v>106.25</v>
      </c>
      <c r="R6241">
        <v>85</v>
      </c>
      <c r="S6241">
        <v>127.5</v>
      </c>
      <c r="T6241" t="s">
        <v>31788</v>
      </c>
    </row>
    <row r="6242" spans="1:20">
      <c r="A6242">
        <v>4502910</v>
      </c>
      <c r="B6242" t="s">
        <v>31789</v>
      </c>
      <c r="C6242" t="str">
        <f>"9780773503816"</f>
        <v>9780773503816</v>
      </c>
      <c r="D6242" t="str">
        <f>"9780773592537"</f>
        <v>9780773592537</v>
      </c>
      <c r="E6242" t="s">
        <v>12863</v>
      </c>
      <c r="F6242" t="s">
        <v>12863</v>
      </c>
      <c r="G6242" s="1">
        <v>29952</v>
      </c>
      <c r="J6242" t="s">
        <v>31790</v>
      </c>
      <c r="O6242" t="s">
        <v>26</v>
      </c>
      <c r="P6242">
        <v>127.5</v>
      </c>
      <c r="Q6242">
        <v>106.25</v>
      </c>
      <c r="R6242">
        <v>85</v>
      </c>
      <c r="S6242">
        <v>127.5</v>
      </c>
      <c r="T6242" t="s">
        <v>31791</v>
      </c>
    </row>
    <row r="6243" spans="1:20">
      <c r="A6243">
        <v>4502911</v>
      </c>
      <c r="B6243" t="s">
        <v>31792</v>
      </c>
      <c r="C6243" t="str">
        <f>"9780773508668"</f>
        <v>9780773508668</v>
      </c>
      <c r="D6243" t="str">
        <f>"9780773592773"</f>
        <v>9780773592773</v>
      </c>
      <c r="E6243" t="s">
        <v>12863</v>
      </c>
      <c r="F6243" t="s">
        <v>12863</v>
      </c>
      <c r="G6243" s="1">
        <v>33239</v>
      </c>
      <c r="J6243" t="s">
        <v>31793</v>
      </c>
      <c r="O6243" t="s">
        <v>26</v>
      </c>
      <c r="P6243">
        <v>150</v>
      </c>
      <c r="Q6243">
        <v>125</v>
      </c>
      <c r="R6243">
        <v>100</v>
      </c>
      <c r="S6243">
        <v>150</v>
      </c>
      <c r="T6243" t="s">
        <v>31794</v>
      </c>
    </row>
    <row r="6244" spans="1:20">
      <c r="A6244">
        <v>4502912</v>
      </c>
      <c r="B6244" t="s">
        <v>31795</v>
      </c>
      <c r="C6244" t="str">
        <f>"9780773501829"</f>
        <v>9780773501829</v>
      </c>
      <c r="D6244" t="str">
        <f>"9780773593312"</f>
        <v>9780773593312</v>
      </c>
      <c r="E6244" t="s">
        <v>12863</v>
      </c>
      <c r="F6244" t="s">
        <v>12863</v>
      </c>
      <c r="G6244" s="1">
        <v>27061</v>
      </c>
      <c r="J6244" t="s">
        <v>31796</v>
      </c>
      <c r="K6244" t="s">
        <v>291</v>
      </c>
      <c r="L6244" t="s">
        <v>31797</v>
      </c>
      <c r="M6244">
        <v>944.04100000000005</v>
      </c>
      <c r="O6244" t="s">
        <v>26</v>
      </c>
      <c r="P6244">
        <v>112.5</v>
      </c>
      <c r="Q6244">
        <v>93.75</v>
      </c>
      <c r="R6244">
        <v>75</v>
      </c>
      <c r="S6244">
        <v>112.5</v>
      </c>
      <c r="T6244" t="s">
        <v>31798</v>
      </c>
    </row>
    <row r="6245" spans="1:20">
      <c r="A6245">
        <v>4502914</v>
      </c>
      <c r="B6245" t="s">
        <v>31799</v>
      </c>
      <c r="C6245" t="str">
        <f>"9780773509818"</f>
        <v>9780773509818</v>
      </c>
      <c r="D6245" t="str">
        <f>"9780773593350"</f>
        <v>9780773593350</v>
      </c>
      <c r="E6245" t="s">
        <v>12863</v>
      </c>
      <c r="F6245" t="s">
        <v>12863</v>
      </c>
      <c r="G6245" s="1">
        <v>34260</v>
      </c>
      <c r="J6245" t="s">
        <v>31800</v>
      </c>
      <c r="K6245" t="s">
        <v>291</v>
      </c>
      <c r="M6245">
        <v>971.428</v>
      </c>
      <c r="N6245" t="s">
        <v>31801</v>
      </c>
      <c r="O6245" t="s">
        <v>26</v>
      </c>
      <c r="P6245">
        <v>112.5</v>
      </c>
      <c r="Q6245">
        <v>93.75</v>
      </c>
      <c r="R6245">
        <v>75</v>
      </c>
      <c r="S6245">
        <v>112.5</v>
      </c>
      <c r="T6245" t="s">
        <v>31802</v>
      </c>
    </row>
    <row r="6246" spans="1:20">
      <c r="A6246">
        <v>4502916</v>
      </c>
      <c r="B6246" t="s">
        <v>31803</v>
      </c>
      <c r="C6246" t="str">
        <f>"9780773503892"</f>
        <v>9780773503892</v>
      </c>
      <c r="D6246" t="str">
        <f>"9780773593466"</f>
        <v>9780773593466</v>
      </c>
      <c r="E6246" t="s">
        <v>12863</v>
      </c>
      <c r="F6246" t="s">
        <v>12863</v>
      </c>
      <c r="G6246" s="1">
        <v>30682</v>
      </c>
      <c r="J6246" t="s">
        <v>31804</v>
      </c>
      <c r="K6246" t="s">
        <v>467</v>
      </c>
      <c r="M6246">
        <v>324.27130699999998</v>
      </c>
      <c r="N6246" t="s">
        <v>31805</v>
      </c>
      <c r="O6246" t="s">
        <v>26</v>
      </c>
      <c r="P6246">
        <v>127.5</v>
      </c>
      <c r="Q6246">
        <v>106.25</v>
      </c>
      <c r="R6246">
        <v>85</v>
      </c>
      <c r="S6246">
        <v>127.5</v>
      </c>
      <c r="T6246" t="s">
        <v>31806</v>
      </c>
    </row>
    <row r="6247" spans="1:20">
      <c r="A6247">
        <v>4502917</v>
      </c>
      <c r="B6247" t="s">
        <v>31807</v>
      </c>
      <c r="C6247" t="str">
        <f>"9780773503915"</f>
        <v>9780773503915</v>
      </c>
      <c r="D6247" t="str">
        <f>"9780773593718"</f>
        <v>9780773593718</v>
      </c>
      <c r="E6247" t="s">
        <v>12863</v>
      </c>
      <c r="F6247" t="s">
        <v>12863</v>
      </c>
      <c r="G6247" s="1">
        <v>30225</v>
      </c>
      <c r="J6247" t="s">
        <v>31808</v>
      </c>
      <c r="K6247" t="s">
        <v>1464</v>
      </c>
      <c r="L6247" t="s">
        <v>31809</v>
      </c>
      <c r="M6247">
        <v>823.8</v>
      </c>
      <c r="O6247" t="s">
        <v>26</v>
      </c>
      <c r="P6247">
        <v>127.5</v>
      </c>
      <c r="Q6247">
        <v>106.25</v>
      </c>
      <c r="R6247">
        <v>85</v>
      </c>
      <c r="S6247">
        <v>127.5</v>
      </c>
      <c r="T6247" t="s">
        <v>31810</v>
      </c>
    </row>
    <row r="6248" spans="1:20">
      <c r="A6248">
        <v>4502918</v>
      </c>
      <c r="B6248" t="s">
        <v>31811</v>
      </c>
      <c r="C6248" t="str">
        <f>"9780773593763"</f>
        <v>9780773593763</v>
      </c>
      <c r="D6248" t="str">
        <f>"9780773593763"</f>
        <v>9780773593763</v>
      </c>
      <c r="E6248" t="s">
        <v>12863</v>
      </c>
      <c r="F6248" t="s">
        <v>12863</v>
      </c>
      <c r="G6248" s="1">
        <v>29587</v>
      </c>
      <c r="J6248" t="s">
        <v>31812</v>
      </c>
      <c r="O6248" t="s">
        <v>26</v>
      </c>
      <c r="P6248">
        <v>127.5</v>
      </c>
      <c r="Q6248">
        <v>106.25</v>
      </c>
      <c r="R6248">
        <v>85</v>
      </c>
      <c r="S6248">
        <v>127.5</v>
      </c>
      <c r="T6248" t="s">
        <v>31813</v>
      </c>
    </row>
    <row r="6249" spans="1:20">
      <c r="A6249">
        <v>4502919</v>
      </c>
      <c r="B6249" t="s">
        <v>31814</v>
      </c>
      <c r="C6249" t="str">
        <f>"9780773500754"</f>
        <v>9780773500754</v>
      </c>
      <c r="D6249" t="str">
        <f>"9780773594074"</f>
        <v>9780773594074</v>
      </c>
      <c r="E6249" t="s">
        <v>12863</v>
      </c>
      <c r="F6249" t="s">
        <v>12863</v>
      </c>
      <c r="G6249" s="1">
        <v>25934</v>
      </c>
      <c r="J6249" t="s">
        <v>31815</v>
      </c>
      <c r="O6249" t="s">
        <v>26</v>
      </c>
      <c r="P6249">
        <v>112.5</v>
      </c>
      <c r="Q6249">
        <v>93.75</v>
      </c>
      <c r="R6249">
        <v>75</v>
      </c>
      <c r="S6249">
        <v>112.5</v>
      </c>
      <c r="T6249" t="s">
        <v>31816</v>
      </c>
    </row>
    <row r="6250" spans="1:20">
      <c r="A6250">
        <v>4502921</v>
      </c>
      <c r="B6250" t="s">
        <v>31817</v>
      </c>
      <c r="C6250" t="str">
        <f>"9780773505353"</f>
        <v>9780773505353</v>
      </c>
      <c r="D6250" t="str">
        <f>"9780773594562"</f>
        <v>9780773594562</v>
      </c>
      <c r="E6250" t="s">
        <v>12863</v>
      </c>
      <c r="F6250" t="s">
        <v>12863</v>
      </c>
      <c r="G6250" s="1">
        <v>31048</v>
      </c>
      <c r="J6250" t="s">
        <v>31818</v>
      </c>
      <c r="K6250" t="s">
        <v>1464</v>
      </c>
      <c r="M6250">
        <v>809</v>
      </c>
      <c r="N6250" t="s">
        <v>31819</v>
      </c>
      <c r="O6250" t="s">
        <v>26</v>
      </c>
      <c r="P6250">
        <v>127.5</v>
      </c>
      <c r="Q6250">
        <v>106.25</v>
      </c>
      <c r="R6250">
        <v>85</v>
      </c>
      <c r="S6250">
        <v>127.5</v>
      </c>
      <c r="T6250" t="s">
        <v>31820</v>
      </c>
    </row>
    <row r="6251" spans="1:20">
      <c r="A6251">
        <v>4502922</v>
      </c>
      <c r="B6251" t="s">
        <v>31821</v>
      </c>
      <c r="C6251" t="str">
        <f>"9780773505339"</f>
        <v>9780773505339</v>
      </c>
      <c r="D6251" t="str">
        <f>"9780773594586"</f>
        <v>9780773594586</v>
      </c>
      <c r="E6251" t="s">
        <v>12863</v>
      </c>
      <c r="F6251" t="s">
        <v>12863</v>
      </c>
      <c r="G6251" s="1">
        <v>29952</v>
      </c>
      <c r="J6251" t="s">
        <v>31822</v>
      </c>
      <c r="K6251" t="s">
        <v>1150</v>
      </c>
      <c r="M6251">
        <v>796.09171700000002</v>
      </c>
      <c r="O6251" t="s">
        <v>26</v>
      </c>
      <c r="P6251">
        <v>112.5</v>
      </c>
      <c r="Q6251">
        <v>93.75</v>
      </c>
      <c r="R6251">
        <v>75</v>
      </c>
      <c r="S6251">
        <v>112.5</v>
      </c>
      <c r="T6251" t="s">
        <v>31823</v>
      </c>
    </row>
    <row r="6252" spans="1:20">
      <c r="A6252">
        <v>4502923</v>
      </c>
      <c r="B6252" t="s">
        <v>31824</v>
      </c>
      <c r="C6252" t="str">
        <f>"9780773536432"</f>
        <v>9780773536432</v>
      </c>
      <c r="D6252" t="str">
        <f>"9780773594623"</f>
        <v>9780773594623</v>
      </c>
      <c r="E6252" t="s">
        <v>12863</v>
      </c>
      <c r="F6252" t="s">
        <v>12863</v>
      </c>
      <c r="G6252" s="1">
        <v>39814</v>
      </c>
      <c r="J6252" t="s">
        <v>31825</v>
      </c>
      <c r="O6252" t="s">
        <v>26</v>
      </c>
      <c r="P6252">
        <v>150</v>
      </c>
      <c r="Q6252">
        <v>125</v>
      </c>
      <c r="R6252">
        <v>100</v>
      </c>
      <c r="S6252">
        <v>150</v>
      </c>
      <c r="T6252" t="s">
        <v>31826</v>
      </c>
    </row>
    <row r="6253" spans="1:20">
      <c r="A6253">
        <v>4502924</v>
      </c>
      <c r="B6253" t="s">
        <v>31827</v>
      </c>
      <c r="C6253" t="str">
        <f>"9780773539150"</f>
        <v>9780773539150</v>
      </c>
      <c r="D6253" t="str">
        <f>"9780773594630"</f>
        <v>9780773594630</v>
      </c>
      <c r="E6253" t="s">
        <v>12863</v>
      </c>
      <c r="F6253" t="s">
        <v>12863</v>
      </c>
      <c r="G6253" s="1">
        <v>40709</v>
      </c>
      <c r="I6253" t="s">
        <v>21583</v>
      </c>
      <c r="J6253" t="s">
        <v>31828</v>
      </c>
      <c r="K6253" t="s">
        <v>1859</v>
      </c>
      <c r="M6253">
        <v>193</v>
      </c>
      <c r="O6253" t="s">
        <v>26</v>
      </c>
      <c r="P6253">
        <v>150</v>
      </c>
      <c r="Q6253">
        <v>125</v>
      </c>
      <c r="R6253">
        <v>100</v>
      </c>
      <c r="S6253">
        <v>150</v>
      </c>
      <c r="T6253" t="s">
        <v>31829</v>
      </c>
    </row>
    <row r="6254" spans="1:20">
      <c r="A6254">
        <v>4502926</v>
      </c>
      <c r="B6254" t="s">
        <v>31830</v>
      </c>
      <c r="C6254" t="str">
        <f>"9780773538412"</f>
        <v>9780773538412</v>
      </c>
      <c r="D6254" t="str">
        <f>"9780773594647"</f>
        <v>9780773594647</v>
      </c>
      <c r="E6254" t="s">
        <v>12863</v>
      </c>
      <c r="F6254" t="s">
        <v>12863</v>
      </c>
      <c r="G6254" s="1">
        <v>40673</v>
      </c>
      <c r="J6254" t="s">
        <v>22408</v>
      </c>
      <c r="K6254" t="s">
        <v>1859</v>
      </c>
      <c r="M6254">
        <v>126</v>
      </c>
      <c r="O6254" t="s">
        <v>26</v>
      </c>
      <c r="P6254">
        <v>150</v>
      </c>
      <c r="Q6254">
        <v>125</v>
      </c>
      <c r="R6254">
        <v>100</v>
      </c>
      <c r="S6254">
        <v>150</v>
      </c>
      <c r="T6254" t="s">
        <v>31831</v>
      </c>
    </row>
    <row r="6255" spans="1:20">
      <c r="A6255">
        <v>4502927</v>
      </c>
      <c r="B6255" t="s">
        <v>31832</v>
      </c>
      <c r="C6255" t="str">
        <f>"9780773537347"</f>
        <v>9780773537347</v>
      </c>
      <c r="D6255" t="str">
        <f>"9780773594654"</f>
        <v>9780773594654</v>
      </c>
      <c r="E6255" t="s">
        <v>12863</v>
      </c>
      <c r="F6255" t="s">
        <v>12863</v>
      </c>
      <c r="G6255" s="1">
        <v>40219</v>
      </c>
      <c r="J6255" t="s">
        <v>31833</v>
      </c>
      <c r="K6255" t="s">
        <v>4081</v>
      </c>
      <c r="M6255">
        <v>401</v>
      </c>
      <c r="O6255" t="s">
        <v>26</v>
      </c>
      <c r="P6255">
        <v>150</v>
      </c>
      <c r="Q6255">
        <v>125</v>
      </c>
      <c r="R6255">
        <v>100</v>
      </c>
      <c r="S6255">
        <v>150</v>
      </c>
      <c r="T6255" t="s">
        <v>31834</v>
      </c>
    </row>
    <row r="6256" spans="1:20">
      <c r="A6256">
        <v>4502928</v>
      </c>
      <c r="B6256" t="s">
        <v>31835</v>
      </c>
      <c r="C6256" t="str">
        <f>"9780773538399"</f>
        <v>9780773538399</v>
      </c>
      <c r="D6256" t="str">
        <f>"9780773594661"</f>
        <v>9780773594661</v>
      </c>
      <c r="E6256" t="s">
        <v>12863</v>
      </c>
      <c r="F6256" t="s">
        <v>12863</v>
      </c>
      <c r="G6256" s="1">
        <v>40669</v>
      </c>
      <c r="I6256" t="s">
        <v>21018</v>
      </c>
      <c r="J6256" t="s">
        <v>31836</v>
      </c>
      <c r="K6256" t="s">
        <v>1892</v>
      </c>
      <c r="M6256">
        <v>211.3</v>
      </c>
      <c r="O6256" t="s">
        <v>26</v>
      </c>
      <c r="P6256">
        <v>150</v>
      </c>
      <c r="Q6256">
        <v>125</v>
      </c>
      <c r="R6256">
        <v>100</v>
      </c>
      <c r="S6256">
        <v>150</v>
      </c>
      <c r="T6256" t="s">
        <v>31837</v>
      </c>
    </row>
    <row r="6257" spans="1:20">
      <c r="A6257">
        <v>4502929</v>
      </c>
      <c r="B6257" t="s">
        <v>31838</v>
      </c>
      <c r="C6257" t="str">
        <f>"9780773538344"</f>
        <v>9780773538344</v>
      </c>
      <c r="D6257" t="str">
        <f>"9780773594678"</f>
        <v>9780773594678</v>
      </c>
      <c r="E6257" t="s">
        <v>12863</v>
      </c>
      <c r="F6257" t="s">
        <v>12863</v>
      </c>
      <c r="G6257" s="1">
        <v>40603</v>
      </c>
      <c r="J6257" t="s">
        <v>31839</v>
      </c>
      <c r="K6257" t="s">
        <v>1859</v>
      </c>
      <c r="M6257">
        <v>128.19999999999999</v>
      </c>
      <c r="O6257" t="s">
        <v>26</v>
      </c>
      <c r="P6257">
        <v>150</v>
      </c>
      <c r="Q6257">
        <v>125</v>
      </c>
      <c r="R6257">
        <v>100</v>
      </c>
      <c r="S6257">
        <v>150</v>
      </c>
      <c r="T6257" t="s">
        <v>31840</v>
      </c>
    </row>
    <row r="6258" spans="1:20">
      <c r="A6258">
        <v>4502930</v>
      </c>
      <c r="B6258" t="s">
        <v>31841</v>
      </c>
      <c r="C6258" t="str">
        <f>"9780773540071"</f>
        <v>9780773540071</v>
      </c>
      <c r="D6258" t="str">
        <f>"9780773594685"</f>
        <v>9780773594685</v>
      </c>
      <c r="E6258" t="s">
        <v>12863</v>
      </c>
      <c r="F6258" t="s">
        <v>12863</v>
      </c>
      <c r="G6258" s="1">
        <v>40969</v>
      </c>
      <c r="J6258" t="s">
        <v>31842</v>
      </c>
      <c r="K6258" t="s">
        <v>1859</v>
      </c>
      <c r="M6258">
        <v>194</v>
      </c>
      <c r="O6258" t="s">
        <v>26</v>
      </c>
      <c r="P6258">
        <v>150</v>
      </c>
      <c r="Q6258">
        <v>125</v>
      </c>
      <c r="R6258">
        <v>100</v>
      </c>
      <c r="S6258">
        <v>150</v>
      </c>
      <c r="T6258" t="s">
        <v>31843</v>
      </c>
    </row>
    <row r="6259" spans="1:20">
      <c r="A6259">
        <v>4502932</v>
      </c>
      <c r="B6259" t="s">
        <v>31844</v>
      </c>
      <c r="C6259" t="str">
        <f>"9780773540095"</f>
        <v>9780773540095</v>
      </c>
      <c r="D6259" t="str">
        <f>"9780773594692"</f>
        <v>9780773594692</v>
      </c>
      <c r="E6259" t="s">
        <v>12863</v>
      </c>
      <c r="F6259" t="s">
        <v>12863</v>
      </c>
      <c r="G6259" s="1">
        <v>40941</v>
      </c>
      <c r="J6259" t="s">
        <v>31845</v>
      </c>
      <c r="K6259" t="s">
        <v>1859</v>
      </c>
      <c r="M6259">
        <v>170</v>
      </c>
      <c r="O6259" t="s">
        <v>26</v>
      </c>
      <c r="P6259">
        <v>150</v>
      </c>
      <c r="Q6259">
        <v>125</v>
      </c>
      <c r="R6259">
        <v>100</v>
      </c>
      <c r="S6259">
        <v>150</v>
      </c>
      <c r="T6259" t="s">
        <v>31846</v>
      </c>
    </row>
    <row r="6260" spans="1:20">
      <c r="A6260">
        <v>4502933</v>
      </c>
      <c r="B6260" t="s">
        <v>31847</v>
      </c>
      <c r="C6260" t="str">
        <f>"9780773536371"</f>
        <v>9780773536371</v>
      </c>
      <c r="D6260" t="str">
        <f>"9780773594708"</f>
        <v>9780773594708</v>
      </c>
      <c r="E6260" t="s">
        <v>12863</v>
      </c>
      <c r="F6260" t="s">
        <v>12863</v>
      </c>
      <c r="G6260" s="1">
        <v>39814</v>
      </c>
      <c r="J6260" t="s">
        <v>31848</v>
      </c>
      <c r="K6260" t="s">
        <v>1859</v>
      </c>
      <c r="M6260" t="s">
        <v>31849</v>
      </c>
      <c r="O6260" t="s">
        <v>26</v>
      </c>
      <c r="P6260">
        <v>150</v>
      </c>
      <c r="Q6260">
        <v>125</v>
      </c>
      <c r="R6260">
        <v>100</v>
      </c>
      <c r="S6260">
        <v>150</v>
      </c>
      <c r="T6260" t="s">
        <v>31850</v>
      </c>
    </row>
    <row r="6261" spans="1:20">
      <c r="A6261">
        <v>4502934</v>
      </c>
      <c r="B6261" t="s">
        <v>31851</v>
      </c>
      <c r="C6261" t="str">
        <f>"9780773538382"</f>
        <v>9780773538382</v>
      </c>
      <c r="D6261" t="str">
        <f>"9780773594715"</f>
        <v>9780773594715</v>
      </c>
      <c r="E6261" t="s">
        <v>12863</v>
      </c>
      <c r="F6261" t="s">
        <v>12863</v>
      </c>
      <c r="G6261" s="1">
        <v>40612</v>
      </c>
      <c r="J6261" t="s">
        <v>31852</v>
      </c>
      <c r="K6261" t="s">
        <v>2387</v>
      </c>
      <c r="M6261">
        <v>641.22</v>
      </c>
      <c r="O6261" t="s">
        <v>26</v>
      </c>
      <c r="P6261">
        <v>150</v>
      </c>
      <c r="Q6261">
        <v>125</v>
      </c>
      <c r="R6261">
        <v>100</v>
      </c>
      <c r="S6261">
        <v>150</v>
      </c>
      <c r="T6261" t="s">
        <v>31853</v>
      </c>
    </row>
    <row r="6262" spans="1:20">
      <c r="A6262">
        <v>4502935</v>
      </c>
      <c r="B6262" t="s">
        <v>31854</v>
      </c>
      <c r="C6262" t="str">
        <f>"9780773536982"</f>
        <v>9780773536982</v>
      </c>
      <c r="D6262" t="str">
        <f>"9780773594722"</f>
        <v>9780773594722</v>
      </c>
      <c r="E6262" t="s">
        <v>12863</v>
      </c>
      <c r="F6262" t="s">
        <v>12863</v>
      </c>
      <c r="G6262" s="1">
        <v>40179</v>
      </c>
      <c r="J6262" t="s">
        <v>31855</v>
      </c>
      <c r="K6262" t="s">
        <v>1859</v>
      </c>
      <c r="M6262">
        <v>144.30000000000001</v>
      </c>
      <c r="O6262" t="s">
        <v>26</v>
      </c>
      <c r="P6262">
        <v>150</v>
      </c>
      <c r="Q6262">
        <v>125</v>
      </c>
      <c r="R6262">
        <v>100</v>
      </c>
      <c r="S6262">
        <v>150</v>
      </c>
      <c r="T6262" t="s">
        <v>31856</v>
      </c>
    </row>
    <row r="6263" spans="1:20">
      <c r="A6263">
        <v>4502936</v>
      </c>
      <c r="B6263" t="s">
        <v>31857</v>
      </c>
      <c r="C6263" t="str">
        <f>"9780773539426"</f>
        <v>9780773539426</v>
      </c>
      <c r="D6263" t="str">
        <f>"9780773594739"</f>
        <v>9780773594739</v>
      </c>
      <c r="E6263" t="s">
        <v>12863</v>
      </c>
      <c r="F6263" t="s">
        <v>12863</v>
      </c>
      <c r="G6263" s="1">
        <v>40819</v>
      </c>
      <c r="J6263" t="s">
        <v>31858</v>
      </c>
      <c r="K6263" t="s">
        <v>1859</v>
      </c>
      <c r="M6263">
        <v>115</v>
      </c>
      <c r="O6263" t="s">
        <v>26</v>
      </c>
      <c r="P6263">
        <v>150</v>
      </c>
      <c r="Q6263">
        <v>125</v>
      </c>
      <c r="R6263">
        <v>100</v>
      </c>
      <c r="S6263">
        <v>150</v>
      </c>
      <c r="T6263" t="s">
        <v>31859</v>
      </c>
    </row>
    <row r="6264" spans="1:20">
      <c r="A6264">
        <v>4502938</v>
      </c>
      <c r="B6264" t="s">
        <v>31860</v>
      </c>
      <c r="C6264" t="str">
        <f>"9780773539440"</f>
        <v>9780773539440</v>
      </c>
      <c r="D6264" t="str">
        <f>"9780773594746"</f>
        <v>9780773594746</v>
      </c>
      <c r="E6264" t="s">
        <v>12863</v>
      </c>
      <c r="F6264" t="s">
        <v>12863</v>
      </c>
      <c r="G6264" s="1">
        <v>40884</v>
      </c>
      <c r="J6264" t="s">
        <v>31861</v>
      </c>
      <c r="K6264" t="s">
        <v>467</v>
      </c>
      <c r="M6264">
        <v>320.01</v>
      </c>
      <c r="O6264" t="s">
        <v>26</v>
      </c>
      <c r="P6264">
        <v>150</v>
      </c>
      <c r="Q6264">
        <v>125</v>
      </c>
      <c r="R6264">
        <v>100</v>
      </c>
      <c r="S6264">
        <v>150</v>
      </c>
      <c r="T6264" t="s">
        <v>31862</v>
      </c>
    </row>
    <row r="6265" spans="1:20">
      <c r="A6265">
        <v>4502939</v>
      </c>
      <c r="B6265" t="s">
        <v>31863</v>
      </c>
      <c r="C6265" t="str">
        <f>"9780773538368"</f>
        <v>9780773538368</v>
      </c>
      <c r="D6265" t="str">
        <f>"9780773594753"</f>
        <v>9780773594753</v>
      </c>
      <c r="E6265" t="s">
        <v>12863</v>
      </c>
      <c r="F6265" t="s">
        <v>12863</v>
      </c>
      <c r="G6265" s="1">
        <v>40638</v>
      </c>
      <c r="J6265" t="s">
        <v>31864</v>
      </c>
      <c r="K6265" t="s">
        <v>1859</v>
      </c>
      <c r="M6265">
        <v>141</v>
      </c>
      <c r="O6265" t="s">
        <v>26</v>
      </c>
      <c r="P6265">
        <v>150</v>
      </c>
      <c r="Q6265">
        <v>125</v>
      </c>
      <c r="R6265">
        <v>100</v>
      </c>
      <c r="S6265">
        <v>150</v>
      </c>
      <c r="T6265" t="s">
        <v>31865</v>
      </c>
    </row>
    <row r="6266" spans="1:20">
      <c r="A6266">
        <v>4502940</v>
      </c>
      <c r="B6266" t="s">
        <v>31866</v>
      </c>
      <c r="C6266" t="str">
        <f>"9780773536968"</f>
        <v>9780773536968</v>
      </c>
      <c r="D6266" t="str">
        <f>"9780773594760"</f>
        <v>9780773594760</v>
      </c>
      <c r="E6266" t="s">
        <v>12863</v>
      </c>
      <c r="F6266" t="s">
        <v>12863</v>
      </c>
      <c r="G6266" s="1">
        <v>40179</v>
      </c>
      <c r="J6266" t="s">
        <v>31867</v>
      </c>
      <c r="K6266" t="s">
        <v>31868</v>
      </c>
      <c r="M6266">
        <v>500</v>
      </c>
      <c r="O6266" t="s">
        <v>26</v>
      </c>
      <c r="P6266">
        <v>150</v>
      </c>
      <c r="Q6266">
        <v>125</v>
      </c>
      <c r="R6266">
        <v>100</v>
      </c>
      <c r="S6266">
        <v>150</v>
      </c>
      <c r="T6266" t="s">
        <v>31869</v>
      </c>
    </row>
    <row r="6267" spans="1:20">
      <c r="A6267">
        <v>4502941</v>
      </c>
      <c r="B6267" t="s">
        <v>31870</v>
      </c>
      <c r="C6267" t="str">
        <f>"9780773540057"</f>
        <v>9780773540057</v>
      </c>
      <c r="D6267" t="str">
        <f>"9780773594777"</f>
        <v>9780773594777</v>
      </c>
      <c r="E6267" t="s">
        <v>12863</v>
      </c>
      <c r="F6267" t="s">
        <v>12863</v>
      </c>
      <c r="G6267" s="1">
        <v>40941</v>
      </c>
      <c r="J6267" t="s">
        <v>31871</v>
      </c>
      <c r="K6267" t="s">
        <v>1471</v>
      </c>
      <c r="M6267">
        <v>700.19</v>
      </c>
      <c r="O6267" t="s">
        <v>26</v>
      </c>
      <c r="P6267">
        <v>150</v>
      </c>
      <c r="Q6267">
        <v>125</v>
      </c>
      <c r="R6267">
        <v>100</v>
      </c>
      <c r="S6267">
        <v>150</v>
      </c>
      <c r="T6267" t="s">
        <v>31872</v>
      </c>
    </row>
    <row r="6268" spans="1:20">
      <c r="A6268">
        <v>4502942</v>
      </c>
      <c r="B6268" t="s">
        <v>31873</v>
      </c>
      <c r="C6268" t="str">
        <f>"9780773540873"</f>
        <v>9780773540873</v>
      </c>
      <c r="D6268" t="str">
        <f>"9780773594784"</f>
        <v>9780773594784</v>
      </c>
      <c r="E6268" t="s">
        <v>12863</v>
      </c>
      <c r="F6268" t="s">
        <v>12863</v>
      </c>
      <c r="G6268" s="1">
        <v>41375</v>
      </c>
      <c r="I6268" t="s">
        <v>26</v>
      </c>
      <c r="J6268" t="s">
        <v>31874</v>
      </c>
      <c r="K6268" t="s">
        <v>1892</v>
      </c>
      <c r="M6268">
        <v>200.19</v>
      </c>
      <c r="O6268" t="s">
        <v>26</v>
      </c>
      <c r="P6268">
        <v>150</v>
      </c>
      <c r="Q6268">
        <v>125</v>
      </c>
      <c r="R6268">
        <v>100</v>
      </c>
      <c r="S6268">
        <v>150</v>
      </c>
      <c r="T6268" t="s">
        <v>31875</v>
      </c>
    </row>
    <row r="6269" spans="1:20">
      <c r="A6269">
        <v>4502944</v>
      </c>
      <c r="B6269" t="s">
        <v>31876</v>
      </c>
      <c r="C6269" t="str">
        <f>"9780773539389"</f>
        <v>9780773539389</v>
      </c>
      <c r="D6269" t="str">
        <f>"9780773594791"</f>
        <v>9780773594791</v>
      </c>
      <c r="E6269" t="s">
        <v>12863</v>
      </c>
      <c r="F6269" t="s">
        <v>12863</v>
      </c>
      <c r="G6269" s="1">
        <v>40788</v>
      </c>
      <c r="I6269" t="s">
        <v>21583</v>
      </c>
      <c r="J6269" t="s">
        <v>31877</v>
      </c>
      <c r="K6269" t="s">
        <v>1859</v>
      </c>
      <c r="M6269">
        <v>194</v>
      </c>
      <c r="O6269" t="s">
        <v>26</v>
      </c>
      <c r="P6269">
        <v>150</v>
      </c>
      <c r="Q6269">
        <v>125</v>
      </c>
      <c r="R6269">
        <v>100</v>
      </c>
      <c r="S6269">
        <v>150</v>
      </c>
      <c r="T6269" t="s">
        <v>31878</v>
      </c>
    </row>
    <row r="6270" spans="1:20">
      <c r="A6270">
        <v>4502945</v>
      </c>
      <c r="B6270" t="s">
        <v>31879</v>
      </c>
      <c r="C6270" t="str">
        <f>"9780773538221"</f>
        <v>9780773538221</v>
      </c>
      <c r="D6270" t="str">
        <f>"9780773594807"</f>
        <v>9780773594807</v>
      </c>
      <c r="E6270" t="s">
        <v>12863</v>
      </c>
      <c r="F6270" t="s">
        <v>12863</v>
      </c>
      <c r="G6270" s="1">
        <v>40616</v>
      </c>
      <c r="I6270" t="s">
        <v>21583</v>
      </c>
      <c r="J6270" t="s">
        <v>31880</v>
      </c>
      <c r="K6270" t="s">
        <v>1859</v>
      </c>
      <c r="M6270">
        <v>193</v>
      </c>
      <c r="O6270" t="s">
        <v>26</v>
      </c>
      <c r="P6270">
        <v>150</v>
      </c>
      <c r="Q6270">
        <v>125</v>
      </c>
      <c r="R6270">
        <v>100</v>
      </c>
      <c r="S6270">
        <v>150</v>
      </c>
      <c r="T6270" t="s">
        <v>31881</v>
      </c>
    </row>
    <row r="6271" spans="1:20">
      <c r="A6271">
        <v>4502947</v>
      </c>
      <c r="B6271" t="s">
        <v>31882</v>
      </c>
      <c r="C6271" t="str">
        <f>"9780773536418"</f>
        <v>9780773536418</v>
      </c>
      <c r="D6271" t="str">
        <f>"9780773594814"</f>
        <v>9780773594814</v>
      </c>
      <c r="E6271" t="s">
        <v>12863</v>
      </c>
      <c r="F6271" t="s">
        <v>12863</v>
      </c>
      <c r="G6271" s="1">
        <v>39814</v>
      </c>
      <c r="J6271" t="s">
        <v>31883</v>
      </c>
      <c r="K6271" t="s">
        <v>1859</v>
      </c>
      <c r="M6271">
        <v>170</v>
      </c>
      <c r="O6271" t="s">
        <v>26</v>
      </c>
      <c r="P6271">
        <v>150</v>
      </c>
      <c r="Q6271">
        <v>125</v>
      </c>
      <c r="R6271">
        <v>100</v>
      </c>
      <c r="S6271">
        <v>150</v>
      </c>
      <c r="T6271" t="s">
        <v>31884</v>
      </c>
    </row>
    <row r="6272" spans="1:20">
      <c r="A6272">
        <v>4502948</v>
      </c>
      <c r="B6272" t="s">
        <v>31885</v>
      </c>
      <c r="C6272" t="str">
        <f>"9780773536975"</f>
        <v>9780773536975</v>
      </c>
      <c r="D6272" t="str">
        <f>"9780773594821"</f>
        <v>9780773594821</v>
      </c>
      <c r="E6272" t="s">
        <v>12863</v>
      </c>
      <c r="F6272" t="s">
        <v>12863</v>
      </c>
      <c r="G6272" s="1">
        <v>40167</v>
      </c>
      <c r="J6272" t="s">
        <v>31886</v>
      </c>
      <c r="K6272" t="s">
        <v>1471</v>
      </c>
      <c r="M6272">
        <v>791.43010000000004</v>
      </c>
      <c r="O6272" t="s">
        <v>26</v>
      </c>
      <c r="P6272">
        <v>150</v>
      </c>
      <c r="Q6272">
        <v>125</v>
      </c>
      <c r="R6272">
        <v>100</v>
      </c>
      <c r="S6272">
        <v>150</v>
      </c>
      <c r="T6272" t="s">
        <v>31887</v>
      </c>
    </row>
    <row r="6273" spans="1:20">
      <c r="A6273">
        <v>4502949</v>
      </c>
      <c r="B6273" t="s">
        <v>31888</v>
      </c>
      <c r="C6273" t="str">
        <f>"9780773538078"</f>
        <v>9780773538078</v>
      </c>
      <c r="D6273" t="str">
        <f>"9780773594838"</f>
        <v>9780773594838</v>
      </c>
      <c r="E6273" t="s">
        <v>12863</v>
      </c>
      <c r="F6273" t="s">
        <v>12863</v>
      </c>
      <c r="G6273" s="1">
        <v>40616</v>
      </c>
      <c r="J6273" t="s">
        <v>31889</v>
      </c>
      <c r="K6273" t="s">
        <v>1859</v>
      </c>
      <c r="M6273">
        <v>146.4</v>
      </c>
      <c r="O6273" t="s">
        <v>26</v>
      </c>
      <c r="P6273">
        <v>150</v>
      </c>
      <c r="Q6273">
        <v>125</v>
      </c>
      <c r="R6273">
        <v>100</v>
      </c>
      <c r="S6273">
        <v>150</v>
      </c>
      <c r="T6273" t="s">
        <v>31890</v>
      </c>
    </row>
    <row r="6274" spans="1:20">
      <c r="A6274">
        <v>4502950</v>
      </c>
      <c r="B6274" t="s">
        <v>31891</v>
      </c>
      <c r="C6274" t="str">
        <f>"9780773537460"</f>
        <v>9780773537460</v>
      </c>
      <c r="D6274" t="str">
        <f>"9780773594845"</f>
        <v>9780773594845</v>
      </c>
      <c r="E6274" t="s">
        <v>12863</v>
      </c>
      <c r="F6274" t="s">
        <v>12863</v>
      </c>
      <c r="G6274" s="1">
        <v>41900</v>
      </c>
      <c r="H6274">
        <v>2</v>
      </c>
      <c r="J6274" t="s">
        <v>31892</v>
      </c>
      <c r="K6274" t="s">
        <v>69</v>
      </c>
      <c r="M6274">
        <v>530.11</v>
      </c>
      <c r="O6274" t="s">
        <v>26</v>
      </c>
      <c r="P6274">
        <v>150</v>
      </c>
      <c r="Q6274">
        <v>125</v>
      </c>
      <c r="R6274">
        <v>100</v>
      </c>
      <c r="S6274">
        <v>150</v>
      </c>
      <c r="T6274" t="s">
        <v>31893</v>
      </c>
    </row>
    <row r="6275" spans="1:20">
      <c r="A6275">
        <v>4502951</v>
      </c>
      <c r="B6275" t="s">
        <v>31894</v>
      </c>
      <c r="C6275" t="str">
        <f>"9780773530058"</f>
        <v>9780773530058</v>
      </c>
      <c r="D6275" t="str">
        <f>"9780773578821"</f>
        <v>9780773578821</v>
      </c>
      <c r="E6275" t="s">
        <v>12863</v>
      </c>
      <c r="F6275" t="s">
        <v>12863</v>
      </c>
      <c r="G6275" s="1">
        <v>39365</v>
      </c>
      <c r="H6275">
        <v>2</v>
      </c>
      <c r="I6275" t="s">
        <v>12871</v>
      </c>
      <c r="J6275" t="s">
        <v>31895</v>
      </c>
      <c r="K6275" t="s">
        <v>3219</v>
      </c>
      <c r="L6275" t="s">
        <v>16293</v>
      </c>
      <c r="M6275">
        <v>917.19504199999994</v>
      </c>
      <c r="O6275" t="s">
        <v>26</v>
      </c>
      <c r="P6275">
        <v>44.93</v>
      </c>
      <c r="Q6275">
        <v>37.44</v>
      </c>
      <c r="R6275">
        <v>29.95</v>
      </c>
      <c r="S6275">
        <v>44.93</v>
      </c>
      <c r="T6275" t="s">
        <v>31896</v>
      </c>
    </row>
    <row r="6276" spans="1:20">
      <c r="A6276">
        <v>4502952</v>
      </c>
      <c r="B6276" t="s">
        <v>31897</v>
      </c>
      <c r="C6276" t="str">
        <f>"9780773539143"</f>
        <v>9780773539143</v>
      </c>
      <c r="D6276" t="str">
        <f>"9780773594852"</f>
        <v>9780773594852</v>
      </c>
      <c r="E6276" t="s">
        <v>12863</v>
      </c>
      <c r="F6276" t="s">
        <v>12863</v>
      </c>
      <c r="G6276" s="1">
        <v>40744</v>
      </c>
      <c r="J6276" t="s">
        <v>31898</v>
      </c>
      <c r="K6276" t="s">
        <v>467</v>
      </c>
      <c r="M6276">
        <v>320.513082</v>
      </c>
      <c r="O6276" t="s">
        <v>26</v>
      </c>
      <c r="P6276">
        <v>150</v>
      </c>
      <c r="Q6276">
        <v>125</v>
      </c>
      <c r="R6276">
        <v>100</v>
      </c>
      <c r="S6276">
        <v>150</v>
      </c>
      <c r="T6276" t="s">
        <v>31899</v>
      </c>
    </row>
    <row r="6277" spans="1:20">
      <c r="A6277">
        <v>4502953</v>
      </c>
      <c r="B6277" t="s">
        <v>31900</v>
      </c>
      <c r="C6277" t="str">
        <f>"9780773532380"</f>
        <v>9780773532380</v>
      </c>
      <c r="D6277" t="str">
        <f>"9780773594869"</f>
        <v>9780773594869</v>
      </c>
      <c r="E6277" t="s">
        <v>12863</v>
      </c>
      <c r="F6277" t="s">
        <v>12863</v>
      </c>
      <c r="G6277" s="1">
        <v>39083</v>
      </c>
      <c r="I6277" t="s">
        <v>21018</v>
      </c>
      <c r="J6277" t="s">
        <v>31901</v>
      </c>
      <c r="K6277" t="s">
        <v>1859</v>
      </c>
      <c r="M6277">
        <v>149.19999999999999</v>
      </c>
      <c r="N6277" t="s">
        <v>31902</v>
      </c>
      <c r="O6277" t="s">
        <v>26</v>
      </c>
      <c r="P6277">
        <v>150</v>
      </c>
      <c r="Q6277">
        <v>125</v>
      </c>
      <c r="R6277">
        <v>100</v>
      </c>
      <c r="S6277">
        <v>150</v>
      </c>
      <c r="T6277" t="s">
        <v>31903</v>
      </c>
    </row>
    <row r="6278" spans="1:20">
      <c r="A6278">
        <v>4502954</v>
      </c>
      <c r="B6278" t="s">
        <v>31904</v>
      </c>
      <c r="C6278" t="str">
        <f>"9780773533288"</f>
        <v>9780773533288</v>
      </c>
      <c r="D6278" t="str">
        <f>"9780773594876"</f>
        <v>9780773594876</v>
      </c>
      <c r="E6278" t="s">
        <v>12863</v>
      </c>
      <c r="F6278" t="s">
        <v>12863</v>
      </c>
      <c r="G6278" s="1">
        <v>39083</v>
      </c>
      <c r="J6278" t="s">
        <v>31905</v>
      </c>
      <c r="K6278" t="s">
        <v>467</v>
      </c>
      <c r="M6278">
        <v>323.01</v>
      </c>
      <c r="N6278" t="s">
        <v>31906</v>
      </c>
      <c r="O6278" t="s">
        <v>26</v>
      </c>
      <c r="P6278">
        <v>150</v>
      </c>
      <c r="Q6278">
        <v>125</v>
      </c>
      <c r="R6278">
        <v>100</v>
      </c>
      <c r="S6278">
        <v>150</v>
      </c>
      <c r="T6278" t="s">
        <v>31907</v>
      </c>
    </row>
    <row r="6279" spans="1:20">
      <c r="A6279">
        <v>4502955</v>
      </c>
      <c r="B6279" t="s">
        <v>31908</v>
      </c>
      <c r="C6279" t="str">
        <f>"9780773532403"</f>
        <v>9780773532403</v>
      </c>
      <c r="D6279" t="str">
        <f>"9780773594883"</f>
        <v>9780773594883</v>
      </c>
      <c r="E6279" t="s">
        <v>12863</v>
      </c>
      <c r="F6279" t="s">
        <v>12863</v>
      </c>
      <c r="G6279" s="1">
        <v>39083</v>
      </c>
      <c r="J6279" t="s">
        <v>31909</v>
      </c>
      <c r="K6279" t="s">
        <v>1859</v>
      </c>
      <c r="M6279">
        <v>128.5</v>
      </c>
      <c r="O6279" t="s">
        <v>26</v>
      </c>
      <c r="P6279">
        <v>150</v>
      </c>
      <c r="Q6279">
        <v>125</v>
      </c>
      <c r="R6279">
        <v>100</v>
      </c>
      <c r="S6279">
        <v>150</v>
      </c>
      <c r="T6279" t="s">
        <v>31910</v>
      </c>
    </row>
    <row r="6280" spans="1:20">
      <c r="A6280">
        <v>4502956</v>
      </c>
      <c r="B6280" t="s">
        <v>31911</v>
      </c>
      <c r="C6280" t="str">
        <f>"9780773534872"</f>
        <v>9780773534872</v>
      </c>
      <c r="D6280" t="str">
        <f>"9780773594890"</f>
        <v>9780773594890</v>
      </c>
      <c r="E6280" t="s">
        <v>12863</v>
      </c>
      <c r="F6280" t="s">
        <v>12863</v>
      </c>
      <c r="G6280" s="1">
        <v>39448</v>
      </c>
      <c r="I6280" t="s">
        <v>21583</v>
      </c>
      <c r="J6280" t="s">
        <v>31912</v>
      </c>
      <c r="K6280" t="s">
        <v>1859</v>
      </c>
      <c r="M6280">
        <v>195</v>
      </c>
      <c r="N6280" t="s">
        <v>31913</v>
      </c>
      <c r="O6280" t="s">
        <v>26</v>
      </c>
      <c r="P6280">
        <v>150</v>
      </c>
      <c r="Q6280">
        <v>125</v>
      </c>
      <c r="R6280">
        <v>100</v>
      </c>
      <c r="S6280">
        <v>150</v>
      </c>
      <c r="T6280" t="s">
        <v>31914</v>
      </c>
    </row>
    <row r="6281" spans="1:20">
      <c r="A6281">
        <v>4502957</v>
      </c>
      <c r="B6281" t="s">
        <v>31915</v>
      </c>
      <c r="C6281" t="str">
        <f>"9780773534070"</f>
        <v>9780773534070</v>
      </c>
      <c r="D6281" t="str">
        <f>"9780773594906"</f>
        <v>9780773594906</v>
      </c>
      <c r="E6281" t="s">
        <v>12863</v>
      </c>
      <c r="F6281" t="s">
        <v>12863</v>
      </c>
      <c r="G6281" s="1">
        <v>39448</v>
      </c>
      <c r="I6281" t="s">
        <v>21583</v>
      </c>
      <c r="J6281" t="s">
        <v>31916</v>
      </c>
      <c r="K6281" t="s">
        <v>1859</v>
      </c>
      <c r="L6281" t="s">
        <v>19925</v>
      </c>
      <c r="M6281">
        <v>193</v>
      </c>
      <c r="N6281" t="s">
        <v>31917</v>
      </c>
      <c r="O6281" t="s">
        <v>26</v>
      </c>
      <c r="P6281">
        <v>150</v>
      </c>
      <c r="Q6281">
        <v>125</v>
      </c>
      <c r="R6281">
        <v>100</v>
      </c>
      <c r="S6281">
        <v>150</v>
      </c>
      <c r="T6281" t="s">
        <v>31918</v>
      </c>
    </row>
    <row r="6282" spans="1:20">
      <c r="A6282">
        <v>4502959</v>
      </c>
      <c r="B6282" t="s">
        <v>31919</v>
      </c>
      <c r="C6282" t="str">
        <f>"9780773532342"</f>
        <v>9780773532342</v>
      </c>
      <c r="D6282" t="str">
        <f>"9780773594913"</f>
        <v>9780773594913</v>
      </c>
      <c r="E6282" t="s">
        <v>12863</v>
      </c>
      <c r="F6282" t="s">
        <v>12863</v>
      </c>
      <c r="G6282" s="1">
        <v>39083</v>
      </c>
      <c r="J6282" t="s">
        <v>31920</v>
      </c>
      <c r="K6282" t="s">
        <v>1859</v>
      </c>
      <c r="M6282">
        <v>194</v>
      </c>
      <c r="N6282" t="s">
        <v>31921</v>
      </c>
      <c r="O6282" t="s">
        <v>26</v>
      </c>
      <c r="P6282">
        <v>150</v>
      </c>
      <c r="Q6282">
        <v>125</v>
      </c>
      <c r="R6282">
        <v>100</v>
      </c>
      <c r="S6282">
        <v>150</v>
      </c>
      <c r="T6282" t="s">
        <v>31922</v>
      </c>
    </row>
    <row r="6283" spans="1:20">
      <c r="A6283">
        <v>4502960</v>
      </c>
      <c r="B6283" t="s">
        <v>31923</v>
      </c>
      <c r="C6283" t="str">
        <f>"9780773535596"</f>
        <v>9780773535596</v>
      </c>
      <c r="D6283" t="str">
        <f>"9780773594920"</f>
        <v>9780773594920</v>
      </c>
      <c r="E6283" t="s">
        <v>12863</v>
      </c>
      <c r="F6283" t="s">
        <v>12863</v>
      </c>
      <c r="G6283" s="1">
        <v>39814</v>
      </c>
      <c r="J6283" t="s">
        <v>31924</v>
      </c>
      <c r="K6283" t="s">
        <v>1859</v>
      </c>
      <c r="M6283">
        <v>191</v>
      </c>
      <c r="O6283" t="s">
        <v>26</v>
      </c>
      <c r="P6283">
        <v>150</v>
      </c>
      <c r="Q6283">
        <v>125</v>
      </c>
      <c r="R6283">
        <v>100</v>
      </c>
      <c r="S6283">
        <v>150</v>
      </c>
      <c r="T6283" t="s">
        <v>31925</v>
      </c>
    </row>
    <row r="6284" spans="1:20">
      <c r="A6284">
        <v>4502961</v>
      </c>
      <c r="B6284" t="s">
        <v>31926</v>
      </c>
      <c r="C6284" t="str">
        <f>"9780773534858"</f>
        <v>9780773534858</v>
      </c>
      <c r="D6284" t="str">
        <f>"9780773594937"</f>
        <v>9780773594937</v>
      </c>
      <c r="E6284" t="s">
        <v>12863</v>
      </c>
      <c r="F6284" t="s">
        <v>12863</v>
      </c>
      <c r="G6284" s="1">
        <v>39448</v>
      </c>
      <c r="I6284" t="s">
        <v>21002</v>
      </c>
      <c r="J6284" t="s">
        <v>31927</v>
      </c>
      <c r="K6284" t="s">
        <v>1859</v>
      </c>
      <c r="M6284">
        <v>191</v>
      </c>
      <c r="N6284" t="s">
        <v>31928</v>
      </c>
      <c r="O6284" t="s">
        <v>26</v>
      </c>
      <c r="P6284">
        <v>150</v>
      </c>
      <c r="Q6284">
        <v>125</v>
      </c>
      <c r="R6284">
        <v>100</v>
      </c>
      <c r="S6284">
        <v>150</v>
      </c>
      <c r="T6284" t="s">
        <v>31929</v>
      </c>
    </row>
    <row r="6285" spans="1:20">
      <c r="A6285">
        <v>4502963</v>
      </c>
      <c r="B6285" t="s">
        <v>31930</v>
      </c>
      <c r="C6285" t="str">
        <f>"9780773533301"</f>
        <v>9780773533301</v>
      </c>
      <c r="D6285" t="str">
        <f>"9780773594944"</f>
        <v>9780773594944</v>
      </c>
      <c r="E6285" t="s">
        <v>12863</v>
      </c>
      <c r="F6285" t="s">
        <v>12863</v>
      </c>
      <c r="G6285" s="1">
        <v>39083</v>
      </c>
      <c r="J6285" t="s">
        <v>31931</v>
      </c>
      <c r="K6285" t="s">
        <v>1859</v>
      </c>
      <c r="M6285">
        <v>199.94</v>
      </c>
      <c r="N6285" t="s">
        <v>31932</v>
      </c>
      <c r="O6285" t="s">
        <v>26</v>
      </c>
      <c r="P6285">
        <v>150</v>
      </c>
      <c r="Q6285">
        <v>125</v>
      </c>
      <c r="R6285">
        <v>100</v>
      </c>
      <c r="S6285">
        <v>150</v>
      </c>
      <c r="T6285" t="s">
        <v>31933</v>
      </c>
    </row>
    <row r="6286" spans="1:20">
      <c r="A6286">
        <v>4502964</v>
      </c>
      <c r="B6286" t="s">
        <v>31934</v>
      </c>
      <c r="C6286" t="str">
        <f>"9780773532366"</f>
        <v>9780773532366</v>
      </c>
      <c r="D6286" t="str">
        <f>"9780773594951"</f>
        <v>9780773594951</v>
      </c>
      <c r="E6286" t="s">
        <v>12863</v>
      </c>
      <c r="F6286" t="s">
        <v>12863</v>
      </c>
      <c r="G6286" s="1">
        <v>39083</v>
      </c>
      <c r="J6286" t="s">
        <v>31935</v>
      </c>
      <c r="K6286" t="s">
        <v>467</v>
      </c>
      <c r="M6286">
        <v>320.01100000000002</v>
      </c>
      <c r="N6286" t="s">
        <v>31936</v>
      </c>
      <c r="O6286" t="s">
        <v>26</v>
      </c>
      <c r="P6286">
        <v>150</v>
      </c>
      <c r="Q6286">
        <v>125</v>
      </c>
      <c r="R6286">
        <v>100</v>
      </c>
      <c r="S6286">
        <v>150</v>
      </c>
      <c r="T6286" t="s">
        <v>31937</v>
      </c>
    </row>
    <row r="6287" spans="1:20">
      <c r="A6287">
        <v>4502965</v>
      </c>
      <c r="B6287" t="s">
        <v>31938</v>
      </c>
      <c r="C6287" t="str">
        <f>"9780773500310"</f>
        <v>9780773500310</v>
      </c>
      <c r="D6287" t="str">
        <f>"9780773594975"</f>
        <v>9780773594975</v>
      </c>
      <c r="E6287" t="s">
        <v>12863</v>
      </c>
      <c r="F6287" t="s">
        <v>12863</v>
      </c>
      <c r="G6287" s="1">
        <v>23012</v>
      </c>
      <c r="I6287" t="s">
        <v>13270</v>
      </c>
      <c r="J6287" t="s">
        <v>31939</v>
      </c>
      <c r="O6287" t="s">
        <v>26</v>
      </c>
      <c r="P6287">
        <v>112.5</v>
      </c>
      <c r="Q6287">
        <v>93.75</v>
      </c>
      <c r="R6287">
        <v>75</v>
      </c>
      <c r="S6287">
        <v>112.5</v>
      </c>
      <c r="T6287" t="s">
        <v>31940</v>
      </c>
    </row>
    <row r="6288" spans="1:20">
      <c r="A6288">
        <v>4502966</v>
      </c>
      <c r="B6288" t="s">
        <v>31941</v>
      </c>
      <c r="C6288" t="str">
        <f>"9780771097324"</f>
        <v>9780771097324</v>
      </c>
      <c r="D6288" t="str">
        <f>"9780773595132"</f>
        <v>9780773595132</v>
      </c>
      <c r="E6288" t="s">
        <v>12863</v>
      </c>
      <c r="F6288" t="s">
        <v>12863</v>
      </c>
      <c r="G6288" s="1">
        <v>24487</v>
      </c>
      <c r="I6288" t="s">
        <v>13270</v>
      </c>
      <c r="J6288" t="s">
        <v>31942</v>
      </c>
      <c r="O6288" t="s">
        <v>26</v>
      </c>
      <c r="P6288">
        <v>112.5</v>
      </c>
      <c r="Q6288">
        <v>93.75</v>
      </c>
      <c r="R6288">
        <v>75</v>
      </c>
      <c r="S6288">
        <v>112.5</v>
      </c>
      <c r="T6288" t="s">
        <v>31943</v>
      </c>
    </row>
    <row r="6289" spans="1:20">
      <c r="A6289">
        <v>4502967</v>
      </c>
      <c r="B6289" t="s">
        <v>31944</v>
      </c>
      <c r="C6289" t="str">
        <f>"9780771097379"</f>
        <v>9780771097379</v>
      </c>
      <c r="D6289" t="str">
        <f>"9780773595170"</f>
        <v>9780773595170</v>
      </c>
      <c r="E6289" t="s">
        <v>12863</v>
      </c>
      <c r="F6289" t="s">
        <v>12863</v>
      </c>
      <c r="G6289" s="1">
        <v>24852</v>
      </c>
      <c r="I6289" t="s">
        <v>13270</v>
      </c>
      <c r="J6289" t="s">
        <v>31945</v>
      </c>
      <c r="O6289" t="s">
        <v>26</v>
      </c>
      <c r="P6289">
        <v>112.5</v>
      </c>
      <c r="Q6289">
        <v>93.75</v>
      </c>
      <c r="R6289">
        <v>75</v>
      </c>
      <c r="S6289">
        <v>112.5</v>
      </c>
      <c r="T6289" t="s">
        <v>31946</v>
      </c>
    </row>
    <row r="6290" spans="1:20">
      <c r="A6290">
        <v>4502969</v>
      </c>
      <c r="B6290" t="s">
        <v>31947</v>
      </c>
      <c r="C6290" t="str">
        <f>"9780771097393"</f>
        <v>9780771097393</v>
      </c>
      <c r="D6290" t="str">
        <f>"9780773595187"</f>
        <v>9780773595187</v>
      </c>
      <c r="E6290" t="s">
        <v>12863</v>
      </c>
      <c r="F6290" t="s">
        <v>12863</v>
      </c>
      <c r="G6290" s="1">
        <v>41900</v>
      </c>
      <c r="I6290" t="s">
        <v>13270</v>
      </c>
      <c r="J6290" t="s">
        <v>31948</v>
      </c>
      <c r="O6290" t="s">
        <v>26</v>
      </c>
      <c r="P6290">
        <v>112.5</v>
      </c>
      <c r="Q6290">
        <v>93.75</v>
      </c>
      <c r="R6290">
        <v>75</v>
      </c>
      <c r="S6290">
        <v>112.5</v>
      </c>
      <c r="T6290" t="s">
        <v>31949</v>
      </c>
    </row>
    <row r="6291" spans="1:20">
      <c r="A6291">
        <v>4502970</v>
      </c>
      <c r="B6291" t="s">
        <v>31950</v>
      </c>
      <c r="C6291" t="str">
        <f>"9780770517540"</f>
        <v>9780770517540</v>
      </c>
      <c r="D6291" t="str">
        <f>"9780773595194"</f>
        <v>9780773595194</v>
      </c>
      <c r="E6291" t="s">
        <v>12863</v>
      </c>
      <c r="F6291" t="s">
        <v>12863</v>
      </c>
      <c r="G6291" s="1">
        <v>24852</v>
      </c>
      <c r="I6291" t="s">
        <v>13270</v>
      </c>
      <c r="J6291" t="s">
        <v>31951</v>
      </c>
      <c r="O6291" t="s">
        <v>26</v>
      </c>
      <c r="P6291">
        <v>112.5</v>
      </c>
      <c r="Q6291">
        <v>93.75</v>
      </c>
      <c r="R6291">
        <v>75</v>
      </c>
      <c r="S6291">
        <v>112.5</v>
      </c>
      <c r="T6291" t="s">
        <v>31952</v>
      </c>
    </row>
    <row r="6292" spans="1:20">
      <c r="A6292">
        <v>4502971</v>
      </c>
      <c r="B6292" t="s">
        <v>31953</v>
      </c>
      <c r="C6292" t="str">
        <f>"9780771097751"</f>
        <v>9780771097751</v>
      </c>
      <c r="D6292" t="str">
        <f>"9780773595392"</f>
        <v>9780773595392</v>
      </c>
      <c r="E6292" t="s">
        <v>12863</v>
      </c>
      <c r="F6292" t="s">
        <v>12863</v>
      </c>
      <c r="G6292" s="1">
        <v>41899</v>
      </c>
      <c r="I6292" t="s">
        <v>13270</v>
      </c>
      <c r="J6292" t="s">
        <v>31954</v>
      </c>
      <c r="K6292" t="s">
        <v>3230</v>
      </c>
      <c r="M6292">
        <v>917.13041999999996</v>
      </c>
      <c r="O6292" t="s">
        <v>26</v>
      </c>
      <c r="P6292">
        <v>112.5</v>
      </c>
      <c r="Q6292">
        <v>93.75</v>
      </c>
      <c r="R6292">
        <v>75</v>
      </c>
      <c r="S6292">
        <v>112.5</v>
      </c>
      <c r="T6292" t="s">
        <v>31955</v>
      </c>
    </row>
    <row r="6293" spans="1:20">
      <c r="A6293">
        <v>4502972</v>
      </c>
      <c r="B6293" t="s">
        <v>31956</v>
      </c>
      <c r="C6293" t="str">
        <f>"9780771097799"</f>
        <v>9780771097799</v>
      </c>
      <c r="D6293" t="str">
        <f>"9780773595415"</f>
        <v>9780773595415</v>
      </c>
      <c r="E6293" t="s">
        <v>12863</v>
      </c>
      <c r="F6293" t="s">
        <v>12863</v>
      </c>
      <c r="G6293" s="1">
        <v>27030</v>
      </c>
      <c r="I6293" t="s">
        <v>13270</v>
      </c>
      <c r="J6293" t="s">
        <v>31957</v>
      </c>
      <c r="O6293" t="s">
        <v>26</v>
      </c>
      <c r="P6293">
        <v>112.5</v>
      </c>
      <c r="Q6293">
        <v>93.75</v>
      </c>
      <c r="R6293">
        <v>75</v>
      </c>
      <c r="S6293">
        <v>112.5</v>
      </c>
      <c r="T6293" t="s">
        <v>31958</v>
      </c>
    </row>
    <row r="6294" spans="1:20">
      <c r="A6294">
        <v>4502973</v>
      </c>
      <c r="B6294" t="s">
        <v>31959</v>
      </c>
      <c r="C6294" t="str">
        <f>"9780771098055"</f>
        <v>9780771098055</v>
      </c>
      <c r="D6294" t="str">
        <f>"9780773595521"</f>
        <v>9780773595521</v>
      </c>
      <c r="E6294" t="s">
        <v>12863</v>
      </c>
      <c r="F6294" t="s">
        <v>12863</v>
      </c>
      <c r="G6294" s="1">
        <v>28140</v>
      </c>
      <c r="I6294" t="s">
        <v>13270</v>
      </c>
      <c r="J6294" t="s">
        <v>31960</v>
      </c>
      <c r="K6294" t="s">
        <v>1464</v>
      </c>
      <c r="M6294">
        <v>810.9</v>
      </c>
      <c r="O6294" t="s">
        <v>26</v>
      </c>
      <c r="P6294">
        <v>112.5</v>
      </c>
      <c r="Q6294">
        <v>93.75</v>
      </c>
      <c r="R6294">
        <v>75</v>
      </c>
      <c r="S6294">
        <v>112.5</v>
      </c>
      <c r="T6294" t="s">
        <v>31961</v>
      </c>
    </row>
    <row r="6295" spans="1:20">
      <c r="A6295">
        <v>4502975</v>
      </c>
      <c r="B6295" t="s">
        <v>31962</v>
      </c>
      <c r="C6295" t="str">
        <f>"9780770517441"</f>
        <v>9780770517441</v>
      </c>
      <c r="D6295" t="str">
        <f>"9780773595552"</f>
        <v>9780773595552</v>
      </c>
      <c r="E6295" t="s">
        <v>12863</v>
      </c>
      <c r="F6295" t="s">
        <v>12863</v>
      </c>
      <c r="G6295" s="1">
        <v>28990</v>
      </c>
      <c r="I6295" t="s">
        <v>13270</v>
      </c>
      <c r="J6295" t="s">
        <v>31963</v>
      </c>
      <c r="K6295" t="s">
        <v>257</v>
      </c>
      <c r="M6295">
        <v>370.19341097</v>
      </c>
      <c r="O6295" t="s">
        <v>26</v>
      </c>
      <c r="P6295">
        <v>112.5</v>
      </c>
      <c r="Q6295">
        <v>93.75</v>
      </c>
      <c r="R6295">
        <v>75</v>
      </c>
      <c r="S6295">
        <v>112.5</v>
      </c>
      <c r="T6295" t="s">
        <v>31964</v>
      </c>
    </row>
    <row r="6296" spans="1:20">
      <c r="A6296">
        <v>4502976</v>
      </c>
      <c r="B6296" t="s">
        <v>31965</v>
      </c>
      <c r="C6296" t="str">
        <f>"9780771098123"</f>
        <v>9780771098123</v>
      </c>
      <c r="D6296" t="str">
        <f>"9780773595569"</f>
        <v>9780773595569</v>
      </c>
      <c r="E6296" t="s">
        <v>12863</v>
      </c>
      <c r="F6296" t="s">
        <v>12863</v>
      </c>
      <c r="G6296" s="1">
        <v>28505</v>
      </c>
      <c r="I6296" t="s">
        <v>13270</v>
      </c>
      <c r="J6296" t="s">
        <v>31966</v>
      </c>
      <c r="K6296" t="s">
        <v>31967</v>
      </c>
      <c r="M6296">
        <v>330.97106400000001</v>
      </c>
      <c r="O6296" t="s">
        <v>26</v>
      </c>
      <c r="P6296">
        <v>112.5</v>
      </c>
      <c r="Q6296">
        <v>93.75</v>
      </c>
      <c r="R6296">
        <v>75</v>
      </c>
      <c r="S6296">
        <v>112.5</v>
      </c>
      <c r="T6296" t="s">
        <v>31968</v>
      </c>
    </row>
    <row r="6297" spans="1:20">
      <c r="A6297">
        <v>4502977</v>
      </c>
      <c r="B6297" t="s">
        <v>31969</v>
      </c>
      <c r="C6297" t="str">
        <f>"9780770517953"</f>
        <v>9780770517953</v>
      </c>
      <c r="D6297" t="str">
        <f>"9780773595583"</f>
        <v>9780773595583</v>
      </c>
      <c r="E6297" t="s">
        <v>12863</v>
      </c>
      <c r="F6297" t="s">
        <v>12863</v>
      </c>
      <c r="G6297" s="1">
        <v>29082</v>
      </c>
      <c r="I6297" t="s">
        <v>13270</v>
      </c>
      <c r="J6297" t="s">
        <v>31970</v>
      </c>
      <c r="K6297" t="s">
        <v>291</v>
      </c>
      <c r="M6297">
        <v>971.04899999999998</v>
      </c>
      <c r="O6297" t="s">
        <v>26</v>
      </c>
      <c r="P6297">
        <v>112.5</v>
      </c>
      <c r="Q6297">
        <v>93.75</v>
      </c>
      <c r="R6297">
        <v>75</v>
      </c>
      <c r="S6297">
        <v>112.5</v>
      </c>
      <c r="T6297" t="s">
        <v>31971</v>
      </c>
    </row>
    <row r="6298" spans="1:20">
      <c r="A6298">
        <v>4502978</v>
      </c>
      <c r="B6298" t="s">
        <v>31972</v>
      </c>
      <c r="C6298" t="str">
        <f>"9780771556623"</f>
        <v>9780771556623</v>
      </c>
      <c r="D6298" t="str">
        <f>"9780773595620"</f>
        <v>9780773595620</v>
      </c>
      <c r="E6298" t="s">
        <v>12863</v>
      </c>
      <c r="F6298" t="s">
        <v>12863</v>
      </c>
      <c r="G6298" s="1">
        <v>29448</v>
      </c>
      <c r="I6298" t="s">
        <v>13270</v>
      </c>
      <c r="J6298" t="s">
        <v>31973</v>
      </c>
      <c r="K6298" t="s">
        <v>416</v>
      </c>
      <c r="M6298">
        <v>339.20970999999997</v>
      </c>
      <c r="O6298" t="s">
        <v>26</v>
      </c>
      <c r="P6298">
        <v>112.5</v>
      </c>
      <c r="Q6298">
        <v>93.75</v>
      </c>
      <c r="R6298">
        <v>75</v>
      </c>
      <c r="S6298">
        <v>112.5</v>
      </c>
      <c r="T6298" t="s">
        <v>31974</v>
      </c>
    </row>
    <row r="6299" spans="1:20">
      <c r="A6299">
        <v>4502980</v>
      </c>
      <c r="B6299" t="s">
        <v>31975</v>
      </c>
      <c r="C6299" t="str">
        <f>"9780886291303"</f>
        <v>9780886291303</v>
      </c>
      <c r="D6299" t="str">
        <f>"9780773595705"</f>
        <v>9780773595705</v>
      </c>
      <c r="E6299" t="s">
        <v>12863</v>
      </c>
      <c r="F6299" t="s">
        <v>12863</v>
      </c>
      <c r="G6299" s="1">
        <v>33178</v>
      </c>
      <c r="I6299" t="s">
        <v>13270</v>
      </c>
      <c r="J6299" t="s">
        <v>31976</v>
      </c>
      <c r="K6299" t="s">
        <v>263</v>
      </c>
      <c r="L6299" t="s">
        <v>31977</v>
      </c>
      <c r="M6299">
        <v>363.20920000000001</v>
      </c>
      <c r="O6299" t="s">
        <v>26</v>
      </c>
      <c r="P6299">
        <v>127.5</v>
      </c>
      <c r="Q6299">
        <v>106.25</v>
      </c>
      <c r="R6299">
        <v>85</v>
      </c>
      <c r="S6299">
        <v>127.5</v>
      </c>
      <c r="T6299" t="s">
        <v>31978</v>
      </c>
    </row>
    <row r="6300" spans="1:20">
      <c r="A6300">
        <v>4502981</v>
      </c>
      <c r="B6300" t="s">
        <v>31979</v>
      </c>
      <c r="C6300" t="str">
        <f>"9780886291730"</f>
        <v>9780886291730</v>
      </c>
      <c r="D6300" t="str">
        <f>"9780773595712"</f>
        <v>9780773595712</v>
      </c>
      <c r="E6300" t="s">
        <v>12863</v>
      </c>
      <c r="F6300" t="s">
        <v>12863</v>
      </c>
      <c r="G6300" s="1">
        <v>41900</v>
      </c>
      <c r="I6300" t="s">
        <v>13270</v>
      </c>
      <c r="J6300" t="s">
        <v>31980</v>
      </c>
      <c r="K6300" t="s">
        <v>467</v>
      </c>
      <c r="M6300">
        <v>320</v>
      </c>
      <c r="O6300" t="s">
        <v>26</v>
      </c>
      <c r="P6300">
        <v>150</v>
      </c>
      <c r="Q6300">
        <v>125</v>
      </c>
      <c r="R6300">
        <v>100</v>
      </c>
      <c r="S6300">
        <v>150</v>
      </c>
      <c r="T6300" t="s">
        <v>31981</v>
      </c>
    </row>
    <row r="6301" spans="1:20">
      <c r="A6301">
        <v>4502982</v>
      </c>
      <c r="B6301" t="s">
        <v>31982</v>
      </c>
      <c r="C6301" t="str">
        <f>"9780886291778"</f>
        <v>9780886291778</v>
      </c>
      <c r="D6301" t="str">
        <f>"9780773595743"</f>
        <v>9780773595743</v>
      </c>
      <c r="E6301" t="s">
        <v>12863</v>
      </c>
      <c r="F6301" t="s">
        <v>12863</v>
      </c>
      <c r="G6301" s="1">
        <v>41900</v>
      </c>
      <c r="I6301" t="s">
        <v>16551</v>
      </c>
      <c r="J6301" t="s">
        <v>31983</v>
      </c>
      <c r="K6301" t="s">
        <v>416</v>
      </c>
      <c r="M6301">
        <v>338</v>
      </c>
      <c r="O6301" t="s">
        <v>26</v>
      </c>
      <c r="P6301">
        <v>150</v>
      </c>
      <c r="Q6301">
        <v>125</v>
      </c>
      <c r="R6301">
        <v>100</v>
      </c>
      <c r="S6301">
        <v>150</v>
      </c>
      <c r="T6301" t="s">
        <v>31984</v>
      </c>
    </row>
    <row r="6302" spans="1:20">
      <c r="A6302">
        <v>4502983</v>
      </c>
      <c r="B6302" t="s">
        <v>31985</v>
      </c>
      <c r="C6302" t="str">
        <f>"9780770902490"</f>
        <v>9780770902490</v>
      </c>
      <c r="D6302" t="str">
        <f>"9780773595804"</f>
        <v>9780773595804</v>
      </c>
      <c r="E6302" t="s">
        <v>12863</v>
      </c>
      <c r="F6302" t="s">
        <v>12863</v>
      </c>
      <c r="G6302" s="1">
        <v>32065</v>
      </c>
      <c r="J6302" t="s">
        <v>31986</v>
      </c>
      <c r="O6302" t="s">
        <v>26</v>
      </c>
      <c r="P6302">
        <v>127.5</v>
      </c>
      <c r="Q6302">
        <v>106.25</v>
      </c>
      <c r="R6302">
        <v>85</v>
      </c>
      <c r="S6302">
        <v>127.5</v>
      </c>
      <c r="T6302" t="s">
        <v>31987</v>
      </c>
    </row>
    <row r="6303" spans="1:20">
      <c r="A6303">
        <v>4502984</v>
      </c>
      <c r="B6303" t="s">
        <v>31988</v>
      </c>
      <c r="C6303" t="str">
        <f>"9780886291167"</f>
        <v>9780886291167</v>
      </c>
      <c r="D6303" t="str">
        <f>"9780773595828"</f>
        <v>9780773595828</v>
      </c>
      <c r="E6303" t="s">
        <v>12863</v>
      </c>
      <c r="F6303" t="s">
        <v>12863</v>
      </c>
      <c r="G6303" s="1">
        <v>33008</v>
      </c>
      <c r="I6303" t="s">
        <v>16551</v>
      </c>
      <c r="J6303" t="s">
        <v>31989</v>
      </c>
      <c r="K6303" t="s">
        <v>1082</v>
      </c>
      <c r="M6303">
        <v>362.29</v>
      </c>
      <c r="O6303" t="s">
        <v>26</v>
      </c>
      <c r="P6303">
        <v>127.5</v>
      </c>
      <c r="Q6303">
        <v>106.25</v>
      </c>
      <c r="R6303">
        <v>85</v>
      </c>
      <c r="S6303">
        <v>127.5</v>
      </c>
      <c r="T6303" t="s">
        <v>31990</v>
      </c>
    </row>
    <row r="6304" spans="1:20">
      <c r="A6304">
        <v>4502985</v>
      </c>
      <c r="B6304" t="s">
        <v>31991</v>
      </c>
      <c r="C6304" t="str">
        <f>"9780886293024"</f>
        <v>9780886293024</v>
      </c>
      <c r="D6304" t="str">
        <f>"9780773595835"</f>
        <v>9780773595835</v>
      </c>
      <c r="E6304" t="s">
        <v>12863</v>
      </c>
      <c r="F6304" t="s">
        <v>12863</v>
      </c>
      <c r="G6304" s="1">
        <v>32978</v>
      </c>
      <c r="I6304" t="s">
        <v>21105</v>
      </c>
      <c r="J6304" t="s">
        <v>31992</v>
      </c>
      <c r="K6304" t="s">
        <v>1464</v>
      </c>
      <c r="M6304">
        <v>811.54</v>
      </c>
      <c r="O6304" t="s">
        <v>26</v>
      </c>
      <c r="P6304">
        <v>127.5</v>
      </c>
      <c r="Q6304">
        <v>106.25</v>
      </c>
      <c r="R6304">
        <v>85</v>
      </c>
      <c r="S6304">
        <v>127.5</v>
      </c>
      <c r="T6304" t="s">
        <v>31993</v>
      </c>
    </row>
    <row r="6305" spans="1:20">
      <c r="A6305">
        <v>4502986</v>
      </c>
      <c r="B6305" t="s">
        <v>31994</v>
      </c>
      <c r="C6305" t="str">
        <f>"9780886292010"</f>
        <v>9780886292010</v>
      </c>
      <c r="D6305" t="str">
        <f>"9780773595866"</f>
        <v>9780773595866</v>
      </c>
      <c r="E6305" t="s">
        <v>12863</v>
      </c>
      <c r="F6305" t="s">
        <v>12863</v>
      </c>
      <c r="G6305" s="1">
        <v>34104</v>
      </c>
      <c r="I6305" t="s">
        <v>31995</v>
      </c>
      <c r="J6305" t="s">
        <v>31996</v>
      </c>
      <c r="K6305" t="s">
        <v>467</v>
      </c>
      <c r="M6305">
        <v>354.71007200000003</v>
      </c>
      <c r="O6305" t="s">
        <v>26</v>
      </c>
      <c r="P6305">
        <v>150</v>
      </c>
      <c r="Q6305">
        <v>125</v>
      </c>
      <c r="R6305">
        <v>100</v>
      </c>
      <c r="S6305">
        <v>150</v>
      </c>
      <c r="T6305" t="s">
        <v>31997</v>
      </c>
    </row>
    <row r="6306" spans="1:20">
      <c r="A6306">
        <v>4502988</v>
      </c>
      <c r="B6306" t="s">
        <v>31998</v>
      </c>
      <c r="C6306" t="str">
        <f>"9780886292294"</f>
        <v>9780886292294</v>
      </c>
      <c r="D6306" t="str">
        <f>"9780773595873"</f>
        <v>9780773595873</v>
      </c>
      <c r="E6306" t="s">
        <v>12863</v>
      </c>
      <c r="F6306" t="s">
        <v>12863</v>
      </c>
      <c r="G6306" s="1">
        <v>34500</v>
      </c>
      <c r="I6306" t="s">
        <v>31995</v>
      </c>
      <c r="J6306" t="s">
        <v>31996</v>
      </c>
      <c r="K6306" t="s">
        <v>467</v>
      </c>
      <c r="M6306">
        <v>354.71007200000003</v>
      </c>
      <c r="O6306" t="s">
        <v>26</v>
      </c>
      <c r="P6306">
        <v>150</v>
      </c>
      <c r="Q6306">
        <v>125</v>
      </c>
      <c r="R6306">
        <v>100</v>
      </c>
      <c r="S6306">
        <v>150</v>
      </c>
      <c r="T6306" t="s">
        <v>31999</v>
      </c>
    </row>
    <row r="6307" spans="1:20">
      <c r="A6307">
        <v>4502989</v>
      </c>
      <c r="B6307" t="s">
        <v>32000</v>
      </c>
      <c r="C6307" t="str">
        <f>"9780886292638"</f>
        <v>9780886292638</v>
      </c>
      <c r="D6307" t="str">
        <f>"9780773595880"</f>
        <v>9780773595880</v>
      </c>
      <c r="E6307" t="s">
        <v>12863</v>
      </c>
      <c r="F6307" t="s">
        <v>12863</v>
      </c>
      <c r="G6307" s="1">
        <v>34851</v>
      </c>
      <c r="I6307" t="s">
        <v>31995</v>
      </c>
      <c r="J6307" t="s">
        <v>31996</v>
      </c>
      <c r="K6307" t="s">
        <v>467</v>
      </c>
      <c r="M6307">
        <v>354.71007200000003</v>
      </c>
      <c r="O6307" t="s">
        <v>26</v>
      </c>
      <c r="P6307">
        <v>150</v>
      </c>
      <c r="Q6307">
        <v>125</v>
      </c>
      <c r="R6307">
        <v>100</v>
      </c>
      <c r="S6307">
        <v>150</v>
      </c>
      <c r="T6307" t="s">
        <v>32001</v>
      </c>
    </row>
    <row r="6308" spans="1:20">
      <c r="A6308">
        <v>4502990</v>
      </c>
      <c r="B6308" t="s">
        <v>32002</v>
      </c>
      <c r="C6308" t="str">
        <f>"9780886292850"</f>
        <v>9780886292850</v>
      </c>
      <c r="D6308" t="str">
        <f>"9780773595897"</f>
        <v>9780773595897</v>
      </c>
      <c r="E6308" t="s">
        <v>12863</v>
      </c>
      <c r="F6308" t="s">
        <v>12863</v>
      </c>
      <c r="G6308" s="1">
        <v>41900</v>
      </c>
      <c r="I6308" t="s">
        <v>13068</v>
      </c>
      <c r="J6308" t="s">
        <v>22087</v>
      </c>
      <c r="K6308" t="s">
        <v>467</v>
      </c>
      <c r="M6308">
        <v>354</v>
      </c>
      <c r="O6308" t="s">
        <v>26</v>
      </c>
      <c r="P6308">
        <v>150</v>
      </c>
      <c r="Q6308">
        <v>125</v>
      </c>
      <c r="R6308">
        <v>100</v>
      </c>
      <c r="S6308">
        <v>150</v>
      </c>
      <c r="T6308" t="s">
        <v>32003</v>
      </c>
    </row>
    <row r="6309" spans="1:20">
      <c r="A6309">
        <v>4502991</v>
      </c>
      <c r="B6309" t="s">
        <v>32004</v>
      </c>
      <c r="C6309" t="str">
        <f>"9780886290634"</f>
        <v>9780886290634</v>
      </c>
      <c r="D6309" t="str">
        <f>"9780773595927"</f>
        <v>9780773595927</v>
      </c>
      <c r="E6309" t="s">
        <v>12863</v>
      </c>
      <c r="F6309" t="s">
        <v>12863</v>
      </c>
      <c r="G6309" s="1">
        <v>32126</v>
      </c>
      <c r="J6309" t="s">
        <v>32005</v>
      </c>
      <c r="K6309" t="s">
        <v>1464</v>
      </c>
      <c r="M6309">
        <v>808.02709200000004</v>
      </c>
      <c r="O6309" t="s">
        <v>26</v>
      </c>
      <c r="P6309">
        <v>127.5</v>
      </c>
      <c r="Q6309">
        <v>106.25</v>
      </c>
      <c r="R6309">
        <v>85</v>
      </c>
      <c r="S6309">
        <v>127.5</v>
      </c>
      <c r="T6309" t="s">
        <v>32006</v>
      </c>
    </row>
    <row r="6310" spans="1:20">
      <c r="A6310">
        <v>4502993</v>
      </c>
      <c r="B6310" t="s">
        <v>32007</v>
      </c>
      <c r="C6310" t="str">
        <f>"9780886292669"</f>
        <v>9780886292669</v>
      </c>
      <c r="D6310" t="str">
        <f>"9780773595941"</f>
        <v>9780773595941</v>
      </c>
      <c r="E6310" t="s">
        <v>12863</v>
      </c>
      <c r="F6310" t="s">
        <v>12863</v>
      </c>
      <c r="G6310" s="1">
        <v>34851</v>
      </c>
      <c r="J6310" t="s">
        <v>32008</v>
      </c>
      <c r="K6310" t="s">
        <v>1063</v>
      </c>
      <c r="M6310">
        <v>333.70970999999997</v>
      </c>
      <c r="O6310" t="s">
        <v>26</v>
      </c>
      <c r="P6310">
        <v>150</v>
      </c>
      <c r="Q6310">
        <v>125</v>
      </c>
      <c r="R6310">
        <v>100</v>
      </c>
      <c r="S6310">
        <v>150</v>
      </c>
      <c r="T6310" t="s">
        <v>32009</v>
      </c>
    </row>
    <row r="6311" spans="1:20">
      <c r="A6311">
        <v>4502994</v>
      </c>
      <c r="B6311" t="s">
        <v>32010</v>
      </c>
      <c r="C6311" t="str">
        <f>"9780886292683"</f>
        <v>9780886292683</v>
      </c>
      <c r="D6311" t="str">
        <f>"9780773595958"</f>
        <v>9780773595958</v>
      </c>
      <c r="E6311" t="s">
        <v>12863</v>
      </c>
      <c r="F6311" t="s">
        <v>12863</v>
      </c>
      <c r="G6311" s="1">
        <v>34851</v>
      </c>
      <c r="J6311" t="s">
        <v>32008</v>
      </c>
      <c r="O6311" t="s">
        <v>26</v>
      </c>
      <c r="P6311">
        <v>150</v>
      </c>
      <c r="Q6311">
        <v>125</v>
      </c>
      <c r="R6311">
        <v>100</v>
      </c>
      <c r="S6311">
        <v>150</v>
      </c>
      <c r="T6311" t="s">
        <v>32011</v>
      </c>
    </row>
    <row r="6312" spans="1:20">
      <c r="A6312">
        <v>4502995</v>
      </c>
      <c r="B6312" t="s">
        <v>32012</v>
      </c>
      <c r="C6312" t="str">
        <f>"9780886290283"</f>
        <v>9780886290283</v>
      </c>
      <c r="D6312" t="str">
        <f>"9780773595972"</f>
        <v>9780773595972</v>
      </c>
      <c r="E6312" t="s">
        <v>12863</v>
      </c>
      <c r="F6312" t="s">
        <v>12863</v>
      </c>
      <c r="G6312" s="1">
        <v>31335</v>
      </c>
      <c r="J6312" t="s">
        <v>32005</v>
      </c>
      <c r="O6312" t="s">
        <v>26</v>
      </c>
      <c r="P6312">
        <v>127.5</v>
      </c>
      <c r="Q6312">
        <v>106.25</v>
      </c>
      <c r="R6312">
        <v>85</v>
      </c>
      <c r="S6312">
        <v>127.5</v>
      </c>
      <c r="T6312" t="s">
        <v>32013</v>
      </c>
    </row>
    <row r="6313" spans="1:20">
      <c r="A6313">
        <v>4502996</v>
      </c>
      <c r="B6313" t="s">
        <v>32014</v>
      </c>
      <c r="C6313" t="str">
        <f>"9780886292706"</f>
        <v>9780886292706</v>
      </c>
      <c r="D6313" t="str">
        <f>"9780773596009"</f>
        <v>9780773596009</v>
      </c>
      <c r="E6313" t="s">
        <v>12863</v>
      </c>
      <c r="F6313" t="s">
        <v>12863</v>
      </c>
      <c r="G6313" s="1">
        <v>41900</v>
      </c>
      <c r="J6313" t="s">
        <v>32015</v>
      </c>
      <c r="K6313" t="s">
        <v>263</v>
      </c>
      <c r="M6313">
        <v>361</v>
      </c>
      <c r="O6313" t="s">
        <v>26</v>
      </c>
      <c r="P6313">
        <v>150</v>
      </c>
      <c r="Q6313">
        <v>125</v>
      </c>
      <c r="R6313">
        <v>100</v>
      </c>
      <c r="S6313">
        <v>150</v>
      </c>
      <c r="T6313" t="s">
        <v>32016</v>
      </c>
    </row>
    <row r="6314" spans="1:20">
      <c r="A6314">
        <v>4502997</v>
      </c>
      <c r="B6314" t="s">
        <v>32017</v>
      </c>
      <c r="C6314" t="str">
        <f>"9780886293031"</f>
        <v>9780886293031</v>
      </c>
      <c r="D6314" t="str">
        <f>"9780773596016"</f>
        <v>9780773596016</v>
      </c>
      <c r="E6314" t="s">
        <v>12863</v>
      </c>
      <c r="F6314" t="s">
        <v>12863</v>
      </c>
      <c r="G6314" s="1">
        <v>35170</v>
      </c>
      <c r="I6314" t="s">
        <v>21105</v>
      </c>
      <c r="J6314" t="s">
        <v>32018</v>
      </c>
      <c r="K6314" t="s">
        <v>1464</v>
      </c>
      <c r="M6314">
        <v>811.54</v>
      </c>
      <c r="O6314" t="s">
        <v>26</v>
      </c>
      <c r="P6314">
        <v>150</v>
      </c>
      <c r="Q6314">
        <v>125</v>
      </c>
      <c r="R6314">
        <v>100</v>
      </c>
      <c r="S6314">
        <v>150</v>
      </c>
      <c r="T6314" t="s">
        <v>32019</v>
      </c>
    </row>
    <row r="6315" spans="1:20">
      <c r="A6315">
        <v>4502998</v>
      </c>
      <c r="B6315" t="s">
        <v>32020</v>
      </c>
      <c r="C6315" t="str">
        <f>"9780886292928"</f>
        <v>9780886292928</v>
      </c>
      <c r="D6315" t="str">
        <f>"9780773596023"</f>
        <v>9780773596023</v>
      </c>
      <c r="E6315" t="s">
        <v>12863</v>
      </c>
      <c r="F6315" t="s">
        <v>12863</v>
      </c>
      <c r="G6315" s="1">
        <v>41900</v>
      </c>
      <c r="J6315" t="s">
        <v>32021</v>
      </c>
      <c r="K6315" t="s">
        <v>467</v>
      </c>
      <c r="M6315">
        <v>327</v>
      </c>
      <c r="O6315" t="s">
        <v>26</v>
      </c>
      <c r="P6315">
        <v>150</v>
      </c>
      <c r="Q6315">
        <v>125</v>
      </c>
      <c r="R6315">
        <v>100</v>
      </c>
      <c r="S6315">
        <v>150</v>
      </c>
      <c r="T6315" t="s">
        <v>32022</v>
      </c>
    </row>
    <row r="6316" spans="1:20">
      <c r="A6316">
        <v>4503000</v>
      </c>
      <c r="B6316" t="s">
        <v>32023</v>
      </c>
      <c r="C6316" t="str">
        <f>"9780886292935"</f>
        <v>9780886292935</v>
      </c>
      <c r="D6316" t="str">
        <f>"9780773596047"</f>
        <v>9780773596047</v>
      </c>
      <c r="E6316" t="s">
        <v>12863</v>
      </c>
      <c r="F6316" t="s">
        <v>12863</v>
      </c>
      <c r="G6316" s="1">
        <v>35217</v>
      </c>
      <c r="J6316" t="s">
        <v>32024</v>
      </c>
      <c r="K6316" t="s">
        <v>1464</v>
      </c>
      <c r="M6316">
        <v>813.54</v>
      </c>
      <c r="O6316" t="s">
        <v>26</v>
      </c>
      <c r="P6316">
        <v>150</v>
      </c>
      <c r="Q6316">
        <v>125</v>
      </c>
      <c r="R6316">
        <v>100</v>
      </c>
      <c r="S6316">
        <v>150</v>
      </c>
      <c r="T6316" t="s">
        <v>32025</v>
      </c>
    </row>
    <row r="6317" spans="1:20">
      <c r="A6317">
        <v>4503001</v>
      </c>
      <c r="B6317" t="s">
        <v>32026</v>
      </c>
      <c r="C6317" t="str">
        <f>"9780886293376"</f>
        <v>9780886293376</v>
      </c>
      <c r="D6317" t="str">
        <f>"9780773596061"</f>
        <v>9780773596061</v>
      </c>
      <c r="E6317" t="s">
        <v>12863</v>
      </c>
      <c r="F6317" t="s">
        <v>12863</v>
      </c>
      <c r="G6317" s="1">
        <v>41900</v>
      </c>
      <c r="J6317" t="s">
        <v>32027</v>
      </c>
      <c r="K6317" t="s">
        <v>1471</v>
      </c>
      <c r="M6317">
        <v>759</v>
      </c>
      <c r="O6317" t="s">
        <v>26</v>
      </c>
      <c r="P6317">
        <v>150</v>
      </c>
      <c r="Q6317">
        <v>125</v>
      </c>
      <c r="R6317">
        <v>100</v>
      </c>
      <c r="S6317">
        <v>150</v>
      </c>
      <c r="T6317" t="s">
        <v>32028</v>
      </c>
    </row>
    <row r="6318" spans="1:20">
      <c r="A6318">
        <v>4503006</v>
      </c>
      <c r="B6318" t="s">
        <v>32029</v>
      </c>
      <c r="C6318" t="str">
        <f>"9780773544246"</f>
        <v>9780773544246</v>
      </c>
      <c r="D6318" t="str">
        <f>"9780773596511"</f>
        <v>9780773596511</v>
      </c>
      <c r="E6318" t="s">
        <v>12863</v>
      </c>
      <c r="F6318" t="s">
        <v>12863</v>
      </c>
      <c r="G6318" s="1">
        <v>41958</v>
      </c>
      <c r="J6318" t="s">
        <v>32030</v>
      </c>
      <c r="K6318" t="s">
        <v>291</v>
      </c>
      <c r="M6318">
        <v>940.47809710000001</v>
      </c>
      <c r="N6318" t="s">
        <v>32031</v>
      </c>
      <c r="O6318" t="s">
        <v>26</v>
      </c>
      <c r="P6318">
        <v>150</v>
      </c>
      <c r="Q6318">
        <v>125</v>
      </c>
      <c r="R6318">
        <v>100</v>
      </c>
      <c r="S6318">
        <v>150</v>
      </c>
      <c r="T6318" t="s">
        <v>32032</v>
      </c>
    </row>
    <row r="6319" spans="1:20">
      <c r="A6319">
        <v>4503007</v>
      </c>
      <c r="B6319" t="s">
        <v>32033</v>
      </c>
      <c r="C6319" t="str">
        <f>"9780773544307"</f>
        <v>9780773544307</v>
      </c>
      <c r="D6319" t="str">
        <f>"9780773596573"</f>
        <v>9780773596573</v>
      </c>
      <c r="E6319" t="s">
        <v>12863</v>
      </c>
      <c r="F6319" t="s">
        <v>12863</v>
      </c>
      <c r="G6319" s="1">
        <v>41960</v>
      </c>
      <c r="J6319" t="s">
        <v>32034</v>
      </c>
      <c r="K6319" t="s">
        <v>263</v>
      </c>
      <c r="M6319">
        <v>305.89699999999999</v>
      </c>
      <c r="O6319" t="s">
        <v>26</v>
      </c>
      <c r="P6319">
        <v>150</v>
      </c>
      <c r="Q6319">
        <v>125</v>
      </c>
      <c r="R6319">
        <v>100</v>
      </c>
      <c r="S6319">
        <v>150</v>
      </c>
      <c r="T6319" t="s">
        <v>32035</v>
      </c>
    </row>
    <row r="6320" spans="1:20">
      <c r="A6320">
        <v>4503010</v>
      </c>
      <c r="B6320" t="s">
        <v>32036</v>
      </c>
      <c r="C6320" t="str">
        <f>"9780773596818"</f>
        <v>9780773596818</v>
      </c>
      <c r="D6320" t="str">
        <f>"9780773596818"</f>
        <v>9780773596818</v>
      </c>
      <c r="E6320" t="s">
        <v>12863</v>
      </c>
      <c r="F6320" t="s">
        <v>12863</v>
      </c>
      <c r="G6320" s="1">
        <v>41913</v>
      </c>
      <c r="J6320" t="s">
        <v>32037</v>
      </c>
      <c r="O6320" t="s">
        <v>26</v>
      </c>
      <c r="P6320">
        <v>52.43</v>
      </c>
      <c r="Q6320">
        <v>43.69</v>
      </c>
      <c r="R6320">
        <v>34.950000000000003</v>
      </c>
      <c r="S6320">
        <v>52.43</v>
      </c>
      <c r="T6320" t="s">
        <v>32038</v>
      </c>
    </row>
    <row r="6321" spans="1:20">
      <c r="A6321">
        <v>4503021</v>
      </c>
      <c r="B6321" t="s">
        <v>32039</v>
      </c>
      <c r="C6321" t="str">
        <f>"9780773535831"</f>
        <v>9780773535831</v>
      </c>
      <c r="D6321" t="str">
        <f>"9780773581180"</f>
        <v>9780773581180</v>
      </c>
      <c r="E6321" t="s">
        <v>12863</v>
      </c>
      <c r="F6321" t="s">
        <v>12863</v>
      </c>
      <c r="G6321" s="1">
        <v>40087</v>
      </c>
      <c r="J6321" t="s">
        <v>32040</v>
      </c>
      <c r="K6321" t="s">
        <v>525</v>
      </c>
      <c r="L6321" t="s">
        <v>32041</v>
      </c>
      <c r="M6321">
        <v>342.71087209000001</v>
      </c>
      <c r="O6321" t="s">
        <v>26</v>
      </c>
      <c r="P6321">
        <v>142.5</v>
      </c>
      <c r="Q6321">
        <v>118.75</v>
      </c>
      <c r="R6321">
        <v>95</v>
      </c>
      <c r="S6321">
        <v>142.5</v>
      </c>
      <c r="T6321" t="s">
        <v>32042</v>
      </c>
    </row>
    <row r="6322" spans="1:20">
      <c r="A6322">
        <v>4503052</v>
      </c>
      <c r="B6322" t="s">
        <v>32043</v>
      </c>
      <c r="C6322" t="str">
        <f>"9780773537675"</f>
        <v>9780773537675</v>
      </c>
      <c r="D6322" t="str">
        <f>"9780773581609"</f>
        <v>9780773581609</v>
      </c>
      <c r="E6322" t="s">
        <v>12863</v>
      </c>
      <c r="F6322" t="s">
        <v>12863</v>
      </c>
      <c r="G6322" s="1">
        <v>40422</v>
      </c>
      <c r="J6322" t="s">
        <v>32044</v>
      </c>
      <c r="K6322" t="s">
        <v>1892</v>
      </c>
      <c r="L6322" t="s">
        <v>32045</v>
      </c>
      <c r="M6322">
        <v>248.482</v>
      </c>
      <c r="O6322" t="s">
        <v>26</v>
      </c>
      <c r="P6322">
        <v>112.5</v>
      </c>
      <c r="Q6322">
        <v>93.75</v>
      </c>
      <c r="R6322">
        <v>75</v>
      </c>
      <c r="S6322">
        <v>112.5</v>
      </c>
      <c r="T6322" t="s">
        <v>32046</v>
      </c>
    </row>
    <row r="6323" spans="1:20">
      <c r="A6323">
        <v>4503069</v>
      </c>
      <c r="B6323" t="s">
        <v>32047</v>
      </c>
      <c r="C6323" t="str">
        <f>"9780773546493"</f>
        <v>9780773546493</v>
      </c>
      <c r="D6323" t="str">
        <f>"9780773598171"</f>
        <v>9780773598171</v>
      </c>
      <c r="E6323" t="s">
        <v>12863</v>
      </c>
      <c r="F6323" t="s">
        <v>12863</v>
      </c>
      <c r="G6323" s="1">
        <v>42347</v>
      </c>
      <c r="I6323" t="s">
        <v>12871</v>
      </c>
      <c r="J6323" t="s">
        <v>32048</v>
      </c>
      <c r="O6323" t="s">
        <v>26</v>
      </c>
      <c r="P6323">
        <v>262.5</v>
      </c>
      <c r="Q6323">
        <v>218.75</v>
      </c>
      <c r="R6323">
        <v>175</v>
      </c>
      <c r="S6323">
        <v>262.5</v>
      </c>
      <c r="T6323" t="s">
        <v>32049</v>
      </c>
    </row>
    <row r="6324" spans="1:20">
      <c r="A6324">
        <v>4503070</v>
      </c>
      <c r="B6324" t="s">
        <v>32050</v>
      </c>
      <c r="C6324" t="str">
        <f>"9780773546516"</f>
        <v>9780773546516</v>
      </c>
      <c r="D6324" t="str">
        <f>"9780773598195"</f>
        <v>9780773598195</v>
      </c>
      <c r="E6324" t="s">
        <v>12863</v>
      </c>
      <c r="F6324" t="s">
        <v>12863</v>
      </c>
      <c r="G6324" s="1">
        <v>42347</v>
      </c>
      <c r="I6324" t="s">
        <v>12871</v>
      </c>
      <c r="J6324" t="s">
        <v>32048</v>
      </c>
      <c r="O6324" t="s">
        <v>26</v>
      </c>
      <c r="P6324">
        <v>262.5</v>
      </c>
      <c r="Q6324">
        <v>218.75</v>
      </c>
      <c r="R6324">
        <v>175</v>
      </c>
      <c r="S6324">
        <v>262.5</v>
      </c>
      <c r="T6324" t="s">
        <v>32051</v>
      </c>
    </row>
    <row r="6325" spans="1:20">
      <c r="A6325">
        <v>4503075</v>
      </c>
      <c r="B6325" t="s">
        <v>32052</v>
      </c>
      <c r="C6325" t="str">
        <f>"9780773546592"</f>
        <v>9780773546592</v>
      </c>
      <c r="D6325" t="str">
        <f>"9780773598270"</f>
        <v>9780773598270</v>
      </c>
      <c r="E6325" t="s">
        <v>12863</v>
      </c>
      <c r="F6325" t="s">
        <v>12863</v>
      </c>
      <c r="G6325" s="1">
        <v>42347</v>
      </c>
      <c r="I6325" t="s">
        <v>12871</v>
      </c>
      <c r="J6325" t="s">
        <v>32048</v>
      </c>
      <c r="O6325" t="s">
        <v>26</v>
      </c>
      <c r="P6325">
        <v>165</v>
      </c>
      <c r="Q6325">
        <v>137.5</v>
      </c>
      <c r="R6325">
        <v>110</v>
      </c>
      <c r="S6325">
        <v>165</v>
      </c>
      <c r="T6325" t="s">
        <v>32053</v>
      </c>
    </row>
    <row r="6326" spans="1:20">
      <c r="A6326">
        <v>4503077</v>
      </c>
      <c r="B6326" t="s">
        <v>32054</v>
      </c>
      <c r="C6326" t="str">
        <f>"9780773546639"</f>
        <v>9780773546639</v>
      </c>
      <c r="D6326" t="str">
        <f>"9780773598317"</f>
        <v>9780773598317</v>
      </c>
      <c r="E6326" t="s">
        <v>12863</v>
      </c>
      <c r="F6326" t="s">
        <v>12863</v>
      </c>
      <c r="G6326" s="1">
        <v>42347</v>
      </c>
      <c r="J6326" t="s">
        <v>31709</v>
      </c>
      <c r="O6326" t="s">
        <v>94</v>
      </c>
      <c r="P6326">
        <v>262.5</v>
      </c>
      <c r="Q6326">
        <v>218.75</v>
      </c>
      <c r="R6326">
        <v>175</v>
      </c>
      <c r="S6326">
        <v>262.5</v>
      </c>
      <c r="T6326" t="s">
        <v>32055</v>
      </c>
    </row>
    <row r="6327" spans="1:20">
      <c r="A6327">
        <v>4503080</v>
      </c>
      <c r="B6327" t="s">
        <v>32056</v>
      </c>
      <c r="C6327" t="str">
        <f>"9780773546660"</f>
        <v>9780773546660</v>
      </c>
      <c r="D6327" t="str">
        <f>"9780773598379"</f>
        <v>9780773598379</v>
      </c>
      <c r="E6327" t="s">
        <v>12863</v>
      </c>
      <c r="F6327" t="s">
        <v>12863</v>
      </c>
      <c r="G6327" s="1">
        <v>42377</v>
      </c>
      <c r="J6327" t="s">
        <v>31709</v>
      </c>
      <c r="O6327" t="s">
        <v>94</v>
      </c>
      <c r="P6327">
        <v>165</v>
      </c>
      <c r="Q6327">
        <v>137.5</v>
      </c>
      <c r="R6327">
        <v>110</v>
      </c>
      <c r="S6327">
        <v>165</v>
      </c>
      <c r="T6327" t="s">
        <v>32057</v>
      </c>
    </row>
    <row r="6328" spans="1:20">
      <c r="A6328">
        <v>4503081</v>
      </c>
      <c r="B6328" t="s">
        <v>32058</v>
      </c>
      <c r="C6328" t="str">
        <f>"9780773546677"</f>
        <v>9780773546677</v>
      </c>
      <c r="D6328" t="str">
        <f>"9780773598393"</f>
        <v>9780773598393</v>
      </c>
      <c r="E6328" t="s">
        <v>12863</v>
      </c>
      <c r="F6328" t="s">
        <v>12863</v>
      </c>
      <c r="G6328" s="1">
        <v>42347</v>
      </c>
      <c r="J6328" t="s">
        <v>31709</v>
      </c>
      <c r="O6328" t="s">
        <v>94</v>
      </c>
      <c r="P6328">
        <v>165</v>
      </c>
      <c r="Q6328">
        <v>137.5</v>
      </c>
      <c r="R6328">
        <v>110</v>
      </c>
      <c r="S6328">
        <v>165</v>
      </c>
      <c r="T6328" t="s">
        <v>32059</v>
      </c>
    </row>
    <row r="6329" spans="1:20">
      <c r="A6329">
        <v>4503083</v>
      </c>
      <c r="B6329" t="s">
        <v>32060</v>
      </c>
      <c r="C6329" t="str">
        <f>"9780773546806"</f>
        <v>9780773546806</v>
      </c>
      <c r="D6329" t="str">
        <f>"9780773598522"</f>
        <v>9780773598522</v>
      </c>
      <c r="E6329" t="s">
        <v>12863</v>
      </c>
      <c r="F6329" t="s">
        <v>12863</v>
      </c>
      <c r="G6329" s="1">
        <v>42426</v>
      </c>
      <c r="J6329" t="s">
        <v>32061</v>
      </c>
      <c r="K6329" t="s">
        <v>1464</v>
      </c>
      <c r="M6329">
        <v>809.93353000000002</v>
      </c>
      <c r="O6329" t="s">
        <v>26</v>
      </c>
      <c r="P6329">
        <v>165</v>
      </c>
      <c r="Q6329">
        <v>137.5</v>
      </c>
      <c r="R6329">
        <v>110</v>
      </c>
      <c r="S6329">
        <v>165</v>
      </c>
      <c r="T6329" t="s">
        <v>32062</v>
      </c>
    </row>
    <row r="6330" spans="1:20">
      <c r="A6330">
        <v>4503088</v>
      </c>
      <c r="B6330" t="s">
        <v>32063</v>
      </c>
      <c r="C6330" t="str">
        <f>"9780773547018"</f>
        <v>9780773547018</v>
      </c>
      <c r="D6330" t="str">
        <f>"9780773598799"</f>
        <v>9780773598799</v>
      </c>
      <c r="E6330" t="s">
        <v>12863</v>
      </c>
      <c r="F6330" t="s">
        <v>12863</v>
      </c>
      <c r="G6330" s="1">
        <v>42425</v>
      </c>
      <c r="J6330" t="s">
        <v>14123</v>
      </c>
      <c r="K6330" t="s">
        <v>7838</v>
      </c>
      <c r="M6330">
        <v>720.1</v>
      </c>
      <c r="O6330" t="s">
        <v>26</v>
      </c>
      <c r="P6330">
        <v>165</v>
      </c>
      <c r="Q6330">
        <v>137.5</v>
      </c>
      <c r="R6330">
        <v>110</v>
      </c>
      <c r="S6330">
        <v>165</v>
      </c>
      <c r="T6330" t="s">
        <v>32064</v>
      </c>
    </row>
    <row r="6331" spans="1:20">
      <c r="A6331">
        <v>4503501</v>
      </c>
      <c r="B6331" t="s">
        <v>32065</v>
      </c>
      <c r="C6331" t="str">
        <f>"9780773539815"</f>
        <v>9780773539815</v>
      </c>
      <c r="D6331" t="str">
        <f>"9780773587052"</f>
        <v>9780773587052</v>
      </c>
      <c r="E6331" t="s">
        <v>12863</v>
      </c>
      <c r="F6331" t="s">
        <v>12863</v>
      </c>
      <c r="G6331" s="1">
        <v>41183</v>
      </c>
      <c r="I6331" t="s">
        <v>12871</v>
      </c>
      <c r="J6331" t="s">
        <v>32066</v>
      </c>
      <c r="K6331" t="s">
        <v>263</v>
      </c>
      <c r="L6331" t="s">
        <v>32067</v>
      </c>
      <c r="M6331">
        <v>301.09199999999998</v>
      </c>
      <c r="O6331" t="s">
        <v>26</v>
      </c>
      <c r="P6331">
        <v>59.93</v>
      </c>
      <c r="Q6331">
        <v>49.94</v>
      </c>
      <c r="R6331">
        <v>39.950000000000003</v>
      </c>
      <c r="S6331">
        <v>59.93</v>
      </c>
      <c r="T6331" t="s">
        <v>32068</v>
      </c>
    </row>
    <row r="6332" spans="1:20">
      <c r="A6332">
        <v>4503753</v>
      </c>
      <c r="B6332" t="s">
        <v>32069</v>
      </c>
      <c r="C6332" t="str">
        <f>"9780773546530"</f>
        <v>9780773546530</v>
      </c>
      <c r="D6332" t="str">
        <f>"9780773598225"</f>
        <v>9780773598225</v>
      </c>
      <c r="E6332" t="s">
        <v>12863</v>
      </c>
      <c r="F6332" t="s">
        <v>12863</v>
      </c>
      <c r="G6332" s="1">
        <v>42347</v>
      </c>
      <c r="I6332" t="s">
        <v>12871</v>
      </c>
      <c r="J6332" t="s">
        <v>32048</v>
      </c>
      <c r="O6332" t="s">
        <v>26</v>
      </c>
      <c r="P6332">
        <v>165</v>
      </c>
      <c r="Q6332">
        <v>137.5</v>
      </c>
      <c r="R6332">
        <v>110</v>
      </c>
      <c r="S6332">
        <v>165</v>
      </c>
      <c r="T6332" t="s">
        <v>32070</v>
      </c>
    </row>
    <row r="6333" spans="1:20">
      <c r="A6333">
        <v>4503755</v>
      </c>
      <c r="B6333" t="s">
        <v>32071</v>
      </c>
      <c r="C6333" t="str">
        <f>"9780773546554"</f>
        <v>9780773546554</v>
      </c>
      <c r="D6333" t="str">
        <f>"9780773598249"</f>
        <v>9780773598249</v>
      </c>
      <c r="E6333" t="s">
        <v>12863</v>
      </c>
      <c r="F6333" t="s">
        <v>12863</v>
      </c>
      <c r="G6333" s="1">
        <v>42347</v>
      </c>
      <c r="I6333" t="s">
        <v>12871</v>
      </c>
      <c r="J6333" t="s">
        <v>32048</v>
      </c>
      <c r="O6333" t="s">
        <v>26</v>
      </c>
      <c r="P6333">
        <v>127.5</v>
      </c>
      <c r="Q6333">
        <v>106.25</v>
      </c>
      <c r="R6333">
        <v>85</v>
      </c>
      <c r="S6333">
        <v>127.5</v>
      </c>
      <c r="T6333" t="s">
        <v>32072</v>
      </c>
    </row>
    <row r="6334" spans="1:20">
      <c r="A6334">
        <v>4503756</v>
      </c>
      <c r="B6334" t="s">
        <v>32073</v>
      </c>
      <c r="C6334" t="str">
        <f>"9780773546578"</f>
        <v>9780773546578</v>
      </c>
      <c r="D6334" t="str">
        <f>"9780773598263"</f>
        <v>9780773598263</v>
      </c>
      <c r="E6334" t="s">
        <v>12863</v>
      </c>
      <c r="F6334" t="s">
        <v>12863</v>
      </c>
      <c r="G6334" s="1">
        <v>42347</v>
      </c>
      <c r="I6334" t="s">
        <v>12871</v>
      </c>
      <c r="J6334" t="s">
        <v>32048</v>
      </c>
      <c r="O6334" t="s">
        <v>26</v>
      </c>
      <c r="P6334">
        <v>165</v>
      </c>
      <c r="Q6334">
        <v>137.5</v>
      </c>
      <c r="R6334">
        <v>110</v>
      </c>
      <c r="S6334">
        <v>165</v>
      </c>
      <c r="T6334" t="s">
        <v>32074</v>
      </c>
    </row>
    <row r="6335" spans="1:20">
      <c r="A6335">
        <v>4503758</v>
      </c>
      <c r="B6335" t="s">
        <v>32075</v>
      </c>
      <c r="C6335" t="str">
        <f>"9780773546615"</f>
        <v>9780773546615</v>
      </c>
      <c r="D6335" t="str">
        <f>"9780773598300"</f>
        <v>9780773598300</v>
      </c>
      <c r="E6335" t="s">
        <v>12863</v>
      </c>
      <c r="F6335" t="s">
        <v>12863</v>
      </c>
      <c r="G6335" s="1">
        <v>42347</v>
      </c>
      <c r="I6335" t="s">
        <v>12871</v>
      </c>
      <c r="J6335" t="s">
        <v>32048</v>
      </c>
      <c r="O6335" t="s">
        <v>26</v>
      </c>
      <c r="P6335">
        <v>165</v>
      </c>
      <c r="Q6335">
        <v>137.5</v>
      </c>
      <c r="R6335">
        <v>110</v>
      </c>
      <c r="S6335">
        <v>165</v>
      </c>
      <c r="T6335" t="s">
        <v>32076</v>
      </c>
    </row>
    <row r="6336" spans="1:20">
      <c r="A6336">
        <v>4503759</v>
      </c>
      <c r="B6336" t="s">
        <v>32077</v>
      </c>
      <c r="C6336" t="str">
        <f>"9780773546653"</f>
        <v>9780773546653</v>
      </c>
      <c r="D6336" t="str">
        <f>"9780773598362"</f>
        <v>9780773598362</v>
      </c>
      <c r="E6336" t="s">
        <v>12863</v>
      </c>
      <c r="F6336" t="s">
        <v>12863</v>
      </c>
      <c r="G6336" s="1">
        <v>42347</v>
      </c>
      <c r="J6336" t="s">
        <v>31709</v>
      </c>
      <c r="O6336" t="s">
        <v>94</v>
      </c>
      <c r="P6336">
        <v>262.5</v>
      </c>
      <c r="Q6336">
        <v>218.75</v>
      </c>
      <c r="R6336">
        <v>175</v>
      </c>
      <c r="S6336">
        <v>262.5</v>
      </c>
      <c r="T6336" t="s">
        <v>32078</v>
      </c>
    </row>
    <row r="6337" spans="1:20">
      <c r="A6337">
        <v>4503760</v>
      </c>
      <c r="B6337" t="s">
        <v>32079</v>
      </c>
      <c r="C6337" t="str">
        <f>"9781553394358"</f>
        <v>9781553394358</v>
      </c>
      <c r="D6337" t="str">
        <f>"9781553394365"</f>
        <v>9781553394365</v>
      </c>
      <c r="E6337" t="s">
        <v>12863</v>
      </c>
      <c r="F6337" t="s">
        <v>21530</v>
      </c>
      <c r="G6337" s="1">
        <v>42278</v>
      </c>
      <c r="I6337" t="s">
        <v>21531</v>
      </c>
      <c r="J6337" t="s">
        <v>32080</v>
      </c>
      <c r="K6337" t="s">
        <v>1063</v>
      </c>
      <c r="M6337">
        <v>333.91009709999997</v>
      </c>
      <c r="O6337" t="s">
        <v>26</v>
      </c>
      <c r="P6337">
        <v>59.93</v>
      </c>
      <c r="Q6337">
        <v>49.94</v>
      </c>
      <c r="R6337">
        <v>39.950000000000003</v>
      </c>
      <c r="S6337">
        <v>59.93</v>
      </c>
      <c r="T6337" t="s">
        <v>32081</v>
      </c>
    </row>
    <row r="6338" spans="1:20">
      <c r="A6338">
        <v>4503762</v>
      </c>
      <c r="B6338" t="s">
        <v>32082</v>
      </c>
      <c r="C6338" t="str">
        <f>"9780773547056"</f>
        <v>9780773547056</v>
      </c>
      <c r="D6338" t="str">
        <f>"9780773598867"</f>
        <v>9780773598867</v>
      </c>
      <c r="E6338" t="s">
        <v>12863</v>
      </c>
      <c r="F6338" t="s">
        <v>12863</v>
      </c>
      <c r="G6338" s="1">
        <v>42418</v>
      </c>
      <c r="J6338" t="s">
        <v>32083</v>
      </c>
      <c r="K6338" t="s">
        <v>1464</v>
      </c>
      <c r="L6338" t="s">
        <v>32084</v>
      </c>
      <c r="M6338">
        <v>843.54093561000002</v>
      </c>
      <c r="O6338" t="s">
        <v>26</v>
      </c>
      <c r="P6338">
        <v>165</v>
      </c>
      <c r="Q6338">
        <v>137.5</v>
      </c>
      <c r="R6338">
        <v>110</v>
      </c>
      <c r="S6338">
        <v>165</v>
      </c>
      <c r="T6338" t="s">
        <v>32085</v>
      </c>
    </row>
    <row r="6339" spans="1:20">
      <c r="A6339">
        <v>4505409</v>
      </c>
      <c r="B6339" t="s">
        <v>32086</v>
      </c>
      <c r="C6339" t="str">
        <f>"9780991761043"</f>
        <v>9780991761043</v>
      </c>
      <c r="D6339" t="str">
        <f>"9781988168043"</f>
        <v>9781988168043</v>
      </c>
      <c r="E6339" t="s">
        <v>32087</v>
      </c>
      <c r="F6339" t="s">
        <v>32087</v>
      </c>
      <c r="G6339" s="1">
        <v>41852</v>
      </c>
      <c r="H6339">
        <v>1</v>
      </c>
      <c r="J6339" t="s">
        <v>32088</v>
      </c>
      <c r="K6339" t="s">
        <v>1464</v>
      </c>
      <c r="L6339" t="s">
        <v>32089</v>
      </c>
      <c r="M6339">
        <v>813.6</v>
      </c>
      <c r="O6339" t="s">
        <v>26</v>
      </c>
      <c r="P6339">
        <v>13.49</v>
      </c>
      <c r="Q6339">
        <v>11.69</v>
      </c>
      <c r="R6339">
        <v>8.99</v>
      </c>
      <c r="S6339">
        <v>13.49</v>
      </c>
      <c r="T6339" t="s">
        <v>32090</v>
      </c>
    </row>
    <row r="6340" spans="1:20">
      <c r="A6340">
        <v>4512152</v>
      </c>
      <c r="B6340" t="s">
        <v>32091</v>
      </c>
      <c r="C6340" t="str">
        <f>"9781553392040"</f>
        <v>9781553392040</v>
      </c>
      <c r="D6340" t="str">
        <f>"9781553392064"</f>
        <v>9781553392064</v>
      </c>
      <c r="E6340" t="s">
        <v>12863</v>
      </c>
      <c r="F6340" t="s">
        <v>21530</v>
      </c>
      <c r="G6340" s="1">
        <v>41640</v>
      </c>
      <c r="I6340" t="s">
        <v>21531</v>
      </c>
      <c r="J6340" t="s">
        <v>32092</v>
      </c>
      <c r="K6340" t="s">
        <v>467</v>
      </c>
      <c r="L6340" t="s">
        <v>32093</v>
      </c>
      <c r="M6340">
        <v>320.60971000000001</v>
      </c>
      <c r="N6340" t="s">
        <v>32094</v>
      </c>
      <c r="O6340" t="s">
        <v>26</v>
      </c>
      <c r="P6340">
        <v>165</v>
      </c>
      <c r="Q6340">
        <v>137.5</v>
      </c>
      <c r="R6340">
        <v>110</v>
      </c>
      <c r="S6340">
        <v>165</v>
      </c>
      <c r="T6340" t="s">
        <v>32095</v>
      </c>
    </row>
    <row r="6341" spans="1:20">
      <c r="A6341">
        <v>4512153</v>
      </c>
      <c r="B6341" t="s">
        <v>32096</v>
      </c>
      <c r="C6341" t="str">
        <f>"9781553392071"</f>
        <v>9781553392071</v>
      </c>
      <c r="D6341" t="str">
        <f>"9781553392095"</f>
        <v>9781553392095</v>
      </c>
      <c r="E6341" t="s">
        <v>12863</v>
      </c>
      <c r="F6341" t="s">
        <v>21530</v>
      </c>
      <c r="G6341" s="1">
        <v>42005</v>
      </c>
      <c r="I6341" t="s">
        <v>21531</v>
      </c>
      <c r="J6341" t="s">
        <v>32097</v>
      </c>
      <c r="K6341" t="s">
        <v>330</v>
      </c>
      <c r="M6341">
        <v>363.73874097100003</v>
      </c>
      <c r="O6341" t="s">
        <v>26</v>
      </c>
      <c r="P6341">
        <v>165</v>
      </c>
      <c r="Q6341">
        <v>137.5</v>
      </c>
      <c r="R6341">
        <v>110</v>
      </c>
      <c r="S6341">
        <v>165</v>
      </c>
      <c r="T6341" t="s">
        <v>32098</v>
      </c>
    </row>
    <row r="6342" spans="1:20">
      <c r="A6342">
        <v>4512158</v>
      </c>
      <c r="B6342" t="s">
        <v>32099</v>
      </c>
      <c r="C6342" t="str">
        <f>"9781553393320"</f>
        <v>9781553393320</v>
      </c>
      <c r="D6342" t="str">
        <f>"9781553393412"</f>
        <v>9781553393412</v>
      </c>
      <c r="E6342" t="s">
        <v>12863</v>
      </c>
      <c r="F6342" t="s">
        <v>21530</v>
      </c>
      <c r="G6342" s="1">
        <v>41518</v>
      </c>
      <c r="J6342" t="s">
        <v>32100</v>
      </c>
      <c r="K6342" t="s">
        <v>257</v>
      </c>
      <c r="M6342">
        <v>378.1</v>
      </c>
      <c r="O6342" t="s">
        <v>26</v>
      </c>
      <c r="P6342">
        <v>165</v>
      </c>
      <c r="Q6342">
        <v>137.5</v>
      </c>
      <c r="R6342">
        <v>110</v>
      </c>
      <c r="S6342">
        <v>165</v>
      </c>
      <c r="T6342" t="s">
        <v>32101</v>
      </c>
    </row>
    <row r="6343" spans="1:20">
      <c r="A6343">
        <v>4512160</v>
      </c>
      <c r="B6343" t="s">
        <v>32102</v>
      </c>
      <c r="C6343" t="str">
        <f>"9781553394228"</f>
        <v>9781553394228</v>
      </c>
      <c r="D6343" t="str">
        <f>"9781553394242"</f>
        <v>9781553394242</v>
      </c>
      <c r="E6343" t="s">
        <v>12863</v>
      </c>
      <c r="F6343" t="s">
        <v>21530</v>
      </c>
      <c r="G6343" s="1">
        <v>41712</v>
      </c>
      <c r="I6343" t="s">
        <v>21531</v>
      </c>
      <c r="J6343" t="s">
        <v>32103</v>
      </c>
      <c r="K6343" t="s">
        <v>6444</v>
      </c>
      <c r="L6343" t="s">
        <v>19085</v>
      </c>
      <c r="M6343">
        <v>320.60971000000001</v>
      </c>
      <c r="O6343" t="s">
        <v>26</v>
      </c>
      <c r="P6343">
        <v>165</v>
      </c>
      <c r="Q6343">
        <v>137.5</v>
      </c>
      <c r="R6343">
        <v>110</v>
      </c>
      <c r="S6343">
        <v>165</v>
      </c>
      <c r="T6343" t="s">
        <v>32104</v>
      </c>
    </row>
    <row r="6344" spans="1:20">
      <c r="A6344">
        <v>4512165</v>
      </c>
      <c r="B6344" t="s">
        <v>32105</v>
      </c>
      <c r="C6344" t="str">
        <f>"9781553392033"</f>
        <v>9781553392033</v>
      </c>
      <c r="D6344" t="str">
        <f>"9781553394518"</f>
        <v>9781553394518</v>
      </c>
      <c r="E6344" t="s">
        <v>12863</v>
      </c>
      <c r="F6344" t="s">
        <v>21530</v>
      </c>
      <c r="G6344" s="1">
        <v>41425</v>
      </c>
      <c r="I6344" t="s">
        <v>21530</v>
      </c>
      <c r="J6344" t="s">
        <v>32097</v>
      </c>
      <c r="K6344" t="s">
        <v>525</v>
      </c>
      <c r="L6344" t="s">
        <v>32106</v>
      </c>
      <c r="M6344">
        <v>347.71030000000002</v>
      </c>
      <c r="N6344" t="s">
        <v>32107</v>
      </c>
      <c r="O6344" t="s">
        <v>26</v>
      </c>
      <c r="P6344">
        <v>165</v>
      </c>
      <c r="Q6344">
        <v>137.5</v>
      </c>
      <c r="R6344">
        <v>110</v>
      </c>
      <c r="S6344">
        <v>165</v>
      </c>
      <c r="T6344" t="s">
        <v>32108</v>
      </c>
    </row>
    <row r="6345" spans="1:20">
      <c r="A6345">
        <v>4512166</v>
      </c>
      <c r="B6345" t="s">
        <v>32109</v>
      </c>
      <c r="C6345" t="str">
        <f>"9781553394426"</f>
        <v>9781553394426</v>
      </c>
      <c r="D6345" t="str">
        <f>"9781553395065"</f>
        <v>9781553395065</v>
      </c>
      <c r="E6345" t="s">
        <v>12863</v>
      </c>
      <c r="F6345" t="s">
        <v>21530</v>
      </c>
      <c r="G6345" s="1">
        <v>42278</v>
      </c>
      <c r="J6345" t="s">
        <v>32110</v>
      </c>
      <c r="K6345" t="s">
        <v>525</v>
      </c>
      <c r="L6345" t="s">
        <v>32111</v>
      </c>
      <c r="O6345" t="s">
        <v>26</v>
      </c>
      <c r="P6345">
        <v>165</v>
      </c>
      <c r="Q6345">
        <v>137.5</v>
      </c>
      <c r="R6345">
        <v>110</v>
      </c>
      <c r="S6345">
        <v>165</v>
      </c>
      <c r="T6345" t="s">
        <v>32112</v>
      </c>
    </row>
    <row r="6346" spans="1:20">
      <c r="A6346">
        <v>4512170</v>
      </c>
      <c r="B6346" t="s">
        <v>32113</v>
      </c>
      <c r="C6346" t="str">
        <f>"9781553393177"</f>
        <v>9781553393177</v>
      </c>
      <c r="D6346" t="str">
        <f>"9781553395133"</f>
        <v>9781553395133</v>
      </c>
      <c r="E6346" t="s">
        <v>12863</v>
      </c>
      <c r="F6346" t="s">
        <v>21530</v>
      </c>
      <c r="G6346" s="1">
        <v>41046</v>
      </c>
      <c r="I6346" t="s">
        <v>21530</v>
      </c>
      <c r="J6346" t="s">
        <v>32114</v>
      </c>
      <c r="K6346" t="s">
        <v>568</v>
      </c>
      <c r="L6346" t="s">
        <v>32115</v>
      </c>
      <c r="M6346">
        <v>304.8</v>
      </c>
      <c r="N6346" t="s">
        <v>32116</v>
      </c>
      <c r="O6346" t="s">
        <v>26</v>
      </c>
      <c r="P6346">
        <v>165</v>
      </c>
      <c r="Q6346">
        <v>137.5</v>
      </c>
      <c r="R6346">
        <v>110</v>
      </c>
      <c r="S6346">
        <v>165</v>
      </c>
      <c r="T6346" t="s">
        <v>32117</v>
      </c>
    </row>
    <row r="6347" spans="1:20">
      <c r="A6347">
        <v>4512172</v>
      </c>
      <c r="B6347" t="s">
        <v>32118</v>
      </c>
      <c r="C6347" t="str">
        <f>"9781553393184"</f>
        <v>9781553393184</v>
      </c>
      <c r="D6347" t="str">
        <f>"9781553395157"</f>
        <v>9781553395157</v>
      </c>
      <c r="E6347" t="s">
        <v>12863</v>
      </c>
      <c r="F6347" t="s">
        <v>21530</v>
      </c>
      <c r="G6347" s="1">
        <v>40948</v>
      </c>
      <c r="I6347" t="s">
        <v>21530</v>
      </c>
      <c r="J6347" t="s">
        <v>32119</v>
      </c>
      <c r="K6347" t="s">
        <v>1082</v>
      </c>
      <c r="L6347" t="s">
        <v>32120</v>
      </c>
      <c r="M6347">
        <v>362.10971000000001</v>
      </c>
      <c r="O6347" t="s">
        <v>26</v>
      </c>
      <c r="P6347">
        <v>165</v>
      </c>
      <c r="Q6347">
        <v>137.5</v>
      </c>
      <c r="R6347">
        <v>110</v>
      </c>
      <c r="S6347">
        <v>165</v>
      </c>
      <c r="T6347" t="s">
        <v>32121</v>
      </c>
    </row>
    <row r="6348" spans="1:20">
      <c r="A6348">
        <v>4512173</v>
      </c>
      <c r="B6348" t="s">
        <v>32122</v>
      </c>
      <c r="C6348" t="str">
        <f>"9781553393306"</f>
        <v>9781553393306</v>
      </c>
      <c r="D6348" t="str">
        <f>"9781553393351"</f>
        <v>9781553393351</v>
      </c>
      <c r="E6348" t="s">
        <v>12863</v>
      </c>
      <c r="F6348" t="s">
        <v>21530</v>
      </c>
      <c r="G6348" s="1">
        <v>41365</v>
      </c>
      <c r="I6348" t="s">
        <v>21531</v>
      </c>
      <c r="J6348" t="s">
        <v>32123</v>
      </c>
      <c r="K6348" t="s">
        <v>1180</v>
      </c>
      <c r="L6348" t="s">
        <v>32124</v>
      </c>
      <c r="M6348">
        <v>333.7</v>
      </c>
      <c r="O6348" t="s">
        <v>26</v>
      </c>
      <c r="P6348">
        <v>165</v>
      </c>
      <c r="Q6348">
        <v>137.5</v>
      </c>
      <c r="R6348">
        <v>110</v>
      </c>
      <c r="S6348">
        <v>165</v>
      </c>
      <c r="T6348" t="s">
        <v>32125</v>
      </c>
    </row>
    <row r="6349" spans="1:20">
      <c r="A6349">
        <v>4512175</v>
      </c>
      <c r="B6349" t="s">
        <v>32126</v>
      </c>
      <c r="C6349" t="str">
        <f>"9781553393276"</f>
        <v>9781553393276</v>
      </c>
      <c r="D6349" t="str">
        <f>"9781553395089"</f>
        <v>9781553395089</v>
      </c>
      <c r="E6349" t="s">
        <v>12863</v>
      </c>
      <c r="F6349" t="s">
        <v>21530</v>
      </c>
      <c r="G6349" s="1">
        <v>41753</v>
      </c>
      <c r="I6349" t="s">
        <v>21530</v>
      </c>
      <c r="J6349" t="s">
        <v>32127</v>
      </c>
      <c r="K6349" t="s">
        <v>416</v>
      </c>
      <c r="L6349" t="s">
        <v>32128</v>
      </c>
      <c r="M6349">
        <v>338.9</v>
      </c>
      <c r="O6349" t="s">
        <v>26</v>
      </c>
      <c r="P6349">
        <v>165</v>
      </c>
      <c r="Q6349">
        <v>137.5</v>
      </c>
      <c r="R6349">
        <v>110</v>
      </c>
      <c r="S6349">
        <v>165</v>
      </c>
      <c r="T6349" t="s">
        <v>32129</v>
      </c>
    </row>
    <row r="6350" spans="1:20">
      <c r="A6350">
        <v>4512178</v>
      </c>
      <c r="B6350" t="s">
        <v>32130</v>
      </c>
      <c r="C6350" t="str">
        <f>"9781553393313"</f>
        <v>9781553393313</v>
      </c>
      <c r="D6350" t="str">
        <f>"9781553393375"</f>
        <v>9781553393375</v>
      </c>
      <c r="E6350" t="s">
        <v>12863</v>
      </c>
      <c r="F6350" t="s">
        <v>21530</v>
      </c>
      <c r="G6350" s="1">
        <v>41639</v>
      </c>
      <c r="I6350" t="s">
        <v>21530</v>
      </c>
      <c r="J6350" t="s">
        <v>32131</v>
      </c>
      <c r="K6350" t="s">
        <v>18126</v>
      </c>
      <c r="L6350" t="s">
        <v>32132</v>
      </c>
      <c r="M6350">
        <v>610.73</v>
      </c>
      <c r="O6350" t="s">
        <v>26</v>
      </c>
      <c r="P6350">
        <v>165</v>
      </c>
      <c r="Q6350">
        <v>137.5</v>
      </c>
      <c r="R6350">
        <v>110</v>
      </c>
      <c r="S6350">
        <v>165</v>
      </c>
      <c r="T6350" t="s">
        <v>32133</v>
      </c>
    </row>
    <row r="6351" spans="1:20">
      <c r="A6351">
        <v>4513220</v>
      </c>
      <c r="B6351" t="s">
        <v>32134</v>
      </c>
      <c r="C6351" t="str">
        <f>"9781553392101"</f>
        <v>9781553392101</v>
      </c>
      <c r="D6351" t="str">
        <f>"9781553392118"</f>
        <v>9781553392118</v>
      </c>
      <c r="E6351" t="s">
        <v>12863</v>
      </c>
      <c r="F6351" t="s">
        <v>21530</v>
      </c>
      <c r="G6351" s="1">
        <v>42188</v>
      </c>
      <c r="I6351" t="s">
        <v>21531</v>
      </c>
      <c r="J6351" t="s">
        <v>32135</v>
      </c>
      <c r="K6351" t="s">
        <v>330</v>
      </c>
      <c r="M6351">
        <v>363.73874097100003</v>
      </c>
      <c r="O6351" t="s">
        <v>26</v>
      </c>
      <c r="P6351">
        <v>165</v>
      </c>
      <c r="Q6351">
        <v>137.5</v>
      </c>
      <c r="R6351">
        <v>110</v>
      </c>
      <c r="S6351">
        <v>165</v>
      </c>
      <c r="T6351" t="s">
        <v>32136</v>
      </c>
    </row>
    <row r="6352" spans="1:20">
      <c r="A6352">
        <v>4513225</v>
      </c>
      <c r="B6352" t="s">
        <v>32137</v>
      </c>
      <c r="C6352" t="str">
        <f>"9781553393337"</f>
        <v>9781553393337</v>
      </c>
      <c r="D6352" t="str">
        <f>"9781553393344"</f>
        <v>9781553393344</v>
      </c>
      <c r="E6352" t="s">
        <v>12863</v>
      </c>
      <c r="F6352" t="s">
        <v>21530</v>
      </c>
      <c r="G6352" s="1">
        <v>41640</v>
      </c>
      <c r="H6352">
        <v>20160314</v>
      </c>
      <c r="I6352" t="s">
        <v>21531</v>
      </c>
      <c r="J6352" t="s">
        <v>32138</v>
      </c>
      <c r="K6352" t="s">
        <v>257</v>
      </c>
      <c r="L6352" t="s">
        <v>13135</v>
      </c>
      <c r="M6352">
        <v>378.71300000000002</v>
      </c>
      <c r="O6352" t="s">
        <v>26</v>
      </c>
      <c r="P6352">
        <v>165</v>
      </c>
      <c r="Q6352">
        <v>137.5</v>
      </c>
      <c r="R6352">
        <v>110</v>
      </c>
      <c r="S6352">
        <v>165</v>
      </c>
      <c r="T6352" t="s">
        <v>32139</v>
      </c>
    </row>
    <row r="6353" spans="1:20">
      <c r="A6353">
        <v>4513246</v>
      </c>
      <c r="B6353" t="s">
        <v>32140</v>
      </c>
      <c r="C6353" t="str">
        <f>"9781553393245"</f>
        <v>9781553393245</v>
      </c>
      <c r="D6353" t="str">
        <f>"9781553393382"</f>
        <v>9781553393382</v>
      </c>
      <c r="E6353" t="s">
        <v>12863</v>
      </c>
      <c r="F6353" t="s">
        <v>21530</v>
      </c>
      <c r="G6353" s="1">
        <v>41571</v>
      </c>
      <c r="J6353" t="s">
        <v>32141</v>
      </c>
      <c r="K6353" t="s">
        <v>1082</v>
      </c>
      <c r="L6353" t="s">
        <v>16440</v>
      </c>
      <c r="M6353">
        <v>362.10971000000001</v>
      </c>
      <c r="O6353" t="s">
        <v>26</v>
      </c>
      <c r="P6353">
        <v>165</v>
      </c>
      <c r="Q6353">
        <v>137.5</v>
      </c>
      <c r="R6353">
        <v>110</v>
      </c>
      <c r="S6353">
        <v>165</v>
      </c>
      <c r="T6353" t="s">
        <v>32142</v>
      </c>
    </row>
    <row r="6354" spans="1:20">
      <c r="A6354">
        <v>4513254</v>
      </c>
      <c r="B6354" t="s">
        <v>32143</v>
      </c>
      <c r="C6354" t="str">
        <f>"9781553394297"</f>
        <v>9781553394297</v>
      </c>
      <c r="D6354" t="str">
        <f>"9781553394303"</f>
        <v>9781553394303</v>
      </c>
      <c r="E6354" t="s">
        <v>12863</v>
      </c>
      <c r="F6354" t="s">
        <v>21530</v>
      </c>
      <c r="G6354" s="1">
        <v>42278</v>
      </c>
      <c r="I6354" t="s">
        <v>21531</v>
      </c>
      <c r="J6354" t="s">
        <v>32144</v>
      </c>
      <c r="K6354" t="s">
        <v>467</v>
      </c>
      <c r="L6354" t="s">
        <v>32145</v>
      </c>
      <c r="M6354">
        <v>320.60971000000001</v>
      </c>
      <c r="O6354" t="s">
        <v>26</v>
      </c>
      <c r="P6354">
        <v>165</v>
      </c>
      <c r="Q6354">
        <v>137.5</v>
      </c>
      <c r="R6354">
        <v>110</v>
      </c>
      <c r="S6354">
        <v>165</v>
      </c>
      <c r="T6354" t="s">
        <v>32146</v>
      </c>
    </row>
    <row r="6355" spans="1:20">
      <c r="A6355">
        <v>4513262</v>
      </c>
      <c r="B6355" t="s">
        <v>32147</v>
      </c>
      <c r="C6355" t="str">
        <f>"9781553394433"</f>
        <v>9781553394433</v>
      </c>
      <c r="D6355" t="str">
        <f>"9781553394440"</f>
        <v>9781553394440</v>
      </c>
      <c r="E6355" t="s">
        <v>12863</v>
      </c>
      <c r="F6355" t="s">
        <v>21530</v>
      </c>
      <c r="G6355" s="1">
        <v>42217</v>
      </c>
      <c r="I6355" t="s">
        <v>21531</v>
      </c>
      <c r="J6355" t="s">
        <v>32148</v>
      </c>
      <c r="K6355" t="s">
        <v>6444</v>
      </c>
      <c r="L6355" t="s">
        <v>20440</v>
      </c>
      <c r="M6355">
        <v>327.71</v>
      </c>
      <c r="O6355" t="s">
        <v>26</v>
      </c>
      <c r="P6355">
        <v>165</v>
      </c>
      <c r="Q6355">
        <v>137.5</v>
      </c>
      <c r="R6355">
        <v>110</v>
      </c>
      <c r="S6355">
        <v>165</v>
      </c>
      <c r="T6355" t="s">
        <v>32149</v>
      </c>
    </row>
    <row r="6356" spans="1:20">
      <c r="A6356">
        <v>4513290</v>
      </c>
      <c r="B6356" t="s">
        <v>32150</v>
      </c>
      <c r="C6356" t="str">
        <f>"9781553393252"</f>
        <v>9781553393252</v>
      </c>
      <c r="D6356" t="str">
        <f>"9781553395102"</f>
        <v>9781553395102</v>
      </c>
      <c r="E6356" t="s">
        <v>12863</v>
      </c>
      <c r="F6356" t="s">
        <v>21530</v>
      </c>
      <c r="G6356" s="1">
        <v>41335</v>
      </c>
      <c r="J6356" t="s">
        <v>32151</v>
      </c>
      <c r="K6356" t="s">
        <v>257</v>
      </c>
      <c r="M6356">
        <v>378.00720000000001</v>
      </c>
      <c r="O6356" t="s">
        <v>26</v>
      </c>
      <c r="P6356">
        <v>165</v>
      </c>
      <c r="Q6356">
        <v>137.5</v>
      </c>
      <c r="R6356">
        <v>110</v>
      </c>
      <c r="S6356">
        <v>165</v>
      </c>
      <c r="T6356" t="s">
        <v>32152</v>
      </c>
    </row>
    <row r="6357" spans="1:20">
      <c r="A6357">
        <v>4514030</v>
      </c>
      <c r="B6357" t="s">
        <v>32153</v>
      </c>
      <c r="C6357" t="str">
        <f>"9781616893521"</f>
        <v>9781616893521</v>
      </c>
      <c r="D6357" t="str">
        <f>"9781616894603"</f>
        <v>9781616894603</v>
      </c>
      <c r="E6357" t="s">
        <v>32154</v>
      </c>
      <c r="F6357" t="s">
        <v>32154</v>
      </c>
      <c r="G6357" s="1">
        <v>42164</v>
      </c>
      <c r="J6357" t="s">
        <v>32155</v>
      </c>
      <c r="K6357" t="s">
        <v>7063</v>
      </c>
      <c r="L6357" t="s">
        <v>32156</v>
      </c>
      <c r="M6357">
        <v>327.7</v>
      </c>
      <c r="O6357" t="s">
        <v>26</v>
      </c>
      <c r="Q6357">
        <v>18.690000000000001</v>
      </c>
      <c r="R6357">
        <v>14.95</v>
      </c>
      <c r="S6357">
        <v>22.43</v>
      </c>
      <c r="T6357" t="s">
        <v>32157</v>
      </c>
    </row>
    <row r="6358" spans="1:20">
      <c r="A6358">
        <v>4516886</v>
      </c>
      <c r="B6358" t="s">
        <v>32158</v>
      </c>
      <c r="C6358" t="str">
        <f>"9780783710402"</f>
        <v>9780783710402</v>
      </c>
      <c r="D6358" t="str">
        <f>"9780773592285"</f>
        <v>9780773592285</v>
      </c>
      <c r="E6358" t="s">
        <v>12863</v>
      </c>
      <c r="F6358" t="s">
        <v>12863</v>
      </c>
      <c r="G6358" s="1">
        <v>26665</v>
      </c>
      <c r="J6358" t="s">
        <v>32159</v>
      </c>
      <c r="O6358" t="s">
        <v>26</v>
      </c>
      <c r="P6358">
        <v>112.5</v>
      </c>
      <c r="Q6358">
        <v>93.75</v>
      </c>
      <c r="R6358">
        <v>75</v>
      </c>
      <c r="S6358">
        <v>112.5</v>
      </c>
      <c r="T6358" t="s">
        <v>32160</v>
      </c>
    </row>
    <row r="6359" spans="1:20">
      <c r="A6359">
        <v>4516887</v>
      </c>
      <c r="B6359" t="s">
        <v>32161</v>
      </c>
      <c r="C6359" t="str">
        <f>"9780773501737"</f>
        <v>9780773501737</v>
      </c>
      <c r="D6359" t="str">
        <f>"9780773592308"</f>
        <v>9780773592308</v>
      </c>
      <c r="E6359" t="s">
        <v>12863</v>
      </c>
      <c r="F6359" t="s">
        <v>12863</v>
      </c>
      <c r="G6359" s="1">
        <v>26665</v>
      </c>
      <c r="J6359" t="s">
        <v>32162</v>
      </c>
      <c r="O6359" t="s">
        <v>26</v>
      </c>
      <c r="P6359">
        <v>112.5</v>
      </c>
      <c r="Q6359">
        <v>93.75</v>
      </c>
      <c r="R6359">
        <v>75</v>
      </c>
      <c r="S6359">
        <v>112.5</v>
      </c>
      <c r="T6359" t="s">
        <v>32163</v>
      </c>
    </row>
    <row r="6360" spans="1:20">
      <c r="A6360">
        <v>4516889</v>
      </c>
      <c r="B6360" t="s">
        <v>32164</v>
      </c>
      <c r="C6360" t="str">
        <f>"9780773502048"</f>
        <v>9780773502048</v>
      </c>
      <c r="D6360" t="str">
        <f>"9780773592315"</f>
        <v>9780773592315</v>
      </c>
      <c r="E6360" t="s">
        <v>12863</v>
      </c>
      <c r="F6360" t="s">
        <v>12863</v>
      </c>
      <c r="G6360" s="1">
        <v>27395</v>
      </c>
      <c r="J6360" t="s">
        <v>32165</v>
      </c>
      <c r="O6360" t="s">
        <v>26</v>
      </c>
      <c r="P6360">
        <v>112.5</v>
      </c>
      <c r="Q6360">
        <v>93.75</v>
      </c>
      <c r="R6360">
        <v>75</v>
      </c>
      <c r="S6360">
        <v>112.5</v>
      </c>
      <c r="T6360" t="s">
        <v>32166</v>
      </c>
    </row>
    <row r="6361" spans="1:20">
      <c r="A6361">
        <v>4516890</v>
      </c>
      <c r="B6361" t="s">
        <v>32167</v>
      </c>
      <c r="C6361" t="str">
        <f>"9780773501881"</f>
        <v>9780773501881</v>
      </c>
      <c r="D6361" t="str">
        <f>"9780773592322"</f>
        <v>9780773592322</v>
      </c>
      <c r="E6361" t="s">
        <v>12863</v>
      </c>
      <c r="F6361" t="s">
        <v>12863</v>
      </c>
      <c r="G6361" s="1">
        <v>27395</v>
      </c>
      <c r="J6361" t="s">
        <v>32168</v>
      </c>
      <c r="O6361" t="s">
        <v>26</v>
      </c>
      <c r="P6361">
        <v>112.5</v>
      </c>
      <c r="Q6361">
        <v>93.75</v>
      </c>
      <c r="R6361">
        <v>75</v>
      </c>
      <c r="S6361">
        <v>112.5</v>
      </c>
      <c r="T6361" t="s">
        <v>32169</v>
      </c>
    </row>
    <row r="6362" spans="1:20">
      <c r="A6362">
        <v>4516893</v>
      </c>
      <c r="B6362" t="s">
        <v>32170</v>
      </c>
      <c r="C6362" t="str">
        <f>"9780773501836"</f>
        <v>9780773501836</v>
      </c>
      <c r="D6362" t="str">
        <f>"9780773592346"</f>
        <v>9780773592346</v>
      </c>
      <c r="E6362" t="s">
        <v>12863</v>
      </c>
      <c r="F6362" t="s">
        <v>12863</v>
      </c>
      <c r="G6362" s="1">
        <v>27030</v>
      </c>
      <c r="J6362" t="s">
        <v>24162</v>
      </c>
      <c r="O6362" t="s">
        <v>26</v>
      </c>
      <c r="P6362">
        <v>112.5</v>
      </c>
      <c r="Q6362">
        <v>93.75</v>
      </c>
      <c r="R6362">
        <v>75</v>
      </c>
      <c r="S6362">
        <v>112.5</v>
      </c>
      <c r="T6362" t="s">
        <v>32171</v>
      </c>
    </row>
    <row r="6363" spans="1:20">
      <c r="A6363">
        <v>4516894</v>
      </c>
      <c r="B6363" t="s">
        <v>32172</v>
      </c>
      <c r="C6363" t="str">
        <f>"9780773503090"</f>
        <v>9780773503090</v>
      </c>
      <c r="D6363" t="str">
        <f>"9780773592353"</f>
        <v>9780773592353</v>
      </c>
      <c r="E6363" t="s">
        <v>12863</v>
      </c>
      <c r="F6363" t="s">
        <v>12863</v>
      </c>
      <c r="G6363" s="1">
        <v>28126</v>
      </c>
      <c r="J6363" t="s">
        <v>32173</v>
      </c>
      <c r="O6363" t="s">
        <v>26</v>
      </c>
      <c r="P6363">
        <v>112.5</v>
      </c>
      <c r="Q6363">
        <v>93.75</v>
      </c>
      <c r="R6363">
        <v>75</v>
      </c>
      <c r="S6363">
        <v>112.5</v>
      </c>
      <c r="T6363" t="s">
        <v>32174</v>
      </c>
    </row>
    <row r="6364" spans="1:20">
      <c r="A6364">
        <v>4516895</v>
      </c>
      <c r="B6364" t="s">
        <v>32175</v>
      </c>
      <c r="C6364" t="str">
        <f>"9780773502666"</f>
        <v>9780773502666</v>
      </c>
      <c r="D6364" t="str">
        <f>"9780773592360"</f>
        <v>9780773592360</v>
      </c>
      <c r="E6364" t="s">
        <v>12863</v>
      </c>
      <c r="F6364" t="s">
        <v>12863</v>
      </c>
      <c r="G6364" s="1">
        <v>27760</v>
      </c>
      <c r="I6364" t="s">
        <v>32176</v>
      </c>
      <c r="J6364" t="s">
        <v>32177</v>
      </c>
      <c r="O6364" t="s">
        <v>26</v>
      </c>
      <c r="P6364">
        <v>112.5</v>
      </c>
      <c r="Q6364">
        <v>93.75</v>
      </c>
      <c r="R6364">
        <v>75</v>
      </c>
      <c r="S6364">
        <v>112.5</v>
      </c>
      <c r="T6364" t="s">
        <v>32178</v>
      </c>
    </row>
    <row r="6365" spans="1:20">
      <c r="A6365">
        <v>4516896</v>
      </c>
      <c r="B6365" t="s">
        <v>32179</v>
      </c>
      <c r="C6365" t="str">
        <f>"9780773502734"</f>
        <v>9780773502734</v>
      </c>
      <c r="D6365" t="str">
        <f>"9780773592377"</f>
        <v>9780773592377</v>
      </c>
      <c r="E6365" t="s">
        <v>12863</v>
      </c>
      <c r="F6365" t="s">
        <v>12863</v>
      </c>
      <c r="G6365" s="1">
        <v>28126</v>
      </c>
      <c r="J6365" t="s">
        <v>32180</v>
      </c>
      <c r="O6365" t="s">
        <v>26</v>
      </c>
      <c r="P6365">
        <v>112.5</v>
      </c>
      <c r="Q6365">
        <v>93.75</v>
      </c>
      <c r="R6365">
        <v>75</v>
      </c>
      <c r="S6365">
        <v>112.5</v>
      </c>
      <c r="T6365" t="s">
        <v>32181</v>
      </c>
    </row>
    <row r="6366" spans="1:20">
      <c r="A6366">
        <v>4516897</v>
      </c>
      <c r="B6366" t="s">
        <v>32182</v>
      </c>
      <c r="C6366" t="str">
        <f>"9780773500501"</f>
        <v>9780773500501</v>
      </c>
      <c r="D6366" t="str">
        <f>"9780773592384"</f>
        <v>9780773592384</v>
      </c>
      <c r="E6366" t="s">
        <v>12863</v>
      </c>
      <c r="F6366" t="s">
        <v>12863</v>
      </c>
      <c r="G6366" s="1">
        <v>24473</v>
      </c>
      <c r="I6366" t="s">
        <v>32183</v>
      </c>
      <c r="J6366" t="s">
        <v>32184</v>
      </c>
      <c r="O6366" t="s">
        <v>26</v>
      </c>
      <c r="P6366">
        <v>112.5</v>
      </c>
      <c r="Q6366">
        <v>93.75</v>
      </c>
      <c r="R6366">
        <v>75</v>
      </c>
      <c r="S6366">
        <v>112.5</v>
      </c>
      <c r="T6366" t="s">
        <v>32185</v>
      </c>
    </row>
    <row r="6367" spans="1:20">
      <c r="A6367">
        <v>4516898</v>
      </c>
      <c r="B6367" t="s">
        <v>32186</v>
      </c>
      <c r="C6367" t="str">
        <f>"9780773503403"</f>
        <v>9780773503403</v>
      </c>
      <c r="D6367" t="str">
        <f>"9780773592391"</f>
        <v>9780773592391</v>
      </c>
      <c r="E6367" t="s">
        <v>12863</v>
      </c>
      <c r="F6367" t="s">
        <v>12863</v>
      </c>
      <c r="G6367" s="1">
        <v>28856</v>
      </c>
      <c r="J6367" t="s">
        <v>32187</v>
      </c>
      <c r="O6367" t="s">
        <v>26</v>
      </c>
      <c r="P6367">
        <v>112.5</v>
      </c>
      <c r="Q6367">
        <v>93.75</v>
      </c>
      <c r="R6367">
        <v>75</v>
      </c>
      <c r="S6367">
        <v>112.5</v>
      </c>
      <c r="T6367" t="s">
        <v>32188</v>
      </c>
    </row>
    <row r="6368" spans="1:20">
      <c r="A6368">
        <v>4516900</v>
      </c>
      <c r="B6368" t="s">
        <v>32189</v>
      </c>
      <c r="C6368" t="str">
        <f>"9780773502307"</f>
        <v>9780773502307</v>
      </c>
      <c r="D6368" t="str">
        <f>"9780773592407"</f>
        <v>9780773592407</v>
      </c>
      <c r="E6368" t="s">
        <v>12863</v>
      </c>
      <c r="F6368" t="s">
        <v>12863</v>
      </c>
      <c r="G6368" s="1">
        <v>27395</v>
      </c>
      <c r="J6368" t="s">
        <v>32190</v>
      </c>
      <c r="O6368" t="s">
        <v>26</v>
      </c>
      <c r="P6368">
        <v>112.5</v>
      </c>
      <c r="Q6368">
        <v>93.75</v>
      </c>
      <c r="R6368">
        <v>75</v>
      </c>
      <c r="S6368">
        <v>112.5</v>
      </c>
      <c r="T6368" t="s">
        <v>32191</v>
      </c>
    </row>
    <row r="6369" spans="1:20">
      <c r="A6369">
        <v>4516901</v>
      </c>
      <c r="B6369" t="s">
        <v>32192</v>
      </c>
      <c r="C6369" t="str">
        <f>"9780773500716"</f>
        <v>9780773500716</v>
      </c>
      <c r="D6369" t="str">
        <f>"9780773592414"</f>
        <v>9780773592414</v>
      </c>
      <c r="E6369" t="s">
        <v>12863</v>
      </c>
      <c r="F6369" t="s">
        <v>12863</v>
      </c>
      <c r="G6369" s="1">
        <v>26665</v>
      </c>
      <c r="J6369" t="s">
        <v>32193</v>
      </c>
      <c r="O6369" t="s">
        <v>26</v>
      </c>
      <c r="P6369">
        <v>112.5</v>
      </c>
      <c r="Q6369">
        <v>93.75</v>
      </c>
      <c r="R6369">
        <v>75</v>
      </c>
      <c r="S6369">
        <v>112.5</v>
      </c>
      <c r="T6369" t="s">
        <v>32194</v>
      </c>
    </row>
    <row r="6370" spans="1:20">
      <c r="A6370">
        <v>4516902</v>
      </c>
      <c r="B6370" t="s">
        <v>32195</v>
      </c>
      <c r="C6370" t="str">
        <f>"9780773501744"</f>
        <v>9780773501744</v>
      </c>
      <c r="D6370" t="str">
        <f>"9780773592421"</f>
        <v>9780773592421</v>
      </c>
      <c r="E6370" t="s">
        <v>12863</v>
      </c>
      <c r="F6370" t="s">
        <v>12863</v>
      </c>
      <c r="G6370" s="1">
        <v>26299</v>
      </c>
      <c r="J6370" t="s">
        <v>32196</v>
      </c>
      <c r="O6370" t="s">
        <v>26</v>
      </c>
      <c r="P6370">
        <v>112.5</v>
      </c>
      <c r="Q6370">
        <v>93.75</v>
      </c>
      <c r="R6370">
        <v>75</v>
      </c>
      <c r="S6370">
        <v>112.5</v>
      </c>
      <c r="T6370" t="s">
        <v>32197</v>
      </c>
    </row>
    <row r="6371" spans="1:20">
      <c r="A6371">
        <v>4516904</v>
      </c>
      <c r="B6371" t="s">
        <v>32198</v>
      </c>
      <c r="C6371" t="str">
        <f>"9780773501652"</f>
        <v>9780773501652</v>
      </c>
      <c r="D6371" t="str">
        <f>"9780773592438"</f>
        <v>9780773592438</v>
      </c>
      <c r="E6371" t="s">
        <v>12863</v>
      </c>
      <c r="F6371" t="s">
        <v>12863</v>
      </c>
      <c r="G6371" s="1">
        <v>26665</v>
      </c>
      <c r="J6371" t="s">
        <v>32199</v>
      </c>
      <c r="O6371" t="s">
        <v>26</v>
      </c>
      <c r="P6371">
        <v>112.5</v>
      </c>
      <c r="Q6371">
        <v>93.75</v>
      </c>
      <c r="R6371">
        <v>75</v>
      </c>
      <c r="S6371">
        <v>112.5</v>
      </c>
      <c r="T6371" t="s">
        <v>32200</v>
      </c>
    </row>
    <row r="6372" spans="1:20">
      <c r="A6372">
        <v>4516905</v>
      </c>
      <c r="B6372" t="s">
        <v>32201</v>
      </c>
      <c r="C6372" t="str">
        <f>"9780773505155"</f>
        <v>9780773505155</v>
      </c>
      <c r="D6372" t="str">
        <f>"9780773592445"</f>
        <v>9780773592445</v>
      </c>
      <c r="E6372" t="s">
        <v>12863</v>
      </c>
      <c r="F6372" t="s">
        <v>12863</v>
      </c>
      <c r="G6372" s="1">
        <v>29221</v>
      </c>
      <c r="J6372" t="s">
        <v>32202</v>
      </c>
      <c r="O6372" t="s">
        <v>26</v>
      </c>
      <c r="P6372">
        <v>112.5</v>
      </c>
      <c r="Q6372">
        <v>93.75</v>
      </c>
      <c r="R6372">
        <v>75</v>
      </c>
      <c r="S6372">
        <v>112.5</v>
      </c>
      <c r="T6372" t="s">
        <v>32203</v>
      </c>
    </row>
    <row r="6373" spans="1:20">
      <c r="A6373">
        <v>4516907</v>
      </c>
      <c r="B6373" t="s">
        <v>32204</v>
      </c>
      <c r="C6373" t="str">
        <f>"9780773502956"</f>
        <v>9780773502956</v>
      </c>
      <c r="D6373" t="str">
        <f>"9780773592476"</f>
        <v>9780773592476</v>
      </c>
      <c r="E6373" t="s">
        <v>12863</v>
      </c>
      <c r="F6373" t="s">
        <v>12863</v>
      </c>
      <c r="G6373" s="1">
        <v>28491</v>
      </c>
      <c r="J6373" t="s">
        <v>12074</v>
      </c>
      <c r="O6373" t="s">
        <v>26</v>
      </c>
      <c r="P6373">
        <v>112.5</v>
      </c>
      <c r="Q6373">
        <v>93.75</v>
      </c>
      <c r="R6373">
        <v>75</v>
      </c>
      <c r="S6373">
        <v>112.5</v>
      </c>
      <c r="T6373" t="s">
        <v>32205</v>
      </c>
    </row>
    <row r="6374" spans="1:20">
      <c r="A6374">
        <v>4516908</v>
      </c>
      <c r="B6374" t="s">
        <v>32206</v>
      </c>
      <c r="C6374" t="str">
        <f>"9780773501041"</f>
        <v>9780773501041</v>
      </c>
      <c r="D6374" t="str">
        <f>"9780773592483"</f>
        <v>9780773592483</v>
      </c>
      <c r="E6374" t="s">
        <v>12863</v>
      </c>
      <c r="F6374" t="s">
        <v>12863</v>
      </c>
      <c r="G6374" s="1">
        <v>25934</v>
      </c>
      <c r="J6374" t="s">
        <v>32207</v>
      </c>
      <c r="O6374" t="s">
        <v>26</v>
      </c>
      <c r="P6374">
        <v>112.5</v>
      </c>
      <c r="Q6374">
        <v>93.75</v>
      </c>
      <c r="R6374">
        <v>75</v>
      </c>
      <c r="S6374">
        <v>112.5</v>
      </c>
      <c r="T6374" t="s">
        <v>32208</v>
      </c>
    </row>
    <row r="6375" spans="1:20">
      <c r="A6375">
        <v>4516909</v>
      </c>
      <c r="B6375" t="s">
        <v>32209</v>
      </c>
      <c r="C6375" t="str">
        <f>"9780773501508"</f>
        <v>9780773501508</v>
      </c>
      <c r="D6375" t="str">
        <f>"9780773592513"</f>
        <v>9780773592513</v>
      </c>
      <c r="E6375" t="s">
        <v>12863</v>
      </c>
      <c r="F6375" t="s">
        <v>12863</v>
      </c>
      <c r="G6375" s="1">
        <v>26299</v>
      </c>
      <c r="I6375" t="s">
        <v>32183</v>
      </c>
      <c r="J6375" t="s">
        <v>32210</v>
      </c>
      <c r="O6375" t="s">
        <v>26</v>
      </c>
      <c r="P6375">
        <v>112.5</v>
      </c>
      <c r="Q6375">
        <v>93.75</v>
      </c>
      <c r="R6375">
        <v>75</v>
      </c>
      <c r="S6375">
        <v>112.5</v>
      </c>
      <c r="T6375" t="s">
        <v>32211</v>
      </c>
    </row>
    <row r="6376" spans="1:20">
      <c r="A6376">
        <v>4516910</v>
      </c>
      <c r="B6376" t="s">
        <v>32212</v>
      </c>
      <c r="C6376" t="str">
        <f>"9780773590748"</f>
        <v>9780773590748</v>
      </c>
      <c r="D6376" t="str">
        <f>"9780773592520"</f>
        <v>9780773592520</v>
      </c>
      <c r="E6376" t="s">
        <v>12863</v>
      </c>
      <c r="F6376" t="s">
        <v>12863</v>
      </c>
      <c r="G6376" s="1">
        <v>27030</v>
      </c>
      <c r="I6376" t="s">
        <v>32213</v>
      </c>
      <c r="J6376" t="s">
        <v>32214</v>
      </c>
      <c r="O6376" t="s">
        <v>26</v>
      </c>
      <c r="P6376">
        <v>112.5</v>
      </c>
      <c r="Q6376">
        <v>93.75</v>
      </c>
      <c r="R6376">
        <v>75</v>
      </c>
      <c r="S6376">
        <v>112.5</v>
      </c>
      <c r="T6376" t="s">
        <v>32215</v>
      </c>
    </row>
    <row r="6377" spans="1:20">
      <c r="A6377">
        <v>4516911</v>
      </c>
      <c r="B6377" t="s">
        <v>32216</v>
      </c>
      <c r="C6377" t="str">
        <f>"9780773505148"</f>
        <v>9780773505148</v>
      </c>
      <c r="D6377" t="str">
        <f>"9780773592544"</f>
        <v>9780773592544</v>
      </c>
      <c r="E6377" t="s">
        <v>12863</v>
      </c>
      <c r="F6377" t="s">
        <v>12863</v>
      </c>
      <c r="G6377" s="1">
        <v>29221</v>
      </c>
      <c r="J6377" t="s">
        <v>32217</v>
      </c>
      <c r="O6377" t="s">
        <v>26</v>
      </c>
      <c r="P6377">
        <v>112.5</v>
      </c>
      <c r="Q6377">
        <v>93.75</v>
      </c>
      <c r="R6377">
        <v>75</v>
      </c>
      <c r="S6377">
        <v>112.5</v>
      </c>
      <c r="T6377" t="s">
        <v>32218</v>
      </c>
    </row>
    <row r="6378" spans="1:20">
      <c r="A6378">
        <v>4516913</v>
      </c>
      <c r="B6378" t="s">
        <v>32219</v>
      </c>
      <c r="C6378" t="str">
        <f>"9780773500327"</f>
        <v>9780773500327</v>
      </c>
      <c r="D6378" t="str">
        <f>"9780773592551"</f>
        <v>9780773592551</v>
      </c>
      <c r="E6378" t="s">
        <v>12863</v>
      </c>
      <c r="F6378" t="s">
        <v>12863</v>
      </c>
      <c r="G6378" s="1">
        <v>24838</v>
      </c>
      <c r="J6378" t="s">
        <v>32220</v>
      </c>
      <c r="O6378" t="s">
        <v>26</v>
      </c>
      <c r="P6378">
        <v>112.5</v>
      </c>
      <c r="Q6378">
        <v>93.75</v>
      </c>
      <c r="R6378">
        <v>75</v>
      </c>
      <c r="S6378">
        <v>112.5</v>
      </c>
      <c r="T6378" t="s">
        <v>32221</v>
      </c>
    </row>
    <row r="6379" spans="1:20">
      <c r="A6379">
        <v>4516914</v>
      </c>
      <c r="B6379" t="s">
        <v>32222</v>
      </c>
      <c r="C6379" t="str">
        <f>"9780773500143"</f>
        <v>9780773500143</v>
      </c>
      <c r="D6379" t="str">
        <f>"9780773592568"</f>
        <v>9780773592568</v>
      </c>
      <c r="E6379" t="s">
        <v>12863</v>
      </c>
      <c r="F6379" t="s">
        <v>12863</v>
      </c>
      <c r="G6379" s="1">
        <v>23012</v>
      </c>
      <c r="I6379" t="s">
        <v>32183</v>
      </c>
      <c r="J6379" t="s">
        <v>32223</v>
      </c>
      <c r="O6379" t="s">
        <v>26</v>
      </c>
      <c r="P6379">
        <v>112.5</v>
      </c>
      <c r="Q6379">
        <v>93.75</v>
      </c>
      <c r="R6379">
        <v>75</v>
      </c>
      <c r="S6379">
        <v>112.5</v>
      </c>
      <c r="T6379" t="s">
        <v>32224</v>
      </c>
    </row>
    <row r="6380" spans="1:20">
      <c r="A6380">
        <v>4516915</v>
      </c>
      <c r="B6380" t="s">
        <v>32225</v>
      </c>
      <c r="C6380" t="str">
        <f>"9780773500761"</f>
        <v>9780773500761</v>
      </c>
      <c r="D6380" t="str">
        <f>"9780773592575"</f>
        <v>9780773592575</v>
      </c>
      <c r="E6380" t="s">
        <v>12863</v>
      </c>
      <c r="F6380" t="s">
        <v>12863</v>
      </c>
      <c r="G6380" s="1">
        <v>25569</v>
      </c>
      <c r="J6380" t="s">
        <v>32226</v>
      </c>
      <c r="O6380" t="s">
        <v>26</v>
      </c>
      <c r="P6380">
        <v>112.5</v>
      </c>
      <c r="Q6380">
        <v>93.75</v>
      </c>
      <c r="R6380">
        <v>75</v>
      </c>
      <c r="S6380">
        <v>112.5</v>
      </c>
      <c r="T6380" t="s">
        <v>32227</v>
      </c>
    </row>
    <row r="6381" spans="1:20">
      <c r="A6381">
        <v>4516916</v>
      </c>
      <c r="B6381" t="s">
        <v>32228</v>
      </c>
      <c r="C6381" t="str">
        <f>"9780773502550"</f>
        <v>9780773502550</v>
      </c>
      <c r="D6381" t="str">
        <f>"9780773592582"</f>
        <v>9780773592582</v>
      </c>
      <c r="E6381" t="s">
        <v>12863</v>
      </c>
      <c r="F6381" t="s">
        <v>12863</v>
      </c>
      <c r="G6381" s="1">
        <v>27760</v>
      </c>
      <c r="J6381" t="s">
        <v>32229</v>
      </c>
      <c r="O6381" t="s">
        <v>26</v>
      </c>
      <c r="P6381">
        <v>112.5</v>
      </c>
      <c r="Q6381">
        <v>93.75</v>
      </c>
      <c r="R6381">
        <v>75</v>
      </c>
      <c r="S6381">
        <v>112.5</v>
      </c>
      <c r="T6381" t="s">
        <v>32230</v>
      </c>
    </row>
    <row r="6382" spans="1:20">
      <c r="A6382">
        <v>4516917</v>
      </c>
      <c r="B6382" t="s">
        <v>32231</v>
      </c>
      <c r="C6382" t="str">
        <f>"9780773500167"</f>
        <v>9780773500167</v>
      </c>
      <c r="D6382" t="str">
        <f>"9780773592599"</f>
        <v>9780773592599</v>
      </c>
      <c r="E6382" t="s">
        <v>12863</v>
      </c>
      <c r="F6382" t="s">
        <v>12863</v>
      </c>
      <c r="G6382" s="1">
        <v>22647</v>
      </c>
      <c r="J6382" t="s">
        <v>32232</v>
      </c>
      <c r="O6382" t="s">
        <v>26</v>
      </c>
      <c r="P6382">
        <v>112.5</v>
      </c>
      <c r="Q6382">
        <v>93.75</v>
      </c>
      <c r="R6382">
        <v>75</v>
      </c>
      <c r="S6382">
        <v>112.5</v>
      </c>
      <c r="T6382" t="s">
        <v>32233</v>
      </c>
    </row>
    <row r="6383" spans="1:20">
      <c r="A6383">
        <v>4516918</v>
      </c>
      <c r="B6383" t="s">
        <v>32234</v>
      </c>
      <c r="C6383" t="str">
        <f>"9780773501256"</f>
        <v>9780773501256</v>
      </c>
      <c r="D6383" t="str">
        <f>"9780773592612"</f>
        <v>9780773592612</v>
      </c>
      <c r="E6383" t="s">
        <v>12863</v>
      </c>
      <c r="F6383" t="s">
        <v>12863</v>
      </c>
      <c r="G6383" s="1">
        <v>26665</v>
      </c>
      <c r="J6383" t="s">
        <v>32235</v>
      </c>
      <c r="O6383" t="s">
        <v>26</v>
      </c>
      <c r="P6383">
        <v>112.5</v>
      </c>
      <c r="Q6383">
        <v>93.75</v>
      </c>
      <c r="R6383">
        <v>75</v>
      </c>
      <c r="S6383">
        <v>112.5</v>
      </c>
      <c r="T6383" t="s">
        <v>32236</v>
      </c>
    </row>
    <row r="6384" spans="1:20">
      <c r="A6384">
        <v>4516919</v>
      </c>
      <c r="B6384" t="s">
        <v>32237</v>
      </c>
      <c r="C6384" t="str">
        <f>"9780773502420"</f>
        <v>9780773502420</v>
      </c>
      <c r="D6384" t="str">
        <f>"9780773592629"</f>
        <v>9780773592629</v>
      </c>
      <c r="E6384" t="s">
        <v>12863</v>
      </c>
      <c r="F6384" t="s">
        <v>12863</v>
      </c>
      <c r="G6384" s="1">
        <v>27760</v>
      </c>
      <c r="J6384" t="s">
        <v>32238</v>
      </c>
      <c r="O6384" t="s">
        <v>26</v>
      </c>
      <c r="P6384">
        <v>112.5</v>
      </c>
      <c r="Q6384">
        <v>93.75</v>
      </c>
      <c r="R6384">
        <v>75</v>
      </c>
      <c r="S6384">
        <v>112.5</v>
      </c>
      <c r="T6384" t="s">
        <v>32239</v>
      </c>
    </row>
    <row r="6385" spans="1:20">
      <c r="A6385">
        <v>4516920</v>
      </c>
      <c r="B6385" t="s">
        <v>32240</v>
      </c>
      <c r="C6385" t="str">
        <f>"9780773503977"</f>
        <v>9780773503977</v>
      </c>
      <c r="D6385" t="str">
        <f>"9780773592636"</f>
        <v>9780773592636</v>
      </c>
      <c r="E6385" t="s">
        <v>12863</v>
      </c>
      <c r="F6385" t="s">
        <v>12863</v>
      </c>
      <c r="G6385" s="1">
        <v>30317</v>
      </c>
      <c r="J6385" t="s">
        <v>32241</v>
      </c>
      <c r="K6385" t="s">
        <v>1464</v>
      </c>
      <c r="M6385">
        <v>811.52</v>
      </c>
      <c r="N6385" t="s">
        <v>32242</v>
      </c>
      <c r="O6385" t="s">
        <v>26</v>
      </c>
      <c r="P6385">
        <v>127.5</v>
      </c>
      <c r="Q6385">
        <v>106.25</v>
      </c>
      <c r="R6385">
        <v>85</v>
      </c>
      <c r="S6385">
        <v>127.5</v>
      </c>
      <c r="T6385" t="s">
        <v>32243</v>
      </c>
    </row>
    <row r="6386" spans="1:20">
      <c r="A6386">
        <v>4516922</v>
      </c>
      <c r="B6386" t="s">
        <v>32244</v>
      </c>
      <c r="C6386" t="str">
        <f>"9780773501089"</f>
        <v>9780773501089</v>
      </c>
      <c r="D6386" t="str">
        <f>"9780773592643"</f>
        <v>9780773592643</v>
      </c>
      <c r="E6386" t="s">
        <v>12863</v>
      </c>
      <c r="F6386" t="s">
        <v>12863</v>
      </c>
      <c r="G6386" s="1">
        <v>26299</v>
      </c>
      <c r="J6386" t="s">
        <v>18660</v>
      </c>
      <c r="O6386" t="s">
        <v>26</v>
      </c>
      <c r="P6386">
        <v>112.5</v>
      </c>
      <c r="Q6386">
        <v>93.75</v>
      </c>
      <c r="R6386">
        <v>75</v>
      </c>
      <c r="S6386">
        <v>112.5</v>
      </c>
      <c r="T6386" t="s">
        <v>32245</v>
      </c>
    </row>
    <row r="6387" spans="1:20">
      <c r="A6387">
        <v>4516923</v>
      </c>
      <c r="B6387" t="s">
        <v>32246</v>
      </c>
      <c r="C6387" t="str">
        <f>"9780773501324"</f>
        <v>9780773501324</v>
      </c>
      <c r="D6387" t="str">
        <f>"9780773592650"</f>
        <v>9780773592650</v>
      </c>
      <c r="E6387" t="s">
        <v>12863</v>
      </c>
      <c r="F6387" t="s">
        <v>12863</v>
      </c>
      <c r="G6387" s="1">
        <v>27030</v>
      </c>
      <c r="J6387" t="s">
        <v>32247</v>
      </c>
      <c r="O6387" t="s">
        <v>26</v>
      </c>
      <c r="P6387">
        <v>112.5</v>
      </c>
      <c r="Q6387">
        <v>93.75</v>
      </c>
      <c r="R6387">
        <v>75</v>
      </c>
      <c r="S6387">
        <v>112.5</v>
      </c>
      <c r="T6387" t="s">
        <v>32248</v>
      </c>
    </row>
    <row r="6388" spans="1:20">
      <c r="A6388">
        <v>4516924</v>
      </c>
      <c r="B6388" t="s">
        <v>32249</v>
      </c>
      <c r="C6388" t="str">
        <f>"9780773501096"</f>
        <v>9780773501096</v>
      </c>
      <c r="D6388" t="str">
        <f>"9780773592667"</f>
        <v>9780773592667</v>
      </c>
      <c r="E6388" t="s">
        <v>12863</v>
      </c>
      <c r="F6388" t="s">
        <v>12863</v>
      </c>
      <c r="G6388" s="1">
        <v>25934</v>
      </c>
      <c r="I6388" t="s">
        <v>32250</v>
      </c>
      <c r="J6388" t="s">
        <v>32251</v>
      </c>
      <c r="O6388" t="s">
        <v>26</v>
      </c>
      <c r="P6388">
        <v>112.5</v>
      </c>
      <c r="Q6388">
        <v>93.75</v>
      </c>
      <c r="R6388">
        <v>75</v>
      </c>
      <c r="S6388">
        <v>112.5</v>
      </c>
      <c r="T6388" t="s">
        <v>32252</v>
      </c>
    </row>
    <row r="6389" spans="1:20">
      <c r="A6389">
        <v>4516926</v>
      </c>
      <c r="B6389" t="s">
        <v>32253</v>
      </c>
      <c r="C6389" t="str">
        <f>"9780773502468"</f>
        <v>9780773502468</v>
      </c>
      <c r="D6389" t="str">
        <f>"9780773592674"</f>
        <v>9780773592674</v>
      </c>
      <c r="E6389" t="s">
        <v>12863</v>
      </c>
      <c r="F6389" t="s">
        <v>12863</v>
      </c>
      <c r="G6389" s="1">
        <v>27760</v>
      </c>
      <c r="J6389" t="s">
        <v>32254</v>
      </c>
      <c r="O6389" t="s">
        <v>26</v>
      </c>
      <c r="P6389">
        <v>112.5</v>
      </c>
      <c r="Q6389">
        <v>93.75</v>
      </c>
      <c r="R6389">
        <v>75</v>
      </c>
      <c r="S6389">
        <v>112.5</v>
      </c>
      <c r="T6389" t="s">
        <v>32255</v>
      </c>
    </row>
    <row r="6390" spans="1:20">
      <c r="A6390">
        <v>4516927</v>
      </c>
      <c r="B6390" t="s">
        <v>32256</v>
      </c>
      <c r="C6390" t="str">
        <f>"9780773501966"</f>
        <v>9780773501966</v>
      </c>
      <c r="D6390" t="str">
        <f>"9780773592681"</f>
        <v>9780773592681</v>
      </c>
      <c r="E6390" t="s">
        <v>12863</v>
      </c>
      <c r="F6390" t="s">
        <v>12863</v>
      </c>
      <c r="G6390" s="1">
        <v>26665</v>
      </c>
      <c r="J6390" t="s">
        <v>32257</v>
      </c>
      <c r="O6390" t="s">
        <v>26</v>
      </c>
      <c r="P6390">
        <v>112.5</v>
      </c>
      <c r="Q6390">
        <v>93.75</v>
      </c>
      <c r="R6390">
        <v>75</v>
      </c>
      <c r="S6390">
        <v>112.5</v>
      </c>
      <c r="T6390" t="s">
        <v>32258</v>
      </c>
    </row>
    <row r="6391" spans="1:20">
      <c r="A6391">
        <v>4516928</v>
      </c>
      <c r="B6391" t="s">
        <v>32259</v>
      </c>
      <c r="C6391" t="str">
        <f>"9780773501164"</f>
        <v>9780773501164</v>
      </c>
      <c r="D6391" t="str">
        <f>"9780773592698"</f>
        <v>9780773592698</v>
      </c>
      <c r="E6391" t="s">
        <v>12863</v>
      </c>
      <c r="F6391" t="s">
        <v>12863</v>
      </c>
      <c r="G6391" s="1">
        <v>25934</v>
      </c>
      <c r="J6391" t="s">
        <v>32260</v>
      </c>
      <c r="O6391" t="s">
        <v>26</v>
      </c>
      <c r="P6391">
        <v>112.5</v>
      </c>
      <c r="Q6391">
        <v>93.75</v>
      </c>
      <c r="R6391">
        <v>75</v>
      </c>
      <c r="S6391">
        <v>112.5</v>
      </c>
      <c r="T6391" t="s">
        <v>32261</v>
      </c>
    </row>
    <row r="6392" spans="1:20">
      <c r="A6392">
        <v>4516930</v>
      </c>
      <c r="B6392" t="s">
        <v>32262</v>
      </c>
      <c r="C6392" t="str">
        <f>"9780773542211"</f>
        <v>9780773542211</v>
      </c>
      <c r="D6392" t="str">
        <f>"9780773592711"</f>
        <v>9780773592711</v>
      </c>
      <c r="E6392" t="s">
        <v>12863</v>
      </c>
      <c r="F6392" t="s">
        <v>12863</v>
      </c>
      <c r="G6392" s="1">
        <v>24473</v>
      </c>
      <c r="J6392" t="s">
        <v>32263</v>
      </c>
      <c r="O6392" t="s">
        <v>26</v>
      </c>
      <c r="P6392">
        <v>112.5</v>
      </c>
      <c r="Q6392">
        <v>93.75</v>
      </c>
      <c r="R6392">
        <v>75</v>
      </c>
      <c r="S6392">
        <v>112.5</v>
      </c>
      <c r="T6392" t="s">
        <v>32264</v>
      </c>
    </row>
    <row r="6393" spans="1:20">
      <c r="A6393">
        <v>4516931</v>
      </c>
      <c r="B6393" t="s">
        <v>32265</v>
      </c>
      <c r="C6393" t="str">
        <f>"9780773501614"</f>
        <v>9780773501614</v>
      </c>
      <c r="D6393" t="str">
        <f>"9780773592728"</f>
        <v>9780773592728</v>
      </c>
      <c r="E6393" t="s">
        <v>12863</v>
      </c>
      <c r="F6393" t="s">
        <v>12863</v>
      </c>
      <c r="G6393" s="1">
        <v>23743</v>
      </c>
      <c r="J6393" t="s">
        <v>32266</v>
      </c>
      <c r="O6393" t="s">
        <v>26</v>
      </c>
      <c r="P6393">
        <v>112.5</v>
      </c>
      <c r="Q6393">
        <v>93.75</v>
      </c>
      <c r="R6393">
        <v>75</v>
      </c>
      <c r="S6393">
        <v>112.5</v>
      </c>
      <c r="T6393" t="s">
        <v>32267</v>
      </c>
    </row>
    <row r="6394" spans="1:20">
      <c r="A6394">
        <v>4516932</v>
      </c>
      <c r="B6394" t="s">
        <v>32268</v>
      </c>
      <c r="C6394" t="str">
        <f>"9780773502277"</f>
        <v>9780773502277</v>
      </c>
      <c r="D6394" t="str">
        <f>"9780773592735"</f>
        <v>9780773592735</v>
      </c>
      <c r="E6394" t="s">
        <v>12863</v>
      </c>
      <c r="F6394" t="s">
        <v>12863</v>
      </c>
      <c r="G6394" s="1">
        <v>27395</v>
      </c>
      <c r="J6394" t="s">
        <v>32269</v>
      </c>
      <c r="O6394" t="s">
        <v>26</v>
      </c>
      <c r="P6394">
        <v>112.5</v>
      </c>
      <c r="Q6394">
        <v>93.75</v>
      </c>
      <c r="R6394">
        <v>75</v>
      </c>
      <c r="S6394">
        <v>112.5</v>
      </c>
      <c r="T6394" t="s">
        <v>32270</v>
      </c>
    </row>
    <row r="6395" spans="1:20">
      <c r="A6395">
        <v>4516933</v>
      </c>
      <c r="B6395" t="s">
        <v>32271</v>
      </c>
      <c r="C6395" t="str">
        <f>"9780773501362"</f>
        <v>9780773501362</v>
      </c>
      <c r="D6395" t="str">
        <f>"9780773592742"</f>
        <v>9780773592742</v>
      </c>
      <c r="E6395" t="s">
        <v>12863</v>
      </c>
      <c r="F6395" t="s">
        <v>12863</v>
      </c>
      <c r="G6395" s="1">
        <v>26665</v>
      </c>
      <c r="J6395" t="s">
        <v>32272</v>
      </c>
      <c r="O6395" t="s">
        <v>26</v>
      </c>
      <c r="P6395">
        <v>112.5</v>
      </c>
      <c r="Q6395">
        <v>93.75</v>
      </c>
      <c r="R6395">
        <v>75</v>
      </c>
      <c r="S6395">
        <v>112.5</v>
      </c>
      <c r="T6395" t="s">
        <v>32273</v>
      </c>
    </row>
    <row r="6396" spans="1:20">
      <c r="A6396">
        <v>4516934</v>
      </c>
      <c r="B6396" t="s">
        <v>32274</v>
      </c>
      <c r="C6396" t="str">
        <f>"9780773501461"</f>
        <v>9780773501461</v>
      </c>
      <c r="D6396" t="str">
        <f>"9780773592759"</f>
        <v>9780773592759</v>
      </c>
      <c r="E6396" t="s">
        <v>12863</v>
      </c>
      <c r="F6396" t="s">
        <v>12863</v>
      </c>
      <c r="G6396" s="1">
        <v>26299</v>
      </c>
      <c r="J6396" t="s">
        <v>32275</v>
      </c>
      <c r="O6396" t="s">
        <v>26</v>
      </c>
      <c r="P6396">
        <v>112.5</v>
      </c>
      <c r="Q6396">
        <v>93.75</v>
      </c>
      <c r="R6396">
        <v>75</v>
      </c>
      <c r="S6396">
        <v>112.5</v>
      </c>
      <c r="T6396" t="s">
        <v>32276</v>
      </c>
    </row>
    <row r="6397" spans="1:20">
      <c r="A6397">
        <v>4516935</v>
      </c>
      <c r="B6397" t="s">
        <v>32277</v>
      </c>
      <c r="C6397" t="str">
        <f>"9780773503557"</f>
        <v>9780773503557</v>
      </c>
      <c r="D6397" t="str">
        <f>"9780773592766"</f>
        <v>9780773592766</v>
      </c>
      <c r="E6397" t="s">
        <v>12863</v>
      </c>
      <c r="F6397" t="s">
        <v>12863</v>
      </c>
      <c r="G6397" s="1">
        <v>29952</v>
      </c>
      <c r="J6397" t="s">
        <v>32278</v>
      </c>
      <c r="O6397" t="s">
        <v>26</v>
      </c>
      <c r="P6397">
        <v>112.5</v>
      </c>
      <c r="Q6397">
        <v>93.75</v>
      </c>
      <c r="R6397">
        <v>75</v>
      </c>
      <c r="S6397">
        <v>112.5</v>
      </c>
      <c r="T6397" t="s">
        <v>32279</v>
      </c>
    </row>
    <row r="6398" spans="1:20">
      <c r="A6398">
        <v>4516936</v>
      </c>
      <c r="B6398" t="s">
        <v>32280</v>
      </c>
      <c r="C6398" t="str">
        <f>"9780773500020"</f>
        <v>9780773500020</v>
      </c>
      <c r="D6398" t="str">
        <f>"9780773592797"</f>
        <v>9780773592797</v>
      </c>
      <c r="E6398" t="s">
        <v>12863</v>
      </c>
      <c r="F6398" t="s">
        <v>12863</v>
      </c>
      <c r="G6398" s="1">
        <v>22647</v>
      </c>
      <c r="J6398" t="s">
        <v>32281</v>
      </c>
      <c r="O6398" t="s">
        <v>26</v>
      </c>
      <c r="P6398">
        <v>112.5</v>
      </c>
      <c r="Q6398">
        <v>93.75</v>
      </c>
      <c r="R6398">
        <v>75</v>
      </c>
      <c r="S6398">
        <v>112.5</v>
      </c>
      <c r="T6398" t="s">
        <v>32282</v>
      </c>
    </row>
    <row r="6399" spans="1:20">
      <c r="A6399">
        <v>4516937</v>
      </c>
      <c r="B6399" t="s">
        <v>32283</v>
      </c>
      <c r="C6399" t="str">
        <f>"9780773501959"</f>
        <v>9780773501959</v>
      </c>
      <c r="D6399" t="str">
        <f>"9780773592803"</f>
        <v>9780773592803</v>
      </c>
      <c r="E6399" t="s">
        <v>12863</v>
      </c>
      <c r="F6399" t="s">
        <v>12863</v>
      </c>
      <c r="G6399" s="1">
        <v>27030</v>
      </c>
      <c r="I6399" t="s">
        <v>32250</v>
      </c>
      <c r="J6399" t="s">
        <v>32284</v>
      </c>
      <c r="O6399" t="s">
        <v>26</v>
      </c>
      <c r="P6399">
        <v>112.5</v>
      </c>
      <c r="Q6399">
        <v>93.75</v>
      </c>
      <c r="R6399">
        <v>75</v>
      </c>
      <c r="S6399">
        <v>112.5</v>
      </c>
      <c r="T6399" t="s">
        <v>32285</v>
      </c>
    </row>
    <row r="6400" spans="1:20">
      <c r="A6400">
        <v>4516938</v>
      </c>
      <c r="B6400" t="s">
        <v>32286</v>
      </c>
      <c r="C6400" t="str">
        <f>"9780773500686"</f>
        <v>9780773500686</v>
      </c>
      <c r="D6400" t="str">
        <f>"9780773592810"</f>
        <v>9780773592810</v>
      </c>
      <c r="E6400" t="s">
        <v>12863</v>
      </c>
      <c r="F6400" t="s">
        <v>12863</v>
      </c>
      <c r="G6400" s="1">
        <v>25934</v>
      </c>
      <c r="I6400" t="s">
        <v>32287</v>
      </c>
      <c r="J6400" t="s">
        <v>32288</v>
      </c>
      <c r="O6400" t="s">
        <v>26</v>
      </c>
      <c r="P6400">
        <v>112.5</v>
      </c>
      <c r="Q6400">
        <v>93.75</v>
      </c>
      <c r="R6400">
        <v>75</v>
      </c>
      <c r="S6400">
        <v>112.5</v>
      </c>
      <c r="T6400" t="s">
        <v>32289</v>
      </c>
    </row>
    <row r="6401" spans="1:20">
      <c r="A6401">
        <v>4516939</v>
      </c>
      <c r="B6401" t="s">
        <v>32290</v>
      </c>
      <c r="C6401" t="str">
        <f>"9780773500594"</f>
        <v>9780773500594</v>
      </c>
      <c r="D6401" t="str">
        <f>"9780773592827"</f>
        <v>9780773592827</v>
      </c>
      <c r="E6401" t="s">
        <v>12863</v>
      </c>
      <c r="F6401" t="s">
        <v>12863</v>
      </c>
      <c r="G6401" s="1">
        <v>25204</v>
      </c>
      <c r="J6401" t="s">
        <v>15176</v>
      </c>
      <c r="O6401" t="s">
        <v>26</v>
      </c>
      <c r="P6401">
        <v>112.5</v>
      </c>
      <c r="Q6401">
        <v>93.75</v>
      </c>
      <c r="R6401">
        <v>75</v>
      </c>
      <c r="S6401">
        <v>112.5</v>
      </c>
      <c r="T6401" t="s">
        <v>32291</v>
      </c>
    </row>
    <row r="6402" spans="1:20">
      <c r="A6402">
        <v>4516940</v>
      </c>
      <c r="B6402" t="s">
        <v>32292</v>
      </c>
      <c r="C6402" t="str">
        <f>"9780773500105"</f>
        <v>9780773500105</v>
      </c>
      <c r="D6402" t="str">
        <f>"9780773592834"</f>
        <v>9780773592834</v>
      </c>
      <c r="E6402" t="s">
        <v>12863</v>
      </c>
      <c r="F6402" t="s">
        <v>12863</v>
      </c>
      <c r="G6402" s="1">
        <v>23012</v>
      </c>
      <c r="J6402" t="s">
        <v>15176</v>
      </c>
      <c r="O6402" t="s">
        <v>26</v>
      </c>
      <c r="P6402">
        <v>112.5</v>
      </c>
      <c r="Q6402">
        <v>93.75</v>
      </c>
      <c r="R6402">
        <v>75</v>
      </c>
      <c r="S6402">
        <v>112.5</v>
      </c>
      <c r="T6402" t="s">
        <v>32293</v>
      </c>
    </row>
    <row r="6403" spans="1:20">
      <c r="A6403">
        <v>4516941</v>
      </c>
      <c r="B6403" t="s">
        <v>32294</v>
      </c>
      <c r="C6403" t="str">
        <f>"9780773502741"</f>
        <v>9780773502741</v>
      </c>
      <c r="D6403" t="str">
        <f>"9780773592841"</f>
        <v>9780773592841</v>
      </c>
      <c r="E6403" t="s">
        <v>12863</v>
      </c>
      <c r="F6403" t="s">
        <v>12863</v>
      </c>
      <c r="G6403" s="1">
        <v>28126</v>
      </c>
      <c r="J6403" t="s">
        <v>32295</v>
      </c>
      <c r="O6403" t="s">
        <v>26</v>
      </c>
      <c r="P6403">
        <v>112.5</v>
      </c>
      <c r="Q6403">
        <v>93.75</v>
      </c>
      <c r="R6403">
        <v>75</v>
      </c>
      <c r="S6403">
        <v>112.5</v>
      </c>
      <c r="T6403" t="s">
        <v>32296</v>
      </c>
    </row>
    <row r="6404" spans="1:20">
      <c r="A6404">
        <v>4516942</v>
      </c>
      <c r="B6404" t="s">
        <v>32297</v>
      </c>
      <c r="C6404" t="str">
        <f>"9780773503571"</f>
        <v>9780773503571</v>
      </c>
      <c r="D6404" t="str">
        <f>"9780773592872"</f>
        <v>9780773592872</v>
      </c>
      <c r="E6404" t="s">
        <v>12863</v>
      </c>
      <c r="F6404" t="s">
        <v>12863</v>
      </c>
      <c r="G6404" s="1">
        <v>29221</v>
      </c>
      <c r="J6404" t="s">
        <v>32298</v>
      </c>
      <c r="O6404" t="s">
        <v>26</v>
      </c>
      <c r="P6404">
        <v>112.5</v>
      </c>
      <c r="Q6404">
        <v>93.75</v>
      </c>
      <c r="R6404">
        <v>75</v>
      </c>
      <c r="S6404">
        <v>112.5</v>
      </c>
      <c r="T6404" t="s">
        <v>32299</v>
      </c>
    </row>
    <row r="6405" spans="1:20">
      <c r="A6405">
        <v>4516944</v>
      </c>
      <c r="B6405" t="s">
        <v>32300</v>
      </c>
      <c r="C6405" t="str">
        <f>"9780773500983"</f>
        <v>9780773500983</v>
      </c>
      <c r="D6405" t="str">
        <f>"9780773592889"</f>
        <v>9780773592889</v>
      </c>
      <c r="E6405" t="s">
        <v>12863</v>
      </c>
      <c r="F6405" t="s">
        <v>12863</v>
      </c>
      <c r="G6405" s="1">
        <v>27030</v>
      </c>
      <c r="J6405" t="s">
        <v>32301</v>
      </c>
      <c r="O6405" t="s">
        <v>26</v>
      </c>
      <c r="P6405">
        <v>112.5</v>
      </c>
      <c r="Q6405">
        <v>93.75</v>
      </c>
      <c r="R6405">
        <v>75</v>
      </c>
      <c r="S6405">
        <v>112.5</v>
      </c>
      <c r="T6405" t="s">
        <v>32302</v>
      </c>
    </row>
    <row r="6406" spans="1:20">
      <c r="A6406">
        <v>4516945</v>
      </c>
      <c r="B6406" t="s">
        <v>32303</v>
      </c>
      <c r="C6406" t="str">
        <f>"9780773505070"</f>
        <v>9780773505070</v>
      </c>
      <c r="D6406" t="str">
        <f>"9780773592896"</f>
        <v>9780773592896</v>
      </c>
      <c r="E6406" t="s">
        <v>12863</v>
      </c>
      <c r="F6406" t="s">
        <v>12863</v>
      </c>
      <c r="G6406" s="1">
        <v>28856</v>
      </c>
      <c r="J6406" t="s">
        <v>32304</v>
      </c>
      <c r="O6406" t="s">
        <v>26</v>
      </c>
      <c r="P6406">
        <v>112.5</v>
      </c>
      <c r="Q6406">
        <v>93.75</v>
      </c>
      <c r="R6406">
        <v>75</v>
      </c>
      <c r="S6406">
        <v>112.5</v>
      </c>
      <c r="T6406" t="s">
        <v>32305</v>
      </c>
    </row>
    <row r="6407" spans="1:20">
      <c r="A6407">
        <v>4516946</v>
      </c>
      <c r="B6407" t="s">
        <v>32306</v>
      </c>
      <c r="C6407" t="str">
        <f>"9780773502710"</f>
        <v>9780773502710</v>
      </c>
      <c r="D6407" t="str">
        <f>"9780773592902"</f>
        <v>9780773592902</v>
      </c>
      <c r="E6407" t="s">
        <v>12863</v>
      </c>
      <c r="F6407" t="s">
        <v>12863</v>
      </c>
      <c r="G6407" s="1">
        <v>27395</v>
      </c>
      <c r="J6407" t="s">
        <v>32307</v>
      </c>
      <c r="K6407" t="s">
        <v>263</v>
      </c>
      <c r="M6407" t="s">
        <v>32308</v>
      </c>
      <c r="O6407" t="s">
        <v>26</v>
      </c>
      <c r="P6407">
        <v>112.5</v>
      </c>
      <c r="Q6407">
        <v>93.75</v>
      </c>
      <c r="R6407">
        <v>75</v>
      </c>
      <c r="S6407">
        <v>112.5</v>
      </c>
      <c r="T6407" t="s">
        <v>32309</v>
      </c>
    </row>
    <row r="6408" spans="1:20">
      <c r="A6408">
        <v>4516948</v>
      </c>
      <c r="B6408" t="s">
        <v>32310</v>
      </c>
      <c r="C6408" t="str">
        <f>"9780773500853"</f>
        <v>9780773500853</v>
      </c>
      <c r="D6408" t="str">
        <f>"9780773592919"</f>
        <v>9780773592919</v>
      </c>
      <c r="E6408" t="s">
        <v>12863</v>
      </c>
      <c r="F6408" t="s">
        <v>12863</v>
      </c>
      <c r="G6408" s="1">
        <v>26444</v>
      </c>
      <c r="J6408" t="s">
        <v>32311</v>
      </c>
      <c r="K6408" t="s">
        <v>1464</v>
      </c>
      <c r="M6408">
        <v>823.70899999999995</v>
      </c>
      <c r="O6408" t="s">
        <v>26</v>
      </c>
      <c r="P6408">
        <v>112.5</v>
      </c>
      <c r="Q6408">
        <v>93.75</v>
      </c>
      <c r="R6408">
        <v>75</v>
      </c>
      <c r="S6408">
        <v>112.5</v>
      </c>
      <c r="T6408" t="s">
        <v>32312</v>
      </c>
    </row>
    <row r="6409" spans="1:20">
      <c r="A6409">
        <v>4516949</v>
      </c>
      <c r="B6409" t="s">
        <v>32313</v>
      </c>
      <c r="C6409" t="str">
        <f>"9780773501379"</f>
        <v>9780773501379</v>
      </c>
      <c r="D6409" t="str">
        <f>"9780773592926"</f>
        <v>9780773592926</v>
      </c>
      <c r="E6409" t="s">
        <v>12863</v>
      </c>
      <c r="F6409" t="s">
        <v>12863</v>
      </c>
      <c r="G6409" s="1">
        <v>26299</v>
      </c>
      <c r="J6409" t="s">
        <v>32314</v>
      </c>
      <c r="O6409" t="s">
        <v>26</v>
      </c>
      <c r="P6409">
        <v>112.5</v>
      </c>
      <c r="Q6409">
        <v>93.75</v>
      </c>
      <c r="R6409">
        <v>75</v>
      </c>
      <c r="S6409">
        <v>112.5</v>
      </c>
      <c r="T6409" t="s">
        <v>32315</v>
      </c>
    </row>
    <row r="6410" spans="1:20">
      <c r="A6410">
        <v>4516950</v>
      </c>
      <c r="B6410" t="s">
        <v>32316</v>
      </c>
      <c r="C6410" t="str">
        <f>"9780773502093"</f>
        <v>9780773502093</v>
      </c>
      <c r="D6410" t="str">
        <f>"9780773592933"</f>
        <v>9780773592933</v>
      </c>
      <c r="E6410" t="s">
        <v>12863</v>
      </c>
      <c r="F6410" t="s">
        <v>12863</v>
      </c>
      <c r="G6410" s="1">
        <v>27030</v>
      </c>
      <c r="J6410" t="s">
        <v>32317</v>
      </c>
      <c r="O6410" t="s">
        <v>26</v>
      </c>
      <c r="P6410">
        <v>112.5</v>
      </c>
      <c r="Q6410">
        <v>93.75</v>
      </c>
      <c r="R6410">
        <v>75</v>
      </c>
      <c r="S6410">
        <v>112.5</v>
      </c>
      <c r="T6410" t="s">
        <v>32318</v>
      </c>
    </row>
    <row r="6411" spans="1:20">
      <c r="A6411">
        <v>4516952</v>
      </c>
      <c r="B6411" t="s">
        <v>32319</v>
      </c>
      <c r="C6411" t="str">
        <f>"9780773501898"</f>
        <v>9780773501898</v>
      </c>
      <c r="D6411" t="str">
        <f>"9780773592940"</f>
        <v>9780773592940</v>
      </c>
      <c r="E6411" t="s">
        <v>12863</v>
      </c>
      <c r="F6411" t="s">
        <v>12863</v>
      </c>
      <c r="G6411" s="1">
        <v>27030</v>
      </c>
      <c r="J6411" t="s">
        <v>32320</v>
      </c>
      <c r="O6411" t="s">
        <v>26</v>
      </c>
      <c r="P6411">
        <v>112.5</v>
      </c>
      <c r="Q6411">
        <v>93.75</v>
      </c>
      <c r="R6411">
        <v>75</v>
      </c>
      <c r="S6411">
        <v>112.5</v>
      </c>
      <c r="T6411" t="s">
        <v>32321</v>
      </c>
    </row>
    <row r="6412" spans="1:20">
      <c r="A6412">
        <v>4516953</v>
      </c>
      <c r="B6412" t="s">
        <v>32322</v>
      </c>
      <c r="C6412" t="str">
        <f>"9780773502505"</f>
        <v>9780773502505</v>
      </c>
      <c r="D6412" t="str">
        <f>"9780773592957"</f>
        <v>9780773592957</v>
      </c>
      <c r="E6412" t="s">
        <v>12863</v>
      </c>
      <c r="F6412" t="s">
        <v>12863</v>
      </c>
      <c r="G6412" s="1">
        <v>27760</v>
      </c>
      <c r="J6412" t="s">
        <v>32323</v>
      </c>
      <c r="O6412" t="s">
        <v>26</v>
      </c>
      <c r="P6412">
        <v>112.5</v>
      </c>
      <c r="Q6412">
        <v>93.75</v>
      </c>
      <c r="R6412">
        <v>75</v>
      </c>
      <c r="S6412">
        <v>112.5</v>
      </c>
      <c r="T6412" t="s">
        <v>32324</v>
      </c>
    </row>
    <row r="6413" spans="1:20">
      <c r="A6413">
        <v>4516954</v>
      </c>
      <c r="B6413" t="s">
        <v>32325</v>
      </c>
      <c r="C6413" t="str">
        <f>"9780773502123"</f>
        <v>9780773502123</v>
      </c>
      <c r="D6413" t="str">
        <f>"9780773592964"</f>
        <v>9780773592964</v>
      </c>
      <c r="E6413" t="s">
        <v>12863</v>
      </c>
      <c r="F6413" t="s">
        <v>12863</v>
      </c>
      <c r="G6413" s="1">
        <v>27030</v>
      </c>
      <c r="J6413" t="s">
        <v>32326</v>
      </c>
      <c r="O6413" t="s">
        <v>26</v>
      </c>
      <c r="P6413">
        <v>112.5</v>
      </c>
      <c r="Q6413">
        <v>93.75</v>
      </c>
      <c r="R6413">
        <v>75</v>
      </c>
      <c r="S6413">
        <v>112.5</v>
      </c>
      <c r="T6413" t="s">
        <v>32327</v>
      </c>
    </row>
    <row r="6414" spans="1:20">
      <c r="A6414">
        <v>4516955</v>
      </c>
      <c r="B6414" t="s">
        <v>32328</v>
      </c>
      <c r="C6414" t="str">
        <f>"9780773505049"</f>
        <v>9780773505049</v>
      </c>
      <c r="D6414" t="str">
        <f>"9780773592971"</f>
        <v>9780773592971</v>
      </c>
      <c r="E6414" t="s">
        <v>12863</v>
      </c>
      <c r="F6414" t="s">
        <v>12863</v>
      </c>
      <c r="G6414" s="1">
        <v>28856</v>
      </c>
      <c r="J6414" t="s">
        <v>32329</v>
      </c>
      <c r="O6414" t="s">
        <v>26</v>
      </c>
      <c r="P6414">
        <v>112.5</v>
      </c>
      <c r="Q6414">
        <v>93.75</v>
      </c>
      <c r="R6414">
        <v>75</v>
      </c>
      <c r="S6414">
        <v>112.5</v>
      </c>
      <c r="T6414" t="s">
        <v>32330</v>
      </c>
    </row>
    <row r="6415" spans="1:20">
      <c r="A6415">
        <v>4516956</v>
      </c>
      <c r="B6415" t="s">
        <v>32331</v>
      </c>
      <c r="C6415" t="str">
        <f>"9780773501546"</f>
        <v>9780773501546</v>
      </c>
      <c r="D6415" t="str">
        <f>"9780773592988"</f>
        <v>9780773592988</v>
      </c>
      <c r="E6415" t="s">
        <v>12863</v>
      </c>
      <c r="F6415" t="s">
        <v>12863</v>
      </c>
      <c r="G6415" s="1">
        <v>26665</v>
      </c>
      <c r="I6415" t="s">
        <v>32176</v>
      </c>
      <c r="J6415" t="s">
        <v>32332</v>
      </c>
      <c r="O6415" t="s">
        <v>26</v>
      </c>
      <c r="P6415">
        <v>112.5</v>
      </c>
      <c r="Q6415">
        <v>93.75</v>
      </c>
      <c r="R6415">
        <v>75</v>
      </c>
      <c r="S6415">
        <v>112.5</v>
      </c>
      <c r="T6415" t="s">
        <v>32333</v>
      </c>
    </row>
    <row r="6416" spans="1:20">
      <c r="A6416">
        <v>4516957</v>
      </c>
      <c r="B6416" t="s">
        <v>32334</v>
      </c>
      <c r="C6416" t="str">
        <f>"9780773500082"</f>
        <v>9780773500082</v>
      </c>
      <c r="D6416" t="str">
        <f>"9780773592995"</f>
        <v>9780773592995</v>
      </c>
      <c r="E6416" t="s">
        <v>12863</v>
      </c>
      <c r="F6416" t="s">
        <v>12863</v>
      </c>
      <c r="G6416" s="1">
        <v>23012</v>
      </c>
      <c r="J6416" t="s">
        <v>32335</v>
      </c>
      <c r="O6416" t="s">
        <v>26</v>
      </c>
      <c r="P6416">
        <v>112.5</v>
      </c>
      <c r="Q6416">
        <v>93.75</v>
      </c>
      <c r="R6416">
        <v>75</v>
      </c>
      <c r="S6416">
        <v>112.5</v>
      </c>
      <c r="T6416" t="s">
        <v>32336</v>
      </c>
    </row>
    <row r="6417" spans="1:20">
      <c r="A6417">
        <v>4516958</v>
      </c>
      <c r="B6417" t="s">
        <v>32337</v>
      </c>
      <c r="C6417" t="str">
        <f>"9780773502284"</f>
        <v>9780773502284</v>
      </c>
      <c r="D6417" t="str">
        <f>"9780773593008"</f>
        <v>9780773593008</v>
      </c>
      <c r="E6417" t="s">
        <v>12863</v>
      </c>
      <c r="F6417" t="s">
        <v>12863</v>
      </c>
      <c r="G6417" s="1">
        <v>27395</v>
      </c>
      <c r="J6417" t="s">
        <v>32338</v>
      </c>
      <c r="O6417" t="s">
        <v>26</v>
      </c>
      <c r="P6417">
        <v>112.5</v>
      </c>
      <c r="Q6417">
        <v>93.75</v>
      </c>
      <c r="R6417">
        <v>75</v>
      </c>
      <c r="S6417">
        <v>112.5</v>
      </c>
      <c r="T6417" t="s">
        <v>32339</v>
      </c>
    </row>
    <row r="6418" spans="1:20">
      <c r="A6418">
        <v>4516959</v>
      </c>
      <c r="B6418" t="s">
        <v>32340</v>
      </c>
      <c r="C6418" t="str">
        <f>"9780773505032"</f>
        <v>9780773505032</v>
      </c>
      <c r="D6418" t="str">
        <f>"9780773593015"</f>
        <v>9780773593015</v>
      </c>
      <c r="E6418" t="s">
        <v>12863</v>
      </c>
      <c r="F6418" t="s">
        <v>12863</v>
      </c>
      <c r="G6418" s="1">
        <v>28491</v>
      </c>
      <c r="J6418" t="s">
        <v>32341</v>
      </c>
      <c r="O6418" t="s">
        <v>26</v>
      </c>
      <c r="P6418">
        <v>112.5</v>
      </c>
      <c r="Q6418">
        <v>93.75</v>
      </c>
      <c r="R6418">
        <v>75</v>
      </c>
      <c r="S6418">
        <v>112.5</v>
      </c>
      <c r="T6418" t="s">
        <v>32342</v>
      </c>
    </row>
    <row r="6419" spans="1:20">
      <c r="A6419">
        <v>4516961</v>
      </c>
      <c r="B6419" t="s">
        <v>32343</v>
      </c>
      <c r="C6419" t="str">
        <f>"9780773502246"</f>
        <v>9780773502246</v>
      </c>
      <c r="D6419" t="str">
        <f>"9780773593022"</f>
        <v>9780773593022</v>
      </c>
      <c r="E6419" t="s">
        <v>12863</v>
      </c>
      <c r="F6419" t="s">
        <v>12863</v>
      </c>
      <c r="G6419" s="1">
        <v>27760</v>
      </c>
      <c r="I6419" t="s">
        <v>32344</v>
      </c>
      <c r="J6419" t="s">
        <v>32345</v>
      </c>
      <c r="O6419" t="s">
        <v>26</v>
      </c>
      <c r="P6419">
        <v>112.5</v>
      </c>
      <c r="Q6419">
        <v>93.75</v>
      </c>
      <c r="R6419">
        <v>75</v>
      </c>
      <c r="S6419">
        <v>112.5</v>
      </c>
      <c r="T6419" t="s">
        <v>32346</v>
      </c>
    </row>
    <row r="6420" spans="1:20">
      <c r="A6420">
        <v>4516962</v>
      </c>
      <c r="B6420" t="s">
        <v>32347</v>
      </c>
      <c r="C6420" t="str">
        <f>"9780773500495"</f>
        <v>9780773500495</v>
      </c>
      <c r="D6420" t="str">
        <f>"9780773593039"</f>
        <v>9780773593039</v>
      </c>
      <c r="E6420" t="s">
        <v>12863</v>
      </c>
      <c r="F6420" t="s">
        <v>12863</v>
      </c>
      <c r="G6420" s="1">
        <v>24473</v>
      </c>
      <c r="J6420" t="s">
        <v>32348</v>
      </c>
      <c r="O6420" t="s">
        <v>26</v>
      </c>
      <c r="P6420">
        <v>112.5</v>
      </c>
      <c r="Q6420">
        <v>93.75</v>
      </c>
      <c r="R6420">
        <v>75</v>
      </c>
      <c r="S6420">
        <v>112.5</v>
      </c>
      <c r="T6420" t="s">
        <v>32349</v>
      </c>
    </row>
    <row r="6421" spans="1:20">
      <c r="A6421">
        <v>4516963</v>
      </c>
      <c r="B6421" t="s">
        <v>32350</v>
      </c>
      <c r="C6421" t="str">
        <f>"9780773502864"</f>
        <v>9780773502864</v>
      </c>
      <c r="D6421" t="str">
        <f>"9780773593053"</f>
        <v>9780773593053</v>
      </c>
      <c r="E6421" t="s">
        <v>12863</v>
      </c>
      <c r="F6421" t="s">
        <v>12863</v>
      </c>
      <c r="G6421" s="1">
        <v>28126</v>
      </c>
      <c r="J6421" t="s">
        <v>32351</v>
      </c>
      <c r="O6421" t="s">
        <v>26</v>
      </c>
      <c r="P6421">
        <v>112.5</v>
      </c>
      <c r="Q6421">
        <v>93.75</v>
      </c>
      <c r="R6421">
        <v>75</v>
      </c>
      <c r="S6421">
        <v>112.5</v>
      </c>
      <c r="T6421" t="s">
        <v>32352</v>
      </c>
    </row>
    <row r="6422" spans="1:20">
      <c r="A6422">
        <v>4516965</v>
      </c>
      <c r="B6422" t="s">
        <v>32353</v>
      </c>
      <c r="C6422" t="str">
        <f>"9780773502727"</f>
        <v>9780773502727</v>
      </c>
      <c r="D6422" t="str">
        <f>"9780773593060"</f>
        <v>9780773593060</v>
      </c>
      <c r="E6422" t="s">
        <v>12863</v>
      </c>
      <c r="F6422" t="s">
        <v>12863</v>
      </c>
      <c r="G6422" s="1">
        <v>28491</v>
      </c>
      <c r="J6422" t="s">
        <v>32354</v>
      </c>
      <c r="O6422" t="s">
        <v>26</v>
      </c>
      <c r="P6422">
        <v>112.5</v>
      </c>
      <c r="Q6422">
        <v>93.75</v>
      </c>
      <c r="R6422">
        <v>75</v>
      </c>
      <c r="S6422">
        <v>112.5</v>
      </c>
      <c r="T6422" t="s">
        <v>32355</v>
      </c>
    </row>
    <row r="6423" spans="1:20">
      <c r="A6423">
        <v>4516966</v>
      </c>
      <c r="B6423" t="s">
        <v>32356</v>
      </c>
      <c r="C6423" t="str">
        <f>"9780773500297"</f>
        <v>9780773500297</v>
      </c>
      <c r="D6423" t="str">
        <f>"9780773593077"</f>
        <v>9780773593077</v>
      </c>
      <c r="E6423" t="s">
        <v>12863</v>
      </c>
      <c r="F6423" t="s">
        <v>12863</v>
      </c>
      <c r="G6423" s="1">
        <v>23743</v>
      </c>
      <c r="J6423" t="s">
        <v>32357</v>
      </c>
      <c r="O6423" t="s">
        <v>26</v>
      </c>
      <c r="P6423">
        <v>112.5</v>
      </c>
      <c r="Q6423">
        <v>93.75</v>
      </c>
      <c r="R6423">
        <v>75</v>
      </c>
      <c r="S6423">
        <v>112.5</v>
      </c>
      <c r="T6423" t="s">
        <v>32358</v>
      </c>
    </row>
    <row r="6424" spans="1:20">
      <c r="A6424">
        <v>4516967</v>
      </c>
      <c r="B6424" t="s">
        <v>32359</v>
      </c>
      <c r="C6424" t="str">
        <f>"9780773501843"</f>
        <v>9780773501843</v>
      </c>
      <c r="D6424" t="str">
        <f>"9780773593084"</f>
        <v>9780773593084</v>
      </c>
      <c r="E6424" t="s">
        <v>12863</v>
      </c>
      <c r="F6424" t="s">
        <v>12863</v>
      </c>
      <c r="G6424" s="1">
        <v>29221</v>
      </c>
      <c r="J6424" t="s">
        <v>18510</v>
      </c>
      <c r="O6424" t="s">
        <v>26</v>
      </c>
      <c r="P6424">
        <v>112.5</v>
      </c>
      <c r="Q6424">
        <v>93.75</v>
      </c>
      <c r="R6424">
        <v>75</v>
      </c>
      <c r="S6424">
        <v>112.5</v>
      </c>
      <c r="T6424" t="s">
        <v>32360</v>
      </c>
    </row>
    <row r="6425" spans="1:20">
      <c r="A6425">
        <v>4516968</v>
      </c>
      <c r="B6425" t="s">
        <v>32361</v>
      </c>
      <c r="C6425" t="str">
        <f>"9780773503540"</f>
        <v>9780773503540</v>
      </c>
      <c r="D6425" t="str">
        <f>"9780773593091"</f>
        <v>9780773593091</v>
      </c>
      <c r="E6425" t="s">
        <v>12863</v>
      </c>
      <c r="F6425" t="s">
        <v>12863</v>
      </c>
      <c r="G6425" s="1">
        <v>14977</v>
      </c>
      <c r="J6425" t="s">
        <v>18510</v>
      </c>
      <c r="O6425" t="s">
        <v>26</v>
      </c>
      <c r="P6425">
        <v>112.5</v>
      </c>
      <c r="Q6425">
        <v>93.75</v>
      </c>
      <c r="R6425">
        <v>75</v>
      </c>
      <c r="S6425">
        <v>112.5</v>
      </c>
      <c r="T6425" t="s">
        <v>32362</v>
      </c>
    </row>
    <row r="6426" spans="1:20">
      <c r="A6426">
        <v>4516970</v>
      </c>
      <c r="B6426" t="s">
        <v>32363</v>
      </c>
      <c r="C6426" t="str">
        <f>"9780773542235"</f>
        <v>9780773542235</v>
      </c>
      <c r="D6426" t="str">
        <f>"9780773593107"</f>
        <v>9780773593107</v>
      </c>
      <c r="E6426" t="s">
        <v>12863</v>
      </c>
      <c r="F6426" t="s">
        <v>12863</v>
      </c>
      <c r="G6426" s="1">
        <v>22647</v>
      </c>
      <c r="J6426" t="s">
        <v>32364</v>
      </c>
      <c r="O6426" t="s">
        <v>26</v>
      </c>
      <c r="P6426">
        <v>112.5</v>
      </c>
      <c r="Q6426">
        <v>93.75</v>
      </c>
      <c r="R6426">
        <v>75</v>
      </c>
      <c r="S6426">
        <v>112.5</v>
      </c>
      <c r="T6426" t="s">
        <v>32365</v>
      </c>
    </row>
    <row r="6427" spans="1:20">
      <c r="A6427">
        <v>4516974</v>
      </c>
      <c r="B6427" t="s">
        <v>32366</v>
      </c>
      <c r="C6427" t="str">
        <f>"9780773503069"</f>
        <v>9780773503069</v>
      </c>
      <c r="D6427" t="str">
        <f>"9780773593114"</f>
        <v>9780773593114</v>
      </c>
      <c r="E6427" t="s">
        <v>12863</v>
      </c>
      <c r="F6427" t="s">
        <v>12863</v>
      </c>
      <c r="G6427" s="1">
        <v>28126</v>
      </c>
      <c r="J6427" t="s">
        <v>32367</v>
      </c>
      <c r="O6427" t="s">
        <v>26</v>
      </c>
      <c r="P6427">
        <v>112.5</v>
      </c>
      <c r="Q6427">
        <v>93.75</v>
      </c>
      <c r="R6427">
        <v>75</v>
      </c>
      <c r="S6427">
        <v>112.5</v>
      </c>
      <c r="T6427" t="s">
        <v>32368</v>
      </c>
    </row>
    <row r="6428" spans="1:20">
      <c r="A6428">
        <v>4516975</v>
      </c>
      <c r="B6428" t="s">
        <v>32369</v>
      </c>
      <c r="C6428" t="str">
        <f>"9780773500518"</f>
        <v>9780773500518</v>
      </c>
      <c r="D6428" t="str">
        <f>"9780773593121"</f>
        <v>9780773593121</v>
      </c>
      <c r="E6428" t="s">
        <v>12863</v>
      </c>
      <c r="F6428" t="s">
        <v>12863</v>
      </c>
      <c r="G6428" s="1">
        <v>24838</v>
      </c>
      <c r="J6428" t="s">
        <v>32370</v>
      </c>
      <c r="O6428" t="s">
        <v>26</v>
      </c>
      <c r="P6428">
        <v>112.5</v>
      </c>
      <c r="Q6428">
        <v>93.75</v>
      </c>
      <c r="R6428">
        <v>75</v>
      </c>
      <c r="S6428">
        <v>112.5</v>
      </c>
      <c r="T6428" t="s">
        <v>32371</v>
      </c>
    </row>
    <row r="6429" spans="1:20">
      <c r="A6429">
        <v>4516976</v>
      </c>
      <c r="B6429" t="s">
        <v>32372</v>
      </c>
      <c r="C6429" t="str">
        <f>"9780773505018"</f>
        <v>9780773505018</v>
      </c>
      <c r="D6429" t="str">
        <f>"9780773593145"</f>
        <v>9780773593145</v>
      </c>
      <c r="E6429" t="s">
        <v>12863</v>
      </c>
      <c r="F6429" t="s">
        <v>12863</v>
      </c>
      <c r="G6429" s="1">
        <v>28491</v>
      </c>
      <c r="J6429" t="s">
        <v>32373</v>
      </c>
      <c r="O6429" t="s">
        <v>26</v>
      </c>
      <c r="P6429">
        <v>112.5</v>
      </c>
      <c r="Q6429">
        <v>93.75</v>
      </c>
      <c r="R6429">
        <v>75</v>
      </c>
      <c r="S6429">
        <v>112.5</v>
      </c>
      <c r="T6429" t="s">
        <v>32374</v>
      </c>
    </row>
    <row r="6430" spans="1:20">
      <c r="A6430">
        <v>4516977</v>
      </c>
      <c r="B6430" t="s">
        <v>32375</v>
      </c>
      <c r="C6430" t="str">
        <f>"9780773502895"</f>
        <v>9780773502895</v>
      </c>
      <c r="D6430" t="str">
        <f>"9780773593152"</f>
        <v>9780773593152</v>
      </c>
      <c r="E6430" t="s">
        <v>12863</v>
      </c>
      <c r="F6430" t="s">
        <v>12863</v>
      </c>
      <c r="G6430" s="1">
        <v>28491</v>
      </c>
      <c r="I6430" t="s">
        <v>32376</v>
      </c>
      <c r="J6430" t="s">
        <v>32377</v>
      </c>
      <c r="O6430" t="s">
        <v>26</v>
      </c>
      <c r="P6430">
        <v>112.5</v>
      </c>
      <c r="Q6430">
        <v>93.75</v>
      </c>
      <c r="R6430">
        <v>75</v>
      </c>
      <c r="S6430">
        <v>112.5</v>
      </c>
      <c r="T6430" t="s">
        <v>32378</v>
      </c>
    </row>
    <row r="6431" spans="1:20">
      <c r="A6431">
        <v>4516979</v>
      </c>
      <c r="B6431" t="s">
        <v>32379</v>
      </c>
      <c r="C6431" t="str">
        <f>"9780773502697"</f>
        <v>9780773502697</v>
      </c>
      <c r="D6431" t="str">
        <f>"9780773593176"</f>
        <v>9780773593176</v>
      </c>
      <c r="E6431" t="s">
        <v>12863</v>
      </c>
      <c r="F6431" t="s">
        <v>12863</v>
      </c>
      <c r="G6431" s="1">
        <v>27760</v>
      </c>
      <c r="J6431" t="s">
        <v>32380</v>
      </c>
      <c r="O6431" t="s">
        <v>26</v>
      </c>
      <c r="P6431">
        <v>112.5</v>
      </c>
      <c r="Q6431">
        <v>93.75</v>
      </c>
      <c r="R6431">
        <v>75</v>
      </c>
      <c r="S6431">
        <v>112.5</v>
      </c>
      <c r="T6431" t="s">
        <v>32381</v>
      </c>
    </row>
    <row r="6432" spans="1:20">
      <c r="A6432">
        <v>4516980</v>
      </c>
      <c r="B6432" t="s">
        <v>32382</v>
      </c>
      <c r="C6432" t="str">
        <f>"9780773501331"</f>
        <v>9780773501331</v>
      </c>
      <c r="D6432" t="str">
        <f>"9780773593183"</f>
        <v>9780773593183</v>
      </c>
      <c r="E6432" t="s">
        <v>12863</v>
      </c>
      <c r="F6432" t="s">
        <v>12863</v>
      </c>
      <c r="G6432" s="1">
        <v>26665</v>
      </c>
      <c r="J6432" t="s">
        <v>32383</v>
      </c>
      <c r="O6432" t="s">
        <v>26</v>
      </c>
      <c r="P6432">
        <v>112.5</v>
      </c>
      <c r="Q6432">
        <v>93.75</v>
      </c>
      <c r="R6432">
        <v>75</v>
      </c>
      <c r="S6432">
        <v>112.5</v>
      </c>
      <c r="T6432" t="s">
        <v>32384</v>
      </c>
    </row>
    <row r="6433" spans="1:20">
      <c r="A6433">
        <v>4516981</v>
      </c>
      <c r="B6433" t="s">
        <v>32385</v>
      </c>
      <c r="C6433" t="str">
        <f>"9780773501973"</f>
        <v>9780773501973</v>
      </c>
      <c r="D6433" t="str">
        <f>"9780773593190"</f>
        <v>9780773593190</v>
      </c>
      <c r="E6433" t="s">
        <v>12863</v>
      </c>
      <c r="F6433" t="s">
        <v>12863</v>
      </c>
      <c r="G6433" s="1">
        <v>27030</v>
      </c>
      <c r="I6433" t="s">
        <v>32250</v>
      </c>
      <c r="J6433" t="s">
        <v>32386</v>
      </c>
      <c r="K6433" t="s">
        <v>2136</v>
      </c>
      <c r="L6433" t="s">
        <v>32387</v>
      </c>
      <c r="O6433" t="s">
        <v>26</v>
      </c>
      <c r="P6433">
        <v>112.5</v>
      </c>
      <c r="Q6433">
        <v>93.75</v>
      </c>
      <c r="R6433">
        <v>75</v>
      </c>
      <c r="S6433">
        <v>112.5</v>
      </c>
      <c r="T6433" t="s">
        <v>32388</v>
      </c>
    </row>
    <row r="6434" spans="1:20">
      <c r="A6434">
        <v>4516982</v>
      </c>
      <c r="B6434" t="s">
        <v>32389</v>
      </c>
      <c r="C6434" t="str">
        <f>"9780773502642"</f>
        <v>9780773502642</v>
      </c>
      <c r="D6434" t="str">
        <f>"9780773593206"</f>
        <v>9780773593206</v>
      </c>
      <c r="E6434" t="s">
        <v>12863</v>
      </c>
      <c r="F6434" t="s">
        <v>12863</v>
      </c>
      <c r="G6434" s="1">
        <v>27760</v>
      </c>
      <c r="J6434" t="s">
        <v>32390</v>
      </c>
      <c r="K6434" t="s">
        <v>305</v>
      </c>
      <c r="L6434" t="s">
        <v>32391</v>
      </c>
      <c r="O6434" t="s">
        <v>26</v>
      </c>
      <c r="P6434">
        <v>112.5</v>
      </c>
      <c r="Q6434">
        <v>93.75</v>
      </c>
      <c r="R6434">
        <v>75</v>
      </c>
      <c r="S6434">
        <v>112.5</v>
      </c>
      <c r="T6434" t="s">
        <v>32392</v>
      </c>
    </row>
    <row r="6435" spans="1:20">
      <c r="A6435">
        <v>4516983</v>
      </c>
      <c r="B6435" t="s">
        <v>32393</v>
      </c>
      <c r="C6435" t="str">
        <f>"9780773502765"</f>
        <v>9780773502765</v>
      </c>
      <c r="D6435" t="str">
        <f>"9780773593213"</f>
        <v>9780773593213</v>
      </c>
      <c r="E6435" t="s">
        <v>12863</v>
      </c>
      <c r="F6435" t="s">
        <v>12863</v>
      </c>
      <c r="G6435" s="1">
        <v>27760</v>
      </c>
      <c r="J6435" t="s">
        <v>32394</v>
      </c>
      <c r="L6435" t="s">
        <v>32395</v>
      </c>
      <c r="O6435" t="s">
        <v>26</v>
      </c>
      <c r="P6435">
        <v>112.5</v>
      </c>
      <c r="Q6435">
        <v>93.75</v>
      </c>
      <c r="R6435">
        <v>75</v>
      </c>
      <c r="S6435">
        <v>112.5</v>
      </c>
      <c r="T6435" t="s">
        <v>32396</v>
      </c>
    </row>
    <row r="6436" spans="1:20">
      <c r="A6436">
        <v>4516984</v>
      </c>
      <c r="B6436" t="s">
        <v>32397</v>
      </c>
      <c r="C6436" t="str">
        <f>"9780773590731"</f>
        <v>9780773590731</v>
      </c>
      <c r="D6436" t="str">
        <f>"9780773593237"</f>
        <v>9780773593237</v>
      </c>
      <c r="E6436" t="s">
        <v>12863</v>
      </c>
      <c r="F6436" t="s">
        <v>12863</v>
      </c>
      <c r="G6436" s="1">
        <v>25204</v>
      </c>
      <c r="J6436" t="s">
        <v>32398</v>
      </c>
      <c r="K6436" t="s">
        <v>1082</v>
      </c>
      <c r="L6436" t="s">
        <v>32399</v>
      </c>
      <c r="O6436" t="s">
        <v>26</v>
      </c>
      <c r="P6436">
        <v>112.5</v>
      </c>
      <c r="Q6436">
        <v>93.75</v>
      </c>
      <c r="R6436">
        <v>75</v>
      </c>
      <c r="S6436">
        <v>112.5</v>
      </c>
      <c r="T6436" t="s">
        <v>32400</v>
      </c>
    </row>
    <row r="6437" spans="1:20">
      <c r="A6437">
        <v>4516986</v>
      </c>
      <c r="B6437" t="s">
        <v>32401</v>
      </c>
      <c r="C6437" t="str">
        <f>"9780773505216"</f>
        <v>9780773505216</v>
      </c>
      <c r="D6437" t="str">
        <f>"9780773593251"</f>
        <v>9780773593251</v>
      </c>
      <c r="E6437" t="s">
        <v>12863</v>
      </c>
      <c r="F6437" t="s">
        <v>12863</v>
      </c>
      <c r="G6437" s="1">
        <v>29221</v>
      </c>
      <c r="J6437" t="s">
        <v>32402</v>
      </c>
      <c r="K6437" t="s">
        <v>263</v>
      </c>
      <c r="L6437" t="s">
        <v>32403</v>
      </c>
      <c r="N6437" t="s">
        <v>32404</v>
      </c>
      <c r="O6437" t="s">
        <v>26</v>
      </c>
      <c r="P6437">
        <v>112.5</v>
      </c>
      <c r="Q6437">
        <v>93.75</v>
      </c>
      <c r="R6437">
        <v>75</v>
      </c>
      <c r="S6437">
        <v>112.5</v>
      </c>
      <c r="T6437" t="s">
        <v>32405</v>
      </c>
    </row>
    <row r="6438" spans="1:20">
      <c r="A6438">
        <v>4516987</v>
      </c>
      <c r="B6438" t="s">
        <v>32406</v>
      </c>
      <c r="C6438" t="str">
        <f>"9780773505100"</f>
        <v>9780773505100</v>
      </c>
      <c r="D6438" t="str">
        <f>"9780773593268"</f>
        <v>9780773593268</v>
      </c>
      <c r="E6438" t="s">
        <v>12863</v>
      </c>
      <c r="F6438" t="s">
        <v>12863</v>
      </c>
      <c r="G6438" s="1">
        <v>28856</v>
      </c>
      <c r="J6438" t="s">
        <v>32407</v>
      </c>
      <c r="K6438" t="s">
        <v>305</v>
      </c>
      <c r="L6438" t="s">
        <v>32408</v>
      </c>
      <c r="O6438" t="s">
        <v>26</v>
      </c>
      <c r="P6438">
        <v>112.5</v>
      </c>
      <c r="Q6438">
        <v>93.75</v>
      </c>
      <c r="R6438">
        <v>75</v>
      </c>
      <c r="S6438">
        <v>112.5</v>
      </c>
      <c r="T6438" t="s">
        <v>32409</v>
      </c>
    </row>
    <row r="6439" spans="1:20">
      <c r="A6439">
        <v>4516990</v>
      </c>
      <c r="B6439" t="s">
        <v>32410</v>
      </c>
      <c r="C6439" t="str">
        <f>"9780773500969"</f>
        <v>9780773500969</v>
      </c>
      <c r="D6439" t="str">
        <f>"9780773593275"</f>
        <v>9780773593275</v>
      </c>
      <c r="E6439" t="s">
        <v>12863</v>
      </c>
      <c r="F6439" t="s">
        <v>12863</v>
      </c>
      <c r="G6439" s="1">
        <v>26665</v>
      </c>
      <c r="J6439" t="s">
        <v>32411</v>
      </c>
      <c r="K6439" t="s">
        <v>305</v>
      </c>
      <c r="L6439" t="s">
        <v>32412</v>
      </c>
      <c r="O6439" t="s">
        <v>26</v>
      </c>
      <c r="P6439">
        <v>112.5</v>
      </c>
      <c r="Q6439">
        <v>93.75</v>
      </c>
      <c r="R6439">
        <v>75</v>
      </c>
      <c r="S6439">
        <v>112.5</v>
      </c>
      <c r="T6439" t="s">
        <v>32413</v>
      </c>
    </row>
    <row r="6440" spans="1:20">
      <c r="A6440">
        <v>4516992</v>
      </c>
      <c r="B6440" t="s">
        <v>32414</v>
      </c>
      <c r="C6440" t="str">
        <f>"9780773501201"</f>
        <v>9780773501201</v>
      </c>
      <c r="D6440" t="str">
        <f>"9780773593282"</f>
        <v>9780773593282</v>
      </c>
      <c r="E6440" t="s">
        <v>12863</v>
      </c>
      <c r="F6440" t="s">
        <v>12863</v>
      </c>
      <c r="G6440" s="1">
        <v>26299</v>
      </c>
      <c r="I6440" t="s">
        <v>32415</v>
      </c>
      <c r="J6440" t="s">
        <v>32416</v>
      </c>
      <c r="K6440" t="s">
        <v>467</v>
      </c>
      <c r="L6440" t="s">
        <v>32417</v>
      </c>
      <c r="O6440" t="s">
        <v>26</v>
      </c>
      <c r="P6440">
        <v>112.5</v>
      </c>
      <c r="Q6440">
        <v>93.75</v>
      </c>
      <c r="R6440">
        <v>75</v>
      </c>
      <c r="S6440">
        <v>112.5</v>
      </c>
      <c r="T6440" t="s">
        <v>32418</v>
      </c>
    </row>
    <row r="6441" spans="1:20">
      <c r="A6441">
        <v>4516994</v>
      </c>
      <c r="B6441" t="s">
        <v>32419</v>
      </c>
      <c r="C6441" t="str">
        <f>"9780773500242"</f>
        <v>9780773500242</v>
      </c>
      <c r="D6441" t="str">
        <f>"9780773593299"</f>
        <v>9780773593299</v>
      </c>
      <c r="E6441" t="s">
        <v>12863</v>
      </c>
      <c r="F6441" t="s">
        <v>12863</v>
      </c>
      <c r="G6441" s="1">
        <v>23743</v>
      </c>
      <c r="J6441" t="s">
        <v>32420</v>
      </c>
      <c r="K6441" t="s">
        <v>1892</v>
      </c>
      <c r="L6441" t="s">
        <v>32421</v>
      </c>
      <c r="O6441" t="s">
        <v>26</v>
      </c>
      <c r="P6441">
        <v>112.5</v>
      </c>
      <c r="Q6441">
        <v>93.75</v>
      </c>
      <c r="R6441">
        <v>75</v>
      </c>
      <c r="S6441">
        <v>112.5</v>
      </c>
      <c r="T6441" t="s">
        <v>32422</v>
      </c>
    </row>
    <row r="6442" spans="1:20">
      <c r="A6442">
        <v>4516996</v>
      </c>
      <c r="B6442" t="s">
        <v>32423</v>
      </c>
      <c r="C6442" t="str">
        <f>"9780773502772"</f>
        <v>9780773502772</v>
      </c>
      <c r="D6442" t="str">
        <f>"9780773593305"</f>
        <v>9780773593305</v>
      </c>
      <c r="E6442" t="s">
        <v>12863</v>
      </c>
      <c r="F6442" t="s">
        <v>12863</v>
      </c>
      <c r="G6442" s="1">
        <v>28126</v>
      </c>
      <c r="J6442" t="s">
        <v>32424</v>
      </c>
      <c r="K6442" t="s">
        <v>291</v>
      </c>
      <c r="L6442" t="s">
        <v>32425</v>
      </c>
      <c r="O6442" t="s">
        <v>26</v>
      </c>
      <c r="P6442">
        <v>112.5</v>
      </c>
      <c r="Q6442">
        <v>93.75</v>
      </c>
      <c r="R6442">
        <v>75</v>
      </c>
      <c r="S6442">
        <v>112.5</v>
      </c>
      <c r="T6442" t="s">
        <v>32426</v>
      </c>
    </row>
    <row r="6443" spans="1:20">
      <c r="A6443">
        <v>4516999</v>
      </c>
      <c r="B6443" t="s">
        <v>32427</v>
      </c>
      <c r="C6443" t="str">
        <f>"9780773590762"</f>
        <v>9780773590762</v>
      </c>
      <c r="D6443" t="str">
        <f>"9780773593329"</f>
        <v>9780773593329</v>
      </c>
      <c r="E6443" t="s">
        <v>12863</v>
      </c>
      <c r="F6443" t="s">
        <v>12863</v>
      </c>
      <c r="G6443" s="1">
        <v>27395</v>
      </c>
      <c r="J6443" t="s">
        <v>32428</v>
      </c>
      <c r="K6443" t="s">
        <v>7075</v>
      </c>
      <c r="L6443" t="s">
        <v>32429</v>
      </c>
      <c r="O6443" t="s">
        <v>26</v>
      </c>
      <c r="P6443">
        <v>112.5</v>
      </c>
      <c r="Q6443">
        <v>93.75</v>
      </c>
      <c r="R6443">
        <v>75</v>
      </c>
      <c r="S6443">
        <v>112.5</v>
      </c>
      <c r="T6443" t="s">
        <v>32430</v>
      </c>
    </row>
    <row r="6444" spans="1:20">
      <c r="A6444">
        <v>4517001</v>
      </c>
      <c r="B6444" t="s">
        <v>32431</v>
      </c>
      <c r="C6444" t="str">
        <f>"9780773502437"</f>
        <v>9780773502437</v>
      </c>
      <c r="D6444" t="str">
        <f>"9780773593336"</f>
        <v>9780773593336</v>
      </c>
      <c r="E6444" t="s">
        <v>12863</v>
      </c>
      <c r="F6444" t="s">
        <v>12863</v>
      </c>
      <c r="G6444" s="1">
        <v>28126</v>
      </c>
      <c r="J6444" t="s">
        <v>32432</v>
      </c>
      <c r="K6444" t="s">
        <v>263</v>
      </c>
      <c r="L6444" t="s">
        <v>32433</v>
      </c>
      <c r="O6444" t="s">
        <v>26</v>
      </c>
      <c r="P6444">
        <v>112.5</v>
      </c>
      <c r="Q6444">
        <v>93.75</v>
      </c>
      <c r="R6444">
        <v>75</v>
      </c>
      <c r="S6444">
        <v>112.5</v>
      </c>
      <c r="T6444" t="s">
        <v>32434</v>
      </c>
    </row>
    <row r="6445" spans="1:20">
      <c r="A6445">
        <v>4517002</v>
      </c>
      <c r="B6445" t="s">
        <v>32435</v>
      </c>
      <c r="C6445" t="str">
        <f>"9780773501430"</f>
        <v>9780773501430</v>
      </c>
      <c r="D6445" t="str">
        <f>"9780773593367"</f>
        <v>9780773593367</v>
      </c>
      <c r="E6445" t="s">
        <v>12863</v>
      </c>
      <c r="F6445" t="s">
        <v>12863</v>
      </c>
      <c r="G6445" s="1">
        <v>26299</v>
      </c>
      <c r="J6445" t="s">
        <v>32436</v>
      </c>
      <c r="K6445" t="s">
        <v>467</v>
      </c>
      <c r="L6445" t="s">
        <v>32437</v>
      </c>
      <c r="O6445" t="s">
        <v>26</v>
      </c>
      <c r="P6445">
        <v>112.5</v>
      </c>
      <c r="Q6445">
        <v>93.75</v>
      </c>
      <c r="R6445">
        <v>75</v>
      </c>
      <c r="S6445">
        <v>112.5</v>
      </c>
      <c r="T6445" t="s">
        <v>32438</v>
      </c>
    </row>
    <row r="6446" spans="1:20">
      <c r="A6446">
        <v>4517003</v>
      </c>
      <c r="B6446" t="s">
        <v>32439</v>
      </c>
      <c r="C6446" t="str">
        <f>"9780773503007"</f>
        <v>9780773503007</v>
      </c>
      <c r="D6446" t="str">
        <f>"9780773593374"</f>
        <v>9780773593374</v>
      </c>
      <c r="E6446" t="s">
        <v>12863</v>
      </c>
      <c r="F6446" t="s">
        <v>12863</v>
      </c>
      <c r="G6446" s="1">
        <v>28126</v>
      </c>
      <c r="J6446" t="s">
        <v>32440</v>
      </c>
      <c r="K6446" t="s">
        <v>1464</v>
      </c>
      <c r="L6446" t="s">
        <v>32441</v>
      </c>
      <c r="O6446" t="s">
        <v>26</v>
      </c>
      <c r="P6446">
        <v>112.5</v>
      </c>
      <c r="Q6446">
        <v>93.75</v>
      </c>
      <c r="R6446">
        <v>75</v>
      </c>
      <c r="S6446">
        <v>112.5</v>
      </c>
      <c r="T6446" t="s">
        <v>32442</v>
      </c>
    </row>
    <row r="6447" spans="1:20">
      <c r="A6447">
        <v>4517005</v>
      </c>
      <c r="B6447" t="s">
        <v>32443</v>
      </c>
      <c r="C6447" t="str">
        <f>"9780773502932"</f>
        <v>9780773502932</v>
      </c>
      <c r="D6447" t="str">
        <f>"9780773593381"</f>
        <v>9780773593381</v>
      </c>
      <c r="E6447" t="s">
        <v>12863</v>
      </c>
      <c r="F6447" t="s">
        <v>12863</v>
      </c>
      <c r="G6447" s="1">
        <v>28126</v>
      </c>
      <c r="J6447" t="s">
        <v>32444</v>
      </c>
      <c r="K6447" t="s">
        <v>305</v>
      </c>
      <c r="L6447" t="s">
        <v>32445</v>
      </c>
      <c r="O6447" t="s">
        <v>26</v>
      </c>
      <c r="P6447">
        <v>112.5</v>
      </c>
      <c r="Q6447">
        <v>93.75</v>
      </c>
      <c r="R6447">
        <v>75</v>
      </c>
      <c r="S6447">
        <v>112.5</v>
      </c>
      <c r="T6447" t="s">
        <v>32446</v>
      </c>
    </row>
    <row r="6448" spans="1:20">
      <c r="A6448">
        <v>4517006</v>
      </c>
      <c r="B6448" t="s">
        <v>32447</v>
      </c>
      <c r="C6448" t="str">
        <f>"9780773503670"</f>
        <v>9780773503670</v>
      </c>
      <c r="D6448" t="str">
        <f>"9780773593398"</f>
        <v>9780773593398</v>
      </c>
      <c r="E6448" t="s">
        <v>12863</v>
      </c>
      <c r="F6448" t="s">
        <v>12863</v>
      </c>
      <c r="G6448" s="1">
        <v>29587</v>
      </c>
      <c r="I6448" t="s">
        <v>14112</v>
      </c>
      <c r="J6448" t="s">
        <v>32448</v>
      </c>
      <c r="K6448" t="s">
        <v>525</v>
      </c>
      <c r="L6448" t="s">
        <v>32449</v>
      </c>
      <c r="N6448" t="s">
        <v>32450</v>
      </c>
      <c r="O6448" t="s">
        <v>26</v>
      </c>
      <c r="P6448">
        <v>127.5</v>
      </c>
      <c r="Q6448">
        <v>106.25</v>
      </c>
      <c r="R6448">
        <v>85</v>
      </c>
      <c r="S6448">
        <v>127.5</v>
      </c>
      <c r="T6448" t="s">
        <v>32451</v>
      </c>
    </row>
    <row r="6449" spans="1:20">
      <c r="A6449">
        <v>4517008</v>
      </c>
      <c r="B6449" t="s">
        <v>32452</v>
      </c>
      <c r="C6449" t="str">
        <f>"9780773501904"</f>
        <v>9780773501904</v>
      </c>
      <c r="D6449" t="str">
        <f>"9780773593404"</f>
        <v>9780773593404</v>
      </c>
      <c r="E6449" t="s">
        <v>12863</v>
      </c>
      <c r="F6449" t="s">
        <v>12863</v>
      </c>
      <c r="G6449" s="1">
        <v>27760</v>
      </c>
      <c r="J6449" t="s">
        <v>32453</v>
      </c>
      <c r="K6449" t="s">
        <v>1892</v>
      </c>
      <c r="L6449" t="s">
        <v>32454</v>
      </c>
      <c r="O6449" t="s">
        <v>26</v>
      </c>
      <c r="P6449">
        <v>112.5</v>
      </c>
      <c r="Q6449">
        <v>93.75</v>
      </c>
      <c r="R6449">
        <v>75</v>
      </c>
      <c r="S6449">
        <v>112.5</v>
      </c>
      <c r="T6449" t="s">
        <v>32455</v>
      </c>
    </row>
    <row r="6450" spans="1:20">
      <c r="A6450">
        <v>4517009</v>
      </c>
      <c r="B6450" t="s">
        <v>32456</v>
      </c>
      <c r="C6450" t="str">
        <f>"9780773500358"</f>
        <v>9780773500358</v>
      </c>
      <c r="D6450" t="str">
        <f>"9780773593411"</f>
        <v>9780773593411</v>
      </c>
      <c r="E6450" t="s">
        <v>12863</v>
      </c>
      <c r="F6450" t="s">
        <v>12863</v>
      </c>
      <c r="G6450" s="1">
        <v>24108</v>
      </c>
      <c r="J6450" t="s">
        <v>32457</v>
      </c>
      <c r="K6450" t="s">
        <v>7075</v>
      </c>
      <c r="L6450" t="s">
        <v>32458</v>
      </c>
      <c r="O6450" t="s">
        <v>26</v>
      </c>
      <c r="P6450">
        <v>112.5</v>
      </c>
      <c r="Q6450">
        <v>93.75</v>
      </c>
      <c r="R6450">
        <v>75</v>
      </c>
      <c r="S6450">
        <v>112.5</v>
      </c>
      <c r="T6450" t="s">
        <v>32459</v>
      </c>
    </row>
    <row r="6451" spans="1:20">
      <c r="A6451">
        <v>4517011</v>
      </c>
      <c r="B6451" t="s">
        <v>32460</v>
      </c>
      <c r="C6451" t="str">
        <f>"9780773502901"</f>
        <v>9780773502901</v>
      </c>
      <c r="D6451" t="str">
        <f>"9780773593428"</f>
        <v>9780773593428</v>
      </c>
      <c r="E6451" t="s">
        <v>12863</v>
      </c>
      <c r="F6451" t="s">
        <v>12863</v>
      </c>
      <c r="G6451" s="1">
        <v>28126</v>
      </c>
      <c r="J6451" t="s">
        <v>32461</v>
      </c>
      <c r="L6451" t="s">
        <v>32462</v>
      </c>
      <c r="O6451" t="s">
        <v>26</v>
      </c>
      <c r="P6451">
        <v>112.5</v>
      </c>
      <c r="Q6451">
        <v>93.75</v>
      </c>
      <c r="R6451">
        <v>75</v>
      </c>
      <c r="S6451">
        <v>112.5</v>
      </c>
      <c r="T6451" t="s">
        <v>32463</v>
      </c>
    </row>
    <row r="6452" spans="1:20">
      <c r="A6452">
        <v>4517013</v>
      </c>
      <c r="B6452" t="s">
        <v>32464</v>
      </c>
      <c r="C6452" t="str">
        <f>"9780773501799"</f>
        <v>9780773501799</v>
      </c>
      <c r="D6452" t="str">
        <f>"9780773593435"</f>
        <v>9780773593435</v>
      </c>
      <c r="E6452" t="s">
        <v>12863</v>
      </c>
      <c r="F6452" t="s">
        <v>12863</v>
      </c>
      <c r="G6452" s="1">
        <v>26665</v>
      </c>
      <c r="J6452" t="s">
        <v>32465</v>
      </c>
      <c r="K6452" t="s">
        <v>1859</v>
      </c>
      <c r="L6452" t="s">
        <v>32466</v>
      </c>
      <c r="O6452" t="s">
        <v>26</v>
      </c>
      <c r="P6452">
        <v>112.5</v>
      </c>
      <c r="Q6452">
        <v>93.75</v>
      </c>
      <c r="R6452">
        <v>75</v>
      </c>
      <c r="S6452">
        <v>112.5</v>
      </c>
      <c r="T6452" t="s">
        <v>32467</v>
      </c>
    </row>
    <row r="6453" spans="1:20">
      <c r="A6453">
        <v>4517015</v>
      </c>
      <c r="B6453" t="s">
        <v>32468</v>
      </c>
      <c r="C6453" t="str">
        <f>"9780773502239"</f>
        <v>9780773502239</v>
      </c>
      <c r="D6453" t="str">
        <f>"9780773593442"</f>
        <v>9780773593442</v>
      </c>
      <c r="E6453" t="s">
        <v>12863</v>
      </c>
      <c r="F6453" t="s">
        <v>12863</v>
      </c>
      <c r="G6453" s="1">
        <v>27030</v>
      </c>
      <c r="J6453" t="s">
        <v>32469</v>
      </c>
      <c r="K6453" t="s">
        <v>257</v>
      </c>
      <c r="L6453" t="s">
        <v>32470</v>
      </c>
      <c r="O6453" t="s">
        <v>26</v>
      </c>
      <c r="P6453">
        <v>112.5</v>
      </c>
      <c r="Q6453">
        <v>93.75</v>
      </c>
      <c r="R6453">
        <v>75</v>
      </c>
      <c r="S6453">
        <v>112.5</v>
      </c>
      <c r="T6453" t="s">
        <v>32471</v>
      </c>
    </row>
    <row r="6454" spans="1:20">
      <c r="A6454">
        <v>4517017</v>
      </c>
      <c r="B6454" t="s">
        <v>32472</v>
      </c>
      <c r="C6454" t="str">
        <f>"9780773500976"</f>
        <v>9780773500976</v>
      </c>
      <c r="D6454" t="str">
        <f>"9780773593459"</f>
        <v>9780773593459</v>
      </c>
      <c r="E6454" t="s">
        <v>12863</v>
      </c>
      <c r="F6454" t="s">
        <v>12863</v>
      </c>
      <c r="G6454" s="1">
        <v>26299</v>
      </c>
      <c r="J6454" t="s">
        <v>32473</v>
      </c>
      <c r="K6454" t="s">
        <v>1464</v>
      </c>
      <c r="L6454" t="s">
        <v>32474</v>
      </c>
      <c r="O6454" t="s">
        <v>26</v>
      </c>
      <c r="P6454">
        <v>112.5</v>
      </c>
      <c r="Q6454">
        <v>93.75</v>
      </c>
      <c r="R6454">
        <v>75</v>
      </c>
      <c r="S6454">
        <v>112.5</v>
      </c>
      <c r="T6454" t="s">
        <v>32475</v>
      </c>
    </row>
    <row r="6455" spans="1:20">
      <c r="A6455">
        <v>4517018</v>
      </c>
      <c r="B6455" t="s">
        <v>32476</v>
      </c>
      <c r="C6455" t="str">
        <f>"9780773502581"</f>
        <v>9780773502581</v>
      </c>
      <c r="D6455" t="str">
        <f>"9780773593480"</f>
        <v>9780773593480</v>
      </c>
      <c r="E6455" t="s">
        <v>12863</v>
      </c>
      <c r="F6455" t="s">
        <v>12863</v>
      </c>
      <c r="G6455" s="1">
        <v>27760</v>
      </c>
      <c r="J6455" t="s">
        <v>12714</v>
      </c>
      <c r="K6455" t="s">
        <v>257</v>
      </c>
      <c r="L6455" t="s">
        <v>32477</v>
      </c>
      <c r="O6455" t="s">
        <v>26</v>
      </c>
      <c r="P6455">
        <v>112.5</v>
      </c>
      <c r="Q6455">
        <v>93.75</v>
      </c>
      <c r="R6455">
        <v>75</v>
      </c>
      <c r="S6455">
        <v>112.5</v>
      </c>
      <c r="T6455" t="s">
        <v>32478</v>
      </c>
    </row>
    <row r="6456" spans="1:20">
      <c r="A6456">
        <v>4517022</v>
      </c>
      <c r="B6456" t="s">
        <v>32479</v>
      </c>
      <c r="C6456" t="str">
        <f>"9780773500044"</f>
        <v>9780773500044</v>
      </c>
      <c r="D6456" t="str">
        <f>"9780773593497"</f>
        <v>9780773593497</v>
      </c>
      <c r="E6456" t="s">
        <v>12863</v>
      </c>
      <c r="F6456" t="s">
        <v>12863</v>
      </c>
      <c r="G6456" s="1">
        <v>22282</v>
      </c>
      <c r="J6456" t="s">
        <v>32480</v>
      </c>
      <c r="K6456" t="s">
        <v>2260</v>
      </c>
      <c r="L6456" t="s">
        <v>32481</v>
      </c>
      <c r="O6456" t="s">
        <v>26</v>
      </c>
      <c r="P6456">
        <v>112.5</v>
      </c>
      <c r="Q6456">
        <v>93.75</v>
      </c>
      <c r="R6456">
        <v>75</v>
      </c>
      <c r="S6456">
        <v>112.5</v>
      </c>
      <c r="T6456" t="s">
        <v>32482</v>
      </c>
    </row>
    <row r="6457" spans="1:20">
      <c r="A6457">
        <v>4517023</v>
      </c>
      <c r="B6457" t="s">
        <v>32483</v>
      </c>
      <c r="C6457" t="str">
        <f>"9780773501645"</f>
        <v>9780773501645</v>
      </c>
      <c r="D6457" t="str">
        <f>"9780773593527"</f>
        <v>9780773593527</v>
      </c>
      <c r="E6457" t="s">
        <v>12863</v>
      </c>
      <c r="F6457" t="s">
        <v>12863</v>
      </c>
      <c r="G6457" s="1">
        <v>27395</v>
      </c>
      <c r="J6457" t="s">
        <v>32484</v>
      </c>
      <c r="K6457" t="s">
        <v>291</v>
      </c>
      <c r="L6457" t="s">
        <v>32485</v>
      </c>
      <c r="O6457" t="s">
        <v>26</v>
      </c>
      <c r="P6457">
        <v>112.5</v>
      </c>
      <c r="Q6457">
        <v>93.75</v>
      </c>
      <c r="R6457">
        <v>75</v>
      </c>
      <c r="S6457">
        <v>112.5</v>
      </c>
      <c r="T6457" t="s">
        <v>32486</v>
      </c>
    </row>
    <row r="6458" spans="1:20">
      <c r="A6458">
        <v>4517025</v>
      </c>
      <c r="B6458" t="s">
        <v>32487</v>
      </c>
      <c r="C6458" t="str">
        <f>"9780773501911"</f>
        <v>9780773501911</v>
      </c>
      <c r="D6458" t="str">
        <f>"9780773593534"</f>
        <v>9780773593534</v>
      </c>
      <c r="E6458" t="s">
        <v>12863</v>
      </c>
      <c r="F6458" t="s">
        <v>12863</v>
      </c>
      <c r="G6458" s="1">
        <v>26665</v>
      </c>
      <c r="J6458" t="s">
        <v>32488</v>
      </c>
      <c r="K6458" t="s">
        <v>7075</v>
      </c>
      <c r="L6458" t="s">
        <v>32489</v>
      </c>
      <c r="O6458" t="s">
        <v>26</v>
      </c>
      <c r="P6458">
        <v>112.5</v>
      </c>
      <c r="Q6458">
        <v>93.75</v>
      </c>
      <c r="R6458">
        <v>75</v>
      </c>
      <c r="S6458">
        <v>112.5</v>
      </c>
      <c r="T6458" t="s">
        <v>32490</v>
      </c>
    </row>
    <row r="6459" spans="1:20">
      <c r="A6459">
        <v>4517026</v>
      </c>
      <c r="B6459" t="s">
        <v>32491</v>
      </c>
      <c r="C6459" t="str">
        <f>"9780773590687"</f>
        <v>9780773590687</v>
      </c>
      <c r="D6459" t="str">
        <f>"9780773593541"</f>
        <v>9780773593541</v>
      </c>
      <c r="E6459" t="s">
        <v>12863</v>
      </c>
      <c r="F6459" t="s">
        <v>12863</v>
      </c>
      <c r="G6459" s="1">
        <v>25569</v>
      </c>
      <c r="I6459" t="s">
        <v>32213</v>
      </c>
      <c r="J6459" t="s">
        <v>32492</v>
      </c>
      <c r="K6459" t="s">
        <v>263</v>
      </c>
      <c r="L6459" t="s">
        <v>32493</v>
      </c>
      <c r="O6459" t="s">
        <v>26</v>
      </c>
      <c r="P6459">
        <v>112.5</v>
      </c>
      <c r="Q6459">
        <v>93.75</v>
      </c>
      <c r="R6459">
        <v>75</v>
      </c>
      <c r="S6459">
        <v>112.5</v>
      </c>
      <c r="T6459" t="s">
        <v>32494</v>
      </c>
    </row>
    <row r="6460" spans="1:20">
      <c r="A6460">
        <v>4517028</v>
      </c>
      <c r="B6460" t="s">
        <v>32495</v>
      </c>
      <c r="C6460" t="str">
        <f>"9780773501522"</f>
        <v>9780773501522</v>
      </c>
      <c r="D6460" t="str">
        <f>"9780773593558"</f>
        <v>9780773593558</v>
      </c>
      <c r="E6460" t="s">
        <v>12863</v>
      </c>
      <c r="F6460" t="s">
        <v>12863</v>
      </c>
      <c r="G6460" s="1">
        <v>26299</v>
      </c>
      <c r="J6460" t="s">
        <v>32496</v>
      </c>
      <c r="K6460" t="s">
        <v>291</v>
      </c>
      <c r="L6460" t="s">
        <v>32497</v>
      </c>
      <c r="O6460" t="s">
        <v>26</v>
      </c>
      <c r="P6460">
        <v>112.5</v>
      </c>
      <c r="Q6460">
        <v>93.75</v>
      </c>
      <c r="R6460">
        <v>75</v>
      </c>
      <c r="S6460">
        <v>112.5</v>
      </c>
      <c r="T6460" t="s">
        <v>32498</v>
      </c>
    </row>
    <row r="6461" spans="1:20">
      <c r="A6461">
        <v>4517029</v>
      </c>
      <c r="B6461" t="s">
        <v>32499</v>
      </c>
      <c r="C6461" t="str">
        <f>"9780773503120"</f>
        <v>9780773503120</v>
      </c>
      <c r="D6461" t="str">
        <f>"9780773593565"</f>
        <v>9780773593565</v>
      </c>
      <c r="E6461" t="s">
        <v>12863</v>
      </c>
      <c r="F6461" t="s">
        <v>12863</v>
      </c>
      <c r="G6461" s="1">
        <v>28491</v>
      </c>
      <c r="J6461" t="s">
        <v>32500</v>
      </c>
      <c r="K6461" t="s">
        <v>467</v>
      </c>
      <c r="L6461" t="s">
        <v>32501</v>
      </c>
      <c r="O6461" t="s">
        <v>26</v>
      </c>
      <c r="P6461">
        <v>112.5</v>
      </c>
      <c r="Q6461">
        <v>93.75</v>
      </c>
      <c r="R6461">
        <v>75</v>
      </c>
      <c r="S6461">
        <v>112.5</v>
      </c>
      <c r="T6461" t="s">
        <v>32502</v>
      </c>
    </row>
    <row r="6462" spans="1:20">
      <c r="A6462">
        <v>4517030</v>
      </c>
      <c r="B6462" t="s">
        <v>32503</v>
      </c>
      <c r="C6462" t="str">
        <f>"9780773500945"</f>
        <v>9780773500945</v>
      </c>
      <c r="D6462" t="str">
        <f>"9780773593572"</f>
        <v>9780773593572</v>
      </c>
      <c r="E6462" t="s">
        <v>12863</v>
      </c>
      <c r="F6462" t="s">
        <v>12863</v>
      </c>
      <c r="G6462" s="1">
        <v>25569</v>
      </c>
      <c r="J6462" t="s">
        <v>32504</v>
      </c>
      <c r="K6462" t="s">
        <v>305</v>
      </c>
      <c r="L6462" t="s">
        <v>32505</v>
      </c>
      <c r="O6462" t="s">
        <v>26</v>
      </c>
      <c r="P6462">
        <v>112.5</v>
      </c>
      <c r="Q6462">
        <v>93.75</v>
      </c>
      <c r="R6462">
        <v>75</v>
      </c>
      <c r="S6462">
        <v>112.5</v>
      </c>
      <c r="T6462" t="s">
        <v>32506</v>
      </c>
    </row>
    <row r="6463" spans="1:20">
      <c r="A6463">
        <v>4517032</v>
      </c>
      <c r="B6463" t="s">
        <v>32507</v>
      </c>
      <c r="C6463" t="str">
        <f>"9780773503465"</f>
        <v>9780773503465</v>
      </c>
      <c r="D6463" t="str">
        <f>"9780773593589"</f>
        <v>9780773593589</v>
      </c>
      <c r="E6463" t="s">
        <v>12863</v>
      </c>
      <c r="F6463" t="s">
        <v>12863</v>
      </c>
      <c r="G6463" s="1">
        <v>28856</v>
      </c>
      <c r="J6463" t="s">
        <v>32508</v>
      </c>
      <c r="O6463" t="s">
        <v>26</v>
      </c>
      <c r="P6463">
        <v>112.5</v>
      </c>
      <c r="Q6463">
        <v>93.75</v>
      </c>
      <c r="R6463">
        <v>75</v>
      </c>
      <c r="S6463">
        <v>112.5</v>
      </c>
      <c r="T6463" t="s">
        <v>32509</v>
      </c>
    </row>
    <row r="6464" spans="1:20">
      <c r="A6464">
        <v>4517033</v>
      </c>
      <c r="B6464" t="s">
        <v>32510</v>
      </c>
      <c r="C6464" t="str">
        <f>"9780773505179"</f>
        <v>9780773505179</v>
      </c>
      <c r="D6464" t="str">
        <f>"9780773593596"</f>
        <v>9780773593596</v>
      </c>
      <c r="E6464" t="s">
        <v>12863</v>
      </c>
      <c r="F6464" t="s">
        <v>12863</v>
      </c>
      <c r="G6464" s="1">
        <v>29221</v>
      </c>
      <c r="J6464" t="s">
        <v>32511</v>
      </c>
      <c r="K6464" t="s">
        <v>305</v>
      </c>
      <c r="L6464" t="s">
        <v>32512</v>
      </c>
      <c r="O6464" t="s">
        <v>26</v>
      </c>
      <c r="P6464">
        <v>112.5</v>
      </c>
      <c r="Q6464">
        <v>93.75</v>
      </c>
      <c r="R6464">
        <v>75</v>
      </c>
      <c r="S6464">
        <v>112.5</v>
      </c>
      <c r="T6464" t="s">
        <v>32513</v>
      </c>
    </row>
    <row r="6465" spans="1:20">
      <c r="A6465">
        <v>4517034</v>
      </c>
      <c r="B6465" t="s">
        <v>32514</v>
      </c>
      <c r="C6465" t="str">
        <f>"9780773500952"</f>
        <v>9780773500952</v>
      </c>
      <c r="D6465" t="str">
        <f>"9780773593602"</f>
        <v>9780773593602</v>
      </c>
      <c r="E6465" t="s">
        <v>12863</v>
      </c>
      <c r="F6465" t="s">
        <v>12863</v>
      </c>
      <c r="G6465" s="1">
        <v>25569</v>
      </c>
      <c r="J6465" t="s">
        <v>32515</v>
      </c>
      <c r="K6465" t="s">
        <v>305</v>
      </c>
      <c r="L6465" t="s">
        <v>32516</v>
      </c>
      <c r="O6465" t="s">
        <v>26</v>
      </c>
      <c r="P6465">
        <v>112.5</v>
      </c>
      <c r="Q6465">
        <v>93.75</v>
      </c>
      <c r="R6465">
        <v>75</v>
      </c>
      <c r="S6465">
        <v>112.5</v>
      </c>
      <c r="T6465" t="s">
        <v>32517</v>
      </c>
    </row>
    <row r="6466" spans="1:20">
      <c r="A6466">
        <v>4517036</v>
      </c>
      <c r="B6466" t="s">
        <v>32518</v>
      </c>
      <c r="C6466" t="str">
        <f>"9780773503502"</f>
        <v>9780773503502</v>
      </c>
      <c r="D6466" t="str">
        <f>"9780773593619"</f>
        <v>9780773593619</v>
      </c>
      <c r="E6466" t="s">
        <v>12863</v>
      </c>
      <c r="F6466" t="s">
        <v>12863</v>
      </c>
      <c r="G6466" s="1">
        <v>29221</v>
      </c>
      <c r="J6466" t="s">
        <v>32519</v>
      </c>
      <c r="K6466" t="s">
        <v>467</v>
      </c>
      <c r="L6466" t="s">
        <v>32520</v>
      </c>
      <c r="O6466" t="s">
        <v>26</v>
      </c>
      <c r="P6466">
        <v>112.5</v>
      </c>
      <c r="Q6466">
        <v>93.75</v>
      </c>
      <c r="R6466">
        <v>75</v>
      </c>
      <c r="S6466">
        <v>112.5</v>
      </c>
      <c r="T6466" t="s">
        <v>32521</v>
      </c>
    </row>
    <row r="6467" spans="1:20">
      <c r="A6467">
        <v>4517038</v>
      </c>
      <c r="B6467" t="s">
        <v>32522</v>
      </c>
      <c r="C6467" t="str">
        <f>"9780773500655"</f>
        <v>9780773500655</v>
      </c>
      <c r="D6467" t="str">
        <f>"9780773593626"</f>
        <v>9780773593626</v>
      </c>
      <c r="E6467" t="s">
        <v>12863</v>
      </c>
      <c r="F6467" t="s">
        <v>12863</v>
      </c>
      <c r="G6467" s="1">
        <v>25934</v>
      </c>
      <c r="J6467" t="s">
        <v>32523</v>
      </c>
      <c r="K6467" t="s">
        <v>305</v>
      </c>
      <c r="L6467" t="s">
        <v>32524</v>
      </c>
      <c r="O6467" t="s">
        <v>26</v>
      </c>
      <c r="P6467">
        <v>112.5</v>
      </c>
      <c r="Q6467">
        <v>93.75</v>
      </c>
      <c r="R6467">
        <v>75</v>
      </c>
      <c r="S6467">
        <v>112.5</v>
      </c>
      <c r="T6467" t="s">
        <v>32525</v>
      </c>
    </row>
    <row r="6468" spans="1:20">
      <c r="A6468">
        <v>4517039</v>
      </c>
      <c r="B6468" t="s">
        <v>32526</v>
      </c>
      <c r="C6468" t="str">
        <f>"9780773542327"</f>
        <v>9780773542327</v>
      </c>
      <c r="D6468" t="str">
        <f>"9780773593633"</f>
        <v>9780773593633</v>
      </c>
      <c r="E6468" t="s">
        <v>12863</v>
      </c>
      <c r="F6468" t="s">
        <v>12863</v>
      </c>
      <c r="G6468" s="1">
        <v>25204</v>
      </c>
      <c r="J6468" t="s">
        <v>32527</v>
      </c>
      <c r="K6468" t="s">
        <v>136</v>
      </c>
      <c r="L6468" t="s">
        <v>32528</v>
      </c>
      <c r="O6468" t="s">
        <v>26</v>
      </c>
      <c r="P6468">
        <v>112.5</v>
      </c>
      <c r="Q6468">
        <v>93.75</v>
      </c>
      <c r="R6468">
        <v>75</v>
      </c>
      <c r="S6468">
        <v>112.5</v>
      </c>
      <c r="T6468" t="s">
        <v>32529</v>
      </c>
    </row>
    <row r="6469" spans="1:20">
      <c r="A6469">
        <v>4517040</v>
      </c>
      <c r="B6469" t="s">
        <v>32530</v>
      </c>
      <c r="C6469" t="str">
        <f>"9780773542334"</f>
        <v>9780773542334</v>
      </c>
      <c r="D6469" t="str">
        <f>"9780773593640"</f>
        <v>9780773593640</v>
      </c>
      <c r="E6469" t="s">
        <v>12863</v>
      </c>
      <c r="F6469" t="s">
        <v>12863</v>
      </c>
      <c r="G6469" s="1">
        <v>25934</v>
      </c>
      <c r="J6469" t="s">
        <v>32531</v>
      </c>
      <c r="K6469" t="s">
        <v>1464</v>
      </c>
      <c r="L6469" t="s">
        <v>32532</v>
      </c>
      <c r="O6469" t="s">
        <v>26</v>
      </c>
      <c r="P6469">
        <v>112.5</v>
      </c>
      <c r="Q6469">
        <v>93.75</v>
      </c>
      <c r="R6469">
        <v>75</v>
      </c>
      <c r="S6469">
        <v>112.5</v>
      </c>
      <c r="T6469" t="s">
        <v>32533</v>
      </c>
    </row>
    <row r="6470" spans="1:20">
      <c r="A6470">
        <v>4517041</v>
      </c>
      <c r="B6470" t="s">
        <v>32534</v>
      </c>
      <c r="C6470" t="str">
        <f>"9780773500457"</f>
        <v>9780773500457</v>
      </c>
      <c r="D6470" t="str">
        <f>"9780773593657"</f>
        <v>9780773593657</v>
      </c>
      <c r="E6470" t="s">
        <v>12863</v>
      </c>
      <c r="F6470" t="s">
        <v>12863</v>
      </c>
      <c r="G6470" s="1">
        <v>24838</v>
      </c>
      <c r="J6470" t="s">
        <v>32535</v>
      </c>
      <c r="K6470" t="s">
        <v>305</v>
      </c>
      <c r="L6470" t="s">
        <v>32536</v>
      </c>
      <c r="O6470" t="s">
        <v>26</v>
      </c>
      <c r="P6470">
        <v>112.5</v>
      </c>
      <c r="Q6470">
        <v>93.75</v>
      </c>
      <c r="R6470">
        <v>75</v>
      </c>
      <c r="S6470">
        <v>112.5</v>
      </c>
      <c r="T6470" t="s">
        <v>32537</v>
      </c>
    </row>
    <row r="6471" spans="1:20">
      <c r="A6471">
        <v>4517042</v>
      </c>
      <c r="B6471" t="s">
        <v>32538</v>
      </c>
      <c r="C6471" t="str">
        <f>"9780773501478"</f>
        <v>9780773501478</v>
      </c>
      <c r="D6471" t="str">
        <f>"9780773593671"</f>
        <v>9780773593671</v>
      </c>
      <c r="E6471" t="s">
        <v>12863</v>
      </c>
      <c r="F6471" t="s">
        <v>12863</v>
      </c>
      <c r="G6471" s="1">
        <v>27030</v>
      </c>
      <c r="J6471" t="s">
        <v>32539</v>
      </c>
      <c r="K6471" t="s">
        <v>291</v>
      </c>
      <c r="L6471" t="s">
        <v>32540</v>
      </c>
      <c r="O6471" t="s">
        <v>26</v>
      </c>
      <c r="P6471">
        <v>112.5</v>
      </c>
      <c r="Q6471">
        <v>93.75</v>
      </c>
      <c r="R6471">
        <v>75</v>
      </c>
      <c r="S6471">
        <v>112.5</v>
      </c>
      <c r="T6471" t="s">
        <v>32541</v>
      </c>
    </row>
    <row r="6472" spans="1:20">
      <c r="A6472">
        <v>4517044</v>
      </c>
      <c r="B6472" t="s">
        <v>32542</v>
      </c>
      <c r="C6472" t="str">
        <f>"9780773500662"</f>
        <v>9780773500662</v>
      </c>
      <c r="D6472" t="str">
        <f>"9780773593688"</f>
        <v>9780773593688</v>
      </c>
      <c r="E6472" t="s">
        <v>12863</v>
      </c>
      <c r="F6472" t="s">
        <v>12863</v>
      </c>
      <c r="G6472" s="1">
        <v>25934</v>
      </c>
      <c r="J6472" t="s">
        <v>32543</v>
      </c>
      <c r="K6472" t="s">
        <v>3951</v>
      </c>
      <c r="L6472" t="s">
        <v>32544</v>
      </c>
      <c r="O6472" t="s">
        <v>26</v>
      </c>
      <c r="P6472">
        <v>112.5</v>
      </c>
      <c r="Q6472">
        <v>93.75</v>
      </c>
      <c r="R6472">
        <v>75</v>
      </c>
      <c r="S6472">
        <v>112.5</v>
      </c>
      <c r="T6472" t="s">
        <v>32545</v>
      </c>
    </row>
    <row r="6473" spans="1:20">
      <c r="A6473">
        <v>4517045</v>
      </c>
      <c r="B6473" t="s">
        <v>32546</v>
      </c>
      <c r="C6473" t="str">
        <f>"9780773502376"</f>
        <v>9780773502376</v>
      </c>
      <c r="D6473" t="str">
        <f>"9780773593701"</f>
        <v>9780773593701</v>
      </c>
      <c r="E6473" t="s">
        <v>12863</v>
      </c>
      <c r="F6473" t="s">
        <v>12863</v>
      </c>
      <c r="G6473" s="1">
        <v>27395</v>
      </c>
      <c r="J6473" t="s">
        <v>32547</v>
      </c>
      <c r="O6473" t="s">
        <v>26</v>
      </c>
      <c r="P6473">
        <v>112.5</v>
      </c>
      <c r="Q6473">
        <v>93.75</v>
      </c>
      <c r="R6473">
        <v>75</v>
      </c>
      <c r="S6473">
        <v>112.5</v>
      </c>
      <c r="T6473" t="s">
        <v>32548</v>
      </c>
    </row>
    <row r="6474" spans="1:20">
      <c r="A6474">
        <v>4517046</v>
      </c>
      <c r="B6474" t="s">
        <v>32549</v>
      </c>
      <c r="C6474" t="str">
        <f>"9780773508644"</f>
        <v>9780773508644</v>
      </c>
      <c r="D6474" t="str">
        <f>"9780773593725"</f>
        <v>9780773593725</v>
      </c>
      <c r="E6474" t="s">
        <v>12863</v>
      </c>
      <c r="F6474" t="s">
        <v>12863</v>
      </c>
      <c r="G6474" s="1">
        <v>33239</v>
      </c>
      <c r="J6474" t="s">
        <v>14229</v>
      </c>
      <c r="K6474" t="s">
        <v>467</v>
      </c>
      <c r="L6474" t="s">
        <v>32550</v>
      </c>
      <c r="O6474" t="s">
        <v>26</v>
      </c>
      <c r="P6474">
        <v>150</v>
      </c>
      <c r="Q6474">
        <v>125</v>
      </c>
      <c r="R6474">
        <v>100</v>
      </c>
      <c r="S6474">
        <v>150</v>
      </c>
      <c r="T6474" t="s">
        <v>32551</v>
      </c>
    </row>
    <row r="6475" spans="1:20">
      <c r="A6475">
        <v>4517048</v>
      </c>
      <c r="B6475" t="s">
        <v>32552</v>
      </c>
      <c r="C6475" t="str">
        <f>"9780773501300"</f>
        <v>9780773501300</v>
      </c>
      <c r="D6475" t="str">
        <f>"9780773593732"</f>
        <v>9780773593732</v>
      </c>
      <c r="E6475" t="s">
        <v>12863</v>
      </c>
      <c r="F6475" t="s">
        <v>12863</v>
      </c>
      <c r="G6475" s="1">
        <v>26665</v>
      </c>
      <c r="J6475" t="s">
        <v>32553</v>
      </c>
      <c r="K6475" t="s">
        <v>1464</v>
      </c>
      <c r="L6475" t="s">
        <v>32554</v>
      </c>
      <c r="O6475" t="s">
        <v>26</v>
      </c>
      <c r="P6475">
        <v>112.5</v>
      </c>
      <c r="Q6475">
        <v>93.75</v>
      </c>
      <c r="R6475">
        <v>75</v>
      </c>
      <c r="S6475">
        <v>112.5</v>
      </c>
      <c r="T6475" t="s">
        <v>32555</v>
      </c>
    </row>
    <row r="6476" spans="1:20">
      <c r="A6476">
        <v>4517049</v>
      </c>
      <c r="B6476" t="s">
        <v>32556</v>
      </c>
      <c r="C6476" t="str">
        <f>"9780773502178"</f>
        <v>9780773502178</v>
      </c>
      <c r="D6476" t="str">
        <f>"9780773593749"</f>
        <v>9780773593749</v>
      </c>
      <c r="E6476" t="s">
        <v>12863</v>
      </c>
      <c r="F6476" t="s">
        <v>12863</v>
      </c>
      <c r="G6476" s="1">
        <v>27030</v>
      </c>
      <c r="J6476" t="s">
        <v>32557</v>
      </c>
      <c r="K6476" t="s">
        <v>3230</v>
      </c>
      <c r="L6476" t="s">
        <v>32558</v>
      </c>
      <c r="O6476" t="s">
        <v>26</v>
      </c>
      <c r="P6476">
        <v>112.5</v>
      </c>
      <c r="Q6476">
        <v>93.75</v>
      </c>
      <c r="R6476">
        <v>75</v>
      </c>
      <c r="S6476">
        <v>112.5</v>
      </c>
      <c r="T6476" t="s">
        <v>32559</v>
      </c>
    </row>
    <row r="6477" spans="1:20">
      <c r="A6477">
        <v>4517051</v>
      </c>
      <c r="B6477" t="s">
        <v>32560</v>
      </c>
      <c r="C6477" t="str">
        <f>"9780773542341"</f>
        <v>9780773542341</v>
      </c>
      <c r="D6477" t="str">
        <f>"9780773593756"</f>
        <v>9780773593756</v>
      </c>
      <c r="E6477" t="s">
        <v>12863</v>
      </c>
      <c r="F6477" t="s">
        <v>12863</v>
      </c>
      <c r="G6477" s="1">
        <v>25204</v>
      </c>
      <c r="J6477" t="s">
        <v>32561</v>
      </c>
      <c r="K6477" t="s">
        <v>257</v>
      </c>
      <c r="L6477" t="s">
        <v>32562</v>
      </c>
      <c r="O6477" t="s">
        <v>26</v>
      </c>
      <c r="P6477">
        <v>112.5</v>
      </c>
      <c r="Q6477">
        <v>93.75</v>
      </c>
      <c r="R6477">
        <v>75</v>
      </c>
      <c r="S6477">
        <v>112.5</v>
      </c>
      <c r="T6477" t="s">
        <v>32563</v>
      </c>
    </row>
    <row r="6478" spans="1:20">
      <c r="A6478">
        <v>4517052</v>
      </c>
      <c r="B6478" t="s">
        <v>32564</v>
      </c>
      <c r="C6478" t="str">
        <f>"9780773501669"</f>
        <v>9780773501669</v>
      </c>
      <c r="D6478" t="str">
        <f>"9780773593787"</f>
        <v>9780773593787</v>
      </c>
      <c r="E6478" t="s">
        <v>12863</v>
      </c>
      <c r="F6478" t="s">
        <v>12863</v>
      </c>
      <c r="G6478" s="1">
        <v>27030</v>
      </c>
      <c r="J6478" t="s">
        <v>32565</v>
      </c>
      <c r="K6478" t="s">
        <v>467</v>
      </c>
      <c r="L6478" t="s">
        <v>32566</v>
      </c>
      <c r="O6478" t="s">
        <v>26</v>
      </c>
      <c r="P6478">
        <v>112.5</v>
      </c>
      <c r="Q6478">
        <v>93.75</v>
      </c>
      <c r="R6478">
        <v>75</v>
      </c>
      <c r="S6478">
        <v>112.5</v>
      </c>
      <c r="T6478" t="s">
        <v>32567</v>
      </c>
    </row>
    <row r="6479" spans="1:20">
      <c r="A6479">
        <v>4517053</v>
      </c>
      <c r="B6479" t="s">
        <v>32568</v>
      </c>
      <c r="C6479" t="str">
        <f>"9780773505001"</f>
        <v>9780773505001</v>
      </c>
      <c r="D6479" t="str">
        <f>"9780773593794"</f>
        <v>9780773593794</v>
      </c>
      <c r="E6479" t="s">
        <v>12863</v>
      </c>
      <c r="F6479" t="s">
        <v>12863</v>
      </c>
      <c r="G6479" s="1">
        <v>28491</v>
      </c>
      <c r="J6479" t="s">
        <v>32569</v>
      </c>
      <c r="K6479" t="s">
        <v>263</v>
      </c>
      <c r="L6479" t="s">
        <v>32570</v>
      </c>
      <c r="O6479" t="s">
        <v>26</v>
      </c>
      <c r="P6479">
        <v>112.5</v>
      </c>
      <c r="Q6479">
        <v>93.75</v>
      </c>
      <c r="R6479">
        <v>75</v>
      </c>
      <c r="S6479">
        <v>112.5</v>
      </c>
      <c r="T6479" t="s">
        <v>32571</v>
      </c>
    </row>
    <row r="6480" spans="1:20">
      <c r="A6480">
        <v>4517055</v>
      </c>
      <c r="B6480" t="s">
        <v>32572</v>
      </c>
      <c r="C6480" t="str">
        <f>"9780773505285"</f>
        <v>9780773505285</v>
      </c>
      <c r="D6480" t="str">
        <f>"9780773593800"</f>
        <v>9780773593800</v>
      </c>
      <c r="E6480" t="s">
        <v>12863</v>
      </c>
      <c r="F6480" t="s">
        <v>12863</v>
      </c>
      <c r="G6480" s="1">
        <v>29221</v>
      </c>
      <c r="J6480" t="s">
        <v>32573</v>
      </c>
      <c r="K6480" t="s">
        <v>305</v>
      </c>
      <c r="L6480" t="s">
        <v>32574</v>
      </c>
      <c r="O6480" t="s">
        <v>26</v>
      </c>
      <c r="P6480">
        <v>112.5</v>
      </c>
      <c r="Q6480">
        <v>93.75</v>
      </c>
      <c r="R6480">
        <v>75</v>
      </c>
      <c r="S6480">
        <v>112.5</v>
      </c>
      <c r="T6480" t="s">
        <v>32575</v>
      </c>
    </row>
    <row r="6481" spans="1:20">
      <c r="A6481">
        <v>4517057</v>
      </c>
      <c r="B6481" t="s">
        <v>32576</v>
      </c>
      <c r="C6481" t="str">
        <f>"9780773500631"</f>
        <v>9780773500631</v>
      </c>
      <c r="D6481" t="str">
        <f>"9780773593817"</f>
        <v>9780773593817</v>
      </c>
      <c r="E6481" t="s">
        <v>12863</v>
      </c>
      <c r="F6481" t="s">
        <v>12863</v>
      </c>
      <c r="G6481" s="1">
        <v>25204</v>
      </c>
      <c r="J6481" t="s">
        <v>32577</v>
      </c>
      <c r="K6481" t="s">
        <v>1471</v>
      </c>
      <c r="L6481" t="s">
        <v>32578</v>
      </c>
      <c r="O6481" t="s">
        <v>26</v>
      </c>
      <c r="P6481">
        <v>112.5</v>
      </c>
      <c r="Q6481">
        <v>93.75</v>
      </c>
      <c r="R6481">
        <v>75</v>
      </c>
      <c r="S6481">
        <v>112.5</v>
      </c>
      <c r="T6481" t="s">
        <v>32579</v>
      </c>
    </row>
    <row r="6482" spans="1:20">
      <c r="A6482">
        <v>4517059</v>
      </c>
      <c r="B6482" t="s">
        <v>32580</v>
      </c>
      <c r="C6482" t="str">
        <f>"9780773542396"</f>
        <v>9780773542396</v>
      </c>
      <c r="D6482" t="str">
        <f>"9780773593824"</f>
        <v>9780773593824</v>
      </c>
      <c r="E6482" t="s">
        <v>12863</v>
      </c>
      <c r="F6482" t="s">
        <v>12863</v>
      </c>
      <c r="G6482" s="1">
        <v>22647</v>
      </c>
      <c r="J6482" t="s">
        <v>32581</v>
      </c>
      <c r="K6482" t="s">
        <v>291</v>
      </c>
      <c r="L6482" t="s">
        <v>32582</v>
      </c>
      <c r="O6482" t="s">
        <v>26</v>
      </c>
      <c r="P6482">
        <v>112.5</v>
      </c>
      <c r="Q6482">
        <v>93.75</v>
      </c>
      <c r="R6482">
        <v>75</v>
      </c>
      <c r="S6482">
        <v>112.5</v>
      </c>
      <c r="T6482" t="s">
        <v>32583</v>
      </c>
    </row>
    <row r="6483" spans="1:20">
      <c r="A6483">
        <v>4517060</v>
      </c>
      <c r="B6483" t="s">
        <v>32584</v>
      </c>
      <c r="C6483" t="str">
        <f>"9780773542402"</f>
        <v>9780773542402</v>
      </c>
      <c r="D6483" t="str">
        <f>"9780773593831"</f>
        <v>9780773593831</v>
      </c>
      <c r="E6483" t="s">
        <v>12863</v>
      </c>
      <c r="F6483" t="s">
        <v>12863</v>
      </c>
      <c r="G6483" s="1">
        <v>24108</v>
      </c>
      <c r="J6483" t="s">
        <v>32585</v>
      </c>
      <c r="K6483" t="s">
        <v>2260</v>
      </c>
      <c r="L6483" t="s">
        <v>32586</v>
      </c>
      <c r="O6483" t="s">
        <v>26</v>
      </c>
      <c r="P6483">
        <v>112.5</v>
      </c>
      <c r="Q6483">
        <v>93.75</v>
      </c>
      <c r="R6483">
        <v>75</v>
      </c>
      <c r="S6483">
        <v>112.5</v>
      </c>
      <c r="T6483" t="s">
        <v>32587</v>
      </c>
    </row>
    <row r="6484" spans="1:20">
      <c r="A6484">
        <v>4517061</v>
      </c>
      <c r="B6484" t="s">
        <v>32588</v>
      </c>
      <c r="C6484" t="str">
        <f>"9780856643354"</f>
        <v>9780856643354</v>
      </c>
      <c r="D6484" t="str">
        <f>"9780773593848"</f>
        <v>9780773593848</v>
      </c>
      <c r="E6484" t="s">
        <v>12863</v>
      </c>
      <c r="F6484" t="s">
        <v>12863</v>
      </c>
      <c r="G6484" s="1">
        <v>28126</v>
      </c>
      <c r="J6484" t="s">
        <v>32589</v>
      </c>
      <c r="K6484" t="s">
        <v>4347</v>
      </c>
      <c r="L6484" t="s">
        <v>32590</v>
      </c>
      <c r="O6484" t="s">
        <v>26</v>
      </c>
      <c r="P6484">
        <v>112.5</v>
      </c>
      <c r="Q6484">
        <v>93.75</v>
      </c>
      <c r="R6484">
        <v>75</v>
      </c>
      <c r="S6484">
        <v>112.5</v>
      </c>
      <c r="T6484" t="s">
        <v>32591</v>
      </c>
    </row>
    <row r="6485" spans="1:20">
      <c r="A6485">
        <v>4517063</v>
      </c>
      <c r="B6485" t="s">
        <v>32592</v>
      </c>
      <c r="C6485" t="str">
        <f>"9780773542419"</f>
        <v>9780773542419</v>
      </c>
      <c r="D6485" t="str">
        <f>"9780773593855"</f>
        <v>9780773593855</v>
      </c>
      <c r="E6485" t="s">
        <v>12863</v>
      </c>
      <c r="F6485" t="s">
        <v>12863</v>
      </c>
      <c r="G6485" s="1">
        <v>23012</v>
      </c>
      <c r="J6485" t="s">
        <v>32593</v>
      </c>
      <c r="K6485" t="s">
        <v>2260</v>
      </c>
      <c r="L6485" t="s">
        <v>32594</v>
      </c>
      <c r="O6485" t="s">
        <v>26</v>
      </c>
      <c r="P6485">
        <v>112.5</v>
      </c>
      <c r="Q6485">
        <v>93.75</v>
      </c>
      <c r="R6485">
        <v>75</v>
      </c>
      <c r="S6485">
        <v>112.5</v>
      </c>
      <c r="T6485" t="s">
        <v>32595</v>
      </c>
    </row>
    <row r="6486" spans="1:20">
      <c r="A6486">
        <v>4517064</v>
      </c>
      <c r="B6486" t="s">
        <v>32596</v>
      </c>
      <c r="C6486" t="str">
        <f>"9780773501218"</f>
        <v>9780773501218</v>
      </c>
      <c r="D6486" t="str">
        <f>"9780773593862"</f>
        <v>9780773593862</v>
      </c>
      <c r="E6486" t="s">
        <v>12863</v>
      </c>
      <c r="F6486" t="s">
        <v>12863</v>
      </c>
      <c r="G6486" s="1">
        <v>26299</v>
      </c>
      <c r="J6486" t="s">
        <v>11906</v>
      </c>
      <c r="K6486" t="s">
        <v>1464</v>
      </c>
      <c r="L6486" t="s">
        <v>32597</v>
      </c>
      <c r="O6486" t="s">
        <v>26</v>
      </c>
      <c r="P6486">
        <v>112.5</v>
      </c>
      <c r="Q6486">
        <v>93.75</v>
      </c>
      <c r="R6486">
        <v>75</v>
      </c>
      <c r="S6486">
        <v>112.5</v>
      </c>
      <c r="T6486" t="s">
        <v>32598</v>
      </c>
    </row>
    <row r="6487" spans="1:20">
      <c r="A6487">
        <v>4517066</v>
      </c>
      <c r="B6487" t="s">
        <v>32599</v>
      </c>
      <c r="C6487" t="str">
        <f>"9780773542426"</f>
        <v>9780773542426</v>
      </c>
      <c r="D6487" t="str">
        <f>"9780773593879"</f>
        <v>9780773593879</v>
      </c>
      <c r="E6487" t="s">
        <v>12863</v>
      </c>
      <c r="F6487" t="s">
        <v>12863</v>
      </c>
      <c r="G6487" s="1">
        <v>23012</v>
      </c>
      <c r="J6487" t="s">
        <v>32600</v>
      </c>
      <c r="K6487" t="s">
        <v>257</v>
      </c>
      <c r="L6487" t="s">
        <v>32601</v>
      </c>
      <c r="O6487" t="s">
        <v>26</v>
      </c>
      <c r="P6487">
        <v>112.5</v>
      </c>
      <c r="Q6487">
        <v>93.75</v>
      </c>
      <c r="R6487">
        <v>75</v>
      </c>
      <c r="S6487">
        <v>112.5</v>
      </c>
      <c r="T6487" t="s">
        <v>32602</v>
      </c>
    </row>
    <row r="6488" spans="1:20">
      <c r="A6488">
        <v>4517067</v>
      </c>
      <c r="B6488" t="s">
        <v>32603</v>
      </c>
      <c r="C6488" t="str">
        <f>"9780773501270"</f>
        <v>9780773501270</v>
      </c>
      <c r="D6488" t="str">
        <f>"9780773593886"</f>
        <v>9780773593886</v>
      </c>
      <c r="E6488" t="s">
        <v>12863</v>
      </c>
      <c r="F6488" t="s">
        <v>12863</v>
      </c>
      <c r="G6488" s="1">
        <v>26299</v>
      </c>
      <c r="J6488" t="s">
        <v>32604</v>
      </c>
      <c r="K6488" t="s">
        <v>1859</v>
      </c>
      <c r="L6488" t="s">
        <v>32605</v>
      </c>
      <c r="O6488" t="s">
        <v>26</v>
      </c>
      <c r="P6488">
        <v>112.5</v>
      </c>
      <c r="Q6488">
        <v>93.75</v>
      </c>
      <c r="R6488">
        <v>75</v>
      </c>
      <c r="S6488">
        <v>112.5</v>
      </c>
      <c r="T6488" t="s">
        <v>32606</v>
      </c>
    </row>
    <row r="6489" spans="1:20">
      <c r="A6489">
        <v>4517069</v>
      </c>
      <c r="B6489" t="s">
        <v>32607</v>
      </c>
      <c r="C6489" t="str">
        <f>"9780773500907"</f>
        <v>9780773500907</v>
      </c>
      <c r="D6489" t="str">
        <f>"9780773593893"</f>
        <v>9780773593893</v>
      </c>
      <c r="E6489" t="s">
        <v>12863</v>
      </c>
      <c r="F6489" t="s">
        <v>12863</v>
      </c>
      <c r="G6489" s="1">
        <v>27395</v>
      </c>
      <c r="J6489" t="s">
        <v>32608</v>
      </c>
      <c r="K6489" t="s">
        <v>1464</v>
      </c>
      <c r="L6489" t="s">
        <v>32609</v>
      </c>
      <c r="O6489" t="s">
        <v>26</v>
      </c>
      <c r="P6489">
        <v>112.5</v>
      </c>
      <c r="Q6489">
        <v>93.75</v>
      </c>
      <c r="R6489">
        <v>75</v>
      </c>
      <c r="S6489">
        <v>112.5</v>
      </c>
      <c r="T6489" t="s">
        <v>32610</v>
      </c>
    </row>
    <row r="6490" spans="1:20">
      <c r="A6490">
        <v>4517071</v>
      </c>
      <c r="B6490" t="s">
        <v>32611</v>
      </c>
      <c r="C6490" t="str">
        <f>"9780773502109"</f>
        <v>9780773502109</v>
      </c>
      <c r="D6490" t="str">
        <f>"9780773593916"</f>
        <v>9780773593916</v>
      </c>
      <c r="E6490" t="s">
        <v>12863</v>
      </c>
      <c r="F6490" t="s">
        <v>12863</v>
      </c>
      <c r="G6490" s="1">
        <v>27760</v>
      </c>
      <c r="J6490" t="s">
        <v>32612</v>
      </c>
      <c r="K6490" t="s">
        <v>3230</v>
      </c>
      <c r="L6490" t="s">
        <v>32613</v>
      </c>
      <c r="O6490" t="s">
        <v>26</v>
      </c>
      <c r="P6490">
        <v>112.5</v>
      </c>
      <c r="Q6490">
        <v>93.75</v>
      </c>
      <c r="R6490">
        <v>75</v>
      </c>
      <c r="S6490">
        <v>112.5</v>
      </c>
      <c r="T6490" t="s">
        <v>32614</v>
      </c>
    </row>
    <row r="6491" spans="1:20">
      <c r="A6491">
        <v>4517072</v>
      </c>
      <c r="B6491" t="s">
        <v>32615</v>
      </c>
      <c r="C6491" t="str">
        <f>"9780773502567"</f>
        <v>9780773502567</v>
      </c>
      <c r="D6491" t="str">
        <f>"9780773593923"</f>
        <v>9780773593923</v>
      </c>
      <c r="E6491" t="s">
        <v>12863</v>
      </c>
      <c r="F6491" t="s">
        <v>12863</v>
      </c>
      <c r="G6491" s="1">
        <v>28126</v>
      </c>
      <c r="J6491" t="s">
        <v>32616</v>
      </c>
      <c r="K6491" t="s">
        <v>525</v>
      </c>
      <c r="L6491" t="s">
        <v>32617</v>
      </c>
      <c r="O6491" t="s">
        <v>26</v>
      </c>
      <c r="P6491">
        <v>112.5</v>
      </c>
      <c r="Q6491">
        <v>93.75</v>
      </c>
      <c r="R6491">
        <v>75</v>
      </c>
      <c r="S6491">
        <v>112.5</v>
      </c>
      <c r="T6491" t="s">
        <v>32618</v>
      </c>
    </row>
    <row r="6492" spans="1:20">
      <c r="A6492">
        <v>4517073</v>
      </c>
      <c r="B6492" t="s">
        <v>32619</v>
      </c>
      <c r="C6492" t="str">
        <f>"9780773503052"</f>
        <v>9780773503052</v>
      </c>
      <c r="D6492" t="str">
        <f>"9780773593930"</f>
        <v>9780773593930</v>
      </c>
      <c r="E6492" t="s">
        <v>12863</v>
      </c>
      <c r="F6492" t="s">
        <v>12863</v>
      </c>
      <c r="G6492" s="1">
        <v>28126</v>
      </c>
      <c r="J6492" t="s">
        <v>32620</v>
      </c>
      <c r="K6492" t="s">
        <v>2260</v>
      </c>
      <c r="L6492" t="s">
        <v>32621</v>
      </c>
      <c r="O6492" t="s">
        <v>26</v>
      </c>
      <c r="P6492">
        <v>112.5</v>
      </c>
      <c r="Q6492">
        <v>93.75</v>
      </c>
      <c r="R6492">
        <v>75</v>
      </c>
      <c r="S6492">
        <v>112.5</v>
      </c>
      <c r="T6492" t="s">
        <v>32622</v>
      </c>
    </row>
    <row r="6493" spans="1:20">
      <c r="A6493">
        <v>4517075</v>
      </c>
      <c r="B6493" t="s">
        <v>32623</v>
      </c>
      <c r="C6493" t="str">
        <f>"9780773504387"</f>
        <v>9780773504387</v>
      </c>
      <c r="D6493" t="str">
        <f>"9780773593947"</f>
        <v>9780773593947</v>
      </c>
      <c r="E6493" t="s">
        <v>12863</v>
      </c>
      <c r="F6493" t="s">
        <v>12863</v>
      </c>
      <c r="G6493" s="1">
        <v>31413</v>
      </c>
      <c r="J6493" t="s">
        <v>32624</v>
      </c>
      <c r="K6493" t="s">
        <v>291</v>
      </c>
      <c r="L6493" t="s">
        <v>32625</v>
      </c>
      <c r="M6493">
        <v>947</v>
      </c>
      <c r="O6493" t="s">
        <v>26</v>
      </c>
      <c r="P6493">
        <v>127.5</v>
      </c>
      <c r="Q6493">
        <v>106.25</v>
      </c>
      <c r="R6493">
        <v>85</v>
      </c>
      <c r="S6493">
        <v>127.5</v>
      </c>
      <c r="T6493" t="s">
        <v>32626</v>
      </c>
    </row>
    <row r="6494" spans="1:20">
      <c r="A6494">
        <v>4517076</v>
      </c>
      <c r="B6494" t="s">
        <v>32627</v>
      </c>
      <c r="C6494" t="str">
        <f>"9780773501157"</f>
        <v>9780773501157</v>
      </c>
      <c r="D6494" t="str">
        <f>"9780773593954"</f>
        <v>9780773593954</v>
      </c>
      <c r="E6494" t="s">
        <v>12863</v>
      </c>
      <c r="F6494" t="s">
        <v>12863</v>
      </c>
      <c r="G6494" s="1">
        <v>25934</v>
      </c>
      <c r="I6494" t="s">
        <v>32176</v>
      </c>
      <c r="J6494" t="s">
        <v>32628</v>
      </c>
      <c r="K6494" t="s">
        <v>263</v>
      </c>
      <c r="L6494" t="s">
        <v>32629</v>
      </c>
      <c r="O6494" t="s">
        <v>26</v>
      </c>
      <c r="P6494">
        <v>112.5</v>
      </c>
      <c r="Q6494">
        <v>93.75</v>
      </c>
      <c r="R6494">
        <v>75</v>
      </c>
      <c r="S6494">
        <v>112.5</v>
      </c>
      <c r="T6494" t="s">
        <v>32630</v>
      </c>
    </row>
    <row r="6495" spans="1:20">
      <c r="A6495">
        <v>4517077</v>
      </c>
      <c r="B6495" t="s">
        <v>32631</v>
      </c>
      <c r="C6495" t="str">
        <f>"9780773500624"</f>
        <v>9780773500624</v>
      </c>
      <c r="D6495" t="str">
        <f>"9780773593961"</f>
        <v>9780773593961</v>
      </c>
      <c r="E6495" t="s">
        <v>12863</v>
      </c>
      <c r="F6495" t="s">
        <v>12863</v>
      </c>
      <c r="G6495" s="1">
        <v>25204</v>
      </c>
      <c r="I6495" t="s">
        <v>32632</v>
      </c>
      <c r="J6495" t="s">
        <v>32633</v>
      </c>
      <c r="K6495" t="s">
        <v>291</v>
      </c>
      <c r="L6495" t="s">
        <v>32634</v>
      </c>
      <c r="O6495" t="s">
        <v>26</v>
      </c>
      <c r="P6495">
        <v>112.5</v>
      </c>
      <c r="Q6495">
        <v>93.75</v>
      </c>
      <c r="R6495">
        <v>75</v>
      </c>
      <c r="S6495">
        <v>112.5</v>
      </c>
      <c r="T6495" t="s">
        <v>32635</v>
      </c>
    </row>
    <row r="6496" spans="1:20">
      <c r="A6496">
        <v>4517079</v>
      </c>
      <c r="B6496" t="s">
        <v>32636</v>
      </c>
      <c r="C6496" t="str">
        <f>"9780773590618"</f>
        <v>9780773590618</v>
      </c>
      <c r="D6496" t="str">
        <f>"9780773593985"</f>
        <v>9780773593985</v>
      </c>
      <c r="E6496" t="s">
        <v>12863</v>
      </c>
      <c r="F6496" t="s">
        <v>12863</v>
      </c>
      <c r="G6496" s="1">
        <v>25204</v>
      </c>
      <c r="I6496" t="s">
        <v>32637</v>
      </c>
      <c r="J6496" t="s">
        <v>32638</v>
      </c>
      <c r="K6496" t="s">
        <v>3230</v>
      </c>
      <c r="L6496" t="s">
        <v>32639</v>
      </c>
      <c r="O6496" t="s">
        <v>26</v>
      </c>
      <c r="P6496">
        <v>112.5</v>
      </c>
      <c r="Q6496">
        <v>93.75</v>
      </c>
      <c r="R6496">
        <v>75</v>
      </c>
      <c r="S6496">
        <v>112.5</v>
      </c>
      <c r="T6496" t="s">
        <v>32640</v>
      </c>
    </row>
    <row r="6497" spans="1:20">
      <c r="A6497">
        <v>4517217</v>
      </c>
      <c r="B6497" t="s">
        <v>32641</v>
      </c>
      <c r="C6497" t="str">
        <f>"9780773590625"</f>
        <v>9780773590625</v>
      </c>
      <c r="D6497" t="str">
        <f>"9780773593992"</f>
        <v>9780773593992</v>
      </c>
      <c r="E6497" t="s">
        <v>12863</v>
      </c>
      <c r="F6497" t="s">
        <v>12863</v>
      </c>
      <c r="G6497" s="1">
        <v>24473</v>
      </c>
      <c r="I6497" t="s">
        <v>32637</v>
      </c>
      <c r="J6497" t="s">
        <v>32638</v>
      </c>
      <c r="K6497" t="s">
        <v>3230</v>
      </c>
      <c r="L6497" t="s">
        <v>32642</v>
      </c>
      <c r="O6497" t="s">
        <v>26</v>
      </c>
      <c r="P6497">
        <v>112.5</v>
      </c>
      <c r="Q6497">
        <v>93.75</v>
      </c>
      <c r="R6497">
        <v>75</v>
      </c>
      <c r="S6497">
        <v>112.5</v>
      </c>
      <c r="T6497" t="s">
        <v>32643</v>
      </c>
    </row>
    <row r="6498" spans="1:20">
      <c r="A6498">
        <v>4517218</v>
      </c>
      <c r="B6498" t="s">
        <v>32644</v>
      </c>
      <c r="C6498" t="str">
        <f>"9780773590670"</f>
        <v>9780773590670</v>
      </c>
      <c r="D6498" t="str">
        <f>"9780773594005"</f>
        <v>9780773594005</v>
      </c>
      <c r="E6498" t="s">
        <v>12863</v>
      </c>
      <c r="F6498" t="s">
        <v>12863</v>
      </c>
      <c r="G6498" s="1">
        <v>24108</v>
      </c>
      <c r="J6498" t="s">
        <v>32645</v>
      </c>
      <c r="K6498" t="s">
        <v>3994</v>
      </c>
      <c r="L6498" t="s">
        <v>32646</v>
      </c>
      <c r="O6498" t="s">
        <v>26</v>
      </c>
      <c r="P6498">
        <v>112.5</v>
      </c>
      <c r="Q6498">
        <v>93.75</v>
      </c>
      <c r="R6498">
        <v>75</v>
      </c>
      <c r="S6498">
        <v>112.5</v>
      </c>
      <c r="T6498" t="s">
        <v>32647</v>
      </c>
    </row>
    <row r="6499" spans="1:20">
      <c r="A6499">
        <v>4517219</v>
      </c>
      <c r="B6499" t="s">
        <v>32648</v>
      </c>
      <c r="C6499" t="str">
        <f>"9780773505261"</f>
        <v>9780773505261</v>
      </c>
      <c r="D6499" t="str">
        <f>"9780773594012"</f>
        <v>9780773594012</v>
      </c>
      <c r="E6499" t="s">
        <v>12863</v>
      </c>
      <c r="F6499" t="s">
        <v>12863</v>
      </c>
      <c r="G6499" s="1">
        <v>29221</v>
      </c>
      <c r="J6499" t="s">
        <v>32649</v>
      </c>
      <c r="O6499" t="s">
        <v>26</v>
      </c>
      <c r="P6499">
        <v>112.5</v>
      </c>
      <c r="Q6499">
        <v>93.75</v>
      </c>
      <c r="R6499">
        <v>75</v>
      </c>
      <c r="S6499">
        <v>112.5</v>
      </c>
      <c r="T6499" t="s">
        <v>32650</v>
      </c>
    </row>
    <row r="6500" spans="1:20">
      <c r="A6500">
        <v>4517220</v>
      </c>
      <c r="B6500" t="s">
        <v>32651</v>
      </c>
      <c r="C6500" t="str">
        <f>"9780773500068"</f>
        <v>9780773500068</v>
      </c>
      <c r="D6500" t="str">
        <f>"9780773594029"</f>
        <v>9780773594029</v>
      </c>
      <c r="E6500" t="s">
        <v>12863</v>
      </c>
      <c r="F6500" t="s">
        <v>12863</v>
      </c>
      <c r="G6500" s="1">
        <v>23012</v>
      </c>
      <c r="J6500" t="s">
        <v>32652</v>
      </c>
      <c r="O6500" t="s">
        <v>26</v>
      </c>
      <c r="P6500">
        <v>112.5</v>
      </c>
      <c r="Q6500">
        <v>93.75</v>
      </c>
      <c r="R6500">
        <v>75</v>
      </c>
      <c r="S6500">
        <v>112.5</v>
      </c>
      <c r="T6500" t="s">
        <v>32653</v>
      </c>
    </row>
    <row r="6501" spans="1:20">
      <c r="A6501">
        <v>4517221</v>
      </c>
      <c r="B6501" t="s">
        <v>32654</v>
      </c>
      <c r="C6501" t="str">
        <f>"9780773500051"</f>
        <v>9780773500051</v>
      </c>
      <c r="D6501" t="str">
        <f>"9780773594036"</f>
        <v>9780773594036</v>
      </c>
      <c r="E6501" t="s">
        <v>12863</v>
      </c>
      <c r="F6501" t="s">
        <v>12863</v>
      </c>
      <c r="G6501" s="1">
        <v>23012</v>
      </c>
      <c r="J6501" t="s">
        <v>32655</v>
      </c>
      <c r="O6501" t="s">
        <v>26</v>
      </c>
      <c r="P6501">
        <v>112.5</v>
      </c>
      <c r="Q6501">
        <v>93.75</v>
      </c>
      <c r="R6501">
        <v>75</v>
      </c>
      <c r="S6501">
        <v>112.5</v>
      </c>
      <c r="T6501" t="s">
        <v>32656</v>
      </c>
    </row>
    <row r="6502" spans="1:20">
      <c r="A6502">
        <v>4517222</v>
      </c>
      <c r="B6502" t="s">
        <v>32657</v>
      </c>
      <c r="C6502" t="str">
        <f>"9780773504172"</f>
        <v>9780773504172</v>
      </c>
      <c r="D6502" t="str">
        <f>"9780773594043"</f>
        <v>9780773594043</v>
      </c>
      <c r="E6502" t="s">
        <v>12863</v>
      </c>
      <c r="F6502" t="s">
        <v>12863</v>
      </c>
      <c r="G6502" s="1">
        <v>31048</v>
      </c>
      <c r="J6502" t="s">
        <v>32658</v>
      </c>
      <c r="K6502" t="s">
        <v>1859</v>
      </c>
      <c r="M6502">
        <v>198.9</v>
      </c>
      <c r="O6502" t="s">
        <v>26</v>
      </c>
      <c r="P6502">
        <v>127.5</v>
      </c>
      <c r="Q6502">
        <v>106.25</v>
      </c>
      <c r="R6502">
        <v>85</v>
      </c>
      <c r="S6502">
        <v>127.5</v>
      </c>
      <c r="T6502" t="s">
        <v>32659</v>
      </c>
    </row>
    <row r="6503" spans="1:20">
      <c r="A6503">
        <v>4517223</v>
      </c>
      <c r="B6503" t="s">
        <v>32660</v>
      </c>
      <c r="C6503" t="str">
        <f>"9780773500846"</f>
        <v>9780773500846</v>
      </c>
      <c r="D6503" t="str">
        <f>"9780773594050"</f>
        <v>9780773594050</v>
      </c>
      <c r="E6503" t="s">
        <v>12863</v>
      </c>
      <c r="F6503" t="s">
        <v>12863</v>
      </c>
      <c r="G6503" s="1">
        <v>26299</v>
      </c>
      <c r="J6503" t="s">
        <v>32658</v>
      </c>
      <c r="O6503" t="s">
        <v>26</v>
      </c>
      <c r="P6503">
        <v>0</v>
      </c>
      <c r="Q6503">
        <v>0</v>
      </c>
      <c r="R6503">
        <v>0</v>
      </c>
      <c r="S6503">
        <v>0</v>
      </c>
      <c r="T6503" t="s">
        <v>32661</v>
      </c>
    </row>
    <row r="6504" spans="1:20">
      <c r="A6504">
        <v>4517224</v>
      </c>
      <c r="B6504" t="s">
        <v>32662</v>
      </c>
      <c r="C6504" t="str">
        <f>"9780773505247"</f>
        <v>9780773505247</v>
      </c>
      <c r="D6504" t="str">
        <f>"9780773594067"</f>
        <v>9780773594067</v>
      </c>
      <c r="E6504" t="s">
        <v>12863</v>
      </c>
      <c r="F6504" t="s">
        <v>12863</v>
      </c>
      <c r="G6504" s="1">
        <v>29221</v>
      </c>
      <c r="J6504" t="s">
        <v>32663</v>
      </c>
      <c r="K6504" t="s">
        <v>263</v>
      </c>
      <c r="L6504" t="s">
        <v>32664</v>
      </c>
      <c r="N6504" t="s">
        <v>32665</v>
      </c>
      <c r="O6504" t="s">
        <v>26</v>
      </c>
      <c r="P6504">
        <v>112.5</v>
      </c>
      <c r="Q6504">
        <v>93.75</v>
      </c>
      <c r="R6504">
        <v>75</v>
      </c>
      <c r="S6504">
        <v>112.5</v>
      </c>
      <c r="T6504" t="s">
        <v>32666</v>
      </c>
    </row>
    <row r="6505" spans="1:20">
      <c r="A6505">
        <v>4517225</v>
      </c>
      <c r="B6505" t="s">
        <v>32667</v>
      </c>
      <c r="C6505" t="str">
        <f>"9780773502574"</f>
        <v>9780773502574</v>
      </c>
      <c r="D6505" t="str">
        <f>"9780773594081"</f>
        <v>9780773594081</v>
      </c>
      <c r="E6505" t="s">
        <v>12863</v>
      </c>
      <c r="F6505" t="s">
        <v>12863</v>
      </c>
      <c r="G6505" s="1">
        <v>28126</v>
      </c>
      <c r="J6505" t="s">
        <v>13821</v>
      </c>
      <c r="K6505" t="s">
        <v>1464</v>
      </c>
      <c r="L6505" t="s">
        <v>32668</v>
      </c>
      <c r="O6505" t="s">
        <v>26</v>
      </c>
      <c r="P6505">
        <v>112.5</v>
      </c>
      <c r="Q6505">
        <v>93.75</v>
      </c>
      <c r="R6505">
        <v>75</v>
      </c>
      <c r="S6505">
        <v>112.5</v>
      </c>
      <c r="T6505" t="s">
        <v>32669</v>
      </c>
    </row>
    <row r="6506" spans="1:20">
      <c r="A6506">
        <v>4517226</v>
      </c>
      <c r="B6506" t="s">
        <v>32670</v>
      </c>
      <c r="C6506" t="str">
        <f>"9780773502826"</f>
        <v>9780773502826</v>
      </c>
      <c r="D6506" t="str">
        <f>"9780773594104"</f>
        <v>9780773594104</v>
      </c>
      <c r="E6506" t="s">
        <v>12863</v>
      </c>
      <c r="F6506" t="s">
        <v>12863</v>
      </c>
      <c r="G6506" s="1">
        <v>28126</v>
      </c>
      <c r="J6506" t="s">
        <v>32671</v>
      </c>
      <c r="K6506" t="s">
        <v>305</v>
      </c>
      <c r="L6506" t="s">
        <v>32672</v>
      </c>
      <c r="O6506" t="s">
        <v>26</v>
      </c>
      <c r="P6506">
        <v>112.5</v>
      </c>
      <c r="Q6506">
        <v>93.75</v>
      </c>
      <c r="R6506">
        <v>75</v>
      </c>
      <c r="S6506">
        <v>112.5</v>
      </c>
      <c r="T6506" t="s">
        <v>32673</v>
      </c>
    </row>
    <row r="6507" spans="1:20">
      <c r="A6507">
        <v>4517227</v>
      </c>
      <c r="B6507" t="s">
        <v>32674</v>
      </c>
      <c r="C6507" t="str">
        <f>"9780773501683"</f>
        <v>9780773501683</v>
      </c>
      <c r="D6507" t="str">
        <f>"9780773594111"</f>
        <v>9780773594111</v>
      </c>
      <c r="E6507" t="s">
        <v>12863</v>
      </c>
      <c r="F6507" t="s">
        <v>12863</v>
      </c>
      <c r="G6507" s="1">
        <v>27030</v>
      </c>
      <c r="J6507" t="s">
        <v>32675</v>
      </c>
      <c r="K6507" t="s">
        <v>3230</v>
      </c>
      <c r="L6507" t="s">
        <v>32676</v>
      </c>
      <c r="O6507" t="s">
        <v>26</v>
      </c>
      <c r="P6507">
        <v>112.5</v>
      </c>
      <c r="Q6507">
        <v>93.75</v>
      </c>
      <c r="R6507">
        <v>75</v>
      </c>
      <c r="S6507">
        <v>112.5</v>
      </c>
      <c r="T6507" t="s">
        <v>32677</v>
      </c>
    </row>
    <row r="6508" spans="1:20">
      <c r="A6508">
        <v>4517228</v>
      </c>
      <c r="B6508" t="s">
        <v>32678</v>
      </c>
      <c r="C6508" t="str">
        <f>"9780773500860"</f>
        <v>9780773500860</v>
      </c>
      <c r="D6508" t="str">
        <f>"9780773594128"</f>
        <v>9780773594128</v>
      </c>
      <c r="E6508" t="s">
        <v>12863</v>
      </c>
      <c r="F6508" t="s">
        <v>12863</v>
      </c>
      <c r="G6508" s="1">
        <v>25569</v>
      </c>
      <c r="J6508" t="s">
        <v>32679</v>
      </c>
      <c r="K6508" t="s">
        <v>525</v>
      </c>
      <c r="L6508" t="s">
        <v>32680</v>
      </c>
      <c r="O6508" t="s">
        <v>26</v>
      </c>
      <c r="P6508">
        <v>112.5</v>
      </c>
      <c r="Q6508">
        <v>93.75</v>
      </c>
      <c r="R6508">
        <v>75</v>
      </c>
      <c r="S6508">
        <v>112.5</v>
      </c>
      <c r="T6508" t="s">
        <v>32681</v>
      </c>
    </row>
    <row r="6509" spans="1:20">
      <c r="A6509">
        <v>4517229</v>
      </c>
      <c r="B6509" t="s">
        <v>32682</v>
      </c>
      <c r="C6509" t="str">
        <f>"9780773594135"</f>
        <v>9780773594135</v>
      </c>
      <c r="D6509" t="str">
        <f>"9780773594135"</f>
        <v>9780773594135</v>
      </c>
      <c r="E6509" t="s">
        <v>12863</v>
      </c>
      <c r="F6509" t="s">
        <v>12863</v>
      </c>
      <c r="G6509" s="1">
        <v>25569</v>
      </c>
      <c r="J6509" t="s">
        <v>32683</v>
      </c>
      <c r="K6509" t="s">
        <v>1464</v>
      </c>
      <c r="L6509" t="s">
        <v>32684</v>
      </c>
      <c r="O6509" t="s">
        <v>26</v>
      </c>
      <c r="P6509">
        <v>112.5</v>
      </c>
      <c r="Q6509">
        <v>93.75</v>
      </c>
      <c r="R6509">
        <v>75</v>
      </c>
      <c r="S6509">
        <v>112.5</v>
      </c>
      <c r="T6509" t="s">
        <v>32685</v>
      </c>
    </row>
    <row r="6510" spans="1:20">
      <c r="A6510">
        <v>4517230</v>
      </c>
      <c r="B6510" t="s">
        <v>32686</v>
      </c>
      <c r="C6510" t="str">
        <f>"9780773542150"</f>
        <v>9780773542150</v>
      </c>
      <c r="D6510" t="str">
        <f>"9780773594159"</f>
        <v>9780773594159</v>
      </c>
      <c r="E6510" t="s">
        <v>12863</v>
      </c>
      <c r="F6510" t="s">
        <v>12863</v>
      </c>
      <c r="G6510" s="1">
        <v>24473</v>
      </c>
      <c r="J6510" t="s">
        <v>32687</v>
      </c>
      <c r="K6510" t="s">
        <v>4081</v>
      </c>
      <c r="L6510" t="s">
        <v>32688</v>
      </c>
      <c r="O6510" t="s">
        <v>26</v>
      </c>
      <c r="P6510">
        <v>112.5</v>
      </c>
      <c r="Q6510">
        <v>93.75</v>
      </c>
      <c r="R6510">
        <v>75</v>
      </c>
      <c r="S6510">
        <v>112.5</v>
      </c>
      <c r="T6510" t="s">
        <v>32689</v>
      </c>
    </row>
    <row r="6511" spans="1:20">
      <c r="A6511">
        <v>4517232</v>
      </c>
      <c r="B6511" t="s">
        <v>32690</v>
      </c>
      <c r="C6511" t="str">
        <f>"9780773542174"</f>
        <v>9780773542174</v>
      </c>
      <c r="D6511" t="str">
        <f>"9780773594166"</f>
        <v>9780773594166</v>
      </c>
      <c r="E6511" t="s">
        <v>12863</v>
      </c>
      <c r="F6511" t="s">
        <v>12863</v>
      </c>
      <c r="G6511" s="1">
        <v>22282</v>
      </c>
      <c r="I6511" t="s">
        <v>32691</v>
      </c>
      <c r="J6511" t="s">
        <v>31939</v>
      </c>
      <c r="K6511" t="s">
        <v>291</v>
      </c>
      <c r="L6511" t="s">
        <v>32692</v>
      </c>
      <c r="O6511" t="s">
        <v>26</v>
      </c>
      <c r="P6511">
        <v>112.5</v>
      </c>
      <c r="Q6511">
        <v>93.75</v>
      </c>
      <c r="R6511">
        <v>75</v>
      </c>
      <c r="S6511">
        <v>112.5</v>
      </c>
      <c r="T6511" t="s">
        <v>32693</v>
      </c>
    </row>
    <row r="6512" spans="1:20">
      <c r="A6512">
        <v>4517233</v>
      </c>
      <c r="B6512" t="s">
        <v>32694</v>
      </c>
      <c r="C6512" t="str">
        <f>"9780773501997"</f>
        <v>9780773501997</v>
      </c>
      <c r="D6512" t="str">
        <f>"9780773594197"</f>
        <v>9780773594197</v>
      </c>
      <c r="E6512" t="s">
        <v>12863</v>
      </c>
      <c r="F6512" t="s">
        <v>12863</v>
      </c>
      <c r="G6512" s="1">
        <v>27030</v>
      </c>
      <c r="J6512" t="s">
        <v>16729</v>
      </c>
      <c r="K6512" t="s">
        <v>1464</v>
      </c>
      <c r="L6512" t="s">
        <v>32695</v>
      </c>
      <c r="O6512" t="s">
        <v>26</v>
      </c>
      <c r="P6512">
        <v>112.5</v>
      </c>
      <c r="Q6512">
        <v>93.75</v>
      </c>
      <c r="R6512">
        <v>75</v>
      </c>
      <c r="S6512">
        <v>112.5</v>
      </c>
      <c r="T6512" t="s">
        <v>32696</v>
      </c>
    </row>
    <row r="6513" spans="1:20">
      <c r="A6513">
        <v>4517234</v>
      </c>
      <c r="B6513" t="s">
        <v>32697</v>
      </c>
      <c r="C6513" t="str">
        <f>"9780773500266"</f>
        <v>9780773500266</v>
      </c>
      <c r="D6513" t="str">
        <f>"9780773594210"</f>
        <v>9780773594210</v>
      </c>
      <c r="E6513" t="s">
        <v>12863</v>
      </c>
      <c r="F6513" t="s">
        <v>12863</v>
      </c>
      <c r="G6513" s="1">
        <v>23743</v>
      </c>
      <c r="J6513" t="s">
        <v>32698</v>
      </c>
      <c r="K6513" t="s">
        <v>1464</v>
      </c>
      <c r="L6513" t="s">
        <v>32699</v>
      </c>
      <c r="O6513" t="s">
        <v>26</v>
      </c>
      <c r="P6513">
        <v>112.5</v>
      </c>
      <c r="Q6513">
        <v>93.75</v>
      </c>
      <c r="R6513">
        <v>75</v>
      </c>
      <c r="S6513">
        <v>112.5</v>
      </c>
      <c r="T6513" t="s">
        <v>32700</v>
      </c>
    </row>
    <row r="6514" spans="1:20">
      <c r="A6514">
        <v>4517235</v>
      </c>
      <c r="B6514" t="s">
        <v>32701</v>
      </c>
      <c r="C6514" t="str">
        <f>"9780773542228"</f>
        <v>9780773542228</v>
      </c>
      <c r="D6514" t="str">
        <f>"9780773594227"</f>
        <v>9780773594227</v>
      </c>
      <c r="E6514" t="s">
        <v>12863</v>
      </c>
      <c r="F6514" t="s">
        <v>12863</v>
      </c>
      <c r="G6514" s="1">
        <v>25934</v>
      </c>
      <c r="J6514" t="s">
        <v>32702</v>
      </c>
      <c r="K6514" t="s">
        <v>291</v>
      </c>
      <c r="L6514" t="s">
        <v>32703</v>
      </c>
      <c r="O6514" t="s">
        <v>26</v>
      </c>
      <c r="P6514">
        <v>112.5</v>
      </c>
      <c r="Q6514">
        <v>93.75</v>
      </c>
      <c r="R6514">
        <v>75</v>
      </c>
      <c r="S6514">
        <v>112.5</v>
      </c>
      <c r="T6514" t="s">
        <v>32704</v>
      </c>
    </row>
    <row r="6515" spans="1:20">
      <c r="A6515">
        <v>4517236</v>
      </c>
      <c r="B6515" t="s">
        <v>32705</v>
      </c>
      <c r="C6515" t="str">
        <f>"9780773501171"</f>
        <v>9780773501171</v>
      </c>
      <c r="D6515" t="str">
        <f>"9780773594234"</f>
        <v>9780773594234</v>
      </c>
      <c r="E6515" t="s">
        <v>12863</v>
      </c>
      <c r="F6515" t="s">
        <v>12863</v>
      </c>
      <c r="G6515" s="1">
        <v>26299</v>
      </c>
      <c r="J6515" t="s">
        <v>32706</v>
      </c>
      <c r="K6515" t="s">
        <v>467</v>
      </c>
      <c r="L6515" t="s">
        <v>32707</v>
      </c>
      <c r="O6515" t="s">
        <v>26</v>
      </c>
      <c r="P6515">
        <v>112.5</v>
      </c>
      <c r="Q6515">
        <v>93.75</v>
      </c>
      <c r="R6515">
        <v>75</v>
      </c>
      <c r="S6515">
        <v>112.5</v>
      </c>
      <c r="T6515" t="s">
        <v>32708</v>
      </c>
    </row>
    <row r="6516" spans="1:20">
      <c r="A6516">
        <v>4517237</v>
      </c>
      <c r="B6516" t="s">
        <v>32709</v>
      </c>
      <c r="C6516" t="str">
        <f>"9780773542259"</f>
        <v>9780773542259</v>
      </c>
      <c r="D6516" t="str">
        <f>"9780773594241"</f>
        <v>9780773594241</v>
      </c>
      <c r="E6516" t="s">
        <v>12863</v>
      </c>
      <c r="F6516" t="s">
        <v>12863</v>
      </c>
      <c r="G6516" s="1">
        <v>24108</v>
      </c>
      <c r="J6516" t="s">
        <v>32710</v>
      </c>
      <c r="K6516" t="s">
        <v>291</v>
      </c>
      <c r="L6516" t="s">
        <v>32711</v>
      </c>
      <c r="O6516" t="s">
        <v>26</v>
      </c>
      <c r="P6516">
        <v>112.5</v>
      </c>
      <c r="Q6516">
        <v>93.75</v>
      </c>
      <c r="R6516">
        <v>75</v>
      </c>
      <c r="S6516">
        <v>112.5</v>
      </c>
      <c r="T6516" t="s">
        <v>32712</v>
      </c>
    </row>
    <row r="6517" spans="1:20">
      <c r="A6517">
        <v>4517238</v>
      </c>
      <c r="B6517" t="s">
        <v>32713</v>
      </c>
      <c r="C6517" t="str">
        <f>"9780773500723"</f>
        <v>9780773500723</v>
      </c>
      <c r="D6517" t="str">
        <f>"9780773594258"</f>
        <v>9780773594258</v>
      </c>
      <c r="E6517" t="s">
        <v>12863</v>
      </c>
      <c r="F6517" t="s">
        <v>12863</v>
      </c>
      <c r="G6517" s="1">
        <v>25569</v>
      </c>
      <c r="J6517" t="s">
        <v>32714</v>
      </c>
      <c r="K6517" t="s">
        <v>291</v>
      </c>
      <c r="L6517" t="s">
        <v>32715</v>
      </c>
      <c r="O6517" t="s">
        <v>26</v>
      </c>
      <c r="P6517">
        <v>112.5</v>
      </c>
      <c r="Q6517">
        <v>93.75</v>
      </c>
      <c r="R6517">
        <v>75</v>
      </c>
      <c r="S6517">
        <v>112.5</v>
      </c>
      <c r="T6517" t="s">
        <v>32716</v>
      </c>
    </row>
    <row r="6518" spans="1:20">
      <c r="A6518">
        <v>4517239</v>
      </c>
      <c r="B6518" t="s">
        <v>32717</v>
      </c>
      <c r="C6518" t="str">
        <f>"9780773542266"</f>
        <v>9780773542266</v>
      </c>
      <c r="D6518" t="str">
        <f>"9780773594265"</f>
        <v>9780773594265</v>
      </c>
      <c r="E6518" t="s">
        <v>12863</v>
      </c>
      <c r="F6518" t="s">
        <v>12863</v>
      </c>
      <c r="G6518" s="1">
        <v>21916</v>
      </c>
      <c r="J6518" t="s">
        <v>32718</v>
      </c>
      <c r="K6518" t="s">
        <v>257</v>
      </c>
      <c r="L6518" t="s">
        <v>32719</v>
      </c>
      <c r="O6518" t="s">
        <v>26</v>
      </c>
      <c r="P6518">
        <v>112.5</v>
      </c>
      <c r="Q6518">
        <v>93.75</v>
      </c>
      <c r="R6518">
        <v>75</v>
      </c>
      <c r="S6518">
        <v>112.5</v>
      </c>
      <c r="T6518" t="s">
        <v>32720</v>
      </c>
    </row>
    <row r="6519" spans="1:20">
      <c r="A6519">
        <v>4517240</v>
      </c>
      <c r="B6519" t="s">
        <v>32721</v>
      </c>
      <c r="C6519" t="str">
        <f>"9780773590717"</f>
        <v>9780773590717</v>
      </c>
      <c r="D6519" t="str">
        <f>"9780773594272"</f>
        <v>9780773594272</v>
      </c>
      <c r="E6519" t="s">
        <v>12863</v>
      </c>
      <c r="F6519" t="s">
        <v>12863</v>
      </c>
      <c r="G6519" s="1">
        <v>25934</v>
      </c>
      <c r="J6519" t="s">
        <v>32428</v>
      </c>
      <c r="K6519" t="s">
        <v>3230</v>
      </c>
      <c r="L6519" t="s">
        <v>32722</v>
      </c>
      <c r="O6519" t="s">
        <v>26</v>
      </c>
      <c r="P6519">
        <v>112.5</v>
      </c>
      <c r="Q6519">
        <v>93.75</v>
      </c>
      <c r="R6519">
        <v>75</v>
      </c>
      <c r="S6519">
        <v>112.5</v>
      </c>
      <c r="T6519" t="s">
        <v>32723</v>
      </c>
    </row>
    <row r="6520" spans="1:20">
      <c r="A6520">
        <v>4517241</v>
      </c>
      <c r="B6520" t="s">
        <v>32724</v>
      </c>
      <c r="C6520" t="str">
        <f>"9780773503168"</f>
        <v>9780773503168</v>
      </c>
      <c r="D6520" t="str">
        <f>"9780773594289"</f>
        <v>9780773594289</v>
      </c>
      <c r="E6520" t="s">
        <v>12863</v>
      </c>
      <c r="F6520" t="s">
        <v>12863</v>
      </c>
      <c r="G6520" s="1">
        <v>28126</v>
      </c>
      <c r="J6520" t="s">
        <v>32725</v>
      </c>
      <c r="K6520" t="s">
        <v>1464</v>
      </c>
      <c r="L6520" t="s">
        <v>32726</v>
      </c>
      <c r="O6520" t="s">
        <v>26</v>
      </c>
      <c r="P6520">
        <v>112.5</v>
      </c>
      <c r="Q6520">
        <v>93.75</v>
      </c>
      <c r="R6520">
        <v>75</v>
      </c>
      <c r="S6520">
        <v>112.5</v>
      </c>
      <c r="T6520" t="s">
        <v>32727</v>
      </c>
    </row>
    <row r="6521" spans="1:20">
      <c r="A6521">
        <v>4517242</v>
      </c>
      <c r="B6521" t="s">
        <v>32728</v>
      </c>
      <c r="C6521" t="str">
        <f>"9780773500693"</f>
        <v>9780773500693</v>
      </c>
      <c r="D6521" t="str">
        <f>"9780773594296"</f>
        <v>9780773594296</v>
      </c>
      <c r="E6521" t="s">
        <v>12863</v>
      </c>
      <c r="F6521" t="s">
        <v>12863</v>
      </c>
      <c r="G6521" s="1">
        <v>27030</v>
      </c>
      <c r="J6521" t="s">
        <v>32729</v>
      </c>
      <c r="K6521" t="s">
        <v>291</v>
      </c>
      <c r="L6521" t="s">
        <v>32730</v>
      </c>
      <c r="O6521" t="s">
        <v>26</v>
      </c>
      <c r="P6521">
        <v>112.5</v>
      </c>
      <c r="Q6521">
        <v>93.75</v>
      </c>
      <c r="R6521">
        <v>75</v>
      </c>
      <c r="S6521">
        <v>112.5</v>
      </c>
      <c r="T6521" t="s">
        <v>32731</v>
      </c>
    </row>
    <row r="6522" spans="1:20">
      <c r="A6522">
        <v>4517243</v>
      </c>
      <c r="B6522" t="s">
        <v>32732</v>
      </c>
      <c r="C6522" t="str">
        <f>"9780773500235"</f>
        <v>9780773500235</v>
      </c>
      <c r="D6522" t="str">
        <f>"9780773594319"</f>
        <v>9780773594319</v>
      </c>
      <c r="E6522" t="s">
        <v>12863</v>
      </c>
      <c r="F6522" t="s">
        <v>12863</v>
      </c>
      <c r="G6522" s="1">
        <v>24108</v>
      </c>
      <c r="I6522" t="s">
        <v>32632</v>
      </c>
      <c r="J6522" t="s">
        <v>32733</v>
      </c>
      <c r="K6522" t="s">
        <v>291</v>
      </c>
      <c r="L6522" t="s">
        <v>32734</v>
      </c>
      <c r="O6522" t="s">
        <v>26</v>
      </c>
      <c r="P6522">
        <v>112.5</v>
      </c>
      <c r="Q6522">
        <v>93.75</v>
      </c>
      <c r="R6522">
        <v>75</v>
      </c>
      <c r="S6522">
        <v>112.5</v>
      </c>
      <c r="T6522" t="s">
        <v>32735</v>
      </c>
    </row>
    <row r="6523" spans="1:20">
      <c r="A6523">
        <v>4517244</v>
      </c>
      <c r="B6523" t="s">
        <v>32736</v>
      </c>
      <c r="C6523" t="str">
        <f>"9780773542365"</f>
        <v>9780773542365</v>
      </c>
      <c r="D6523" t="str">
        <f>"9780773594333"</f>
        <v>9780773594333</v>
      </c>
      <c r="E6523" t="s">
        <v>12863</v>
      </c>
      <c r="F6523" t="s">
        <v>12863</v>
      </c>
      <c r="G6523" s="1">
        <v>23377</v>
      </c>
      <c r="J6523" t="s">
        <v>32737</v>
      </c>
      <c r="K6523" t="s">
        <v>1464</v>
      </c>
      <c r="L6523" t="s">
        <v>32738</v>
      </c>
      <c r="O6523" t="s">
        <v>26</v>
      </c>
      <c r="P6523">
        <v>112.5</v>
      </c>
      <c r="Q6523">
        <v>93.75</v>
      </c>
      <c r="R6523">
        <v>75</v>
      </c>
      <c r="S6523">
        <v>112.5</v>
      </c>
      <c r="T6523" t="s">
        <v>32739</v>
      </c>
    </row>
    <row r="6524" spans="1:20">
      <c r="A6524">
        <v>4517245</v>
      </c>
      <c r="B6524" t="s">
        <v>32740</v>
      </c>
      <c r="C6524" t="str">
        <f>"9780773542372"</f>
        <v>9780773542372</v>
      </c>
      <c r="D6524" t="str">
        <f>"9780773594340"</f>
        <v>9780773594340</v>
      </c>
      <c r="E6524" t="s">
        <v>12863</v>
      </c>
      <c r="F6524" t="s">
        <v>12863</v>
      </c>
      <c r="G6524" s="1">
        <v>22647</v>
      </c>
      <c r="J6524" t="s">
        <v>32737</v>
      </c>
      <c r="K6524" t="s">
        <v>1464</v>
      </c>
      <c r="L6524" t="s">
        <v>32741</v>
      </c>
      <c r="O6524" t="s">
        <v>26</v>
      </c>
      <c r="P6524">
        <v>112.5</v>
      </c>
      <c r="Q6524">
        <v>93.75</v>
      </c>
      <c r="R6524">
        <v>75</v>
      </c>
      <c r="S6524">
        <v>112.5</v>
      </c>
      <c r="T6524" t="s">
        <v>32742</v>
      </c>
    </row>
    <row r="6525" spans="1:20">
      <c r="A6525">
        <v>4517247</v>
      </c>
      <c r="B6525" t="s">
        <v>32743</v>
      </c>
      <c r="C6525" t="str">
        <f>"9780773503427"</f>
        <v>9780773503427</v>
      </c>
      <c r="D6525" t="str">
        <f>"9780773594357"</f>
        <v>9780773594357</v>
      </c>
      <c r="E6525" t="s">
        <v>12863</v>
      </c>
      <c r="F6525" t="s">
        <v>12863</v>
      </c>
      <c r="G6525" s="1">
        <v>28856</v>
      </c>
      <c r="J6525" t="s">
        <v>32744</v>
      </c>
      <c r="K6525" t="s">
        <v>1082</v>
      </c>
      <c r="L6525" t="s">
        <v>32745</v>
      </c>
      <c r="O6525" t="s">
        <v>26</v>
      </c>
      <c r="P6525">
        <v>112.5</v>
      </c>
      <c r="Q6525">
        <v>93.75</v>
      </c>
      <c r="R6525">
        <v>75</v>
      </c>
      <c r="S6525">
        <v>112.5</v>
      </c>
      <c r="T6525" t="s">
        <v>32746</v>
      </c>
    </row>
    <row r="6526" spans="1:20">
      <c r="A6526">
        <v>4517248</v>
      </c>
      <c r="B6526" t="s">
        <v>32747</v>
      </c>
      <c r="C6526" t="str">
        <f>"9780773503724"</f>
        <v>9780773503724</v>
      </c>
      <c r="D6526" t="str">
        <f>"9780773594364"</f>
        <v>9780773594364</v>
      </c>
      <c r="E6526" t="s">
        <v>12863</v>
      </c>
      <c r="F6526" t="s">
        <v>12863</v>
      </c>
      <c r="G6526" s="1">
        <v>29891</v>
      </c>
      <c r="J6526" t="s">
        <v>32748</v>
      </c>
      <c r="K6526" t="s">
        <v>291</v>
      </c>
      <c r="L6526" t="s">
        <v>32749</v>
      </c>
      <c r="M6526">
        <v>971.42810199999997</v>
      </c>
      <c r="O6526" t="s">
        <v>26</v>
      </c>
      <c r="P6526">
        <v>127.5</v>
      </c>
      <c r="Q6526">
        <v>106.25</v>
      </c>
      <c r="R6526">
        <v>85</v>
      </c>
      <c r="S6526">
        <v>127.5</v>
      </c>
      <c r="T6526" t="s">
        <v>32750</v>
      </c>
    </row>
    <row r="6527" spans="1:20">
      <c r="A6527">
        <v>4517249</v>
      </c>
      <c r="B6527" t="s">
        <v>32751</v>
      </c>
      <c r="C6527" t="str">
        <f>"9780773502871"</f>
        <v>9780773502871</v>
      </c>
      <c r="D6527" t="str">
        <f>"9780773594371"</f>
        <v>9780773594371</v>
      </c>
      <c r="E6527" t="s">
        <v>12863</v>
      </c>
      <c r="F6527" t="s">
        <v>12863</v>
      </c>
      <c r="G6527" s="1">
        <v>28126</v>
      </c>
      <c r="J6527" t="s">
        <v>32752</v>
      </c>
      <c r="K6527" t="s">
        <v>305</v>
      </c>
      <c r="L6527" t="s">
        <v>32753</v>
      </c>
      <c r="O6527" t="s">
        <v>26</v>
      </c>
      <c r="P6527">
        <v>112.5</v>
      </c>
      <c r="Q6527">
        <v>93.75</v>
      </c>
      <c r="R6527">
        <v>75</v>
      </c>
      <c r="S6527">
        <v>112.5</v>
      </c>
      <c r="T6527" t="s">
        <v>32754</v>
      </c>
    </row>
    <row r="6528" spans="1:20">
      <c r="A6528">
        <v>4517250</v>
      </c>
      <c r="B6528" t="s">
        <v>32755</v>
      </c>
      <c r="C6528" t="str">
        <f>"9780773503953"</f>
        <v>9780773503953</v>
      </c>
      <c r="D6528" t="str">
        <f>"9780773594395"</f>
        <v>9780773594395</v>
      </c>
      <c r="E6528" t="s">
        <v>12863</v>
      </c>
      <c r="F6528" t="s">
        <v>12863</v>
      </c>
      <c r="G6528" s="1">
        <v>29952</v>
      </c>
      <c r="J6528" t="s">
        <v>23142</v>
      </c>
      <c r="K6528" t="s">
        <v>7838</v>
      </c>
      <c r="L6528" t="s">
        <v>32756</v>
      </c>
      <c r="M6528">
        <v>720.92399999999998</v>
      </c>
      <c r="O6528" t="s">
        <v>26</v>
      </c>
      <c r="P6528">
        <v>127.5</v>
      </c>
      <c r="Q6528">
        <v>106.25</v>
      </c>
      <c r="R6528">
        <v>85</v>
      </c>
      <c r="S6528">
        <v>127.5</v>
      </c>
      <c r="T6528" t="s">
        <v>32757</v>
      </c>
    </row>
    <row r="6529" spans="1:20">
      <c r="A6529">
        <v>4517251</v>
      </c>
      <c r="B6529" t="s">
        <v>32758</v>
      </c>
      <c r="C6529" t="str">
        <f>"9780773542457"</f>
        <v>9780773542457</v>
      </c>
      <c r="D6529" t="str">
        <f>"9780773594401"</f>
        <v>9780773594401</v>
      </c>
      <c r="E6529" t="s">
        <v>12863</v>
      </c>
      <c r="F6529" t="s">
        <v>12863</v>
      </c>
      <c r="G6529" s="1">
        <v>23743</v>
      </c>
      <c r="J6529" t="s">
        <v>32759</v>
      </c>
      <c r="K6529" t="s">
        <v>25782</v>
      </c>
      <c r="L6529" t="s">
        <v>32760</v>
      </c>
      <c r="O6529" t="s">
        <v>26</v>
      </c>
      <c r="P6529">
        <v>67.5</v>
      </c>
      <c r="Q6529">
        <v>56.25</v>
      </c>
      <c r="R6529">
        <v>45</v>
      </c>
      <c r="S6529">
        <v>67.5</v>
      </c>
      <c r="T6529" t="s">
        <v>32761</v>
      </c>
    </row>
    <row r="6530" spans="1:20">
      <c r="A6530">
        <v>4517252</v>
      </c>
      <c r="B6530" t="s">
        <v>32762</v>
      </c>
      <c r="C6530" t="str">
        <f>"9780773505094"</f>
        <v>9780773505094</v>
      </c>
      <c r="D6530" t="str">
        <f>"9780773594418"</f>
        <v>9780773594418</v>
      </c>
      <c r="E6530" t="s">
        <v>12863</v>
      </c>
      <c r="F6530" t="s">
        <v>12863</v>
      </c>
      <c r="G6530" s="1">
        <v>28856</v>
      </c>
      <c r="J6530" t="s">
        <v>32763</v>
      </c>
      <c r="K6530" t="s">
        <v>305</v>
      </c>
      <c r="L6530" t="s">
        <v>32764</v>
      </c>
      <c r="O6530" t="s">
        <v>26</v>
      </c>
      <c r="P6530">
        <v>112.5</v>
      </c>
      <c r="Q6530">
        <v>93.75</v>
      </c>
      <c r="R6530">
        <v>75</v>
      </c>
      <c r="S6530">
        <v>112.5</v>
      </c>
      <c r="T6530" t="s">
        <v>32765</v>
      </c>
    </row>
    <row r="6531" spans="1:20">
      <c r="A6531">
        <v>4517253</v>
      </c>
      <c r="B6531" t="s">
        <v>32766</v>
      </c>
      <c r="C6531" t="str">
        <f>"9780773594449"</f>
        <v>9780773594449</v>
      </c>
      <c r="D6531" t="str">
        <f>"9780773594449"</f>
        <v>9780773594449</v>
      </c>
      <c r="E6531" t="s">
        <v>12863</v>
      </c>
      <c r="F6531" t="s">
        <v>12863</v>
      </c>
      <c r="G6531" s="1">
        <v>26665</v>
      </c>
      <c r="J6531" t="s">
        <v>32436</v>
      </c>
      <c r="K6531" t="s">
        <v>467</v>
      </c>
      <c r="L6531" t="s">
        <v>32767</v>
      </c>
      <c r="O6531" t="s">
        <v>26</v>
      </c>
      <c r="P6531">
        <v>112.5</v>
      </c>
      <c r="Q6531">
        <v>93.75</v>
      </c>
      <c r="R6531">
        <v>75</v>
      </c>
      <c r="S6531">
        <v>112.5</v>
      </c>
      <c r="T6531" t="s">
        <v>32768</v>
      </c>
    </row>
    <row r="6532" spans="1:20">
      <c r="A6532">
        <v>4517254</v>
      </c>
      <c r="B6532" t="s">
        <v>32769</v>
      </c>
      <c r="C6532" t="str">
        <f>"9780773503014"</f>
        <v>9780773503014</v>
      </c>
      <c r="D6532" t="str">
        <f>"9780773594463"</f>
        <v>9780773594463</v>
      </c>
      <c r="E6532" t="s">
        <v>12863</v>
      </c>
      <c r="F6532" t="s">
        <v>12863</v>
      </c>
      <c r="G6532" s="1">
        <v>28126</v>
      </c>
      <c r="J6532" t="s">
        <v>32770</v>
      </c>
      <c r="K6532" t="s">
        <v>1464</v>
      </c>
      <c r="L6532" t="s">
        <v>32771</v>
      </c>
      <c r="O6532" t="s">
        <v>26</v>
      </c>
      <c r="P6532">
        <v>112.5</v>
      </c>
      <c r="Q6532">
        <v>93.75</v>
      </c>
      <c r="R6532">
        <v>75</v>
      </c>
      <c r="S6532">
        <v>112.5</v>
      </c>
      <c r="T6532" t="s">
        <v>32772</v>
      </c>
    </row>
    <row r="6533" spans="1:20">
      <c r="A6533">
        <v>4517255</v>
      </c>
      <c r="B6533" t="s">
        <v>32773</v>
      </c>
      <c r="C6533" t="str">
        <f>"9780773502000"</f>
        <v>9780773502000</v>
      </c>
      <c r="D6533" t="str">
        <f>"9780773594470"</f>
        <v>9780773594470</v>
      </c>
      <c r="E6533" t="s">
        <v>12863</v>
      </c>
      <c r="F6533" t="s">
        <v>12863</v>
      </c>
      <c r="G6533" s="1">
        <v>27030</v>
      </c>
      <c r="I6533" t="s">
        <v>32176</v>
      </c>
      <c r="J6533" t="s">
        <v>32774</v>
      </c>
      <c r="K6533" t="s">
        <v>263</v>
      </c>
      <c r="L6533" t="s">
        <v>32775</v>
      </c>
      <c r="O6533" t="s">
        <v>26</v>
      </c>
      <c r="P6533">
        <v>112.5</v>
      </c>
      <c r="Q6533">
        <v>93.75</v>
      </c>
      <c r="R6533">
        <v>75</v>
      </c>
      <c r="S6533">
        <v>112.5</v>
      </c>
      <c r="T6533" t="s">
        <v>32776</v>
      </c>
    </row>
    <row r="6534" spans="1:20">
      <c r="A6534">
        <v>4517256</v>
      </c>
      <c r="B6534" t="s">
        <v>32777</v>
      </c>
      <c r="C6534" t="str">
        <f>"9780773542181"</f>
        <v>9780773542181</v>
      </c>
      <c r="D6534" t="str">
        <f>"9780773594487"</f>
        <v>9780773594487</v>
      </c>
      <c r="E6534" t="s">
        <v>12863</v>
      </c>
      <c r="F6534" t="s">
        <v>12863</v>
      </c>
      <c r="G6534" s="1">
        <v>23377</v>
      </c>
      <c r="J6534" t="s">
        <v>32778</v>
      </c>
      <c r="K6534" t="s">
        <v>467</v>
      </c>
      <c r="L6534" t="s">
        <v>32779</v>
      </c>
      <c r="O6534" t="s">
        <v>26</v>
      </c>
      <c r="P6534">
        <v>112.5</v>
      </c>
      <c r="Q6534">
        <v>93.75</v>
      </c>
      <c r="R6534">
        <v>75</v>
      </c>
      <c r="S6534">
        <v>112.5</v>
      </c>
      <c r="T6534" t="s">
        <v>32780</v>
      </c>
    </row>
    <row r="6535" spans="1:20">
      <c r="A6535">
        <v>4517257</v>
      </c>
      <c r="B6535" t="s">
        <v>32781</v>
      </c>
      <c r="C6535" t="str">
        <f>"9780773542198"</f>
        <v>9780773542198</v>
      </c>
      <c r="D6535" t="str">
        <f>"9780773594494"</f>
        <v>9780773594494</v>
      </c>
      <c r="E6535" t="s">
        <v>12863</v>
      </c>
      <c r="F6535" t="s">
        <v>12863</v>
      </c>
      <c r="G6535" s="1">
        <v>25204</v>
      </c>
      <c r="J6535" t="s">
        <v>32782</v>
      </c>
      <c r="K6535" t="s">
        <v>291</v>
      </c>
      <c r="L6535" t="s">
        <v>32783</v>
      </c>
      <c r="O6535" t="s">
        <v>26</v>
      </c>
      <c r="P6535">
        <v>112.5</v>
      </c>
      <c r="Q6535">
        <v>93.75</v>
      </c>
      <c r="R6535">
        <v>75</v>
      </c>
      <c r="S6535">
        <v>112.5</v>
      </c>
      <c r="T6535" t="s">
        <v>32784</v>
      </c>
    </row>
    <row r="6536" spans="1:20">
      <c r="A6536">
        <v>4517258</v>
      </c>
      <c r="B6536" t="s">
        <v>32785</v>
      </c>
      <c r="C6536" t="str">
        <f>"9780773542167"</f>
        <v>9780773542167</v>
      </c>
      <c r="D6536" t="str">
        <f>"9780773594500"</f>
        <v>9780773594500</v>
      </c>
      <c r="E6536" t="s">
        <v>12863</v>
      </c>
      <c r="F6536" t="s">
        <v>12863</v>
      </c>
      <c r="G6536" s="1">
        <v>23377</v>
      </c>
      <c r="J6536" t="s">
        <v>32786</v>
      </c>
      <c r="K6536" t="s">
        <v>291</v>
      </c>
      <c r="L6536" t="s">
        <v>32787</v>
      </c>
      <c r="O6536" t="s">
        <v>26</v>
      </c>
      <c r="P6536">
        <v>112.5</v>
      </c>
      <c r="Q6536">
        <v>93.75</v>
      </c>
      <c r="R6536">
        <v>75</v>
      </c>
      <c r="S6536">
        <v>112.5</v>
      </c>
      <c r="T6536" t="s">
        <v>32788</v>
      </c>
    </row>
    <row r="6537" spans="1:20">
      <c r="A6537">
        <v>4517259</v>
      </c>
      <c r="B6537" t="s">
        <v>32789</v>
      </c>
      <c r="C6537" t="str">
        <f>"9780773500402"</f>
        <v>9780773500402</v>
      </c>
      <c r="D6537" t="str">
        <f>"9780773594517"</f>
        <v>9780773594517</v>
      </c>
      <c r="E6537" t="s">
        <v>12863</v>
      </c>
      <c r="F6537" t="s">
        <v>12863</v>
      </c>
      <c r="G6537" s="1">
        <v>24108</v>
      </c>
      <c r="J6537" t="s">
        <v>32790</v>
      </c>
      <c r="K6537" t="s">
        <v>7838</v>
      </c>
      <c r="L6537" t="s">
        <v>32791</v>
      </c>
      <c r="O6537" t="s">
        <v>26</v>
      </c>
      <c r="P6537">
        <v>112.5</v>
      </c>
      <c r="Q6537">
        <v>93.75</v>
      </c>
      <c r="R6537">
        <v>75</v>
      </c>
      <c r="S6537">
        <v>112.5</v>
      </c>
      <c r="T6537" t="s">
        <v>32792</v>
      </c>
    </row>
    <row r="6538" spans="1:20">
      <c r="A6538">
        <v>4517260</v>
      </c>
      <c r="B6538" t="s">
        <v>32793</v>
      </c>
      <c r="C6538" t="str">
        <f>"9780773503106"</f>
        <v>9780773503106</v>
      </c>
      <c r="D6538" t="str">
        <f>"9780773594524"</f>
        <v>9780773594524</v>
      </c>
      <c r="E6538" t="s">
        <v>12863</v>
      </c>
      <c r="F6538" t="s">
        <v>12863</v>
      </c>
      <c r="G6538" s="1">
        <v>28126</v>
      </c>
      <c r="J6538" t="s">
        <v>32794</v>
      </c>
      <c r="K6538" t="s">
        <v>291</v>
      </c>
      <c r="L6538" t="s">
        <v>32795</v>
      </c>
      <c r="O6538" t="s">
        <v>26</v>
      </c>
      <c r="P6538">
        <v>112.5</v>
      </c>
      <c r="Q6538">
        <v>93.75</v>
      </c>
      <c r="R6538">
        <v>75</v>
      </c>
      <c r="S6538">
        <v>112.5</v>
      </c>
      <c r="T6538" t="s">
        <v>32796</v>
      </c>
    </row>
    <row r="6539" spans="1:20">
      <c r="A6539">
        <v>4517261</v>
      </c>
      <c r="B6539" t="s">
        <v>32797</v>
      </c>
      <c r="C6539" t="str">
        <f>"9780773503373"</f>
        <v>9780773503373</v>
      </c>
      <c r="D6539" t="str">
        <f>"9780773594531"</f>
        <v>9780773594531</v>
      </c>
      <c r="E6539" t="s">
        <v>12863</v>
      </c>
      <c r="F6539" t="s">
        <v>12863</v>
      </c>
      <c r="G6539" s="1">
        <v>28856</v>
      </c>
      <c r="J6539" t="s">
        <v>32798</v>
      </c>
      <c r="K6539" t="s">
        <v>291</v>
      </c>
      <c r="L6539" t="s">
        <v>32799</v>
      </c>
      <c r="O6539" t="s">
        <v>26</v>
      </c>
      <c r="P6539">
        <v>112.5</v>
      </c>
      <c r="Q6539">
        <v>93.75</v>
      </c>
      <c r="R6539">
        <v>75</v>
      </c>
      <c r="S6539">
        <v>112.5</v>
      </c>
      <c r="T6539" t="s">
        <v>32800</v>
      </c>
    </row>
    <row r="6540" spans="1:20">
      <c r="A6540">
        <v>4517263</v>
      </c>
      <c r="B6540" t="s">
        <v>32801</v>
      </c>
      <c r="C6540" t="str">
        <f>"9780773502789"</f>
        <v>9780773502789</v>
      </c>
      <c r="D6540" t="str">
        <f>"9780773594548"</f>
        <v>9780773594548</v>
      </c>
      <c r="E6540" t="s">
        <v>12863</v>
      </c>
      <c r="F6540" t="s">
        <v>12863</v>
      </c>
      <c r="G6540" s="1">
        <v>27760</v>
      </c>
      <c r="J6540" t="s">
        <v>32802</v>
      </c>
      <c r="K6540" t="s">
        <v>7075</v>
      </c>
      <c r="L6540" t="s">
        <v>32803</v>
      </c>
      <c r="O6540" t="s">
        <v>26</v>
      </c>
      <c r="P6540">
        <v>112.5</v>
      </c>
      <c r="Q6540">
        <v>93.75</v>
      </c>
      <c r="R6540">
        <v>75</v>
      </c>
      <c r="S6540">
        <v>112.5</v>
      </c>
      <c r="T6540" t="s">
        <v>32804</v>
      </c>
    </row>
    <row r="6541" spans="1:20">
      <c r="A6541">
        <v>4517264</v>
      </c>
      <c r="B6541" t="s">
        <v>32805</v>
      </c>
      <c r="C6541" t="str">
        <f>"9780773502543"</f>
        <v>9780773502543</v>
      </c>
      <c r="D6541" t="str">
        <f>"9780773594555"</f>
        <v>9780773594555</v>
      </c>
      <c r="E6541" t="s">
        <v>12863</v>
      </c>
      <c r="F6541" t="s">
        <v>12863</v>
      </c>
      <c r="G6541" s="1">
        <v>28491</v>
      </c>
      <c r="J6541" t="s">
        <v>32802</v>
      </c>
      <c r="K6541" t="s">
        <v>257</v>
      </c>
      <c r="L6541" t="s">
        <v>32806</v>
      </c>
      <c r="O6541" t="s">
        <v>26</v>
      </c>
      <c r="P6541">
        <v>112.5</v>
      </c>
      <c r="Q6541">
        <v>93.75</v>
      </c>
      <c r="R6541">
        <v>75</v>
      </c>
      <c r="S6541">
        <v>112.5</v>
      </c>
      <c r="T6541" t="s">
        <v>32807</v>
      </c>
    </row>
    <row r="6542" spans="1:20">
      <c r="A6542">
        <v>4517265</v>
      </c>
      <c r="B6542" t="s">
        <v>32808</v>
      </c>
      <c r="C6542" t="str">
        <f>"9780773594579"</f>
        <v>9780773594579</v>
      </c>
      <c r="D6542" t="str">
        <f>"9780773594579"</f>
        <v>9780773594579</v>
      </c>
      <c r="E6542" t="s">
        <v>12863</v>
      </c>
      <c r="F6542" t="s">
        <v>12863</v>
      </c>
      <c r="G6542" s="1">
        <v>29221</v>
      </c>
      <c r="J6542" t="s">
        <v>32809</v>
      </c>
      <c r="K6542" t="s">
        <v>2260</v>
      </c>
      <c r="L6542" t="s">
        <v>32810</v>
      </c>
      <c r="O6542" t="s">
        <v>26</v>
      </c>
      <c r="P6542">
        <v>112.5</v>
      </c>
      <c r="Q6542">
        <v>93.75</v>
      </c>
      <c r="R6542">
        <v>75</v>
      </c>
      <c r="S6542">
        <v>112.5</v>
      </c>
      <c r="T6542" t="s">
        <v>32811</v>
      </c>
    </row>
    <row r="6543" spans="1:20">
      <c r="A6543">
        <v>4517266</v>
      </c>
      <c r="B6543" t="s">
        <v>32812</v>
      </c>
      <c r="C6543" t="str">
        <f>"9780773594593"</f>
        <v>9780773594593</v>
      </c>
      <c r="D6543" t="str">
        <f>"9780773594593"</f>
        <v>9780773594593</v>
      </c>
      <c r="E6543" t="s">
        <v>12863</v>
      </c>
      <c r="F6543" t="s">
        <v>12863</v>
      </c>
      <c r="G6543" s="1">
        <v>27030</v>
      </c>
      <c r="J6543" t="s">
        <v>32813</v>
      </c>
      <c r="K6543" t="s">
        <v>291</v>
      </c>
      <c r="L6543" t="s">
        <v>32814</v>
      </c>
      <c r="O6543" t="s">
        <v>26</v>
      </c>
      <c r="P6543">
        <v>112.5</v>
      </c>
      <c r="Q6543">
        <v>93.75</v>
      </c>
      <c r="R6543">
        <v>75</v>
      </c>
      <c r="S6543">
        <v>112.5</v>
      </c>
      <c r="T6543" t="s">
        <v>32815</v>
      </c>
    </row>
    <row r="6544" spans="1:20">
      <c r="A6544">
        <v>4517267</v>
      </c>
      <c r="B6544" t="s">
        <v>32816</v>
      </c>
      <c r="C6544" t="str">
        <f>"9780770517472"</f>
        <v>9780770517472</v>
      </c>
      <c r="D6544" t="str">
        <f>"9780773594968"</f>
        <v>9780773594968</v>
      </c>
      <c r="E6544" t="s">
        <v>12863</v>
      </c>
      <c r="F6544" t="s">
        <v>12863</v>
      </c>
      <c r="G6544" s="1">
        <v>23012</v>
      </c>
      <c r="I6544" t="s">
        <v>13270</v>
      </c>
      <c r="J6544" t="s">
        <v>32817</v>
      </c>
      <c r="K6544" t="s">
        <v>291</v>
      </c>
      <c r="L6544" t="s">
        <v>32818</v>
      </c>
      <c r="O6544" t="s">
        <v>26</v>
      </c>
      <c r="P6544">
        <v>112.5</v>
      </c>
      <c r="Q6544">
        <v>93.75</v>
      </c>
      <c r="R6544">
        <v>75</v>
      </c>
      <c r="S6544">
        <v>112.5</v>
      </c>
      <c r="T6544" t="s">
        <v>32819</v>
      </c>
    </row>
    <row r="6545" spans="1:20">
      <c r="A6545">
        <v>4517268</v>
      </c>
      <c r="B6545" t="s">
        <v>32820</v>
      </c>
      <c r="C6545" t="str">
        <f>"9780770517489"</f>
        <v>9780770517489</v>
      </c>
      <c r="D6545" t="str">
        <f>"9780773594982"</f>
        <v>9780773594982</v>
      </c>
      <c r="E6545" t="s">
        <v>12863</v>
      </c>
      <c r="F6545" t="s">
        <v>12863</v>
      </c>
      <c r="G6545" s="1">
        <v>23012</v>
      </c>
      <c r="I6545" t="s">
        <v>13270</v>
      </c>
      <c r="J6545" t="s">
        <v>32821</v>
      </c>
      <c r="K6545" t="s">
        <v>467</v>
      </c>
      <c r="L6545" t="s">
        <v>32822</v>
      </c>
      <c r="O6545" t="s">
        <v>26</v>
      </c>
      <c r="P6545">
        <v>112.5</v>
      </c>
      <c r="Q6545">
        <v>93.75</v>
      </c>
      <c r="R6545">
        <v>75</v>
      </c>
      <c r="S6545">
        <v>112.5</v>
      </c>
      <c r="T6545" t="s">
        <v>32823</v>
      </c>
    </row>
    <row r="6546" spans="1:20">
      <c r="A6546">
        <v>4517269</v>
      </c>
      <c r="B6546" t="s">
        <v>32824</v>
      </c>
      <c r="C6546" t="str">
        <f>"9780771097065"</f>
        <v>9780771097065</v>
      </c>
      <c r="D6546" t="str">
        <f>"9780773594999"</f>
        <v>9780773594999</v>
      </c>
      <c r="E6546" t="s">
        <v>12863</v>
      </c>
      <c r="F6546" t="s">
        <v>12863</v>
      </c>
      <c r="G6546" s="1">
        <v>23026</v>
      </c>
      <c r="I6546" t="s">
        <v>13270</v>
      </c>
      <c r="J6546" t="s">
        <v>32825</v>
      </c>
      <c r="K6546" t="s">
        <v>467</v>
      </c>
      <c r="L6546" t="s">
        <v>32826</v>
      </c>
      <c r="O6546" t="s">
        <v>26</v>
      </c>
      <c r="P6546">
        <v>112.5</v>
      </c>
      <c r="Q6546">
        <v>93.75</v>
      </c>
      <c r="R6546">
        <v>75</v>
      </c>
      <c r="S6546">
        <v>112.5</v>
      </c>
      <c r="T6546" t="s">
        <v>32827</v>
      </c>
    </row>
    <row r="6547" spans="1:20">
      <c r="A6547">
        <v>4517270</v>
      </c>
      <c r="B6547" t="s">
        <v>32828</v>
      </c>
      <c r="C6547" t="str">
        <f>"9780771097140"</f>
        <v>9780771097140</v>
      </c>
      <c r="D6547" t="str">
        <f>"9780773595033"</f>
        <v>9780773595033</v>
      </c>
      <c r="E6547" t="s">
        <v>12863</v>
      </c>
      <c r="F6547" t="s">
        <v>12863</v>
      </c>
      <c r="G6547" s="1">
        <v>23377</v>
      </c>
      <c r="I6547" t="s">
        <v>13270</v>
      </c>
      <c r="J6547" t="s">
        <v>32829</v>
      </c>
      <c r="K6547" t="s">
        <v>291</v>
      </c>
      <c r="L6547" t="s">
        <v>32830</v>
      </c>
      <c r="O6547" t="s">
        <v>26</v>
      </c>
      <c r="P6547">
        <v>112.5</v>
      </c>
      <c r="Q6547">
        <v>93.75</v>
      </c>
      <c r="R6547">
        <v>75</v>
      </c>
      <c r="S6547">
        <v>112.5</v>
      </c>
      <c r="T6547" t="s">
        <v>32831</v>
      </c>
    </row>
    <row r="6548" spans="1:20">
      <c r="A6548">
        <v>4517272</v>
      </c>
      <c r="B6548" t="s">
        <v>32832</v>
      </c>
      <c r="C6548" t="str">
        <f>"9780771097195"</f>
        <v>9780771097195</v>
      </c>
      <c r="D6548" t="str">
        <f>"9780773595064"</f>
        <v>9780773595064</v>
      </c>
      <c r="E6548" t="s">
        <v>12863</v>
      </c>
      <c r="F6548" t="s">
        <v>12863</v>
      </c>
      <c r="G6548" s="1">
        <v>23377</v>
      </c>
      <c r="I6548" t="s">
        <v>13270</v>
      </c>
      <c r="J6548" t="s">
        <v>32833</v>
      </c>
      <c r="K6548" t="s">
        <v>305</v>
      </c>
      <c r="L6548" t="s">
        <v>32834</v>
      </c>
      <c r="O6548" t="s">
        <v>26</v>
      </c>
      <c r="P6548">
        <v>112.5</v>
      </c>
      <c r="Q6548">
        <v>93.75</v>
      </c>
      <c r="R6548">
        <v>75</v>
      </c>
      <c r="S6548">
        <v>112.5</v>
      </c>
      <c r="T6548" t="s">
        <v>32835</v>
      </c>
    </row>
    <row r="6549" spans="1:20">
      <c r="A6549">
        <v>4517273</v>
      </c>
      <c r="B6549" t="s">
        <v>32836</v>
      </c>
      <c r="C6549" t="str">
        <f>"9780773595088"</f>
        <v>9780773595088</v>
      </c>
      <c r="D6549" t="str">
        <f>"9780773595088"</f>
        <v>9780773595088</v>
      </c>
      <c r="E6549" t="s">
        <v>12863</v>
      </c>
      <c r="F6549" t="s">
        <v>12863</v>
      </c>
      <c r="G6549" s="1">
        <v>23743</v>
      </c>
      <c r="I6549" t="s">
        <v>13270</v>
      </c>
      <c r="J6549" t="s">
        <v>32837</v>
      </c>
      <c r="K6549" t="s">
        <v>291</v>
      </c>
      <c r="L6549" t="s">
        <v>32838</v>
      </c>
      <c r="O6549" t="s">
        <v>26</v>
      </c>
      <c r="P6549">
        <v>112.5</v>
      </c>
      <c r="Q6549">
        <v>93.75</v>
      </c>
      <c r="R6549">
        <v>75</v>
      </c>
      <c r="S6549">
        <v>112.5</v>
      </c>
      <c r="T6549" t="s">
        <v>32839</v>
      </c>
    </row>
    <row r="6550" spans="1:20">
      <c r="A6550">
        <v>4517274</v>
      </c>
      <c r="B6550" t="s">
        <v>32840</v>
      </c>
      <c r="C6550" t="str">
        <f>"9780773500389"</f>
        <v>9780773500389</v>
      </c>
      <c r="D6550" t="str">
        <f>"9780773595095"</f>
        <v>9780773595095</v>
      </c>
      <c r="E6550" t="s">
        <v>12863</v>
      </c>
      <c r="F6550" t="s">
        <v>12863</v>
      </c>
      <c r="G6550" s="1">
        <v>21551</v>
      </c>
      <c r="I6550" t="s">
        <v>13270</v>
      </c>
      <c r="J6550" t="s">
        <v>32841</v>
      </c>
      <c r="K6550" t="s">
        <v>291</v>
      </c>
      <c r="L6550" t="s">
        <v>32842</v>
      </c>
      <c r="O6550" t="s">
        <v>26</v>
      </c>
      <c r="P6550">
        <v>112.5</v>
      </c>
      <c r="Q6550">
        <v>93.75</v>
      </c>
      <c r="R6550">
        <v>75</v>
      </c>
      <c r="S6550">
        <v>112.5</v>
      </c>
      <c r="T6550" t="s">
        <v>32843</v>
      </c>
    </row>
    <row r="6551" spans="1:20">
      <c r="A6551">
        <v>4517275</v>
      </c>
      <c r="B6551" t="s">
        <v>32844</v>
      </c>
      <c r="C6551" t="str">
        <f>"9780773500464"</f>
        <v>9780773500464</v>
      </c>
      <c r="D6551" t="str">
        <f>"9780773595118"</f>
        <v>9780773595118</v>
      </c>
      <c r="E6551" t="s">
        <v>12863</v>
      </c>
      <c r="F6551" t="s">
        <v>12863</v>
      </c>
      <c r="G6551" s="1">
        <v>24108</v>
      </c>
      <c r="I6551" t="s">
        <v>13270</v>
      </c>
      <c r="J6551" t="s">
        <v>32845</v>
      </c>
      <c r="K6551" t="s">
        <v>291</v>
      </c>
      <c r="L6551" t="s">
        <v>32846</v>
      </c>
      <c r="O6551" t="s">
        <v>26</v>
      </c>
      <c r="P6551">
        <v>112.5</v>
      </c>
      <c r="Q6551">
        <v>93.75</v>
      </c>
      <c r="R6551">
        <v>75</v>
      </c>
      <c r="S6551">
        <v>112.5</v>
      </c>
      <c r="T6551" t="s">
        <v>32847</v>
      </c>
    </row>
    <row r="6552" spans="1:20">
      <c r="A6552">
        <v>4517276</v>
      </c>
      <c r="B6552" t="s">
        <v>32848</v>
      </c>
      <c r="C6552" t="str">
        <f>"9780771097300"</f>
        <v>9780771097300</v>
      </c>
      <c r="D6552" t="str">
        <f>"9780773595125"</f>
        <v>9780773595125</v>
      </c>
      <c r="E6552" t="s">
        <v>12863</v>
      </c>
      <c r="F6552" t="s">
        <v>12863</v>
      </c>
      <c r="G6552" s="1">
        <v>24108</v>
      </c>
      <c r="I6552" t="s">
        <v>13270</v>
      </c>
      <c r="J6552" t="s">
        <v>32849</v>
      </c>
      <c r="K6552" t="s">
        <v>291</v>
      </c>
      <c r="L6552" t="s">
        <v>32850</v>
      </c>
      <c r="O6552" t="s">
        <v>26</v>
      </c>
      <c r="P6552">
        <v>112.5</v>
      </c>
      <c r="Q6552">
        <v>93.75</v>
      </c>
      <c r="R6552">
        <v>75</v>
      </c>
      <c r="S6552">
        <v>112.5</v>
      </c>
      <c r="T6552" t="s">
        <v>32851</v>
      </c>
    </row>
    <row r="6553" spans="1:20">
      <c r="A6553">
        <v>4517277</v>
      </c>
      <c r="B6553" t="s">
        <v>32852</v>
      </c>
      <c r="C6553" t="str">
        <f>"9780773500365"</f>
        <v>9780773500365</v>
      </c>
      <c r="D6553" t="str">
        <f>"9780773595149"</f>
        <v>9780773595149</v>
      </c>
      <c r="E6553" t="s">
        <v>12863</v>
      </c>
      <c r="F6553" t="s">
        <v>12863</v>
      </c>
      <c r="G6553" s="1">
        <v>24473</v>
      </c>
      <c r="I6553" t="s">
        <v>13270</v>
      </c>
      <c r="J6553" t="s">
        <v>32853</v>
      </c>
      <c r="K6553" t="s">
        <v>1892</v>
      </c>
      <c r="L6553" t="s">
        <v>32854</v>
      </c>
      <c r="O6553" t="s">
        <v>26</v>
      </c>
      <c r="P6553">
        <v>112.5</v>
      </c>
      <c r="Q6553">
        <v>93.75</v>
      </c>
      <c r="R6553">
        <v>75</v>
      </c>
      <c r="S6553">
        <v>112.5</v>
      </c>
      <c r="T6553" t="s">
        <v>32855</v>
      </c>
    </row>
    <row r="6554" spans="1:20">
      <c r="A6554">
        <v>4517278</v>
      </c>
      <c r="B6554" t="s">
        <v>32856</v>
      </c>
      <c r="C6554" t="str">
        <f>"9780886290221"</f>
        <v>9780886290221</v>
      </c>
      <c r="D6554" t="str">
        <f>"9780773595163"</f>
        <v>9780773595163</v>
      </c>
      <c r="E6554" t="s">
        <v>12863</v>
      </c>
      <c r="F6554" t="s">
        <v>12863</v>
      </c>
      <c r="G6554" s="1">
        <v>24473</v>
      </c>
      <c r="I6554" t="s">
        <v>13270</v>
      </c>
      <c r="J6554" t="s">
        <v>32857</v>
      </c>
      <c r="K6554" t="s">
        <v>10956</v>
      </c>
      <c r="L6554" t="s">
        <v>32858</v>
      </c>
      <c r="O6554" t="s">
        <v>26</v>
      </c>
      <c r="P6554">
        <v>112.5</v>
      </c>
      <c r="Q6554">
        <v>93.75</v>
      </c>
      <c r="R6554">
        <v>75</v>
      </c>
      <c r="S6554">
        <v>112.5</v>
      </c>
      <c r="T6554" t="s">
        <v>32859</v>
      </c>
    </row>
    <row r="6555" spans="1:20">
      <c r="A6555">
        <v>4517279</v>
      </c>
      <c r="B6555" t="s">
        <v>32860</v>
      </c>
      <c r="C6555" t="str">
        <f>"9780771097430"</f>
        <v>9780771097430</v>
      </c>
      <c r="D6555" t="str">
        <f>"9780773595200"</f>
        <v>9780773595200</v>
      </c>
      <c r="E6555" t="s">
        <v>12863</v>
      </c>
      <c r="F6555" t="s">
        <v>12863</v>
      </c>
      <c r="G6555" s="1">
        <v>25204</v>
      </c>
      <c r="I6555" t="s">
        <v>13270</v>
      </c>
      <c r="J6555" t="s">
        <v>32861</v>
      </c>
      <c r="K6555" t="s">
        <v>291</v>
      </c>
      <c r="L6555" t="s">
        <v>32862</v>
      </c>
      <c r="O6555" t="s">
        <v>26</v>
      </c>
      <c r="P6555">
        <v>112.5</v>
      </c>
      <c r="Q6555">
        <v>93.75</v>
      </c>
      <c r="R6555">
        <v>75</v>
      </c>
      <c r="S6555">
        <v>112.5</v>
      </c>
      <c r="T6555" t="s">
        <v>32863</v>
      </c>
    </row>
    <row r="6556" spans="1:20">
      <c r="A6556">
        <v>4517280</v>
      </c>
      <c r="B6556" t="s">
        <v>32864</v>
      </c>
      <c r="C6556" t="str">
        <f>"9780771097447"</f>
        <v>9780771097447</v>
      </c>
      <c r="D6556" t="str">
        <f>"9780773595217"</f>
        <v>9780773595217</v>
      </c>
      <c r="E6556" t="s">
        <v>12863</v>
      </c>
      <c r="F6556" t="s">
        <v>12863</v>
      </c>
      <c r="G6556" s="1">
        <v>25204</v>
      </c>
      <c r="I6556" t="s">
        <v>13270</v>
      </c>
      <c r="J6556" t="s">
        <v>32865</v>
      </c>
      <c r="K6556" t="s">
        <v>1892</v>
      </c>
      <c r="L6556" t="s">
        <v>32866</v>
      </c>
      <c r="O6556" t="s">
        <v>26</v>
      </c>
      <c r="P6556">
        <v>112.5</v>
      </c>
      <c r="Q6556">
        <v>93.75</v>
      </c>
      <c r="R6556">
        <v>75</v>
      </c>
      <c r="S6556">
        <v>112.5</v>
      </c>
      <c r="T6556" t="s">
        <v>32867</v>
      </c>
    </row>
    <row r="6557" spans="1:20">
      <c r="A6557">
        <v>4517281</v>
      </c>
      <c r="B6557" t="s">
        <v>32868</v>
      </c>
      <c r="C6557" t="str">
        <f>"9780771097423"</f>
        <v>9780771097423</v>
      </c>
      <c r="D6557" t="str">
        <f>"9780773595248"</f>
        <v>9780773595248</v>
      </c>
      <c r="E6557" t="s">
        <v>12863</v>
      </c>
      <c r="F6557" t="s">
        <v>12863</v>
      </c>
      <c r="G6557" s="1">
        <v>25569</v>
      </c>
      <c r="I6557" t="s">
        <v>13270</v>
      </c>
      <c r="J6557" t="s">
        <v>32869</v>
      </c>
      <c r="K6557" t="s">
        <v>291</v>
      </c>
      <c r="L6557" t="s">
        <v>32870</v>
      </c>
      <c r="O6557" t="s">
        <v>26</v>
      </c>
      <c r="P6557">
        <v>112.5</v>
      </c>
      <c r="Q6557">
        <v>93.75</v>
      </c>
      <c r="R6557">
        <v>75</v>
      </c>
      <c r="S6557">
        <v>112.5</v>
      </c>
      <c r="T6557" t="s">
        <v>32871</v>
      </c>
    </row>
    <row r="6558" spans="1:20">
      <c r="A6558">
        <v>4517282</v>
      </c>
      <c r="B6558" t="s">
        <v>32872</v>
      </c>
      <c r="C6558" t="str">
        <f>"9780771097522"</f>
        <v>9780771097522</v>
      </c>
      <c r="D6558" t="str">
        <f>"9780773595262"</f>
        <v>9780773595262</v>
      </c>
      <c r="E6558" t="s">
        <v>12863</v>
      </c>
      <c r="F6558" t="s">
        <v>12863</v>
      </c>
      <c r="G6558" s="1">
        <v>25569</v>
      </c>
      <c r="I6558" t="s">
        <v>13270</v>
      </c>
      <c r="J6558" t="s">
        <v>32873</v>
      </c>
      <c r="K6558" t="s">
        <v>291</v>
      </c>
      <c r="L6558" t="s">
        <v>32874</v>
      </c>
      <c r="O6558" t="s">
        <v>26</v>
      </c>
      <c r="P6558">
        <v>112.5</v>
      </c>
      <c r="Q6558">
        <v>93.75</v>
      </c>
      <c r="R6558">
        <v>75</v>
      </c>
      <c r="S6558">
        <v>112.5</v>
      </c>
      <c r="T6558" t="s">
        <v>32875</v>
      </c>
    </row>
    <row r="6559" spans="1:20">
      <c r="A6559">
        <v>4517283</v>
      </c>
      <c r="B6559" t="s">
        <v>32876</v>
      </c>
      <c r="C6559" t="str">
        <f>"9780770517557"</f>
        <v>9780770517557</v>
      </c>
      <c r="D6559" t="str">
        <f>"9780773595279"</f>
        <v>9780773595279</v>
      </c>
      <c r="E6559" t="s">
        <v>12863</v>
      </c>
      <c r="F6559" t="s">
        <v>12863</v>
      </c>
      <c r="G6559" s="1">
        <v>25569</v>
      </c>
      <c r="I6559" t="s">
        <v>13270</v>
      </c>
      <c r="J6559" t="s">
        <v>32877</v>
      </c>
      <c r="K6559" t="s">
        <v>291</v>
      </c>
      <c r="L6559" t="s">
        <v>32878</v>
      </c>
      <c r="O6559" t="s">
        <v>26</v>
      </c>
      <c r="P6559">
        <v>112.5</v>
      </c>
      <c r="Q6559">
        <v>93.75</v>
      </c>
      <c r="R6559">
        <v>75</v>
      </c>
      <c r="S6559">
        <v>112.5</v>
      </c>
      <c r="T6559" t="s">
        <v>32879</v>
      </c>
    </row>
    <row r="6560" spans="1:20">
      <c r="A6560">
        <v>4517284</v>
      </c>
      <c r="B6560" t="s">
        <v>32880</v>
      </c>
      <c r="C6560" t="str">
        <f>"9780773500372"</f>
        <v>9780773500372</v>
      </c>
      <c r="D6560" t="str">
        <f>"9780773595293"</f>
        <v>9780773595293</v>
      </c>
      <c r="E6560" t="s">
        <v>12863</v>
      </c>
      <c r="F6560" t="s">
        <v>12863</v>
      </c>
      <c r="G6560" s="1">
        <v>25569</v>
      </c>
      <c r="I6560" t="s">
        <v>13270</v>
      </c>
      <c r="J6560" t="s">
        <v>32881</v>
      </c>
      <c r="K6560" t="s">
        <v>305</v>
      </c>
      <c r="L6560" t="s">
        <v>32882</v>
      </c>
      <c r="O6560" t="s">
        <v>26</v>
      </c>
      <c r="P6560">
        <v>112.5</v>
      </c>
      <c r="Q6560">
        <v>93.75</v>
      </c>
      <c r="R6560">
        <v>75</v>
      </c>
      <c r="S6560">
        <v>112.5</v>
      </c>
      <c r="T6560" t="s">
        <v>32883</v>
      </c>
    </row>
    <row r="6561" spans="1:20">
      <c r="A6561">
        <v>4517285</v>
      </c>
      <c r="B6561" t="s">
        <v>32884</v>
      </c>
      <c r="C6561" t="str">
        <f>"9780886290153"</f>
        <v>9780886290153</v>
      </c>
      <c r="D6561" t="str">
        <f>"9780773595309"</f>
        <v>9780773595309</v>
      </c>
      <c r="E6561" t="s">
        <v>12863</v>
      </c>
      <c r="F6561" t="s">
        <v>12863</v>
      </c>
      <c r="G6561" s="1">
        <v>26299</v>
      </c>
      <c r="I6561" t="s">
        <v>13270</v>
      </c>
      <c r="J6561" t="s">
        <v>32885</v>
      </c>
      <c r="K6561" t="s">
        <v>263</v>
      </c>
      <c r="L6561" t="s">
        <v>32886</v>
      </c>
      <c r="O6561" t="s">
        <v>26</v>
      </c>
      <c r="P6561">
        <v>127.5</v>
      </c>
      <c r="Q6561">
        <v>106.25</v>
      </c>
      <c r="R6561">
        <v>85</v>
      </c>
      <c r="S6561">
        <v>127.5</v>
      </c>
      <c r="T6561" t="s">
        <v>32887</v>
      </c>
    </row>
    <row r="6562" spans="1:20">
      <c r="A6562">
        <v>4517286</v>
      </c>
      <c r="B6562" t="s">
        <v>32888</v>
      </c>
      <c r="C6562" t="str">
        <f>"9780771097584"</f>
        <v>9780771097584</v>
      </c>
      <c r="D6562" t="str">
        <f>"9780773595316"</f>
        <v>9780773595316</v>
      </c>
      <c r="E6562" t="s">
        <v>12863</v>
      </c>
      <c r="F6562" t="s">
        <v>12863</v>
      </c>
      <c r="G6562" s="1">
        <v>26299</v>
      </c>
      <c r="I6562" t="s">
        <v>13270</v>
      </c>
      <c r="J6562" t="s">
        <v>32889</v>
      </c>
      <c r="K6562" t="s">
        <v>291</v>
      </c>
      <c r="L6562" t="s">
        <v>32890</v>
      </c>
      <c r="O6562" t="s">
        <v>26</v>
      </c>
      <c r="P6562">
        <v>112.5</v>
      </c>
      <c r="Q6562">
        <v>93.75</v>
      </c>
      <c r="R6562">
        <v>75</v>
      </c>
      <c r="S6562">
        <v>112.5</v>
      </c>
      <c r="T6562" t="s">
        <v>32891</v>
      </c>
    </row>
    <row r="6563" spans="1:20">
      <c r="A6563">
        <v>4517287</v>
      </c>
      <c r="B6563" t="s">
        <v>32892</v>
      </c>
      <c r="C6563" t="str">
        <f>"9780771097607"</f>
        <v>9780771097607</v>
      </c>
      <c r="D6563" t="str">
        <f>"9780773595323"</f>
        <v>9780773595323</v>
      </c>
      <c r="E6563" t="s">
        <v>12863</v>
      </c>
      <c r="F6563" t="s">
        <v>12863</v>
      </c>
      <c r="G6563" s="1">
        <v>26299</v>
      </c>
      <c r="I6563" t="s">
        <v>13270</v>
      </c>
      <c r="J6563" t="s">
        <v>32893</v>
      </c>
      <c r="K6563" t="s">
        <v>291</v>
      </c>
      <c r="L6563" t="s">
        <v>32894</v>
      </c>
      <c r="O6563" t="s">
        <v>26</v>
      </c>
      <c r="P6563">
        <v>112.5</v>
      </c>
      <c r="Q6563">
        <v>93.75</v>
      </c>
      <c r="R6563">
        <v>75</v>
      </c>
      <c r="S6563">
        <v>112.5</v>
      </c>
      <c r="T6563" t="s">
        <v>32895</v>
      </c>
    </row>
    <row r="6564" spans="1:20">
      <c r="A6564">
        <v>4517288</v>
      </c>
      <c r="B6564" t="s">
        <v>32896</v>
      </c>
      <c r="C6564" t="str">
        <f>"9780771097614"</f>
        <v>9780771097614</v>
      </c>
      <c r="D6564" t="str">
        <f>"9780773595330"</f>
        <v>9780773595330</v>
      </c>
      <c r="E6564" t="s">
        <v>12863</v>
      </c>
      <c r="F6564" t="s">
        <v>12863</v>
      </c>
      <c r="G6564" s="1">
        <v>26299</v>
      </c>
      <c r="I6564" t="s">
        <v>13270</v>
      </c>
      <c r="J6564" t="s">
        <v>32897</v>
      </c>
      <c r="K6564" t="s">
        <v>467</v>
      </c>
      <c r="L6564" t="s">
        <v>32898</v>
      </c>
      <c r="O6564" t="s">
        <v>26</v>
      </c>
      <c r="P6564">
        <v>112.5</v>
      </c>
      <c r="Q6564">
        <v>93.75</v>
      </c>
      <c r="R6564">
        <v>75</v>
      </c>
      <c r="S6564">
        <v>112.5</v>
      </c>
      <c r="T6564" t="s">
        <v>32899</v>
      </c>
    </row>
    <row r="6565" spans="1:20">
      <c r="A6565">
        <v>4517289</v>
      </c>
      <c r="B6565" t="s">
        <v>32900</v>
      </c>
      <c r="C6565" t="str">
        <f>"9780773500471"</f>
        <v>9780773500471</v>
      </c>
      <c r="D6565" t="str">
        <f>"9780773595354"</f>
        <v>9780773595354</v>
      </c>
      <c r="E6565" t="s">
        <v>12863</v>
      </c>
      <c r="F6565" t="s">
        <v>12863</v>
      </c>
      <c r="G6565" s="1">
        <v>26665</v>
      </c>
      <c r="I6565" t="s">
        <v>13270</v>
      </c>
      <c r="J6565" t="s">
        <v>32901</v>
      </c>
      <c r="K6565" t="s">
        <v>291</v>
      </c>
      <c r="L6565" t="s">
        <v>32902</v>
      </c>
      <c r="O6565" t="s">
        <v>26</v>
      </c>
      <c r="P6565">
        <v>112.5</v>
      </c>
      <c r="Q6565">
        <v>93.75</v>
      </c>
      <c r="R6565">
        <v>75</v>
      </c>
      <c r="S6565">
        <v>112.5</v>
      </c>
      <c r="T6565" t="s">
        <v>32903</v>
      </c>
    </row>
    <row r="6566" spans="1:20">
      <c r="A6566">
        <v>4517290</v>
      </c>
      <c r="B6566" t="s">
        <v>32904</v>
      </c>
      <c r="C6566" t="str">
        <f>"9780771067464"</f>
        <v>9780771067464</v>
      </c>
      <c r="D6566" t="str">
        <f>"9780773595378"</f>
        <v>9780773595378</v>
      </c>
      <c r="E6566" t="s">
        <v>12863</v>
      </c>
      <c r="F6566" t="s">
        <v>12863</v>
      </c>
      <c r="G6566" s="1">
        <v>26665</v>
      </c>
      <c r="I6566" t="s">
        <v>13270</v>
      </c>
      <c r="J6566" t="s">
        <v>32905</v>
      </c>
      <c r="K6566" t="s">
        <v>291</v>
      </c>
      <c r="L6566" t="s">
        <v>32906</v>
      </c>
      <c r="O6566" t="s">
        <v>26</v>
      </c>
      <c r="P6566">
        <v>112.5</v>
      </c>
      <c r="Q6566">
        <v>93.75</v>
      </c>
      <c r="R6566">
        <v>75</v>
      </c>
      <c r="S6566">
        <v>112.5</v>
      </c>
      <c r="T6566" t="s">
        <v>32907</v>
      </c>
    </row>
    <row r="6567" spans="1:20">
      <c r="A6567">
        <v>4517291</v>
      </c>
      <c r="B6567" t="s">
        <v>32908</v>
      </c>
      <c r="C6567" t="str">
        <f>"9780771097805"</f>
        <v>9780771097805</v>
      </c>
      <c r="D6567" t="str">
        <f>"9780773595422"</f>
        <v>9780773595422</v>
      </c>
      <c r="E6567" t="s">
        <v>12863</v>
      </c>
      <c r="F6567" t="s">
        <v>12863</v>
      </c>
      <c r="G6567" s="1">
        <v>26313</v>
      </c>
      <c r="I6567" t="s">
        <v>13270</v>
      </c>
      <c r="J6567" t="s">
        <v>32909</v>
      </c>
      <c r="K6567" t="s">
        <v>291</v>
      </c>
      <c r="L6567" t="s">
        <v>32910</v>
      </c>
      <c r="O6567" t="s">
        <v>26</v>
      </c>
      <c r="P6567">
        <v>112.5</v>
      </c>
      <c r="Q6567">
        <v>93.75</v>
      </c>
      <c r="R6567">
        <v>75</v>
      </c>
      <c r="S6567">
        <v>112.5</v>
      </c>
      <c r="T6567" t="s">
        <v>32911</v>
      </c>
    </row>
    <row r="6568" spans="1:20">
      <c r="A6568">
        <v>4517292</v>
      </c>
      <c r="B6568" t="s">
        <v>32912</v>
      </c>
      <c r="C6568" t="str">
        <f>"9780771097973"</f>
        <v>9780771097973</v>
      </c>
      <c r="D6568" t="str">
        <f>"9780773595484"</f>
        <v>9780773595484</v>
      </c>
      <c r="E6568" t="s">
        <v>12863</v>
      </c>
      <c r="F6568" t="s">
        <v>12863</v>
      </c>
      <c r="G6568" s="1">
        <v>27760</v>
      </c>
      <c r="I6568" t="s">
        <v>13270</v>
      </c>
      <c r="J6568" t="s">
        <v>32913</v>
      </c>
      <c r="K6568" t="s">
        <v>291</v>
      </c>
      <c r="L6568" t="s">
        <v>32914</v>
      </c>
      <c r="O6568" t="s">
        <v>26</v>
      </c>
      <c r="P6568">
        <v>112.5</v>
      </c>
      <c r="Q6568">
        <v>93.75</v>
      </c>
      <c r="R6568">
        <v>75</v>
      </c>
      <c r="S6568">
        <v>112.5</v>
      </c>
      <c r="T6568" t="s">
        <v>32915</v>
      </c>
    </row>
    <row r="6569" spans="1:20">
      <c r="A6569">
        <v>4517293</v>
      </c>
      <c r="B6569" t="s">
        <v>32916</v>
      </c>
      <c r="C6569" t="str">
        <f>"9780771097980"</f>
        <v>9780771097980</v>
      </c>
      <c r="D6569" t="str">
        <f>"9780773595491"</f>
        <v>9780773595491</v>
      </c>
      <c r="E6569" t="s">
        <v>12863</v>
      </c>
      <c r="F6569" t="s">
        <v>12863</v>
      </c>
      <c r="G6569" s="1">
        <v>27774</v>
      </c>
      <c r="I6569" t="s">
        <v>13270</v>
      </c>
      <c r="J6569" t="s">
        <v>32869</v>
      </c>
      <c r="K6569" t="s">
        <v>467</v>
      </c>
      <c r="L6569" t="s">
        <v>32917</v>
      </c>
      <c r="M6569">
        <v>327.71</v>
      </c>
      <c r="O6569" t="s">
        <v>26</v>
      </c>
      <c r="P6569">
        <v>112.5</v>
      </c>
      <c r="Q6569">
        <v>93.75</v>
      </c>
      <c r="R6569">
        <v>75</v>
      </c>
      <c r="S6569">
        <v>112.5</v>
      </c>
      <c r="T6569" t="s">
        <v>32918</v>
      </c>
    </row>
    <row r="6570" spans="1:20">
      <c r="A6570">
        <v>4517294</v>
      </c>
      <c r="B6570" t="s">
        <v>32919</v>
      </c>
      <c r="C6570" t="str">
        <f>"9780771098062"</f>
        <v>9780771098062</v>
      </c>
      <c r="D6570" t="str">
        <f>"9780773595538"</f>
        <v>9780773595538</v>
      </c>
      <c r="E6570" t="s">
        <v>12863</v>
      </c>
      <c r="F6570" t="s">
        <v>12863</v>
      </c>
      <c r="G6570" s="1">
        <v>28140</v>
      </c>
      <c r="I6570" t="s">
        <v>13270</v>
      </c>
      <c r="J6570" t="s">
        <v>32920</v>
      </c>
      <c r="K6570" t="s">
        <v>305</v>
      </c>
      <c r="L6570" t="s">
        <v>32921</v>
      </c>
      <c r="O6570" t="s">
        <v>26</v>
      </c>
      <c r="P6570">
        <v>112.5</v>
      </c>
      <c r="Q6570">
        <v>93.75</v>
      </c>
      <c r="R6570">
        <v>75</v>
      </c>
      <c r="S6570">
        <v>112.5</v>
      </c>
      <c r="T6570" t="s">
        <v>32922</v>
      </c>
    </row>
    <row r="6571" spans="1:20">
      <c r="A6571">
        <v>4517295</v>
      </c>
      <c r="B6571" t="s">
        <v>32923</v>
      </c>
      <c r="C6571" t="str">
        <f>"9780770518479"</f>
        <v>9780770518479</v>
      </c>
      <c r="D6571" t="str">
        <f>"9780773595613"</f>
        <v>9780773595613</v>
      </c>
      <c r="E6571" t="s">
        <v>12863</v>
      </c>
      <c r="F6571" t="s">
        <v>12863</v>
      </c>
      <c r="G6571" s="1">
        <v>29221</v>
      </c>
      <c r="I6571" t="s">
        <v>13270</v>
      </c>
      <c r="J6571" t="s">
        <v>32924</v>
      </c>
      <c r="K6571" t="s">
        <v>291</v>
      </c>
      <c r="L6571" t="s">
        <v>32925</v>
      </c>
      <c r="O6571" t="s">
        <v>26</v>
      </c>
      <c r="P6571">
        <v>112.5</v>
      </c>
      <c r="Q6571">
        <v>93.75</v>
      </c>
      <c r="R6571">
        <v>75</v>
      </c>
      <c r="S6571">
        <v>112.5</v>
      </c>
      <c r="T6571" t="s">
        <v>32926</v>
      </c>
    </row>
    <row r="6572" spans="1:20">
      <c r="A6572">
        <v>4517296</v>
      </c>
      <c r="B6572" t="s">
        <v>32927</v>
      </c>
      <c r="C6572" t="str">
        <f>"9780886290030"</f>
        <v>9780886290030</v>
      </c>
      <c r="D6572" t="str">
        <f>"9780773595637"</f>
        <v>9780773595637</v>
      </c>
      <c r="E6572" t="s">
        <v>12863</v>
      </c>
      <c r="F6572" t="s">
        <v>12863</v>
      </c>
      <c r="G6572" s="1">
        <v>30286</v>
      </c>
      <c r="I6572" t="s">
        <v>13270</v>
      </c>
      <c r="J6572" t="s">
        <v>32928</v>
      </c>
      <c r="K6572" t="s">
        <v>32929</v>
      </c>
      <c r="L6572" t="s">
        <v>32930</v>
      </c>
      <c r="M6572">
        <v>333.78097100000002</v>
      </c>
      <c r="O6572" t="s">
        <v>26</v>
      </c>
      <c r="P6572">
        <v>127.5</v>
      </c>
      <c r="Q6572">
        <v>106.25</v>
      </c>
      <c r="R6572">
        <v>85</v>
      </c>
      <c r="S6572">
        <v>127.5</v>
      </c>
      <c r="T6572" t="s">
        <v>32931</v>
      </c>
    </row>
    <row r="6573" spans="1:20">
      <c r="A6573">
        <v>4517297</v>
      </c>
      <c r="B6573" t="s">
        <v>32932</v>
      </c>
      <c r="C6573" t="str">
        <f>"9780886290290"</f>
        <v>9780886290290</v>
      </c>
      <c r="D6573" t="str">
        <f>"9780773595644"</f>
        <v>9780773595644</v>
      </c>
      <c r="E6573" t="s">
        <v>12863</v>
      </c>
      <c r="F6573" t="s">
        <v>12863</v>
      </c>
      <c r="G6573" s="1">
        <v>31335</v>
      </c>
      <c r="I6573" t="s">
        <v>13270</v>
      </c>
      <c r="J6573" t="s">
        <v>32933</v>
      </c>
      <c r="K6573" t="s">
        <v>416</v>
      </c>
      <c r="L6573" t="s">
        <v>32934</v>
      </c>
      <c r="M6573">
        <v>338.47670971000002</v>
      </c>
      <c r="O6573" t="s">
        <v>26</v>
      </c>
      <c r="P6573">
        <v>127.5</v>
      </c>
      <c r="Q6573">
        <v>106.25</v>
      </c>
      <c r="R6573">
        <v>85</v>
      </c>
      <c r="S6573">
        <v>127.5</v>
      </c>
      <c r="T6573" t="s">
        <v>32935</v>
      </c>
    </row>
    <row r="6574" spans="1:20">
      <c r="A6574">
        <v>4517298</v>
      </c>
      <c r="B6574" t="s">
        <v>32936</v>
      </c>
      <c r="C6574" t="str">
        <f>"9780886290535"</f>
        <v>9780886290535</v>
      </c>
      <c r="D6574" t="str">
        <f>"9780773595668"</f>
        <v>9780773595668</v>
      </c>
      <c r="E6574" t="s">
        <v>12863</v>
      </c>
      <c r="F6574" t="s">
        <v>12863</v>
      </c>
      <c r="G6574" s="1">
        <v>31778</v>
      </c>
      <c r="I6574" t="s">
        <v>13270</v>
      </c>
      <c r="J6574" t="s">
        <v>21409</v>
      </c>
      <c r="K6574" t="s">
        <v>291</v>
      </c>
      <c r="L6574" t="s">
        <v>32937</v>
      </c>
      <c r="O6574" t="s">
        <v>26</v>
      </c>
      <c r="P6574">
        <v>127.5</v>
      </c>
      <c r="Q6574">
        <v>106.25</v>
      </c>
      <c r="R6574">
        <v>85</v>
      </c>
      <c r="S6574">
        <v>127.5</v>
      </c>
      <c r="T6574" t="s">
        <v>32938</v>
      </c>
    </row>
    <row r="6575" spans="1:20">
      <c r="A6575">
        <v>4517299</v>
      </c>
      <c r="B6575" t="s">
        <v>32939</v>
      </c>
      <c r="C6575" t="str">
        <f>"9780886290788"</f>
        <v>9780886290788</v>
      </c>
      <c r="D6575" t="str">
        <f>"9780773595682"</f>
        <v>9780773595682</v>
      </c>
      <c r="E6575" t="s">
        <v>12863</v>
      </c>
      <c r="F6575" t="s">
        <v>12863</v>
      </c>
      <c r="G6575" s="1">
        <v>32143</v>
      </c>
      <c r="I6575" t="s">
        <v>13270</v>
      </c>
      <c r="J6575" t="s">
        <v>32940</v>
      </c>
      <c r="K6575" t="s">
        <v>525</v>
      </c>
      <c r="L6575" t="s">
        <v>32941</v>
      </c>
      <c r="O6575" t="s">
        <v>26</v>
      </c>
      <c r="P6575">
        <v>127.5</v>
      </c>
      <c r="Q6575">
        <v>106.25</v>
      </c>
      <c r="R6575">
        <v>85</v>
      </c>
      <c r="S6575">
        <v>127.5</v>
      </c>
      <c r="T6575" t="s">
        <v>32942</v>
      </c>
    </row>
    <row r="6576" spans="1:20">
      <c r="A6576">
        <v>4517300</v>
      </c>
      <c r="B6576" t="s">
        <v>32943</v>
      </c>
      <c r="C6576" t="str">
        <f>"9780886291679"</f>
        <v>9780886291679</v>
      </c>
      <c r="D6576" t="str">
        <f>"9780773595767"</f>
        <v>9780773595767</v>
      </c>
      <c r="E6576" t="s">
        <v>12863</v>
      </c>
      <c r="F6576" t="s">
        <v>12863</v>
      </c>
      <c r="G6576" s="1">
        <v>33739</v>
      </c>
      <c r="I6576" t="s">
        <v>16551</v>
      </c>
      <c r="J6576" t="s">
        <v>16953</v>
      </c>
      <c r="K6576" t="s">
        <v>291</v>
      </c>
      <c r="L6576" t="s">
        <v>32944</v>
      </c>
      <c r="O6576" t="s">
        <v>26</v>
      </c>
      <c r="P6576">
        <v>150</v>
      </c>
      <c r="Q6576">
        <v>125</v>
      </c>
      <c r="R6576">
        <v>100</v>
      </c>
      <c r="S6576">
        <v>150</v>
      </c>
      <c r="T6576" t="s">
        <v>32945</v>
      </c>
    </row>
    <row r="6577" spans="1:20">
      <c r="A6577">
        <v>4517301</v>
      </c>
      <c r="B6577" t="s">
        <v>32946</v>
      </c>
      <c r="C6577" t="str">
        <f>"9780771099045"</f>
        <v>9780771099045</v>
      </c>
      <c r="D6577" t="str">
        <f>"9780773595811"</f>
        <v>9780773595811</v>
      </c>
      <c r="E6577" t="s">
        <v>12863</v>
      </c>
      <c r="F6577" t="s">
        <v>12863</v>
      </c>
      <c r="G6577" s="1">
        <v>27033</v>
      </c>
      <c r="I6577" t="s">
        <v>16476</v>
      </c>
      <c r="J6577" t="s">
        <v>32947</v>
      </c>
      <c r="K6577" t="s">
        <v>305</v>
      </c>
      <c r="L6577" t="s">
        <v>32948</v>
      </c>
      <c r="O6577" t="s">
        <v>26</v>
      </c>
      <c r="P6577">
        <v>112.5</v>
      </c>
      <c r="Q6577">
        <v>93.75</v>
      </c>
      <c r="R6577">
        <v>75</v>
      </c>
      <c r="S6577">
        <v>112.5</v>
      </c>
      <c r="T6577" t="s">
        <v>32949</v>
      </c>
    </row>
    <row r="6578" spans="1:20">
      <c r="A6578">
        <v>4517302</v>
      </c>
      <c r="B6578" t="s">
        <v>32950</v>
      </c>
      <c r="C6578" t="str">
        <f>"9780773595842"</f>
        <v>9780773595842</v>
      </c>
      <c r="D6578" t="str">
        <f>"9780773595842"</f>
        <v>9780773595842</v>
      </c>
      <c r="E6578" t="s">
        <v>12863</v>
      </c>
      <c r="F6578" t="s">
        <v>12863</v>
      </c>
      <c r="G6578" s="1">
        <v>35445</v>
      </c>
      <c r="J6578" t="s">
        <v>32951</v>
      </c>
      <c r="K6578" t="s">
        <v>25240</v>
      </c>
      <c r="L6578" t="s">
        <v>32952</v>
      </c>
      <c r="O6578" t="s">
        <v>26</v>
      </c>
      <c r="P6578">
        <v>150</v>
      </c>
      <c r="Q6578">
        <v>125</v>
      </c>
      <c r="R6578">
        <v>100</v>
      </c>
      <c r="S6578">
        <v>150</v>
      </c>
      <c r="T6578" t="s">
        <v>32953</v>
      </c>
    </row>
    <row r="6579" spans="1:20">
      <c r="A6579">
        <v>4517303</v>
      </c>
      <c r="B6579" t="s">
        <v>32954</v>
      </c>
      <c r="C6579" t="str">
        <f>"9780886293048"</f>
        <v>9780886293048</v>
      </c>
      <c r="D6579" t="str">
        <f>"9780773595910"</f>
        <v>9780773595910</v>
      </c>
      <c r="E6579" t="s">
        <v>12863</v>
      </c>
      <c r="F6579" t="s">
        <v>12863</v>
      </c>
      <c r="G6579" s="1">
        <v>35353</v>
      </c>
      <c r="I6579" t="s">
        <v>32955</v>
      </c>
      <c r="J6579" t="s">
        <v>32956</v>
      </c>
      <c r="K6579" t="s">
        <v>1471</v>
      </c>
      <c r="L6579" t="s">
        <v>32957</v>
      </c>
      <c r="O6579" t="s">
        <v>26</v>
      </c>
      <c r="P6579">
        <v>150</v>
      </c>
      <c r="Q6579">
        <v>125</v>
      </c>
      <c r="R6579">
        <v>100</v>
      </c>
      <c r="S6579">
        <v>150</v>
      </c>
      <c r="T6579" t="s">
        <v>32958</v>
      </c>
    </row>
    <row r="6580" spans="1:20">
      <c r="A6580">
        <v>4517304</v>
      </c>
      <c r="B6580" t="s">
        <v>32959</v>
      </c>
      <c r="C6580" t="str">
        <f>"9780886290344"</f>
        <v>9780886290344</v>
      </c>
      <c r="D6580" t="str">
        <f>"9780773595965"</f>
        <v>9780773595965</v>
      </c>
      <c r="E6580" t="s">
        <v>12863</v>
      </c>
      <c r="F6580" t="s">
        <v>12863</v>
      </c>
      <c r="G6580" s="1">
        <v>31305</v>
      </c>
      <c r="I6580" t="s">
        <v>16476</v>
      </c>
      <c r="J6580" t="s">
        <v>18053</v>
      </c>
      <c r="K6580" t="s">
        <v>291</v>
      </c>
      <c r="L6580" t="s">
        <v>32960</v>
      </c>
      <c r="O6580" t="s">
        <v>26</v>
      </c>
      <c r="P6580">
        <v>127.5</v>
      </c>
      <c r="Q6580">
        <v>106.25</v>
      </c>
      <c r="R6580">
        <v>85</v>
      </c>
      <c r="S6580">
        <v>127.5</v>
      </c>
      <c r="T6580" t="s">
        <v>32961</v>
      </c>
    </row>
    <row r="6581" spans="1:20">
      <c r="A6581">
        <v>4517305</v>
      </c>
      <c r="B6581" t="s">
        <v>32962</v>
      </c>
      <c r="C6581" t="str">
        <f>"9780886290573"</f>
        <v>9780886290573</v>
      </c>
      <c r="D6581" t="str">
        <f>"9780773595989"</f>
        <v>9780773595989</v>
      </c>
      <c r="E6581" t="s">
        <v>12863</v>
      </c>
      <c r="F6581" t="s">
        <v>12863</v>
      </c>
      <c r="G6581" s="1">
        <v>31851</v>
      </c>
      <c r="J6581" t="s">
        <v>24162</v>
      </c>
      <c r="K6581" t="s">
        <v>291</v>
      </c>
      <c r="L6581" t="s">
        <v>32963</v>
      </c>
      <c r="O6581" t="s">
        <v>26</v>
      </c>
      <c r="P6581">
        <v>127.5</v>
      </c>
      <c r="Q6581">
        <v>106.25</v>
      </c>
      <c r="R6581">
        <v>85</v>
      </c>
      <c r="S6581">
        <v>127.5</v>
      </c>
      <c r="T6581" t="s">
        <v>32964</v>
      </c>
    </row>
    <row r="6582" spans="1:20">
      <c r="A6582">
        <v>4517306</v>
      </c>
      <c r="B6582" t="s">
        <v>32965</v>
      </c>
      <c r="C6582" t="str">
        <f>"9780886290207"</f>
        <v>9780886290207</v>
      </c>
      <c r="D6582" t="str">
        <f>"9780773596030"</f>
        <v>9780773596030</v>
      </c>
      <c r="E6582" t="s">
        <v>12863</v>
      </c>
      <c r="F6582" t="s">
        <v>12863</v>
      </c>
      <c r="G6582" s="1">
        <v>31001</v>
      </c>
      <c r="I6582" t="s">
        <v>16476</v>
      </c>
      <c r="J6582" t="s">
        <v>32966</v>
      </c>
      <c r="K6582" t="s">
        <v>263</v>
      </c>
      <c r="L6582" t="s">
        <v>32967</v>
      </c>
      <c r="O6582" t="s">
        <v>26</v>
      </c>
      <c r="P6582">
        <v>127.5</v>
      </c>
      <c r="Q6582">
        <v>106.25</v>
      </c>
      <c r="R6582">
        <v>85</v>
      </c>
      <c r="S6582">
        <v>127.5</v>
      </c>
      <c r="T6582" t="s">
        <v>32968</v>
      </c>
    </row>
    <row r="6583" spans="1:20">
      <c r="A6583">
        <v>4517307</v>
      </c>
      <c r="B6583" t="s">
        <v>32969</v>
      </c>
      <c r="C6583" t="str">
        <f>"9780886292843"</f>
        <v>9780886292843</v>
      </c>
      <c r="D6583" t="str">
        <f>"9780773596078"</f>
        <v>9780773596078</v>
      </c>
      <c r="E6583" t="s">
        <v>12863</v>
      </c>
      <c r="F6583" t="s">
        <v>12863</v>
      </c>
      <c r="G6583" s="1">
        <v>35200</v>
      </c>
      <c r="I6583" t="s">
        <v>32955</v>
      </c>
      <c r="J6583" t="s">
        <v>32970</v>
      </c>
      <c r="K6583" t="s">
        <v>7838</v>
      </c>
      <c r="L6583" t="s">
        <v>32971</v>
      </c>
      <c r="M6583">
        <v>720.92</v>
      </c>
      <c r="O6583" t="s">
        <v>26</v>
      </c>
      <c r="P6583">
        <v>150</v>
      </c>
      <c r="Q6583">
        <v>125</v>
      </c>
      <c r="R6583">
        <v>100</v>
      </c>
      <c r="S6583">
        <v>150</v>
      </c>
      <c r="T6583" t="s">
        <v>32972</v>
      </c>
    </row>
    <row r="6584" spans="1:20">
      <c r="A6584">
        <v>4517308</v>
      </c>
      <c r="B6584" t="s">
        <v>32973</v>
      </c>
      <c r="C6584" t="str">
        <f>"9780773596672"</f>
        <v>9780773596672</v>
      </c>
      <c r="D6584" t="str">
        <f>"9780773596672"</f>
        <v>9780773596672</v>
      </c>
      <c r="E6584" t="s">
        <v>12863</v>
      </c>
      <c r="F6584" t="s">
        <v>12863</v>
      </c>
      <c r="G6584" s="1">
        <v>26665</v>
      </c>
      <c r="J6584" t="s">
        <v>32257</v>
      </c>
      <c r="K6584" t="s">
        <v>4081</v>
      </c>
      <c r="L6584" t="s">
        <v>32974</v>
      </c>
      <c r="O6584" t="s">
        <v>26</v>
      </c>
      <c r="P6584">
        <v>112.5</v>
      </c>
      <c r="Q6584">
        <v>93.75</v>
      </c>
      <c r="R6584">
        <v>75</v>
      </c>
      <c r="S6584">
        <v>112.5</v>
      </c>
      <c r="T6584" t="s">
        <v>32975</v>
      </c>
    </row>
    <row r="6585" spans="1:20">
      <c r="A6585">
        <v>4525943</v>
      </c>
      <c r="B6585" t="s">
        <v>32976</v>
      </c>
      <c r="C6585" t="str">
        <f>"9780889224957"</f>
        <v>9780889224957</v>
      </c>
      <c r="D6585" t="str">
        <f>"9781772010893"</f>
        <v>9781772010893</v>
      </c>
      <c r="E6585" t="s">
        <v>9493</v>
      </c>
      <c r="F6585" t="s">
        <v>9493</v>
      </c>
      <c r="G6585" s="1">
        <v>38061</v>
      </c>
      <c r="J6585" t="s">
        <v>9494</v>
      </c>
      <c r="K6585" t="s">
        <v>1464</v>
      </c>
      <c r="L6585" t="s">
        <v>32977</v>
      </c>
      <c r="M6585">
        <v>822.92</v>
      </c>
      <c r="O6585" t="s">
        <v>26</v>
      </c>
      <c r="P6585">
        <v>16.989999999999998</v>
      </c>
      <c r="Q6585">
        <v>21.24</v>
      </c>
      <c r="R6585">
        <v>16.989999999999998</v>
      </c>
      <c r="S6585">
        <v>25.49</v>
      </c>
      <c r="T6585" t="s">
        <v>32978</v>
      </c>
    </row>
    <row r="6586" spans="1:20">
      <c r="A6586">
        <v>4530432</v>
      </c>
      <c r="B6586" t="s">
        <v>32979</v>
      </c>
      <c r="C6586" t="str">
        <f>"9780886290658"</f>
        <v>9780886290658</v>
      </c>
      <c r="D6586" t="str">
        <f>"9780773595675"</f>
        <v>9780773595675</v>
      </c>
      <c r="E6586" t="s">
        <v>12863</v>
      </c>
      <c r="F6586" t="s">
        <v>12863</v>
      </c>
      <c r="G6586" s="1">
        <v>31778</v>
      </c>
      <c r="I6586" t="s">
        <v>32980</v>
      </c>
      <c r="J6586" t="s">
        <v>31942</v>
      </c>
      <c r="O6586" t="s">
        <v>26</v>
      </c>
      <c r="P6586">
        <v>127.5</v>
      </c>
      <c r="Q6586">
        <v>106.25</v>
      </c>
      <c r="R6586">
        <v>85</v>
      </c>
      <c r="S6586">
        <v>127.5</v>
      </c>
      <c r="T6586" t="s">
        <v>32981</v>
      </c>
    </row>
    <row r="6587" spans="1:20">
      <c r="A6587">
        <v>4538848</v>
      </c>
      <c r="B6587" t="s">
        <v>32982</v>
      </c>
      <c r="C6587" t="str">
        <f>"9781905791842"</f>
        <v>9781905791842</v>
      </c>
      <c r="D6587" t="str">
        <f>"9781907822155"</f>
        <v>9781907822155</v>
      </c>
      <c r="E6587" t="s">
        <v>32983</v>
      </c>
      <c r="F6587" t="s">
        <v>32983</v>
      </c>
      <c r="G6587" s="1">
        <v>40652</v>
      </c>
      <c r="I6587" t="s">
        <v>32984</v>
      </c>
      <c r="J6587" t="s">
        <v>32985</v>
      </c>
      <c r="K6587" t="s">
        <v>7063</v>
      </c>
      <c r="L6587" t="s">
        <v>32986</v>
      </c>
      <c r="M6587">
        <v>327.09199999999998</v>
      </c>
      <c r="O6587" t="s">
        <v>26</v>
      </c>
      <c r="Q6587">
        <v>31.25</v>
      </c>
      <c r="R6587">
        <v>25</v>
      </c>
      <c r="S6587">
        <v>37.5</v>
      </c>
      <c r="T6587" t="s">
        <v>32987</v>
      </c>
    </row>
    <row r="6588" spans="1:20">
      <c r="A6588">
        <v>4543012</v>
      </c>
      <c r="B6588" t="s">
        <v>32988</v>
      </c>
      <c r="C6588" t="str">
        <f>"9781550964868"</f>
        <v>9781550964868</v>
      </c>
      <c r="D6588" t="str">
        <f>"9781550964899"</f>
        <v>9781550964899</v>
      </c>
      <c r="E6588" t="s">
        <v>31727</v>
      </c>
      <c r="F6588" t="s">
        <v>31727</v>
      </c>
      <c r="G6588" s="1">
        <v>42309</v>
      </c>
      <c r="H6588">
        <v>1</v>
      </c>
      <c r="J6588" t="s">
        <v>32989</v>
      </c>
      <c r="K6588" t="s">
        <v>1464</v>
      </c>
      <c r="L6588" t="s">
        <v>32990</v>
      </c>
      <c r="M6588">
        <v>813.6</v>
      </c>
      <c r="N6588" t="s">
        <v>32991</v>
      </c>
      <c r="O6588" t="s">
        <v>26</v>
      </c>
      <c r="P6588">
        <v>11.99</v>
      </c>
      <c r="Q6588">
        <v>10.39</v>
      </c>
      <c r="R6588">
        <v>7.99</v>
      </c>
      <c r="S6588">
        <v>11.99</v>
      </c>
      <c r="T6588" t="s">
        <v>32992</v>
      </c>
    </row>
    <row r="6589" spans="1:20">
      <c r="A6589">
        <v>4546438</v>
      </c>
      <c r="B6589" t="s">
        <v>32993</v>
      </c>
      <c r="C6589" t="str">
        <f>"9781459809307"</f>
        <v>9781459809307</v>
      </c>
      <c r="D6589" t="str">
        <f>"9781459809321"</f>
        <v>9781459809321</v>
      </c>
      <c r="E6589" t="s">
        <v>4668</v>
      </c>
      <c r="F6589" t="s">
        <v>4668</v>
      </c>
      <c r="G6589" s="1">
        <v>42297</v>
      </c>
      <c r="I6589" t="s">
        <v>8244</v>
      </c>
      <c r="J6589" t="s">
        <v>32994</v>
      </c>
      <c r="K6589" t="s">
        <v>1464</v>
      </c>
      <c r="M6589">
        <v>813.6</v>
      </c>
      <c r="N6589" t="s">
        <v>31532</v>
      </c>
      <c r="O6589" t="s">
        <v>26</v>
      </c>
      <c r="P6589">
        <v>9.99</v>
      </c>
      <c r="Q6589">
        <v>12.49</v>
      </c>
      <c r="R6589">
        <v>9.99</v>
      </c>
      <c r="T6589" t="s">
        <v>32995</v>
      </c>
    </row>
    <row r="6590" spans="1:20">
      <c r="A6590">
        <v>4546440</v>
      </c>
      <c r="B6590" t="s">
        <v>32996</v>
      </c>
      <c r="C6590" t="str">
        <f>"9781459811201"</f>
        <v>9781459811201</v>
      </c>
      <c r="D6590" t="str">
        <f>"9781459811225"</f>
        <v>9781459811225</v>
      </c>
      <c r="E6590" t="s">
        <v>4668</v>
      </c>
      <c r="F6590" t="s">
        <v>4668</v>
      </c>
      <c r="G6590" s="1">
        <v>42311</v>
      </c>
      <c r="I6590" t="s">
        <v>5056</v>
      </c>
      <c r="J6590" t="s">
        <v>31529</v>
      </c>
      <c r="K6590" t="s">
        <v>1464</v>
      </c>
      <c r="M6590">
        <v>813.6</v>
      </c>
      <c r="N6590" t="s">
        <v>31526</v>
      </c>
      <c r="O6590" t="s">
        <v>26</v>
      </c>
      <c r="P6590">
        <v>9.99</v>
      </c>
      <c r="Q6590">
        <v>12.49</v>
      </c>
      <c r="R6590">
        <v>9.99</v>
      </c>
      <c r="T6590" t="s">
        <v>32997</v>
      </c>
    </row>
    <row r="6591" spans="1:20">
      <c r="A6591">
        <v>4547253</v>
      </c>
      <c r="B6591" t="s">
        <v>32998</v>
      </c>
      <c r="C6591" t="str">
        <f>""</f>
        <v/>
      </c>
      <c r="D6591" t="str">
        <f>"9780774831017"</f>
        <v>9780774831017</v>
      </c>
      <c r="E6591" t="s">
        <v>26801</v>
      </c>
      <c r="F6591" t="s">
        <v>26801</v>
      </c>
      <c r="G6591" s="1">
        <v>42370</v>
      </c>
      <c r="I6591" t="s">
        <v>26935</v>
      </c>
      <c r="J6591" t="s">
        <v>32999</v>
      </c>
      <c r="K6591" t="s">
        <v>525</v>
      </c>
      <c r="L6591" t="s">
        <v>33000</v>
      </c>
      <c r="O6591" t="s">
        <v>26</v>
      </c>
      <c r="R6591">
        <v>99</v>
      </c>
      <c r="T6591" t="s">
        <v>33001</v>
      </c>
    </row>
    <row r="6592" spans="1:20">
      <c r="A6592">
        <v>4547254</v>
      </c>
      <c r="B6592" t="s">
        <v>33002</v>
      </c>
      <c r="C6592" t="str">
        <f>""</f>
        <v/>
      </c>
      <c r="D6592" t="str">
        <f>"9780774831062"</f>
        <v>9780774831062</v>
      </c>
      <c r="E6592" t="s">
        <v>26801</v>
      </c>
      <c r="F6592" t="s">
        <v>26801</v>
      </c>
      <c r="G6592" s="1">
        <v>42339</v>
      </c>
      <c r="J6592" t="s">
        <v>33003</v>
      </c>
      <c r="K6592" t="s">
        <v>467</v>
      </c>
      <c r="L6592" t="s">
        <v>33004</v>
      </c>
      <c r="O6592" t="s">
        <v>26</v>
      </c>
      <c r="R6592">
        <v>99</v>
      </c>
      <c r="T6592" t="s">
        <v>33005</v>
      </c>
    </row>
    <row r="6593" spans="1:20">
      <c r="A6593">
        <v>4548292</v>
      </c>
      <c r="B6593" t="s">
        <v>33006</v>
      </c>
      <c r="C6593" t="str">
        <f>"9780889221901"</f>
        <v>9780889221901</v>
      </c>
      <c r="D6593" t="str">
        <f>"9781772010749"</f>
        <v>9781772010749</v>
      </c>
      <c r="E6593" t="s">
        <v>9493</v>
      </c>
      <c r="F6593" t="s">
        <v>9493</v>
      </c>
      <c r="G6593" s="1">
        <v>29587</v>
      </c>
      <c r="J6593" t="s">
        <v>10545</v>
      </c>
      <c r="K6593" t="s">
        <v>1464</v>
      </c>
      <c r="M6593">
        <v>843</v>
      </c>
      <c r="O6593" t="s">
        <v>26</v>
      </c>
      <c r="P6593">
        <v>19.989999999999998</v>
      </c>
      <c r="Q6593">
        <v>24.99</v>
      </c>
      <c r="R6593">
        <v>19.989999999999998</v>
      </c>
      <c r="S6593">
        <v>29.99</v>
      </c>
      <c r="T6593" t="s">
        <v>33007</v>
      </c>
    </row>
    <row r="6594" spans="1:20">
      <c r="A6594">
        <v>4548324</v>
      </c>
      <c r="B6594" t="s">
        <v>33008</v>
      </c>
      <c r="C6594" t="str">
        <f>"9780889223752"</f>
        <v>9780889223752</v>
      </c>
      <c r="D6594" t="str">
        <f>"9781772010831"</f>
        <v>9781772010831</v>
      </c>
      <c r="E6594" t="s">
        <v>9493</v>
      </c>
      <c r="F6594" t="s">
        <v>9493</v>
      </c>
      <c r="G6594" s="1">
        <v>35431</v>
      </c>
      <c r="J6594" t="s">
        <v>33009</v>
      </c>
      <c r="K6594" t="s">
        <v>1464</v>
      </c>
      <c r="L6594" t="s">
        <v>33010</v>
      </c>
      <c r="M6594">
        <v>812</v>
      </c>
      <c r="N6594" t="s">
        <v>33011</v>
      </c>
      <c r="O6594" t="s">
        <v>26</v>
      </c>
      <c r="P6594">
        <v>16.989999999999998</v>
      </c>
      <c r="Q6594">
        <v>21.24</v>
      </c>
      <c r="R6594">
        <v>16.989999999999998</v>
      </c>
      <c r="S6594">
        <v>25.49</v>
      </c>
      <c r="T6594" t="s">
        <v>33012</v>
      </c>
    </row>
    <row r="6595" spans="1:20">
      <c r="A6595">
        <v>4548432</v>
      </c>
      <c r="B6595" t="s">
        <v>33013</v>
      </c>
      <c r="C6595" t="str">
        <f>"9780889223899"</f>
        <v>9780889223899</v>
      </c>
      <c r="D6595" t="str">
        <f>"9781772010930"</f>
        <v>9781772010930</v>
      </c>
      <c r="E6595" t="s">
        <v>9493</v>
      </c>
      <c r="F6595" t="s">
        <v>9493</v>
      </c>
      <c r="G6595" s="1">
        <v>35796</v>
      </c>
      <c r="J6595" t="s">
        <v>33014</v>
      </c>
      <c r="K6595" t="s">
        <v>1464</v>
      </c>
      <c r="L6595" t="s">
        <v>33015</v>
      </c>
      <c r="M6595">
        <v>842</v>
      </c>
      <c r="O6595" t="s">
        <v>26</v>
      </c>
      <c r="P6595">
        <v>16.989999999999998</v>
      </c>
      <c r="Q6595">
        <v>21.24</v>
      </c>
      <c r="R6595">
        <v>16.989999999999998</v>
      </c>
      <c r="S6595">
        <v>25.49</v>
      </c>
      <c r="T6595" t="s">
        <v>33016</v>
      </c>
    </row>
    <row r="6596" spans="1:20">
      <c r="A6596">
        <v>4548512</v>
      </c>
      <c r="B6596" t="s">
        <v>33017</v>
      </c>
      <c r="C6596" t="str">
        <f>"9780889229150"</f>
        <v>9780889229150</v>
      </c>
      <c r="D6596" t="str">
        <f>"9780889229167"</f>
        <v>9780889229167</v>
      </c>
      <c r="E6596" t="s">
        <v>9493</v>
      </c>
      <c r="F6596" t="s">
        <v>9493</v>
      </c>
      <c r="G6596" s="1">
        <v>41954</v>
      </c>
      <c r="H6596">
        <v>2</v>
      </c>
      <c r="J6596" t="s">
        <v>10579</v>
      </c>
      <c r="K6596" t="s">
        <v>1464</v>
      </c>
      <c r="M6596">
        <v>811.54</v>
      </c>
      <c r="O6596" t="s">
        <v>26</v>
      </c>
      <c r="P6596">
        <v>17.989999999999998</v>
      </c>
      <c r="Q6596">
        <v>22.49</v>
      </c>
      <c r="R6596">
        <v>17.989999999999998</v>
      </c>
      <c r="S6596">
        <v>26.99</v>
      </c>
      <c r="T6596" t="s">
        <v>33018</v>
      </c>
    </row>
    <row r="6597" spans="1:20">
      <c r="A6597">
        <v>4560240</v>
      </c>
      <c r="B6597" t="s">
        <v>33019</v>
      </c>
      <c r="C6597" t="str">
        <f>"9780773505063"</f>
        <v>9780773505063</v>
      </c>
      <c r="D6597" t="str">
        <f>"9780773594173"</f>
        <v>9780773594173</v>
      </c>
      <c r="E6597" t="s">
        <v>12863</v>
      </c>
      <c r="F6597" t="s">
        <v>12863</v>
      </c>
      <c r="G6597" s="1">
        <v>28491</v>
      </c>
      <c r="J6597" t="s">
        <v>33020</v>
      </c>
      <c r="O6597" t="s">
        <v>26</v>
      </c>
      <c r="P6597">
        <v>112.5</v>
      </c>
      <c r="Q6597">
        <v>93.75</v>
      </c>
      <c r="R6597">
        <v>75</v>
      </c>
      <c r="S6597">
        <v>112.5</v>
      </c>
      <c r="T6597" t="s">
        <v>33021</v>
      </c>
    </row>
    <row r="6598" spans="1:20">
      <c r="A6598">
        <v>4560241</v>
      </c>
      <c r="B6598" t="s">
        <v>33022</v>
      </c>
      <c r="C6598" t="str">
        <f>"9780773542358"</f>
        <v>9780773542358</v>
      </c>
      <c r="D6598" t="str">
        <f>"9780773594326"</f>
        <v>9780773594326</v>
      </c>
      <c r="E6598" t="s">
        <v>12863</v>
      </c>
      <c r="F6598" t="s">
        <v>12863</v>
      </c>
      <c r="G6598" s="1">
        <v>22647</v>
      </c>
      <c r="J6598" t="s">
        <v>33023</v>
      </c>
      <c r="O6598" t="s">
        <v>26</v>
      </c>
      <c r="P6598">
        <v>112.5</v>
      </c>
      <c r="Q6598">
        <v>93.75</v>
      </c>
      <c r="R6598">
        <v>75</v>
      </c>
      <c r="S6598">
        <v>112.5</v>
      </c>
      <c r="T6598" t="s">
        <v>33024</v>
      </c>
    </row>
    <row r="6599" spans="1:20">
      <c r="A6599">
        <v>4560243</v>
      </c>
      <c r="B6599" t="s">
        <v>33025</v>
      </c>
      <c r="C6599" t="str">
        <f>"9780773542273"</f>
        <v>9780773542273</v>
      </c>
      <c r="D6599" t="str">
        <f>"9780773594609"</f>
        <v>9780773594609</v>
      </c>
      <c r="E6599" t="s">
        <v>12863</v>
      </c>
      <c r="F6599" t="s">
        <v>12863</v>
      </c>
      <c r="G6599" s="1">
        <v>25569</v>
      </c>
      <c r="J6599" t="s">
        <v>33026</v>
      </c>
      <c r="O6599" t="s">
        <v>26</v>
      </c>
      <c r="P6599">
        <v>112.5</v>
      </c>
      <c r="Q6599">
        <v>93.75</v>
      </c>
      <c r="R6599">
        <v>75</v>
      </c>
      <c r="S6599">
        <v>112.5</v>
      </c>
      <c r="T6599" t="s">
        <v>33027</v>
      </c>
    </row>
    <row r="6600" spans="1:20">
      <c r="A6600">
        <v>4560244</v>
      </c>
      <c r="B6600" t="s">
        <v>33028</v>
      </c>
      <c r="C6600" t="str">
        <f>"9780773500563"</f>
        <v>9780773500563</v>
      </c>
      <c r="D6600" t="str">
        <f>"9780773595002"</f>
        <v>9780773595002</v>
      </c>
      <c r="E6600" t="s">
        <v>12863</v>
      </c>
      <c r="F6600" t="s">
        <v>12863</v>
      </c>
      <c r="G6600" s="1">
        <v>23012</v>
      </c>
      <c r="I6600" t="s">
        <v>13270</v>
      </c>
      <c r="J6600" t="s">
        <v>33029</v>
      </c>
      <c r="O6600" t="s">
        <v>26</v>
      </c>
      <c r="P6600">
        <v>112.5</v>
      </c>
      <c r="Q6600">
        <v>93.75</v>
      </c>
      <c r="R6600">
        <v>75</v>
      </c>
      <c r="S6600">
        <v>112.5</v>
      </c>
      <c r="T6600" t="s">
        <v>33030</v>
      </c>
    </row>
    <row r="6601" spans="1:20">
      <c r="A6601">
        <v>4560245</v>
      </c>
      <c r="B6601" t="s">
        <v>33031</v>
      </c>
      <c r="C6601" t="str">
        <f>"9780773595057"</f>
        <v>9780773595057</v>
      </c>
      <c r="D6601" t="str">
        <f>"9780773595057"</f>
        <v>9780773595057</v>
      </c>
      <c r="E6601" t="s">
        <v>12863</v>
      </c>
      <c r="F6601" t="s">
        <v>12863</v>
      </c>
      <c r="G6601" s="1">
        <v>23377</v>
      </c>
      <c r="I6601" t="s">
        <v>13270</v>
      </c>
      <c r="J6601" t="s">
        <v>33032</v>
      </c>
      <c r="O6601" t="s">
        <v>26</v>
      </c>
      <c r="P6601">
        <v>112.5</v>
      </c>
      <c r="Q6601">
        <v>93.75</v>
      </c>
      <c r="R6601">
        <v>75</v>
      </c>
      <c r="S6601">
        <v>112.5</v>
      </c>
      <c r="T6601" t="s">
        <v>33033</v>
      </c>
    </row>
    <row r="6602" spans="1:20">
      <c r="A6602">
        <v>4560259</v>
      </c>
      <c r="B6602" t="s">
        <v>33034</v>
      </c>
      <c r="C6602" t="str">
        <f>"9780889224827"</f>
        <v>9780889224827</v>
      </c>
      <c r="D6602" t="str">
        <f>"9781772011135"</f>
        <v>9781772011135</v>
      </c>
      <c r="E6602" t="s">
        <v>9493</v>
      </c>
      <c r="F6602" t="s">
        <v>9493</v>
      </c>
      <c r="G6602" s="1">
        <v>37879</v>
      </c>
      <c r="J6602" t="s">
        <v>33035</v>
      </c>
      <c r="K6602" t="s">
        <v>1464</v>
      </c>
      <c r="L6602" t="s">
        <v>33036</v>
      </c>
      <c r="M6602">
        <v>843.91399999999999</v>
      </c>
      <c r="O6602" t="s">
        <v>26</v>
      </c>
      <c r="P6602">
        <v>19.95</v>
      </c>
      <c r="Q6602">
        <v>24.94</v>
      </c>
      <c r="R6602">
        <v>19.95</v>
      </c>
      <c r="S6602">
        <v>29.93</v>
      </c>
      <c r="T6602" t="s">
        <v>33037</v>
      </c>
    </row>
    <row r="6603" spans="1:20">
      <c r="A6603">
        <v>4571576</v>
      </c>
      <c r="B6603" t="s">
        <v>33038</v>
      </c>
      <c r="C6603" t="str">
        <f>"9781552453223"</f>
        <v>9781552453223</v>
      </c>
      <c r="D6603" t="str">
        <f>"9781770564206"</f>
        <v>9781770564206</v>
      </c>
      <c r="E6603" t="s">
        <v>7779</v>
      </c>
      <c r="F6603" t="s">
        <v>7779</v>
      </c>
      <c r="G6603" s="1">
        <v>42297</v>
      </c>
      <c r="J6603" t="s">
        <v>33039</v>
      </c>
      <c r="K6603" t="s">
        <v>1464</v>
      </c>
      <c r="L6603" t="s">
        <v>33040</v>
      </c>
      <c r="M6603" t="s">
        <v>33041</v>
      </c>
      <c r="N6603" t="s">
        <v>33042</v>
      </c>
      <c r="O6603" t="s">
        <v>26</v>
      </c>
      <c r="P6603">
        <v>12.99</v>
      </c>
      <c r="Q6603">
        <v>16.239999999999998</v>
      </c>
      <c r="R6603">
        <v>12.99</v>
      </c>
      <c r="S6603">
        <v>19.489999999999998</v>
      </c>
      <c r="T6603" t="s">
        <v>33043</v>
      </c>
    </row>
    <row r="6604" spans="1:20">
      <c r="A6604">
        <v>4572944</v>
      </c>
      <c r="B6604" t="s">
        <v>33044</v>
      </c>
      <c r="C6604" t="str">
        <f>"9782760533714"</f>
        <v>9782760533714</v>
      </c>
      <c r="D6604" t="str">
        <f>"9782760533721"</f>
        <v>9782760533721</v>
      </c>
      <c r="E6604" t="s">
        <v>33045</v>
      </c>
      <c r="F6604" t="s">
        <v>33045</v>
      </c>
      <c r="G6604" s="1">
        <v>40940</v>
      </c>
      <c r="H6604">
        <v>1</v>
      </c>
      <c r="J6604" t="s">
        <v>33046</v>
      </c>
      <c r="K6604" t="s">
        <v>263</v>
      </c>
      <c r="L6604" t="s">
        <v>33047</v>
      </c>
      <c r="O6604" t="s">
        <v>26</v>
      </c>
      <c r="P6604">
        <v>25.49</v>
      </c>
      <c r="Q6604">
        <v>22.09</v>
      </c>
      <c r="R6604">
        <v>16.989999999999998</v>
      </c>
      <c r="S6604">
        <v>25.49</v>
      </c>
      <c r="T6604" t="s">
        <v>33048</v>
      </c>
    </row>
    <row r="6605" spans="1:20">
      <c r="A6605">
        <v>4587252</v>
      </c>
      <c r="B6605" t="s">
        <v>33049</v>
      </c>
      <c r="C6605" t="str">
        <f>"9780889229525"</f>
        <v>9780889229525</v>
      </c>
      <c r="D6605" t="str">
        <f>"9780889229532"</f>
        <v>9780889229532</v>
      </c>
      <c r="E6605" t="s">
        <v>9493</v>
      </c>
      <c r="F6605" t="s">
        <v>9493</v>
      </c>
      <c r="G6605" s="1">
        <v>42278</v>
      </c>
      <c r="J6605" t="s">
        <v>8901</v>
      </c>
      <c r="K6605" t="s">
        <v>1458</v>
      </c>
      <c r="L6605" t="s">
        <v>33050</v>
      </c>
      <c r="M6605">
        <v>812.6</v>
      </c>
      <c r="O6605" t="s">
        <v>26</v>
      </c>
      <c r="P6605">
        <v>18.989999999999998</v>
      </c>
      <c r="Q6605">
        <v>23.74</v>
      </c>
      <c r="R6605">
        <v>18.989999999999998</v>
      </c>
      <c r="S6605">
        <v>28.49</v>
      </c>
      <c r="T6605" t="s">
        <v>33051</v>
      </c>
    </row>
    <row r="6606" spans="1:20">
      <c r="A6606">
        <v>4587427</v>
      </c>
      <c r="B6606" t="s">
        <v>33052</v>
      </c>
      <c r="C6606" t="str">
        <f>"9780889229587"</f>
        <v>9780889229587</v>
      </c>
      <c r="D6606" t="str">
        <f>"9780889229594"</f>
        <v>9780889229594</v>
      </c>
      <c r="E6606" t="s">
        <v>9493</v>
      </c>
      <c r="F6606" t="s">
        <v>9493</v>
      </c>
      <c r="G6606" s="1">
        <v>42216</v>
      </c>
      <c r="J6606" t="s">
        <v>33053</v>
      </c>
      <c r="K6606" t="s">
        <v>1458</v>
      </c>
      <c r="L6606" t="s">
        <v>33054</v>
      </c>
      <c r="M6606">
        <v>842.5</v>
      </c>
      <c r="O6606" t="s">
        <v>26</v>
      </c>
      <c r="P6606">
        <v>16.989999999999998</v>
      </c>
      <c r="Q6606">
        <v>21.24</v>
      </c>
      <c r="R6606">
        <v>16.989999999999998</v>
      </c>
      <c r="S6606">
        <v>25.49</v>
      </c>
      <c r="T6606" t="s">
        <v>33055</v>
      </c>
    </row>
    <row r="6607" spans="1:20">
      <c r="A6607">
        <v>4587456</v>
      </c>
      <c r="B6607" t="s">
        <v>33056</v>
      </c>
      <c r="C6607" t="str">
        <f>"9780889225473"</f>
        <v>9780889225473</v>
      </c>
      <c r="D6607" t="str">
        <f>"9780889229921"</f>
        <v>9780889229921</v>
      </c>
      <c r="E6607" t="s">
        <v>9493</v>
      </c>
      <c r="F6607" t="s">
        <v>9493</v>
      </c>
      <c r="G6607" s="1">
        <v>42309</v>
      </c>
      <c r="H6607">
        <v>400</v>
      </c>
      <c r="J6607" t="s">
        <v>33057</v>
      </c>
      <c r="K6607" t="s">
        <v>291</v>
      </c>
      <c r="L6607" t="s">
        <v>33058</v>
      </c>
      <c r="M6607">
        <v>971.01092000000006</v>
      </c>
      <c r="O6607" t="s">
        <v>26</v>
      </c>
      <c r="P6607">
        <v>21.99</v>
      </c>
      <c r="Q6607">
        <v>27.49</v>
      </c>
      <c r="R6607">
        <v>21.99</v>
      </c>
      <c r="S6607">
        <v>32.99</v>
      </c>
      <c r="T6607" t="s">
        <v>33059</v>
      </c>
    </row>
    <row r="6608" spans="1:20">
      <c r="A6608">
        <v>4587883</v>
      </c>
      <c r="B6608" t="s">
        <v>33060</v>
      </c>
      <c r="C6608" t="str">
        <f>"9780889224438"</f>
        <v>9780889224438</v>
      </c>
      <c r="D6608" t="str">
        <f>"9780889229914"</f>
        <v>9780889229914</v>
      </c>
      <c r="E6608" t="s">
        <v>9493</v>
      </c>
      <c r="F6608" t="s">
        <v>9493</v>
      </c>
      <c r="G6608" s="1">
        <v>36526</v>
      </c>
      <c r="J6608" t="s">
        <v>33061</v>
      </c>
      <c r="K6608" t="s">
        <v>291</v>
      </c>
      <c r="L6608" t="s">
        <v>33062</v>
      </c>
      <c r="M6608" t="s">
        <v>33063</v>
      </c>
      <c r="N6608" t="s">
        <v>33064</v>
      </c>
      <c r="O6608" t="s">
        <v>26</v>
      </c>
      <c r="P6608">
        <v>15.99</v>
      </c>
      <c r="Q6608">
        <v>19.989999999999998</v>
      </c>
      <c r="R6608">
        <v>15.99</v>
      </c>
      <c r="S6608">
        <v>23.99</v>
      </c>
      <c r="T6608" t="s">
        <v>33065</v>
      </c>
    </row>
    <row r="6609" spans="1:20">
      <c r="A6609">
        <v>4587981</v>
      </c>
      <c r="B6609" t="s">
        <v>33066</v>
      </c>
      <c r="C6609" t="str">
        <f>"9780889229426"</f>
        <v>9780889229426</v>
      </c>
      <c r="D6609" t="str">
        <f>"9780889229433"</f>
        <v>9780889229433</v>
      </c>
      <c r="E6609" t="s">
        <v>9493</v>
      </c>
      <c r="F6609" t="s">
        <v>9493</v>
      </c>
      <c r="G6609" s="1">
        <v>42278</v>
      </c>
      <c r="J6609" t="s">
        <v>33067</v>
      </c>
      <c r="K6609" t="s">
        <v>3219</v>
      </c>
      <c r="L6609" t="s">
        <v>33068</v>
      </c>
      <c r="M6609">
        <v>917.30493200000001</v>
      </c>
      <c r="O6609" t="s">
        <v>26</v>
      </c>
      <c r="P6609">
        <v>16.989999999999998</v>
      </c>
      <c r="Q6609">
        <v>21.24</v>
      </c>
      <c r="R6609">
        <v>16.989999999999998</v>
      </c>
      <c r="S6609">
        <v>25.49</v>
      </c>
      <c r="T6609" t="s">
        <v>33069</v>
      </c>
    </row>
    <row r="6610" spans="1:20">
      <c r="A6610">
        <v>4593211</v>
      </c>
      <c r="B6610" t="s">
        <v>33070</v>
      </c>
      <c r="C6610" t="str">
        <f>"9781553394396"</f>
        <v>9781553394396</v>
      </c>
      <c r="D6610" t="str">
        <f>"9781553394419"</f>
        <v>9781553394419</v>
      </c>
      <c r="E6610" t="s">
        <v>12863</v>
      </c>
      <c r="F6610" t="s">
        <v>21530</v>
      </c>
      <c r="G6610" s="1">
        <v>42125</v>
      </c>
      <c r="I6610" t="s">
        <v>21531</v>
      </c>
      <c r="J6610" t="s">
        <v>33071</v>
      </c>
      <c r="K6610" t="s">
        <v>1082</v>
      </c>
      <c r="L6610" t="s">
        <v>33072</v>
      </c>
      <c r="M6610">
        <v>362.10971000000001</v>
      </c>
      <c r="O6610" t="s">
        <v>26</v>
      </c>
      <c r="P6610">
        <v>165</v>
      </c>
      <c r="Q6610">
        <v>137.5</v>
      </c>
      <c r="R6610">
        <v>110</v>
      </c>
      <c r="S6610">
        <v>165</v>
      </c>
      <c r="T6610" t="s">
        <v>33073</v>
      </c>
    </row>
    <row r="6611" spans="1:20">
      <c r="A6611">
        <v>4595744</v>
      </c>
      <c r="B6611" t="s">
        <v>33074</v>
      </c>
      <c r="C6611" t="str">
        <f>"9781551525907"</f>
        <v>9781551525907</v>
      </c>
      <c r="D6611" t="str">
        <f>"9781551525914"</f>
        <v>9781551525914</v>
      </c>
      <c r="E6611" t="s">
        <v>2416</v>
      </c>
      <c r="F6611" t="s">
        <v>2416</v>
      </c>
      <c r="G6611" s="1">
        <v>42318</v>
      </c>
      <c r="J6611" t="s">
        <v>6027</v>
      </c>
      <c r="K6611" t="s">
        <v>1464</v>
      </c>
      <c r="M6611">
        <v>813.54</v>
      </c>
      <c r="N6611" t="s">
        <v>33075</v>
      </c>
      <c r="O6611" t="s">
        <v>26</v>
      </c>
      <c r="P6611">
        <v>21.99</v>
      </c>
      <c r="Q6611">
        <v>27.49</v>
      </c>
      <c r="R6611">
        <v>21.99</v>
      </c>
      <c r="S6611">
        <v>32.99</v>
      </c>
      <c r="T6611" t="s">
        <v>33076</v>
      </c>
    </row>
    <row r="6612" spans="1:20">
      <c r="A6612">
        <v>4596327</v>
      </c>
      <c r="B6612" t="s">
        <v>33077</v>
      </c>
      <c r="C6612" t="str">
        <f>"9781551526027"</f>
        <v>9781551526027</v>
      </c>
      <c r="D6612" t="str">
        <f>"9781551526034"</f>
        <v>9781551526034</v>
      </c>
      <c r="E6612" t="s">
        <v>2416</v>
      </c>
      <c r="F6612" t="s">
        <v>2416</v>
      </c>
      <c r="G6612" s="1">
        <v>42327</v>
      </c>
      <c r="J6612" t="s">
        <v>33078</v>
      </c>
      <c r="K6612" t="s">
        <v>1859</v>
      </c>
      <c r="L6612" t="s">
        <v>33079</v>
      </c>
      <c r="M6612">
        <v>194</v>
      </c>
      <c r="O6612" t="s">
        <v>26</v>
      </c>
      <c r="P6612">
        <v>17.989999999999998</v>
      </c>
      <c r="Q6612">
        <v>22.49</v>
      </c>
      <c r="R6612">
        <v>17.989999999999998</v>
      </c>
      <c r="S6612">
        <v>26.99</v>
      </c>
      <c r="T6612" t="s">
        <v>33080</v>
      </c>
    </row>
    <row r="6613" spans="1:20">
      <c r="A6613">
        <v>4596392</v>
      </c>
      <c r="B6613" t="s">
        <v>33081</v>
      </c>
      <c r="C6613" t="str">
        <f>"9781551526041"</f>
        <v>9781551526041</v>
      </c>
      <c r="D6613" t="str">
        <f>"9781551526058"</f>
        <v>9781551526058</v>
      </c>
      <c r="E6613" t="s">
        <v>2416</v>
      </c>
      <c r="F6613" t="s">
        <v>2416</v>
      </c>
      <c r="G6613" s="1">
        <v>42327</v>
      </c>
      <c r="J6613" t="s">
        <v>33082</v>
      </c>
      <c r="K6613" t="s">
        <v>1458</v>
      </c>
      <c r="L6613" t="s">
        <v>33083</v>
      </c>
      <c r="M6613">
        <v>813.6</v>
      </c>
      <c r="O6613" t="s">
        <v>26</v>
      </c>
      <c r="P6613">
        <v>15.99</v>
      </c>
      <c r="Q6613">
        <v>19.989999999999998</v>
      </c>
      <c r="R6613">
        <v>15.99</v>
      </c>
      <c r="S6613">
        <v>23.99</v>
      </c>
      <c r="T6613" t="s">
        <v>33084</v>
      </c>
    </row>
    <row r="6614" spans="1:20">
      <c r="A6614">
        <v>4612927</v>
      </c>
      <c r="B6614" t="s">
        <v>33085</v>
      </c>
      <c r="C6614" t="str">
        <f>"9781771640633"</f>
        <v>9781771640633</v>
      </c>
      <c r="D6614" t="str">
        <f>"9781771640640"</f>
        <v>9781771640640</v>
      </c>
      <c r="E6614" t="s">
        <v>3030</v>
      </c>
      <c r="F6614" t="s">
        <v>3030</v>
      </c>
      <c r="G6614" s="1">
        <v>42306</v>
      </c>
      <c r="J6614" t="s">
        <v>33086</v>
      </c>
      <c r="K6614" t="s">
        <v>76</v>
      </c>
      <c r="L6614" t="s">
        <v>33087</v>
      </c>
      <c r="M6614">
        <v>636.68650929</v>
      </c>
      <c r="N6614" t="s">
        <v>33088</v>
      </c>
      <c r="O6614" t="s">
        <v>26</v>
      </c>
      <c r="P6614">
        <v>27.99</v>
      </c>
      <c r="Q6614">
        <v>34.99</v>
      </c>
      <c r="R6614">
        <v>27.99</v>
      </c>
      <c r="S6614">
        <v>41.99</v>
      </c>
      <c r="T6614" t="s">
        <v>33089</v>
      </c>
    </row>
    <row r="6615" spans="1:20">
      <c r="A6615">
        <v>4612928</v>
      </c>
      <c r="B6615" t="s">
        <v>33090</v>
      </c>
      <c r="C6615" t="str">
        <f>"9781771641135"</f>
        <v>9781771641135</v>
      </c>
      <c r="D6615" t="str">
        <f>"9781771641142"</f>
        <v>9781771641142</v>
      </c>
      <c r="E6615" t="s">
        <v>3030</v>
      </c>
      <c r="F6615" t="s">
        <v>3030</v>
      </c>
      <c r="G6615" s="1">
        <v>42318</v>
      </c>
      <c r="J6615" t="s">
        <v>33091</v>
      </c>
      <c r="K6615" t="s">
        <v>33092</v>
      </c>
      <c r="L6615" t="s">
        <v>33093</v>
      </c>
      <c r="M6615">
        <v>599.75599999999895</v>
      </c>
      <c r="N6615" t="s">
        <v>33094</v>
      </c>
      <c r="O6615" t="s">
        <v>26</v>
      </c>
      <c r="P6615">
        <v>27.99</v>
      </c>
      <c r="Q6615">
        <v>34.99</v>
      </c>
      <c r="R6615">
        <v>27.99</v>
      </c>
      <c r="S6615">
        <v>41.99</v>
      </c>
      <c r="T6615" t="s">
        <v>33095</v>
      </c>
    </row>
    <row r="6616" spans="1:20">
      <c r="A6616">
        <v>4612929</v>
      </c>
      <c r="B6616" t="s">
        <v>33096</v>
      </c>
      <c r="C6616" t="str">
        <f>"9781771641371"</f>
        <v>9781771641371</v>
      </c>
      <c r="D6616" t="str">
        <f>"9781771641388"</f>
        <v>9781771641388</v>
      </c>
      <c r="E6616" t="s">
        <v>3030</v>
      </c>
      <c r="F6616" t="s">
        <v>3030</v>
      </c>
      <c r="G6616" s="1">
        <v>42318</v>
      </c>
      <c r="J6616" t="s">
        <v>33097</v>
      </c>
      <c r="K6616" t="s">
        <v>1150</v>
      </c>
      <c r="L6616" t="s">
        <v>33098</v>
      </c>
      <c r="M6616">
        <v>796.96209199999896</v>
      </c>
      <c r="N6616" t="s">
        <v>33099</v>
      </c>
      <c r="O6616" t="s">
        <v>26</v>
      </c>
      <c r="P6616">
        <v>27.99</v>
      </c>
      <c r="Q6616">
        <v>34.99</v>
      </c>
      <c r="R6616">
        <v>27.99</v>
      </c>
      <c r="S6616">
        <v>41.99</v>
      </c>
      <c r="T6616" t="s">
        <v>33100</v>
      </c>
    </row>
    <row r="6617" spans="1:20">
      <c r="A6617">
        <v>4612936</v>
      </c>
      <c r="B6617" t="s">
        <v>33101</v>
      </c>
      <c r="C6617" t="str">
        <f>"9781771640473"</f>
        <v>9781771640473</v>
      </c>
      <c r="D6617" t="str">
        <f>"9781771641050"</f>
        <v>9781771641050</v>
      </c>
      <c r="E6617" t="s">
        <v>3030</v>
      </c>
      <c r="F6617" t="s">
        <v>3030</v>
      </c>
      <c r="G6617" s="1">
        <v>42306</v>
      </c>
      <c r="J6617" t="s">
        <v>33102</v>
      </c>
      <c r="K6617" t="s">
        <v>964</v>
      </c>
      <c r="L6617" t="s">
        <v>33093</v>
      </c>
      <c r="M6617">
        <v>338.95929999999902</v>
      </c>
      <c r="N6617" t="s">
        <v>33103</v>
      </c>
      <c r="O6617" t="s">
        <v>26</v>
      </c>
      <c r="P6617">
        <v>18.989999999999998</v>
      </c>
      <c r="Q6617">
        <v>23.74</v>
      </c>
      <c r="R6617">
        <v>18.989999999999998</v>
      </c>
      <c r="S6617">
        <v>28.49</v>
      </c>
      <c r="T6617" t="s">
        <v>33104</v>
      </c>
    </row>
    <row r="6618" spans="1:20">
      <c r="A6618">
        <v>4613281</v>
      </c>
      <c r="B6618" t="s">
        <v>33105</v>
      </c>
      <c r="C6618" t="str">
        <f>"9781554693825"</f>
        <v>9781554693825</v>
      </c>
      <c r="D6618" t="str">
        <f>"9781554695263"</f>
        <v>9781554695263</v>
      </c>
      <c r="E6618" t="s">
        <v>4668</v>
      </c>
      <c r="F6618" t="s">
        <v>4668</v>
      </c>
      <c r="G6618" s="1">
        <v>40452</v>
      </c>
      <c r="I6618" t="s">
        <v>8823</v>
      </c>
      <c r="J6618" t="s">
        <v>6022</v>
      </c>
      <c r="K6618" t="s">
        <v>1464</v>
      </c>
      <c r="L6618" t="s">
        <v>33106</v>
      </c>
      <c r="M6618">
        <v>813.54</v>
      </c>
      <c r="N6618" t="s">
        <v>33107</v>
      </c>
      <c r="O6618" t="s">
        <v>485</v>
      </c>
      <c r="P6618">
        <v>9.99</v>
      </c>
      <c r="Q6618">
        <v>12.49</v>
      </c>
      <c r="R6618">
        <v>9.99</v>
      </c>
      <c r="T6618" t="s">
        <v>33108</v>
      </c>
    </row>
    <row r="6619" spans="1:20">
      <c r="A6619">
        <v>4613282</v>
      </c>
      <c r="B6619" t="s">
        <v>33109</v>
      </c>
      <c r="C6619" t="str">
        <f>"9781554693795"</f>
        <v>9781554693795</v>
      </c>
      <c r="D6619" t="str">
        <f>"9781554694242"</f>
        <v>9781554694242</v>
      </c>
      <c r="E6619" t="s">
        <v>4668</v>
      </c>
      <c r="F6619" t="s">
        <v>4668</v>
      </c>
      <c r="G6619" s="1">
        <v>41773</v>
      </c>
      <c r="I6619" t="s">
        <v>8973</v>
      </c>
      <c r="J6619" t="s">
        <v>5681</v>
      </c>
      <c r="K6619" t="s">
        <v>1464</v>
      </c>
      <c r="L6619" t="s">
        <v>33110</v>
      </c>
      <c r="M6619">
        <v>895.63300000000004</v>
      </c>
      <c r="N6619" t="s">
        <v>33111</v>
      </c>
      <c r="O6619" t="s">
        <v>94</v>
      </c>
      <c r="P6619">
        <v>9.99</v>
      </c>
      <c r="Q6619">
        <v>12.49</v>
      </c>
      <c r="R6619">
        <v>9.99</v>
      </c>
      <c r="T6619" t="s">
        <v>33112</v>
      </c>
    </row>
    <row r="6620" spans="1:20">
      <c r="A6620">
        <v>4613283</v>
      </c>
      <c r="B6620" t="s">
        <v>33113</v>
      </c>
      <c r="C6620" t="str">
        <f>"9781554691357"</f>
        <v>9781554691357</v>
      </c>
      <c r="D6620" t="str">
        <f>"9781551435824"</f>
        <v>9781551435824</v>
      </c>
      <c r="E6620" t="s">
        <v>4668</v>
      </c>
      <c r="F6620" t="s">
        <v>4668</v>
      </c>
      <c r="G6620" s="1">
        <v>41773</v>
      </c>
      <c r="I6620" t="s">
        <v>8823</v>
      </c>
      <c r="J6620" t="s">
        <v>5057</v>
      </c>
      <c r="K6620" t="s">
        <v>1464</v>
      </c>
      <c r="L6620" t="s">
        <v>33114</v>
      </c>
      <c r="M6620">
        <v>813.6</v>
      </c>
      <c r="N6620" t="s">
        <v>33115</v>
      </c>
      <c r="O6620" t="s">
        <v>485</v>
      </c>
      <c r="P6620">
        <v>9.99</v>
      </c>
      <c r="Q6620">
        <v>12.49</v>
      </c>
      <c r="R6620">
        <v>9.99</v>
      </c>
      <c r="T6620" t="s">
        <v>33116</v>
      </c>
    </row>
    <row r="6621" spans="1:20">
      <c r="A6621">
        <v>4613285</v>
      </c>
      <c r="B6621" t="s">
        <v>33117</v>
      </c>
      <c r="C6621" t="str">
        <f>"9781554693177"</f>
        <v>9781554693177</v>
      </c>
      <c r="D6621" t="str">
        <f>"9781554694617"</f>
        <v>9781554694617</v>
      </c>
      <c r="E6621" t="s">
        <v>4668</v>
      </c>
      <c r="F6621" t="s">
        <v>4668</v>
      </c>
      <c r="G6621" s="1">
        <v>40299</v>
      </c>
      <c r="I6621" t="s">
        <v>8823</v>
      </c>
      <c r="J6621" t="s">
        <v>5341</v>
      </c>
      <c r="K6621" t="s">
        <v>1464</v>
      </c>
      <c r="L6621" t="s">
        <v>33118</v>
      </c>
      <c r="M6621" t="s">
        <v>1509</v>
      </c>
      <c r="N6621" t="s">
        <v>33119</v>
      </c>
      <c r="O6621" t="s">
        <v>485</v>
      </c>
      <c r="P6621">
        <v>9.99</v>
      </c>
      <c r="Q6621">
        <v>12.49</v>
      </c>
      <c r="R6621">
        <v>9.99</v>
      </c>
      <c r="T6621" t="s">
        <v>33120</v>
      </c>
    </row>
    <row r="6622" spans="1:20">
      <c r="A6622">
        <v>4613309</v>
      </c>
      <c r="B6622" t="s">
        <v>33121</v>
      </c>
      <c r="C6622" t="str">
        <f>"9781554693153"</f>
        <v>9781554693153</v>
      </c>
      <c r="D6622" t="str">
        <f>"9781554693160"</f>
        <v>9781554693160</v>
      </c>
      <c r="E6622" t="s">
        <v>4668</v>
      </c>
      <c r="F6622" t="s">
        <v>4668</v>
      </c>
      <c r="G6622" s="1">
        <v>41773</v>
      </c>
      <c r="I6622" t="s">
        <v>8823</v>
      </c>
      <c r="J6622" t="s">
        <v>5575</v>
      </c>
      <c r="K6622" t="s">
        <v>1464</v>
      </c>
      <c r="L6622" t="s">
        <v>33122</v>
      </c>
      <c r="M6622">
        <v>813.6</v>
      </c>
      <c r="N6622" t="s">
        <v>33123</v>
      </c>
      <c r="O6622" t="s">
        <v>485</v>
      </c>
      <c r="P6622">
        <v>9.99</v>
      </c>
      <c r="Q6622">
        <v>12.49</v>
      </c>
      <c r="R6622">
        <v>9.99</v>
      </c>
      <c r="T6622" t="s">
        <v>33124</v>
      </c>
    </row>
    <row r="6623" spans="1:20">
      <c r="A6623">
        <v>4613328</v>
      </c>
      <c r="B6623" t="s">
        <v>33125</v>
      </c>
      <c r="C6623" t="str">
        <f>"9781554693733"</f>
        <v>9781554693733</v>
      </c>
      <c r="D6623" t="str">
        <f>"9781554694228"</f>
        <v>9781554694228</v>
      </c>
      <c r="E6623" t="s">
        <v>4668</v>
      </c>
      <c r="F6623" t="s">
        <v>4668</v>
      </c>
      <c r="G6623" s="1">
        <v>41773</v>
      </c>
      <c r="I6623" t="s">
        <v>8973</v>
      </c>
      <c r="J6623" t="s">
        <v>3636</v>
      </c>
      <c r="K6623" t="s">
        <v>1464</v>
      </c>
      <c r="L6623" t="s">
        <v>33126</v>
      </c>
      <c r="M6623">
        <v>813.6</v>
      </c>
      <c r="N6623" t="s">
        <v>33127</v>
      </c>
      <c r="O6623" t="s">
        <v>94</v>
      </c>
      <c r="P6623">
        <v>9.99</v>
      </c>
      <c r="Q6623">
        <v>12.49</v>
      </c>
      <c r="R6623">
        <v>9.99</v>
      </c>
      <c r="T6623" t="s">
        <v>33128</v>
      </c>
    </row>
    <row r="6624" spans="1:20">
      <c r="A6624">
        <v>4613360</v>
      </c>
      <c r="B6624" t="s">
        <v>33129</v>
      </c>
      <c r="C6624" t="str">
        <f>"9781554693818"</f>
        <v>9781554693818</v>
      </c>
      <c r="D6624" t="str">
        <f>"9781554694273"</f>
        <v>9781554694273</v>
      </c>
      <c r="E6624" t="s">
        <v>4668</v>
      </c>
      <c r="F6624" t="s">
        <v>4668</v>
      </c>
      <c r="G6624" s="1">
        <v>41773</v>
      </c>
      <c r="I6624" t="s">
        <v>8823</v>
      </c>
      <c r="J6624" t="s">
        <v>33130</v>
      </c>
      <c r="K6624" t="s">
        <v>1464</v>
      </c>
      <c r="L6624" t="s">
        <v>33126</v>
      </c>
      <c r="M6624">
        <v>813.6</v>
      </c>
      <c r="N6624" t="s">
        <v>33127</v>
      </c>
      <c r="O6624" t="s">
        <v>485</v>
      </c>
      <c r="P6624">
        <v>9.99</v>
      </c>
      <c r="Q6624">
        <v>12.49</v>
      </c>
      <c r="R6624">
        <v>9.99</v>
      </c>
      <c r="T6624" t="s">
        <v>33131</v>
      </c>
    </row>
    <row r="6625" spans="1:20">
      <c r="A6625">
        <v>4613365</v>
      </c>
      <c r="B6625" t="s">
        <v>33132</v>
      </c>
      <c r="C6625" t="str">
        <f>"9781554693740"</f>
        <v>9781554693740</v>
      </c>
      <c r="D6625" t="str">
        <f>"9781554694983"</f>
        <v>9781554694983</v>
      </c>
      <c r="E6625" t="s">
        <v>4668</v>
      </c>
      <c r="F6625" t="s">
        <v>4668</v>
      </c>
      <c r="G6625" s="1">
        <v>40452</v>
      </c>
      <c r="I6625" t="s">
        <v>8973</v>
      </c>
      <c r="J6625" t="s">
        <v>6022</v>
      </c>
      <c r="K6625" t="s">
        <v>1127</v>
      </c>
      <c r="L6625" t="s">
        <v>33133</v>
      </c>
      <c r="M6625">
        <v>155.9</v>
      </c>
      <c r="N6625" t="s">
        <v>33134</v>
      </c>
      <c r="O6625" t="s">
        <v>94</v>
      </c>
      <c r="P6625">
        <v>9.99</v>
      </c>
      <c r="Q6625">
        <v>12.49</v>
      </c>
      <c r="R6625">
        <v>9.99</v>
      </c>
      <c r="T6625" t="s">
        <v>33135</v>
      </c>
    </row>
    <row r="6626" spans="1:20">
      <c r="A6626">
        <v>4621114</v>
      </c>
      <c r="B6626" t="s">
        <v>33136</v>
      </c>
      <c r="C6626" t="str">
        <f>""</f>
        <v/>
      </c>
      <c r="D6626" t="str">
        <f>"9780774828444"</f>
        <v>9780774828444</v>
      </c>
      <c r="E6626" t="s">
        <v>26801</v>
      </c>
      <c r="F6626" t="s">
        <v>26801</v>
      </c>
      <c r="G6626" s="1">
        <v>42384</v>
      </c>
      <c r="I6626" t="s">
        <v>29925</v>
      </c>
      <c r="J6626" t="s">
        <v>33137</v>
      </c>
      <c r="K6626" t="s">
        <v>24824</v>
      </c>
      <c r="L6626" t="s">
        <v>33138</v>
      </c>
      <c r="N6626" t="s">
        <v>33139</v>
      </c>
      <c r="O6626" t="s">
        <v>26</v>
      </c>
      <c r="R6626">
        <v>99</v>
      </c>
      <c r="T6626" t="s">
        <v>33140</v>
      </c>
    </row>
    <row r="6627" spans="1:20">
      <c r="A6627">
        <v>4621115</v>
      </c>
      <c r="B6627" t="s">
        <v>33141</v>
      </c>
      <c r="C6627" t="str">
        <f>""</f>
        <v/>
      </c>
      <c r="D6627" t="str">
        <f>"9780774830324"</f>
        <v>9780774830324</v>
      </c>
      <c r="E6627" t="s">
        <v>26801</v>
      </c>
      <c r="F6627" t="s">
        <v>26801</v>
      </c>
      <c r="G6627" s="1">
        <v>42340</v>
      </c>
      <c r="J6627" t="s">
        <v>33142</v>
      </c>
      <c r="O6627" t="s">
        <v>26</v>
      </c>
      <c r="R6627">
        <v>99</v>
      </c>
      <c r="T6627" t="s">
        <v>33143</v>
      </c>
    </row>
    <row r="6628" spans="1:20">
      <c r="A6628">
        <v>4621120</v>
      </c>
      <c r="B6628" t="s">
        <v>33144</v>
      </c>
      <c r="C6628" t="str">
        <f>""</f>
        <v/>
      </c>
      <c r="D6628" t="str">
        <f>"9780774831116"</f>
        <v>9780774831116</v>
      </c>
      <c r="E6628" t="s">
        <v>26801</v>
      </c>
      <c r="F6628" t="s">
        <v>26801</v>
      </c>
      <c r="G6628" s="1">
        <v>42339</v>
      </c>
      <c r="J6628" t="s">
        <v>33145</v>
      </c>
      <c r="O6628" t="s">
        <v>26</v>
      </c>
      <c r="R6628">
        <v>99</v>
      </c>
      <c r="T6628" t="s">
        <v>33146</v>
      </c>
    </row>
    <row r="6629" spans="1:20">
      <c r="A6629">
        <v>4621121</v>
      </c>
      <c r="B6629" t="s">
        <v>33147</v>
      </c>
      <c r="C6629" t="str">
        <f>""</f>
        <v/>
      </c>
      <c r="D6629" t="str">
        <f>"9780774829588"</f>
        <v>9780774829588</v>
      </c>
      <c r="E6629" t="s">
        <v>26801</v>
      </c>
      <c r="F6629" t="s">
        <v>26801</v>
      </c>
      <c r="G6629" s="1">
        <v>42323</v>
      </c>
      <c r="J6629" t="s">
        <v>33148</v>
      </c>
      <c r="O6629" t="s">
        <v>26</v>
      </c>
      <c r="R6629">
        <v>99</v>
      </c>
      <c r="T6629" t="s">
        <v>33149</v>
      </c>
    </row>
    <row r="6630" spans="1:20">
      <c r="A6630">
        <v>4621123</v>
      </c>
      <c r="B6630" t="s">
        <v>33150</v>
      </c>
      <c r="C6630" t="str">
        <f>"9780774829151"</f>
        <v>9780774829151</v>
      </c>
      <c r="D6630" t="str">
        <f>"9780774829182"</f>
        <v>9780774829182</v>
      </c>
      <c r="E6630" t="s">
        <v>26801</v>
      </c>
      <c r="F6630" t="s">
        <v>26801</v>
      </c>
      <c r="G6630" s="1">
        <v>42156</v>
      </c>
      <c r="J6630" t="s">
        <v>33151</v>
      </c>
      <c r="O6630" t="s">
        <v>26</v>
      </c>
      <c r="R6630">
        <v>99</v>
      </c>
      <c r="T6630" t="s">
        <v>33152</v>
      </c>
    </row>
    <row r="6631" spans="1:20">
      <c r="A6631">
        <v>4621124</v>
      </c>
      <c r="B6631" t="s">
        <v>33153</v>
      </c>
      <c r="C6631" t="str">
        <f>"9780774828611"</f>
        <v>9780774828611</v>
      </c>
      <c r="D6631" t="str">
        <f>"9780774828642"</f>
        <v>9780774828642</v>
      </c>
      <c r="E6631" t="s">
        <v>26801</v>
      </c>
      <c r="F6631" t="s">
        <v>26801</v>
      </c>
      <c r="G6631" s="1">
        <v>42170</v>
      </c>
      <c r="J6631" t="s">
        <v>19517</v>
      </c>
      <c r="K6631" t="s">
        <v>525</v>
      </c>
      <c r="L6631" t="s">
        <v>33154</v>
      </c>
      <c r="M6631" t="s">
        <v>33155</v>
      </c>
      <c r="N6631" t="s">
        <v>33156</v>
      </c>
      <c r="O6631" t="s">
        <v>26</v>
      </c>
      <c r="R6631">
        <v>99</v>
      </c>
      <c r="T6631" t="s">
        <v>33157</v>
      </c>
    </row>
    <row r="6632" spans="1:20">
      <c r="A6632">
        <v>4621127</v>
      </c>
      <c r="B6632" t="s">
        <v>33158</v>
      </c>
      <c r="C6632" t="str">
        <f>""</f>
        <v/>
      </c>
      <c r="D6632" t="str">
        <f>"9780774830447"</f>
        <v>9780774830447</v>
      </c>
      <c r="E6632" t="s">
        <v>26801</v>
      </c>
      <c r="F6632" t="s">
        <v>26801</v>
      </c>
      <c r="G6632" s="1">
        <v>42384</v>
      </c>
      <c r="I6632" t="s">
        <v>29925</v>
      </c>
      <c r="J6632" t="s">
        <v>33159</v>
      </c>
      <c r="K6632" t="s">
        <v>17979</v>
      </c>
      <c r="L6632" t="s">
        <v>33160</v>
      </c>
      <c r="M6632" t="s">
        <v>33161</v>
      </c>
      <c r="O6632" t="s">
        <v>26</v>
      </c>
      <c r="R6632">
        <v>99</v>
      </c>
      <c r="T6632" t="s">
        <v>33162</v>
      </c>
    </row>
    <row r="6633" spans="1:20">
      <c r="A6633">
        <v>4621133</v>
      </c>
      <c r="B6633" t="s">
        <v>33163</v>
      </c>
      <c r="C6633" t="str">
        <f>""</f>
        <v/>
      </c>
      <c r="D6633" t="str">
        <f>"9780774830225"</f>
        <v>9780774830225</v>
      </c>
      <c r="E6633" t="s">
        <v>26801</v>
      </c>
      <c r="F6633" t="s">
        <v>26801</v>
      </c>
      <c r="G6633" s="1">
        <v>42401</v>
      </c>
      <c r="J6633" t="s">
        <v>33164</v>
      </c>
      <c r="K6633" t="s">
        <v>291</v>
      </c>
      <c r="L6633" t="s">
        <v>33165</v>
      </c>
      <c r="N6633" t="s">
        <v>33166</v>
      </c>
      <c r="O6633" t="s">
        <v>26</v>
      </c>
      <c r="R6633">
        <v>99</v>
      </c>
      <c r="T6633" t="s">
        <v>33167</v>
      </c>
    </row>
    <row r="6634" spans="1:20">
      <c r="A6634">
        <v>4624816</v>
      </c>
      <c r="B6634" t="s">
        <v>33168</v>
      </c>
      <c r="C6634" t="str">
        <f>"9782760530461"</f>
        <v>9782760530461</v>
      </c>
      <c r="D6634" t="str">
        <f>"9782760530478"</f>
        <v>9782760530478</v>
      </c>
      <c r="E6634" t="s">
        <v>33169</v>
      </c>
      <c r="F6634" t="s">
        <v>33169</v>
      </c>
      <c r="G6634" s="1">
        <v>42270</v>
      </c>
      <c r="H6634">
        <v>1</v>
      </c>
      <c r="J6634" t="s">
        <v>33170</v>
      </c>
      <c r="K6634" t="s">
        <v>2260</v>
      </c>
      <c r="L6634" t="s">
        <v>33171</v>
      </c>
      <c r="M6634">
        <v>616.85882000000004</v>
      </c>
      <c r="N6634" t="s">
        <v>33172</v>
      </c>
      <c r="O6634" t="s">
        <v>94</v>
      </c>
      <c r="P6634">
        <v>28.99</v>
      </c>
      <c r="Q6634">
        <v>36.24</v>
      </c>
      <c r="R6634">
        <v>28.99</v>
      </c>
      <c r="S6634">
        <v>43.49</v>
      </c>
      <c r="T6634" t="s">
        <v>33173</v>
      </c>
    </row>
    <row r="6635" spans="1:20">
      <c r="A6635">
        <v>4624817</v>
      </c>
      <c r="B6635" t="s">
        <v>33174</v>
      </c>
      <c r="C6635" t="str">
        <f>"9782760534674"</f>
        <v>9782760534674</v>
      </c>
      <c r="D6635" t="str">
        <f>"9782760534681"</f>
        <v>9782760534681</v>
      </c>
      <c r="E6635" t="s">
        <v>33169</v>
      </c>
      <c r="F6635" t="s">
        <v>33169</v>
      </c>
      <c r="G6635" s="1">
        <v>41780</v>
      </c>
      <c r="H6635">
        <v>1</v>
      </c>
      <c r="J6635" t="s">
        <v>33175</v>
      </c>
      <c r="K6635" t="s">
        <v>7838</v>
      </c>
      <c r="L6635" t="s">
        <v>33176</v>
      </c>
      <c r="M6635">
        <v>724.7</v>
      </c>
      <c r="N6635" t="s">
        <v>33177</v>
      </c>
      <c r="O6635" t="s">
        <v>94</v>
      </c>
      <c r="P6635">
        <v>38.99</v>
      </c>
      <c r="Q6635">
        <v>48.74</v>
      </c>
      <c r="R6635">
        <v>38.99</v>
      </c>
      <c r="S6635">
        <v>58.49</v>
      </c>
      <c r="T6635" t="s">
        <v>33178</v>
      </c>
    </row>
    <row r="6636" spans="1:20">
      <c r="A6636">
        <v>4624818</v>
      </c>
      <c r="B6636" t="s">
        <v>33179</v>
      </c>
      <c r="C6636" t="str">
        <f>""</f>
        <v/>
      </c>
      <c r="D6636" t="str">
        <f>"9782760536159"</f>
        <v>9782760536159</v>
      </c>
      <c r="E6636" t="s">
        <v>33169</v>
      </c>
      <c r="F6636" t="s">
        <v>33169</v>
      </c>
      <c r="G6636" s="1">
        <v>41880</v>
      </c>
      <c r="H6636">
        <v>1</v>
      </c>
      <c r="J6636" t="s">
        <v>33180</v>
      </c>
      <c r="K6636" t="s">
        <v>305</v>
      </c>
      <c r="L6636" t="s">
        <v>33181</v>
      </c>
      <c r="M6636">
        <v>658.5</v>
      </c>
      <c r="N6636" t="s">
        <v>33182</v>
      </c>
      <c r="O6636" t="s">
        <v>94</v>
      </c>
      <c r="P6636">
        <v>64.989999999999995</v>
      </c>
      <c r="Q6636">
        <v>81.239999999999995</v>
      </c>
      <c r="R6636">
        <v>64.989999999999995</v>
      </c>
      <c r="S6636">
        <v>97.49</v>
      </c>
      <c r="T6636" t="s">
        <v>33183</v>
      </c>
    </row>
    <row r="6637" spans="1:20">
      <c r="A6637">
        <v>4624819</v>
      </c>
      <c r="B6637" t="s">
        <v>33184</v>
      </c>
      <c r="C6637" t="str">
        <f>""</f>
        <v/>
      </c>
      <c r="D6637" t="str">
        <f>"9782760539181"</f>
        <v>9782760539181</v>
      </c>
      <c r="E6637" t="s">
        <v>33169</v>
      </c>
      <c r="F6637" t="s">
        <v>33169</v>
      </c>
      <c r="G6637" s="1">
        <v>41857</v>
      </c>
      <c r="H6637">
        <v>1</v>
      </c>
      <c r="J6637" t="s">
        <v>33185</v>
      </c>
      <c r="K6637" t="s">
        <v>2449</v>
      </c>
      <c r="L6637" t="s">
        <v>33186</v>
      </c>
      <c r="M6637">
        <v>371.90440000000001</v>
      </c>
      <c r="N6637" t="s">
        <v>33187</v>
      </c>
      <c r="O6637" t="s">
        <v>94</v>
      </c>
      <c r="P6637">
        <v>38.99</v>
      </c>
      <c r="Q6637">
        <v>48.74</v>
      </c>
      <c r="R6637">
        <v>38.99</v>
      </c>
      <c r="S6637">
        <v>58.49</v>
      </c>
      <c r="T6637" t="s">
        <v>33188</v>
      </c>
    </row>
    <row r="6638" spans="1:20">
      <c r="A6638">
        <v>4624821</v>
      </c>
      <c r="B6638" t="s">
        <v>33189</v>
      </c>
      <c r="C6638" t="str">
        <f>"9782760539846"</f>
        <v>9782760539846</v>
      </c>
      <c r="D6638" t="str">
        <f>"9782760539853"</f>
        <v>9782760539853</v>
      </c>
      <c r="E6638" t="s">
        <v>33169</v>
      </c>
      <c r="F6638" t="s">
        <v>33169</v>
      </c>
      <c r="G6638" s="1">
        <v>41766</v>
      </c>
      <c r="H6638">
        <v>1</v>
      </c>
      <c r="I6638" t="s">
        <v>33190</v>
      </c>
      <c r="J6638" t="s">
        <v>33191</v>
      </c>
      <c r="K6638" t="s">
        <v>263</v>
      </c>
      <c r="L6638" t="s">
        <v>33192</v>
      </c>
      <c r="M6638">
        <v>362.82920000000001</v>
      </c>
      <c r="N6638" t="s">
        <v>33193</v>
      </c>
      <c r="O6638" t="s">
        <v>94</v>
      </c>
      <c r="P6638">
        <v>40.99</v>
      </c>
      <c r="Q6638">
        <v>51.24</v>
      </c>
      <c r="R6638">
        <v>40.99</v>
      </c>
      <c r="S6638">
        <v>61.49</v>
      </c>
      <c r="T6638" t="s">
        <v>33194</v>
      </c>
    </row>
    <row r="6639" spans="1:20">
      <c r="A6639">
        <v>4624822</v>
      </c>
      <c r="B6639" t="s">
        <v>33195</v>
      </c>
      <c r="C6639" t="str">
        <f>"9782760540170"</f>
        <v>9782760540170</v>
      </c>
      <c r="D6639" t="str">
        <f>"9782760540187"</f>
        <v>9782760540187</v>
      </c>
      <c r="E6639" t="s">
        <v>33169</v>
      </c>
      <c r="F6639" t="s">
        <v>33169</v>
      </c>
      <c r="G6639" s="1">
        <v>41766</v>
      </c>
      <c r="H6639">
        <v>1</v>
      </c>
      <c r="I6639" t="s">
        <v>33196</v>
      </c>
      <c r="J6639" t="s">
        <v>33197</v>
      </c>
      <c r="K6639" t="s">
        <v>263</v>
      </c>
      <c r="L6639" t="s">
        <v>33198</v>
      </c>
      <c r="M6639">
        <v>309.2509713</v>
      </c>
      <c r="N6639" t="s">
        <v>33199</v>
      </c>
      <c r="O6639" t="s">
        <v>94</v>
      </c>
      <c r="P6639">
        <v>36.99</v>
      </c>
      <c r="Q6639">
        <v>46.24</v>
      </c>
      <c r="R6639">
        <v>36.99</v>
      </c>
      <c r="S6639">
        <v>55.49</v>
      </c>
      <c r="T6639" t="s">
        <v>33200</v>
      </c>
    </row>
    <row r="6640" spans="1:20">
      <c r="A6640">
        <v>4624823</v>
      </c>
      <c r="B6640" t="s">
        <v>33201</v>
      </c>
      <c r="C6640" t="str">
        <f>"9782760540200"</f>
        <v>9782760540200</v>
      </c>
      <c r="D6640" t="str">
        <f>"9782760540217"</f>
        <v>9782760540217</v>
      </c>
      <c r="E6640" t="s">
        <v>33169</v>
      </c>
      <c r="F6640" t="s">
        <v>33169</v>
      </c>
      <c r="G6640" s="1">
        <v>41976</v>
      </c>
      <c r="H6640">
        <v>1</v>
      </c>
      <c r="J6640" t="s">
        <v>33202</v>
      </c>
      <c r="K6640" t="s">
        <v>2963</v>
      </c>
      <c r="L6640" t="s">
        <v>33203</v>
      </c>
      <c r="M6640">
        <v>923.97299999999905</v>
      </c>
      <c r="N6640" t="s">
        <v>33204</v>
      </c>
      <c r="O6640" t="s">
        <v>94</v>
      </c>
      <c r="P6640">
        <v>24.99</v>
      </c>
      <c r="Q6640">
        <v>31.24</v>
      </c>
      <c r="R6640">
        <v>24.99</v>
      </c>
      <c r="S6640">
        <v>37.49</v>
      </c>
      <c r="T6640" t="s">
        <v>33205</v>
      </c>
    </row>
    <row r="6641" spans="1:20">
      <c r="A6641">
        <v>4624824</v>
      </c>
      <c r="B6641" t="s">
        <v>33206</v>
      </c>
      <c r="C6641" t="str">
        <f>"9782760540392"</f>
        <v>9782760540392</v>
      </c>
      <c r="D6641" t="str">
        <f>"9782760540408"</f>
        <v>9782760540408</v>
      </c>
      <c r="E6641" t="s">
        <v>33169</v>
      </c>
      <c r="F6641" t="s">
        <v>33169</v>
      </c>
      <c r="G6641" s="1">
        <v>41871</v>
      </c>
      <c r="H6641">
        <v>1</v>
      </c>
      <c r="J6641" t="s">
        <v>33207</v>
      </c>
      <c r="K6641" t="s">
        <v>257</v>
      </c>
      <c r="L6641" t="s">
        <v>33208</v>
      </c>
      <c r="M6641">
        <v>371.10097139999903</v>
      </c>
      <c r="N6641" t="s">
        <v>33209</v>
      </c>
      <c r="O6641" t="s">
        <v>94</v>
      </c>
      <c r="P6641">
        <v>24.99</v>
      </c>
      <c r="Q6641">
        <v>31.24</v>
      </c>
      <c r="R6641">
        <v>24.99</v>
      </c>
      <c r="S6641">
        <v>37.49</v>
      </c>
      <c r="T6641" t="s">
        <v>33210</v>
      </c>
    </row>
    <row r="6642" spans="1:20">
      <c r="A6642">
        <v>4624825</v>
      </c>
      <c r="B6642" t="s">
        <v>33211</v>
      </c>
      <c r="C6642" t="str">
        <f>"9782760540453"</f>
        <v>9782760540453</v>
      </c>
      <c r="D6642" t="str">
        <f>"9782760540460"</f>
        <v>9782760540460</v>
      </c>
      <c r="E6642" t="s">
        <v>33169</v>
      </c>
      <c r="F6642" t="s">
        <v>33169</v>
      </c>
      <c r="G6642" s="1">
        <v>41871</v>
      </c>
      <c r="H6642">
        <v>1</v>
      </c>
      <c r="I6642" t="s">
        <v>33212</v>
      </c>
      <c r="J6642" t="s">
        <v>33213</v>
      </c>
      <c r="K6642" t="s">
        <v>2260</v>
      </c>
      <c r="L6642" t="s">
        <v>33214</v>
      </c>
      <c r="M6642">
        <v>610.69600000000003</v>
      </c>
      <c r="N6642" t="s">
        <v>33215</v>
      </c>
      <c r="O6642" t="s">
        <v>94</v>
      </c>
      <c r="P6642">
        <v>23.99</v>
      </c>
      <c r="Q6642">
        <v>29.99</v>
      </c>
      <c r="R6642">
        <v>23.99</v>
      </c>
      <c r="S6642">
        <v>35.99</v>
      </c>
      <c r="T6642" t="s">
        <v>33216</v>
      </c>
    </row>
    <row r="6643" spans="1:20">
      <c r="A6643">
        <v>4624826</v>
      </c>
      <c r="B6643" t="s">
        <v>33217</v>
      </c>
      <c r="C6643" t="str">
        <f>"9782760540491"</f>
        <v>9782760540491</v>
      </c>
      <c r="D6643" t="str">
        <f>"9782760540507"</f>
        <v>9782760540507</v>
      </c>
      <c r="E6643" t="s">
        <v>33169</v>
      </c>
      <c r="F6643" t="s">
        <v>33169</v>
      </c>
      <c r="G6643" s="1">
        <v>41871</v>
      </c>
      <c r="H6643">
        <v>1</v>
      </c>
      <c r="I6643" t="s">
        <v>33190</v>
      </c>
      <c r="J6643" t="s">
        <v>33218</v>
      </c>
      <c r="K6643" t="s">
        <v>278</v>
      </c>
      <c r="L6643" t="s">
        <v>33219</v>
      </c>
      <c r="M6643">
        <v>331.10971404999901</v>
      </c>
      <c r="N6643" t="s">
        <v>33220</v>
      </c>
      <c r="O6643" t="s">
        <v>94</v>
      </c>
      <c r="P6643">
        <v>20.99</v>
      </c>
      <c r="Q6643">
        <v>26.24</v>
      </c>
      <c r="R6643">
        <v>20.99</v>
      </c>
      <c r="S6643">
        <v>31.49</v>
      </c>
      <c r="T6643" t="s">
        <v>33221</v>
      </c>
    </row>
    <row r="6644" spans="1:20">
      <c r="A6644">
        <v>4624827</v>
      </c>
      <c r="B6644" t="s">
        <v>33222</v>
      </c>
      <c r="C6644" t="str">
        <f>"9782760540637"</f>
        <v>9782760540637</v>
      </c>
      <c r="D6644" t="str">
        <f>"9782760540644"</f>
        <v>9782760540644</v>
      </c>
      <c r="E6644" t="s">
        <v>33169</v>
      </c>
      <c r="F6644" t="s">
        <v>33169</v>
      </c>
      <c r="G6644" s="1">
        <v>41871</v>
      </c>
      <c r="H6644">
        <v>1</v>
      </c>
      <c r="I6644" t="s">
        <v>33190</v>
      </c>
      <c r="J6644" t="s">
        <v>33223</v>
      </c>
      <c r="K6644" t="s">
        <v>263</v>
      </c>
      <c r="L6644" t="s">
        <v>33224</v>
      </c>
      <c r="M6644">
        <v>362.3</v>
      </c>
      <c r="N6644" t="s">
        <v>33225</v>
      </c>
      <c r="O6644" t="s">
        <v>94</v>
      </c>
      <c r="P6644">
        <v>24.99</v>
      </c>
      <c r="Q6644">
        <v>31.24</v>
      </c>
      <c r="R6644">
        <v>24.99</v>
      </c>
      <c r="S6644">
        <v>37.49</v>
      </c>
      <c r="T6644" t="s">
        <v>33226</v>
      </c>
    </row>
    <row r="6645" spans="1:20">
      <c r="A6645">
        <v>4624828</v>
      </c>
      <c r="B6645" t="s">
        <v>33227</v>
      </c>
      <c r="C6645" t="str">
        <f>"9782760539242"</f>
        <v>9782760539242</v>
      </c>
      <c r="D6645" t="str">
        <f>"9782760540675"</f>
        <v>9782760540675</v>
      </c>
      <c r="E6645" t="s">
        <v>33169</v>
      </c>
      <c r="F6645" t="s">
        <v>33169</v>
      </c>
      <c r="G6645" s="1">
        <v>41906</v>
      </c>
      <c r="H6645">
        <v>1</v>
      </c>
      <c r="I6645" t="s">
        <v>33228</v>
      </c>
      <c r="J6645" t="s">
        <v>33229</v>
      </c>
      <c r="K6645" t="s">
        <v>291</v>
      </c>
      <c r="L6645" t="s">
        <v>33230</v>
      </c>
      <c r="M6645">
        <v>971.82040222000001</v>
      </c>
      <c r="O6645" t="s">
        <v>94</v>
      </c>
      <c r="P6645">
        <v>24.99</v>
      </c>
      <c r="Q6645">
        <v>31.24</v>
      </c>
      <c r="R6645">
        <v>24.99</v>
      </c>
      <c r="S6645">
        <v>37.49</v>
      </c>
      <c r="T6645" t="s">
        <v>33231</v>
      </c>
    </row>
    <row r="6646" spans="1:20">
      <c r="A6646">
        <v>4624829</v>
      </c>
      <c r="B6646" t="s">
        <v>33232</v>
      </c>
      <c r="C6646" t="str">
        <f>"9782760540828"</f>
        <v>9782760540828</v>
      </c>
      <c r="D6646" t="str">
        <f>"9782760540835"</f>
        <v>9782760540835</v>
      </c>
      <c r="E6646" t="s">
        <v>33169</v>
      </c>
      <c r="F6646" t="s">
        <v>33169</v>
      </c>
      <c r="G6646" s="1">
        <v>41906</v>
      </c>
      <c r="H6646">
        <v>1</v>
      </c>
      <c r="J6646" t="s">
        <v>33233</v>
      </c>
      <c r="K6646" t="s">
        <v>1464</v>
      </c>
      <c r="L6646" t="s">
        <v>33234</v>
      </c>
      <c r="M6646">
        <v>808.1</v>
      </c>
      <c r="N6646" t="s">
        <v>33235</v>
      </c>
      <c r="O6646" t="s">
        <v>94</v>
      </c>
      <c r="P6646">
        <v>24.99</v>
      </c>
      <c r="Q6646">
        <v>31.24</v>
      </c>
      <c r="R6646">
        <v>24.99</v>
      </c>
      <c r="S6646">
        <v>37.49</v>
      </c>
      <c r="T6646" t="s">
        <v>33236</v>
      </c>
    </row>
    <row r="6647" spans="1:20">
      <c r="A6647">
        <v>4624830</v>
      </c>
      <c r="B6647" t="s">
        <v>33237</v>
      </c>
      <c r="C6647" t="str">
        <f>"9782760540859"</f>
        <v>9782760540859</v>
      </c>
      <c r="D6647" t="str">
        <f>"9782760540866"</f>
        <v>9782760540866</v>
      </c>
      <c r="E6647" t="s">
        <v>33169</v>
      </c>
      <c r="F6647" t="s">
        <v>33169</v>
      </c>
      <c r="G6647" s="1">
        <v>41871</v>
      </c>
      <c r="H6647">
        <v>1</v>
      </c>
      <c r="I6647" t="s">
        <v>33238</v>
      </c>
      <c r="J6647" t="s">
        <v>33239</v>
      </c>
      <c r="K6647" t="s">
        <v>11854</v>
      </c>
      <c r="L6647" t="s">
        <v>33240</v>
      </c>
      <c r="M6647">
        <v>808.04200000000003</v>
      </c>
      <c r="N6647" t="s">
        <v>33241</v>
      </c>
      <c r="O6647" t="s">
        <v>94</v>
      </c>
      <c r="P6647">
        <v>19.989999999999998</v>
      </c>
      <c r="Q6647">
        <v>24.99</v>
      </c>
      <c r="R6647">
        <v>19.989999999999998</v>
      </c>
      <c r="S6647">
        <v>29.99</v>
      </c>
      <c r="T6647" t="s">
        <v>33242</v>
      </c>
    </row>
    <row r="6648" spans="1:20">
      <c r="A6648">
        <v>4624831</v>
      </c>
      <c r="B6648" t="s">
        <v>33243</v>
      </c>
      <c r="C6648" t="str">
        <f>"9782760540880"</f>
        <v>9782760540880</v>
      </c>
      <c r="D6648" t="str">
        <f>"9782760540897"</f>
        <v>9782760540897</v>
      </c>
      <c r="E6648" t="s">
        <v>33169</v>
      </c>
      <c r="F6648" t="s">
        <v>33169</v>
      </c>
      <c r="G6648" s="1">
        <v>41871</v>
      </c>
      <c r="H6648">
        <v>1</v>
      </c>
      <c r="I6648" t="s">
        <v>33244</v>
      </c>
      <c r="J6648" t="s">
        <v>33245</v>
      </c>
      <c r="K6648" t="s">
        <v>278</v>
      </c>
      <c r="L6648" t="s">
        <v>33246</v>
      </c>
      <c r="M6648">
        <v>331.11097139999902</v>
      </c>
      <c r="N6648" t="s">
        <v>33247</v>
      </c>
      <c r="O6648" t="s">
        <v>94</v>
      </c>
      <c r="P6648">
        <v>28.99</v>
      </c>
      <c r="Q6648">
        <v>36.24</v>
      </c>
      <c r="R6648">
        <v>28.99</v>
      </c>
      <c r="S6648">
        <v>43.49</v>
      </c>
      <c r="T6648" t="s">
        <v>33248</v>
      </c>
    </row>
    <row r="6649" spans="1:20">
      <c r="A6649">
        <v>4624832</v>
      </c>
      <c r="B6649" t="s">
        <v>33249</v>
      </c>
      <c r="C6649" t="str">
        <f>"9782760540989"</f>
        <v>9782760540989</v>
      </c>
      <c r="D6649" t="str">
        <f>"9782760540996"</f>
        <v>9782760540996</v>
      </c>
      <c r="E6649" t="s">
        <v>33169</v>
      </c>
      <c r="F6649" t="s">
        <v>33169</v>
      </c>
      <c r="G6649" s="1">
        <v>41934</v>
      </c>
      <c r="H6649">
        <v>1</v>
      </c>
      <c r="I6649" t="s">
        <v>33250</v>
      </c>
      <c r="J6649" t="s">
        <v>33251</v>
      </c>
      <c r="K6649" t="s">
        <v>305</v>
      </c>
      <c r="L6649" t="s">
        <v>33252</v>
      </c>
      <c r="M6649">
        <v>659.2</v>
      </c>
      <c r="N6649" t="s">
        <v>33253</v>
      </c>
      <c r="O6649" t="s">
        <v>94</v>
      </c>
      <c r="P6649">
        <v>23.99</v>
      </c>
      <c r="Q6649">
        <v>29.99</v>
      </c>
      <c r="R6649">
        <v>23.99</v>
      </c>
      <c r="S6649">
        <v>35.99</v>
      </c>
      <c r="T6649" t="s">
        <v>33254</v>
      </c>
    </row>
    <row r="6650" spans="1:20">
      <c r="A6650">
        <v>4624833</v>
      </c>
      <c r="B6650" t="s">
        <v>33255</v>
      </c>
      <c r="C6650" t="str">
        <f>"9782760541078"</f>
        <v>9782760541078</v>
      </c>
      <c r="D6650" t="str">
        <f>"9782760541085"</f>
        <v>9782760541085</v>
      </c>
      <c r="E6650" t="s">
        <v>33169</v>
      </c>
      <c r="F6650" t="s">
        <v>33169</v>
      </c>
      <c r="G6650" s="1">
        <v>41934</v>
      </c>
      <c r="H6650">
        <v>1</v>
      </c>
      <c r="J6650" t="s">
        <v>33256</v>
      </c>
      <c r="K6650" t="s">
        <v>1464</v>
      </c>
      <c r="L6650" t="s">
        <v>33257</v>
      </c>
      <c r="M6650" t="s">
        <v>33258</v>
      </c>
      <c r="O6650" t="s">
        <v>94</v>
      </c>
      <c r="P6650">
        <v>27.99</v>
      </c>
      <c r="Q6650">
        <v>34.99</v>
      </c>
      <c r="R6650">
        <v>27.99</v>
      </c>
      <c r="S6650">
        <v>41.99</v>
      </c>
      <c r="T6650" t="s">
        <v>33259</v>
      </c>
    </row>
    <row r="6651" spans="1:20">
      <c r="A6651">
        <v>4624834</v>
      </c>
      <c r="B6651" t="s">
        <v>33260</v>
      </c>
      <c r="C6651" t="str">
        <f>"9782760541139"</f>
        <v>9782760541139</v>
      </c>
      <c r="D6651" t="str">
        <f>"9782760541146"</f>
        <v>9782760541146</v>
      </c>
      <c r="E6651" t="s">
        <v>33169</v>
      </c>
      <c r="F6651" t="s">
        <v>33169</v>
      </c>
      <c r="G6651" s="1">
        <v>41962</v>
      </c>
      <c r="H6651">
        <v>1</v>
      </c>
      <c r="I6651" t="s">
        <v>33196</v>
      </c>
      <c r="J6651" t="s">
        <v>33261</v>
      </c>
      <c r="K6651" t="s">
        <v>263</v>
      </c>
      <c r="L6651" t="s">
        <v>33262</v>
      </c>
      <c r="M6651">
        <v>307.12</v>
      </c>
      <c r="N6651" t="s">
        <v>33263</v>
      </c>
      <c r="O6651" t="s">
        <v>94</v>
      </c>
      <c r="P6651">
        <v>33.99</v>
      </c>
      <c r="Q6651">
        <v>42.49</v>
      </c>
      <c r="R6651">
        <v>33.99</v>
      </c>
      <c r="S6651">
        <v>50.99</v>
      </c>
      <c r="T6651" t="s">
        <v>33264</v>
      </c>
    </row>
    <row r="6652" spans="1:20">
      <c r="A6652">
        <v>4624835</v>
      </c>
      <c r="B6652" t="s">
        <v>33265</v>
      </c>
      <c r="C6652" t="str">
        <f>"9782760541160"</f>
        <v>9782760541160</v>
      </c>
      <c r="D6652" t="str">
        <f>"9782760541177"</f>
        <v>9782760541177</v>
      </c>
      <c r="E6652" t="s">
        <v>33169</v>
      </c>
      <c r="F6652" t="s">
        <v>33169</v>
      </c>
      <c r="G6652" s="1">
        <v>41913</v>
      </c>
      <c r="H6652">
        <v>1</v>
      </c>
      <c r="J6652" t="s">
        <v>33266</v>
      </c>
      <c r="K6652" t="s">
        <v>291</v>
      </c>
      <c r="L6652" t="s">
        <v>33267</v>
      </c>
      <c r="M6652" t="s">
        <v>33268</v>
      </c>
      <c r="N6652" t="s">
        <v>33269</v>
      </c>
      <c r="O6652" t="s">
        <v>94</v>
      </c>
      <c r="P6652">
        <v>24.99</v>
      </c>
      <c r="Q6652">
        <v>31.24</v>
      </c>
      <c r="R6652">
        <v>24.99</v>
      </c>
      <c r="S6652">
        <v>37.49</v>
      </c>
      <c r="T6652" t="s">
        <v>33270</v>
      </c>
    </row>
    <row r="6653" spans="1:20">
      <c r="A6653">
        <v>4624836</v>
      </c>
      <c r="B6653" t="s">
        <v>33271</v>
      </c>
      <c r="C6653" t="str">
        <f>"9782760541191"</f>
        <v>9782760541191</v>
      </c>
      <c r="D6653" t="str">
        <f>"9782760541207"</f>
        <v>9782760541207</v>
      </c>
      <c r="E6653" t="s">
        <v>33169</v>
      </c>
      <c r="F6653" t="s">
        <v>33169</v>
      </c>
      <c r="G6653" s="1">
        <v>41934</v>
      </c>
      <c r="H6653">
        <v>1</v>
      </c>
      <c r="J6653" t="s">
        <v>33272</v>
      </c>
      <c r="K6653" t="s">
        <v>416</v>
      </c>
      <c r="L6653" t="s">
        <v>33273</v>
      </c>
      <c r="M6653">
        <v>331.11419999999902</v>
      </c>
      <c r="N6653" t="s">
        <v>33274</v>
      </c>
      <c r="O6653" t="s">
        <v>94</v>
      </c>
      <c r="P6653">
        <v>14.99</v>
      </c>
      <c r="Q6653">
        <v>18.739999999999998</v>
      </c>
      <c r="R6653">
        <v>14.99</v>
      </c>
      <c r="S6653">
        <v>22.49</v>
      </c>
      <c r="T6653" t="s">
        <v>33275</v>
      </c>
    </row>
    <row r="6654" spans="1:20">
      <c r="A6654">
        <v>4624837</v>
      </c>
      <c r="B6654" t="s">
        <v>33276</v>
      </c>
      <c r="C6654" t="str">
        <f>"9782760541252"</f>
        <v>9782760541252</v>
      </c>
      <c r="D6654" t="str">
        <f>"9782760541269"</f>
        <v>9782760541269</v>
      </c>
      <c r="E6654" t="s">
        <v>33169</v>
      </c>
      <c r="F6654" t="s">
        <v>33169</v>
      </c>
      <c r="G6654" s="1">
        <v>41934</v>
      </c>
      <c r="H6654">
        <v>1</v>
      </c>
      <c r="I6654" t="s">
        <v>33244</v>
      </c>
      <c r="J6654" t="s">
        <v>33277</v>
      </c>
      <c r="K6654" t="s">
        <v>263</v>
      </c>
      <c r="L6654" t="s">
        <v>33278</v>
      </c>
      <c r="M6654">
        <v>300.7</v>
      </c>
      <c r="N6654" t="s">
        <v>33279</v>
      </c>
      <c r="O6654" t="s">
        <v>94</v>
      </c>
      <c r="P6654">
        <v>24.99</v>
      </c>
      <c r="Q6654">
        <v>31.24</v>
      </c>
      <c r="R6654">
        <v>24.99</v>
      </c>
      <c r="S6654">
        <v>37.49</v>
      </c>
      <c r="T6654" t="s">
        <v>33280</v>
      </c>
    </row>
    <row r="6655" spans="1:20">
      <c r="A6655">
        <v>4624838</v>
      </c>
      <c r="B6655" t="s">
        <v>33281</v>
      </c>
      <c r="C6655" t="str">
        <f>"9782760541283"</f>
        <v>9782760541283</v>
      </c>
      <c r="D6655" t="str">
        <f>"9782760541290"</f>
        <v>9782760541290</v>
      </c>
      <c r="E6655" t="s">
        <v>33169</v>
      </c>
      <c r="F6655" t="s">
        <v>33169</v>
      </c>
      <c r="G6655" s="1">
        <v>41936</v>
      </c>
      <c r="H6655">
        <v>1</v>
      </c>
      <c r="J6655" t="s">
        <v>33282</v>
      </c>
      <c r="K6655" t="s">
        <v>263</v>
      </c>
      <c r="L6655" t="s">
        <v>33283</v>
      </c>
      <c r="M6655">
        <v>302.23</v>
      </c>
      <c r="N6655" t="s">
        <v>33284</v>
      </c>
      <c r="O6655" t="s">
        <v>94</v>
      </c>
      <c r="P6655">
        <v>20.99</v>
      </c>
      <c r="Q6655">
        <v>26.24</v>
      </c>
      <c r="R6655">
        <v>20.99</v>
      </c>
      <c r="S6655">
        <v>31.49</v>
      </c>
      <c r="T6655" t="s">
        <v>33285</v>
      </c>
    </row>
    <row r="6656" spans="1:20">
      <c r="A6656">
        <v>4624839</v>
      </c>
      <c r="B6656" t="s">
        <v>33286</v>
      </c>
      <c r="C6656" t="str">
        <f>"9782760541313"</f>
        <v>9782760541313</v>
      </c>
      <c r="D6656" t="str">
        <f>"9782760541320"</f>
        <v>9782760541320</v>
      </c>
      <c r="E6656" t="s">
        <v>33169</v>
      </c>
      <c r="F6656" t="s">
        <v>33169</v>
      </c>
      <c r="G6656" s="1">
        <v>41962</v>
      </c>
      <c r="H6656">
        <v>1</v>
      </c>
      <c r="I6656" t="s">
        <v>33287</v>
      </c>
      <c r="J6656" t="s">
        <v>33288</v>
      </c>
      <c r="K6656" t="s">
        <v>17979</v>
      </c>
      <c r="L6656" t="s">
        <v>33289</v>
      </c>
      <c r="M6656">
        <v>363.69</v>
      </c>
      <c r="N6656" t="s">
        <v>33290</v>
      </c>
      <c r="O6656" t="s">
        <v>94</v>
      </c>
      <c r="P6656">
        <v>28.99</v>
      </c>
      <c r="Q6656">
        <v>36.24</v>
      </c>
      <c r="R6656">
        <v>28.99</v>
      </c>
      <c r="S6656">
        <v>43.49</v>
      </c>
      <c r="T6656" t="s">
        <v>33291</v>
      </c>
    </row>
    <row r="6657" spans="1:20">
      <c r="A6657">
        <v>4624840</v>
      </c>
      <c r="B6657" t="s">
        <v>33292</v>
      </c>
      <c r="C6657" t="str">
        <f>""</f>
        <v/>
      </c>
      <c r="D6657" t="str">
        <f>"9782760541412"</f>
        <v>9782760541412</v>
      </c>
      <c r="E6657" t="s">
        <v>33169</v>
      </c>
      <c r="F6657" t="s">
        <v>33169</v>
      </c>
      <c r="G6657" s="1">
        <v>41934</v>
      </c>
      <c r="H6657">
        <v>1</v>
      </c>
      <c r="I6657" t="s">
        <v>33293</v>
      </c>
      <c r="J6657" t="s">
        <v>33294</v>
      </c>
      <c r="K6657" t="s">
        <v>263</v>
      </c>
      <c r="L6657" t="s">
        <v>33295</v>
      </c>
      <c r="M6657">
        <v>306.81</v>
      </c>
      <c r="N6657" t="s">
        <v>33296</v>
      </c>
      <c r="O6657" t="s">
        <v>94</v>
      </c>
      <c r="P6657">
        <v>25.99</v>
      </c>
      <c r="Q6657">
        <v>32.49</v>
      </c>
      <c r="R6657">
        <v>25.99</v>
      </c>
      <c r="S6657">
        <v>38.99</v>
      </c>
      <c r="T6657" t="s">
        <v>33297</v>
      </c>
    </row>
    <row r="6658" spans="1:20">
      <c r="A6658">
        <v>4624841</v>
      </c>
      <c r="B6658" t="s">
        <v>33298</v>
      </c>
      <c r="C6658" t="str">
        <f>"9782760541498"</f>
        <v>9782760541498</v>
      </c>
      <c r="D6658" t="str">
        <f>"9782760541504"</f>
        <v>9782760541504</v>
      </c>
      <c r="E6658" t="s">
        <v>33169</v>
      </c>
      <c r="F6658" t="s">
        <v>33169</v>
      </c>
      <c r="G6658" s="1">
        <v>41934</v>
      </c>
      <c r="H6658">
        <v>1</v>
      </c>
      <c r="I6658" t="s">
        <v>33299</v>
      </c>
      <c r="J6658" t="s">
        <v>33300</v>
      </c>
      <c r="K6658" t="s">
        <v>7838</v>
      </c>
      <c r="L6658" t="s">
        <v>33301</v>
      </c>
      <c r="M6658">
        <v>720.28800000000001</v>
      </c>
      <c r="N6658" t="s">
        <v>33302</v>
      </c>
      <c r="O6658" t="s">
        <v>94</v>
      </c>
      <c r="P6658">
        <v>31.99</v>
      </c>
      <c r="Q6658">
        <v>39.99</v>
      </c>
      <c r="R6658">
        <v>31.99</v>
      </c>
      <c r="S6658">
        <v>47.99</v>
      </c>
      <c r="T6658" t="s">
        <v>33303</v>
      </c>
    </row>
    <row r="6659" spans="1:20">
      <c r="A6659">
        <v>4624842</v>
      </c>
      <c r="B6659" t="s">
        <v>33304</v>
      </c>
      <c r="C6659" t="str">
        <f>"9782760541528"</f>
        <v>9782760541528</v>
      </c>
      <c r="D6659" t="str">
        <f>"9782760541535"</f>
        <v>9782760541535</v>
      </c>
      <c r="E6659" t="s">
        <v>33169</v>
      </c>
      <c r="F6659" t="s">
        <v>33169</v>
      </c>
      <c r="G6659" s="1">
        <v>42039</v>
      </c>
      <c r="H6659">
        <v>1</v>
      </c>
      <c r="I6659" t="s">
        <v>33305</v>
      </c>
      <c r="J6659" t="s">
        <v>33306</v>
      </c>
      <c r="K6659" t="s">
        <v>1464</v>
      </c>
      <c r="L6659" t="s">
        <v>33307</v>
      </c>
      <c r="M6659">
        <v>809.93321130000004</v>
      </c>
      <c r="O6659" t="s">
        <v>94</v>
      </c>
      <c r="P6659">
        <v>33.99</v>
      </c>
      <c r="Q6659">
        <v>42.49</v>
      </c>
      <c r="R6659">
        <v>33.99</v>
      </c>
      <c r="S6659">
        <v>50.99</v>
      </c>
      <c r="T6659" t="s">
        <v>33308</v>
      </c>
    </row>
    <row r="6660" spans="1:20">
      <c r="A6660">
        <v>4624843</v>
      </c>
      <c r="B6660" t="s">
        <v>33309</v>
      </c>
      <c r="C6660" t="str">
        <f>"9782760541733"</f>
        <v>9782760541733</v>
      </c>
      <c r="D6660" t="str">
        <f>"9782760541740"</f>
        <v>9782760541740</v>
      </c>
      <c r="E6660" t="s">
        <v>33169</v>
      </c>
      <c r="F6660" t="s">
        <v>33169</v>
      </c>
      <c r="G6660" s="1">
        <v>42039</v>
      </c>
      <c r="H6660">
        <v>1</v>
      </c>
      <c r="J6660" t="s">
        <v>33310</v>
      </c>
      <c r="K6660" t="s">
        <v>305</v>
      </c>
      <c r="L6660" t="s">
        <v>33311</v>
      </c>
      <c r="M6660">
        <v>658.40599999999904</v>
      </c>
      <c r="N6660" t="s">
        <v>33312</v>
      </c>
      <c r="O6660" t="s">
        <v>94</v>
      </c>
      <c r="P6660">
        <v>38.99</v>
      </c>
      <c r="Q6660">
        <v>48.74</v>
      </c>
      <c r="R6660">
        <v>38.99</v>
      </c>
      <c r="S6660">
        <v>58.49</v>
      </c>
      <c r="T6660" t="s">
        <v>33313</v>
      </c>
    </row>
    <row r="6661" spans="1:20">
      <c r="A6661">
        <v>4624844</v>
      </c>
      <c r="B6661" t="s">
        <v>33314</v>
      </c>
      <c r="C6661" t="str">
        <f>"9782760541764"</f>
        <v>9782760541764</v>
      </c>
      <c r="D6661" t="str">
        <f>"9782760541771"</f>
        <v>9782760541771</v>
      </c>
      <c r="E6661" t="s">
        <v>33169</v>
      </c>
      <c r="F6661" t="s">
        <v>33169</v>
      </c>
      <c r="G6661" s="1">
        <v>41913</v>
      </c>
      <c r="H6661">
        <v>1</v>
      </c>
      <c r="I6661" t="s">
        <v>33299</v>
      </c>
      <c r="J6661" t="s">
        <v>33315</v>
      </c>
      <c r="K6661" t="s">
        <v>7838</v>
      </c>
      <c r="L6661" t="s">
        <v>33316</v>
      </c>
      <c r="M6661">
        <v>726.5</v>
      </c>
      <c r="N6661" t="s">
        <v>33317</v>
      </c>
      <c r="O6661" t="s">
        <v>94</v>
      </c>
      <c r="P6661">
        <v>24.99</v>
      </c>
      <c r="Q6661">
        <v>31.24</v>
      </c>
      <c r="R6661">
        <v>24.99</v>
      </c>
      <c r="S6661">
        <v>37.49</v>
      </c>
      <c r="T6661" t="s">
        <v>33318</v>
      </c>
    </row>
    <row r="6662" spans="1:20">
      <c r="A6662">
        <v>4624845</v>
      </c>
      <c r="B6662" t="s">
        <v>33319</v>
      </c>
      <c r="C6662" t="str">
        <f>"9782760541825"</f>
        <v>9782760541825</v>
      </c>
      <c r="D6662" t="str">
        <f>"9782760541832"</f>
        <v>9782760541832</v>
      </c>
      <c r="E6662" t="s">
        <v>33169</v>
      </c>
      <c r="F6662" t="s">
        <v>33169</v>
      </c>
      <c r="G6662" s="1">
        <v>42011</v>
      </c>
      <c r="H6662">
        <v>1</v>
      </c>
      <c r="I6662" t="s">
        <v>33320</v>
      </c>
      <c r="J6662" t="s">
        <v>33321</v>
      </c>
      <c r="O6662" t="s">
        <v>94</v>
      </c>
      <c r="P6662">
        <v>20.99</v>
      </c>
      <c r="Q6662">
        <v>26.24</v>
      </c>
      <c r="R6662">
        <v>20.99</v>
      </c>
      <c r="S6662">
        <v>31.49</v>
      </c>
      <c r="T6662" t="s">
        <v>33322</v>
      </c>
    </row>
    <row r="6663" spans="1:20">
      <c r="A6663">
        <v>4624846</v>
      </c>
      <c r="B6663" t="s">
        <v>33323</v>
      </c>
      <c r="C6663" t="str">
        <f>"9782760541856"</f>
        <v>9782760541856</v>
      </c>
      <c r="D6663" t="str">
        <f>"9782760541863"</f>
        <v>9782760541863</v>
      </c>
      <c r="E6663" t="s">
        <v>33169</v>
      </c>
      <c r="F6663" t="s">
        <v>33169</v>
      </c>
      <c r="G6663" s="1">
        <v>42039</v>
      </c>
      <c r="H6663">
        <v>1</v>
      </c>
      <c r="J6663" t="s">
        <v>33324</v>
      </c>
      <c r="K6663" t="s">
        <v>263</v>
      </c>
      <c r="L6663" t="s">
        <v>33325</v>
      </c>
      <c r="M6663">
        <v>362.7</v>
      </c>
      <c r="N6663" t="s">
        <v>33326</v>
      </c>
      <c r="O6663" t="s">
        <v>94</v>
      </c>
      <c r="P6663">
        <v>25.99</v>
      </c>
      <c r="Q6663">
        <v>32.49</v>
      </c>
      <c r="R6663">
        <v>25.99</v>
      </c>
      <c r="S6663">
        <v>38.99</v>
      </c>
      <c r="T6663" t="s">
        <v>33327</v>
      </c>
    </row>
    <row r="6664" spans="1:20">
      <c r="A6664">
        <v>4624847</v>
      </c>
      <c r="B6664" t="s">
        <v>33328</v>
      </c>
      <c r="C6664" t="str">
        <f>"9782760541887"</f>
        <v>9782760541887</v>
      </c>
      <c r="D6664" t="str">
        <f>"9782760541894"</f>
        <v>9782760541894</v>
      </c>
      <c r="E6664" t="s">
        <v>33169</v>
      </c>
      <c r="F6664" t="s">
        <v>33169</v>
      </c>
      <c r="G6664" s="1">
        <v>42039</v>
      </c>
      <c r="H6664">
        <v>1</v>
      </c>
      <c r="I6664" t="s">
        <v>33329</v>
      </c>
      <c r="J6664" t="s">
        <v>33330</v>
      </c>
      <c r="K6664" t="s">
        <v>1471</v>
      </c>
      <c r="L6664" t="s">
        <v>33331</v>
      </c>
      <c r="M6664">
        <v>702.81</v>
      </c>
      <c r="N6664" t="s">
        <v>33332</v>
      </c>
      <c r="O6664" t="s">
        <v>94</v>
      </c>
      <c r="P6664">
        <v>27.99</v>
      </c>
      <c r="Q6664">
        <v>34.99</v>
      </c>
      <c r="R6664">
        <v>27.99</v>
      </c>
      <c r="S6664">
        <v>41.99</v>
      </c>
      <c r="T6664" t="s">
        <v>33333</v>
      </c>
    </row>
    <row r="6665" spans="1:20">
      <c r="A6665">
        <v>4624848</v>
      </c>
      <c r="B6665" t="s">
        <v>33334</v>
      </c>
      <c r="C6665" t="str">
        <f>"9782760541924"</f>
        <v>9782760541924</v>
      </c>
      <c r="D6665" t="str">
        <f>"9782760541931"</f>
        <v>9782760541931</v>
      </c>
      <c r="E6665" t="s">
        <v>33169</v>
      </c>
      <c r="F6665" t="s">
        <v>33169</v>
      </c>
      <c r="G6665" s="1">
        <v>42039</v>
      </c>
      <c r="H6665">
        <v>1</v>
      </c>
      <c r="I6665" t="s">
        <v>33190</v>
      </c>
      <c r="J6665" t="s">
        <v>33335</v>
      </c>
      <c r="K6665" t="s">
        <v>473</v>
      </c>
      <c r="L6665" t="s">
        <v>33336</v>
      </c>
      <c r="M6665">
        <v>354.7140084705</v>
      </c>
      <c r="N6665" t="s">
        <v>33337</v>
      </c>
      <c r="O6665" t="s">
        <v>94</v>
      </c>
      <c r="P6665">
        <v>31.99</v>
      </c>
      <c r="Q6665">
        <v>39.99</v>
      </c>
      <c r="R6665">
        <v>31.99</v>
      </c>
      <c r="S6665">
        <v>47.99</v>
      </c>
      <c r="T6665" t="s">
        <v>33338</v>
      </c>
    </row>
    <row r="6666" spans="1:20">
      <c r="A6666">
        <v>4624849</v>
      </c>
      <c r="B6666" t="s">
        <v>33339</v>
      </c>
      <c r="C6666" t="str">
        <f>"9782760541955"</f>
        <v>9782760541955</v>
      </c>
      <c r="D6666" t="str">
        <f>"9782760541962"</f>
        <v>9782760541962</v>
      </c>
      <c r="E6666" t="s">
        <v>33169</v>
      </c>
      <c r="F6666" t="s">
        <v>33169</v>
      </c>
      <c r="G6666" s="1">
        <v>42039</v>
      </c>
      <c r="H6666">
        <v>1</v>
      </c>
      <c r="J6666" t="s">
        <v>33340</v>
      </c>
      <c r="K6666" t="s">
        <v>1471</v>
      </c>
      <c r="L6666" t="s">
        <v>33341</v>
      </c>
      <c r="M6666">
        <v>792.09714280000003</v>
      </c>
      <c r="N6666" t="s">
        <v>33342</v>
      </c>
      <c r="O6666" t="s">
        <v>94</v>
      </c>
      <c r="P6666">
        <v>28.99</v>
      </c>
      <c r="Q6666">
        <v>36.24</v>
      </c>
      <c r="R6666">
        <v>28.99</v>
      </c>
      <c r="S6666">
        <v>43.49</v>
      </c>
      <c r="T6666" t="s">
        <v>33343</v>
      </c>
    </row>
    <row r="6667" spans="1:20">
      <c r="A6667">
        <v>4624850</v>
      </c>
      <c r="B6667" t="s">
        <v>33344</v>
      </c>
      <c r="C6667" t="str">
        <f>"9782760542037"</f>
        <v>9782760542037</v>
      </c>
      <c r="D6667" t="str">
        <f>"9782760542044"</f>
        <v>9782760542044</v>
      </c>
      <c r="E6667" t="s">
        <v>33169</v>
      </c>
      <c r="F6667" t="s">
        <v>33169</v>
      </c>
      <c r="G6667" s="1">
        <v>42039</v>
      </c>
      <c r="H6667">
        <v>1</v>
      </c>
      <c r="J6667" t="s">
        <v>33345</v>
      </c>
      <c r="K6667" t="s">
        <v>278</v>
      </c>
      <c r="L6667" t="s">
        <v>33346</v>
      </c>
      <c r="M6667">
        <v>331.4</v>
      </c>
      <c r="N6667" t="s">
        <v>33347</v>
      </c>
      <c r="O6667" t="s">
        <v>94</v>
      </c>
      <c r="P6667">
        <v>16.989999999999998</v>
      </c>
      <c r="Q6667">
        <v>21.24</v>
      </c>
      <c r="R6667">
        <v>16.989999999999998</v>
      </c>
      <c r="S6667">
        <v>25.49</v>
      </c>
      <c r="T6667" t="s">
        <v>33348</v>
      </c>
    </row>
    <row r="6668" spans="1:20">
      <c r="A6668">
        <v>4624851</v>
      </c>
      <c r="B6668" t="s">
        <v>33349</v>
      </c>
      <c r="C6668" t="str">
        <f>"9782760542174"</f>
        <v>9782760542174</v>
      </c>
      <c r="D6668" t="str">
        <f>"9782760542181"</f>
        <v>9782760542181</v>
      </c>
      <c r="E6668" t="s">
        <v>33169</v>
      </c>
      <c r="F6668" t="s">
        <v>33169</v>
      </c>
      <c r="G6668" s="1">
        <v>42067</v>
      </c>
      <c r="H6668">
        <v>1</v>
      </c>
      <c r="I6668" t="s">
        <v>33244</v>
      </c>
      <c r="J6668" t="s">
        <v>33350</v>
      </c>
      <c r="K6668" t="s">
        <v>257</v>
      </c>
      <c r="L6668" t="s">
        <v>33351</v>
      </c>
      <c r="M6668">
        <v>370.97140000000002</v>
      </c>
      <c r="N6668" t="s">
        <v>33352</v>
      </c>
      <c r="O6668" t="s">
        <v>94</v>
      </c>
      <c r="P6668">
        <v>24.99</v>
      </c>
      <c r="Q6668">
        <v>31.24</v>
      </c>
      <c r="R6668">
        <v>24.99</v>
      </c>
      <c r="S6668">
        <v>37.49</v>
      </c>
      <c r="T6668" t="s">
        <v>33353</v>
      </c>
    </row>
    <row r="6669" spans="1:20">
      <c r="A6669">
        <v>4624852</v>
      </c>
      <c r="B6669" t="s">
        <v>33354</v>
      </c>
      <c r="C6669" t="str">
        <f>"9782760542204"</f>
        <v>9782760542204</v>
      </c>
      <c r="D6669" t="str">
        <f>"9782760542211"</f>
        <v>9782760542211</v>
      </c>
      <c r="E6669" t="s">
        <v>33169</v>
      </c>
      <c r="F6669" t="s">
        <v>33169</v>
      </c>
      <c r="G6669" s="1">
        <v>42067</v>
      </c>
      <c r="H6669">
        <v>1</v>
      </c>
      <c r="I6669" t="s">
        <v>33190</v>
      </c>
      <c r="J6669" t="s">
        <v>33355</v>
      </c>
      <c r="K6669" t="s">
        <v>263</v>
      </c>
      <c r="L6669" t="s">
        <v>33356</v>
      </c>
      <c r="M6669">
        <v>306.87430000000001</v>
      </c>
      <c r="N6669" t="s">
        <v>33357</v>
      </c>
      <c r="O6669" t="s">
        <v>94</v>
      </c>
      <c r="P6669">
        <v>24.99</v>
      </c>
      <c r="Q6669">
        <v>31.24</v>
      </c>
      <c r="R6669">
        <v>24.99</v>
      </c>
      <c r="S6669">
        <v>37.49</v>
      </c>
      <c r="T6669" t="s">
        <v>33358</v>
      </c>
    </row>
    <row r="6670" spans="1:20">
      <c r="A6670">
        <v>4624853</v>
      </c>
      <c r="B6670" t="s">
        <v>33359</v>
      </c>
      <c r="C6670" t="str">
        <f>"9782760542266"</f>
        <v>9782760542266</v>
      </c>
      <c r="D6670" t="str">
        <f>"9782760542273"</f>
        <v>9782760542273</v>
      </c>
      <c r="E6670" t="s">
        <v>33169</v>
      </c>
      <c r="F6670" t="s">
        <v>33169</v>
      </c>
      <c r="G6670" s="1">
        <v>42095</v>
      </c>
      <c r="H6670">
        <v>1</v>
      </c>
      <c r="J6670" t="s">
        <v>33360</v>
      </c>
      <c r="K6670" t="s">
        <v>257</v>
      </c>
      <c r="L6670" t="s">
        <v>33361</v>
      </c>
      <c r="M6670">
        <v>371.10230000000001</v>
      </c>
      <c r="N6670" t="s">
        <v>33362</v>
      </c>
      <c r="O6670" t="s">
        <v>94</v>
      </c>
      <c r="P6670">
        <v>22.99</v>
      </c>
      <c r="Q6670">
        <v>28.74</v>
      </c>
      <c r="R6670">
        <v>22.99</v>
      </c>
      <c r="S6670">
        <v>34.49</v>
      </c>
      <c r="T6670" t="s">
        <v>33363</v>
      </c>
    </row>
    <row r="6671" spans="1:20">
      <c r="A6671">
        <v>4624854</v>
      </c>
      <c r="B6671" t="s">
        <v>33364</v>
      </c>
      <c r="C6671" t="str">
        <f>"9782760542327"</f>
        <v>9782760542327</v>
      </c>
      <c r="D6671" t="str">
        <f>"9782760542334"</f>
        <v>9782760542334</v>
      </c>
      <c r="E6671" t="s">
        <v>33169</v>
      </c>
      <c r="F6671" t="s">
        <v>33169</v>
      </c>
      <c r="G6671" s="1">
        <v>42095</v>
      </c>
      <c r="H6671">
        <v>1</v>
      </c>
      <c r="I6671" t="s">
        <v>33238</v>
      </c>
      <c r="J6671" t="s">
        <v>33365</v>
      </c>
      <c r="K6671" t="s">
        <v>33366</v>
      </c>
      <c r="L6671" t="s">
        <v>33367</v>
      </c>
      <c r="M6671">
        <v>174.937199999999</v>
      </c>
      <c r="N6671" t="s">
        <v>33368</v>
      </c>
      <c r="O6671" t="s">
        <v>94</v>
      </c>
      <c r="P6671">
        <v>20.99</v>
      </c>
      <c r="Q6671">
        <v>26.24</v>
      </c>
      <c r="R6671">
        <v>20.99</v>
      </c>
      <c r="S6671">
        <v>31.49</v>
      </c>
      <c r="T6671" t="s">
        <v>33369</v>
      </c>
    </row>
    <row r="6672" spans="1:20">
      <c r="A6672">
        <v>4624855</v>
      </c>
      <c r="B6672" t="s">
        <v>33370</v>
      </c>
      <c r="C6672" t="str">
        <f>"9782760542358"</f>
        <v>9782760542358</v>
      </c>
      <c r="D6672" t="str">
        <f>"9782760542365"</f>
        <v>9782760542365</v>
      </c>
      <c r="E6672" t="s">
        <v>33169</v>
      </c>
      <c r="F6672" t="s">
        <v>33169</v>
      </c>
      <c r="G6672" s="1">
        <v>42123</v>
      </c>
      <c r="H6672">
        <v>1</v>
      </c>
      <c r="J6672" t="s">
        <v>33371</v>
      </c>
      <c r="K6672" t="s">
        <v>1464</v>
      </c>
      <c r="L6672" t="s">
        <v>33372</v>
      </c>
      <c r="M6672">
        <v>809.93353000000002</v>
      </c>
      <c r="N6672" t="s">
        <v>33373</v>
      </c>
      <c r="O6672" t="s">
        <v>94</v>
      </c>
      <c r="P6672">
        <v>16.989999999999998</v>
      </c>
      <c r="Q6672">
        <v>21.24</v>
      </c>
      <c r="R6672">
        <v>16.989999999999998</v>
      </c>
      <c r="S6672">
        <v>25.49</v>
      </c>
      <c r="T6672" t="s">
        <v>33374</v>
      </c>
    </row>
    <row r="6673" spans="1:20">
      <c r="A6673">
        <v>4624856</v>
      </c>
      <c r="B6673" t="s">
        <v>33375</v>
      </c>
      <c r="C6673" t="str">
        <f>"9782760542426"</f>
        <v>9782760542426</v>
      </c>
      <c r="D6673" t="str">
        <f>"9782760542433"</f>
        <v>9782760542433</v>
      </c>
      <c r="E6673" t="s">
        <v>33376</v>
      </c>
      <c r="F6673" t="s">
        <v>33376</v>
      </c>
      <c r="G6673" s="1">
        <v>42130</v>
      </c>
      <c r="H6673">
        <v>1</v>
      </c>
      <c r="I6673" t="s">
        <v>33287</v>
      </c>
      <c r="J6673" t="s">
        <v>25062</v>
      </c>
      <c r="K6673" t="s">
        <v>33377</v>
      </c>
      <c r="L6673" t="s">
        <v>33378</v>
      </c>
      <c r="M6673">
        <v>711.58094310000001</v>
      </c>
      <c r="N6673" t="s">
        <v>33379</v>
      </c>
      <c r="O6673" t="s">
        <v>94</v>
      </c>
      <c r="P6673">
        <v>33.99</v>
      </c>
      <c r="Q6673">
        <v>42.49</v>
      </c>
      <c r="R6673">
        <v>33.99</v>
      </c>
      <c r="S6673">
        <v>50.99</v>
      </c>
      <c r="T6673" t="s">
        <v>33380</v>
      </c>
    </row>
    <row r="6674" spans="1:20">
      <c r="A6674">
        <v>4624857</v>
      </c>
      <c r="B6674" t="s">
        <v>33381</v>
      </c>
      <c r="C6674" t="str">
        <f>"9782760542457"</f>
        <v>9782760542457</v>
      </c>
      <c r="D6674" t="str">
        <f>"9782760542464"</f>
        <v>9782760542464</v>
      </c>
      <c r="E6674" t="s">
        <v>33169</v>
      </c>
      <c r="F6674" t="s">
        <v>33169</v>
      </c>
      <c r="G6674" s="1">
        <v>42130</v>
      </c>
      <c r="H6674">
        <v>1</v>
      </c>
      <c r="J6674" t="s">
        <v>33382</v>
      </c>
      <c r="K6674" t="s">
        <v>467</v>
      </c>
      <c r="L6674" t="s">
        <v>33383</v>
      </c>
      <c r="M6674">
        <v>350</v>
      </c>
      <c r="N6674" t="s">
        <v>33384</v>
      </c>
      <c r="O6674" t="s">
        <v>94</v>
      </c>
      <c r="P6674">
        <v>44.99</v>
      </c>
      <c r="Q6674">
        <v>56.24</v>
      </c>
      <c r="R6674">
        <v>44.99</v>
      </c>
      <c r="S6674">
        <v>67.489999999999995</v>
      </c>
      <c r="T6674" t="s">
        <v>33385</v>
      </c>
    </row>
    <row r="6675" spans="1:20">
      <c r="A6675">
        <v>4624858</v>
      </c>
      <c r="B6675" t="s">
        <v>33386</v>
      </c>
      <c r="C6675" t="str">
        <f>"9782760542488"</f>
        <v>9782760542488</v>
      </c>
      <c r="D6675" t="str">
        <f>"9782760542495"</f>
        <v>9782760542495</v>
      </c>
      <c r="E6675" t="s">
        <v>33169</v>
      </c>
      <c r="F6675" t="s">
        <v>33169</v>
      </c>
      <c r="G6675" s="1">
        <v>42102</v>
      </c>
      <c r="H6675">
        <v>1</v>
      </c>
      <c r="I6675" t="s">
        <v>33287</v>
      </c>
      <c r="J6675" t="s">
        <v>33387</v>
      </c>
      <c r="K6675" t="s">
        <v>291</v>
      </c>
      <c r="L6675" t="s">
        <v>33388</v>
      </c>
      <c r="M6675">
        <v>971.00492399999905</v>
      </c>
      <c r="N6675" t="s">
        <v>33389</v>
      </c>
      <c r="O6675" t="s">
        <v>94</v>
      </c>
      <c r="P6675">
        <v>33.99</v>
      </c>
      <c r="Q6675">
        <v>42.49</v>
      </c>
      <c r="R6675">
        <v>33.99</v>
      </c>
      <c r="S6675">
        <v>50.99</v>
      </c>
      <c r="T6675" t="s">
        <v>33390</v>
      </c>
    </row>
    <row r="6676" spans="1:20">
      <c r="A6676">
        <v>4624859</v>
      </c>
      <c r="B6676" t="s">
        <v>33391</v>
      </c>
      <c r="C6676" t="str">
        <f>"9782760542501"</f>
        <v>9782760542501</v>
      </c>
      <c r="D6676" t="str">
        <f>"9782760542518"</f>
        <v>9782760542518</v>
      </c>
      <c r="E6676" t="s">
        <v>33169</v>
      </c>
      <c r="F6676" t="s">
        <v>33169</v>
      </c>
      <c r="G6676" s="1">
        <v>42123</v>
      </c>
      <c r="H6676">
        <v>1</v>
      </c>
      <c r="I6676" t="s">
        <v>33392</v>
      </c>
      <c r="J6676" t="s">
        <v>33393</v>
      </c>
      <c r="K6676" t="s">
        <v>3230</v>
      </c>
      <c r="L6676" t="s">
        <v>33394</v>
      </c>
      <c r="M6676">
        <v>910.01</v>
      </c>
      <c r="N6676" t="s">
        <v>33395</v>
      </c>
      <c r="O6676" t="s">
        <v>94</v>
      </c>
      <c r="P6676">
        <v>28.99</v>
      </c>
      <c r="Q6676">
        <v>36.24</v>
      </c>
      <c r="R6676">
        <v>28.99</v>
      </c>
      <c r="S6676">
        <v>43.49</v>
      </c>
      <c r="T6676" t="s">
        <v>33396</v>
      </c>
    </row>
    <row r="6677" spans="1:20">
      <c r="A6677">
        <v>4624860</v>
      </c>
      <c r="B6677" t="s">
        <v>33397</v>
      </c>
      <c r="C6677" t="str">
        <f>"9782760542532"</f>
        <v>9782760542532</v>
      </c>
      <c r="D6677" t="str">
        <f>"9782760542549"</f>
        <v>9782760542549</v>
      </c>
      <c r="E6677" t="s">
        <v>33169</v>
      </c>
      <c r="F6677" t="s">
        <v>33169</v>
      </c>
      <c r="G6677" s="1">
        <v>42130</v>
      </c>
      <c r="H6677">
        <v>1</v>
      </c>
      <c r="J6677" t="s">
        <v>33398</v>
      </c>
      <c r="K6677" t="s">
        <v>263</v>
      </c>
      <c r="L6677" t="s">
        <v>33399</v>
      </c>
      <c r="M6677">
        <v>362.7</v>
      </c>
      <c r="N6677" t="s">
        <v>33400</v>
      </c>
      <c r="O6677" t="s">
        <v>94</v>
      </c>
      <c r="P6677">
        <v>33.99</v>
      </c>
      <c r="Q6677">
        <v>42.49</v>
      </c>
      <c r="R6677">
        <v>33.99</v>
      </c>
      <c r="S6677">
        <v>50.99</v>
      </c>
      <c r="T6677" t="s">
        <v>33401</v>
      </c>
    </row>
    <row r="6678" spans="1:20">
      <c r="A6678">
        <v>4624861</v>
      </c>
      <c r="B6678" t="s">
        <v>33402</v>
      </c>
      <c r="C6678" t="str">
        <f>"9782760542563"</f>
        <v>9782760542563</v>
      </c>
      <c r="D6678" t="str">
        <f>"9782760542570"</f>
        <v>9782760542570</v>
      </c>
      <c r="E6678" t="s">
        <v>33169</v>
      </c>
      <c r="F6678" t="s">
        <v>33169</v>
      </c>
      <c r="G6678" s="1">
        <v>42123</v>
      </c>
      <c r="H6678">
        <v>1</v>
      </c>
      <c r="J6678" t="s">
        <v>33403</v>
      </c>
      <c r="K6678" t="s">
        <v>263</v>
      </c>
      <c r="L6678" t="s">
        <v>33404</v>
      </c>
      <c r="M6678">
        <v>306.08999999999901</v>
      </c>
      <c r="N6678" t="s">
        <v>33405</v>
      </c>
      <c r="O6678" t="s">
        <v>94</v>
      </c>
      <c r="P6678">
        <v>38.99</v>
      </c>
      <c r="Q6678">
        <v>48.74</v>
      </c>
      <c r="R6678">
        <v>38.99</v>
      </c>
      <c r="S6678">
        <v>58.49</v>
      </c>
      <c r="T6678" t="s">
        <v>33406</v>
      </c>
    </row>
    <row r="6679" spans="1:20">
      <c r="A6679">
        <v>4624862</v>
      </c>
      <c r="B6679" t="s">
        <v>33407</v>
      </c>
      <c r="C6679" t="str">
        <f>"9782760542624"</f>
        <v>9782760542624</v>
      </c>
      <c r="D6679" t="str">
        <f>"9782760542631"</f>
        <v>9782760542631</v>
      </c>
      <c r="E6679" t="s">
        <v>33169</v>
      </c>
      <c r="F6679" t="s">
        <v>33169</v>
      </c>
      <c r="G6679" s="1">
        <v>42095</v>
      </c>
      <c r="H6679">
        <v>1</v>
      </c>
      <c r="I6679" t="s">
        <v>33408</v>
      </c>
      <c r="J6679" t="s">
        <v>33409</v>
      </c>
      <c r="K6679" t="s">
        <v>257</v>
      </c>
      <c r="L6679" t="s">
        <v>33410</v>
      </c>
      <c r="M6679">
        <v>379.15499999999901</v>
      </c>
      <c r="N6679" t="s">
        <v>33411</v>
      </c>
      <c r="O6679" t="s">
        <v>94</v>
      </c>
      <c r="P6679">
        <v>27.99</v>
      </c>
      <c r="Q6679">
        <v>34.99</v>
      </c>
      <c r="R6679">
        <v>27.99</v>
      </c>
      <c r="S6679">
        <v>41.99</v>
      </c>
      <c r="T6679" t="s">
        <v>33412</v>
      </c>
    </row>
    <row r="6680" spans="1:20">
      <c r="A6680">
        <v>4624863</v>
      </c>
      <c r="B6680" t="s">
        <v>33413</v>
      </c>
      <c r="C6680" t="str">
        <f>"9782760542655"</f>
        <v>9782760542655</v>
      </c>
      <c r="D6680" t="str">
        <f>"9782760542662"</f>
        <v>9782760542662</v>
      </c>
      <c r="E6680" t="s">
        <v>33169</v>
      </c>
      <c r="F6680" t="s">
        <v>33169</v>
      </c>
      <c r="G6680" s="1">
        <v>42137</v>
      </c>
      <c r="H6680">
        <v>1</v>
      </c>
      <c r="J6680" t="s">
        <v>33256</v>
      </c>
      <c r="K6680" t="s">
        <v>1464</v>
      </c>
      <c r="L6680" t="s">
        <v>33414</v>
      </c>
      <c r="M6680">
        <v>809.93320000000006</v>
      </c>
      <c r="N6680" t="s">
        <v>33415</v>
      </c>
      <c r="O6680" t="s">
        <v>94</v>
      </c>
      <c r="P6680">
        <v>28.99</v>
      </c>
      <c r="Q6680">
        <v>36.24</v>
      </c>
      <c r="R6680">
        <v>28.99</v>
      </c>
      <c r="S6680">
        <v>43.49</v>
      </c>
      <c r="T6680" t="s">
        <v>33416</v>
      </c>
    </row>
    <row r="6681" spans="1:20">
      <c r="A6681">
        <v>4624864</v>
      </c>
      <c r="B6681" t="s">
        <v>33417</v>
      </c>
      <c r="C6681" t="str">
        <f>"9782760542716"</f>
        <v>9782760542716</v>
      </c>
      <c r="D6681" t="str">
        <f>"9782760542723"</f>
        <v>9782760542723</v>
      </c>
      <c r="E6681" t="s">
        <v>33169</v>
      </c>
      <c r="F6681" t="s">
        <v>33169</v>
      </c>
      <c r="G6681" s="1">
        <v>42123</v>
      </c>
      <c r="H6681">
        <v>1</v>
      </c>
      <c r="J6681" t="s">
        <v>33418</v>
      </c>
      <c r="K6681" t="s">
        <v>263</v>
      </c>
      <c r="L6681" t="s">
        <v>33419</v>
      </c>
      <c r="M6681">
        <v>362.7</v>
      </c>
      <c r="N6681" t="s">
        <v>33400</v>
      </c>
      <c r="O6681" t="s">
        <v>94</v>
      </c>
      <c r="P6681">
        <v>24.99</v>
      </c>
      <c r="Q6681">
        <v>31.24</v>
      </c>
      <c r="R6681">
        <v>24.99</v>
      </c>
      <c r="S6681">
        <v>37.49</v>
      </c>
      <c r="T6681" t="s">
        <v>33420</v>
      </c>
    </row>
    <row r="6682" spans="1:20">
      <c r="A6682">
        <v>4624865</v>
      </c>
      <c r="B6682" t="s">
        <v>33421</v>
      </c>
      <c r="C6682" t="str">
        <f>"9782760542860"</f>
        <v>9782760542860</v>
      </c>
      <c r="D6682" t="str">
        <f>"9782760542877"</f>
        <v>9782760542877</v>
      </c>
      <c r="E6682" t="s">
        <v>33169</v>
      </c>
      <c r="F6682" t="s">
        <v>33169</v>
      </c>
      <c r="G6682" s="1">
        <v>42242</v>
      </c>
      <c r="H6682">
        <v>1</v>
      </c>
      <c r="I6682" t="s">
        <v>33422</v>
      </c>
      <c r="J6682" t="s">
        <v>33423</v>
      </c>
      <c r="K6682" t="s">
        <v>1550</v>
      </c>
      <c r="L6682" t="s">
        <v>33424</v>
      </c>
      <c r="M6682">
        <v>305.89510000000001</v>
      </c>
      <c r="N6682" t="s">
        <v>33425</v>
      </c>
      <c r="O6682" t="s">
        <v>94</v>
      </c>
      <c r="P6682">
        <v>28.99</v>
      </c>
      <c r="Q6682">
        <v>36.24</v>
      </c>
      <c r="R6682">
        <v>28.99</v>
      </c>
      <c r="S6682">
        <v>43.49</v>
      </c>
      <c r="T6682" t="s">
        <v>33426</v>
      </c>
    </row>
    <row r="6683" spans="1:20">
      <c r="A6683">
        <v>4624866</v>
      </c>
      <c r="B6683" t="s">
        <v>33427</v>
      </c>
      <c r="C6683" t="str">
        <f>"9782760542891"</f>
        <v>9782760542891</v>
      </c>
      <c r="D6683" t="str">
        <f>"9782760542907"</f>
        <v>9782760542907</v>
      </c>
      <c r="E6683" t="s">
        <v>33169</v>
      </c>
      <c r="F6683" t="s">
        <v>33169</v>
      </c>
      <c r="G6683" s="1">
        <v>42242</v>
      </c>
      <c r="H6683">
        <v>1</v>
      </c>
      <c r="I6683" t="s">
        <v>33428</v>
      </c>
      <c r="J6683" t="s">
        <v>33429</v>
      </c>
      <c r="K6683" t="s">
        <v>33430</v>
      </c>
      <c r="L6683" t="s">
        <v>33431</v>
      </c>
      <c r="M6683">
        <v>5.36899999999999</v>
      </c>
      <c r="N6683" t="s">
        <v>33432</v>
      </c>
      <c r="O6683" t="s">
        <v>94</v>
      </c>
      <c r="P6683">
        <v>19.989999999999998</v>
      </c>
      <c r="Q6683">
        <v>24.99</v>
      </c>
      <c r="R6683">
        <v>19.989999999999998</v>
      </c>
      <c r="S6683">
        <v>29.99</v>
      </c>
      <c r="T6683" t="s">
        <v>33433</v>
      </c>
    </row>
    <row r="6684" spans="1:20">
      <c r="A6684">
        <v>4624867</v>
      </c>
      <c r="B6684" t="s">
        <v>33434</v>
      </c>
      <c r="C6684" t="str">
        <f>"9782760542952"</f>
        <v>9782760542952</v>
      </c>
      <c r="D6684" t="str">
        <f>"9782760542969"</f>
        <v>9782760542969</v>
      </c>
      <c r="E6684" t="s">
        <v>33169</v>
      </c>
      <c r="F6684" t="s">
        <v>33169</v>
      </c>
      <c r="G6684" s="1">
        <v>42242</v>
      </c>
      <c r="H6684">
        <v>1</v>
      </c>
      <c r="J6684" t="s">
        <v>33435</v>
      </c>
      <c r="K6684" t="s">
        <v>305</v>
      </c>
      <c r="L6684" t="s">
        <v>33436</v>
      </c>
      <c r="M6684">
        <v>658.404</v>
      </c>
      <c r="N6684" t="s">
        <v>33437</v>
      </c>
      <c r="O6684" t="s">
        <v>94</v>
      </c>
      <c r="P6684">
        <v>24.99</v>
      </c>
      <c r="Q6684">
        <v>31.24</v>
      </c>
      <c r="R6684">
        <v>24.99</v>
      </c>
      <c r="S6684">
        <v>37.49</v>
      </c>
      <c r="T6684" t="s">
        <v>33438</v>
      </c>
    </row>
    <row r="6685" spans="1:20">
      <c r="A6685">
        <v>4624868</v>
      </c>
      <c r="B6685" t="s">
        <v>33439</v>
      </c>
      <c r="C6685" t="str">
        <f>"9782760543010"</f>
        <v>9782760543010</v>
      </c>
      <c r="D6685" t="str">
        <f>"9782760543027"</f>
        <v>9782760543027</v>
      </c>
      <c r="E6685" t="s">
        <v>33169</v>
      </c>
      <c r="F6685" t="s">
        <v>33169</v>
      </c>
      <c r="G6685" s="1">
        <v>42242</v>
      </c>
      <c r="H6685">
        <v>1</v>
      </c>
      <c r="J6685" t="s">
        <v>33440</v>
      </c>
      <c r="K6685" t="s">
        <v>305</v>
      </c>
      <c r="L6685" t="s">
        <v>33441</v>
      </c>
      <c r="M6685">
        <v>382.91699999999901</v>
      </c>
      <c r="N6685" t="s">
        <v>33442</v>
      </c>
      <c r="O6685" t="s">
        <v>94</v>
      </c>
      <c r="P6685">
        <v>32.99</v>
      </c>
      <c r="Q6685">
        <v>41.24</v>
      </c>
      <c r="R6685">
        <v>32.99</v>
      </c>
      <c r="S6685">
        <v>49.49</v>
      </c>
      <c r="T6685" t="s">
        <v>33443</v>
      </c>
    </row>
    <row r="6686" spans="1:20">
      <c r="A6686">
        <v>4624869</v>
      </c>
      <c r="B6686" t="s">
        <v>33444</v>
      </c>
      <c r="C6686" t="str">
        <f>""</f>
        <v/>
      </c>
      <c r="D6686" t="str">
        <f>"9782760543041"</f>
        <v>9782760543041</v>
      </c>
      <c r="E6686" t="s">
        <v>33169</v>
      </c>
      <c r="F6686" t="s">
        <v>33169</v>
      </c>
      <c r="G6686" s="1">
        <v>42298</v>
      </c>
      <c r="H6686">
        <v>1</v>
      </c>
      <c r="I6686" t="s">
        <v>33445</v>
      </c>
      <c r="J6686" t="s">
        <v>33446</v>
      </c>
      <c r="K6686" t="s">
        <v>899</v>
      </c>
      <c r="L6686" t="s">
        <v>33447</v>
      </c>
      <c r="M6686">
        <v>304.820966</v>
      </c>
      <c r="N6686" t="s">
        <v>33448</v>
      </c>
      <c r="O6686" t="s">
        <v>94</v>
      </c>
      <c r="P6686">
        <v>46.99</v>
      </c>
      <c r="Q6686">
        <v>58.74</v>
      </c>
      <c r="R6686">
        <v>46.99</v>
      </c>
      <c r="S6686">
        <v>70.489999999999995</v>
      </c>
      <c r="T6686" t="s">
        <v>33449</v>
      </c>
    </row>
    <row r="6687" spans="1:20">
      <c r="A6687">
        <v>4624870</v>
      </c>
      <c r="B6687" t="s">
        <v>33450</v>
      </c>
      <c r="C6687" t="str">
        <f>"9782760543096"</f>
        <v>9782760543096</v>
      </c>
      <c r="D6687" t="str">
        <f>"9782760543102"</f>
        <v>9782760543102</v>
      </c>
      <c r="E6687" t="s">
        <v>33169</v>
      </c>
      <c r="F6687" t="s">
        <v>33169</v>
      </c>
      <c r="G6687" s="1">
        <v>42242</v>
      </c>
      <c r="H6687">
        <v>1</v>
      </c>
      <c r="J6687" t="s">
        <v>33409</v>
      </c>
      <c r="K6687" t="s">
        <v>305</v>
      </c>
      <c r="L6687" t="s">
        <v>33451</v>
      </c>
      <c r="M6687">
        <v>658.31240000000003</v>
      </c>
      <c r="N6687" t="s">
        <v>33452</v>
      </c>
      <c r="O6687" t="s">
        <v>94</v>
      </c>
      <c r="P6687">
        <v>24.99</v>
      </c>
      <c r="Q6687">
        <v>31.24</v>
      </c>
      <c r="R6687">
        <v>24.99</v>
      </c>
      <c r="S6687">
        <v>37.49</v>
      </c>
      <c r="T6687" t="s">
        <v>33453</v>
      </c>
    </row>
    <row r="6688" spans="1:20">
      <c r="A6688">
        <v>4624871</v>
      </c>
      <c r="B6688" t="s">
        <v>33454</v>
      </c>
      <c r="C6688" t="str">
        <f>"9782760543218"</f>
        <v>9782760543218</v>
      </c>
      <c r="D6688" t="str">
        <f>"9782760543225"</f>
        <v>9782760543225</v>
      </c>
      <c r="E6688" t="s">
        <v>33169</v>
      </c>
      <c r="F6688" t="s">
        <v>33169</v>
      </c>
      <c r="G6688" s="1">
        <v>42242</v>
      </c>
      <c r="H6688">
        <v>1</v>
      </c>
      <c r="I6688" t="s">
        <v>33238</v>
      </c>
      <c r="J6688" t="s">
        <v>33455</v>
      </c>
      <c r="K6688" t="s">
        <v>257</v>
      </c>
      <c r="L6688" t="s">
        <v>33456</v>
      </c>
      <c r="M6688">
        <v>371.21983</v>
      </c>
      <c r="N6688" t="s">
        <v>33457</v>
      </c>
      <c r="O6688" t="s">
        <v>94</v>
      </c>
      <c r="P6688">
        <v>24.99</v>
      </c>
      <c r="Q6688">
        <v>31.24</v>
      </c>
      <c r="R6688">
        <v>24.99</v>
      </c>
      <c r="S6688">
        <v>37.49</v>
      </c>
      <c r="T6688" t="s">
        <v>33458</v>
      </c>
    </row>
    <row r="6689" spans="1:20">
      <c r="A6689">
        <v>4624872</v>
      </c>
      <c r="B6689" t="s">
        <v>33459</v>
      </c>
      <c r="C6689" t="str">
        <f>"9782760543249"</f>
        <v>9782760543249</v>
      </c>
      <c r="D6689" t="str">
        <f>"9782760543256"</f>
        <v>9782760543256</v>
      </c>
      <c r="E6689" t="s">
        <v>33169</v>
      </c>
      <c r="F6689" t="s">
        <v>33169</v>
      </c>
      <c r="G6689" s="1">
        <v>42242</v>
      </c>
      <c r="H6689">
        <v>1</v>
      </c>
      <c r="I6689" t="s">
        <v>33212</v>
      </c>
      <c r="J6689" t="s">
        <v>33460</v>
      </c>
      <c r="K6689" t="s">
        <v>376</v>
      </c>
      <c r="L6689" t="s">
        <v>33461</v>
      </c>
      <c r="M6689">
        <v>362.19697919999902</v>
      </c>
      <c r="N6689" t="s">
        <v>33462</v>
      </c>
      <c r="O6689" t="s">
        <v>94</v>
      </c>
      <c r="P6689">
        <v>38.99</v>
      </c>
      <c r="Q6689">
        <v>48.74</v>
      </c>
      <c r="R6689">
        <v>38.99</v>
      </c>
      <c r="S6689">
        <v>58.49</v>
      </c>
      <c r="T6689" t="s">
        <v>33463</v>
      </c>
    </row>
    <row r="6690" spans="1:20">
      <c r="A6690">
        <v>4624873</v>
      </c>
      <c r="B6690" t="s">
        <v>33464</v>
      </c>
      <c r="C6690" t="str">
        <f>"9782760543287"</f>
        <v>9782760543287</v>
      </c>
      <c r="D6690" t="str">
        <f>"9782760543294"</f>
        <v>9782760543294</v>
      </c>
      <c r="E6690" t="s">
        <v>33169</v>
      </c>
      <c r="F6690" t="s">
        <v>33169</v>
      </c>
      <c r="G6690" s="1">
        <v>42298</v>
      </c>
      <c r="H6690">
        <v>1</v>
      </c>
      <c r="I6690" t="s">
        <v>33422</v>
      </c>
      <c r="J6690" t="s">
        <v>33465</v>
      </c>
      <c r="K6690" t="s">
        <v>278</v>
      </c>
      <c r="L6690" t="s">
        <v>33466</v>
      </c>
      <c r="M6690">
        <v>331.76690094999901</v>
      </c>
      <c r="N6690" t="s">
        <v>33467</v>
      </c>
      <c r="O6690" t="s">
        <v>94</v>
      </c>
      <c r="P6690">
        <v>24.99</v>
      </c>
      <c r="Q6690">
        <v>31.24</v>
      </c>
      <c r="R6690">
        <v>24.99</v>
      </c>
      <c r="S6690">
        <v>37.49</v>
      </c>
      <c r="T6690" t="s">
        <v>33468</v>
      </c>
    </row>
    <row r="6691" spans="1:20">
      <c r="A6691">
        <v>4624874</v>
      </c>
      <c r="B6691" t="s">
        <v>33469</v>
      </c>
      <c r="C6691" t="str">
        <f>"9782760543317"</f>
        <v>9782760543317</v>
      </c>
      <c r="D6691" t="str">
        <f>"9782760543324"</f>
        <v>9782760543324</v>
      </c>
      <c r="E6691" t="s">
        <v>33169</v>
      </c>
      <c r="F6691" t="s">
        <v>33169</v>
      </c>
      <c r="G6691" s="1">
        <v>42242</v>
      </c>
      <c r="H6691">
        <v>1</v>
      </c>
      <c r="J6691" t="s">
        <v>33470</v>
      </c>
      <c r="K6691" t="s">
        <v>376</v>
      </c>
      <c r="L6691" t="s">
        <v>33471</v>
      </c>
      <c r="M6691">
        <v>362.1</v>
      </c>
      <c r="N6691" t="s">
        <v>33472</v>
      </c>
      <c r="O6691" t="s">
        <v>94</v>
      </c>
      <c r="P6691">
        <v>27.99</v>
      </c>
      <c r="Q6691">
        <v>34.99</v>
      </c>
      <c r="R6691">
        <v>27.99</v>
      </c>
      <c r="S6691">
        <v>41.99</v>
      </c>
      <c r="T6691" t="s">
        <v>33473</v>
      </c>
    </row>
    <row r="6692" spans="1:20">
      <c r="A6692">
        <v>4624875</v>
      </c>
      <c r="B6692" t="s">
        <v>33474</v>
      </c>
      <c r="C6692" t="str">
        <f>"9782760543379"</f>
        <v>9782760543379</v>
      </c>
      <c r="D6692" t="str">
        <f>"9782760543386"</f>
        <v>9782760543386</v>
      </c>
      <c r="E6692" t="s">
        <v>33169</v>
      </c>
      <c r="F6692" t="s">
        <v>33169</v>
      </c>
      <c r="G6692" s="1">
        <v>42270</v>
      </c>
      <c r="H6692">
        <v>1</v>
      </c>
      <c r="I6692" t="s">
        <v>33475</v>
      </c>
      <c r="J6692" t="s">
        <v>33476</v>
      </c>
      <c r="K6692" t="s">
        <v>33477</v>
      </c>
      <c r="L6692" t="s">
        <v>33478</v>
      </c>
      <c r="M6692">
        <v>27</v>
      </c>
      <c r="N6692" t="s">
        <v>33479</v>
      </c>
      <c r="O6692" t="s">
        <v>94</v>
      </c>
      <c r="P6692">
        <v>36.99</v>
      </c>
      <c r="Q6692">
        <v>46.24</v>
      </c>
      <c r="R6692">
        <v>36.99</v>
      </c>
      <c r="S6692">
        <v>55.49</v>
      </c>
      <c r="T6692" t="s">
        <v>33480</v>
      </c>
    </row>
    <row r="6693" spans="1:20">
      <c r="A6693">
        <v>4624876</v>
      </c>
      <c r="B6693" t="s">
        <v>33481</v>
      </c>
      <c r="C6693" t="str">
        <f>"9782760543409"</f>
        <v>9782760543409</v>
      </c>
      <c r="D6693" t="str">
        <f>"9782760543416"</f>
        <v>9782760543416</v>
      </c>
      <c r="E6693" t="s">
        <v>33169</v>
      </c>
      <c r="F6693" t="s">
        <v>33169</v>
      </c>
      <c r="G6693" s="1">
        <v>42326</v>
      </c>
      <c r="H6693">
        <v>1</v>
      </c>
      <c r="I6693" t="s">
        <v>33190</v>
      </c>
      <c r="J6693" t="s">
        <v>33482</v>
      </c>
      <c r="K6693" t="s">
        <v>263</v>
      </c>
      <c r="L6693" t="s">
        <v>33483</v>
      </c>
      <c r="M6693">
        <v>305.26</v>
      </c>
      <c r="N6693" t="s">
        <v>33484</v>
      </c>
      <c r="O6693" t="s">
        <v>94</v>
      </c>
      <c r="P6693">
        <v>44.99</v>
      </c>
      <c r="Q6693">
        <v>56.24</v>
      </c>
      <c r="R6693">
        <v>44.99</v>
      </c>
      <c r="S6693">
        <v>67.489999999999995</v>
      </c>
      <c r="T6693" t="s">
        <v>33485</v>
      </c>
    </row>
    <row r="6694" spans="1:20">
      <c r="A6694">
        <v>4624877</v>
      </c>
      <c r="B6694" t="s">
        <v>33486</v>
      </c>
      <c r="C6694" t="str">
        <f>"9782760543652"</f>
        <v>9782760543652</v>
      </c>
      <c r="D6694" t="str">
        <f>"9782760543522"</f>
        <v>9782760543522</v>
      </c>
      <c r="E6694" t="s">
        <v>33169</v>
      </c>
      <c r="F6694" t="s">
        <v>33169</v>
      </c>
      <c r="G6694" s="1">
        <v>42298</v>
      </c>
      <c r="H6694">
        <v>1</v>
      </c>
      <c r="J6694" t="s">
        <v>33487</v>
      </c>
      <c r="K6694" t="s">
        <v>2260</v>
      </c>
      <c r="L6694" t="s">
        <v>33488</v>
      </c>
      <c r="M6694">
        <v>616.89</v>
      </c>
      <c r="N6694" t="s">
        <v>33489</v>
      </c>
      <c r="O6694" t="s">
        <v>94</v>
      </c>
      <c r="P6694">
        <v>28.99</v>
      </c>
      <c r="Q6694">
        <v>36.24</v>
      </c>
      <c r="R6694">
        <v>28.99</v>
      </c>
      <c r="S6694">
        <v>43.49</v>
      </c>
      <c r="T6694" t="s">
        <v>33490</v>
      </c>
    </row>
    <row r="6695" spans="1:20">
      <c r="A6695">
        <v>4624878</v>
      </c>
      <c r="B6695" t="s">
        <v>33491</v>
      </c>
      <c r="C6695" t="str">
        <f>"9782760543546"</f>
        <v>9782760543546</v>
      </c>
      <c r="D6695" t="str">
        <f>"9782760543553"</f>
        <v>9782760543553</v>
      </c>
      <c r="E6695" t="s">
        <v>33169</v>
      </c>
      <c r="F6695" t="s">
        <v>33169</v>
      </c>
      <c r="G6695" s="1">
        <v>42278</v>
      </c>
      <c r="H6695">
        <v>1</v>
      </c>
      <c r="I6695" t="s">
        <v>33287</v>
      </c>
      <c r="J6695" t="s">
        <v>33492</v>
      </c>
      <c r="K6695" t="s">
        <v>7838</v>
      </c>
      <c r="L6695" t="s">
        <v>33493</v>
      </c>
      <c r="M6695">
        <v>726.70939999999905</v>
      </c>
      <c r="N6695" t="s">
        <v>33494</v>
      </c>
      <c r="O6695" t="s">
        <v>94</v>
      </c>
      <c r="P6695">
        <v>44.99</v>
      </c>
      <c r="Q6695">
        <v>56.24</v>
      </c>
      <c r="R6695">
        <v>44.99</v>
      </c>
      <c r="S6695">
        <v>67.489999999999995</v>
      </c>
      <c r="T6695" t="s">
        <v>33495</v>
      </c>
    </row>
    <row r="6696" spans="1:20">
      <c r="A6696">
        <v>4624879</v>
      </c>
      <c r="B6696" t="s">
        <v>33496</v>
      </c>
      <c r="C6696" t="str">
        <f>"9782760543577"</f>
        <v>9782760543577</v>
      </c>
      <c r="D6696" t="str">
        <f>"9782760543584"</f>
        <v>9782760543584</v>
      </c>
      <c r="E6696" t="s">
        <v>33169</v>
      </c>
      <c r="F6696" t="s">
        <v>33169</v>
      </c>
      <c r="G6696" s="1">
        <v>42326</v>
      </c>
      <c r="H6696">
        <v>1</v>
      </c>
      <c r="I6696" t="s">
        <v>33497</v>
      </c>
      <c r="J6696" t="s">
        <v>33498</v>
      </c>
      <c r="K6696" t="s">
        <v>33499</v>
      </c>
      <c r="L6696" t="s">
        <v>33500</v>
      </c>
      <c r="M6696">
        <v>338.47910000000002</v>
      </c>
      <c r="N6696" t="s">
        <v>33501</v>
      </c>
      <c r="O6696" t="s">
        <v>94</v>
      </c>
      <c r="P6696">
        <v>38.99</v>
      </c>
      <c r="Q6696">
        <v>48.74</v>
      </c>
      <c r="R6696">
        <v>38.99</v>
      </c>
      <c r="S6696">
        <v>58.49</v>
      </c>
      <c r="T6696" t="s">
        <v>33502</v>
      </c>
    </row>
    <row r="6697" spans="1:20">
      <c r="A6697">
        <v>4624880</v>
      </c>
      <c r="B6697" t="s">
        <v>33503</v>
      </c>
      <c r="C6697" t="str">
        <f>"9782760543607"</f>
        <v>9782760543607</v>
      </c>
      <c r="D6697" t="str">
        <f>"9782760543614"</f>
        <v>9782760543614</v>
      </c>
      <c r="E6697" t="s">
        <v>33169</v>
      </c>
      <c r="F6697" t="s">
        <v>33169</v>
      </c>
      <c r="G6697" s="1">
        <v>42326</v>
      </c>
      <c r="H6697">
        <v>1</v>
      </c>
      <c r="I6697" t="s">
        <v>33504</v>
      </c>
      <c r="J6697" t="s">
        <v>33505</v>
      </c>
      <c r="K6697" t="s">
        <v>1471</v>
      </c>
      <c r="L6697" t="s">
        <v>33506</v>
      </c>
      <c r="M6697">
        <v>700.45809999999904</v>
      </c>
      <c r="N6697" t="s">
        <v>33507</v>
      </c>
      <c r="O6697" t="s">
        <v>94</v>
      </c>
      <c r="P6697">
        <v>24.99</v>
      </c>
      <c r="Q6697">
        <v>31.24</v>
      </c>
      <c r="R6697">
        <v>24.99</v>
      </c>
      <c r="S6697">
        <v>37.49</v>
      </c>
      <c r="T6697" t="s">
        <v>33508</v>
      </c>
    </row>
    <row r="6698" spans="1:20">
      <c r="A6698">
        <v>4624881</v>
      </c>
      <c r="B6698" t="s">
        <v>33509</v>
      </c>
      <c r="C6698" t="str">
        <f>"9782760543669"</f>
        <v>9782760543669</v>
      </c>
      <c r="D6698" t="str">
        <f>"9782760543676"</f>
        <v>9782760543676</v>
      </c>
      <c r="E6698" t="s">
        <v>33169</v>
      </c>
      <c r="F6698" t="s">
        <v>33169</v>
      </c>
      <c r="G6698" s="1">
        <v>42270</v>
      </c>
      <c r="H6698">
        <v>1</v>
      </c>
      <c r="J6698" t="s">
        <v>33510</v>
      </c>
      <c r="K6698" t="s">
        <v>30</v>
      </c>
      <c r="L6698" t="s">
        <v>33511</v>
      </c>
      <c r="M6698">
        <v>551.45699999999897</v>
      </c>
      <c r="N6698" t="s">
        <v>33512</v>
      </c>
      <c r="O6698" t="s">
        <v>94</v>
      </c>
      <c r="P6698">
        <v>28.99</v>
      </c>
      <c r="Q6698">
        <v>36.24</v>
      </c>
      <c r="R6698">
        <v>28.99</v>
      </c>
      <c r="S6698">
        <v>43.49</v>
      </c>
      <c r="T6698" t="s">
        <v>33513</v>
      </c>
    </row>
    <row r="6699" spans="1:20">
      <c r="A6699">
        <v>4624882</v>
      </c>
      <c r="B6699" t="s">
        <v>33514</v>
      </c>
      <c r="C6699" t="str">
        <f>"9782760543720"</f>
        <v>9782760543720</v>
      </c>
      <c r="D6699" t="str">
        <f>"9782760543737"</f>
        <v>9782760543737</v>
      </c>
      <c r="E6699" t="s">
        <v>33169</v>
      </c>
      <c r="F6699" t="s">
        <v>33169</v>
      </c>
      <c r="G6699" s="1">
        <v>42223</v>
      </c>
      <c r="H6699">
        <v>1</v>
      </c>
      <c r="I6699" t="s">
        <v>33515</v>
      </c>
      <c r="J6699" t="s">
        <v>33516</v>
      </c>
      <c r="K6699" t="s">
        <v>291</v>
      </c>
      <c r="L6699" t="s">
        <v>33517</v>
      </c>
      <c r="M6699">
        <v>971.01</v>
      </c>
      <c r="N6699" t="s">
        <v>33518</v>
      </c>
      <c r="O6699" t="s">
        <v>94</v>
      </c>
      <c r="P6699">
        <v>19.989999999999998</v>
      </c>
      <c r="Q6699">
        <v>24.99</v>
      </c>
      <c r="R6699">
        <v>19.989999999999998</v>
      </c>
      <c r="S6699">
        <v>29.99</v>
      </c>
      <c r="T6699" t="s">
        <v>33519</v>
      </c>
    </row>
    <row r="6700" spans="1:20">
      <c r="A6700">
        <v>4624883</v>
      </c>
      <c r="B6700" t="s">
        <v>33520</v>
      </c>
      <c r="C6700" t="str">
        <f>"9782760543782"</f>
        <v>9782760543782</v>
      </c>
      <c r="D6700" t="str">
        <f>"9782760543799"</f>
        <v>9782760543799</v>
      </c>
      <c r="E6700" t="s">
        <v>33169</v>
      </c>
      <c r="F6700" t="s">
        <v>33169</v>
      </c>
      <c r="G6700" s="1">
        <v>42340</v>
      </c>
      <c r="H6700">
        <v>1</v>
      </c>
      <c r="J6700" t="s">
        <v>33521</v>
      </c>
      <c r="K6700" t="s">
        <v>305</v>
      </c>
      <c r="L6700" t="s">
        <v>33522</v>
      </c>
      <c r="M6700">
        <v>382.09520709999902</v>
      </c>
      <c r="O6700" t="s">
        <v>94</v>
      </c>
      <c r="P6700">
        <v>38.99</v>
      </c>
      <c r="Q6700">
        <v>48.74</v>
      </c>
      <c r="R6700">
        <v>38.99</v>
      </c>
      <c r="S6700">
        <v>58.49</v>
      </c>
      <c r="T6700" t="s">
        <v>33523</v>
      </c>
    </row>
    <row r="6701" spans="1:20">
      <c r="A6701">
        <v>4624884</v>
      </c>
      <c r="B6701" t="s">
        <v>33524</v>
      </c>
      <c r="C6701" t="str">
        <f>"9782760543812"</f>
        <v>9782760543812</v>
      </c>
      <c r="D6701" t="str">
        <f>"9782760543829"</f>
        <v>9782760543829</v>
      </c>
      <c r="E6701" t="s">
        <v>33376</v>
      </c>
      <c r="F6701" t="s">
        <v>33376</v>
      </c>
      <c r="G6701" s="1">
        <v>42375</v>
      </c>
      <c r="H6701">
        <v>1</v>
      </c>
      <c r="I6701" t="s">
        <v>33525</v>
      </c>
      <c r="J6701" t="s">
        <v>33526</v>
      </c>
      <c r="K6701" t="s">
        <v>291</v>
      </c>
      <c r="L6701" t="s">
        <v>33527</v>
      </c>
      <c r="M6701">
        <v>971.00411399999905</v>
      </c>
      <c r="N6701" t="s">
        <v>33528</v>
      </c>
      <c r="O6701" t="s">
        <v>94</v>
      </c>
      <c r="P6701">
        <v>38.99</v>
      </c>
      <c r="Q6701">
        <v>48.74</v>
      </c>
      <c r="R6701">
        <v>38.99</v>
      </c>
      <c r="S6701">
        <v>58.49</v>
      </c>
      <c r="T6701" t="s">
        <v>33529</v>
      </c>
    </row>
    <row r="6702" spans="1:20">
      <c r="A6702">
        <v>4624885</v>
      </c>
      <c r="B6702" t="s">
        <v>33530</v>
      </c>
      <c r="C6702" t="str">
        <f>"9782760543843"</f>
        <v>9782760543843</v>
      </c>
      <c r="D6702" t="str">
        <f>"9782760543850"</f>
        <v>9782760543850</v>
      </c>
      <c r="E6702" t="s">
        <v>33169</v>
      </c>
      <c r="F6702" t="s">
        <v>33169</v>
      </c>
      <c r="G6702" s="1">
        <v>42298</v>
      </c>
      <c r="H6702">
        <v>1</v>
      </c>
      <c r="I6702" t="s">
        <v>33299</v>
      </c>
      <c r="J6702" t="s">
        <v>33531</v>
      </c>
      <c r="K6702" t="s">
        <v>17979</v>
      </c>
      <c r="L6702" t="s">
        <v>33532</v>
      </c>
      <c r="M6702">
        <v>363.69299999999902</v>
      </c>
      <c r="N6702" t="s">
        <v>33533</v>
      </c>
      <c r="O6702" t="s">
        <v>94</v>
      </c>
      <c r="P6702">
        <v>24.99</v>
      </c>
      <c r="Q6702">
        <v>31.24</v>
      </c>
      <c r="R6702">
        <v>24.99</v>
      </c>
      <c r="S6702">
        <v>37.49</v>
      </c>
      <c r="T6702" t="s">
        <v>33534</v>
      </c>
    </row>
    <row r="6703" spans="1:20">
      <c r="A6703">
        <v>4624887</v>
      </c>
      <c r="B6703" t="s">
        <v>33535</v>
      </c>
      <c r="C6703" t="str">
        <f>""</f>
        <v/>
      </c>
      <c r="D6703" t="str">
        <f>"9782760543904"</f>
        <v>9782760543904</v>
      </c>
      <c r="E6703" t="s">
        <v>33169</v>
      </c>
      <c r="F6703" t="s">
        <v>33169</v>
      </c>
      <c r="G6703" s="1">
        <v>42403</v>
      </c>
      <c r="H6703">
        <v>2</v>
      </c>
      <c r="J6703" t="s">
        <v>33536</v>
      </c>
      <c r="K6703" t="s">
        <v>1127</v>
      </c>
      <c r="L6703" t="s">
        <v>33537</v>
      </c>
      <c r="M6703">
        <v>150.15195</v>
      </c>
      <c r="N6703" t="s">
        <v>33538</v>
      </c>
      <c r="O6703" t="s">
        <v>94</v>
      </c>
      <c r="P6703">
        <v>24.99</v>
      </c>
      <c r="Q6703">
        <v>31.24</v>
      </c>
      <c r="R6703">
        <v>24.99</v>
      </c>
      <c r="S6703">
        <v>37.49</v>
      </c>
      <c r="T6703" t="s">
        <v>33539</v>
      </c>
    </row>
    <row r="6704" spans="1:20">
      <c r="A6704">
        <v>4624888</v>
      </c>
      <c r="B6704" t="s">
        <v>33540</v>
      </c>
      <c r="C6704" t="str">
        <f>"9782760543942"</f>
        <v>9782760543942</v>
      </c>
      <c r="D6704" t="str">
        <f>"9782760543959"</f>
        <v>9782760543959</v>
      </c>
      <c r="E6704" t="s">
        <v>33169</v>
      </c>
      <c r="F6704" t="s">
        <v>33169</v>
      </c>
      <c r="G6704" s="1">
        <v>42375</v>
      </c>
      <c r="H6704">
        <v>1</v>
      </c>
      <c r="J6704" t="s">
        <v>33541</v>
      </c>
      <c r="K6704" t="s">
        <v>1127</v>
      </c>
      <c r="L6704" t="s">
        <v>33542</v>
      </c>
      <c r="M6704">
        <v>158.12</v>
      </c>
      <c r="N6704" t="s">
        <v>33543</v>
      </c>
      <c r="O6704" t="s">
        <v>94</v>
      </c>
      <c r="P6704">
        <v>28.99</v>
      </c>
      <c r="Q6704">
        <v>36.24</v>
      </c>
      <c r="R6704">
        <v>28.99</v>
      </c>
      <c r="S6704">
        <v>43.49</v>
      </c>
      <c r="T6704" t="s">
        <v>33544</v>
      </c>
    </row>
    <row r="6705" spans="1:20">
      <c r="A6705">
        <v>4624889</v>
      </c>
      <c r="B6705" t="s">
        <v>33545</v>
      </c>
      <c r="C6705" t="str">
        <f>"9782760544024"</f>
        <v>9782760544024</v>
      </c>
      <c r="D6705" t="str">
        <f>"9782760544031"</f>
        <v>9782760544031</v>
      </c>
      <c r="E6705" t="s">
        <v>33169</v>
      </c>
      <c r="F6705" t="s">
        <v>33169</v>
      </c>
      <c r="G6705" s="1">
        <v>42326</v>
      </c>
      <c r="H6705">
        <v>1</v>
      </c>
      <c r="I6705" t="s">
        <v>33515</v>
      </c>
      <c r="J6705" t="s">
        <v>33546</v>
      </c>
      <c r="K6705" t="s">
        <v>3939</v>
      </c>
      <c r="L6705" t="s">
        <v>33547</v>
      </c>
      <c r="M6705">
        <v>897.1</v>
      </c>
      <c r="N6705" t="s">
        <v>33548</v>
      </c>
      <c r="O6705" t="s">
        <v>94</v>
      </c>
      <c r="P6705">
        <v>18.989999999999998</v>
      </c>
      <c r="Q6705">
        <v>23.74</v>
      </c>
      <c r="R6705">
        <v>18.989999999999998</v>
      </c>
      <c r="S6705">
        <v>28.49</v>
      </c>
      <c r="T6705" t="s">
        <v>33549</v>
      </c>
    </row>
    <row r="6706" spans="1:20">
      <c r="A6706">
        <v>4624890</v>
      </c>
      <c r="B6706" t="s">
        <v>33550</v>
      </c>
      <c r="C6706" t="str">
        <f>"9782760544055"</f>
        <v>9782760544055</v>
      </c>
      <c r="D6706" t="str">
        <f>"9782760544062"</f>
        <v>9782760544062</v>
      </c>
      <c r="E6706" t="s">
        <v>33169</v>
      </c>
      <c r="F6706" t="s">
        <v>33169</v>
      </c>
      <c r="G6706" s="1">
        <v>42298</v>
      </c>
      <c r="H6706">
        <v>1</v>
      </c>
      <c r="I6706" t="s">
        <v>33551</v>
      </c>
      <c r="J6706" t="s">
        <v>33552</v>
      </c>
      <c r="K6706" t="s">
        <v>257</v>
      </c>
      <c r="L6706" t="s">
        <v>33553</v>
      </c>
      <c r="M6706">
        <v>371.2</v>
      </c>
      <c r="N6706" t="s">
        <v>33554</v>
      </c>
      <c r="O6706" t="s">
        <v>94</v>
      </c>
      <c r="P6706">
        <v>19.989999999999998</v>
      </c>
      <c r="Q6706">
        <v>24.99</v>
      </c>
      <c r="R6706">
        <v>19.989999999999998</v>
      </c>
      <c r="S6706">
        <v>29.99</v>
      </c>
      <c r="T6706" t="s">
        <v>33555</v>
      </c>
    </row>
    <row r="6707" spans="1:20">
      <c r="A6707">
        <v>4624893</v>
      </c>
      <c r="B6707" t="s">
        <v>33556</v>
      </c>
      <c r="C6707" t="str">
        <f>"9782760544208"</f>
        <v>9782760544208</v>
      </c>
      <c r="D6707" t="str">
        <f>"9782760544215"</f>
        <v>9782760544215</v>
      </c>
      <c r="E6707" t="s">
        <v>33169</v>
      </c>
      <c r="F6707" t="s">
        <v>33169</v>
      </c>
      <c r="G6707" s="1">
        <v>42403</v>
      </c>
      <c r="H6707">
        <v>1</v>
      </c>
      <c r="I6707" t="s">
        <v>33515</v>
      </c>
      <c r="J6707" t="s">
        <v>33557</v>
      </c>
      <c r="K6707" t="s">
        <v>4081</v>
      </c>
      <c r="L6707" t="s">
        <v>33558</v>
      </c>
      <c r="M6707">
        <v>497.1</v>
      </c>
      <c r="N6707" t="s">
        <v>33559</v>
      </c>
      <c r="O6707" t="s">
        <v>94</v>
      </c>
      <c r="P6707">
        <v>16.989999999999998</v>
      </c>
      <c r="Q6707">
        <v>21.24</v>
      </c>
      <c r="R6707">
        <v>16.989999999999998</v>
      </c>
      <c r="S6707">
        <v>25.49</v>
      </c>
      <c r="T6707" t="s">
        <v>33560</v>
      </c>
    </row>
    <row r="6708" spans="1:20">
      <c r="A6708">
        <v>4648835</v>
      </c>
      <c r="B6708" t="s">
        <v>33561</v>
      </c>
      <c r="C6708" t="str">
        <f>""</f>
        <v/>
      </c>
      <c r="D6708" t="str">
        <f>"9782760322219"</f>
        <v>9782760322219</v>
      </c>
      <c r="E6708" t="s">
        <v>3361</v>
      </c>
      <c r="F6708" t="s">
        <v>3361</v>
      </c>
      <c r="G6708" s="1">
        <v>40309</v>
      </c>
      <c r="I6708" t="s">
        <v>33562</v>
      </c>
      <c r="J6708" t="s">
        <v>33563</v>
      </c>
      <c r="O6708" t="s">
        <v>94</v>
      </c>
      <c r="P6708">
        <v>159.97999999999999</v>
      </c>
      <c r="Q6708">
        <v>99.99</v>
      </c>
      <c r="R6708">
        <v>79.989999999999995</v>
      </c>
      <c r="S6708">
        <v>119.99</v>
      </c>
      <c r="T6708" t="s">
        <v>33564</v>
      </c>
    </row>
    <row r="6709" spans="1:20">
      <c r="A6709">
        <v>4648838</v>
      </c>
      <c r="B6709" t="s">
        <v>33565</v>
      </c>
      <c r="C6709" t="str">
        <f>""</f>
        <v/>
      </c>
      <c r="D6709" t="str">
        <f>"9782760319738"</f>
        <v>9782760319738</v>
      </c>
      <c r="E6709" t="s">
        <v>3361</v>
      </c>
      <c r="F6709" t="s">
        <v>3361</v>
      </c>
      <c r="G6709" s="1">
        <v>36161</v>
      </c>
      <c r="I6709" t="s">
        <v>33566</v>
      </c>
      <c r="J6709" t="s">
        <v>33567</v>
      </c>
      <c r="O6709" t="s">
        <v>94</v>
      </c>
      <c r="P6709">
        <v>147.97999999999999</v>
      </c>
      <c r="Q6709">
        <v>92.49</v>
      </c>
      <c r="R6709">
        <v>73.989999999999995</v>
      </c>
      <c r="S6709">
        <v>110.99</v>
      </c>
      <c r="T6709" t="s">
        <v>33568</v>
      </c>
    </row>
    <row r="6710" spans="1:20">
      <c r="A6710">
        <v>4648840</v>
      </c>
      <c r="B6710" t="s">
        <v>33569</v>
      </c>
      <c r="C6710" t="str">
        <f>""</f>
        <v/>
      </c>
      <c r="D6710" t="str">
        <f>"9780776608433"</f>
        <v>9780776608433</v>
      </c>
      <c r="E6710" t="s">
        <v>3342</v>
      </c>
      <c r="F6710" t="s">
        <v>3342</v>
      </c>
      <c r="G6710" s="1">
        <v>39018</v>
      </c>
      <c r="I6710" t="s">
        <v>3349</v>
      </c>
      <c r="J6710" t="s">
        <v>33570</v>
      </c>
      <c r="O6710" t="s">
        <v>26</v>
      </c>
      <c r="P6710">
        <v>179.7</v>
      </c>
      <c r="Q6710">
        <v>112.31</v>
      </c>
      <c r="R6710">
        <v>89.85</v>
      </c>
      <c r="S6710">
        <v>134.78</v>
      </c>
      <c r="T6710" t="s">
        <v>33571</v>
      </c>
    </row>
    <row r="6711" spans="1:20">
      <c r="A6711">
        <v>4648841</v>
      </c>
      <c r="B6711" t="s">
        <v>33572</v>
      </c>
      <c r="C6711" t="str">
        <f>""</f>
        <v/>
      </c>
      <c r="D6711" t="str">
        <f>"9780776619750"</f>
        <v>9780776619750</v>
      </c>
      <c r="E6711" t="s">
        <v>3342</v>
      </c>
      <c r="F6711" t="s">
        <v>3342</v>
      </c>
      <c r="G6711" s="1">
        <v>36957</v>
      </c>
      <c r="I6711" t="s">
        <v>3402</v>
      </c>
      <c r="J6711" t="s">
        <v>33573</v>
      </c>
      <c r="K6711" t="s">
        <v>4081</v>
      </c>
      <c r="M6711">
        <v>418.02</v>
      </c>
      <c r="O6711" t="s">
        <v>26</v>
      </c>
      <c r="P6711">
        <v>99.98</v>
      </c>
      <c r="Q6711">
        <v>62.49</v>
      </c>
      <c r="R6711">
        <v>49.99</v>
      </c>
      <c r="S6711">
        <v>74.989999999999995</v>
      </c>
      <c r="T6711" t="s">
        <v>33574</v>
      </c>
    </row>
    <row r="6712" spans="1:20">
      <c r="A6712">
        <v>4648843</v>
      </c>
      <c r="B6712" t="s">
        <v>33575</v>
      </c>
      <c r="C6712" t="str">
        <f>""</f>
        <v/>
      </c>
      <c r="D6712" t="str">
        <f>"9782760320550"</f>
        <v>9782760320550</v>
      </c>
      <c r="E6712" t="s">
        <v>33576</v>
      </c>
      <c r="F6712" t="s">
        <v>33576</v>
      </c>
      <c r="G6712" s="1">
        <v>41248</v>
      </c>
      <c r="J6712" t="s">
        <v>33577</v>
      </c>
      <c r="K6712" t="s">
        <v>263</v>
      </c>
      <c r="L6712" t="s">
        <v>33578</v>
      </c>
      <c r="M6712">
        <v>361</v>
      </c>
      <c r="N6712" t="s">
        <v>33579</v>
      </c>
      <c r="O6712" t="s">
        <v>94</v>
      </c>
      <c r="P6712">
        <v>199.98</v>
      </c>
      <c r="Q6712">
        <v>124.99</v>
      </c>
      <c r="R6712">
        <v>99.99</v>
      </c>
      <c r="S6712">
        <v>149.99</v>
      </c>
      <c r="T6712" t="s">
        <v>33580</v>
      </c>
    </row>
    <row r="6713" spans="1:20">
      <c r="A6713">
        <v>4648844</v>
      </c>
      <c r="B6713" t="s">
        <v>33581</v>
      </c>
      <c r="C6713" t="str">
        <f>""</f>
        <v/>
      </c>
      <c r="D6713" t="str">
        <f>"9782760320710"</f>
        <v>9782760320710</v>
      </c>
      <c r="E6713" t="s">
        <v>33576</v>
      </c>
      <c r="F6713" t="s">
        <v>33576</v>
      </c>
      <c r="G6713" s="1">
        <v>41360</v>
      </c>
      <c r="I6713" t="s">
        <v>33582</v>
      </c>
      <c r="J6713" t="s">
        <v>33583</v>
      </c>
      <c r="K6713" t="s">
        <v>525</v>
      </c>
      <c r="L6713" t="s">
        <v>33584</v>
      </c>
      <c r="M6713">
        <v>345.00099999999901</v>
      </c>
      <c r="N6713" t="s">
        <v>33585</v>
      </c>
      <c r="O6713" t="s">
        <v>94</v>
      </c>
      <c r="P6713">
        <v>99.98</v>
      </c>
      <c r="Q6713">
        <v>62.49</v>
      </c>
      <c r="R6713">
        <v>49.99</v>
      </c>
      <c r="S6713">
        <v>74.989999999999995</v>
      </c>
      <c r="T6713" t="s">
        <v>33586</v>
      </c>
    </row>
    <row r="6714" spans="1:20">
      <c r="A6714">
        <v>4648846</v>
      </c>
      <c r="B6714" t="s">
        <v>33587</v>
      </c>
      <c r="C6714" t="str">
        <f>""</f>
        <v/>
      </c>
      <c r="D6714" t="str">
        <f>"9780776619880"</f>
        <v>9780776619880</v>
      </c>
      <c r="E6714" t="s">
        <v>3342</v>
      </c>
      <c r="F6714" t="s">
        <v>3342</v>
      </c>
      <c r="G6714" s="1">
        <v>41419</v>
      </c>
      <c r="I6714" t="s">
        <v>3349</v>
      </c>
      <c r="J6714" t="s">
        <v>31386</v>
      </c>
      <c r="K6714" t="s">
        <v>1464</v>
      </c>
      <c r="M6714">
        <v>813.54099710000003</v>
      </c>
      <c r="O6714" t="s">
        <v>26</v>
      </c>
      <c r="P6714">
        <v>159.97999999999999</v>
      </c>
      <c r="Q6714">
        <v>99.99</v>
      </c>
      <c r="R6714">
        <v>79.989999999999995</v>
      </c>
      <c r="S6714">
        <v>119.99</v>
      </c>
      <c r="T6714" t="s">
        <v>33588</v>
      </c>
    </row>
    <row r="6715" spans="1:20">
      <c r="A6715">
        <v>4648847</v>
      </c>
      <c r="B6715" t="s">
        <v>33589</v>
      </c>
      <c r="C6715" t="str">
        <f>""</f>
        <v/>
      </c>
      <c r="D6715" t="str">
        <f>"9782760322189"</f>
        <v>9782760322189</v>
      </c>
      <c r="E6715" t="s">
        <v>3361</v>
      </c>
      <c r="F6715" t="s">
        <v>3361</v>
      </c>
      <c r="G6715" s="1">
        <v>41304</v>
      </c>
      <c r="I6715" t="s">
        <v>33562</v>
      </c>
      <c r="J6715" t="s">
        <v>33563</v>
      </c>
      <c r="O6715" t="s">
        <v>94</v>
      </c>
      <c r="P6715">
        <v>159.97999999999999</v>
      </c>
      <c r="Q6715">
        <v>99.99</v>
      </c>
      <c r="R6715">
        <v>79.989999999999995</v>
      </c>
      <c r="S6715">
        <v>119.99</v>
      </c>
      <c r="T6715" t="s">
        <v>33590</v>
      </c>
    </row>
    <row r="6716" spans="1:20">
      <c r="A6716">
        <v>4648851</v>
      </c>
      <c r="B6716" t="s">
        <v>33591</v>
      </c>
      <c r="C6716" t="str">
        <f>""</f>
        <v/>
      </c>
      <c r="D6716" t="str">
        <f>"9782760322714"</f>
        <v>9782760322714</v>
      </c>
      <c r="E6716" t="s">
        <v>33576</v>
      </c>
      <c r="F6716" t="s">
        <v>33576</v>
      </c>
      <c r="G6716" s="1">
        <v>42095</v>
      </c>
      <c r="I6716" t="s">
        <v>33592</v>
      </c>
      <c r="J6716" t="s">
        <v>33593</v>
      </c>
      <c r="K6716" t="s">
        <v>376</v>
      </c>
      <c r="L6716" t="s">
        <v>33594</v>
      </c>
      <c r="M6716">
        <v>362.10917239999901</v>
      </c>
      <c r="N6716" t="s">
        <v>33595</v>
      </c>
      <c r="O6716" t="s">
        <v>94</v>
      </c>
      <c r="P6716">
        <v>159.97999999999999</v>
      </c>
      <c r="Q6716">
        <v>99.99</v>
      </c>
      <c r="R6716">
        <v>79.989999999999995</v>
      </c>
      <c r="S6716">
        <v>119.99</v>
      </c>
      <c r="T6716" t="s">
        <v>33596</v>
      </c>
    </row>
    <row r="6717" spans="1:20">
      <c r="A6717">
        <v>4648852</v>
      </c>
      <c r="B6717" t="s">
        <v>33597</v>
      </c>
      <c r="C6717" t="str">
        <f>"9782760322738"</f>
        <v>9782760322738</v>
      </c>
      <c r="D6717" t="str">
        <f>"9782760322752"</f>
        <v>9782760322752</v>
      </c>
      <c r="E6717" t="s">
        <v>3361</v>
      </c>
      <c r="F6717" t="s">
        <v>3361</v>
      </c>
      <c r="G6717" s="1">
        <v>42151</v>
      </c>
      <c r="I6717" t="s">
        <v>33598</v>
      </c>
      <c r="J6717" t="s">
        <v>33599</v>
      </c>
      <c r="K6717" t="s">
        <v>1471</v>
      </c>
      <c r="L6717" t="s">
        <v>33600</v>
      </c>
      <c r="M6717">
        <v>792.09713999999894</v>
      </c>
      <c r="N6717" t="s">
        <v>33601</v>
      </c>
      <c r="O6717" t="s">
        <v>94</v>
      </c>
      <c r="P6717">
        <v>159.97999999999999</v>
      </c>
      <c r="Q6717">
        <v>99.99</v>
      </c>
      <c r="R6717">
        <v>79.989999999999995</v>
      </c>
      <c r="S6717">
        <v>119.99</v>
      </c>
      <c r="T6717" t="s">
        <v>33602</v>
      </c>
    </row>
    <row r="6718" spans="1:20">
      <c r="A6718">
        <v>4648855</v>
      </c>
      <c r="B6718" t="s">
        <v>33603</v>
      </c>
      <c r="C6718" t="str">
        <f>""</f>
        <v/>
      </c>
      <c r="D6718" t="str">
        <f>"9782760321892"</f>
        <v>9782760321892</v>
      </c>
      <c r="E6718" t="s">
        <v>33576</v>
      </c>
      <c r="F6718" t="s">
        <v>33576</v>
      </c>
      <c r="G6718" s="1">
        <v>42130</v>
      </c>
      <c r="I6718" t="s">
        <v>3380</v>
      </c>
      <c r="J6718" t="s">
        <v>33604</v>
      </c>
      <c r="O6718" t="s">
        <v>94</v>
      </c>
      <c r="P6718">
        <v>0</v>
      </c>
      <c r="Q6718">
        <v>0</v>
      </c>
      <c r="R6718">
        <v>0</v>
      </c>
      <c r="S6718">
        <v>0</v>
      </c>
      <c r="T6718" t="s">
        <v>33605</v>
      </c>
    </row>
    <row r="6719" spans="1:20">
      <c r="A6719">
        <v>4648927</v>
      </c>
      <c r="B6719" t="s">
        <v>33606</v>
      </c>
      <c r="C6719" t="str">
        <f>""</f>
        <v/>
      </c>
      <c r="D6719" t="str">
        <f>"9780776608662"</f>
        <v>9780776608662</v>
      </c>
      <c r="E6719" t="s">
        <v>3342</v>
      </c>
      <c r="F6719" t="s">
        <v>3342</v>
      </c>
      <c r="G6719" s="1">
        <v>29221</v>
      </c>
      <c r="I6719" t="s">
        <v>3956</v>
      </c>
      <c r="J6719" t="s">
        <v>33607</v>
      </c>
      <c r="K6719" t="s">
        <v>33608</v>
      </c>
      <c r="O6719" t="s">
        <v>26</v>
      </c>
      <c r="P6719">
        <v>87.98</v>
      </c>
      <c r="Q6719">
        <v>54.99</v>
      </c>
      <c r="R6719">
        <v>43.99</v>
      </c>
      <c r="S6719">
        <v>65.989999999999995</v>
      </c>
      <c r="T6719" t="s">
        <v>33609</v>
      </c>
    </row>
    <row r="6720" spans="1:20">
      <c r="A6720">
        <v>4648928</v>
      </c>
      <c r="B6720" t="s">
        <v>33610</v>
      </c>
      <c r="C6720" t="str">
        <f>""</f>
        <v/>
      </c>
      <c r="D6720" t="str">
        <f>"9780776608938"</f>
        <v>9780776608938</v>
      </c>
      <c r="E6720" t="s">
        <v>3342</v>
      </c>
      <c r="F6720" t="s">
        <v>3342</v>
      </c>
      <c r="G6720" s="1">
        <v>41981</v>
      </c>
      <c r="I6720" t="s">
        <v>3956</v>
      </c>
      <c r="J6720" t="s">
        <v>33611</v>
      </c>
      <c r="K6720" t="s">
        <v>1458</v>
      </c>
      <c r="M6720">
        <v>813.54</v>
      </c>
      <c r="O6720" t="s">
        <v>26</v>
      </c>
      <c r="P6720">
        <v>39.979999999999997</v>
      </c>
      <c r="Q6720">
        <v>24.99</v>
      </c>
      <c r="R6720">
        <v>19.989999999999998</v>
      </c>
      <c r="S6720">
        <v>29.99</v>
      </c>
      <c r="T6720" t="s">
        <v>33612</v>
      </c>
    </row>
    <row r="6721" spans="1:20">
      <c r="A6721">
        <v>4648929</v>
      </c>
      <c r="B6721" t="s">
        <v>33613</v>
      </c>
      <c r="C6721" t="str">
        <f>""</f>
        <v/>
      </c>
      <c r="D6721" t="str">
        <f>"9780776619910"</f>
        <v>9780776619910</v>
      </c>
      <c r="E6721" t="s">
        <v>3342</v>
      </c>
      <c r="F6721" t="s">
        <v>3342</v>
      </c>
      <c r="G6721" s="1">
        <v>41090</v>
      </c>
      <c r="I6721" t="s">
        <v>33614</v>
      </c>
      <c r="J6721" t="s">
        <v>33615</v>
      </c>
      <c r="K6721" t="s">
        <v>305</v>
      </c>
      <c r="M6721">
        <v>658.47799999999995</v>
      </c>
      <c r="O6721" t="s">
        <v>26</v>
      </c>
      <c r="P6721">
        <v>159.97999999999999</v>
      </c>
      <c r="Q6721">
        <v>99.99</v>
      </c>
      <c r="R6721">
        <v>79.989999999999995</v>
      </c>
      <c r="S6721">
        <v>119.99</v>
      </c>
      <c r="T6721" t="s">
        <v>33616</v>
      </c>
    </row>
    <row r="6722" spans="1:20">
      <c r="A6722">
        <v>4648931</v>
      </c>
      <c r="B6722" t="s">
        <v>33617</v>
      </c>
      <c r="C6722" t="str">
        <f>""</f>
        <v/>
      </c>
      <c r="D6722" t="str">
        <f>"9782760320413"</f>
        <v>9782760320413</v>
      </c>
      <c r="E6722" t="s">
        <v>3361</v>
      </c>
      <c r="F6722" t="s">
        <v>3361</v>
      </c>
      <c r="G6722" s="1">
        <v>41157</v>
      </c>
      <c r="I6722" t="s">
        <v>33212</v>
      </c>
      <c r="J6722" t="s">
        <v>33223</v>
      </c>
      <c r="K6722" t="s">
        <v>376</v>
      </c>
      <c r="M6722">
        <v>362.2</v>
      </c>
      <c r="O6722" t="s">
        <v>94</v>
      </c>
      <c r="P6722">
        <v>159.97999999999999</v>
      </c>
      <c r="Q6722">
        <v>99.99</v>
      </c>
      <c r="R6722">
        <v>79.989999999999995</v>
      </c>
      <c r="S6722">
        <v>119.99</v>
      </c>
      <c r="T6722" t="s">
        <v>33618</v>
      </c>
    </row>
    <row r="6723" spans="1:20">
      <c r="A6723">
        <v>4648937</v>
      </c>
      <c r="B6723" t="s">
        <v>33619</v>
      </c>
      <c r="C6723" t="str">
        <f>""</f>
        <v/>
      </c>
      <c r="D6723" t="str">
        <f>"9782760320475"</f>
        <v>9782760320475</v>
      </c>
      <c r="E6723" t="s">
        <v>3361</v>
      </c>
      <c r="F6723" t="s">
        <v>3361</v>
      </c>
      <c r="G6723" s="1">
        <v>41185</v>
      </c>
      <c r="J6723" t="s">
        <v>33620</v>
      </c>
      <c r="K6723" t="s">
        <v>1464</v>
      </c>
      <c r="M6723">
        <v>809.93350999999996</v>
      </c>
      <c r="O6723" t="s">
        <v>94</v>
      </c>
      <c r="P6723">
        <v>99.98</v>
      </c>
      <c r="Q6723">
        <v>62.49</v>
      </c>
      <c r="R6723">
        <v>49.99</v>
      </c>
      <c r="S6723">
        <v>74.989999999999995</v>
      </c>
      <c r="T6723" t="s">
        <v>33621</v>
      </c>
    </row>
    <row r="6724" spans="1:20">
      <c r="A6724">
        <v>4649010</v>
      </c>
      <c r="B6724" t="s">
        <v>33622</v>
      </c>
      <c r="C6724" t="str">
        <f>""</f>
        <v/>
      </c>
      <c r="D6724" t="str">
        <f>"9780776619996"</f>
        <v>9780776619996</v>
      </c>
      <c r="E6724" t="s">
        <v>3342</v>
      </c>
      <c r="F6724" t="s">
        <v>3342</v>
      </c>
      <c r="G6724" s="1">
        <v>41181</v>
      </c>
      <c r="I6724" t="s">
        <v>3380</v>
      </c>
      <c r="J6724" t="s">
        <v>33623</v>
      </c>
      <c r="K6724" t="s">
        <v>1859</v>
      </c>
      <c r="M6724">
        <v>194</v>
      </c>
      <c r="O6724" t="s">
        <v>26</v>
      </c>
      <c r="P6724">
        <v>139.97999999999999</v>
      </c>
      <c r="Q6724">
        <v>87.49</v>
      </c>
      <c r="R6724">
        <v>69.989999999999995</v>
      </c>
      <c r="S6724">
        <v>104.99</v>
      </c>
      <c r="T6724" t="s">
        <v>33624</v>
      </c>
    </row>
    <row r="6725" spans="1:20">
      <c r="A6725">
        <v>4649013</v>
      </c>
      <c r="B6725" t="s">
        <v>33625</v>
      </c>
      <c r="C6725" t="str">
        <f>""</f>
        <v/>
      </c>
      <c r="D6725" t="str">
        <f>"9780776620299"</f>
        <v>9780776620299</v>
      </c>
      <c r="E6725" t="s">
        <v>3342</v>
      </c>
      <c r="F6725" t="s">
        <v>3342</v>
      </c>
      <c r="G6725" s="1">
        <v>41188</v>
      </c>
      <c r="I6725" t="s">
        <v>3402</v>
      </c>
      <c r="J6725" t="s">
        <v>33626</v>
      </c>
      <c r="K6725" t="s">
        <v>4081</v>
      </c>
      <c r="M6725">
        <v>418.02</v>
      </c>
      <c r="O6725" t="s">
        <v>26</v>
      </c>
      <c r="P6725">
        <v>120</v>
      </c>
      <c r="Q6725">
        <v>75</v>
      </c>
      <c r="R6725">
        <v>60</v>
      </c>
      <c r="S6725">
        <v>90</v>
      </c>
      <c r="T6725" t="s">
        <v>33627</v>
      </c>
    </row>
    <row r="6726" spans="1:20">
      <c r="A6726">
        <v>4649018</v>
      </c>
      <c r="B6726" t="s">
        <v>33628</v>
      </c>
      <c r="C6726" t="str">
        <f>""</f>
        <v/>
      </c>
      <c r="D6726" t="str">
        <f>"9780776620329"</f>
        <v>9780776620329</v>
      </c>
      <c r="E6726" t="s">
        <v>3342</v>
      </c>
      <c r="F6726" t="s">
        <v>3342</v>
      </c>
      <c r="G6726" s="1">
        <v>41258</v>
      </c>
      <c r="J6726" t="s">
        <v>4007</v>
      </c>
      <c r="K6726" t="s">
        <v>1859</v>
      </c>
      <c r="M6726">
        <v>100</v>
      </c>
      <c r="O6726" t="s">
        <v>26</v>
      </c>
      <c r="P6726">
        <v>99.98</v>
      </c>
      <c r="Q6726">
        <v>62.49</v>
      </c>
      <c r="R6726">
        <v>49.99</v>
      </c>
      <c r="S6726">
        <v>74.989999999999995</v>
      </c>
      <c r="T6726" t="s">
        <v>33629</v>
      </c>
    </row>
    <row r="6727" spans="1:20">
      <c r="A6727">
        <v>4649031</v>
      </c>
      <c r="B6727" t="s">
        <v>33630</v>
      </c>
      <c r="C6727" t="str">
        <f>""</f>
        <v/>
      </c>
      <c r="D6727" t="str">
        <f>"9780776620756"</f>
        <v>9780776620756</v>
      </c>
      <c r="E6727" t="s">
        <v>3342</v>
      </c>
      <c r="F6727" t="s">
        <v>3342</v>
      </c>
      <c r="G6727" s="1">
        <v>41363</v>
      </c>
      <c r="I6727" t="s">
        <v>3343</v>
      </c>
      <c r="J6727" t="s">
        <v>33631</v>
      </c>
      <c r="K6727" t="s">
        <v>1464</v>
      </c>
      <c r="M6727">
        <v>812.52</v>
      </c>
      <c r="O6727" t="s">
        <v>26</v>
      </c>
      <c r="P6727">
        <v>99.98</v>
      </c>
      <c r="Q6727">
        <v>62.49</v>
      </c>
      <c r="R6727">
        <v>49.99</v>
      </c>
      <c r="S6727">
        <v>74.989999999999995</v>
      </c>
      <c r="T6727" t="s">
        <v>33632</v>
      </c>
    </row>
    <row r="6728" spans="1:20">
      <c r="A6728">
        <v>4649045</v>
      </c>
      <c r="B6728" t="s">
        <v>33633</v>
      </c>
      <c r="C6728" t="str">
        <f>""</f>
        <v/>
      </c>
      <c r="D6728" t="str">
        <f>"9782760320789"</f>
        <v>9782760320789</v>
      </c>
      <c r="E6728" t="s">
        <v>3361</v>
      </c>
      <c r="F6728" t="s">
        <v>3361</v>
      </c>
      <c r="G6728" s="1">
        <v>41409</v>
      </c>
      <c r="I6728" t="s">
        <v>33566</v>
      </c>
      <c r="J6728" t="s">
        <v>33634</v>
      </c>
      <c r="K6728" t="s">
        <v>1464</v>
      </c>
      <c r="M6728">
        <v>843.5</v>
      </c>
      <c r="O6728" t="s">
        <v>94</v>
      </c>
      <c r="P6728">
        <v>179.98</v>
      </c>
      <c r="Q6728">
        <v>112.49</v>
      </c>
      <c r="R6728">
        <v>89.99</v>
      </c>
      <c r="S6728">
        <v>134.99</v>
      </c>
      <c r="T6728" t="s">
        <v>33635</v>
      </c>
    </row>
    <row r="6729" spans="1:20">
      <c r="A6729">
        <v>4649046</v>
      </c>
      <c r="B6729" t="s">
        <v>33636</v>
      </c>
      <c r="C6729" t="str">
        <f>""</f>
        <v/>
      </c>
      <c r="D6729" t="str">
        <f>"9780776620817"</f>
        <v>9780776620817</v>
      </c>
      <c r="E6729" t="s">
        <v>3342</v>
      </c>
      <c r="F6729" t="s">
        <v>3342</v>
      </c>
      <c r="G6729" s="1">
        <v>41433</v>
      </c>
      <c r="J6729" t="s">
        <v>33637</v>
      </c>
      <c r="K6729" t="s">
        <v>1859</v>
      </c>
      <c r="M6729">
        <v>128.6</v>
      </c>
      <c r="O6729" t="s">
        <v>26</v>
      </c>
      <c r="P6729">
        <v>99.98</v>
      </c>
      <c r="Q6729">
        <v>62.49</v>
      </c>
      <c r="R6729">
        <v>49.99</v>
      </c>
      <c r="S6729">
        <v>74.989999999999995</v>
      </c>
      <c r="T6729" t="s">
        <v>33638</v>
      </c>
    </row>
    <row r="6730" spans="1:20">
      <c r="A6730">
        <v>4649049</v>
      </c>
      <c r="B6730" t="s">
        <v>33639</v>
      </c>
      <c r="C6730" t="str">
        <f>""</f>
        <v/>
      </c>
      <c r="D6730" t="str">
        <f>"9782760320444"</f>
        <v>9782760320444</v>
      </c>
      <c r="E6730" t="s">
        <v>3361</v>
      </c>
      <c r="F6730" t="s">
        <v>3361</v>
      </c>
      <c r="G6730" s="1">
        <v>41493</v>
      </c>
      <c r="I6730" t="s">
        <v>33640</v>
      </c>
      <c r="J6730" t="s">
        <v>33641</v>
      </c>
      <c r="K6730" t="s">
        <v>263</v>
      </c>
      <c r="M6730">
        <v>305.89999999999998</v>
      </c>
      <c r="O6730" t="s">
        <v>94</v>
      </c>
      <c r="P6730">
        <v>120</v>
      </c>
      <c r="Q6730">
        <v>75</v>
      </c>
      <c r="R6730">
        <v>60</v>
      </c>
      <c r="S6730">
        <v>90</v>
      </c>
      <c r="T6730" t="s">
        <v>33642</v>
      </c>
    </row>
    <row r="6731" spans="1:20">
      <c r="A6731">
        <v>4649052</v>
      </c>
      <c r="B6731" t="s">
        <v>33643</v>
      </c>
      <c r="C6731" t="str">
        <f>""</f>
        <v/>
      </c>
      <c r="D6731" t="str">
        <f>"9782760320925"</f>
        <v>9782760320925</v>
      </c>
      <c r="E6731" t="s">
        <v>3361</v>
      </c>
      <c r="F6731" t="s">
        <v>3361</v>
      </c>
      <c r="G6731" s="1">
        <v>41507</v>
      </c>
      <c r="J6731" t="s">
        <v>33644</v>
      </c>
      <c r="K6731" t="s">
        <v>1464</v>
      </c>
      <c r="M6731">
        <v>808.06600000000003</v>
      </c>
      <c r="O6731" t="s">
        <v>94</v>
      </c>
      <c r="P6731">
        <v>80</v>
      </c>
      <c r="Q6731">
        <v>50</v>
      </c>
      <c r="R6731">
        <v>40</v>
      </c>
      <c r="S6731">
        <v>60</v>
      </c>
      <c r="T6731" t="s">
        <v>33645</v>
      </c>
    </row>
    <row r="6732" spans="1:20">
      <c r="A6732">
        <v>4649053</v>
      </c>
      <c r="B6732" t="s">
        <v>33646</v>
      </c>
      <c r="C6732" t="str">
        <f>""</f>
        <v/>
      </c>
      <c r="D6732" t="str">
        <f>"9780776620855"</f>
        <v>9780776620855</v>
      </c>
      <c r="E6732" t="s">
        <v>3342</v>
      </c>
      <c r="F6732" t="s">
        <v>3342</v>
      </c>
      <c r="G6732" s="1">
        <v>41391</v>
      </c>
      <c r="I6732" t="s">
        <v>33647</v>
      </c>
      <c r="J6732" t="s">
        <v>33648</v>
      </c>
      <c r="K6732" t="s">
        <v>525</v>
      </c>
      <c r="M6732">
        <v>346.71048200000001</v>
      </c>
      <c r="O6732" t="s">
        <v>26</v>
      </c>
      <c r="P6732">
        <v>220</v>
      </c>
      <c r="Q6732">
        <v>137.5</v>
      </c>
      <c r="R6732">
        <v>110</v>
      </c>
      <c r="S6732">
        <v>165</v>
      </c>
      <c r="T6732" t="s">
        <v>33649</v>
      </c>
    </row>
    <row r="6733" spans="1:20">
      <c r="A6733">
        <v>4649054</v>
      </c>
      <c r="B6733" t="s">
        <v>33650</v>
      </c>
      <c r="C6733" t="str">
        <f>""</f>
        <v/>
      </c>
      <c r="D6733" t="str">
        <f>"9780776621272"</f>
        <v>9780776621272</v>
      </c>
      <c r="E6733" t="s">
        <v>3342</v>
      </c>
      <c r="F6733" t="s">
        <v>3342</v>
      </c>
      <c r="G6733" s="1">
        <v>41543</v>
      </c>
      <c r="I6733" t="s">
        <v>33651</v>
      </c>
      <c r="J6733" t="s">
        <v>33652</v>
      </c>
      <c r="K6733" t="s">
        <v>4081</v>
      </c>
      <c r="M6733">
        <v>418.02</v>
      </c>
      <c r="O6733" t="s">
        <v>26</v>
      </c>
      <c r="P6733">
        <v>75.98</v>
      </c>
      <c r="Q6733">
        <v>47.49</v>
      </c>
      <c r="R6733">
        <v>37.99</v>
      </c>
      <c r="S6733">
        <v>56.99</v>
      </c>
      <c r="T6733" t="s">
        <v>33653</v>
      </c>
    </row>
    <row r="6734" spans="1:20">
      <c r="A6734">
        <v>4649055</v>
      </c>
      <c r="B6734" t="s">
        <v>33654</v>
      </c>
      <c r="C6734" t="str">
        <f>""</f>
        <v/>
      </c>
      <c r="D6734" t="str">
        <f>"9780776620886"</f>
        <v>9780776620886</v>
      </c>
      <c r="E6734" t="s">
        <v>3342</v>
      </c>
      <c r="F6734" t="s">
        <v>3342</v>
      </c>
      <c r="G6734" s="1">
        <v>41606</v>
      </c>
      <c r="I6734" t="s">
        <v>3343</v>
      </c>
      <c r="J6734" t="s">
        <v>33655</v>
      </c>
      <c r="K6734" t="s">
        <v>1464</v>
      </c>
      <c r="M6734">
        <v>813.54</v>
      </c>
      <c r="O6734" t="s">
        <v>26</v>
      </c>
      <c r="P6734">
        <v>99.98</v>
      </c>
      <c r="Q6734">
        <v>62.49</v>
      </c>
      <c r="R6734">
        <v>49.99</v>
      </c>
      <c r="S6734">
        <v>74.989999999999995</v>
      </c>
      <c r="T6734" t="s">
        <v>33656</v>
      </c>
    </row>
    <row r="6735" spans="1:20">
      <c r="A6735">
        <v>4649056</v>
      </c>
      <c r="B6735" t="s">
        <v>33657</v>
      </c>
      <c r="C6735" t="str">
        <f>""</f>
        <v/>
      </c>
      <c r="D6735" t="str">
        <f>"9780776630489"</f>
        <v>9780776630489</v>
      </c>
      <c r="E6735" t="s">
        <v>3342</v>
      </c>
      <c r="F6735" t="s">
        <v>3342</v>
      </c>
      <c r="G6735" s="1">
        <v>41597</v>
      </c>
      <c r="J6735" t="s">
        <v>33658</v>
      </c>
      <c r="K6735" t="s">
        <v>50</v>
      </c>
      <c r="M6735">
        <v>629.13091999999995</v>
      </c>
      <c r="O6735" t="s">
        <v>26</v>
      </c>
      <c r="P6735">
        <v>119.98</v>
      </c>
      <c r="Q6735">
        <v>74.989999999999995</v>
      </c>
      <c r="R6735">
        <v>59.99</v>
      </c>
      <c r="S6735">
        <v>89.99</v>
      </c>
      <c r="T6735" t="s">
        <v>33659</v>
      </c>
    </row>
    <row r="6736" spans="1:20">
      <c r="A6736">
        <v>4649057</v>
      </c>
      <c r="B6736" t="s">
        <v>33660</v>
      </c>
      <c r="C6736" t="str">
        <f>""</f>
        <v/>
      </c>
      <c r="D6736" t="str">
        <f>"9782760321304"</f>
        <v>9782760321304</v>
      </c>
      <c r="E6736" t="s">
        <v>3361</v>
      </c>
      <c r="F6736" t="s">
        <v>3361</v>
      </c>
      <c r="G6736" s="1">
        <v>41612</v>
      </c>
      <c r="J6736" t="s">
        <v>33661</v>
      </c>
      <c r="K6736" t="s">
        <v>33662</v>
      </c>
      <c r="M6736">
        <v>611.79999999999995</v>
      </c>
      <c r="O6736" t="s">
        <v>94</v>
      </c>
      <c r="P6736">
        <v>319.98</v>
      </c>
      <c r="Q6736">
        <v>199.99</v>
      </c>
      <c r="R6736">
        <v>159.99</v>
      </c>
      <c r="S6736">
        <v>239.99</v>
      </c>
      <c r="T6736" t="s">
        <v>33663</v>
      </c>
    </row>
    <row r="6737" spans="1:20">
      <c r="A6737">
        <v>4649098</v>
      </c>
      <c r="B6737" t="s">
        <v>33664</v>
      </c>
      <c r="C6737" t="str">
        <f>""</f>
        <v/>
      </c>
      <c r="D6737" t="str">
        <f>"9782760320994"</f>
        <v>9782760320994</v>
      </c>
      <c r="E6737" t="s">
        <v>3361</v>
      </c>
      <c r="F6737" t="s">
        <v>3361</v>
      </c>
      <c r="G6737" s="1">
        <v>41612</v>
      </c>
      <c r="H6737">
        <v>3</v>
      </c>
      <c r="I6737" t="s">
        <v>33665</v>
      </c>
      <c r="J6737" t="s">
        <v>33666</v>
      </c>
      <c r="K6737" t="s">
        <v>4081</v>
      </c>
      <c r="M6737">
        <v>418.02</v>
      </c>
      <c r="O6737" t="s">
        <v>94</v>
      </c>
      <c r="P6737">
        <v>359.98</v>
      </c>
      <c r="Q6737">
        <v>224.99</v>
      </c>
      <c r="R6737">
        <v>179.99</v>
      </c>
      <c r="S6737">
        <v>269.99</v>
      </c>
      <c r="T6737" t="s">
        <v>33667</v>
      </c>
    </row>
    <row r="6738" spans="1:20">
      <c r="A6738">
        <v>4649099</v>
      </c>
      <c r="B6738" t="s">
        <v>33668</v>
      </c>
      <c r="C6738" t="str">
        <f>""</f>
        <v/>
      </c>
      <c r="D6738" t="str">
        <f>"9780776621210"</f>
        <v>9780776621210</v>
      </c>
      <c r="E6738" t="s">
        <v>3342</v>
      </c>
      <c r="F6738" t="s">
        <v>3342</v>
      </c>
      <c r="G6738" s="1">
        <v>41613</v>
      </c>
      <c r="I6738" t="s">
        <v>33651</v>
      </c>
      <c r="J6738" t="s">
        <v>33669</v>
      </c>
      <c r="K6738" t="s">
        <v>1464</v>
      </c>
      <c r="M6738">
        <v>863.01080000000002</v>
      </c>
      <c r="O6738" t="s">
        <v>26</v>
      </c>
      <c r="P6738">
        <v>80</v>
      </c>
      <c r="Q6738">
        <v>50</v>
      </c>
      <c r="R6738">
        <v>40</v>
      </c>
      <c r="S6738">
        <v>60</v>
      </c>
      <c r="T6738" t="s">
        <v>33670</v>
      </c>
    </row>
    <row r="6739" spans="1:20">
      <c r="A6739">
        <v>4649100</v>
      </c>
      <c r="B6739" t="s">
        <v>33671</v>
      </c>
      <c r="C6739" t="str">
        <f>""</f>
        <v/>
      </c>
      <c r="D6739" t="str">
        <f>"9780776620961"</f>
        <v>9780776620961</v>
      </c>
      <c r="E6739" t="s">
        <v>3342</v>
      </c>
      <c r="F6739" t="s">
        <v>3342</v>
      </c>
      <c r="G6739" s="1">
        <v>41625</v>
      </c>
      <c r="I6739" t="s">
        <v>33672</v>
      </c>
      <c r="J6739" t="s">
        <v>33673</v>
      </c>
      <c r="K6739" t="s">
        <v>1150</v>
      </c>
      <c r="M6739">
        <v>796.09709999999995</v>
      </c>
      <c r="O6739" t="s">
        <v>26</v>
      </c>
      <c r="P6739">
        <v>179.98</v>
      </c>
      <c r="Q6739">
        <v>112.49</v>
      </c>
      <c r="R6739">
        <v>89.99</v>
      </c>
      <c r="S6739">
        <v>134.99</v>
      </c>
      <c r="T6739" t="s">
        <v>33674</v>
      </c>
    </row>
    <row r="6740" spans="1:20">
      <c r="A6740">
        <v>4649102</v>
      </c>
      <c r="B6740" t="s">
        <v>33675</v>
      </c>
      <c r="C6740" t="str">
        <f>""</f>
        <v/>
      </c>
      <c r="D6740" t="str">
        <f>"9782760320987"</f>
        <v>9782760320987</v>
      </c>
      <c r="E6740" t="s">
        <v>3361</v>
      </c>
      <c r="F6740" t="s">
        <v>3361</v>
      </c>
      <c r="G6740" s="1">
        <v>41605</v>
      </c>
      <c r="I6740" t="s">
        <v>33676</v>
      </c>
      <c r="J6740" t="s">
        <v>33677</v>
      </c>
      <c r="K6740" t="s">
        <v>1464</v>
      </c>
      <c r="M6740">
        <v>813.6</v>
      </c>
      <c r="O6740" t="s">
        <v>94</v>
      </c>
      <c r="P6740">
        <v>99.98</v>
      </c>
      <c r="Q6740">
        <v>62.49</v>
      </c>
      <c r="R6740">
        <v>49.99</v>
      </c>
      <c r="S6740">
        <v>74.989999999999995</v>
      </c>
      <c r="T6740" t="s">
        <v>33678</v>
      </c>
    </row>
    <row r="6741" spans="1:20">
      <c r="A6741">
        <v>4649103</v>
      </c>
      <c r="B6741" t="s">
        <v>33679</v>
      </c>
      <c r="C6741" t="str">
        <f>""</f>
        <v/>
      </c>
      <c r="D6741" t="str">
        <f>"9780776621241"</f>
        <v>9780776621241</v>
      </c>
      <c r="E6741" t="s">
        <v>3342</v>
      </c>
      <c r="F6741" t="s">
        <v>3342</v>
      </c>
      <c r="G6741" s="1">
        <v>41683</v>
      </c>
      <c r="I6741" t="s">
        <v>3343</v>
      </c>
      <c r="J6741" t="s">
        <v>33680</v>
      </c>
      <c r="K6741" t="s">
        <v>1464</v>
      </c>
      <c r="M6741">
        <v>813.3</v>
      </c>
      <c r="O6741" t="s">
        <v>26</v>
      </c>
      <c r="P6741">
        <v>99.98</v>
      </c>
      <c r="Q6741">
        <v>62.49</v>
      </c>
      <c r="R6741">
        <v>49.99</v>
      </c>
      <c r="S6741">
        <v>74.989999999999995</v>
      </c>
      <c r="T6741" t="s">
        <v>33681</v>
      </c>
    </row>
    <row r="6742" spans="1:20">
      <c r="A6742">
        <v>4649105</v>
      </c>
      <c r="B6742" t="s">
        <v>33682</v>
      </c>
      <c r="C6742" t="str">
        <f>""</f>
        <v/>
      </c>
      <c r="D6742" t="str">
        <f>"9780776621401"</f>
        <v>9780776621401</v>
      </c>
      <c r="E6742" t="s">
        <v>3342</v>
      </c>
      <c r="F6742" t="s">
        <v>3342</v>
      </c>
      <c r="G6742" s="1">
        <v>41732</v>
      </c>
      <c r="I6742" t="s">
        <v>3349</v>
      </c>
      <c r="J6742" t="s">
        <v>4266</v>
      </c>
      <c r="K6742" t="s">
        <v>1464</v>
      </c>
      <c r="M6742">
        <v>810.99710000000005</v>
      </c>
      <c r="O6742" t="s">
        <v>26</v>
      </c>
      <c r="P6742">
        <v>159.97999999999999</v>
      </c>
      <c r="Q6742">
        <v>99.99</v>
      </c>
      <c r="R6742">
        <v>79.989999999999995</v>
      </c>
      <c r="S6742">
        <v>119.99</v>
      </c>
      <c r="T6742" t="s">
        <v>33683</v>
      </c>
    </row>
    <row r="6743" spans="1:20">
      <c r="A6743">
        <v>4649106</v>
      </c>
      <c r="B6743" t="s">
        <v>33684</v>
      </c>
      <c r="C6743" t="str">
        <f>""</f>
        <v/>
      </c>
      <c r="D6743" t="str">
        <f>"9782760321595"</f>
        <v>9782760321595</v>
      </c>
      <c r="E6743" t="s">
        <v>3361</v>
      </c>
      <c r="F6743" t="s">
        <v>3361</v>
      </c>
      <c r="G6743" s="1">
        <v>41787</v>
      </c>
      <c r="I6743" t="s">
        <v>8639</v>
      </c>
      <c r="J6743" t="s">
        <v>33685</v>
      </c>
      <c r="K6743" t="s">
        <v>4081</v>
      </c>
      <c r="M6743">
        <v>442</v>
      </c>
      <c r="O6743" t="s">
        <v>94</v>
      </c>
      <c r="P6743">
        <v>199.98</v>
      </c>
      <c r="Q6743">
        <v>124.99</v>
      </c>
      <c r="R6743">
        <v>99.99</v>
      </c>
      <c r="S6743">
        <v>149.99</v>
      </c>
      <c r="T6743" t="s">
        <v>33686</v>
      </c>
    </row>
    <row r="6744" spans="1:20">
      <c r="A6744">
        <v>4649107</v>
      </c>
      <c r="B6744" t="s">
        <v>33687</v>
      </c>
      <c r="C6744" t="str">
        <f>""</f>
        <v/>
      </c>
      <c r="D6744" t="str">
        <f>"9780776621531"</f>
        <v>9780776621531</v>
      </c>
      <c r="E6744" t="s">
        <v>3342</v>
      </c>
      <c r="F6744" t="s">
        <v>3342</v>
      </c>
      <c r="G6744" s="1">
        <v>41767</v>
      </c>
      <c r="I6744" t="s">
        <v>3343</v>
      </c>
      <c r="J6744" t="s">
        <v>33688</v>
      </c>
      <c r="K6744" t="s">
        <v>1464</v>
      </c>
      <c r="M6744">
        <v>811.54</v>
      </c>
      <c r="O6744" t="s">
        <v>26</v>
      </c>
      <c r="P6744">
        <v>230</v>
      </c>
      <c r="Q6744">
        <v>143.75</v>
      </c>
      <c r="R6744">
        <v>115</v>
      </c>
      <c r="S6744">
        <v>172.5</v>
      </c>
      <c r="T6744" t="s">
        <v>33689</v>
      </c>
    </row>
    <row r="6745" spans="1:20">
      <c r="A6745">
        <v>4649110</v>
      </c>
      <c r="B6745" t="s">
        <v>33690</v>
      </c>
      <c r="C6745" t="str">
        <f>""</f>
        <v/>
      </c>
      <c r="D6745" t="str">
        <f>"9780776621470"</f>
        <v>9780776621470</v>
      </c>
      <c r="E6745" t="s">
        <v>3342</v>
      </c>
      <c r="F6745" t="s">
        <v>3342</v>
      </c>
      <c r="G6745" s="1">
        <v>41753</v>
      </c>
      <c r="I6745" t="s">
        <v>33691</v>
      </c>
      <c r="J6745" t="s">
        <v>33692</v>
      </c>
      <c r="K6745" t="s">
        <v>263</v>
      </c>
      <c r="M6745">
        <v>305.56909710000002</v>
      </c>
      <c r="O6745" t="s">
        <v>26</v>
      </c>
      <c r="P6745">
        <v>159.97999999999999</v>
      </c>
      <c r="Q6745">
        <v>99.99</v>
      </c>
      <c r="R6745">
        <v>79.989999999999995</v>
      </c>
      <c r="S6745">
        <v>119.99</v>
      </c>
      <c r="T6745" t="s">
        <v>33693</v>
      </c>
    </row>
    <row r="6746" spans="1:20">
      <c r="A6746">
        <v>4649111</v>
      </c>
      <c r="B6746" t="s">
        <v>33694</v>
      </c>
      <c r="C6746" t="str">
        <f>""</f>
        <v/>
      </c>
      <c r="D6746" t="str">
        <f>"9780776621500"</f>
        <v>9780776621500</v>
      </c>
      <c r="E6746" t="s">
        <v>33695</v>
      </c>
      <c r="F6746" t="s">
        <v>3342</v>
      </c>
      <c r="G6746" s="1">
        <v>41774</v>
      </c>
      <c r="I6746" t="s">
        <v>33696</v>
      </c>
      <c r="J6746" t="s">
        <v>33697</v>
      </c>
      <c r="K6746" t="s">
        <v>263</v>
      </c>
      <c r="M6746">
        <v>305.89699999999999</v>
      </c>
      <c r="O6746" t="s">
        <v>26</v>
      </c>
      <c r="P6746">
        <v>350</v>
      </c>
      <c r="Q6746">
        <v>218.75</v>
      </c>
      <c r="R6746">
        <v>175</v>
      </c>
      <c r="S6746">
        <v>262.5</v>
      </c>
      <c r="T6746" t="s">
        <v>33698</v>
      </c>
    </row>
    <row r="6747" spans="1:20">
      <c r="A6747">
        <v>4649112</v>
      </c>
      <c r="B6747" t="s">
        <v>33699</v>
      </c>
      <c r="C6747" t="str">
        <f>""</f>
        <v/>
      </c>
      <c r="D6747" t="str">
        <f>"9780776621562"</f>
        <v>9780776621562</v>
      </c>
      <c r="E6747" t="s">
        <v>3342</v>
      </c>
      <c r="F6747" t="s">
        <v>3342</v>
      </c>
      <c r="G6747" s="1">
        <v>41758</v>
      </c>
      <c r="J6747" t="s">
        <v>33700</v>
      </c>
      <c r="K6747" t="s">
        <v>263</v>
      </c>
      <c r="M6747">
        <v>305.81139999999999</v>
      </c>
      <c r="O6747" t="s">
        <v>26</v>
      </c>
      <c r="P6747">
        <v>159.97999999999999</v>
      </c>
      <c r="Q6747">
        <v>99.99</v>
      </c>
      <c r="R6747">
        <v>79.989999999999995</v>
      </c>
      <c r="S6747">
        <v>119.99</v>
      </c>
      <c r="T6747" t="s">
        <v>33701</v>
      </c>
    </row>
    <row r="6748" spans="1:20">
      <c r="A6748">
        <v>4649117</v>
      </c>
      <c r="B6748" t="s">
        <v>33702</v>
      </c>
      <c r="C6748" t="str">
        <f>""</f>
        <v/>
      </c>
      <c r="D6748" t="str">
        <f>"9782760321915"</f>
        <v>9782760321915</v>
      </c>
      <c r="E6748" t="s">
        <v>3361</v>
      </c>
      <c r="F6748" t="s">
        <v>3361</v>
      </c>
      <c r="G6748" s="1">
        <v>42242</v>
      </c>
      <c r="I6748" t="s">
        <v>33703</v>
      </c>
      <c r="J6748" t="s">
        <v>33704</v>
      </c>
      <c r="O6748" t="s">
        <v>94</v>
      </c>
      <c r="P6748">
        <v>239.98</v>
      </c>
      <c r="Q6748">
        <v>149.99</v>
      </c>
      <c r="R6748">
        <v>119.99</v>
      </c>
      <c r="S6748">
        <v>179.99</v>
      </c>
      <c r="T6748" t="s">
        <v>33705</v>
      </c>
    </row>
    <row r="6749" spans="1:20">
      <c r="A6749">
        <v>4649118</v>
      </c>
      <c r="B6749" t="s">
        <v>33706</v>
      </c>
      <c r="C6749" t="str">
        <f>""</f>
        <v/>
      </c>
      <c r="D6749" t="str">
        <f>"9782760321762"</f>
        <v>9782760321762</v>
      </c>
      <c r="E6749" t="s">
        <v>3361</v>
      </c>
      <c r="F6749" t="s">
        <v>3361</v>
      </c>
      <c r="G6749" s="1">
        <v>41902</v>
      </c>
      <c r="I6749" t="s">
        <v>33703</v>
      </c>
      <c r="J6749" t="s">
        <v>33707</v>
      </c>
      <c r="O6749" t="s">
        <v>94</v>
      </c>
      <c r="P6749">
        <v>299.98</v>
      </c>
      <c r="Q6749">
        <v>187.49</v>
      </c>
      <c r="R6749">
        <v>149.99</v>
      </c>
      <c r="S6749">
        <v>224.99</v>
      </c>
      <c r="T6749" t="s">
        <v>33708</v>
      </c>
    </row>
    <row r="6750" spans="1:20">
      <c r="A6750">
        <v>4649122</v>
      </c>
      <c r="B6750" t="s">
        <v>33709</v>
      </c>
      <c r="C6750" t="str">
        <f>""</f>
        <v/>
      </c>
      <c r="D6750" t="str">
        <f>"9780776621692"</f>
        <v>9780776621692</v>
      </c>
      <c r="E6750" t="s">
        <v>3342</v>
      </c>
      <c r="F6750" t="s">
        <v>3342</v>
      </c>
      <c r="G6750" s="1">
        <v>41912</v>
      </c>
      <c r="I6750" t="s">
        <v>33651</v>
      </c>
      <c r="J6750" t="s">
        <v>33710</v>
      </c>
      <c r="K6750" t="s">
        <v>1464</v>
      </c>
      <c r="M6750">
        <v>843.6</v>
      </c>
      <c r="O6750" t="s">
        <v>26</v>
      </c>
      <c r="P6750">
        <v>99.98</v>
      </c>
      <c r="Q6750">
        <v>62.49</v>
      </c>
      <c r="R6750">
        <v>49.99</v>
      </c>
      <c r="S6750">
        <v>74.989999999999995</v>
      </c>
      <c r="T6750" t="s">
        <v>33711</v>
      </c>
    </row>
    <row r="6751" spans="1:20">
      <c r="A6751">
        <v>4649125</v>
      </c>
      <c r="B6751" t="s">
        <v>33712</v>
      </c>
      <c r="C6751" t="str">
        <f>""</f>
        <v/>
      </c>
      <c r="D6751" t="str">
        <f>"9780776621821"</f>
        <v>9780776621821</v>
      </c>
      <c r="E6751" t="s">
        <v>3342</v>
      </c>
      <c r="F6751" t="s">
        <v>3342</v>
      </c>
      <c r="G6751" s="1">
        <v>42152</v>
      </c>
      <c r="I6751" t="s">
        <v>33713</v>
      </c>
      <c r="J6751" t="s">
        <v>33648</v>
      </c>
      <c r="K6751" t="s">
        <v>525</v>
      </c>
      <c r="M6751">
        <v>342.71085799999997</v>
      </c>
      <c r="O6751" t="s">
        <v>26</v>
      </c>
      <c r="P6751">
        <v>271.98</v>
      </c>
      <c r="Q6751">
        <v>169.99</v>
      </c>
      <c r="R6751">
        <v>135.99</v>
      </c>
      <c r="S6751">
        <v>203.99</v>
      </c>
      <c r="T6751" t="s">
        <v>33714</v>
      </c>
    </row>
    <row r="6752" spans="1:20">
      <c r="A6752">
        <v>4649126</v>
      </c>
      <c r="B6752" t="s">
        <v>33715</v>
      </c>
      <c r="C6752" t="str">
        <f>""</f>
        <v/>
      </c>
      <c r="D6752" t="str">
        <f>"9780776621678"</f>
        <v>9780776621678</v>
      </c>
      <c r="E6752" t="s">
        <v>3342</v>
      </c>
      <c r="F6752" t="s">
        <v>3342</v>
      </c>
      <c r="G6752" s="1">
        <v>41926</v>
      </c>
      <c r="J6752" t="s">
        <v>33716</v>
      </c>
      <c r="K6752" t="s">
        <v>12285</v>
      </c>
      <c r="M6752">
        <v>510</v>
      </c>
      <c r="O6752" t="s">
        <v>26</v>
      </c>
      <c r="P6752">
        <v>200</v>
      </c>
      <c r="Q6752">
        <v>125</v>
      </c>
      <c r="R6752">
        <v>100</v>
      </c>
      <c r="S6752">
        <v>150</v>
      </c>
      <c r="T6752" t="s">
        <v>33717</v>
      </c>
    </row>
    <row r="6753" spans="1:20">
      <c r="A6753">
        <v>4649127</v>
      </c>
      <c r="B6753" t="s">
        <v>33718</v>
      </c>
      <c r="C6753" t="str">
        <f>""</f>
        <v/>
      </c>
      <c r="D6753" t="str">
        <f>"9780776621852"</f>
        <v>9780776621852</v>
      </c>
      <c r="E6753" t="s">
        <v>3342</v>
      </c>
      <c r="F6753" t="s">
        <v>3342</v>
      </c>
      <c r="G6753" s="1">
        <v>41975</v>
      </c>
      <c r="I6753" t="s">
        <v>3349</v>
      </c>
      <c r="J6753" t="s">
        <v>4176</v>
      </c>
      <c r="K6753" t="s">
        <v>1464</v>
      </c>
      <c r="M6753">
        <v>813.54</v>
      </c>
      <c r="O6753" t="s">
        <v>26</v>
      </c>
      <c r="P6753">
        <v>159.97999999999999</v>
      </c>
      <c r="Q6753">
        <v>99.99</v>
      </c>
      <c r="R6753">
        <v>79.989999999999995</v>
      </c>
      <c r="S6753">
        <v>119.99</v>
      </c>
      <c r="T6753" t="s">
        <v>33719</v>
      </c>
    </row>
    <row r="6754" spans="1:20">
      <c r="A6754">
        <v>4649128</v>
      </c>
      <c r="B6754" t="s">
        <v>33720</v>
      </c>
      <c r="C6754" t="str">
        <f>""</f>
        <v/>
      </c>
      <c r="D6754" t="str">
        <f>"9782760309524"</f>
        <v>9782760309524</v>
      </c>
      <c r="E6754" t="s">
        <v>3361</v>
      </c>
      <c r="F6754" t="s">
        <v>3361</v>
      </c>
      <c r="G6754" s="1">
        <v>41829</v>
      </c>
      <c r="I6754" t="s">
        <v>33562</v>
      </c>
      <c r="J6754" t="s">
        <v>33721</v>
      </c>
      <c r="O6754" t="s">
        <v>94</v>
      </c>
      <c r="P6754">
        <v>199.98</v>
      </c>
      <c r="Q6754">
        <v>124.99</v>
      </c>
      <c r="R6754">
        <v>99.99</v>
      </c>
      <c r="S6754">
        <v>149.99</v>
      </c>
      <c r="T6754" t="s">
        <v>33722</v>
      </c>
    </row>
    <row r="6755" spans="1:20">
      <c r="A6755">
        <v>4649131</v>
      </c>
      <c r="B6755" t="s">
        <v>33723</v>
      </c>
      <c r="C6755" t="str">
        <f>""</f>
        <v/>
      </c>
      <c r="D6755" t="str">
        <f>"9780776622545"</f>
        <v>9780776622545</v>
      </c>
      <c r="E6755" t="s">
        <v>3342</v>
      </c>
      <c r="F6755" t="s">
        <v>3342</v>
      </c>
      <c r="G6755" s="1">
        <v>42032</v>
      </c>
      <c r="I6755" t="s">
        <v>33724</v>
      </c>
      <c r="J6755" t="s">
        <v>33725</v>
      </c>
      <c r="K6755" t="s">
        <v>263</v>
      </c>
      <c r="M6755">
        <v>305.81099999999998</v>
      </c>
      <c r="O6755" t="s">
        <v>26</v>
      </c>
      <c r="P6755">
        <v>59.98</v>
      </c>
      <c r="Q6755">
        <v>37.49</v>
      </c>
      <c r="R6755">
        <v>29.99</v>
      </c>
      <c r="S6755">
        <v>44.99</v>
      </c>
      <c r="T6755" t="s">
        <v>33726</v>
      </c>
    </row>
    <row r="6756" spans="1:20">
      <c r="A6756">
        <v>4649136</v>
      </c>
      <c r="B6756" t="s">
        <v>33727</v>
      </c>
      <c r="C6756" t="str">
        <f>""</f>
        <v/>
      </c>
      <c r="D6756" t="str">
        <f>"9780776622583"</f>
        <v>9780776622583</v>
      </c>
      <c r="E6756" t="s">
        <v>3342</v>
      </c>
      <c r="F6756" t="s">
        <v>3342</v>
      </c>
      <c r="G6756" s="1">
        <v>42117</v>
      </c>
      <c r="I6756" t="s">
        <v>33713</v>
      </c>
      <c r="J6756" t="s">
        <v>33728</v>
      </c>
      <c r="K6756" t="s">
        <v>263</v>
      </c>
      <c r="M6756">
        <v>302.23108200000001</v>
      </c>
      <c r="O6756" t="s">
        <v>26</v>
      </c>
      <c r="P6756">
        <v>271.98</v>
      </c>
      <c r="Q6756">
        <v>169.99</v>
      </c>
      <c r="R6756">
        <v>135.99</v>
      </c>
      <c r="S6756">
        <v>203.99</v>
      </c>
      <c r="T6756" t="s">
        <v>33729</v>
      </c>
    </row>
    <row r="6757" spans="1:20">
      <c r="A6757">
        <v>4649137</v>
      </c>
      <c r="B6757" t="s">
        <v>33730</v>
      </c>
      <c r="C6757" t="str">
        <f>""</f>
        <v/>
      </c>
      <c r="D6757" t="str">
        <f>"9780776622620"</f>
        <v>9780776622620</v>
      </c>
      <c r="E6757" t="s">
        <v>3342</v>
      </c>
      <c r="F6757" t="s">
        <v>3342</v>
      </c>
      <c r="G6757" s="1">
        <v>42145</v>
      </c>
      <c r="I6757" t="s">
        <v>3343</v>
      </c>
      <c r="J6757" t="s">
        <v>33731</v>
      </c>
      <c r="K6757" t="s">
        <v>1458</v>
      </c>
      <c r="L6757" t="s">
        <v>33732</v>
      </c>
      <c r="M6757">
        <v>813.5</v>
      </c>
      <c r="O6757" t="s">
        <v>26</v>
      </c>
      <c r="P6757">
        <v>139.97999999999999</v>
      </c>
      <c r="Q6757">
        <v>87.49</v>
      </c>
      <c r="R6757">
        <v>69.989999999999995</v>
      </c>
      <c r="S6757">
        <v>104.99</v>
      </c>
      <c r="T6757" t="s">
        <v>33733</v>
      </c>
    </row>
    <row r="6758" spans="1:20">
      <c r="A6758">
        <v>4649139</v>
      </c>
      <c r="B6758" t="s">
        <v>33734</v>
      </c>
      <c r="C6758" t="str">
        <f>""</f>
        <v/>
      </c>
      <c r="D6758" t="str">
        <f>"9780776621647"</f>
        <v>9780776621647</v>
      </c>
      <c r="E6758" t="s">
        <v>3342</v>
      </c>
      <c r="F6758" t="s">
        <v>3342</v>
      </c>
      <c r="G6758" s="1">
        <v>42026</v>
      </c>
      <c r="I6758" t="s">
        <v>3343</v>
      </c>
      <c r="J6758" t="s">
        <v>33735</v>
      </c>
      <c r="K6758" t="s">
        <v>1458</v>
      </c>
      <c r="M6758">
        <v>813.54</v>
      </c>
      <c r="O6758" t="s">
        <v>26</v>
      </c>
      <c r="P6758">
        <v>139.97999999999999</v>
      </c>
      <c r="Q6758">
        <v>87.49</v>
      </c>
      <c r="R6758">
        <v>69.989999999999995</v>
      </c>
      <c r="S6758">
        <v>104.99</v>
      </c>
      <c r="T6758" t="s">
        <v>33736</v>
      </c>
    </row>
    <row r="6759" spans="1:20">
      <c r="A6759">
        <v>4649142</v>
      </c>
      <c r="B6759" t="s">
        <v>33737</v>
      </c>
      <c r="C6759" t="str">
        <f>""</f>
        <v/>
      </c>
      <c r="D6759" t="str">
        <f>"9780776623160"</f>
        <v>9780776623160</v>
      </c>
      <c r="E6759" t="s">
        <v>3342</v>
      </c>
      <c r="F6759" t="s">
        <v>3342</v>
      </c>
      <c r="G6759" s="1">
        <v>42299</v>
      </c>
      <c r="I6759" t="s">
        <v>3343</v>
      </c>
      <c r="J6759" t="s">
        <v>33738</v>
      </c>
      <c r="K6759" t="s">
        <v>1464</v>
      </c>
      <c r="M6759">
        <v>823.91200000000003</v>
      </c>
      <c r="O6759" t="s">
        <v>26</v>
      </c>
      <c r="P6759">
        <v>139.97999999999999</v>
      </c>
      <c r="Q6759">
        <v>87.49</v>
      </c>
      <c r="R6759">
        <v>69.989999999999995</v>
      </c>
      <c r="S6759">
        <v>104.99</v>
      </c>
      <c r="T6759" t="s">
        <v>33739</v>
      </c>
    </row>
    <row r="6760" spans="1:20">
      <c r="A6760">
        <v>4649147</v>
      </c>
      <c r="B6760" t="s">
        <v>33740</v>
      </c>
      <c r="C6760" t="str">
        <f>""</f>
        <v/>
      </c>
      <c r="D6760" t="str">
        <f>"9780776622903"</f>
        <v>9780776622903</v>
      </c>
      <c r="E6760" t="s">
        <v>3342</v>
      </c>
      <c r="F6760" t="s">
        <v>3342</v>
      </c>
      <c r="G6760" s="1">
        <v>42327</v>
      </c>
      <c r="I6760" t="s">
        <v>3380</v>
      </c>
      <c r="J6760" t="s">
        <v>33741</v>
      </c>
      <c r="K6760" t="s">
        <v>1150</v>
      </c>
      <c r="M6760">
        <v>796.96209710000005</v>
      </c>
      <c r="O6760" t="s">
        <v>26</v>
      </c>
      <c r="P6760">
        <v>59.98</v>
      </c>
      <c r="Q6760">
        <v>37.49</v>
      </c>
      <c r="R6760">
        <v>29.99</v>
      </c>
      <c r="S6760">
        <v>44.99</v>
      </c>
      <c r="T6760" t="s">
        <v>33742</v>
      </c>
    </row>
    <row r="6761" spans="1:20">
      <c r="A6761">
        <v>4649148</v>
      </c>
      <c r="B6761" t="s">
        <v>33743</v>
      </c>
      <c r="C6761" t="str">
        <f>""</f>
        <v/>
      </c>
      <c r="D6761" t="str">
        <f>"9780776623085"</f>
        <v>9780776623085</v>
      </c>
      <c r="E6761" t="s">
        <v>3342</v>
      </c>
      <c r="F6761" t="s">
        <v>3342</v>
      </c>
      <c r="G6761" s="1">
        <v>42236</v>
      </c>
      <c r="I6761" t="s">
        <v>3343</v>
      </c>
      <c r="J6761" t="s">
        <v>33744</v>
      </c>
      <c r="K6761" t="s">
        <v>1464</v>
      </c>
      <c r="M6761">
        <v>801.95092</v>
      </c>
      <c r="O6761" t="s">
        <v>26</v>
      </c>
      <c r="P6761">
        <v>159.97999999999999</v>
      </c>
      <c r="Q6761">
        <v>99.99</v>
      </c>
      <c r="R6761">
        <v>79.989999999999995</v>
      </c>
      <c r="S6761">
        <v>119.99</v>
      </c>
      <c r="T6761" t="s">
        <v>33745</v>
      </c>
    </row>
    <row r="6762" spans="1:20">
      <c r="A6762">
        <v>4649497</v>
      </c>
      <c r="B6762" t="s">
        <v>33746</v>
      </c>
      <c r="C6762" t="str">
        <f>"9781553394266"</f>
        <v>9781553394266</v>
      </c>
      <c r="D6762" t="str">
        <f>"9781553394273"</f>
        <v>9781553394273</v>
      </c>
      <c r="E6762" t="s">
        <v>12863</v>
      </c>
      <c r="F6762" t="s">
        <v>21530</v>
      </c>
      <c r="G6762" s="1">
        <v>41913</v>
      </c>
      <c r="H6762">
        <v>2</v>
      </c>
      <c r="I6762" t="s">
        <v>21531</v>
      </c>
      <c r="J6762" t="s">
        <v>33747</v>
      </c>
      <c r="K6762" t="s">
        <v>4433</v>
      </c>
      <c r="L6762" t="s">
        <v>33748</v>
      </c>
      <c r="M6762" t="s">
        <v>33749</v>
      </c>
      <c r="O6762" t="s">
        <v>26</v>
      </c>
      <c r="P6762">
        <v>150</v>
      </c>
      <c r="Q6762">
        <v>125</v>
      </c>
      <c r="R6762">
        <v>100</v>
      </c>
      <c r="S6762">
        <v>150</v>
      </c>
      <c r="T6762" t="s">
        <v>33750</v>
      </c>
    </row>
    <row r="6763" spans="1:20">
      <c r="A6763">
        <v>4660333</v>
      </c>
      <c r="B6763" t="s">
        <v>33751</v>
      </c>
      <c r="C6763" t="str">
        <f>"9781552453117"</f>
        <v>9781552453117</v>
      </c>
      <c r="D6763" t="str">
        <f>"9781770564190"</f>
        <v>9781770564190</v>
      </c>
      <c r="E6763" t="s">
        <v>7779</v>
      </c>
      <c r="F6763" t="s">
        <v>7779</v>
      </c>
      <c r="G6763" s="1">
        <v>42156</v>
      </c>
      <c r="J6763" t="s">
        <v>33752</v>
      </c>
      <c r="K6763" t="s">
        <v>1550</v>
      </c>
      <c r="L6763" t="s">
        <v>33753</v>
      </c>
      <c r="M6763" t="s">
        <v>7826</v>
      </c>
      <c r="N6763" t="s">
        <v>33754</v>
      </c>
      <c r="O6763" t="s">
        <v>26</v>
      </c>
      <c r="P6763">
        <v>19.95</v>
      </c>
      <c r="Q6763">
        <v>24.94</v>
      </c>
      <c r="R6763">
        <v>19.95</v>
      </c>
      <c r="S6763">
        <v>29.93</v>
      </c>
      <c r="T6763" t="s">
        <v>33755</v>
      </c>
    </row>
    <row r="6764" spans="1:20">
      <c r="A6764">
        <v>4661699</v>
      </c>
      <c r="B6764" t="s">
        <v>33756</v>
      </c>
      <c r="C6764" t="str">
        <f>"9780985828868"</f>
        <v>9780985828868</v>
      </c>
      <c r="D6764" t="str">
        <f>"9780985828899"</f>
        <v>9780985828899</v>
      </c>
      <c r="E6764" t="s">
        <v>33757</v>
      </c>
      <c r="F6764" t="s">
        <v>33757</v>
      </c>
      <c r="G6764" s="1">
        <v>42077</v>
      </c>
      <c r="H6764">
        <v>2</v>
      </c>
      <c r="J6764" t="s">
        <v>33758</v>
      </c>
      <c r="K6764" t="s">
        <v>10860</v>
      </c>
      <c r="M6764">
        <v>25.3</v>
      </c>
      <c r="N6764" t="s">
        <v>33759</v>
      </c>
      <c r="O6764" t="s">
        <v>26</v>
      </c>
      <c r="R6764">
        <v>95</v>
      </c>
      <c r="S6764">
        <v>142.5</v>
      </c>
      <c r="T6764" t="s">
        <v>33760</v>
      </c>
    </row>
    <row r="6765" spans="1:20">
      <c r="A6765">
        <v>4669178</v>
      </c>
      <c r="B6765" t="s">
        <v>33761</v>
      </c>
      <c r="C6765" t="str">
        <f>"9781442647572"</f>
        <v>9781442647572</v>
      </c>
      <c r="D6765" t="str">
        <f>"9781442668584"</f>
        <v>9781442668584</v>
      </c>
      <c r="E6765" t="s">
        <v>31435</v>
      </c>
      <c r="F6765" t="s">
        <v>31435</v>
      </c>
      <c r="G6765" s="1">
        <v>41640</v>
      </c>
      <c r="I6765" t="s">
        <v>33762</v>
      </c>
      <c r="J6765" t="s">
        <v>33763</v>
      </c>
      <c r="K6765" t="s">
        <v>1464</v>
      </c>
      <c r="L6765" t="s">
        <v>33764</v>
      </c>
      <c r="M6765" t="s">
        <v>33765</v>
      </c>
      <c r="O6765" t="s">
        <v>26</v>
      </c>
      <c r="Q6765">
        <v>87.5</v>
      </c>
      <c r="R6765">
        <v>70</v>
      </c>
      <c r="S6765">
        <v>105</v>
      </c>
      <c r="T6765" t="s">
        <v>33766</v>
      </c>
    </row>
    <row r="6766" spans="1:20">
      <c r="A6766">
        <v>4669181</v>
      </c>
      <c r="B6766" t="s">
        <v>33767</v>
      </c>
      <c r="C6766" t="str">
        <f>"9781442648685"</f>
        <v>9781442648685</v>
      </c>
      <c r="D6766" t="str">
        <f>"9781442617476"</f>
        <v>9781442617476</v>
      </c>
      <c r="E6766" t="s">
        <v>31435</v>
      </c>
      <c r="F6766" t="s">
        <v>31435</v>
      </c>
      <c r="G6766" s="1">
        <v>41920</v>
      </c>
      <c r="J6766" t="s">
        <v>33768</v>
      </c>
      <c r="K6766" t="s">
        <v>1464</v>
      </c>
      <c r="M6766">
        <v>821.30899999999997</v>
      </c>
      <c r="O6766" t="s">
        <v>26</v>
      </c>
      <c r="Q6766">
        <v>81.25</v>
      </c>
      <c r="R6766">
        <v>65</v>
      </c>
      <c r="S6766">
        <v>97.5</v>
      </c>
      <c r="T6766" t="s">
        <v>33769</v>
      </c>
    </row>
    <row r="6767" spans="1:20">
      <c r="A6767">
        <v>4669182</v>
      </c>
      <c r="B6767" t="s">
        <v>33770</v>
      </c>
      <c r="C6767" t="str">
        <f>"9781442650589"</f>
        <v>9781442650589</v>
      </c>
      <c r="D6767" t="str">
        <f>"9781442624153"</f>
        <v>9781442624153</v>
      </c>
      <c r="E6767" t="s">
        <v>31435</v>
      </c>
      <c r="F6767" t="s">
        <v>31435</v>
      </c>
      <c r="G6767" s="1">
        <v>42005</v>
      </c>
      <c r="I6767" t="s">
        <v>33771</v>
      </c>
      <c r="J6767" t="s">
        <v>33772</v>
      </c>
      <c r="O6767" t="s">
        <v>26</v>
      </c>
      <c r="Q6767">
        <v>68.75</v>
      </c>
      <c r="R6767">
        <v>55</v>
      </c>
      <c r="S6767">
        <v>82.5</v>
      </c>
      <c r="T6767" t="s">
        <v>33773</v>
      </c>
    </row>
    <row r="6768" spans="1:20">
      <c r="A6768">
        <v>4669187</v>
      </c>
      <c r="B6768" t="s">
        <v>33774</v>
      </c>
      <c r="C6768" t="str">
        <f>"9781442650596"</f>
        <v>9781442650596</v>
      </c>
      <c r="D6768" t="str">
        <f>"9781442624139"</f>
        <v>9781442624139</v>
      </c>
      <c r="E6768" t="s">
        <v>31435</v>
      </c>
      <c r="F6768" t="s">
        <v>31435</v>
      </c>
      <c r="G6768" s="1">
        <v>42005</v>
      </c>
      <c r="I6768" t="s">
        <v>33775</v>
      </c>
      <c r="J6768" t="s">
        <v>33776</v>
      </c>
      <c r="O6768" t="s">
        <v>26</v>
      </c>
      <c r="Q6768">
        <v>93.75</v>
      </c>
      <c r="R6768">
        <v>75</v>
      </c>
      <c r="S6768">
        <v>112.5</v>
      </c>
      <c r="T6768" t="s">
        <v>33777</v>
      </c>
    </row>
    <row r="6769" spans="1:20">
      <c r="A6769">
        <v>4669191</v>
      </c>
      <c r="B6769" t="s">
        <v>33778</v>
      </c>
      <c r="C6769" t="str">
        <f>"9781442647831"</f>
        <v>9781442647831</v>
      </c>
      <c r="D6769" t="str">
        <f>"9781442669321"</f>
        <v>9781442669321</v>
      </c>
      <c r="E6769" t="s">
        <v>31435</v>
      </c>
      <c r="F6769" t="s">
        <v>31435</v>
      </c>
      <c r="G6769" s="1">
        <v>41640</v>
      </c>
      <c r="J6769" t="s">
        <v>33779</v>
      </c>
      <c r="K6769" t="s">
        <v>291</v>
      </c>
      <c r="L6769" t="s">
        <v>33780</v>
      </c>
      <c r="M6769" t="s">
        <v>33781</v>
      </c>
      <c r="O6769" t="s">
        <v>26</v>
      </c>
      <c r="Q6769">
        <v>93.75</v>
      </c>
      <c r="R6769">
        <v>75</v>
      </c>
      <c r="S6769">
        <v>112.5</v>
      </c>
      <c r="T6769" t="s">
        <v>33782</v>
      </c>
    </row>
    <row r="6770" spans="1:20">
      <c r="A6770">
        <v>4669197</v>
      </c>
      <c r="B6770" t="s">
        <v>33783</v>
      </c>
      <c r="C6770" t="str">
        <f>"9781442650206"</f>
        <v>9781442650206</v>
      </c>
      <c r="D6770" t="str">
        <f>"9781442622555"</f>
        <v>9781442622555</v>
      </c>
      <c r="E6770" t="s">
        <v>31435</v>
      </c>
      <c r="F6770" t="s">
        <v>31435</v>
      </c>
      <c r="G6770" s="1">
        <v>42005</v>
      </c>
      <c r="J6770" t="s">
        <v>33784</v>
      </c>
      <c r="O6770" t="s">
        <v>26</v>
      </c>
      <c r="Q6770">
        <v>87.5</v>
      </c>
      <c r="R6770">
        <v>70</v>
      </c>
      <c r="S6770">
        <v>105</v>
      </c>
      <c r="T6770" t="s">
        <v>33785</v>
      </c>
    </row>
    <row r="6771" spans="1:20">
      <c r="A6771">
        <v>4669217</v>
      </c>
      <c r="B6771" t="s">
        <v>33786</v>
      </c>
      <c r="C6771" t="str">
        <f>"9781442615366"</f>
        <v>9781442615366</v>
      </c>
      <c r="D6771" t="str">
        <f>"9781442669154"</f>
        <v>9781442669154</v>
      </c>
      <c r="E6771" t="s">
        <v>31435</v>
      </c>
      <c r="F6771" t="s">
        <v>31435</v>
      </c>
      <c r="G6771" s="1">
        <v>41275</v>
      </c>
      <c r="H6771">
        <v>2</v>
      </c>
      <c r="J6771" t="s">
        <v>33787</v>
      </c>
      <c r="K6771" t="s">
        <v>257</v>
      </c>
      <c r="L6771" t="s">
        <v>33788</v>
      </c>
      <c r="M6771" t="s">
        <v>33789</v>
      </c>
      <c r="O6771" t="s">
        <v>26</v>
      </c>
      <c r="Q6771">
        <v>115</v>
      </c>
      <c r="R6771">
        <v>92</v>
      </c>
      <c r="S6771">
        <v>138</v>
      </c>
      <c r="T6771" t="s">
        <v>33790</v>
      </c>
    </row>
    <row r="6772" spans="1:20">
      <c r="A6772">
        <v>4669219</v>
      </c>
      <c r="B6772" t="s">
        <v>33791</v>
      </c>
      <c r="C6772" t="str">
        <f>"9781442644687"</f>
        <v>9781442644687</v>
      </c>
      <c r="D6772" t="str">
        <f>"9781442661349"</f>
        <v>9781442661349</v>
      </c>
      <c r="E6772" t="s">
        <v>31435</v>
      </c>
      <c r="F6772" t="s">
        <v>31435</v>
      </c>
      <c r="G6772" s="1">
        <v>40909</v>
      </c>
      <c r="I6772" t="s">
        <v>33792</v>
      </c>
      <c r="J6772" t="s">
        <v>33793</v>
      </c>
      <c r="K6772" t="s">
        <v>1464</v>
      </c>
      <c r="L6772" t="s">
        <v>33794</v>
      </c>
      <c r="M6772" t="s">
        <v>33795</v>
      </c>
      <c r="O6772" t="s">
        <v>26</v>
      </c>
      <c r="Q6772">
        <v>115</v>
      </c>
      <c r="R6772">
        <v>92</v>
      </c>
      <c r="S6772">
        <v>138</v>
      </c>
      <c r="T6772" t="s">
        <v>33796</v>
      </c>
    </row>
    <row r="6773" spans="1:20">
      <c r="A6773">
        <v>4669233</v>
      </c>
      <c r="B6773" t="s">
        <v>33797</v>
      </c>
      <c r="C6773" t="str">
        <f>"9781442645462"</f>
        <v>9781442645462</v>
      </c>
      <c r="D6773" t="str">
        <f>"9781442662841"</f>
        <v>9781442662841</v>
      </c>
      <c r="E6773" t="s">
        <v>31435</v>
      </c>
      <c r="F6773" t="s">
        <v>31435</v>
      </c>
      <c r="G6773" s="1">
        <v>41382</v>
      </c>
      <c r="H6773">
        <v>3</v>
      </c>
      <c r="I6773" t="s">
        <v>33798</v>
      </c>
      <c r="J6773" t="s">
        <v>33799</v>
      </c>
      <c r="K6773" t="s">
        <v>3230</v>
      </c>
      <c r="L6773" t="s">
        <v>33800</v>
      </c>
      <c r="M6773">
        <v>910.4</v>
      </c>
      <c r="O6773" t="s">
        <v>26</v>
      </c>
      <c r="Q6773">
        <v>248.75</v>
      </c>
      <c r="R6773">
        <v>199</v>
      </c>
      <c r="S6773">
        <v>298.5</v>
      </c>
      <c r="T6773" t="s">
        <v>33801</v>
      </c>
    </row>
    <row r="6774" spans="1:20">
      <c r="A6774">
        <v>4669237</v>
      </c>
      <c r="B6774" t="s">
        <v>33802</v>
      </c>
      <c r="C6774" t="str">
        <f>"9781442649651"</f>
        <v>9781442649651</v>
      </c>
      <c r="D6774" t="str">
        <f>"9781442620742"</f>
        <v>9781442620742</v>
      </c>
      <c r="E6774" t="s">
        <v>31435</v>
      </c>
      <c r="F6774" t="s">
        <v>31435</v>
      </c>
      <c r="G6774" s="1">
        <v>42005</v>
      </c>
      <c r="J6774" t="s">
        <v>33803</v>
      </c>
      <c r="O6774" t="s">
        <v>26</v>
      </c>
      <c r="Q6774">
        <v>75</v>
      </c>
      <c r="R6774">
        <v>60</v>
      </c>
      <c r="S6774">
        <v>90</v>
      </c>
      <c r="T6774" t="s">
        <v>33804</v>
      </c>
    </row>
    <row r="6775" spans="1:20">
      <c r="A6775">
        <v>4669241</v>
      </c>
      <c r="B6775" t="s">
        <v>33805</v>
      </c>
      <c r="C6775" t="str">
        <f>"9781442650268"</f>
        <v>9781442650268</v>
      </c>
      <c r="D6775" t="str">
        <f>"9781442622678"</f>
        <v>9781442622678</v>
      </c>
      <c r="E6775" t="s">
        <v>31435</v>
      </c>
      <c r="F6775" t="s">
        <v>31435</v>
      </c>
      <c r="G6775" s="1">
        <v>42005</v>
      </c>
      <c r="J6775" t="s">
        <v>33806</v>
      </c>
      <c r="O6775" t="s">
        <v>26</v>
      </c>
      <c r="Q6775">
        <v>137.5</v>
      </c>
      <c r="R6775">
        <v>110</v>
      </c>
      <c r="S6775">
        <v>165</v>
      </c>
      <c r="T6775" t="s">
        <v>33807</v>
      </c>
    </row>
    <row r="6776" spans="1:20">
      <c r="A6776">
        <v>4669244</v>
      </c>
      <c r="B6776" t="s">
        <v>33808</v>
      </c>
      <c r="C6776" t="str">
        <f>"9781442631885"</f>
        <v>9781442631885</v>
      </c>
      <c r="D6776" t="str">
        <f>"9781442625754"</f>
        <v>9781442625754</v>
      </c>
      <c r="E6776" t="s">
        <v>31435</v>
      </c>
      <c r="F6776" t="s">
        <v>31435</v>
      </c>
      <c r="G6776" s="1">
        <v>42005</v>
      </c>
      <c r="I6776" t="s">
        <v>33775</v>
      </c>
      <c r="J6776" t="s">
        <v>33809</v>
      </c>
      <c r="O6776" t="s">
        <v>26</v>
      </c>
      <c r="Q6776">
        <v>68.75</v>
      </c>
      <c r="R6776">
        <v>55</v>
      </c>
      <c r="S6776">
        <v>82.5</v>
      </c>
      <c r="T6776" t="s">
        <v>33810</v>
      </c>
    </row>
    <row r="6777" spans="1:20">
      <c r="A6777">
        <v>4669245</v>
      </c>
      <c r="B6777" t="s">
        <v>33811</v>
      </c>
      <c r="C6777" t="str">
        <f>"9781442645189"</f>
        <v>9781442645189</v>
      </c>
      <c r="D6777" t="str">
        <f>"9781442662001"</f>
        <v>9781442662001</v>
      </c>
      <c r="E6777" t="s">
        <v>31435</v>
      </c>
      <c r="F6777" t="s">
        <v>31435</v>
      </c>
      <c r="G6777" s="1">
        <v>42248</v>
      </c>
      <c r="J6777" t="s">
        <v>33812</v>
      </c>
      <c r="K6777" t="s">
        <v>305</v>
      </c>
      <c r="M6777">
        <v>381.45002094209002</v>
      </c>
      <c r="O6777" t="s">
        <v>26</v>
      </c>
      <c r="Q6777">
        <v>81.25</v>
      </c>
      <c r="R6777">
        <v>65</v>
      </c>
      <c r="S6777">
        <v>97.5</v>
      </c>
      <c r="T6777" t="s">
        <v>33813</v>
      </c>
    </row>
    <row r="6778" spans="1:20">
      <c r="A6778">
        <v>4669246</v>
      </c>
      <c r="B6778" t="s">
        <v>33814</v>
      </c>
      <c r="C6778" t="str">
        <f>"9781442650336"</f>
        <v>9781442650336</v>
      </c>
      <c r="D6778" t="str">
        <f>"9781442622852"</f>
        <v>9781442622852</v>
      </c>
      <c r="E6778" t="s">
        <v>31435</v>
      </c>
      <c r="F6778" t="s">
        <v>31435</v>
      </c>
      <c r="G6778" s="1">
        <v>42005</v>
      </c>
      <c r="J6778" t="s">
        <v>33815</v>
      </c>
      <c r="O6778" t="s">
        <v>26</v>
      </c>
      <c r="Q6778">
        <v>81.25</v>
      </c>
      <c r="R6778">
        <v>65</v>
      </c>
      <c r="S6778">
        <v>97.5</v>
      </c>
      <c r="T6778" t="s">
        <v>33816</v>
      </c>
    </row>
    <row r="6779" spans="1:20">
      <c r="A6779">
        <v>4669256</v>
      </c>
      <c r="B6779" t="s">
        <v>33817</v>
      </c>
      <c r="C6779" t="str">
        <f>"9781442649910"</f>
        <v>9781442649910</v>
      </c>
      <c r="D6779" t="str">
        <f>"9781442621770"</f>
        <v>9781442621770</v>
      </c>
      <c r="E6779" t="s">
        <v>31435</v>
      </c>
      <c r="F6779" t="s">
        <v>31435</v>
      </c>
      <c r="G6779" s="1">
        <v>41640</v>
      </c>
      <c r="J6779" t="s">
        <v>33818</v>
      </c>
      <c r="O6779" t="s">
        <v>26</v>
      </c>
      <c r="Q6779">
        <v>106.25</v>
      </c>
      <c r="R6779">
        <v>85</v>
      </c>
      <c r="S6779">
        <v>127.5</v>
      </c>
      <c r="T6779" t="s">
        <v>33819</v>
      </c>
    </row>
    <row r="6780" spans="1:20">
      <c r="A6780">
        <v>4669258</v>
      </c>
      <c r="B6780" t="s">
        <v>33820</v>
      </c>
      <c r="C6780" t="str">
        <f>"9781442648593"</f>
        <v>9781442648593</v>
      </c>
      <c r="D6780" t="str">
        <f>"9781442617292"</f>
        <v>9781442617292</v>
      </c>
      <c r="E6780" t="s">
        <v>31435</v>
      </c>
      <c r="F6780" t="s">
        <v>31435</v>
      </c>
      <c r="G6780" s="1">
        <v>41941</v>
      </c>
      <c r="J6780" t="s">
        <v>33821</v>
      </c>
      <c r="O6780" t="s">
        <v>26</v>
      </c>
      <c r="Q6780">
        <v>256.25</v>
      </c>
      <c r="R6780">
        <v>205</v>
      </c>
      <c r="S6780">
        <v>307.5</v>
      </c>
      <c r="T6780" t="s">
        <v>33822</v>
      </c>
    </row>
    <row r="6781" spans="1:20">
      <c r="A6781">
        <v>4669262</v>
      </c>
      <c r="B6781" t="s">
        <v>33823</v>
      </c>
      <c r="C6781" t="str">
        <f>"9781442648746"</f>
        <v>9781442648746</v>
      </c>
      <c r="D6781" t="str">
        <f>"9781442617599"</f>
        <v>9781442617599</v>
      </c>
      <c r="E6781" t="s">
        <v>31435</v>
      </c>
      <c r="F6781" t="s">
        <v>31435</v>
      </c>
      <c r="G6781" s="1">
        <v>42307</v>
      </c>
      <c r="J6781" t="s">
        <v>33824</v>
      </c>
      <c r="O6781" t="s">
        <v>26</v>
      </c>
      <c r="Q6781">
        <v>81.25</v>
      </c>
      <c r="R6781">
        <v>65</v>
      </c>
      <c r="S6781">
        <v>97.5</v>
      </c>
      <c r="T6781" t="s">
        <v>33825</v>
      </c>
    </row>
    <row r="6782" spans="1:20">
      <c r="A6782">
        <v>4669264</v>
      </c>
      <c r="B6782" t="s">
        <v>33826</v>
      </c>
      <c r="C6782" t="str">
        <f>"9781442637146"</f>
        <v>9781442637146</v>
      </c>
      <c r="D6782" t="str">
        <f>"9781442624832"</f>
        <v>9781442624832</v>
      </c>
      <c r="E6782" t="s">
        <v>31435</v>
      </c>
      <c r="F6782" t="s">
        <v>31435</v>
      </c>
      <c r="G6782" s="1">
        <v>42307</v>
      </c>
      <c r="I6782" t="s">
        <v>33827</v>
      </c>
      <c r="J6782" t="s">
        <v>33828</v>
      </c>
      <c r="O6782" t="s">
        <v>26</v>
      </c>
      <c r="Q6782">
        <v>93.75</v>
      </c>
      <c r="R6782">
        <v>75</v>
      </c>
      <c r="S6782">
        <v>112.5</v>
      </c>
      <c r="T6782" t="s">
        <v>33829</v>
      </c>
    </row>
    <row r="6783" spans="1:20">
      <c r="A6783">
        <v>4669265</v>
      </c>
      <c r="B6783" t="s">
        <v>33830</v>
      </c>
      <c r="C6783" t="str">
        <f>"9781442650381"</f>
        <v>9781442650381</v>
      </c>
      <c r="D6783" t="str">
        <f>"9781442622975"</f>
        <v>9781442622975</v>
      </c>
      <c r="E6783" t="s">
        <v>31435</v>
      </c>
      <c r="F6783" t="s">
        <v>31435</v>
      </c>
      <c r="G6783" s="1">
        <v>42392</v>
      </c>
      <c r="I6783" t="s">
        <v>33831</v>
      </c>
      <c r="J6783" t="s">
        <v>33832</v>
      </c>
      <c r="K6783" t="s">
        <v>1859</v>
      </c>
      <c r="M6783">
        <v>193</v>
      </c>
      <c r="N6783" t="s">
        <v>33833</v>
      </c>
      <c r="O6783" t="s">
        <v>26</v>
      </c>
      <c r="Q6783">
        <v>93.75</v>
      </c>
      <c r="R6783">
        <v>75</v>
      </c>
      <c r="S6783">
        <v>112.5</v>
      </c>
      <c r="T6783" t="s">
        <v>33834</v>
      </c>
    </row>
    <row r="6784" spans="1:20">
      <c r="A6784">
        <v>4669268</v>
      </c>
      <c r="B6784" t="s">
        <v>33835</v>
      </c>
      <c r="C6784" t="str">
        <f>"9781442637382"</f>
        <v>9781442637382</v>
      </c>
      <c r="D6784" t="str">
        <f>"9781442625235"</f>
        <v>9781442625235</v>
      </c>
      <c r="E6784" t="s">
        <v>31435</v>
      </c>
      <c r="F6784" t="s">
        <v>31435</v>
      </c>
      <c r="G6784" s="1">
        <v>42324</v>
      </c>
      <c r="J6784" t="s">
        <v>33836</v>
      </c>
      <c r="K6784" t="s">
        <v>291</v>
      </c>
      <c r="M6784">
        <v>940.56</v>
      </c>
      <c r="O6784" t="s">
        <v>26</v>
      </c>
      <c r="Q6784">
        <v>81.25</v>
      </c>
      <c r="R6784">
        <v>65</v>
      </c>
      <c r="S6784">
        <v>97.5</v>
      </c>
      <c r="T6784" t="s">
        <v>33837</v>
      </c>
    </row>
    <row r="6785" spans="1:20">
      <c r="A6785">
        <v>4669274</v>
      </c>
      <c r="B6785" t="s">
        <v>33838</v>
      </c>
      <c r="C6785" t="str">
        <f>"9781442637214"</f>
        <v>9781442637214</v>
      </c>
      <c r="D6785" t="str">
        <f>"9781442624870"</f>
        <v>9781442624870</v>
      </c>
      <c r="E6785" t="s">
        <v>31435</v>
      </c>
      <c r="F6785" t="s">
        <v>31435</v>
      </c>
      <c r="G6785" s="1">
        <v>42320</v>
      </c>
      <c r="J6785" t="s">
        <v>33839</v>
      </c>
      <c r="O6785" t="s">
        <v>26</v>
      </c>
      <c r="Q6785">
        <v>218.75</v>
      </c>
      <c r="R6785">
        <v>175</v>
      </c>
      <c r="S6785">
        <v>262.5</v>
      </c>
      <c r="T6785" t="s">
        <v>33840</v>
      </c>
    </row>
    <row r="6786" spans="1:20">
      <c r="A6786">
        <v>4669285</v>
      </c>
      <c r="B6786" t="s">
        <v>33841</v>
      </c>
      <c r="C6786" t="str">
        <f>"9781442649224"</f>
        <v>9781442649224</v>
      </c>
      <c r="D6786" t="str">
        <f>"9781442619753"</f>
        <v>9781442619753</v>
      </c>
      <c r="E6786" t="s">
        <v>31435</v>
      </c>
      <c r="F6786" t="s">
        <v>31435</v>
      </c>
      <c r="G6786" s="1">
        <v>41927</v>
      </c>
      <c r="I6786" t="s">
        <v>33775</v>
      </c>
      <c r="J6786" t="s">
        <v>33842</v>
      </c>
      <c r="K6786" t="s">
        <v>1464</v>
      </c>
      <c r="M6786">
        <v>853.7</v>
      </c>
      <c r="O6786" t="s">
        <v>26</v>
      </c>
      <c r="Q6786">
        <v>81.25</v>
      </c>
      <c r="R6786">
        <v>65</v>
      </c>
      <c r="S6786">
        <v>97.5</v>
      </c>
      <c r="T6786" t="s">
        <v>33843</v>
      </c>
    </row>
    <row r="6787" spans="1:20">
      <c r="A6787">
        <v>4669286</v>
      </c>
      <c r="B6787" t="s">
        <v>33844</v>
      </c>
      <c r="C6787" t="str">
        <f>"9781442649262"</f>
        <v>9781442649262</v>
      </c>
      <c r="D6787" t="str">
        <f>"9781442619838"</f>
        <v>9781442619838</v>
      </c>
      <c r="E6787" t="s">
        <v>31435</v>
      </c>
      <c r="F6787" t="s">
        <v>31435</v>
      </c>
      <c r="G6787" s="1">
        <v>41941</v>
      </c>
      <c r="J6787" t="s">
        <v>33845</v>
      </c>
      <c r="O6787" t="s">
        <v>26</v>
      </c>
      <c r="Q6787">
        <v>87.5</v>
      </c>
      <c r="R6787">
        <v>70</v>
      </c>
      <c r="S6787">
        <v>105</v>
      </c>
      <c r="T6787" t="s">
        <v>33846</v>
      </c>
    </row>
    <row r="6788" spans="1:20">
      <c r="A6788">
        <v>4669288</v>
      </c>
      <c r="B6788" t="s">
        <v>33847</v>
      </c>
      <c r="C6788" t="str">
        <f>"9781442629264"</f>
        <v>9781442629264</v>
      </c>
      <c r="D6788" t="str">
        <f>"9781442667181"</f>
        <v>9781442667181</v>
      </c>
      <c r="E6788" t="s">
        <v>31435</v>
      </c>
      <c r="F6788" t="s">
        <v>31435</v>
      </c>
      <c r="G6788" s="1">
        <v>41640</v>
      </c>
      <c r="J6788" t="s">
        <v>33848</v>
      </c>
      <c r="O6788" t="s">
        <v>26</v>
      </c>
      <c r="Q6788">
        <v>81.25</v>
      </c>
      <c r="R6788">
        <v>65</v>
      </c>
      <c r="S6788">
        <v>97.5</v>
      </c>
      <c r="T6788" t="s">
        <v>33849</v>
      </c>
    </row>
    <row r="6789" spans="1:20">
      <c r="A6789">
        <v>4669291</v>
      </c>
      <c r="B6789" t="s">
        <v>33850</v>
      </c>
      <c r="C6789" t="str">
        <f>"9781442647558"</f>
        <v>9781442647558</v>
      </c>
      <c r="D6789" t="str">
        <f>"9781442668492"</f>
        <v>9781442668492</v>
      </c>
      <c r="E6789" t="s">
        <v>31435</v>
      </c>
      <c r="F6789" t="s">
        <v>31435</v>
      </c>
      <c r="G6789" s="1">
        <v>42017</v>
      </c>
      <c r="I6789" t="s">
        <v>33762</v>
      </c>
      <c r="J6789" t="s">
        <v>33851</v>
      </c>
      <c r="K6789" t="s">
        <v>1464</v>
      </c>
      <c r="L6789" t="s">
        <v>33852</v>
      </c>
      <c r="M6789">
        <v>861.3</v>
      </c>
      <c r="O6789" t="s">
        <v>26</v>
      </c>
      <c r="Q6789">
        <v>87.5</v>
      </c>
      <c r="R6789">
        <v>70</v>
      </c>
      <c r="S6789">
        <v>105</v>
      </c>
      <c r="T6789" t="s">
        <v>33853</v>
      </c>
    </row>
    <row r="6790" spans="1:20">
      <c r="A6790">
        <v>4669292</v>
      </c>
      <c r="B6790" t="s">
        <v>33854</v>
      </c>
      <c r="C6790" t="str">
        <f>"9781442630789"</f>
        <v>9781442630789</v>
      </c>
      <c r="D6790" t="str">
        <f>"9781442667495"</f>
        <v>9781442667495</v>
      </c>
      <c r="E6790" t="s">
        <v>31435</v>
      </c>
      <c r="F6790" t="s">
        <v>31435</v>
      </c>
      <c r="G6790" s="1">
        <v>41640</v>
      </c>
      <c r="J6790" t="s">
        <v>33855</v>
      </c>
      <c r="K6790" t="s">
        <v>1464</v>
      </c>
      <c r="M6790">
        <v>820.9</v>
      </c>
      <c r="O6790" t="s">
        <v>26</v>
      </c>
      <c r="Q6790">
        <v>81.25</v>
      </c>
      <c r="R6790">
        <v>65</v>
      </c>
      <c r="S6790">
        <v>97.5</v>
      </c>
      <c r="T6790" t="s">
        <v>33856</v>
      </c>
    </row>
    <row r="6791" spans="1:20">
      <c r="A6791">
        <v>4669296</v>
      </c>
      <c r="B6791" t="s">
        <v>33857</v>
      </c>
      <c r="C6791" t="str">
        <f>"9781442651715"</f>
        <v>9781442651715</v>
      </c>
      <c r="D6791" t="str">
        <f>"9781442656673"</f>
        <v>9781442656673</v>
      </c>
      <c r="E6791" t="s">
        <v>31435</v>
      </c>
      <c r="F6791" t="s">
        <v>31435</v>
      </c>
      <c r="G6791" s="1">
        <v>24108</v>
      </c>
      <c r="I6791" t="s">
        <v>31443</v>
      </c>
      <c r="J6791" t="s">
        <v>33858</v>
      </c>
      <c r="K6791" t="s">
        <v>525</v>
      </c>
      <c r="L6791" t="s">
        <v>33859</v>
      </c>
      <c r="M6791">
        <v>341.59</v>
      </c>
      <c r="O6791" t="s">
        <v>26</v>
      </c>
      <c r="Q6791">
        <v>43.75</v>
      </c>
      <c r="R6791">
        <v>35</v>
      </c>
      <c r="S6791">
        <v>52.5</v>
      </c>
      <c r="T6791" t="s">
        <v>33860</v>
      </c>
    </row>
    <row r="6792" spans="1:20">
      <c r="A6792">
        <v>4669297</v>
      </c>
      <c r="B6792" t="s">
        <v>33861</v>
      </c>
      <c r="C6792" t="str">
        <f>"9781442652354"</f>
        <v>9781442652354</v>
      </c>
      <c r="D6792" t="str">
        <f>"9781442632523"</f>
        <v>9781442632523</v>
      </c>
      <c r="E6792" t="s">
        <v>31435</v>
      </c>
      <c r="F6792" t="s">
        <v>31435</v>
      </c>
      <c r="G6792" s="1">
        <v>30300</v>
      </c>
      <c r="I6792" t="s">
        <v>31443</v>
      </c>
      <c r="J6792" t="s">
        <v>33862</v>
      </c>
      <c r="K6792" t="s">
        <v>1464</v>
      </c>
      <c r="L6792" t="s">
        <v>33863</v>
      </c>
      <c r="M6792">
        <v>808.1</v>
      </c>
      <c r="O6792" t="s">
        <v>26</v>
      </c>
      <c r="Q6792">
        <v>112.5</v>
      </c>
      <c r="R6792">
        <v>90</v>
      </c>
      <c r="S6792">
        <v>135</v>
      </c>
      <c r="T6792" t="s">
        <v>33864</v>
      </c>
    </row>
    <row r="6793" spans="1:20">
      <c r="A6793">
        <v>4669298</v>
      </c>
      <c r="B6793" t="s">
        <v>33865</v>
      </c>
      <c r="C6793" t="str">
        <f>"9781442652149"</f>
        <v>9781442652149</v>
      </c>
      <c r="D6793" t="str">
        <f>"9781442632271"</f>
        <v>9781442632271</v>
      </c>
      <c r="E6793" t="s">
        <v>31435</v>
      </c>
      <c r="F6793" t="s">
        <v>31435</v>
      </c>
      <c r="G6793" s="1">
        <v>27013</v>
      </c>
      <c r="I6793" t="s">
        <v>31443</v>
      </c>
      <c r="J6793" t="s">
        <v>33866</v>
      </c>
      <c r="K6793" t="s">
        <v>1464</v>
      </c>
      <c r="L6793" t="s">
        <v>33867</v>
      </c>
      <c r="M6793" t="s">
        <v>15595</v>
      </c>
      <c r="O6793" t="s">
        <v>26</v>
      </c>
      <c r="Q6793">
        <v>77.5</v>
      </c>
      <c r="R6793">
        <v>62</v>
      </c>
      <c r="S6793">
        <v>93</v>
      </c>
      <c r="T6793" t="s">
        <v>33868</v>
      </c>
    </row>
    <row r="6794" spans="1:20">
      <c r="A6794">
        <v>4669299</v>
      </c>
      <c r="B6794" t="s">
        <v>33869</v>
      </c>
      <c r="C6794" t="str">
        <f>"9781442652286"</f>
        <v>9781442652286</v>
      </c>
      <c r="D6794" t="str">
        <f>"9781442632455"</f>
        <v>9781442632455</v>
      </c>
      <c r="E6794" t="s">
        <v>31435</v>
      </c>
      <c r="F6794" t="s">
        <v>31435</v>
      </c>
      <c r="G6794" s="1">
        <v>41640</v>
      </c>
      <c r="I6794" t="s">
        <v>31443</v>
      </c>
      <c r="J6794" t="s">
        <v>33870</v>
      </c>
      <c r="O6794" t="s">
        <v>26</v>
      </c>
      <c r="Q6794">
        <v>66.25</v>
      </c>
      <c r="R6794">
        <v>53</v>
      </c>
      <c r="S6794">
        <v>79.5</v>
      </c>
      <c r="T6794" t="s">
        <v>33871</v>
      </c>
    </row>
    <row r="6795" spans="1:20">
      <c r="A6795">
        <v>4669300</v>
      </c>
      <c r="B6795" t="s">
        <v>33872</v>
      </c>
      <c r="C6795" t="str">
        <f>"9780802062437"</f>
        <v>9780802062437</v>
      </c>
      <c r="D6795" t="str">
        <f>"9781442632332"</f>
        <v>9781442632332</v>
      </c>
      <c r="E6795" t="s">
        <v>31435</v>
      </c>
      <c r="F6795" t="s">
        <v>31435</v>
      </c>
      <c r="G6795" s="1">
        <v>42165</v>
      </c>
      <c r="I6795" t="s">
        <v>31443</v>
      </c>
      <c r="J6795" t="s">
        <v>33873</v>
      </c>
      <c r="K6795" t="s">
        <v>263</v>
      </c>
      <c r="M6795">
        <v>301.36109713000002</v>
      </c>
      <c r="O6795" t="s">
        <v>26</v>
      </c>
      <c r="Q6795">
        <v>72.5</v>
      </c>
      <c r="R6795">
        <v>58</v>
      </c>
      <c r="S6795">
        <v>87</v>
      </c>
      <c r="T6795" t="s">
        <v>33874</v>
      </c>
    </row>
    <row r="6796" spans="1:20">
      <c r="A6796">
        <v>4669301</v>
      </c>
      <c r="B6796" t="s">
        <v>33875</v>
      </c>
      <c r="C6796" t="str">
        <f>"9780802033178"</f>
        <v>9780802033178</v>
      </c>
      <c r="D6796" t="str">
        <f>"9781442632349"</f>
        <v>9781442632349</v>
      </c>
      <c r="E6796" t="s">
        <v>31435</v>
      </c>
      <c r="F6796" t="s">
        <v>31435</v>
      </c>
      <c r="G6796" s="1">
        <v>27013</v>
      </c>
      <c r="I6796" t="s">
        <v>31443</v>
      </c>
      <c r="J6796" t="s">
        <v>33876</v>
      </c>
      <c r="K6796" t="s">
        <v>263</v>
      </c>
      <c r="L6796" t="s">
        <v>33877</v>
      </c>
      <c r="M6796" t="s">
        <v>33878</v>
      </c>
      <c r="O6796" t="s">
        <v>26</v>
      </c>
      <c r="Q6796">
        <v>55</v>
      </c>
      <c r="R6796">
        <v>44</v>
      </c>
      <c r="S6796">
        <v>66</v>
      </c>
      <c r="T6796" t="s">
        <v>33879</v>
      </c>
    </row>
    <row r="6797" spans="1:20">
      <c r="A6797">
        <v>4669302</v>
      </c>
      <c r="B6797" t="s">
        <v>33880</v>
      </c>
      <c r="C6797" t="str">
        <f>"9781442652507"</f>
        <v>9781442652507</v>
      </c>
      <c r="D6797" t="str">
        <f>"9781442632912"</f>
        <v>9781442632912</v>
      </c>
      <c r="E6797" t="s">
        <v>31435</v>
      </c>
      <c r="F6797" t="s">
        <v>31435</v>
      </c>
      <c r="G6797" s="1">
        <v>35065</v>
      </c>
      <c r="I6797" t="s">
        <v>33881</v>
      </c>
      <c r="J6797" t="s">
        <v>15570</v>
      </c>
      <c r="K6797" t="s">
        <v>525</v>
      </c>
      <c r="L6797" t="s">
        <v>33882</v>
      </c>
      <c r="M6797">
        <v>340.11209710000003</v>
      </c>
      <c r="O6797" t="s">
        <v>26</v>
      </c>
      <c r="Q6797">
        <v>105</v>
      </c>
      <c r="R6797">
        <v>84</v>
      </c>
      <c r="S6797">
        <v>126</v>
      </c>
      <c r="T6797" t="s">
        <v>33883</v>
      </c>
    </row>
    <row r="6798" spans="1:20">
      <c r="A6798">
        <v>4669303</v>
      </c>
      <c r="B6798" t="s">
        <v>33884</v>
      </c>
      <c r="C6798" t="str">
        <f>"9780802023391"</f>
        <v>9780802023391</v>
      </c>
      <c r="D6798" t="str">
        <f>"9781442632318"</f>
        <v>9781442632318</v>
      </c>
      <c r="E6798" t="s">
        <v>31435</v>
      </c>
      <c r="F6798" t="s">
        <v>31435</v>
      </c>
      <c r="G6798" s="1">
        <v>28839</v>
      </c>
      <c r="I6798" t="s">
        <v>31443</v>
      </c>
      <c r="J6798" t="s">
        <v>33885</v>
      </c>
      <c r="K6798" t="s">
        <v>550</v>
      </c>
      <c r="L6798" t="s">
        <v>33886</v>
      </c>
      <c r="M6798" t="s">
        <v>33887</v>
      </c>
      <c r="O6798" t="s">
        <v>26</v>
      </c>
      <c r="Q6798">
        <v>66.25</v>
      </c>
      <c r="R6798">
        <v>53</v>
      </c>
      <c r="S6798">
        <v>79.5</v>
      </c>
      <c r="T6798" t="s">
        <v>33888</v>
      </c>
    </row>
    <row r="6799" spans="1:20">
      <c r="A6799">
        <v>4669304</v>
      </c>
      <c r="B6799" t="s">
        <v>33889</v>
      </c>
      <c r="C6799" t="str">
        <f>"9781442652132"</f>
        <v>9781442652132</v>
      </c>
      <c r="D6799" t="str">
        <f>"9781442632745"</f>
        <v>9781442632745</v>
      </c>
      <c r="E6799" t="s">
        <v>31435</v>
      </c>
      <c r="F6799" t="s">
        <v>31435</v>
      </c>
      <c r="G6799" s="1">
        <v>17516</v>
      </c>
      <c r="I6799" t="s">
        <v>31443</v>
      </c>
      <c r="J6799" t="s">
        <v>33890</v>
      </c>
      <c r="K6799" t="s">
        <v>305</v>
      </c>
      <c r="L6799" t="s">
        <v>33891</v>
      </c>
      <c r="M6799">
        <v>382.06040999999902</v>
      </c>
      <c r="O6799" t="s">
        <v>26</v>
      </c>
      <c r="Q6799">
        <v>66.25</v>
      </c>
      <c r="R6799">
        <v>53</v>
      </c>
      <c r="S6799">
        <v>79.5</v>
      </c>
      <c r="T6799" t="s">
        <v>33892</v>
      </c>
    </row>
    <row r="6800" spans="1:20">
      <c r="A6800">
        <v>4669305</v>
      </c>
      <c r="B6800" t="s">
        <v>33893</v>
      </c>
      <c r="C6800" t="str">
        <f>"9781442652491"</f>
        <v>9781442652491</v>
      </c>
      <c r="D6800" t="str">
        <f>"9781442632783"</f>
        <v>9781442632783</v>
      </c>
      <c r="E6800" t="s">
        <v>31435</v>
      </c>
      <c r="F6800" t="s">
        <v>31435</v>
      </c>
      <c r="G6800" s="1">
        <v>25569</v>
      </c>
      <c r="I6800" t="s">
        <v>31443</v>
      </c>
      <c r="J6800" t="s">
        <v>33894</v>
      </c>
      <c r="K6800" t="s">
        <v>69</v>
      </c>
      <c r="L6800" t="s">
        <v>33895</v>
      </c>
      <c r="M6800" t="s">
        <v>33896</v>
      </c>
      <c r="O6800" t="s">
        <v>26</v>
      </c>
      <c r="Q6800">
        <v>48.75</v>
      </c>
      <c r="R6800">
        <v>39</v>
      </c>
      <c r="S6800">
        <v>58.5</v>
      </c>
      <c r="T6800" t="s">
        <v>33897</v>
      </c>
    </row>
    <row r="6801" spans="1:20">
      <c r="A6801">
        <v>4669306</v>
      </c>
      <c r="B6801" t="s">
        <v>33898</v>
      </c>
      <c r="C6801" t="str">
        <f>"9781442652293"</f>
        <v>9781442652293</v>
      </c>
      <c r="D6801" t="str">
        <f>"9781442632776"</f>
        <v>9781442632776</v>
      </c>
      <c r="E6801" t="s">
        <v>31435</v>
      </c>
      <c r="F6801" t="s">
        <v>31435</v>
      </c>
      <c r="G6801" s="1">
        <v>41640</v>
      </c>
      <c r="I6801" t="s">
        <v>33899</v>
      </c>
      <c r="J6801" t="s">
        <v>33900</v>
      </c>
      <c r="O6801" t="s">
        <v>26</v>
      </c>
      <c r="Q6801">
        <v>77.5</v>
      </c>
      <c r="R6801">
        <v>62</v>
      </c>
      <c r="S6801">
        <v>93</v>
      </c>
      <c r="T6801" t="s">
        <v>33901</v>
      </c>
    </row>
    <row r="6802" spans="1:20">
      <c r="A6802">
        <v>4669307</v>
      </c>
      <c r="B6802" t="s">
        <v>33902</v>
      </c>
      <c r="C6802" t="str">
        <f>"9781442651982"</f>
        <v>9781442651982</v>
      </c>
      <c r="D6802" t="str">
        <f>"9781442632790"</f>
        <v>9781442632790</v>
      </c>
      <c r="E6802" t="s">
        <v>31435</v>
      </c>
      <c r="F6802" t="s">
        <v>31435</v>
      </c>
      <c r="G6802" s="1">
        <v>41640</v>
      </c>
      <c r="I6802" t="s">
        <v>31443</v>
      </c>
      <c r="J6802" t="s">
        <v>33903</v>
      </c>
      <c r="O6802" t="s">
        <v>26</v>
      </c>
      <c r="Q6802">
        <v>55</v>
      </c>
      <c r="R6802">
        <v>44</v>
      </c>
      <c r="S6802">
        <v>66</v>
      </c>
      <c r="T6802" t="s">
        <v>33904</v>
      </c>
    </row>
    <row r="6803" spans="1:20">
      <c r="A6803">
        <v>4669308</v>
      </c>
      <c r="B6803" t="s">
        <v>33905</v>
      </c>
      <c r="C6803" t="str">
        <f>"9781442651661"</f>
        <v>9781442651661</v>
      </c>
      <c r="D6803" t="str">
        <f>"9781442632660"</f>
        <v>9781442632660</v>
      </c>
      <c r="E6803" t="s">
        <v>31435</v>
      </c>
      <c r="F6803" t="s">
        <v>31435</v>
      </c>
      <c r="G6803" s="1">
        <v>41640</v>
      </c>
      <c r="I6803" t="s">
        <v>31443</v>
      </c>
      <c r="J6803" t="s">
        <v>33906</v>
      </c>
      <c r="O6803" t="s">
        <v>26</v>
      </c>
      <c r="Q6803">
        <v>43.75</v>
      </c>
      <c r="R6803">
        <v>35</v>
      </c>
      <c r="S6803">
        <v>52.5</v>
      </c>
      <c r="T6803" t="s">
        <v>33907</v>
      </c>
    </row>
    <row r="6804" spans="1:20">
      <c r="A6804">
        <v>4669309</v>
      </c>
      <c r="B6804" t="s">
        <v>33908</v>
      </c>
      <c r="C6804" t="str">
        <f>"9781442652453"</f>
        <v>9781442652453</v>
      </c>
      <c r="D6804" t="str">
        <f>"9781442632905"</f>
        <v>9781442632905</v>
      </c>
      <c r="E6804" t="s">
        <v>31435</v>
      </c>
      <c r="F6804" t="s">
        <v>31435</v>
      </c>
      <c r="G6804" s="1">
        <v>34318</v>
      </c>
      <c r="I6804" t="s">
        <v>31443</v>
      </c>
      <c r="J6804" t="s">
        <v>33909</v>
      </c>
      <c r="K6804" t="s">
        <v>2963</v>
      </c>
      <c r="L6804" t="s">
        <v>33910</v>
      </c>
      <c r="M6804">
        <v>914.77099999999905</v>
      </c>
      <c r="O6804" t="s">
        <v>26</v>
      </c>
      <c r="Q6804">
        <v>263.75</v>
      </c>
      <c r="R6804">
        <v>211</v>
      </c>
      <c r="S6804">
        <v>316.5</v>
      </c>
      <c r="T6804" t="s">
        <v>33911</v>
      </c>
    </row>
    <row r="6805" spans="1:20">
      <c r="A6805">
        <v>4669310</v>
      </c>
      <c r="B6805" t="s">
        <v>33912</v>
      </c>
      <c r="C6805" t="str">
        <f>"9781442652439"</f>
        <v>9781442652439</v>
      </c>
      <c r="D6805" t="str">
        <f>"9781442632882"</f>
        <v>9781442632882</v>
      </c>
      <c r="E6805" t="s">
        <v>31435</v>
      </c>
      <c r="F6805" t="s">
        <v>31435</v>
      </c>
      <c r="G6805" s="1">
        <v>34318</v>
      </c>
      <c r="I6805" t="s">
        <v>31443</v>
      </c>
      <c r="J6805" t="s">
        <v>33909</v>
      </c>
      <c r="K6805" t="s">
        <v>2963</v>
      </c>
      <c r="L6805" t="s">
        <v>33910</v>
      </c>
      <c r="M6805">
        <v>914.77099999999905</v>
      </c>
      <c r="O6805" t="s">
        <v>26</v>
      </c>
      <c r="Q6805">
        <v>263.75</v>
      </c>
      <c r="R6805">
        <v>211</v>
      </c>
      <c r="S6805">
        <v>316.5</v>
      </c>
      <c r="T6805" t="s">
        <v>33913</v>
      </c>
    </row>
    <row r="6806" spans="1:20">
      <c r="A6806">
        <v>4669311</v>
      </c>
      <c r="B6806" t="s">
        <v>33914</v>
      </c>
      <c r="C6806" t="str">
        <f>"9781442651760"</f>
        <v>9781442651760</v>
      </c>
      <c r="D6806" t="str">
        <f>"9781442632691"</f>
        <v>9781442632691</v>
      </c>
      <c r="E6806" t="s">
        <v>31435</v>
      </c>
      <c r="F6806" t="s">
        <v>31435</v>
      </c>
      <c r="G6806" s="1">
        <v>22647</v>
      </c>
      <c r="I6806" t="s">
        <v>33915</v>
      </c>
      <c r="J6806" t="s">
        <v>33916</v>
      </c>
      <c r="K6806" t="s">
        <v>1464</v>
      </c>
      <c r="L6806" t="s">
        <v>33917</v>
      </c>
      <c r="M6806">
        <v>821.00900000000001</v>
      </c>
      <c r="O6806" t="s">
        <v>26</v>
      </c>
      <c r="Q6806">
        <v>66.25</v>
      </c>
      <c r="R6806">
        <v>53</v>
      </c>
      <c r="S6806">
        <v>79.5</v>
      </c>
      <c r="T6806" t="s">
        <v>33918</v>
      </c>
    </row>
    <row r="6807" spans="1:20">
      <c r="A6807">
        <v>4669313</v>
      </c>
      <c r="B6807" t="s">
        <v>33919</v>
      </c>
      <c r="C6807" t="str">
        <f>"9780802069771"</f>
        <v>9780802069771</v>
      </c>
      <c r="D6807" t="str">
        <f>"9781442632677"</f>
        <v>9781442632677</v>
      </c>
      <c r="E6807" t="s">
        <v>31435</v>
      </c>
      <c r="F6807" t="s">
        <v>31435</v>
      </c>
      <c r="G6807" s="1">
        <v>34700</v>
      </c>
      <c r="H6807">
        <v>2</v>
      </c>
      <c r="I6807" t="s">
        <v>31443</v>
      </c>
      <c r="J6807" t="s">
        <v>33920</v>
      </c>
      <c r="K6807" t="s">
        <v>291</v>
      </c>
      <c r="L6807" t="s">
        <v>33921</v>
      </c>
      <c r="M6807">
        <v>971.5</v>
      </c>
      <c r="O6807" t="s">
        <v>26</v>
      </c>
      <c r="Q6807">
        <v>96.25</v>
      </c>
      <c r="R6807">
        <v>77</v>
      </c>
      <c r="S6807">
        <v>115.5</v>
      </c>
      <c r="T6807" t="s">
        <v>33922</v>
      </c>
    </row>
    <row r="6808" spans="1:20">
      <c r="A6808">
        <v>4669315</v>
      </c>
      <c r="B6808" t="s">
        <v>33923</v>
      </c>
      <c r="C6808" t="str">
        <f>"9780802063403"</f>
        <v>9780802063403</v>
      </c>
      <c r="D6808" t="str">
        <f>"9781442632721"</f>
        <v>9781442632721</v>
      </c>
      <c r="E6808" t="s">
        <v>31435</v>
      </c>
      <c r="F6808" t="s">
        <v>31435</v>
      </c>
      <c r="G6808" s="1">
        <v>42166</v>
      </c>
      <c r="I6808" t="s">
        <v>31443</v>
      </c>
      <c r="J6808" t="s">
        <v>33924</v>
      </c>
      <c r="K6808" t="s">
        <v>263</v>
      </c>
      <c r="M6808">
        <v>301.35097123000003</v>
      </c>
      <c r="O6808" t="s">
        <v>26</v>
      </c>
      <c r="Q6808">
        <v>48.75</v>
      </c>
      <c r="R6808">
        <v>39</v>
      </c>
      <c r="S6808">
        <v>58.5</v>
      </c>
      <c r="T6808" t="s">
        <v>33925</v>
      </c>
    </row>
    <row r="6809" spans="1:20">
      <c r="A6809">
        <v>4669319</v>
      </c>
      <c r="B6809" t="s">
        <v>33926</v>
      </c>
      <c r="C6809" t="str">
        <f>"9781442652101"</f>
        <v>9781442652101</v>
      </c>
      <c r="D6809" t="str">
        <f>"9781442632738"</f>
        <v>9781442632738</v>
      </c>
      <c r="E6809" t="s">
        <v>31435</v>
      </c>
      <c r="F6809" t="s">
        <v>31435</v>
      </c>
      <c r="G6809" s="1">
        <v>24473</v>
      </c>
      <c r="I6809" t="s">
        <v>31443</v>
      </c>
      <c r="J6809" t="s">
        <v>33927</v>
      </c>
      <c r="K6809" t="s">
        <v>257</v>
      </c>
      <c r="L6809" t="s">
        <v>33928</v>
      </c>
      <c r="M6809">
        <v>370.11</v>
      </c>
      <c r="O6809" t="s">
        <v>26</v>
      </c>
      <c r="Q6809">
        <v>77.5</v>
      </c>
      <c r="R6809">
        <v>62</v>
      </c>
      <c r="S6809">
        <v>93</v>
      </c>
      <c r="T6809" t="s">
        <v>33929</v>
      </c>
    </row>
    <row r="6810" spans="1:20">
      <c r="A6810">
        <v>4669336</v>
      </c>
      <c r="B6810" t="s">
        <v>33930</v>
      </c>
      <c r="C6810" t="str">
        <f>"9781442652415"</f>
        <v>9781442652415</v>
      </c>
      <c r="D6810" t="str">
        <f>"9781442632813"</f>
        <v>9781442632813</v>
      </c>
      <c r="E6810" t="s">
        <v>31435</v>
      </c>
      <c r="F6810" t="s">
        <v>31435</v>
      </c>
      <c r="G6810" s="1">
        <v>32143</v>
      </c>
      <c r="I6810" t="s">
        <v>31443</v>
      </c>
      <c r="J6810" t="s">
        <v>33931</v>
      </c>
      <c r="K6810" t="s">
        <v>291</v>
      </c>
      <c r="L6810" t="s">
        <v>33932</v>
      </c>
      <c r="M6810">
        <v>947.71003210000003</v>
      </c>
      <c r="O6810" t="s">
        <v>26</v>
      </c>
      <c r="Q6810">
        <v>185</v>
      </c>
      <c r="R6810">
        <v>148</v>
      </c>
      <c r="S6810">
        <v>222</v>
      </c>
      <c r="T6810" t="s">
        <v>33933</v>
      </c>
    </row>
    <row r="6811" spans="1:20">
      <c r="A6811">
        <v>4669345</v>
      </c>
      <c r="B6811" t="s">
        <v>33934</v>
      </c>
      <c r="C6811" t="str">
        <f>"9781442645783"</f>
        <v>9781442645783</v>
      </c>
      <c r="D6811" t="str">
        <f>"9781442663640"</f>
        <v>9781442663640</v>
      </c>
      <c r="E6811" t="s">
        <v>31435</v>
      </c>
      <c r="F6811" t="s">
        <v>31435</v>
      </c>
      <c r="G6811" s="1">
        <v>41640</v>
      </c>
      <c r="J6811" t="s">
        <v>33935</v>
      </c>
      <c r="K6811" t="s">
        <v>525</v>
      </c>
      <c r="L6811" t="s">
        <v>33936</v>
      </c>
      <c r="M6811" t="s">
        <v>30155</v>
      </c>
      <c r="O6811" t="s">
        <v>26</v>
      </c>
      <c r="Q6811">
        <v>100</v>
      </c>
      <c r="R6811">
        <v>80</v>
      </c>
      <c r="S6811">
        <v>120</v>
      </c>
      <c r="T6811" t="s">
        <v>33937</v>
      </c>
    </row>
    <row r="6812" spans="1:20">
      <c r="A6812">
        <v>4669348</v>
      </c>
      <c r="B6812" t="s">
        <v>33938</v>
      </c>
      <c r="C6812" t="str">
        <f>"9781442651388"</f>
        <v>9781442651388</v>
      </c>
      <c r="D6812" t="str">
        <f>"9781442632592"</f>
        <v>9781442632592</v>
      </c>
      <c r="E6812" t="s">
        <v>31435</v>
      </c>
      <c r="F6812" t="s">
        <v>31435</v>
      </c>
      <c r="G6812" s="1">
        <v>21186</v>
      </c>
      <c r="I6812" t="s">
        <v>31443</v>
      </c>
      <c r="J6812" t="s">
        <v>33939</v>
      </c>
      <c r="K6812" t="s">
        <v>11437</v>
      </c>
      <c r="L6812" t="s">
        <v>33940</v>
      </c>
      <c r="M6812">
        <v>501</v>
      </c>
      <c r="O6812" t="s">
        <v>26</v>
      </c>
      <c r="Q6812">
        <v>43.75</v>
      </c>
      <c r="R6812">
        <v>35</v>
      </c>
      <c r="S6812">
        <v>52.5</v>
      </c>
      <c r="T6812" t="s">
        <v>33941</v>
      </c>
    </row>
    <row r="6813" spans="1:20">
      <c r="A6813">
        <v>4669358</v>
      </c>
      <c r="B6813" t="s">
        <v>33942</v>
      </c>
      <c r="C6813" t="str">
        <f>"9781442652125"</f>
        <v>9781442652125</v>
      </c>
      <c r="D6813" t="str">
        <f>"9781442632806"</f>
        <v>9781442632806</v>
      </c>
      <c r="E6813" t="s">
        <v>31435</v>
      </c>
      <c r="F6813" t="s">
        <v>31435</v>
      </c>
      <c r="G6813" s="1">
        <v>30682</v>
      </c>
      <c r="I6813" t="s">
        <v>31443</v>
      </c>
      <c r="J6813" t="s">
        <v>33931</v>
      </c>
      <c r="K6813" t="s">
        <v>291</v>
      </c>
      <c r="L6813" t="s">
        <v>33943</v>
      </c>
      <c r="M6813">
        <v>947.71003210000003</v>
      </c>
      <c r="O6813" t="s">
        <v>26</v>
      </c>
      <c r="Q6813">
        <v>175</v>
      </c>
      <c r="R6813">
        <v>140</v>
      </c>
      <c r="S6813">
        <v>210</v>
      </c>
      <c r="T6813" t="s">
        <v>33944</v>
      </c>
    </row>
    <row r="6814" spans="1:20">
      <c r="A6814">
        <v>4669365</v>
      </c>
      <c r="B6814" t="s">
        <v>33945</v>
      </c>
      <c r="C6814" t="str">
        <f>"9781442652446"</f>
        <v>9781442652446</v>
      </c>
      <c r="D6814" t="str">
        <f>"9781442632899"</f>
        <v>9781442632899</v>
      </c>
      <c r="E6814" t="s">
        <v>31435</v>
      </c>
      <c r="F6814" t="s">
        <v>31435</v>
      </c>
      <c r="G6814" s="1">
        <v>34318</v>
      </c>
      <c r="I6814" t="s">
        <v>31443</v>
      </c>
      <c r="J6814" t="s">
        <v>33909</v>
      </c>
      <c r="K6814" t="s">
        <v>291</v>
      </c>
      <c r="L6814" t="s">
        <v>33910</v>
      </c>
      <c r="M6814">
        <v>947.71003210000003</v>
      </c>
      <c r="O6814" t="s">
        <v>26</v>
      </c>
      <c r="Q6814">
        <v>263.75</v>
      </c>
      <c r="R6814">
        <v>211</v>
      </c>
      <c r="S6814">
        <v>316.5</v>
      </c>
      <c r="T6814" t="s">
        <v>33946</v>
      </c>
    </row>
    <row r="6815" spans="1:20">
      <c r="A6815">
        <v>4669367</v>
      </c>
      <c r="B6815" t="s">
        <v>33947</v>
      </c>
      <c r="C6815" t="str">
        <f>"9781442651517"</f>
        <v>9781442651517</v>
      </c>
      <c r="D6815" t="str">
        <f>"9781442632615"</f>
        <v>9781442632615</v>
      </c>
      <c r="E6815" t="s">
        <v>31435</v>
      </c>
      <c r="F6815" t="s">
        <v>31435</v>
      </c>
      <c r="G6815" s="1">
        <v>25569</v>
      </c>
      <c r="I6815" t="s">
        <v>31443</v>
      </c>
      <c r="J6815" t="s">
        <v>33948</v>
      </c>
      <c r="K6815" t="s">
        <v>230</v>
      </c>
      <c r="L6815" t="s">
        <v>33949</v>
      </c>
      <c r="M6815" t="s">
        <v>33950</v>
      </c>
      <c r="O6815" t="s">
        <v>26</v>
      </c>
      <c r="Q6815">
        <v>72.5</v>
      </c>
      <c r="R6815">
        <v>58</v>
      </c>
      <c r="S6815">
        <v>87</v>
      </c>
      <c r="T6815" t="s">
        <v>33951</v>
      </c>
    </row>
    <row r="6816" spans="1:20">
      <c r="A6816">
        <v>4669369</v>
      </c>
      <c r="B6816" t="s">
        <v>33952</v>
      </c>
      <c r="C6816" t="str">
        <f>"9780802062529"</f>
        <v>9780802062529</v>
      </c>
      <c r="D6816" t="str">
        <f>"9781442632547"</f>
        <v>9781442632547</v>
      </c>
      <c r="E6816" t="s">
        <v>31435</v>
      </c>
      <c r="F6816" t="s">
        <v>31435</v>
      </c>
      <c r="G6816" s="1">
        <v>27030</v>
      </c>
      <c r="I6816" t="s">
        <v>31443</v>
      </c>
      <c r="J6816" t="s">
        <v>33953</v>
      </c>
      <c r="K6816" t="s">
        <v>7075</v>
      </c>
      <c r="L6816" t="s">
        <v>33954</v>
      </c>
      <c r="M6816" t="s">
        <v>33955</v>
      </c>
      <c r="O6816" t="s">
        <v>26</v>
      </c>
      <c r="Q6816">
        <v>33.75</v>
      </c>
      <c r="R6816">
        <v>27</v>
      </c>
      <c r="S6816">
        <v>40.5</v>
      </c>
      <c r="T6816" t="s">
        <v>33956</v>
      </c>
    </row>
    <row r="6817" spans="1:20">
      <c r="A6817">
        <v>4669370</v>
      </c>
      <c r="B6817" t="s">
        <v>33957</v>
      </c>
      <c r="C6817" t="str">
        <f>"9781442647466"</f>
        <v>9781442647466</v>
      </c>
      <c r="D6817" t="str">
        <f>"9781442668249"</f>
        <v>9781442668249</v>
      </c>
      <c r="E6817" t="s">
        <v>31435</v>
      </c>
      <c r="F6817" t="s">
        <v>31435</v>
      </c>
      <c r="G6817" s="1">
        <v>41769</v>
      </c>
      <c r="I6817" t="s">
        <v>33762</v>
      </c>
      <c r="J6817" t="s">
        <v>33958</v>
      </c>
      <c r="K6817" t="s">
        <v>291</v>
      </c>
      <c r="L6817" t="s">
        <v>33959</v>
      </c>
      <c r="M6817">
        <v>972.90200000000004</v>
      </c>
      <c r="O6817" t="s">
        <v>26</v>
      </c>
      <c r="Q6817">
        <v>81.25</v>
      </c>
      <c r="R6817">
        <v>65</v>
      </c>
      <c r="S6817">
        <v>97.5</v>
      </c>
      <c r="T6817" t="s">
        <v>33960</v>
      </c>
    </row>
    <row r="6818" spans="1:20">
      <c r="A6818">
        <v>4669371</v>
      </c>
      <c r="B6818" t="s">
        <v>33961</v>
      </c>
      <c r="C6818" t="str">
        <f>"9781442652330"</f>
        <v>9781442652330</v>
      </c>
      <c r="D6818" t="str">
        <f>"9781442632509"</f>
        <v>9781442632509</v>
      </c>
      <c r="E6818" t="s">
        <v>31435</v>
      </c>
      <c r="F6818" t="s">
        <v>31435</v>
      </c>
      <c r="G6818" s="1">
        <v>41640</v>
      </c>
      <c r="I6818" t="s">
        <v>33881</v>
      </c>
      <c r="J6818" t="s">
        <v>33962</v>
      </c>
      <c r="O6818" t="s">
        <v>26</v>
      </c>
      <c r="Q6818">
        <v>66.25</v>
      </c>
      <c r="R6818">
        <v>53</v>
      </c>
      <c r="S6818">
        <v>79.5</v>
      </c>
      <c r="T6818" t="s">
        <v>33963</v>
      </c>
    </row>
    <row r="6819" spans="1:20">
      <c r="A6819">
        <v>4669372</v>
      </c>
      <c r="B6819" t="s">
        <v>33964</v>
      </c>
      <c r="C6819" t="str">
        <f>"9781442652347"</f>
        <v>9781442652347</v>
      </c>
      <c r="D6819" t="str">
        <f>"9781442632516"</f>
        <v>9781442632516</v>
      </c>
      <c r="E6819" t="s">
        <v>31435</v>
      </c>
      <c r="F6819" t="s">
        <v>31435</v>
      </c>
      <c r="G6819" s="1">
        <v>27395</v>
      </c>
      <c r="I6819" t="s">
        <v>31443</v>
      </c>
      <c r="J6819" t="s">
        <v>33965</v>
      </c>
      <c r="K6819" t="s">
        <v>57</v>
      </c>
      <c r="L6819" t="s">
        <v>33966</v>
      </c>
      <c r="M6819" t="s">
        <v>33967</v>
      </c>
      <c r="O6819" t="s">
        <v>26</v>
      </c>
      <c r="Q6819">
        <v>55</v>
      </c>
      <c r="R6819">
        <v>44</v>
      </c>
      <c r="S6819">
        <v>66</v>
      </c>
      <c r="T6819" t="s">
        <v>33968</v>
      </c>
    </row>
    <row r="6820" spans="1:20">
      <c r="A6820">
        <v>4669373</v>
      </c>
      <c r="B6820" t="s">
        <v>33969</v>
      </c>
      <c r="C6820" t="str">
        <f>"9781442652323"</f>
        <v>9781442652323</v>
      </c>
      <c r="D6820" t="str">
        <f>"9781442632493"</f>
        <v>9781442632493</v>
      </c>
      <c r="E6820" t="s">
        <v>31435</v>
      </c>
      <c r="F6820" t="s">
        <v>31435</v>
      </c>
      <c r="G6820" s="1">
        <v>25917</v>
      </c>
      <c r="I6820" t="s">
        <v>31443</v>
      </c>
      <c r="J6820" t="s">
        <v>33970</v>
      </c>
      <c r="K6820" t="s">
        <v>3219</v>
      </c>
      <c r="L6820" t="s">
        <v>33971</v>
      </c>
      <c r="M6820" t="s">
        <v>33972</v>
      </c>
      <c r="O6820" t="s">
        <v>26</v>
      </c>
      <c r="Q6820">
        <v>77.5</v>
      </c>
      <c r="R6820">
        <v>62</v>
      </c>
      <c r="S6820">
        <v>93</v>
      </c>
      <c r="T6820" t="s">
        <v>33973</v>
      </c>
    </row>
    <row r="6821" spans="1:20">
      <c r="A6821">
        <v>4669374</v>
      </c>
      <c r="B6821" t="s">
        <v>33974</v>
      </c>
      <c r="C6821" t="str">
        <f>"9781442652231"</f>
        <v>9781442652231</v>
      </c>
      <c r="D6821" t="str">
        <f>"9781442632400"</f>
        <v>9781442632400</v>
      </c>
      <c r="E6821" t="s">
        <v>31435</v>
      </c>
      <c r="F6821" t="s">
        <v>31435</v>
      </c>
      <c r="G6821" s="1">
        <v>20821</v>
      </c>
      <c r="I6821" t="s">
        <v>31443</v>
      </c>
      <c r="J6821" t="s">
        <v>33975</v>
      </c>
      <c r="K6821" t="s">
        <v>278</v>
      </c>
      <c r="L6821" t="s">
        <v>33976</v>
      </c>
      <c r="M6821">
        <v>332.49709999999902</v>
      </c>
      <c r="O6821" t="s">
        <v>26</v>
      </c>
      <c r="Q6821">
        <v>72.5</v>
      </c>
      <c r="R6821">
        <v>58</v>
      </c>
      <c r="S6821">
        <v>87</v>
      </c>
      <c r="T6821" t="s">
        <v>33977</v>
      </c>
    </row>
    <row r="6822" spans="1:20">
      <c r="A6822">
        <v>4669375</v>
      </c>
      <c r="B6822" t="s">
        <v>33978</v>
      </c>
      <c r="C6822" t="str">
        <f>"9781442651531"</f>
        <v>9781442651531</v>
      </c>
      <c r="D6822" t="str">
        <f>"9781442632622"</f>
        <v>9781442632622</v>
      </c>
      <c r="E6822" t="s">
        <v>31435</v>
      </c>
      <c r="F6822" t="s">
        <v>31435</v>
      </c>
      <c r="G6822" s="1">
        <v>26665</v>
      </c>
      <c r="I6822" t="s">
        <v>31443</v>
      </c>
      <c r="J6822" t="s">
        <v>33979</v>
      </c>
      <c r="K6822" t="s">
        <v>1464</v>
      </c>
      <c r="L6822" t="s">
        <v>33980</v>
      </c>
      <c r="M6822" t="s">
        <v>33981</v>
      </c>
      <c r="O6822" t="s">
        <v>26</v>
      </c>
      <c r="Q6822">
        <v>101.25</v>
      </c>
      <c r="R6822">
        <v>81</v>
      </c>
      <c r="S6822">
        <v>121.5</v>
      </c>
      <c r="T6822" t="s">
        <v>33982</v>
      </c>
    </row>
    <row r="6823" spans="1:20">
      <c r="A6823">
        <v>4669376</v>
      </c>
      <c r="B6823" t="s">
        <v>33983</v>
      </c>
      <c r="C6823" t="str">
        <f>"9781442652002"</f>
        <v>9781442652002</v>
      </c>
      <c r="D6823" t="str">
        <f>"9781442632097"</f>
        <v>9781442632097</v>
      </c>
      <c r="E6823" t="s">
        <v>31435</v>
      </c>
      <c r="F6823" t="s">
        <v>31435</v>
      </c>
      <c r="G6823" s="1">
        <v>22995</v>
      </c>
      <c r="I6823" t="s">
        <v>31443</v>
      </c>
      <c r="J6823" t="s">
        <v>33984</v>
      </c>
      <c r="K6823" t="s">
        <v>899</v>
      </c>
      <c r="L6823" t="s">
        <v>33985</v>
      </c>
      <c r="M6823">
        <v>301.32970999999901</v>
      </c>
      <c r="O6823" t="s">
        <v>26</v>
      </c>
      <c r="Q6823">
        <v>40</v>
      </c>
      <c r="R6823">
        <v>32</v>
      </c>
      <c r="S6823">
        <v>48</v>
      </c>
      <c r="T6823" t="s">
        <v>33986</v>
      </c>
    </row>
    <row r="6824" spans="1:20">
      <c r="A6824">
        <v>4669377</v>
      </c>
      <c r="B6824" t="s">
        <v>33987</v>
      </c>
      <c r="C6824" t="str">
        <f>"9781442652262"</f>
        <v>9781442652262</v>
      </c>
      <c r="D6824" t="str">
        <f>"9781442632431"</f>
        <v>9781442632431</v>
      </c>
      <c r="E6824" t="s">
        <v>31435</v>
      </c>
      <c r="F6824" t="s">
        <v>31435</v>
      </c>
      <c r="G6824" s="1">
        <v>41640</v>
      </c>
      <c r="I6824" t="s">
        <v>31443</v>
      </c>
      <c r="J6824" t="s">
        <v>33988</v>
      </c>
      <c r="O6824" t="s">
        <v>26</v>
      </c>
      <c r="Q6824">
        <v>72.5</v>
      </c>
      <c r="R6824">
        <v>58</v>
      </c>
      <c r="S6824">
        <v>87</v>
      </c>
      <c r="T6824" t="s">
        <v>33989</v>
      </c>
    </row>
    <row r="6825" spans="1:20">
      <c r="A6825">
        <v>4669378</v>
      </c>
      <c r="B6825" t="s">
        <v>33990</v>
      </c>
      <c r="C6825" t="str">
        <f>"9781442652279"</f>
        <v>9781442652279</v>
      </c>
      <c r="D6825" t="str">
        <f>"9781442632448"</f>
        <v>9781442632448</v>
      </c>
      <c r="E6825" t="s">
        <v>31435</v>
      </c>
      <c r="F6825" t="s">
        <v>31435</v>
      </c>
      <c r="G6825" s="1">
        <v>41640</v>
      </c>
      <c r="I6825" t="s">
        <v>31443</v>
      </c>
      <c r="J6825" t="s">
        <v>33988</v>
      </c>
      <c r="O6825" t="s">
        <v>26</v>
      </c>
      <c r="Q6825">
        <v>87.5</v>
      </c>
      <c r="R6825">
        <v>70</v>
      </c>
      <c r="S6825">
        <v>105</v>
      </c>
      <c r="T6825" t="s">
        <v>33991</v>
      </c>
    </row>
    <row r="6826" spans="1:20">
      <c r="A6826">
        <v>4669380</v>
      </c>
      <c r="B6826" t="s">
        <v>33992</v>
      </c>
      <c r="C6826" t="str">
        <f>"9781442651951"</f>
        <v>9781442651951</v>
      </c>
      <c r="D6826" t="str">
        <f>"9781442632035"</f>
        <v>9781442632035</v>
      </c>
      <c r="E6826" t="s">
        <v>31435</v>
      </c>
      <c r="F6826" t="s">
        <v>31435</v>
      </c>
      <c r="G6826" s="1">
        <v>29587</v>
      </c>
      <c r="I6826" t="s">
        <v>31443</v>
      </c>
      <c r="J6826" t="s">
        <v>33993</v>
      </c>
      <c r="K6826" t="s">
        <v>291</v>
      </c>
      <c r="L6826" t="s">
        <v>33994</v>
      </c>
      <c r="M6826" t="s">
        <v>33995</v>
      </c>
      <c r="O6826" t="s">
        <v>26</v>
      </c>
      <c r="Q6826">
        <v>61.25</v>
      </c>
      <c r="R6826">
        <v>49</v>
      </c>
      <c r="S6826">
        <v>73.5</v>
      </c>
      <c r="T6826" t="s">
        <v>33996</v>
      </c>
    </row>
    <row r="6827" spans="1:20">
      <c r="A6827">
        <v>4669381</v>
      </c>
      <c r="B6827" t="s">
        <v>33997</v>
      </c>
      <c r="C6827" t="str">
        <f>"9781442652378"</f>
        <v>9781442652378</v>
      </c>
      <c r="D6827" t="str">
        <f>"9781442632554"</f>
        <v>9781442632554</v>
      </c>
      <c r="E6827" t="s">
        <v>31435</v>
      </c>
      <c r="F6827" t="s">
        <v>31435</v>
      </c>
      <c r="G6827" s="1">
        <v>23726</v>
      </c>
      <c r="I6827" t="s">
        <v>31443</v>
      </c>
      <c r="J6827" t="s">
        <v>33998</v>
      </c>
      <c r="K6827" t="s">
        <v>257</v>
      </c>
      <c r="L6827" t="s">
        <v>33999</v>
      </c>
      <c r="M6827">
        <v>378.01</v>
      </c>
      <c r="O6827" t="s">
        <v>26</v>
      </c>
      <c r="Q6827">
        <v>28.75</v>
      </c>
      <c r="R6827">
        <v>23</v>
      </c>
      <c r="S6827">
        <v>34.5</v>
      </c>
      <c r="T6827" t="s">
        <v>34000</v>
      </c>
    </row>
    <row r="6828" spans="1:20">
      <c r="A6828">
        <v>4669384</v>
      </c>
      <c r="B6828" t="s">
        <v>34001</v>
      </c>
      <c r="C6828" t="str">
        <f>"9781442652248"</f>
        <v>9781442652248</v>
      </c>
      <c r="D6828" t="str">
        <f>"9781442632417"</f>
        <v>9781442632417</v>
      </c>
      <c r="E6828" t="s">
        <v>31435</v>
      </c>
      <c r="F6828" t="s">
        <v>31435</v>
      </c>
      <c r="G6828" s="1">
        <v>41640</v>
      </c>
      <c r="I6828" t="s">
        <v>31443</v>
      </c>
      <c r="J6828" t="s">
        <v>34002</v>
      </c>
      <c r="O6828" t="s">
        <v>26</v>
      </c>
      <c r="Q6828">
        <v>43.75</v>
      </c>
      <c r="R6828">
        <v>35</v>
      </c>
      <c r="S6828">
        <v>52.5</v>
      </c>
      <c r="T6828" t="s">
        <v>34003</v>
      </c>
    </row>
    <row r="6829" spans="1:20">
      <c r="A6829">
        <v>4669391</v>
      </c>
      <c r="B6829" t="s">
        <v>34004</v>
      </c>
      <c r="C6829" t="str">
        <f>"9781442651579"</f>
        <v>9781442651579</v>
      </c>
      <c r="D6829" t="str">
        <f>"9781442632639"</f>
        <v>9781442632639</v>
      </c>
      <c r="E6829" t="s">
        <v>31435</v>
      </c>
      <c r="F6829" t="s">
        <v>31435</v>
      </c>
      <c r="G6829" s="1">
        <v>24821</v>
      </c>
      <c r="I6829" t="s">
        <v>31443</v>
      </c>
      <c r="J6829" t="s">
        <v>34005</v>
      </c>
      <c r="K6829" t="s">
        <v>1214</v>
      </c>
      <c r="L6829" t="s">
        <v>34006</v>
      </c>
      <c r="M6829" t="s">
        <v>34007</v>
      </c>
      <c r="O6829" t="s">
        <v>26</v>
      </c>
      <c r="Q6829">
        <v>68.75</v>
      </c>
      <c r="R6829">
        <v>55</v>
      </c>
      <c r="S6829">
        <v>82.5</v>
      </c>
      <c r="T6829" t="s">
        <v>34008</v>
      </c>
    </row>
    <row r="6830" spans="1:20">
      <c r="A6830">
        <v>4669397</v>
      </c>
      <c r="B6830" t="s">
        <v>34009</v>
      </c>
      <c r="C6830" t="str">
        <f>"9781442652040"</f>
        <v>9781442652040</v>
      </c>
      <c r="D6830" t="str">
        <f>"9781442632172"</f>
        <v>9781442632172</v>
      </c>
      <c r="E6830" t="s">
        <v>31435</v>
      </c>
      <c r="F6830" t="s">
        <v>31435</v>
      </c>
      <c r="G6830" s="1">
        <v>41640</v>
      </c>
      <c r="I6830" t="s">
        <v>31443</v>
      </c>
      <c r="J6830" t="s">
        <v>34010</v>
      </c>
      <c r="O6830" t="s">
        <v>26</v>
      </c>
      <c r="Q6830">
        <v>72.5</v>
      </c>
      <c r="R6830">
        <v>58</v>
      </c>
      <c r="S6830">
        <v>87</v>
      </c>
      <c r="T6830" t="s">
        <v>34011</v>
      </c>
    </row>
    <row r="6831" spans="1:20">
      <c r="A6831">
        <v>4669398</v>
      </c>
      <c r="B6831" t="s">
        <v>21547</v>
      </c>
      <c r="C6831" t="str">
        <f>"9781442651302"</f>
        <v>9781442651302</v>
      </c>
      <c r="D6831" t="str">
        <f>"9781442632585"</f>
        <v>9781442632585</v>
      </c>
      <c r="E6831" t="s">
        <v>31435</v>
      </c>
      <c r="F6831" t="s">
        <v>31435</v>
      </c>
      <c r="G6831" s="1">
        <v>41640</v>
      </c>
      <c r="I6831" t="s">
        <v>31443</v>
      </c>
      <c r="J6831" t="s">
        <v>34012</v>
      </c>
      <c r="O6831" t="s">
        <v>26</v>
      </c>
      <c r="Q6831">
        <v>43.75</v>
      </c>
      <c r="R6831">
        <v>35</v>
      </c>
      <c r="S6831">
        <v>52.5</v>
      </c>
      <c r="T6831" t="s">
        <v>34013</v>
      </c>
    </row>
    <row r="6832" spans="1:20">
      <c r="A6832">
        <v>4669399</v>
      </c>
      <c r="B6832" t="s">
        <v>34014</v>
      </c>
      <c r="C6832" t="str">
        <f>"9781442651944"</f>
        <v>9781442651944</v>
      </c>
      <c r="D6832" t="str">
        <f>"9781442632028"</f>
        <v>9781442632028</v>
      </c>
      <c r="E6832" t="s">
        <v>31435</v>
      </c>
      <c r="F6832" t="s">
        <v>31435</v>
      </c>
      <c r="G6832" s="1">
        <v>20821</v>
      </c>
      <c r="I6832" t="s">
        <v>31443</v>
      </c>
      <c r="J6832" t="s">
        <v>33993</v>
      </c>
      <c r="K6832" t="s">
        <v>291</v>
      </c>
      <c r="L6832" t="s">
        <v>34015</v>
      </c>
      <c r="M6832">
        <v>920.07100000000003</v>
      </c>
      <c r="O6832" t="s">
        <v>26</v>
      </c>
      <c r="Q6832">
        <v>40</v>
      </c>
      <c r="R6832">
        <v>32</v>
      </c>
      <c r="S6832">
        <v>48</v>
      </c>
      <c r="T6832" t="s">
        <v>34016</v>
      </c>
    </row>
    <row r="6833" spans="1:20">
      <c r="A6833">
        <v>4669400</v>
      </c>
      <c r="B6833" t="s">
        <v>34017</v>
      </c>
      <c r="C6833" t="str">
        <f>"9780802064028"</f>
        <v>9780802064028</v>
      </c>
      <c r="D6833" t="str">
        <f>"9781442656949"</f>
        <v>9781442656949</v>
      </c>
      <c r="E6833" t="s">
        <v>31435</v>
      </c>
      <c r="F6833" t="s">
        <v>31435</v>
      </c>
      <c r="G6833" s="1">
        <v>29570</v>
      </c>
      <c r="I6833" t="s">
        <v>31443</v>
      </c>
      <c r="J6833" t="s">
        <v>34018</v>
      </c>
      <c r="K6833" t="s">
        <v>12989</v>
      </c>
      <c r="L6833" t="s">
        <v>34019</v>
      </c>
      <c r="M6833" t="s">
        <v>34020</v>
      </c>
      <c r="O6833" t="s">
        <v>26</v>
      </c>
      <c r="Q6833">
        <v>55</v>
      </c>
      <c r="R6833">
        <v>44</v>
      </c>
      <c r="S6833">
        <v>66</v>
      </c>
      <c r="T6833" t="s">
        <v>34021</v>
      </c>
    </row>
    <row r="6834" spans="1:20">
      <c r="A6834">
        <v>4669401</v>
      </c>
      <c r="B6834" t="s">
        <v>34022</v>
      </c>
      <c r="C6834" t="str">
        <f>"9781442652095"</f>
        <v>9781442652095</v>
      </c>
      <c r="D6834" t="str">
        <f>"9781442632714"</f>
        <v>9781442632714</v>
      </c>
      <c r="E6834" t="s">
        <v>31435</v>
      </c>
      <c r="F6834" t="s">
        <v>31435</v>
      </c>
      <c r="G6834" s="1">
        <v>27378</v>
      </c>
      <c r="I6834" t="s">
        <v>31443</v>
      </c>
      <c r="J6834" t="s">
        <v>34023</v>
      </c>
      <c r="K6834" t="s">
        <v>1464</v>
      </c>
      <c r="L6834" t="s">
        <v>34024</v>
      </c>
      <c r="M6834" t="s">
        <v>34025</v>
      </c>
      <c r="O6834" t="s">
        <v>26</v>
      </c>
      <c r="Q6834">
        <v>77.5</v>
      </c>
      <c r="R6834">
        <v>62</v>
      </c>
      <c r="S6834">
        <v>93</v>
      </c>
      <c r="T6834" t="s">
        <v>34026</v>
      </c>
    </row>
    <row r="6835" spans="1:20">
      <c r="A6835">
        <v>4669402</v>
      </c>
      <c r="B6835" t="s">
        <v>34027</v>
      </c>
      <c r="C6835" t="str">
        <f>"9781442651913"</f>
        <v>9781442651913</v>
      </c>
      <c r="D6835" t="str">
        <f>"9781442631984"</f>
        <v>9781442631984</v>
      </c>
      <c r="E6835" t="s">
        <v>31435</v>
      </c>
      <c r="F6835" t="s">
        <v>31435</v>
      </c>
      <c r="G6835" s="1">
        <v>26299</v>
      </c>
      <c r="I6835" t="s">
        <v>31443</v>
      </c>
      <c r="J6835" t="s">
        <v>34028</v>
      </c>
      <c r="K6835" t="s">
        <v>278</v>
      </c>
      <c r="L6835" t="s">
        <v>34029</v>
      </c>
      <c r="M6835">
        <v>336</v>
      </c>
      <c r="O6835" t="s">
        <v>26</v>
      </c>
      <c r="Q6835">
        <v>72.5</v>
      </c>
      <c r="R6835">
        <v>58</v>
      </c>
      <c r="S6835">
        <v>87</v>
      </c>
      <c r="T6835" t="s">
        <v>34030</v>
      </c>
    </row>
    <row r="6836" spans="1:20">
      <c r="A6836">
        <v>4669403</v>
      </c>
      <c r="B6836" t="s">
        <v>34031</v>
      </c>
      <c r="C6836" t="str">
        <f>"9781442651906"</f>
        <v>9781442651906</v>
      </c>
      <c r="D6836" t="str">
        <f>"9781442656963"</f>
        <v>9781442656963</v>
      </c>
      <c r="E6836" t="s">
        <v>31435</v>
      </c>
      <c r="F6836" t="s">
        <v>31435</v>
      </c>
      <c r="G6836" s="1">
        <v>41640</v>
      </c>
      <c r="I6836" t="s">
        <v>31443</v>
      </c>
      <c r="J6836" t="s">
        <v>34032</v>
      </c>
      <c r="O6836" t="s">
        <v>26</v>
      </c>
      <c r="Q6836">
        <v>43.75</v>
      </c>
      <c r="R6836">
        <v>35</v>
      </c>
      <c r="S6836">
        <v>52.5</v>
      </c>
      <c r="T6836" t="s">
        <v>34033</v>
      </c>
    </row>
    <row r="6837" spans="1:20">
      <c r="A6837">
        <v>4669405</v>
      </c>
      <c r="B6837" t="s">
        <v>34034</v>
      </c>
      <c r="C6837" t="str">
        <f>"9781442651685"</f>
        <v>9781442651685</v>
      </c>
      <c r="D6837" t="str">
        <f>"9781442656635"</f>
        <v>9781442656635</v>
      </c>
      <c r="E6837" t="s">
        <v>31435</v>
      </c>
      <c r="F6837" t="s">
        <v>31435</v>
      </c>
      <c r="G6837" s="1">
        <v>28474</v>
      </c>
      <c r="I6837" t="s">
        <v>34035</v>
      </c>
      <c r="J6837" t="s">
        <v>34036</v>
      </c>
      <c r="K6837" t="s">
        <v>1464</v>
      </c>
      <c r="L6837" t="s">
        <v>34037</v>
      </c>
      <c r="M6837" t="s">
        <v>34038</v>
      </c>
      <c r="O6837" t="s">
        <v>26</v>
      </c>
      <c r="Q6837">
        <v>43.75</v>
      </c>
      <c r="R6837">
        <v>35</v>
      </c>
      <c r="S6837">
        <v>52.5</v>
      </c>
      <c r="T6837" t="s">
        <v>34039</v>
      </c>
    </row>
    <row r="6838" spans="1:20">
      <c r="A6838">
        <v>4669408</v>
      </c>
      <c r="B6838" t="s">
        <v>34040</v>
      </c>
      <c r="C6838" t="str">
        <f>"9781442651784"</f>
        <v>9781442651784</v>
      </c>
      <c r="D6838" t="str">
        <f>"9781442656772"</f>
        <v>9781442656772</v>
      </c>
      <c r="E6838" t="s">
        <v>31435</v>
      </c>
      <c r="F6838" t="s">
        <v>31435</v>
      </c>
      <c r="G6838" s="1">
        <v>32143</v>
      </c>
      <c r="I6838" t="s">
        <v>31443</v>
      </c>
      <c r="J6838" t="s">
        <v>34041</v>
      </c>
      <c r="K6838" t="s">
        <v>1471</v>
      </c>
      <c r="L6838" t="s">
        <v>34042</v>
      </c>
      <c r="M6838" t="s">
        <v>34043</v>
      </c>
      <c r="O6838" t="s">
        <v>26</v>
      </c>
      <c r="Q6838">
        <v>83.75</v>
      </c>
      <c r="R6838">
        <v>67</v>
      </c>
      <c r="S6838">
        <v>100.5</v>
      </c>
      <c r="T6838" t="s">
        <v>34044</v>
      </c>
    </row>
    <row r="6839" spans="1:20">
      <c r="A6839">
        <v>4669409</v>
      </c>
      <c r="B6839" t="s">
        <v>34045</v>
      </c>
      <c r="C6839" t="str">
        <f>"9781442651883"</f>
        <v>9781442651883</v>
      </c>
      <c r="D6839" t="str">
        <f>"9781442656932"</f>
        <v>9781442656932</v>
      </c>
      <c r="E6839" t="s">
        <v>31435</v>
      </c>
      <c r="F6839" t="s">
        <v>31435</v>
      </c>
      <c r="G6839" s="1">
        <v>41640</v>
      </c>
      <c r="I6839" t="s">
        <v>31443</v>
      </c>
      <c r="J6839" t="s">
        <v>34046</v>
      </c>
      <c r="O6839" t="s">
        <v>26</v>
      </c>
      <c r="Q6839">
        <v>61.25</v>
      </c>
      <c r="R6839">
        <v>49</v>
      </c>
      <c r="S6839">
        <v>73.5</v>
      </c>
      <c r="T6839" t="s">
        <v>34047</v>
      </c>
    </row>
    <row r="6840" spans="1:20">
      <c r="A6840">
        <v>4669412</v>
      </c>
      <c r="B6840" t="s">
        <v>34048</v>
      </c>
      <c r="C6840" t="str">
        <f>"9781442651678"</f>
        <v>9781442651678</v>
      </c>
      <c r="D6840" t="str">
        <f>"9781442656604"</f>
        <v>9781442656604</v>
      </c>
      <c r="E6840" t="s">
        <v>31435</v>
      </c>
      <c r="F6840" t="s">
        <v>31435</v>
      </c>
      <c r="G6840" s="1">
        <v>26665</v>
      </c>
      <c r="I6840" t="s">
        <v>31443</v>
      </c>
      <c r="J6840" t="s">
        <v>34049</v>
      </c>
      <c r="K6840" t="s">
        <v>1464</v>
      </c>
      <c r="L6840" t="s">
        <v>34050</v>
      </c>
      <c r="M6840" t="s">
        <v>26510</v>
      </c>
      <c r="O6840" t="s">
        <v>26</v>
      </c>
      <c r="Q6840">
        <v>66.25</v>
      </c>
      <c r="R6840">
        <v>53</v>
      </c>
      <c r="S6840">
        <v>79.5</v>
      </c>
      <c r="T6840" t="s">
        <v>34051</v>
      </c>
    </row>
    <row r="6841" spans="1:20">
      <c r="A6841">
        <v>4669413</v>
      </c>
      <c r="B6841" t="s">
        <v>34052</v>
      </c>
      <c r="C6841" t="str">
        <f>"9781442651609"</f>
        <v>9781442651609</v>
      </c>
      <c r="D6841" t="str">
        <f>"9781442656512"</f>
        <v>9781442656512</v>
      </c>
      <c r="E6841" t="s">
        <v>31435</v>
      </c>
      <c r="F6841" t="s">
        <v>31435</v>
      </c>
      <c r="G6841" s="1">
        <v>26299</v>
      </c>
      <c r="I6841" t="s">
        <v>31443</v>
      </c>
      <c r="J6841" t="s">
        <v>34053</v>
      </c>
      <c r="K6841" t="s">
        <v>6444</v>
      </c>
      <c r="L6841" t="s">
        <v>34054</v>
      </c>
      <c r="M6841" t="s">
        <v>34055</v>
      </c>
      <c r="O6841" t="s">
        <v>26</v>
      </c>
      <c r="Q6841">
        <v>66.25</v>
      </c>
      <c r="R6841">
        <v>53</v>
      </c>
      <c r="S6841">
        <v>79.5</v>
      </c>
      <c r="T6841" t="s">
        <v>34056</v>
      </c>
    </row>
    <row r="6842" spans="1:20">
      <c r="A6842">
        <v>4669414</v>
      </c>
      <c r="B6842" t="s">
        <v>34057</v>
      </c>
      <c r="C6842" t="str">
        <f>"9780802010186"</f>
        <v>9780802010186</v>
      </c>
      <c r="D6842" t="str">
        <f>"9781442632653"</f>
        <v>9781442632653</v>
      </c>
      <c r="E6842" t="s">
        <v>31435</v>
      </c>
      <c r="F6842" t="s">
        <v>31435</v>
      </c>
      <c r="G6842" s="1">
        <v>25917</v>
      </c>
      <c r="I6842" t="s">
        <v>31443</v>
      </c>
      <c r="J6842" t="s">
        <v>34058</v>
      </c>
      <c r="K6842" t="s">
        <v>1464</v>
      </c>
      <c r="L6842" t="s">
        <v>34059</v>
      </c>
      <c r="M6842">
        <v>861.30820000000006</v>
      </c>
      <c r="O6842" t="s">
        <v>26</v>
      </c>
      <c r="Q6842">
        <v>43.75</v>
      </c>
      <c r="R6842">
        <v>35</v>
      </c>
      <c r="S6842">
        <v>52.5</v>
      </c>
      <c r="T6842" t="s">
        <v>34060</v>
      </c>
    </row>
    <row r="6843" spans="1:20">
      <c r="A6843">
        <v>4669415</v>
      </c>
      <c r="B6843" t="s">
        <v>34061</v>
      </c>
      <c r="C6843" t="str">
        <f>"9781442651319"</f>
        <v>9781442651319</v>
      </c>
      <c r="D6843" t="str">
        <f>"9781442652460"</f>
        <v>9781442652460</v>
      </c>
      <c r="E6843" t="s">
        <v>31435</v>
      </c>
      <c r="F6843" t="s">
        <v>31435</v>
      </c>
      <c r="G6843" s="1">
        <v>31413</v>
      </c>
      <c r="I6843" t="s">
        <v>31443</v>
      </c>
      <c r="J6843" t="s">
        <v>34062</v>
      </c>
      <c r="K6843" t="s">
        <v>1464</v>
      </c>
      <c r="L6843" t="s">
        <v>34063</v>
      </c>
      <c r="M6843" t="s">
        <v>34064</v>
      </c>
      <c r="O6843" t="s">
        <v>26</v>
      </c>
      <c r="Q6843">
        <v>55</v>
      </c>
      <c r="R6843">
        <v>44</v>
      </c>
      <c r="S6843">
        <v>66</v>
      </c>
      <c r="T6843" t="s">
        <v>34065</v>
      </c>
    </row>
    <row r="6844" spans="1:20">
      <c r="A6844">
        <v>4669416</v>
      </c>
      <c r="B6844" t="s">
        <v>34066</v>
      </c>
      <c r="C6844" t="str">
        <f>"9780802015945"</f>
        <v>9780802015945</v>
      </c>
      <c r="D6844" t="str">
        <f>"9781442632462"</f>
        <v>9781442632462</v>
      </c>
      <c r="E6844" t="s">
        <v>31435</v>
      </c>
      <c r="F6844" t="s">
        <v>31435</v>
      </c>
      <c r="G6844" s="1">
        <v>25204</v>
      </c>
      <c r="I6844" t="s">
        <v>31443</v>
      </c>
      <c r="J6844" t="s">
        <v>34067</v>
      </c>
      <c r="K6844" t="s">
        <v>1082</v>
      </c>
      <c r="L6844" t="s">
        <v>34068</v>
      </c>
      <c r="M6844">
        <v>362.1</v>
      </c>
      <c r="O6844" t="s">
        <v>26</v>
      </c>
      <c r="Q6844">
        <v>40</v>
      </c>
      <c r="R6844">
        <v>32</v>
      </c>
      <c r="S6844">
        <v>48</v>
      </c>
      <c r="T6844" t="s">
        <v>34069</v>
      </c>
    </row>
    <row r="6845" spans="1:20">
      <c r="A6845">
        <v>4669417</v>
      </c>
      <c r="B6845" t="s">
        <v>34070</v>
      </c>
      <c r="C6845" t="str">
        <f>"9781442651876"</f>
        <v>9781442651876</v>
      </c>
      <c r="D6845" t="str">
        <f>"9781442656918"</f>
        <v>9781442656918</v>
      </c>
      <c r="E6845" t="s">
        <v>31435</v>
      </c>
      <c r="F6845" t="s">
        <v>31435</v>
      </c>
      <c r="G6845" s="1">
        <v>41640</v>
      </c>
      <c r="I6845" t="s">
        <v>31443</v>
      </c>
      <c r="J6845" t="s">
        <v>34071</v>
      </c>
      <c r="O6845" t="s">
        <v>26</v>
      </c>
      <c r="Q6845">
        <v>175</v>
      </c>
      <c r="R6845">
        <v>140</v>
      </c>
      <c r="S6845">
        <v>210</v>
      </c>
      <c r="T6845" t="s">
        <v>34072</v>
      </c>
    </row>
    <row r="6846" spans="1:20">
      <c r="A6846">
        <v>4669418</v>
      </c>
      <c r="B6846" t="s">
        <v>34073</v>
      </c>
      <c r="C6846" t="str">
        <f>"9780802063106"</f>
        <v>9780802063106</v>
      </c>
      <c r="D6846" t="str">
        <f>"9781442656475"</f>
        <v>9781442656475</v>
      </c>
      <c r="E6846" t="s">
        <v>31435</v>
      </c>
      <c r="F6846" t="s">
        <v>31435</v>
      </c>
      <c r="G6846" s="1">
        <v>25552</v>
      </c>
      <c r="I6846" t="s">
        <v>31443</v>
      </c>
      <c r="J6846" t="s">
        <v>32889</v>
      </c>
      <c r="K6846" t="s">
        <v>3219</v>
      </c>
      <c r="L6846" t="s">
        <v>34074</v>
      </c>
      <c r="M6846" t="s">
        <v>34075</v>
      </c>
      <c r="O6846" t="s">
        <v>26</v>
      </c>
      <c r="Q6846">
        <v>57.5</v>
      </c>
      <c r="R6846">
        <v>46</v>
      </c>
      <c r="S6846">
        <v>69</v>
      </c>
      <c r="T6846" t="s">
        <v>34076</v>
      </c>
    </row>
    <row r="6847" spans="1:20">
      <c r="A6847">
        <v>4669419</v>
      </c>
      <c r="B6847" t="s">
        <v>34077</v>
      </c>
      <c r="C6847" t="str">
        <f>"9781442652088"</f>
        <v>9781442652088</v>
      </c>
      <c r="D6847" t="str">
        <f>"9781442632219"</f>
        <v>9781442632219</v>
      </c>
      <c r="E6847" t="s">
        <v>31435</v>
      </c>
      <c r="F6847" t="s">
        <v>31435</v>
      </c>
      <c r="G6847" s="1">
        <v>41640</v>
      </c>
      <c r="I6847" t="s">
        <v>34035</v>
      </c>
      <c r="J6847" t="s">
        <v>34078</v>
      </c>
      <c r="O6847" t="s">
        <v>26</v>
      </c>
      <c r="Q6847">
        <v>48.75</v>
      </c>
      <c r="R6847">
        <v>39</v>
      </c>
      <c r="S6847">
        <v>58.5</v>
      </c>
      <c r="T6847" t="s">
        <v>34079</v>
      </c>
    </row>
    <row r="6848" spans="1:20">
      <c r="A6848">
        <v>4669420</v>
      </c>
      <c r="B6848" t="s">
        <v>34080</v>
      </c>
      <c r="C6848" t="str">
        <f>"9780802017673"</f>
        <v>9780802017673</v>
      </c>
      <c r="D6848" t="str">
        <f>"9781442652477"</f>
        <v>9781442652477</v>
      </c>
      <c r="E6848" t="s">
        <v>31435</v>
      </c>
      <c r="F6848" t="s">
        <v>31435</v>
      </c>
      <c r="G6848" s="1">
        <v>26648</v>
      </c>
      <c r="I6848" t="s">
        <v>31443</v>
      </c>
      <c r="J6848" t="s">
        <v>34081</v>
      </c>
      <c r="K6848" t="s">
        <v>899</v>
      </c>
      <c r="L6848" t="s">
        <v>34082</v>
      </c>
      <c r="M6848">
        <v>301.31</v>
      </c>
      <c r="O6848" t="s">
        <v>26</v>
      </c>
      <c r="Q6848">
        <v>46.25</v>
      </c>
      <c r="R6848">
        <v>37</v>
      </c>
      <c r="S6848">
        <v>55.5</v>
      </c>
      <c r="T6848" t="s">
        <v>34083</v>
      </c>
    </row>
    <row r="6849" spans="1:20">
      <c r="A6849">
        <v>4669421</v>
      </c>
      <c r="B6849" t="s">
        <v>34084</v>
      </c>
      <c r="C6849" t="str">
        <f>"9780802061065"</f>
        <v>9780802061065</v>
      </c>
      <c r="D6849" t="str">
        <f>"9781442656871"</f>
        <v>9781442656871</v>
      </c>
      <c r="E6849" t="s">
        <v>31435</v>
      </c>
      <c r="F6849" t="s">
        <v>31435</v>
      </c>
      <c r="G6849" s="1">
        <v>25917</v>
      </c>
      <c r="I6849" t="s">
        <v>31443</v>
      </c>
      <c r="J6849" t="s">
        <v>34085</v>
      </c>
      <c r="K6849" t="s">
        <v>1157</v>
      </c>
      <c r="L6849" t="s">
        <v>34086</v>
      </c>
      <c r="M6849">
        <v>649.1</v>
      </c>
      <c r="O6849" t="s">
        <v>26</v>
      </c>
      <c r="Q6849">
        <v>48.75</v>
      </c>
      <c r="R6849">
        <v>39</v>
      </c>
      <c r="S6849">
        <v>58.5</v>
      </c>
      <c r="T6849" t="s">
        <v>34087</v>
      </c>
    </row>
    <row r="6850" spans="1:20">
      <c r="A6850">
        <v>4669422</v>
      </c>
      <c r="B6850" t="s">
        <v>34088</v>
      </c>
      <c r="C6850" t="str">
        <f>"9780802061386"</f>
        <v>9780802061386</v>
      </c>
      <c r="D6850" t="str">
        <f>"9781442656529"</f>
        <v>9781442656529</v>
      </c>
      <c r="E6850" t="s">
        <v>31435</v>
      </c>
      <c r="F6850" t="s">
        <v>31435</v>
      </c>
      <c r="G6850" s="1">
        <v>27181</v>
      </c>
      <c r="I6850" t="s">
        <v>31443</v>
      </c>
      <c r="J6850" t="s">
        <v>34089</v>
      </c>
      <c r="K6850" t="s">
        <v>34090</v>
      </c>
      <c r="L6850" t="s">
        <v>34091</v>
      </c>
      <c r="M6850" t="s">
        <v>34092</v>
      </c>
      <c r="O6850" t="s">
        <v>26</v>
      </c>
      <c r="Q6850">
        <v>83.75</v>
      </c>
      <c r="R6850">
        <v>67</v>
      </c>
      <c r="S6850">
        <v>100.5</v>
      </c>
      <c r="T6850" t="s">
        <v>34093</v>
      </c>
    </row>
    <row r="6851" spans="1:20">
      <c r="A6851">
        <v>4669423</v>
      </c>
      <c r="B6851" t="s">
        <v>34094</v>
      </c>
      <c r="C6851" t="str">
        <f>"9780802061355"</f>
        <v>9780802061355</v>
      </c>
      <c r="D6851" t="str">
        <f>"9781442632387"</f>
        <v>9781442632387</v>
      </c>
      <c r="E6851" t="s">
        <v>31435</v>
      </c>
      <c r="F6851" t="s">
        <v>31435</v>
      </c>
      <c r="G6851" s="1">
        <v>42165</v>
      </c>
      <c r="I6851" t="s">
        <v>31443</v>
      </c>
      <c r="J6851" t="s">
        <v>34095</v>
      </c>
      <c r="K6851" t="s">
        <v>31967</v>
      </c>
      <c r="M6851">
        <v>331.54209709999998</v>
      </c>
      <c r="O6851" t="s">
        <v>26</v>
      </c>
      <c r="Q6851">
        <v>55</v>
      </c>
      <c r="R6851">
        <v>44</v>
      </c>
      <c r="S6851">
        <v>66</v>
      </c>
      <c r="T6851" t="s">
        <v>34096</v>
      </c>
    </row>
    <row r="6852" spans="1:20">
      <c r="A6852">
        <v>4669424</v>
      </c>
      <c r="B6852" t="s">
        <v>34097</v>
      </c>
      <c r="C6852" t="str">
        <f>"9780802072320"</f>
        <v>9780802072320</v>
      </c>
      <c r="D6852" t="str">
        <f>"9781442656628"</f>
        <v>9781442656628</v>
      </c>
      <c r="E6852" t="s">
        <v>31435</v>
      </c>
      <c r="F6852" t="s">
        <v>31435</v>
      </c>
      <c r="G6852" s="1">
        <v>34683</v>
      </c>
      <c r="H6852">
        <v>2</v>
      </c>
      <c r="I6852" t="s">
        <v>31443</v>
      </c>
      <c r="J6852" t="s">
        <v>12533</v>
      </c>
      <c r="K6852" t="s">
        <v>263</v>
      </c>
      <c r="L6852" t="s">
        <v>34098</v>
      </c>
      <c r="M6852" t="s">
        <v>34099</v>
      </c>
      <c r="O6852" t="s">
        <v>26</v>
      </c>
      <c r="Q6852">
        <v>72.5</v>
      </c>
      <c r="R6852">
        <v>58</v>
      </c>
      <c r="S6852">
        <v>87</v>
      </c>
      <c r="T6852" t="s">
        <v>34100</v>
      </c>
    </row>
    <row r="6853" spans="1:20">
      <c r="A6853">
        <v>4669425</v>
      </c>
      <c r="B6853" t="s">
        <v>34101</v>
      </c>
      <c r="C6853" t="str">
        <f>"9781442651821"</f>
        <v>9781442651821</v>
      </c>
      <c r="D6853" t="str">
        <f>"9781442656826"</f>
        <v>9781442656826</v>
      </c>
      <c r="E6853" t="s">
        <v>31435</v>
      </c>
      <c r="F6853" t="s">
        <v>31435</v>
      </c>
      <c r="G6853" s="1">
        <v>41640</v>
      </c>
      <c r="I6853" t="s">
        <v>31443</v>
      </c>
      <c r="J6853" t="s">
        <v>34102</v>
      </c>
      <c r="O6853" t="s">
        <v>26</v>
      </c>
      <c r="Q6853">
        <v>40</v>
      </c>
      <c r="R6853">
        <v>32</v>
      </c>
      <c r="S6853">
        <v>48</v>
      </c>
      <c r="T6853" t="s">
        <v>34103</v>
      </c>
    </row>
    <row r="6854" spans="1:20">
      <c r="A6854">
        <v>4669426</v>
      </c>
      <c r="B6854" t="s">
        <v>34104</v>
      </c>
      <c r="C6854" t="str">
        <f>"9781442651869"</f>
        <v>9781442651869</v>
      </c>
      <c r="D6854" t="str">
        <f>"9781442656895"</f>
        <v>9781442656895</v>
      </c>
      <c r="E6854" t="s">
        <v>31435</v>
      </c>
      <c r="F6854" t="s">
        <v>31435</v>
      </c>
      <c r="G6854" s="1">
        <v>41640</v>
      </c>
      <c r="I6854" t="s">
        <v>31443</v>
      </c>
      <c r="J6854" t="s">
        <v>34105</v>
      </c>
      <c r="O6854" t="s">
        <v>26</v>
      </c>
      <c r="Q6854">
        <v>33.75</v>
      </c>
      <c r="R6854">
        <v>27</v>
      </c>
      <c r="S6854">
        <v>40.5</v>
      </c>
      <c r="T6854" t="s">
        <v>34106</v>
      </c>
    </row>
    <row r="6855" spans="1:20">
      <c r="A6855">
        <v>4669427</v>
      </c>
      <c r="B6855" t="s">
        <v>34107</v>
      </c>
      <c r="C6855" t="str">
        <f>"9781442651845"</f>
        <v>9781442651845</v>
      </c>
      <c r="D6855" t="str">
        <f>"9781442656864"</f>
        <v>9781442656864</v>
      </c>
      <c r="E6855" t="s">
        <v>31435</v>
      </c>
      <c r="F6855" t="s">
        <v>31435</v>
      </c>
      <c r="G6855" s="1">
        <v>22282</v>
      </c>
      <c r="I6855" t="s">
        <v>31443</v>
      </c>
      <c r="J6855" t="s">
        <v>34108</v>
      </c>
      <c r="K6855" t="s">
        <v>1464</v>
      </c>
      <c r="L6855" t="s">
        <v>34109</v>
      </c>
      <c r="M6855" t="s">
        <v>34110</v>
      </c>
      <c r="O6855" t="s">
        <v>26</v>
      </c>
      <c r="Q6855">
        <v>55</v>
      </c>
      <c r="R6855">
        <v>44</v>
      </c>
      <c r="S6855">
        <v>66</v>
      </c>
      <c r="T6855" t="s">
        <v>34111</v>
      </c>
    </row>
    <row r="6856" spans="1:20">
      <c r="A6856">
        <v>4669432</v>
      </c>
      <c r="B6856" t="s">
        <v>34112</v>
      </c>
      <c r="C6856" t="str">
        <f>"9780802062666"</f>
        <v>9780802062666</v>
      </c>
      <c r="D6856" t="str">
        <f>"9781442656925"</f>
        <v>9781442656925</v>
      </c>
      <c r="E6856" t="s">
        <v>31435</v>
      </c>
      <c r="F6856" t="s">
        <v>31435</v>
      </c>
      <c r="G6856" s="1">
        <v>28109</v>
      </c>
      <c r="I6856" t="s">
        <v>31443</v>
      </c>
      <c r="J6856" t="s">
        <v>34113</v>
      </c>
      <c r="K6856" t="s">
        <v>291</v>
      </c>
      <c r="L6856" t="s">
        <v>34114</v>
      </c>
      <c r="M6856" t="s">
        <v>34115</v>
      </c>
      <c r="O6856" t="s">
        <v>26</v>
      </c>
      <c r="Q6856">
        <v>66.25</v>
      </c>
      <c r="R6856">
        <v>53</v>
      </c>
      <c r="S6856">
        <v>79.5</v>
      </c>
      <c r="T6856" t="s">
        <v>34116</v>
      </c>
    </row>
    <row r="6857" spans="1:20">
      <c r="A6857">
        <v>4669433</v>
      </c>
      <c r="B6857" t="s">
        <v>34117</v>
      </c>
      <c r="C6857" t="str">
        <f>"9781442651920"</f>
        <v>9781442651920</v>
      </c>
      <c r="D6857" t="str">
        <f>"9781442631991"</f>
        <v>9781442631991</v>
      </c>
      <c r="E6857" t="s">
        <v>31435</v>
      </c>
      <c r="F6857" t="s">
        <v>31435</v>
      </c>
      <c r="G6857" s="1">
        <v>41640</v>
      </c>
      <c r="I6857" t="s">
        <v>31443</v>
      </c>
      <c r="J6857" t="s">
        <v>34118</v>
      </c>
      <c r="O6857" t="s">
        <v>26</v>
      </c>
      <c r="Q6857">
        <v>72.5</v>
      </c>
      <c r="R6857">
        <v>58</v>
      </c>
      <c r="S6857">
        <v>87</v>
      </c>
      <c r="T6857" t="s">
        <v>34119</v>
      </c>
    </row>
    <row r="6858" spans="1:20">
      <c r="A6858">
        <v>4669434</v>
      </c>
      <c r="B6858" t="s">
        <v>34120</v>
      </c>
      <c r="C6858" t="str">
        <f>"9781442651975"</f>
        <v>9781442651975</v>
      </c>
      <c r="D6858" t="str">
        <f>"9781442632059"</f>
        <v>9781442632059</v>
      </c>
      <c r="E6858" t="s">
        <v>31435</v>
      </c>
      <c r="F6858" t="s">
        <v>31435</v>
      </c>
      <c r="G6858" s="1">
        <v>27030</v>
      </c>
      <c r="I6858" t="s">
        <v>31443</v>
      </c>
      <c r="J6858" t="s">
        <v>33993</v>
      </c>
      <c r="K6858" t="s">
        <v>257</v>
      </c>
      <c r="L6858" t="s">
        <v>34121</v>
      </c>
      <c r="M6858" t="s">
        <v>34122</v>
      </c>
      <c r="O6858" t="s">
        <v>26</v>
      </c>
      <c r="Q6858">
        <v>46.25</v>
      </c>
      <c r="R6858">
        <v>37</v>
      </c>
      <c r="S6858">
        <v>55.5</v>
      </c>
      <c r="T6858" t="s">
        <v>34123</v>
      </c>
    </row>
    <row r="6859" spans="1:20">
      <c r="A6859">
        <v>4669435</v>
      </c>
      <c r="B6859" t="s">
        <v>34124</v>
      </c>
      <c r="C6859" t="str">
        <f>"9781442652026"</f>
        <v>9781442652026</v>
      </c>
      <c r="D6859" t="str">
        <f>"9781442632110"</f>
        <v>9781442632110</v>
      </c>
      <c r="E6859" t="s">
        <v>31435</v>
      </c>
      <c r="F6859" t="s">
        <v>31435</v>
      </c>
      <c r="G6859" s="1">
        <v>21169</v>
      </c>
      <c r="I6859" t="s">
        <v>31443</v>
      </c>
      <c r="J6859" t="s">
        <v>34125</v>
      </c>
      <c r="K6859" t="s">
        <v>416</v>
      </c>
      <c r="L6859" t="s">
        <v>34126</v>
      </c>
      <c r="M6859">
        <v>336.262</v>
      </c>
      <c r="O6859" t="s">
        <v>26</v>
      </c>
      <c r="Q6859">
        <v>51.25</v>
      </c>
      <c r="R6859">
        <v>41</v>
      </c>
      <c r="S6859">
        <v>61.5</v>
      </c>
      <c r="T6859" t="s">
        <v>34127</v>
      </c>
    </row>
    <row r="6860" spans="1:20">
      <c r="A6860">
        <v>4669436</v>
      </c>
      <c r="B6860" t="s">
        <v>34128</v>
      </c>
      <c r="C6860" t="str">
        <f>"9780802062390"</f>
        <v>9780802062390</v>
      </c>
      <c r="D6860" t="str">
        <f>"9781442632080"</f>
        <v>9781442632080</v>
      </c>
      <c r="E6860" t="s">
        <v>31435</v>
      </c>
      <c r="F6860" t="s">
        <v>31435</v>
      </c>
      <c r="G6860" s="1">
        <v>42165</v>
      </c>
      <c r="I6860" t="s">
        <v>31443</v>
      </c>
      <c r="J6860" t="s">
        <v>33984</v>
      </c>
      <c r="K6860" t="s">
        <v>31967</v>
      </c>
      <c r="M6860">
        <v>330.09</v>
      </c>
      <c r="O6860" t="s">
        <v>26</v>
      </c>
      <c r="Q6860">
        <v>98.75</v>
      </c>
      <c r="R6860">
        <v>79</v>
      </c>
      <c r="S6860">
        <v>118.5</v>
      </c>
      <c r="T6860" t="s">
        <v>34129</v>
      </c>
    </row>
    <row r="6861" spans="1:20">
      <c r="A6861">
        <v>4669437</v>
      </c>
      <c r="B6861" t="s">
        <v>34130</v>
      </c>
      <c r="C6861" t="str">
        <f>"9780802061058"</f>
        <v>9780802061058</v>
      </c>
      <c r="D6861" t="str">
        <f>"9781442632158"</f>
        <v>9781442632158</v>
      </c>
      <c r="E6861" t="s">
        <v>31435</v>
      </c>
      <c r="F6861" t="s">
        <v>31435</v>
      </c>
      <c r="G6861" s="1">
        <v>25204</v>
      </c>
      <c r="I6861" t="s">
        <v>31443</v>
      </c>
      <c r="J6861" t="s">
        <v>34131</v>
      </c>
      <c r="K6861" t="s">
        <v>1082</v>
      </c>
      <c r="L6861" t="s">
        <v>34132</v>
      </c>
      <c r="M6861" t="s">
        <v>28727</v>
      </c>
      <c r="O6861" t="s">
        <v>26</v>
      </c>
      <c r="Q6861">
        <v>46.25</v>
      </c>
      <c r="R6861">
        <v>37</v>
      </c>
      <c r="S6861">
        <v>55.5</v>
      </c>
      <c r="T6861" t="s">
        <v>34133</v>
      </c>
    </row>
    <row r="6862" spans="1:20">
      <c r="A6862">
        <v>4669438</v>
      </c>
      <c r="B6862" t="s">
        <v>34134</v>
      </c>
      <c r="C6862" t="str">
        <f>"9781442651968"</f>
        <v>9781442651968</v>
      </c>
      <c r="D6862" t="str">
        <f>"9781442632042"</f>
        <v>9781442632042</v>
      </c>
      <c r="E6862" t="s">
        <v>31435</v>
      </c>
      <c r="F6862" t="s">
        <v>31435</v>
      </c>
      <c r="G6862" s="1">
        <v>31413</v>
      </c>
      <c r="I6862" t="s">
        <v>31443</v>
      </c>
      <c r="J6862" t="s">
        <v>33993</v>
      </c>
      <c r="K6862" t="s">
        <v>291</v>
      </c>
      <c r="L6862" t="s">
        <v>34135</v>
      </c>
      <c r="M6862" t="s">
        <v>33995</v>
      </c>
      <c r="O6862" t="s">
        <v>26</v>
      </c>
      <c r="Q6862">
        <v>77.5</v>
      </c>
      <c r="R6862">
        <v>62</v>
      </c>
      <c r="S6862">
        <v>93</v>
      </c>
      <c r="T6862" t="s">
        <v>34136</v>
      </c>
    </row>
    <row r="6863" spans="1:20">
      <c r="A6863">
        <v>4669439</v>
      </c>
      <c r="B6863" t="s">
        <v>34137</v>
      </c>
      <c r="C6863" t="str">
        <f>"9781442652064"</f>
        <v>9781442652064</v>
      </c>
      <c r="D6863" t="str">
        <f>"9781442632196"</f>
        <v>9781442632196</v>
      </c>
      <c r="E6863" t="s">
        <v>31435</v>
      </c>
      <c r="F6863" t="s">
        <v>31435</v>
      </c>
      <c r="G6863" s="1">
        <v>30300</v>
      </c>
      <c r="I6863" t="s">
        <v>31443</v>
      </c>
      <c r="J6863" t="s">
        <v>34138</v>
      </c>
      <c r="K6863" t="s">
        <v>263</v>
      </c>
      <c r="L6863" t="s">
        <v>34139</v>
      </c>
      <c r="M6863" t="s">
        <v>34140</v>
      </c>
      <c r="O6863" t="s">
        <v>26</v>
      </c>
      <c r="Q6863">
        <v>55</v>
      </c>
      <c r="R6863">
        <v>44</v>
      </c>
      <c r="S6863">
        <v>66</v>
      </c>
      <c r="T6863" t="s">
        <v>34141</v>
      </c>
    </row>
    <row r="6864" spans="1:20">
      <c r="A6864">
        <v>4669440</v>
      </c>
      <c r="B6864" t="s">
        <v>34142</v>
      </c>
      <c r="C6864" t="str">
        <f>"9781442652071"</f>
        <v>9781442652071</v>
      </c>
      <c r="D6864" t="str">
        <f>"9781442632202"</f>
        <v>9781442632202</v>
      </c>
      <c r="E6864" t="s">
        <v>31435</v>
      </c>
      <c r="F6864" t="s">
        <v>31435</v>
      </c>
      <c r="G6864" s="1">
        <v>41640</v>
      </c>
      <c r="I6864" t="s">
        <v>31443</v>
      </c>
      <c r="J6864" t="s">
        <v>34143</v>
      </c>
      <c r="O6864" t="s">
        <v>26</v>
      </c>
      <c r="Q6864">
        <v>55</v>
      </c>
      <c r="R6864">
        <v>44</v>
      </c>
      <c r="S6864">
        <v>66</v>
      </c>
      <c r="T6864" t="s">
        <v>34144</v>
      </c>
    </row>
    <row r="6865" spans="1:20">
      <c r="A6865">
        <v>4669441</v>
      </c>
      <c r="B6865" t="s">
        <v>34145</v>
      </c>
      <c r="C6865" t="str">
        <f>"9781442652118"</f>
        <v>9781442652118</v>
      </c>
      <c r="D6865" t="str">
        <f>"9781442632240"</f>
        <v>9781442632240</v>
      </c>
      <c r="E6865" t="s">
        <v>31435</v>
      </c>
      <c r="F6865" t="s">
        <v>31435</v>
      </c>
      <c r="G6865" s="1">
        <v>41640</v>
      </c>
      <c r="I6865" t="s">
        <v>31443</v>
      </c>
      <c r="J6865" t="s">
        <v>34146</v>
      </c>
      <c r="O6865" t="s">
        <v>26</v>
      </c>
      <c r="Q6865">
        <v>72.5</v>
      </c>
      <c r="R6865">
        <v>58</v>
      </c>
      <c r="S6865">
        <v>87</v>
      </c>
      <c r="T6865" t="s">
        <v>34147</v>
      </c>
    </row>
    <row r="6866" spans="1:20">
      <c r="A6866">
        <v>4669442</v>
      </c>
      <c r="B6866" t="s">
        <v>34148</v>
      </c>
      <c r="C6866" t="str">
        <f>"9781442651722"</f>
        <v>9781442651722</v>
      </c>
      <c r="D6866" t="str">
        <f>"9781442656680"</f>
        <v>9781442656680</v>
      </c>
      <c r="E6866" t="s">
        <v>31435</v>
      </c>
      <c r="F6866" t="s">
        <v>31435</v>
      </c>
      <c r="G6866" s="1">
        <v>22995</v>
      </c>
      <c r="I6866" t="s">
        <v>31443</v>
      </c>
      <c r="J6866" t="s">
        <v>34149</v>
      </c>
      <c r="K6866" t="s">
        <v>5954</v>
      </c>
      <c r="L6866" t="s">
        <v>34150</v>
      </c>
      <c r="M6866">
        <v>1.012</v>
      </c>
      <c r="O6866" t="s">
        <v>26</v>
      </c>
      <c r="Q6866">
        <v>66.25</v>
      </c>
      <c r="R6866">
        <v>53</v>
      </c>
      <c r="S6866">
        <v>79.5</v>
      </c>
      <c r="T6866" t="s">
        <v>34151</v>
      </c>
    </row>
    <row r="6867" spans="1:20">
      <c r="A6867">
        <v>4669443</v>
      </c>
      <c r="B6867" t="s">
        <v>34152</v>
      </c>
      <c r="C6867" t="str">
        <f>"9781442651616"</f>
        <v>9781442651616</v>
      </c>
      <c r="D6867" t="str">
        <f>"9781442656543"</f>
        <v>9781442656543</v>
      </c>
      <c r="E6867" t="s">
        <v>31435</v>
      </c>
      <c r="F6867" t="s">
        <v>31435</v>
      </c>
      <c r="G6867" s="1">
        <v>35414</v>
      </c>
      <c r="I6867" t="s">
        <v>31443</v>
      </c>
      <c r="J6867" t="s">
        <v>34153</v>
      </c>
      <c r="K6867" t="s">
        <v>291</v>
      </c>
      <c r="L6867" t="s">
        <v>34154</v>
      </c>
      <c r="M6867" t="s">
        <v>34155</v>
      </c>
      <c r="O6867" t="s">
        <v>26</v>
      </c>
      <c r="Q6867">
        <v>87.5</v>
      </c>
      <c r="R6867">
        <v>70</v>
      </c>
      <c r="S6867">
        <v>105</v>
      </c>
      <c r="T6867" t="s">
        <v>34156</v>
      </c>
    </row>
    <row r="6868" spans="1:20">
      <c r="A6868">
        <v>4669444</v>
      </c>
      <c r="B6868" t="s">
        <v>34157</v>
      </c>
      <c r="C6868" t="str">
        <f>"9781442651791"</f>
        <v>9781442651791</v>
      </c>
      <c r="D6868" t="str">
        <f>"9781442656789"</f>
        <v>9781442656789</v>
      </c>
      <c r="E6868" t="s">
        <v>31435</v>
      </c>
      <c r="F6868" t="s">
        <v>31435</v>
      </c>
      <c r="G6868" s="1">
        <v>26665</v>
      </c>
      <c r="I6868" t="s">
        <v>31443</v>
      </c>
      <c r="J6868" t="s">
        <v>34158</v>
      </c>
      <c r="K6868" t="s">
        <v>1464</v>
      </c>
      <c r="L6868" t="s">
        <v>34159</v>
      </c>
      <c r="M6868">
        <v>813.54</v>
      </c>
      <c r="O6868" t="s">
        <v>26</v>
      </c>
      <c r="Q6868">
        <v>83.75</v>
      </c>
      <c r="R6868">
        <v>67</v>
      </c>
      <c r="S6868">
        <v>100.5</v>
      </c>
      <c r="T6868" t="s">
        <v>34160</v>
      </c>
    </row>
    <row r="6869" spans="1:20">
      <c r="A6869">
        <v>4669445</v>
      </c>
      <c r="B6869" t="s">
        <v>34161</v>
      </c>
      <c r="C6869" t="str">
        <f>"9781442651449"</f>
        <v>9781442651449</v>
      </c>
      <c r="D6869" t="str">
        <f>"9781442656338"</f>
        <v>9781442656338</v>
      </c>
      <c r="E6869" t="s">
        <v>31435</v>
      </c>
      <c r="F6869" t="s">
        <v>31435</v>
      </c>
      <c r="G6869" s="1">
        <v>28474</v>
      </c>
      <c r="I6869" t="s">
        <v>31443</v>
      </c>
      <c r="J6869" t="s">
        <v>34162</v>
      </c>
      <c r="K6869" t="s">
        <v>76</v>
      </c>
      <c r="L6869" t="s">
        <v>34163</v>
      </c>
      <c r="M6869">
        <v>634.9</v>
      </c>
      <c r="O6869" t="s">
        <v>26</v>
      </c>
      <c r="Q6869">
        <v>77.5</v>
      </c>
      <c r="R6869">
        <v>62</v>
      </c>
      <c r="S6869">
        <v>93</v>
      </c>
      <c r="T6869" t="s">
        <v>34164</v>
      </c>
    </row>
    <row r="6870" spans="1:20">
      <c r="A6870">
        <v>4669446</v>
      </c>
      <c r="B6870" t="s">
        <v>34165</v>
      </c>
      <c r="C6870" t="str">
        <f>"9781442652163"</f>
        <v>9781442652163</v>
      </c>
      <c r="D6870" t="str">
        <f>"9781442632295"</f>
        <v>9781442632295</v>
      </c>
      <c r="E6870" t="s">
        <v>31435</v>
      </c>
      <c r="F6870" t="s">
        <v>31435</v>
      </c>
      <c r="G6870" s="1">
        <v>41640</v>
      </c>
      <c r="I6870" t="s">
        <v>31443</v>
      </c>
      <c r="J6870" t="s">
        <v>34166</v>
      </c>
      <c r="O6870" t="s">
        <v>26</v>
      </c>
      <c r="Q6870">
        <v>77.5</v>
      </c>
      <c r="R6870">
        <v>62</v>
      </c>
      <c r="S6870">
        <v>93</v>
      </c>
      <c r="T6870" t="s">
        <v>34167</v>
      </c>
    </row>
    <row r="6871" spans="1:20">
      <c r="A6871">
        <v>4669447</v>
      </c>
      <c r="B6871" t="s">
        <v>34168</v>
      </c>
      <c r="C6871" t="str">
        <f>"9781442651487"</f>
        <v>9781442651487</v>
      </c>
      <c r="D6871" t="str">
        <f>"9781442656376"</f>
        <v>9781442656376</v>
      </c>
      <c r="E6871" t="s">
        <v>31435</v>
      </c>
      <c r="F6871" t="s">
        <v>31435</v>
      </c>
      <c r="G6871" s="1">
        <v>26665</v>
      </c>
      <c r="I6871" t="s">
        <v>31443</v>
      </c>
      <c r="J6871" t="s">
        <v>34169</v>
      </c>
      <c r="K6871" t="s">
        <v>3219</v>
      </c>
      <c r="L6871" t="s">
        <v>34170</v>
      </c>
      <c r="M6871" t="s">
        <v>34171</v>
      </c>
      <c r="O6871" t="s">
        <v>26</v>
      </c>
      <c r="Q6871">
        <v>87.5</v>
      </c>
      <c r="R6871">
        <v>70</v>
      </c>
      <c r="S6871">
        <v>105</v>
      </c>
      <c r="T6871" t="s">
        <v>34172</v>
      </c>
    </row>
    <row r="6872" spans="1:20">
      <c r="A6872">
        <v>4669448</v>
      </c>
      <c r="B6872" t="s">
        <v>34173</v>
      </c>
      <c r="C6872" t="str">
        <f>"9781442651524"</f>
        <v>9781442651524</v>
      </c>
      <c r="D6872" t="str">
        <f>"9781442656420"</f>
        <v>9781442656420</v>
      </c>
      <c r="E6872" t="s">
        <v>31435</v>
      </c>
      <c r="F6872" t="s">
        <v>31435</v>
      </c>
      <c r="G6872" s="1">
        <v>23726</v>
      </c>
      <c r="I6872" t="s">
        <v>31443</v>
      </c>
      <c r="J6872" t="s">
        <v>34174</v>
      </c>
      <c r="K6872" t="s">
        <v>34175</v>
      </c>
      <c r="L6872" t="s">
        <v>34176</v>
      </c>
      <c r="M6872">
        <v>13.3790970999999</v>
      </c>
      <c r="O6872" t="s">
        <v>26</v>
      </c>
      <c r="Q6872">
        <v>66.25</v>
      </c>
      <c r="R6872">
        <v>53</v>
      </c>
      <c r="S6872">
        <v>79.5</v>
      </c>
      <c r="T6872" t="s">
        <v>34177</v>
      </c>
    </row>
    <row r="6873" spans="1:20">
      <c r="A6873">
        <v>4669449</v>
      </c>
      <c r="B6873" t="s">
        <v>34178</v>
      </c>
      <c r="C6873" t="str">
        <f>"9781442651548"</f>
        <v>9781442651548</v>
      </c>
      <c r="D6873" t="str">
        <f>"9781442656444"</f>
        <v>9781442656444</v>
      </c>
      <c r="E6873" t="s">
        <v>31435</v>
      </c>
      <c r="F6873" t="s">
        <v>31435</v>
      </c>
      <c r="G6873" s="1">
        <v>27743</v>
      </c>
      <c r="I6873" t="s">
        <v>31443</v>
      </c>
      <c r="J6873" t="s">
        <v>34179</v>
      </c>
      <c r="K6873" t="s">
        <v>12285</v>
      </c>
      <c r="L6873" t="s">
        <v>34180</v>
      </c>
      <c r="M6873" t="s">
        <v>34181</v>
      </c>
      <c r="O6873" t="s">
        <v>26</v>
      </c>
      <c r="Q6873">
        <v>48.75</v>
      </c>
      <c r="R6873">
        <v>39</v>
      </c>
      <c r="S6873">
        <v>58.5</v>
      </c>
      <c r="T6873" t="s">
        <v>34182</v>
      </c>
    </row>
    <row r="6874" spans="1:20">
      <c r="A6874">
        <v>4669450</v>
      </c>
      <c r="B6874" t="s">
        <v>34183</v>
      </c>
      <c r="C6874" t="str">
        <f>"9780802061973"</f>
        <v>9780802061973</v>
      </c>
      <c r="D6874" t="str">
        <f>"9781442656611"</f>
        <v>9781442656611</v>
      </c>
      <c r="E6874" t="s">
        <v>31435</v>
      </c>
      <c r="F6874" t="s">
        <v>31435</v>
      </c>
      <c r="G6874" s="1">
        <v>27013</v>
      </c>
      <c r="I6874" t="s">
        <v>31443</v>
      </c>
      <c r="J6874" t="s">
        <v>34184</v>
      </c>
      <c r="K6874" t="s">
        <v>1464</v>
      </c>
      <c r="L6874" t="s">
        <v>34185</v>
      </c>
      <c r="M6874" t="s">
        <v>26510</v>
      </c>
      <c r="O6874" t="s">
        <v>26</v>
      </c>
      <c r="Q6874">
        <v>72.5</v>
      </c>
      <c r="R6874">
        <v>58</v>
      </c>
      <c r="S6874">
        <v>87</v>
      </c>
      <c r="T6874" t="s">
        <v>34186</v>
      </c>
    </row>
    <row r="6875" spans="1:20">
      <c r="A6875">
        <v>4669451</v>
      </c>
      <c r="B6875" t="s">
        <v>34187</v>
      </c>
      <c r="C6875" t="str">
        <f>"9781442651708"</f>
        <v>9781442651708</v>
      </c>
      <c r="D6875" t="str">
        <f>"9781442656659"</f>
        <v>9781442656659</v>
      </c>
      <c r="E6875" t="s">
        <v>31435</v>
      </c>
      <c r="F6875" t="s">
        <v>31435</v>
      </c>
      <c r="G6875" s="1">
        <v>27013</v>
      </c>
      <c r="I6875" t="s">
        <v>34035</v>
      </c>
      <c r="J6875" t="s">
        <v>34188</v>
      </c>
      <c r="K6875" t="s">
        <v>1464</v>
      </c>
      <c r="L6875" t="s">
        <v>34189</v>
      </c>
      <c r="M6875" t="s">
        <v>34190</v>
      </c>
      <c r="O6875" t="s">
        <v>26</v>
      </c>
      <c r="Q6875">
        <v>33.75</v>
      </c>
      <c r="R6875">
        <v>27</v>
      </c>
      <c r="S6875">
        <v>40.5</v>
      </c>
      <c r="T6875" t="s">
        <v>34191</v>
      </c>
    </row>
    <row r="6876" spans="1:20">
      <c r="A6876">
        <v>4669452</v>
      </c>
      <c r="B6876" t="s">
        <v>34192</v>
      </c>
      <c r="C6876" t="str">
        <f>"9781442651593"</f>
        <v>9781442651593</v>
      </c>
      <c r="D6876" t="str">
        <f>"9781442656505"</f>
        <v>9781442656505</v>
      </c>
      <c r="E6876" t="s">
        <v>31435</v>
      </c>
      <c r="F6876" t="s">
        <v>31435</v>
      </c>
      <c r="G6876" s="1">
        <v>26282</v>
      </c>
      <c r="I6876" t="s">
        <v>34035</v>
      </c>
      <c r="J6876" t="s">
        <v>34193</v>
      </c>
      <c r="K6876" t="s">
        <v>1464</v>
      </c>
      <c r="L6876" t="s">
        <v>34194</v>
      </c>
      <c r="M6876">
        <v>843.7</v>
      </c>
      <c r="O6876" t="s">
        <v>26</v>
      </c>
      <c r="Q6876">
        <v>131.25</v>
      </c>
      <c r="R6876">
        <v>105</v>
      </c>
      <c r="S6876">
        <v>157.5</v>
      </c>
      <c r="T6876" t="s">
        <v>34195</v>
      </c>
    </row>
    <row r="6877" spans="1:20">
      <c r="A6877">
        <v>4669453</v>
      </c>
      <c r="B6877" t="s">
        <v>34196</v>
      </c>
      <c r="C6877" t="str">
        <f>"9781442651746"</f>
        <v>9781442651746</v>
      </c>
      <c r="D6877" t="str">
        <f>"9781442656734"</f>
        <v>9781442656734</v>
      </c>
      <c r="E6877" t="s">
        <v>31435</v>
      </c>
      <c r="F6877" t="s">
        <v>31435</v>
      </c>
      <c r="G6877" s="1">
        <v>25934</v>
      </c>
      <c r="I6877" t="s">
        <v>31443</v>
      </c>
      <c r="J6877" t="s">
        <v>34197</v>
      </c>
      <c r="K6877" t="s">
        <v>34198</v>
      </c>
      <c r="L6877" t="s">
        <v>34199</v>
      </c>
      <c r="M6877">
        <v>16.9713999999999</v>
      </c>
      <c r="O6877" t="s">
        <v>26</v>
      </c>
      <c r="Q6877">
        <v>95</v>
      </c>
      <c r="R6877">
        <v>76</v>
      </c>
      <c r="S6877">
        <v>114</v>
      </c>
      <c r="T6877" t="s">
        <v>34200</v>
      </c>
    </row>
    <row r="6878" spans="1:20">
      <c r="A6878">
        <v>4669454</v>
      </c>
      <c r="B6878" t="s">
        <v>34201</v>
      </c>
      <c r="C6878" t="str">
        <f>"9781442651753"</f>
        <v>9781442651753</v>
      </c>
      <c r="D6878" t="str">
        <f>"9781442656741"</f>
        <v>9781442656741</v>
      </c>
      <c r="E6878" t="s">
        <v>31435</v>
      </c>
      <c r="F6878" t="s">
        <v>31435</v>
      </c>
      <c r="G6878" s="1">
        <v>21169</v>
      </c>
      <c r="I6878" t="s">
        <v>31443</v>
      </c>
      <c r="J6878" t="s">
        <v>34202</v>
      </c>
      <c r="K6878" t="s">
        <v>467</v>
      </c>
      <c r="L6878" t="s">
        <v>34203</v>
      </c>
      <c r="M6878">
        <v>354.71603520000002</v>
      </c>
      <c r="O6878" t="s">
        <v>26</v>
      </c>
      <c r="Q6878">
        <v>87.5</v>
      </c>
      <c r="R6878">
        <v>70</v>
      </c>
      <c r="S6878">
        <v>105</v>
      </c>
      <c r="T6878" t="s">
        <v>34204</v>
      </c>
    </row>
    <row r="6879" spans="1:20">
      <c r="A6879">
        <v>4669455</v>
      </c>
      <c r="B6879" t="s">
        <v>34205</v>
      </c>
      <c r="C6879" t="str">
        <f>"9781442651470"</f>
        <v>9781442651470</v>
      </c>
      <c r="D6879" t="str">
        <f>"9781442656369"</f>
        <v>9781442656369</v>
      </c>
      <c r="E6879" t="s">
        <v>31435</v>
      </c>
      <c r="F6879" t="s">
        <v>31435</v>
      </c>
      <c r="G6879" s="1">
        <v>22282</v>
      </c>
      <c r="I6879" t="s">
        <v>31443</v>
      </c>
      <c r="J6879" t="s">
        <v>34206</v>
      </c>
      <c r="K6879" t="s">
        <v>305</v>
      </c>
      <c r="L6879" t="s">
        <v>34207</v>
      </c>
      <c r="M6879">
        <v>650.02020000000005</v>
      </c>
      <c r="O6879" t="s">
        <v>26</v>
      </c>
      <c r="Q6879">
        <v>33.75</v>
      </c>
      <c r="R6879">
        <v>27</v>
      </c>
      <c r="S6879">
        <v>40.5</v>
      </c>
      <c r="T6879" t="s">
        <v>34208</v>
      </c>
    </row>
    <row r="6880" spans="1:20">
      <c r="A6880">
        <v>4669456</v>
      </c>
      <c r="B6880" t="s">
        <v>34209</v>
      </c>
      <c r="C6880" t="str">
        <f>"9780802064158"</f>
        <v>9780802064158</v>
      </c>
      <c r="D6880" t="str">
        <f>"9781442656840"</f>
        <v>9781442656840</v>
      </c>
      <c r="E6880" t="s">
        <v>31435</v>
      </c>
      <c r="F6880" t="s">
        <v>31435</v>
      </c>
      <c r="G6880" s="1">
        <v>41640</v>
      </c>
      <c r="I6880" t="s">
        <v>31443</v>
      </c>
      <c r="J6880" t="s">
        <v>34210</v>
      </c>
      <c r="K6880" t="s">
        <v>291</v>
      </c>
      <c r="M6880">
        <v>971</v>
      </c>
      <c r="O6880" t="s">
        <v>26</v>
      </c>
      <c r="Q6880">
        <v>55</v>
      </c>
      <c r="R6880">
        <v>44</v>
      </c>
      <c r="S6880">
        <v>66</v>
      </c>
      <c r="T6880" t="s">
        <v>34211</v>
      </c>
    </row>
    <row r="6881" spans="1:20">
      <c r="A6881">
        <v>4669457</v>
      </c>
      <c r="B6881" t="s">
        <v>34212</v>
      </c>
      <c r="C6881" t="str">
        <f>"9781442651418"</f>
        <v>9781442651418</v>
      </c>
      <c r="D6881" t="str">
        <f>"9781442656307"</f>
        <v>9781442656307</v>
      </c>
      <c r="E6881" t="s">
        <v>31435</v>
      </c>
      <c r="F6881" t="s">
        <v>31435</v>
      </c>
      <c r="G6881" s="1">
        <v>19708</v>
      </c>
      <c r="I6881" t="s">
        <v>31443</v>
      </c>
      <c r="J6881" t="s">
        <v>34213</v>
      </c>
      <c r="K6881" t="s">
        <v>1530</v>
      </c>
      <c r="L6881" t="s">
        <v>34214</v>
      </c>
      <c r="M6881">
        <v>301.29710499999902</v>
      </c>
      <c r="O6881" t="s">
        <v>26</v>
      </c>
      <c r="Q6881">
        <v>43.75</v>
      </c>
      <c r="R6881">
        <v>35</v>
      </c>
      <c r="S6881">
        <v>52.5</v>
      </c>
      <c r="T6881" t="s">
        <v>34215</v>
      </c>
    </row>
    <row r="6882" spans="1:20">
      <c r="A6882">
        <v>4669458</v>
      </c>
      <c r="B6882" t="s">
        <v>34216</v>
      </c>
      <c r="C6882" t="str">
        <f>"9781442651371"</f>
        <v>9781442651371</v>
      </c>
      <c r="D6882" t="str">
        <f>"9781442656253"</f>
        <v>9781442656253</v>
      </c>
      <c r="E6882" t="s">
        <v>31435</v>
      </c>
      <c r="F6882" t="s">
        <v>31435</v>
      </c>
      <c r="G6882" s="1">
        <v>22265</v>
      </c>
      <c r="I6882" t="s">
        <v>31443</v>
      </c>
      <c r="J6882" t="s">
        <v>34217</v>
      </c>
      <c r="K6882" t="s">
        <v>6444</v>
      </c>
      <c r="L6882" t="s">
        <v>20440</v>
      </c>
      <c r="M6882">
        <v>327.71</v>
      </c>
      <c r="O6882" t="s">
        <v>26</v>
      </c>
      <c r="Q6882">
        <v>43.75</v>
      </c>
      <c r="R6882">
        <v>35</v>
      </c>
      <c r="S6882">
        <v>52.5</v>
      </c>
      <c r="T6882" t="s">
        <v>34218</v>
      </c>
    </row>
    <row r="6883" spans="1:20">
      <c r="A6883">
        <v>4669459</v>
      </c>
      <c r="B6883" t="s">
        <v>34219</v>
      </c>
      <c r="C6883" t="str">
        <f>"9781442651463"</f>
        <v>9781442651463</v>
      </c>
      <c r="D6883" t="str">
        <f>"9781442656352"</f>
        <v>9781442656352</v>
      </c>
      <c r="E6883" t="s">
        <v>31435</v>
      </c>
      <c r="F6883" t="s">
        <v>31435</v>
      </c>
      <c r="G6883" s="1">
        <v>29587</v>
      </c>
      <c r="I6883" t="s">
        <v>31443</v>
      </c>
      <c r="K6883" t="s">
        <v>467</v>
      </c>
      <c r="L6883" t="s">
        <v>34220</v>
      </c>
      <c r="M6883" t="s">
        <v>34221</v>
      </c>
      <c r="O6883" t="s">
        <v>26</v>
      </c>
      <c r="Q6883">
        <v>66.25</v>
      </c>
      <c r="R6883">
        <v>53</v>
      </c>
      <c r="S6883">
        <v>79.5</v>
      </c>
      <c r="T6883" t="s">
        <v>34222</v>
      </c>
    </row>
    <row r="6884" spans="1:20">
      <c r="A6884">
        <v>4669460</v>
      </c>
      <c r="B6884" t="s">
        <v>34223</v>
      </c>
      <c r="C6884" t="str">
        <f>"9780802072290"</f>
        <v>9780802072290</v>
      </c>
      <c r="D6884" t="str">
        <f>"9781442632066"</f>
        <v>9781442632066</v>
      </c>
      <c r="E6884" t="s">
        <v>31435</v>
      </c>
      <c r="F6884" t="s">
        <v>31435</v>
      </c>
      <c r="G6884" s="1">
        <v>38718</v>
      </c>
      <c r="H6884">
        <v>2</v>
      </c>
      <c r="J6884" t="s">
        <v>34224</v>
      </c>
      <c r="K6884" t="s">
        <v>34225</v>
      </c>
      <c r="L6884" t="s">
        <v>34226</v>
      </c>
      <c r="M6884" t="s">
        <v>34227</v>
      </c>
      <c r="O6884" t="s">
        <v>26</v>
      </c>
      <c r="Q6884">
        <v>96.25</v>
      </c>
      <c r="R6884">
        <v>77</v>
      </c>
      <c r="S6884">
        <v>115.5</v>
      </c>
      <c r="T6884" t="s">
        <v>34228</v>
      </c>
    </row>
    <row r="6885" spans="1:20">
      <c r="A6885">
        <v>4669463</v>
      </c>
      <c r="B6885" t="s">
        <v>34229</v>
      </c>
      <c r="C6885" t="str">
        <f>"9781442651425"</f>
        <v>9781442651425</v>
      </c>
      <c r="D6885" t="str">
        <f>"9781442656314"</f>
        <v>9781442656314</v>
      </c>
      <c r="E6885" t="s">
        <v>31435</v>
      </c>
      <c r="F6885" t="s">
        <v>31435</v>
      </c>
      <c r="G6885" s="1">
        <v>41640</v>
      </c>
      <c r="I6885" t="s">
        <v>31443</v>
      </c>
      <c r="J6885" t="s">
        <v>34230</v>
      </c>
      <c r="O6885" t="s">
        <v>26</v>
      </c>
      <c r="Q6885">
        <v>77.5</v>
      </c>
      <c r="R6885">
        <v>62</v>
      </c>
      <c r="S6885">
        <v>93</v>
      </c>
      <c r="T6885" t="s">
        <v>34231</v>
      </c>
    </row>
    <row r="6886" spans="1:20">
      <c r="A6886">
        <v>4669466</v>
      </c>
      <c r="B6886" t="s">
        <v>34232</v>
      </c>
      <c r="C6886" t="str">
        <f>"9781442649323"</f>
        <v>9781442649323</v>
      </c>
      <c r="D6886" t="str">
        <f>"9781442619951"</f>
        <v>9781442619951</v>
      </c>
      <c r="E6886" t="s">
        <v>31435</v>
      </c>
      <c r="F6886" t="s">
        <v>31435</v>
      </c>
      <c r="G6886" s="1">
        <v>42005</v>
      </c>
      <c r="J6886" t="s">
        <v>34233</v>
      </c>
      <c r="K6886" t="s">
        <v>278</v>
      </c>
      <c r="M6886">
        <v>338.2</v>
      </c>
      <c r="O6886" t="s">
        <v>26</v>
      </c>
      <c r="Q6886">
        <v>87.5</v>
      </c>
      <c r="R6886">
        <v>70</v>
      </c>
      <c r="S6886">
        <v>105</v>
      </c>
      <c r="T6886" t="s">
        <v>34234</v>
      </c>
    </row>
    <row r="6887" spans="1:20">
      <c r="A6887">
        <v>4669470</v>
      </c>
      <c r="B6887" t="s">
        <v>34235</v>
      </c>
      <c r="C6887" t="str">
        <f>"9780802095831"</f>
        <v>9780802095831</v>
      </c>
      <c r="D6887" t="str">
        <f>"9781442632820"</f>
        <v>9781442632820</v>
      </c>
      <c r="E6887" t="s">
        <v>31435</v>
      </c>
      <c r="F6887" t="s">
        <v>34236</v>
      </c>
      <c r="G6887" s="1">
        <v>39448</v>
      </c>
      <c r="I6887" t="s">
        <v>34236</v>
      </c>
      <c r="J6887" t="s">
        <v>34237</v>
      </c>
      <c r="K6887" t="s">
        <v>550</v>
      </c>
      <c r="L6887" t="s">
        <v>34238</v>
      </c>
      <c r="M6887" t="s">
        <v>34239</v>
      </c>
      <c r="O6887" t="s">
        <v>26</v>
      </c>
      <c r="Q6887">
        <v>93.75</v>
      </c>
      <c r="R6887">
        <v>75</v>
      </c>
      <c r="S6887">
        <v>112.5</v>
      </c>
      <c r="T6887" t="s">
        <v>34240</v>
      </c>
    </row>
    <row r="6888" spans="1:20">
      <c r="A6888">
        <v>4669471</v>
      </c>
      <c r="B6888" t="s">
        <v>34241</v>
      </c>
      <c r="C6888" t="str">
        <f>"9781442651630"</f>
        <v>9781442651630</v>
      </c>
      <c r="D6888" t="str">
        <f>"9781442656567"</f>
        <v>9781442656567</v>
      </c>
      <c r="E6888" t="s">
        <v>31435</v>
      </c>
      <c r="F6888" t="s">
        <v>31435</v>
      </c>
      <c r="G6888" s="1">
        <v>21169</v>
      </c>
      <c r="I6888" t="s">
        <v>31443</v>
      </c>
      <c r="J6888" t="s">
        <v>34242</v>
      </c>
      <c r="K6888" t="s">
        <v>10956</v>
      </c>
      <c r="L6888" t="s">
        <v>34243</v>
      </c>
      <c r="M6888">
        <v>71.050923999999895</v>
      </c>
      <c r="O6888" t="s">
        <v>26</v>
      </c>
      <c r="Q6888">
        <v>78.75</v>
      </c>
      <c r="R6888">
        <v>63</v>
      </c>
      <c r="S6888">
        <v>94.5</v>
      </c>
      <c r="T6888" t="s">
        <v>34244</v>
      </c>
    </row>
    <row r="6889" spans="1:20">
      <c r="A6889">
        <v>4669472</v>
      </c>
      <c r="B6889" t="s">
        <v>34245</v>
      </c>
      <c r="C6889" t="str">
        <f>"9781442651647"</f>
        <v>9781442651647</v>
      </c>
      <c r="D6889" t="str">
        <f>"9781442656574"</f>
        <v>9781442656574</v>
      </c>
      <c r="E6889" t="s">
        <v>31435</v>
      </c>
      <c r="F6889" t="s">
        <v>31435</v>
      </c>
      <c r="G6889" s="1">
        <v>41640</v>
      </c>
      <c r="I6889" t="s">
        <v>31443</v>
      </c>
      <c r="J6889" t="s">
        <v>34246</v>
      </c>
      <c r="O6889" t="s">
        <v>26</v>
      </c>
      <c r="Q6889">
        <v>33.75</v>
      </c>
      <c r="R6889">
        <v>27</v>
      </c>
      <c r="S6889">
        <v>40.5</v>
      </c>
      <c r="T6889" t="s">
        <v>34247</v>
      </c>
    </row>
    <row r="6890" spans="1:20">
      <c r="A6890">
        <v>4669473</v>
      </c>
      <c r="B6890" t="s">
        <v>34248</v>
      </c>
      <c r="C6890" t="str">
        <f>"9781442651692"</f>
        <v>9781442651692</v>
      </c>
      <c r="D6890" t="str">
        <f>"9781442656642"</f>
        <v>9781442656642</v>
      </c>
      <c r="E6890" t="s">
        <v>31435</v>
      </c>
      <c r="F6890" t="s">
        <v>31435</v>
      </c>
      <c r="G6890" s="1">
        <v>41640</v>
      </c>
      <c r="I6890" t="s">
        <v>31443</v>
      </c>
      <c r="J6890" t="s">
        <v>34249</v>
      </c>
      <c r="O6890" t="s">
        <v>26</v>
      </c>
      <c r="Q6890">
        <v>52.5</v>
      </c>
      <c r="R6890">
        <v>42</v>
      </c>
      <c r="S6890">
        <v>63</v>
      </c>
      <c r="T6890" t="s">
        <v>34250</v>
      </c>
    </row>
    <row r="6891" spans="1:20">
      <c r="A6891">
        <v>4669474</v>
      </c>
      <c r="B6891" t="s">
        <v>34251</v>
      </c>
      <c r="C6891" t="str">
        <f>"9781442651814"</f>
        <v>9781442651814</v>
      </c>
      <c r="D6891" t="str">
        <f>"9781442656802"</f>
        <v>9781442656802</v>
      </c>
      <c r="E6891" t="s">
        <v>31435</v>
      </c>
      <c r="F6891" t="s">
        <v>31435</v>
      </c>
      <c r="G6891" s="1">
        <v>24473</v>
      </c>
      <c r="I6891" t="s">
        <v>31443</v>
      </c>
      <c r="J6891" t="s">
        <v>34252</v>
      </c>
      <c r="K6891" t="s">
        <v>34253</v>
      </c>
      <c r="L6891" t="s">
        <v>34254</v>
      </c>
      <c r="M6891">
        <v>16.439599999999899</v>
      </c>
      <c r="O6891" t="s">
        <v>26</v>
      </c>
      <c r="Q6891">
        <v>31.25</v>
      </c>
      <c r="R6891">
        <v>25</v>
      </c>
      <c r="S6891">
        <v>37.5</v>
      </c>
      <c r="T6891" t="s">
        <v>34255</v>
      </c>
    </row>
    <row r="6892" spans="1:20">
      <c r="A6892">
        <v>4669475</v>
      </c>
      <c r="B6892" t="s">
        <v>34256</v>
      </c>
      <c r="C6892" t="str">
        <f>"9781442651937"</f>
        <v>9781442651937</v>
      </c>
      <c r="D6892" t="str">
        <f>"9781442632011"</f>
        <v>9781442632011</v>
      </c>
      <c r="E6892" t="s">
        <v>31435</v>
      </c>
      <c r="F6892" t="s">
        <v>31435</v>
      </c>
      <c r="G6892" s="1">
        <v>19360</v>
      </c>
      <c r="I6892" t="s">
        <v>31443</v>
      </c>
      <c r="J6892" t="s">
        <v>33993</v>
      </c>
      <c r="K6892" t="s">
        <v>257</v>
      </c>
      <c r="L6892" t="s">
        <v>34257</v>
      </c>
      <c r="M6892">
        <v>378.71</v>
      </c>
      <c r="O6892" t="s">
        <v>26</v>
      </c>
      <c r="Q6892">
        <v>40</v>
      </c>
      <c r="R6892">
        <v>32</v>
      </c>
      <c r="S6892">
        <v>48</v>
      </c>
      <c r="T6892" t="s">
        <v>34258</v>
      </c>
    </row>
    <row r="6893" spans="1:20">
      <c r="A6893">
        <v>4669476</v>
      </c>
      <c r="B6893" t="s">
        <v>34259</v>
      </c>
      <c r="C6893" t="str">
        <f>"9781442652033"</f>
        <v>9781442652033</v>
      </c>
      <c r="D6893" t="str">
        <f>"9781442632134"</f>
        <v>9781442632134</v>
      </c>
      <c r="E6893" t="s">
        <v>31435</v>
      </c>
      <c r="F6893" t="s">
        <v>31435</v>
      </c>
      <c r="G6893" s="1">
        <v>24456</v>
      </c>
      <c r="I6893" t="s">
        <v>31443</v>
      </c>
      <c r="J6893" t="s">
        <v>34260</v>
      </c>
      <c r="K6893" t="s">
        <v>1127</v>
      </c>
      <c r="L6893" t="s">
        <v>34261</v>
      </c>
      <c r="M6893">
        <v>155.9</v>
      </c>
      <c r="O6893" t="s">
        <v>26</v>
      </c>
      <c r="Q6893">
        <v>37.5</v>
      </c>
      <c r="R6893">
        <v>30</v>
      </c>
      <c r="S6893">
        <v>45</v>
      </c>
      <c r="T6893" t="s">
        <v>34262</v>
      </c>
    </row>
    <row r="6894" spans="1:20">
      <c r="A6894">
        <v>4669477</v>
      </c>
      <c r="B6894" t="s">
        <v>34263</v>
      </c>
      <c r="C6894" t="str">
        <f>"9781442652187"</f>
        <v>9781442652187</v>
      </c>
      <c r="D6894" t="str">
        <f>"9781442632769"</f>
        <v>9781442632769</v>
      </c>
      <c r="E6894" t="s">
        <v>31435</v>
      </c>
      <c r="F6894" t="s">
        <v>31435</v>
      </c>
      <c r="G6894" s="1">
        <v>22647</v>
      </c>
      <c r="I6894" t="s">
        <v>33915</v>
      </c>
      <c r="J6894" t="s">
        <v>34264</v>
      </c>
      <c r="K6894" t="s">
        <v>1859</v>
      </c>
      <c r="L6894" t="s">
        <v>34265</v>
      </c>
      <c r="M6894">
        <v>144</v>
      </c>
      <c r="O6894" t="s">
        <v>26</v>
      </c>
      <c r="Q6894">
        <v>40</v>
      </c>
      <c r="R6894">
        <v>32</v>
      </c>
      <c r="S6894">
        <v>48</v>
      </c>
      <c r="T6894" t="s">
        <v>34266</v>
      </c>
    </row>
    <row r="6895" spans="1:20">
      <c r="A6895">
        <v>4669478</v>
      </c>
      <c r="B6895" t="s">
        <v>34267</v>
      </c>
      <c r="C6895" t="str">
        <f>"9781442631540"</f>
        <v>9781442631540</v>
      </c>
      <c r="D6895" t="str">
        <f>"9781442656758"</f>
        <v>9781442656758</v>
      </c>
      <c r="E6895" t="s">
        <v>31435</v>
      </c>
      <c r="F6895" t="s">
        <v>31435</v>
      </c>
      <c r="G6895" s="1">
        <v>41640</v>
      </c>
      <c r="I6895" t="s">
        <v>31443</v>
      </c>
      <c r="J6895" t="s">
        <v>34268</v>
      </c>
      <c r="O6895" t="s">
        <v>26</v>
      </c>
      <c r="Q6895">
        <v>87.5</v>
      </c>
      <c r="R6895">
        <v>70</v>
      </c>
      <c r="S6895">
        <v>105</v>
      </c>
      <c r="T6895" t="s">
        <v>34269</v>
      </c>
    </row>
    <row r="6896" spans="1:20">
      <c r="A6896">
        <v>4669479</v>
      </c>
      <c r="B6896" t="s">
        <v>34270</v>
      </c>
      <c r="C6896" t="str">
        <f>"9781442652019"</f>
        <v>9781442652019</v>
      </c>
      <c r="D6896" t="str">
        <f>"9781442632103"</f>
        <v>9781442632103</v>
      </c>
      <c r="E6896" t="s">
        <v>31435</v>
      </c>
      <c r="F6896" t="s">
        <v>31435</v>
      </c>
      <c r="G6896" s="1">
        <v>41640</v>
      </c>
      <c r="I6896" t="s">
        <v>31443</v>
      </c>
      <c r="J6896" t="s">
        <v>33984</v>
      </c>
      <c r="O6896" t="s">
        <v>26</v>
      </c>
      <c r="Q6896">
        <v>66.25</v>
      </c>
      <c r="R6896">
        <v>53</v>
      </c>
      <c r="S6896">
        <v>79.5</v>
      </c>
      <c r="T6896" t="s">
        <v>34271</v>
      </c>
    </row>
    <row r="6897" spans="1:20">
      <c r="A6897">
        <v>4669480</v>
      </c>
      <c r="B6897" t="s">
        <v>34272</v>
      </c>
      <c r="C6897" t="str">
        <f>"9781442652057"</f>
        <v>9781442652057</v>
      </c>
      <c r="D6897" t="str">
        <f>"9781442632189"</f>
        <v>9781442632189</v>
      </c>
      <c r="E6897" t="s">
        <v>31435</v>
      </c>
      <c r="F6897" t="s">
        <v>31435</v>
      </c>
      <c r="G6897" s="1">
        <v>18247</v>
      </c>
      <c r="I6897" t="s">
        <v>31443</v>
      </c>
      <c r="J6897" t="s">
        <v>34273</v>
      </c>
      <c r="K6897" t="s">
        <v>1464</v>
      </c>
      <c r="L6897" t="s">
        <v>34274</v>
      </c>
      <c r="M6897">
        <v>833.91408999999896</v>
      </c>
      <c r="O6897" t="s">
        <v>26</v>
      </c>
      <c r="Q6897">
        <v>51.25</v>
      </c>
      <c r="R6897">
        <v>41</v>
      </c>
      <c r="S6897">
        <v>61.5</v>
      </c>
      <c r="T6897" t="s">
        <v>34275</v>
      </c>
    </row>
    <row r="6898" spans="1:20">
      <c r="A6898">
        <v>4669481</v>
      </c>
      <c r="B6898" t="s">
        <v>34276</v>
      </c>
      <c r="C6898" t="str">
        <f>"9781442651333"</f>
        <v>9781442651333</v>
      </c>
      <c r="D6898" t="str">
        <f>"9781442615120"</f>
        <v>9781442615120</v>
      </c>
      <c r="E6898" t="s">
        <v>31435</v>
      </c>
      <c r="F6898" t="s">
        <v>31435</v>
      </c>
      <c r="G6898" s="1">
        <v>26648</v>
      </c>
      <c r="I6898" t="s">
        <v>31443</v>
      </c>
      <c r="J6898" t="s">
        <v>34277</v>
      </c>
      <c r="K6898" t="s">
        <v>3230</v>
      </c>
      <c r="L6898" t="s">
        <v>34278</v>
      </c>
      <c r="M6898">
        <v>910</v>
      </c>
      <c r="O6898" t="s">
        <v>26</v>
      </c>
      <c r="Q6898">
        <v>200</v>
      </c>
      <c r="R6898">
        <v>160</v>
      </c>
      <c r="S6898">
        <v>240</v>
      </c>
      <c r="T6898" t="s">
        <v>34279</v>
      </c>
    </row>
    <row r="6899" spans="1:20">
      <c r="A6899">
        <v>4669482</v>
      </c>
      <c r="B6899" t="s">
        <v>34280</v>
      </c>
      <c r="C6899" t="str">
        <f>"9781442652217"</f>
        <v>9781442652217</v>
      </c>
      <c r="D6899" t="str">
        <f>"9781442632370"</f>
        <v>9781442632370</v>
      </c>
      <c r="E6899" t="s">
        <v>31435</v>
      </c>
      <c r="F6899" t="s">
        <v>31435</v>
      </c>
      <c r="G6899" s="1">
        <v>24108</v>
      </c>
      <c r="I6899" t="s">
        <v>31443</v>
      </c>
      <c r="J6899" t="s">
        <v>34281</v>
      </c>
      <c r="K6899" t="s">
        <v>6444</v>
      </c>
      <c r="L6899" t="s">
        <v>34282</v>
      </c>
      <c r="M6899">
        <v>354.71030924000002</v>
      </c>
      <c r="O6899" t="s">
        <v>26</v>
      </c>
      <c r="Q6899">
        <v>66.25</v>
      </c>
      <c r="R6899">
        <v>53</v>
      </c>
      <c r="S6899">
        <v>79.5</v>
      </c>
      <c r="T6899" t="s">
        <v>34283</v>
      </c>
    </row>
    <row r="6900" spans="1:20">
      <c r="A6900">
        <v>4669483</v>
      </c>
      <c r="B6900" t="s">
        <v>34284</v>
      </c>
      <c r="C6900" t="str">
        <f>"9781442652392"</f>
        <v>9781442652392</v>
      </c>
      <c r="D6900" t="str">
        <f>"9781442632561"</f>
        <v>9781442632561</v>
      </c>
      <c r="E6900" t="s">
        <v>31435</v>
      </c>
      <c r="F6900" t="s">
        <v>31435</v>
      </c>
      <c r="G6900" s="1">
        <v>22265</v>
      </c>
      <c r="I6900" t="s">
        <v>33915</v>
      </c>
      <c r="J6900" t="s">
        <v>34285</v>
      </c>
      <c r="K6900" t="s">
        <v>1464</v>
      </c>
      <c r="L6900" t="s">
        <v>34286</v>
      </c>
      <c r="M6900">
        <v>821.1</v>
      </c>
      <c r="O6900" t="s">
        <v>26</v>
      </c>
      <c r="Q6900">
        <v>33.75</v>
      </c>
      <c r="R6900">
        <v>27</v>
      </c>
      <c r="S6900">
        <v>40.5</v>
      </c>
      <c r="T6900" t="s">
        <v>34287</v>
      </c>
    </row>
    <row r="6901" spans="1:20">
      <c r="A6901">
        <v>4669484</v>
      </c>
      <c r="B6901" t="s">
        <v>34288</v>
      </c>
      <c r="C6901" t="str">
        <f>"9781442652408"</f>
        <v>9781442652408</v>
      </c>
      <c r="D6901" t="str">
        <f>"9781442632578"</f>
        <v>9781442632578</v>
      </c>
      <c r="E6901" t="s">
        <v>31435</v>
      </c>
      <c r="F6901" t="s">
        <v>31435</v>
      </c>
      <c r="G6901" s="1">
        <v>18612</v>
      </c>
      <c r="I6901" t="s">
        <v>33915</v>
      </c>
      <c r="J6901" t="s">
        <v>34289</v>
      </c>
      <c r="K6901" t="s">
        <v>1464</v>
      </c>
      <c r="L6901" t="s">
        <v>34290</v>
      </c>
      <c r="M6901">
        <v>808.3</v>
      </c>
      <c r="O6901" t="s">
        <v>26</v>
      </c>
      <c r="Q6901">
        <v>33.75</v>
      </c>
      <c r="R6901">
        <v>27</v>
      </c>
      <c r="S6901">
        <v>40.5</v>
      </c>
      <c r="T6901" t="s">
        <v>34291</v>
      </c>
    </row>
    <row r="6902" spans="1:20">
      <c r="A6902">
        <v>4669485</v>
      </c>
      <c r="B6902" t="s">
        <v>34292</v>
      </c>
      <c r="C6902" t="str">
        <f>"9780802063991"</f>
        <v>9780802063991</v>
      </c>
      <c r="D6902" t="str">
        <f>"9781442652422"</f>
        <v>9781442652422</v>
      </c>
      <c r="E6902" t="s">
        <v>31435</v>
      </c>
      <c r="F6902" t="s">
        <v>31435</v>
      </c>
      <c r="G6902" s="1">
        <v>29570</v>
      </c>
      <c r="I6902" t="s">
        <v>31443</v>
      </c>
      <c r="J6902" t="s">
        <v>34293</v>
      </c>
      <c r="K6902" t="s">
        <v>525</v>
      </c>
      <c r="L6902" t="s">
        <v>34294</v>
      </c>
      <c r="M6902">
        <v>347.10219999999902</v>
      </c>
      <c r="O6902" t="s">
        <v>26</v>
      </c>
      <c r="Q6902">
        <v>33.75</v>
      </c>
      <c r="R6902">
        <v>27</v>
      </c>
      <c r="S6902">
        <v>40.5</v>
      </c>
      <c r="T6902" t="s">
        <v>34295</v>
      </c>
    </row>
    <row r="6903" spans="1:20">
      <c r="A6903">
        <v>4669486</v>
      </c>
      <c r="B6903" t="s">
        <v>34296</v>
      </c>
      <c r="C6903" t="str">
        <f>"9781442646414"</f>
        <v>9781442646414</v>
      </c>
      <c r="D6903" t="str">
        <f>"9781442665637"</f>
        <v>9781442665637</v>
      </c>
      <c r="E6903" t="s">
        <v>31435</v>
      </c>
      <c r="F6903" t="s">
        <v>31435</v>
      </c>
      <c r="G6903" s="1">
        <v>41827</v>
      </c>
      <c r="J6903" t="s">
        <v>34297</v>
      </c>
      <c r="K6903" t="s">
        <v>1464</v>
      </c>
      <c r="M6903">
        <v>853.8</v>
      </c>
      <c r="O6903" t="s">
        <v>26</v>
      </c>
      <c r="Q6903">
        <v>81.25</v>
      </c>
      <c r="R6903">
        <v>65</v>
      </c>
      <c r="S6903">
        <v>97.5</v>
      </c>
      <c r="T6903" t="s">
        <v>34298</v>
      </c>
    </row>
    <row r="6904" spans="1:20">
      <c r="A6904">
        <v>4669496</v>
      </c>
      <c r="B6904" t="s">
        <v>34299</v>
      </c>
      <c r="C6904" t="str">
        <f>"9781442615113"</f>
        <v>9781442615113</v>
      </c>
      <c r="D6904" t="str">
        <f>"9781442621626"</f>
        <v>9781442621626</v>
      </c>
      <c r="E6904" t="s">
        <v>31435</v>
      </c>
      <c r="F6904" t="s">
        <v>31435</v>
      </c>
      <c r="G6904" s="1">
        <v>41781</v>
      </c>
      <c r="J6904" t="s">
        <v>34300</v>
      </c>
      <c r="K6904" t="s">
        <v>1464</v>
      </c>
      <c r="M6904">
        <v>863.3</v>
      </c>
      <c r="O6904" t="s">
        <v>26</v>
      </c>
      <c r="Q6904">
        <v>90</v>
      </c>
      <c r="R6904">
        <v>72</v>
      </c>
      <c r="S6904">
        <v>108</v>
      </c>
      <c r="T6904" t="s">
        <v>34301</v>
      </c>
    </row>
    <row r="6905" spans="1:20">
      <c r="A6905">
        <v>4669497</v>
      </c>
      <c r="B6905" t="s">
        <v>34302</v>
      </c>
      <c r="C6905" t="str">
        <f>"9780802065230"</f>
        <v>9780802065230</v>
      </c>
      <c r="D6905" t="str">
        <f>"9781442656857"</f>
        <v>9781442656857</v>
      </c>
      <c r="E6905" t="s">
        <v>31435</v>
      </c>
      <c r="F6905" t="s">
        <v>31435</v>
      </c>
      <c r="G6905" s="1">
        <v>30317</v>
      </c>
      <c r="I6905" t="s">
        <v>34303</v>
      </c>
      <c r="J6905" t="s">
        <v>34304</v>
      </c>
      <c r="K6905" t="s">
        <v>3043</v>
      </c>
      <c r="L6905" t="s">
        <v>34305</v>
      </c>
      <c r="M6905">
        <v>508.71</v>
      </c>
      <c r="O6905" t="s">
        <v>26</v>
      </c>
      <c r="Q6905">
        <v>28.75</v>
      </c>
      <c r="R6905">
        <v>23</v>
      </c>
      <c r="S6905">
        <v>34.5</v>
      </c>
      <c r="T6905" t="s">
        <v>34306</v>
      </c>
    </row>
    <row r="6906" spans="1:20">
      <c r="A6906">
        <v>4669498</v>
      </c>
      <c r="B6906" t="s">
        <v>34307</v>
      </c>
      <c r="C6906" t="str">
        <f>"9780802032119"</f>
        <v>9780802032119</v>
      </c>
      <c r="D6906" t="str">
        <f>"9781442632226"</f>
        <v>9781442632226</v>
      </c>
      <c r="E6906" t="s">
        <v>31435</v>
      </c>
      <c r="F6906" t="s">
        <v>31435</v>
      </c>
      <c r="G6906" s="1">
        <v>25187</v>
      </c>
      <c r="I6906" t="s">
        <v>31443</v>
      </c>
      <c r="J6906" t="s">
        <v>34308</v>
      </c>
      <c r="K6906" t="s">
        <v>305</v>
      </c>
      <c r="L6906" t="s">
        <v>34309</v>
      </c>
      <c r="M6906" t="s">
        <v>34310</v>
      </c>
      <c r="O6906" t="s">
        <v>26</v>
      </c>
      <c r="Q6906">
        <v>25</v>
      </c>
      <c r="R6906">
        <v>20</v>
      </c>
      <c r="S6906">
        <v>30</v>
      </c>
      <c r="T6906" t="s">
        <v>34311</v>
      </c>
    </row>
    <row r="6907" spans="1:20">
      <c r="A6907">
        <v>4669499</v>
      </c>
      <c r="B6907" t="s">
        <v>34312</v>
      </c>
      <c r="C6907" t="str">
        <f>"9781442652194"</f>
        <v>9781442652194</v>
      </c>
      <c r="D6907" t="str">
        <f>"9781442632356"</f>
        <v>9781442632356</v>
      </c>
      <c r="E6907" t="s">
        <v>31435</v>
      </c>
      <c r="F6907" t="s">
        <v>31435</v>
      </c>
      <c r="G6907" s="1">
        <v>30682</v>
      </c>
      <c r="I6907" t="s">
        <v>31443</v>
      </c>
      <c r="J6907" t="s">
        <v>34313</v>
      </c>
      <c r="K6907" t="s">
        <v>291</v>
      </c>
      <c r="L6907" t="s">
        <v>34314</v>
      </c>
      <c r="M6907" t="s">
        <v>34315</v>
      </c>
      <c r="O6907" t="s">
        <v>26</v>
      </c>
      <c r="Q6907">
        <v>55</v>
      </c>
      <c r="R6907">
        <v>44</v>
      </c>
      <c r="S6907">
        <v>66</v>
      </c>
      <c r="T6907" t="s">
        <v>34316</v>
      </c>
    </row>
    <row r="6908" spans="1:20">
      <c r="A6908">
        <v>4669500</v>
      </c>
      <c r="B6908" t="s">
        <v>34317</v>
      </c>
      <c r="C6908" t="str">
        <f>"9780802032591"</f>
        <v>9780802032591</v>
      </c>
      <c r="D6908" t="str">
        <f>"9781442656598"</f>
        <v>9781442656598</v>
      </c>
      <c r="E6908" t="s">
        <v>31435</v>
      </c>
      <c r="F6908" t="s">
        <v>31435</v>
      </c>
      <c r="G6908" s="1">
        <v>25569</v>
      </c>
      <c r="I6908" t="s">
        <v>31443</v>
      </c>
      <c r="J6908" t="s">
        <v>34318</v>
      </c>
      <c r="K6908" t="s">
        <v>416</v>
      </c>
      <c r="L6908" t="s">
        <v>34319</v>
      </c>
      <c r="M6908" t="s">
        <v>34320</v>
      </c>
      <c r="O6908" t="s">
        <v>26</v>
      </c>
      <c r="Q6908">
        <v>33.75</v>
      </c>
      <c r="R6908">
        <v>27</v>
      </c>
      <c r="S6908">
        <v>40.5</v>
      </c>
      <c r="T6908" t="s">
        <v>34321</v>
      </c>
    </row>
    <row r="6909" spans="1:20">
      <c r="A6909">
        <v>4669501</v>
      </c>
      <c r="B6909" t="s">
        <v>34322</v>
      </c>
      <c r="C6909" t="str">
        <f>"9780802063540"</f>
        <v>9780802063540</v>
      </c>
      <c r="D6909" t="str">
        <f>"9781442656666"</f>
        <v>9781442656666</v>
      </c>
      <c r="E6909" t="s">
        <v>31435</v>
      </c>
      <c r="F6909" t="s">
        <v>31435</v>
      </c>
      <c r="G6909" s="1">
        <v>28856</v>
      </c>
      <c r="I6909" t="s">
        <v>31443</v>
      </c>
      <c r="J6909" t="s">
        <v>34323</v>
      </c>
      <c r="K6909" t="s">
        <v>291</v>
      </c>
      <c r="L6909" t="s">
        <v>34324</v>
      </c>
      <c r="M6909" t="s">
        <v>34325</v>
      </c>
      <c r="O6909" t="s">
        <v>26</v>
      </c>
      <c r="Q6909">
        <v>28.75</v>
      </c>
      <c r="R6909">
        <v>23</v>
      </c>
      <c r="S6909">
        <v>34.5</v>
      </c>
      <c r="T6909" t="s">
        <v>34326</v>
      </c>
    </row>
    <row r="6910" spans="1:20">
      <c r="A6910">
        <v>4669503</v>
      </c>
      <c r="B6910" t="s">
        <v>34327</v>
      </c>
      <c r="C6910" t="str">
        <f>"9780802064721"</f>
        <v>9780802064721</v>
      </c>
      <c r="D6910" t="str">
        <f>"9781442656901"</f>
        <v>9781442656901</v>
      </c>
      <c r="E6910" t="s">
        <v>31435</v>
      </c>
      <c r="F6910" t="s">
        <v>31435</v>
      </c>
      <c r="G6910" s="1">
        <v>30300</v>
      </c>
      <c r="I6910" t="s">
        <v>34303</v>
      </c>
      <c r="J6910" t="s">
        <v>34328</v>
      </c>
      <c r="K6910" t="s">
        <v>467</v>
      </c>
      <c r="L6910" t="s">
        <v>34329</v>
      </c>
      <c r="M6910">
        <v>320.5</v>
      </c>
      <c r="O6910" t="s">
        <v>26</v>
      </c>
      <c r="Q6910">
        <v>33.75</v>
      </c>
      <c r="R6910">
        <v>27</v>
      </c>
      <c r="S6910">
        <v>40.5</v>
      </c>
      <c r="T6910" t="s">
        <v>34330</v>
      </c>
    </row>
    <row r="6911" spans="1:20">
      <c r="A6911">
        <v>4669504</v>
      </c>
      <c r="B6911" t="s">
        <v>34331</v>
      </c>
      <c r="C6911" t="str">
        <f>"9780802033901"</f>
        <v>9780802033901</v>
      </c>
      <c r="D6911" t="str">
        <f>"9781442632264"</f>
        <v>9781442632264</v>
      </c>
      <c r="E6911" t="s">
        <v>31435</v>
      </c>
      <c r="F6911" t="s">
        <v>31435</v>
      </c>
      <c r="G6911" s="1">
        <v>31031</v>
      </c>
      <c r="I6911" t="s">
        <v>31443</v>
      </c>
      <c r="J6911" t="s">
        <v>34332</v>
      </c>
      <c r="K6911" t="s">
        <v>778</v>
      </c>
      <c r="L6911" t="s">
        <v>34333</v>
      </c>
      <c r="M6911" t="s">
        <v>34334</v>
      </c>
      <c r="O6911" t="s">
        <v>26</v>
      </c>
      <c r="Q6911">
        <v>33.75</v>
      </c>
      <c r="R6911">
        <v>27</v>
      </c>
      <c r="S6911">
        <v>40.5</v>
      </c>
      <c r="T6911" t="s">
        <v>34335</v>
      </c>
    </row>
    <row r="6912" spans="1:20">
      <c r="A6912">
        <v>4669505</v>
      </c>
      <c r="B6912" t="s">
        <v>34336</v>
      </c>
      <c r="C6912" t="str">
        <f>"9781442651838"</f>
        <v>9781442651838</v>
      </c>
      <c r="D6912" t="str">
        <f>"9781442656833"</f>
        <v>9781442656833</v>
      </c>
      <c r="E6912" t="s">
        <v>31435</v>
      </c>
      <c r="F6912" t="s">
        <v>31435</v>
      </c>
      <c r="G6912" s="1">
        <v>31048</v>
      </c>
      <c r="I6912" t="s">
        <v>31443</v>
      </c>
      <c r="J6912" t="s">
        <v>34337</v>
      </c>
      <c r="K6912" t="s">
        <v>6444</v>
      </c>
      <c r="L6912" t="s">
        <v>34338</v>
      </c>
      <c r="M6912">
        <v>327.7105694</v>
      </c>
      <c r="O6912" t="s">
        <v>26</v>
      </c>
      <c r="Q6912">
        <v>66.25</v>
      </c>
      <c r="R6912">
        <v>53</v>
      </c>
      <c r="S6912">
        <v>79.5</v>
      </c>
      <c r="T6912" t="s">
        <v>34339</v>
      </c>
    </row>
    <row r="6913" spans="1:20">
      <c r="A6913">
        <v>4669506</v>
      </c>
      <c r="B6913" t="s">
        <v>34340</v>
      </c>
      <c r="C6913" t="str">
        <f>"9780802033697"</f>
        <v>9780802033697</v>
      </c>
      <c r="D6913" t="str">
        <f>"9781442656697"</f>
        <v>9781442656697</v>
      </c>
      <c r="E6913" t="s">
        <v>31435</v>
      </c>
      <c r="F6913" t="s">
        <v>31435</v>
      </c>
      <c r="G6913" s="1">
        <v>29935</v>
      </c>
      <c r="I6913" t="s">
        <v>31443</v>
      </c>
      <c r="J6913" t="s">
        <v>34341</v>
      </c>
      <c r="K6913" t="s">
        <v>416</v>
      </c>
      <c r="L6913" t="s">
        <v>34342</v>
      </c>
      <c r="M6913" t="s">
        <v>34343</v>
      </c>
      <c r="O6913" t="s">
        <v>26</v>
      </c>
      <c r="Q6913">
        <v>77.5</v>
      </c>
      <c r="R6913">
        <v>62</v>
      </c>
      <c r="S6913">
        <v>93</v>
      </c>
      <c r="T6913" t="s">
        <v>34344</v>
      </c>
    </row>
    <row r="6914" spans="1:20">
      <c r="A6914">
        <v>4669507</v>
      </c>
      <c r="B6914" t="s">
        <v>34345</v>
      </c>
      <c r="C6914" t="str">
        <f>"9781442651395"</f>
        <v>9781442651395</v>
      </c>
      <c r="D6914" t="str">
        <f>"9781442656277"</f>
        <v>9781442656277</v>
      </c>
      <c r="E6914" t="s">
        <v>31435</v>
      </c>
      <c r="F6914" t="s">
        <v>31435</v>
      </c>
      <c r="G6914" s="1">
        <v>29952</v>
      </c>
      <c r="I6914" t="s">
        <v>31443</v>
      </c>
      <c r="J6914" t="s">
        <v>34346</v>
      </c>
      <c r="K6914" t="s">
        <v>1464</v>
      </c>
      <c r="L6914" t="s">
        <v>34347</v>
      </c>
      <c r="M6914" t="s">
        <v>34348</v>
      </c>
      <c r="O6914" t="s">
        <v>26</v>
      </c>
      <c r="Q6914">
        <v>77.5</v>
      </c>
      <c r="R6914">
        <v>62</v>
      </c>
      <c r="S6914">
        <v>93</v>
      </c>
      <c r="T6914" t="s">
        <v>34349</v>
      </c>
    </row>
    <row r="6915" spans="1:20">
      <c r="A6915">
        <v>4669509</v>
      </c>
      <c r="B6915" t="s">
        <v>34350</v>
      </c>
      <c r="C6915" t="str">
        <f>"9780802032935"</f>
        <v>9780802032935</v>
      </c>
      <c r="D6915" t="str">
        <f>"9781442632325"</f>
        <v>9781442632325</v>
      </c>
      <c r="E6915" t="s">
        <v>31435</v>
      </c>
      <c r="F6915" t="s">
        <v>31435</v>
      </c>
      <c r="G6915" s="1">
        <v>42165</v>
      </c>
      <c r="I6915" t="s">
        <v>31443</v>
      </c>
      <c r="J6915" t="s">
        <v>34351</v>
      </c>
      <c r="K6915" t="s">
        <v>263</v>
      </c>
      <c r="M6915">
        <v>309.26209712999997</v>
      </c>
      <c r="O6915" t="s">
        <v>26</v>
      </c>
      <c r="Q6915">
        <v>48.75</v>
      </c>
      <c r="R6915">
        <v>39</v>
      </c>
      <c r="S6915">
        <v>58.5</v>
      </c>
      <c r="T6915" t="s">
        <v>34352</v>
      </c>
    </row>
    <row r="6916" spans="1:20">
      <c r="A6916">
        <v>4669510</v>
      </c>
      <c r="B6916" t="s">
        <v>34353</v>
      </c>
      <c r="C6916" t="str">
        <f>"9780802033437"</f>
        <v>9780802033437</v>
      </c>
      <c r="D6916" t="str">
        <f>"9781442632233"</f>
        <v>9781442632233</v>
      </c>
      <c r="E6916" t="s">
        <v>31435</v>
      </c>
      <c r="F6916" t="s">
        <v>31435</v>
      </c>
      <c r="G6916" s="1">
        <v>28474</v>
      </c>
      <c r="I6916" t="s">
        <v>31443</v>
      </c>
      <c r="J6916" t="s">
        <v>34354</v>
      </c>
      <c r="K6916" t="s">
        <v>305</v>
      </c>
      <c r="L6916" t="s">
        <v>34355</v>
      </c>
      <c r="M6916" t="s">
        <v>34356</v>
      </c>
      <c r="O6916" t="s">
        <v>26</v>
      </c>
      <c r="Q6916">
        <v>28.75</v>
      </c>
      <c r="R6916">
        <v>23</v>
      </c>
      <c r="S6916">
        <v>34.5</v>
      </c>
      <c r="T6916" t="s">
        <v>34357</v>
      </c>
    </row>
    <row r="6917" spans="1:20">
      <c r="A6917">
        <v>4669511</v>
      </c>
      <c r="B6917" t="s">
        <v>34358</v>
      </c>
      <c r="C6917" t="str">
        <f>"9780802032911"</f>
        <v>9780802032911</v>
      </c>
      <c r="D6917" t="str">
        <f>"9781442656406"</f>
        <v>9781442656406</v>
      </c>
      <c r="E6917" t="s">
        <v>31435</v>
      </c>
      <c r="F6917" t="s">
        <v>31435</v>
      </c>
      <c r="G6917" s="1">
        <v>26299</v>
      </c>
      <c r="I6917" t="s">
        <v>31443</v>
      </c>
      <c r="J6917" t="s">
        <v>34359</v>
      </c>
      <c r="K6917" t="s">
        <v>34360</v>
      </c>
      <c r="L6917" t="s">
        <v>34361</v>
      </c>
      <c r="M6917" t="s">
        <v>34362</v>
      </c>
      <c r="O6917" t="s">
        <v>26</v>
      </c>
      <c r="Q6917">
        <v>43.75</v>
      </c>
      <c r="R6917">
        <v>35</v>
      </c>
      <c r="S6917">
        <v>52.5</v>
      </c>
      <c r="T6917" t="s">
        <v>34363</v>
      </c>
    </row>
    <row r="6918" spans="1:20">
      <c r="A6918">
        <v>4669513</v>
      </c>
      <c r="B6918" t="s">
        <v>34364</v>
      </c>
      <c r="C6918" t="str">
        <f>"9780802033345"</f>
        <v>9780802033345</v>
      </c>
      <c r="D6918" t="str">
        <f>"9781442656413"</f>
        <v>9781442656413</v>
      </c>
      <c r="E6918" t="s">
        <v>31435</v>
      </c>
      <c r="F6918" t="s">
        <v>31435</v>
      </c>
      <c r="G6918" s="1">
        <v>28109</v>
      </c>
      <c r="I6918" t="s">
        <v>31443</v>
      </c>
      <c r="J6918" t="s">
        <v>34365</v>
      </c>
      <c r="K6918" t="s">
        <v>263</v>
      </c>
      <c r="L6918" t="s">
        <v>34366</v>
      </c>
      <c r="M6918" t="s">
        <v>34367</v>
      </c>
      <c r="O6918" t="s">
        <v>26</v>
      </c>
      <c r="Q6918">
        <v>33.75</v>
      </c>
      <c r="R6918">
        <v>27</v>
      </c>
      <c r="S6918">
        <v>40.5</v>
      </c>
      <c r="T6918" t="s">
        <v>34368</v>
      </c>
    </row>
    <row r="6919" spans="1:20">
      <c r="A6919">
        <v>4669514</v>
      </c>
      <c r="B6919" t="s">
        <v>34369</v>
      </c>
      <c r="C6919" t="str">
        <f>"9781442652224"</f>
        <v>9781442652224</v>
      </c>
      <c r="D6919" t="str">
        <f>"9781442632394"</f>
        <v>9781442632394</v>
      </c>
      <c r="E6919" t="s">
        <v>31435</v>
      </c>
      <c r="F6919" t="s">
        <v>31435</v>
      </c>
      <c r="G6919" s="1">
        <v>41640</v>
      </c>
      <c r="I6919" t="s">
        <v>31443</v>
      </c>
      <c r="J6919" t="s">
        <v>34370</v>
      </c>
      <c r="O6919" t="s">
        <v>26</v>
      </c>
      <c r="Q6919">
        <v>61.25</v>
      </c>
      <c r="R6919">
        <v>49</v>
      </c>
      <c r="S6919">
        <v>73.5</v>
      </c>
      <c r="T6919" t="s">
        <v>34371</v>
      </c>
    </row>
    <row r="6920" spans="1:20">
      <c r="A6920">
        <v>4669515</v>
      </c>
      <c r="B6920" t="s">
        <v>34372</v>
      </c>
      <c r="C6920" t="str">
        <f>"9780802061423"</f>
        <v>9780802061423</v>
      </c>
      <c r="D6920" t="str">
        <f>"9781442656291"</f>
        <v>9781442656291</v>
      </c>
      <c r="E6920" t="s">
        <v>31435</v>
      </c>
      <c r="F6920" t="s">
        <v>31435</v>
      </c>
      <c r="G6920" s="1">
        <v>26299</v>
      </c>
      <c r="I6920" t="s">
        <v>31443</v>
      </c>
      <c r="J6920" t="s">
        <v>34373</v>
      </c>
      <c r="K6920" t="s">
        <v>263</v>
      </c>
      <c r="L6920" t="s">
        <v>34374</v>
      </c>
      <c r="M6920" t="s">
        <v>34375</v>
      </c>
      <c r="O6920" t="s">
        <v>26</v>
      </c>
      <c r="Q6920">
        <v>42.5</v>
      </c>
      <c r="R6920">
        <v>34</v>
      </c>
      <c r="S6920">
        <v>51</v>
      </c>
      <c r="T6920" t="s">
        <v>34376</v>
      </c>
    </row>
    <row r="6921" spans="1:20">
      <c r="A6921">
        <v>4669516</v>
      </c>
      <c r="B6921" t="s">
        <v>34377</v>
      </c>
      <c r="C6921" t="str">
        <f>"9780802062840"</f>
        <v>9780802062840</v>
      </c>
      <c r="D6921" t="str">
        <f>"9781442632165"</f>
        <v>9781442632165</v>
      </c>
      <c r="E6921" t="s">
        <v>31435</v>
      </c>
      <c r="F6921" t="s">
        <v>31435</v>
      </c>
      <c r="G6921" s="1">
        <v>42165</v>
      </c>
      <c r="I6921" t="s">
        <v>31443</v>
      </c>
      <c r="J6921" t="s">
        <v>34378</v>
      </c>
      <c r="K6921" t="s">
        <v>1464</v>
      </c>
      <c r="M6921">
        <v>822.3</v>
      </c>
      <c r="O6921" t="s">
        <v>26</v>
      </c>
      <c r="Q6921">
        <v>46.25</v>
      </c>
      <c r="R6921">
        <v>37</v>
      </c>
      <c r="S6921">
        <v>55.5</v>
      </c>
      <c r="T6921" t="s">
        <v>34379</v>
      </c>
    </row>
    <row r="6922" spans="1:20">
      <c r="A6922">
        <v>4669517</v>
      </c>
      <c r="B6922" t="s">
        <v>34380</v>
      </c>
      <c r="C6922" t="str">
        <f>"9780802061751"</f>
        <v>9780802061751</v>
      </c>
      <c r="D6922" t="str">
        <f>"9781442632301"</f>
        <v>9781442632301</v>
      </c>
      <c r="E6922" t="s">
        <v>31435</v>
      </c>
      <c r="F6922" t="s">
        <v>31435</v>
      </c>
      <c r="G6922" s="1">
        <v>27013</v>
      </c>
      <c r="I6922" t="s">
        <v>31443</v>
      </c>
      <c r="J6922" t="s">
        <v>34381</v>
      </c>
      <c r="K6922" t="s">
        <v>3219</v>
      </c>
      <c r="L6922" t="s">
        <v>34382</v>
      </c>
      <c r="M6922">
        <v>917.1</v>
      </c>
      <c r="O6922" t="s">
        <v>26</v>
      </c>
      <c r="Q6922">
        <v>61.25</v>
      </c>
      <c r="R6922">
        <v>49</v>
      </c>
      <c r="S6922">
        <v>73.5</v>
      </c>
      <c r="T6922" t="s">
        <v>34383</v>
      </c>
    </row>
    <row r="6923" spans="1:20">
      <c r="A6923">
        <v>4669518</v>
      </c>
      <c r="B6923" t="s">
        <v>34384</v>
      </c>
      <c r="C6923" t="str">
        <f>"9780802022080"</f>
        <v>9780802022080</v>
      </c>
      <c r="D6923" t="str">
        <f>"9781442656260"</f>
        <v>9781442656260</v>
      </c>
      <c r="E6923" t="s">
        <v>31435</v>
      </c>
      <c r="F6923" t="s">
        <v>31435</v>
      </c>
      <c r="G6923" s="1">
        <v>27760</v>
      </c>
      <c r="I6923" t="s">
        <v>31443</v>
      </c>
      <c r="J6923" t="s">
        <v>34385</v>
      </c>
      <c r="K6923" t="s">
        <v>1464</v>
      </c>
      <c r="L6923" t="s">
        <v>34386</v>
      </c>
      <c r="M6923">
        <v>812.60803552000004</v>
      </c>
      <c r="O6923" t="s">
        <v>26</v>
      </c>
      <c r="Q6923">
        <v>28.75</v>
      </c>
      <c r="R6923">
        <v>23</v>
      </c>
      <c r="S6923">
        <v>34.5</v>
      </c>
      <c r="T6923" t="s">
        <v>34387</v>
      </c>
    </row>
    <row r="6924" spans="1:20">
      <c r="A6924">
        <v>4669519</v>
      </c>
      <c r="B6924" t="s">
        <v>34388</v>
      </c>
      <c r="C6924" t="str">
        <f>"9780802016799"</f>
        <v>9780802016799</v>
      </c>
      <c r="D6924" t="str">
        <f>"9781442632127"</f>
        <v>9781442632127</v>
      </c>
      <c r="E6924" t="s">
        <v>31435</v>
      </c>
      <c r="F6924" t="s">
        <v>31435</v>
      </c>
      <c r="G6924" s="1">
        <v>41640</v>
      </c>
      <c r="I6924" t="s">
        <v>31443</v>
      </c>
      <c r="J6924" t="s">
        <v>34389</v>
      </c>
      <c r="K6924" t="s">
        <v>31967</v>
      </c>
      <c r="M6924">
        <v>331.88113711</v>
      </c>
      <c r="O6924" t="s">
        <v>26</v>
      </c>
      <c r="Q6924">
        <v>28.75</v>
      </c>
      <c r="R6924">
        <v>23</v>
      </c>
      <c r="S6924">
        <v>34.5</v>
      </c>
      <c r="T6924" t="s">
        <v>34390</v>
      </c>
    </row>
    <row r="6925" spans="1:20">
      <c r="A6925">
        <v>4669520</v>
      </c>
      <c r="B6925" t="s">
        <v>34391</v>
      </c>
      <c r="C6925" t="str">
        <f>"9780802035905"</f>
        <v>9780802035905</v>
      </c>
      <c r="D6925" t="str">
        <f>"9781442632875"</f>
        <v>9781442632875</v>
      </c>
      <c r="E6925" t="s">
        <v>31435</v>
      </c>
      <c r="F6925" t="s">
        <v>31435</v>
      </c>
      <c r="G6925" s="1">
        <v>37257</v>
      </c>
      <c r="J6925" t="s">
        <v>34392</v>
      </c>
      <c r="K6925" t="s">
        <v>4081</v>
      </c>
      <c r="L6925" t="s">
        <v>34393</v>
      </c>
      <c r="M6925" t="s">
        <v>34394</v>
      </c>
      <c r="O6925" t="s">
        <v>26</v>
      </c>
      <c r="Q6925">
        <v>221.25</v>
      </c>
      <c r="R6925">
        <v>177</v>
      </c>
      <c r="S6925">
        <v>265.5</v>
      </c>
      <c r="T6925" t="s">
        <v>34395</v>
      </c>
    </row>
    <row r="6926" spans="1:20">
      <c r="A6926">
        <v>4669521</v>
      </c>
      <c r="B6926" t="s">
        <v>34396</v>
      </c>
      <c r="C6926" t="str">
        <f>"9780802062420"</f>
        <v>9780802062420</v>
      </c>
      <c r="D6926" t="str">
        <f>"9781442656437"</f>
        <v>9781442656437</v>
      </c>
      <c r="E6926" t="s">
        <v>31435</v>
      </c>
      <c r="F6926" t="s">
        <v>31435</v>
      </c>
      <c r="G6926" s="1">
        <v>27030</v>
      </c>
      <c r="I6926" t="s">
        <v>31443</v>
      </c>
      <c r="J6926" t="s">
        <v>34397</v>
      </c>
      <c r="K6926" t="s">
        <v>278</v>
      </c>
      <c r="L6926" t="s">
        <v>34398</v>
      </c>
      <c r="M6926" t="s">
        <v>34399</v>
      </c>
      <c r="O6926" t="s">
        <v>26</v>
      </c>
      <c r="Q6926">
        <v>66.25</v>
      </c>
      <c r="R6926">
        <v>53</v>
      </c>
      <c r="S6926">
        <v>79.5</v>
      </c>
      <c r="T6926" t="s">
        <v>34400</v>
      </c>
    </row>
    <row r="6927" spans="1:20">
      <c r="A6927">
        <v>4669522</v>
      </c>
      <c r="B6927" t="s">
        <v>34401</v>
      </c>
      <c r="C6927" t="str">
        <f>"9780802062635"</f>
        <v>9780802062635</v>
      </c>
      <c r="D6927" t="str">
        <f>"9781442656536"</f>
        <v>9781442656536</v>
      </c>
      <c r="E6927" t="s">
        <v>31435</v>
      </c>
      <c r="F6927" t="s">
        <v>31435</v>
      </c>
      <c r="G6927" s="1">
        <v>27395</v>
      </c>
      <c r="I6927" t="s">
        <v>31443</v>
      </c>
      <c r="J6927" t="s">
        <v>34402</v>
      </c>
      <c r="K6927" t="s">
        <v>1464</v>
      </c>
      <c r="L6927" t="s">
        <v>34403</v>
      </c>
      <c r="M6927" t="s">
        <v>34404</v>
      </c>
      <c r="O6927" t="s">
        <v>26</v>
      </c>
      <c r="Q6927">
        <v>52.5</v>
      </c>
      <c r="R6927">
        <v>42</v>
      </c>
      <c r="S6927">
        <v>63</v>
      </c>
      <c r="T6927" t="s">
        <v>34405</v>
      </c>
    </row>
    <row r="6928" spans="1:20">
      <c r="A6928">
        <v>4669523</v>
      </c>
      <c r="B6928" t="s">
        <v>34406</v>
      </c>
      <c r="C6928" t="str">
        <f>"9780802061300"</f>
        <v>9780802061300</v>
      </c>
      <c r="D6928" t="str">
        <f>"9781442656482"</f>
        <v>9781442656482</v>
      </c>
      <c r="E6928" t="s">
        <v>31435</v>
      </c>
      <c r="F6928" t="s">
        <v>31435</v>
      </c>
      <c r="G6928" s="1">
        <v>24821</v>
      </c>
      <c r="I6928" t="s">
        <v>33915</v>
      </c>
      <c r="J6928" t="s">
        <v>34407</v>
      </c>
      <c r="K6928" t="s">
        <v>3219</v>
      </c>
      <c r="L6928" t="s">
        <v>34408</v>
      </c>
      <c r="M6928">
        <v>907.2</v>
      </c>
      <c r="O6928" t="s">
        <v>26</v>
      </c>
      <c r="Q6928">
        <v>33.75</v>
      </c>
      <c r="R6928">
        <v>27</v>
      </c>
      <c r="S6928">
        <v>40.5</v>
      </c>
      <c r="T6928" t="s">
        <v>34409</v>
      </c>
    </row>
    <row r="6929" spans="1:20">
      <c r="A6929">
        <v>4669524</v>
      </c>
      <c r="B6929" t="s">
        <v>34410</v>
      </c>
      <c r="C6929" t="str">
        <f>"9780802065254"</f>
        <v>9780802065254</v>
      </c>
      <c r="D6929" t="str">
        <f>"9781442632004"</f>
        <v>9781442632004</v>
      </c>
      <c r="E6929" t="s">
        <v>31435</v>
      </c>
      <c r="F6929" t="s">
        <v>31435</v>
      </c>
      <c r="G6929" s="1">
        <v>31048</v>
      </c>
      <c r="I6929" t="s">
        <v>31443</v>
      </c>
      <c r="J6929" t="s">
        <v>34411</v>
      </c>
      <c r="K6929" t="s">
        <v>1464</v>
      </c>
      <c r="L6929" t="s">
        <v>34412</v>
      </c>
      <c r="M6929" t="s">
        <v>13199</v>
      </c>
      <c r="O6929" t="s">
        <v>26</v>
      </c>
      <c r="Q6929">
        <v>42.5</v>
      </c>
      <c r="R6929">
        <v>34</v>
      </c>
      <c r="S6929">
        <v>51</v>
      </c>
      <c r="T6929" t="s">
        <v>34413</v>
      </c>
    </row>
    <row r="6930" spans="1:20">
      <c r="A6930">
        <v>4669525</v>
      </c>
      <c r="B6930" t="s">
        <v>34414</v>
      </c>
      <c r="C6930" t="str">
        <f>"9780802068668"</f>
        <v>9780802068668</v>
      </c>
      <c r="D6930" t="str">
        <f>"9781442632141"</f>
        <v>9781442632141</v>
      </c>
      <c r="E6930" t="s">
        <v>31435</v>
      </c>
      <c r="F6930" t="s">
        <v>31435</v>
      </c>
      <c r="G6930" s="1">
        <v>33239</v>
      </c>
      <c r="I6930" t="s">
        <v>31443</v>
      </c>
      <c r="J6930" t="s">
        <v>34131</v>
      </c>
      <c r="K6930" t="s">
        <v>2260</v>
      </c>
      <c r="L6930" t="s">
        <v>34415</v>
      </c>
      <c r="M6930" t="s">
        <v>34416</v>
      </c>
      <c r="O6930" t="s">
        <v>26</v>
      </c>
      <c r="Q6930">
        <v>46.25</v>
      </c>
      <c r="R6930">
        <v>37</v>
      </c>
      <c r="S6930">
        <v>55.5</v>
      </c>
      <c r="T6930" t="s">
        <v>34417</v>
      </c>
    </row>
    <row r="6931" spans="1:20">
      <c r="A6931">
        <v>4669526</v>
      </c>
      <c r="B6931" t="s">
        <v>34418</v>
      </c>
      <c r="C6931" t="str">
        <f>"9781442651326"</f>
        <v>9781442651326</v>
      </c>
      <c r="D6931" t="str">
        <f>"9781442615090"</f>
        <v>9781442615090</v>
      </c>
      <c r="E6931" t="s">
        <v>31435</v>
      </c>
      <c r="F6931" t="s">
        <v>31435</v>
      </c>
      <c r="G6931" s="1">
        <v>30317</v>
      </c>
      <c r="I6931" t="s">
        <v>31443</v>
      </c>
      <c r="J6931" t="s">
        <v>34419</v>
      </c>
      <c r="K6931" t="s">
        <v>1471</v>
      </c>
      <c r="L6931" t="s">
        <v>34420</v>
      </c>
      <c r="M6931" t="s">
        <v>34421</v>
      </c>
      <c r="O6931" t="s">
        <v>26</v>
      </c>
      <c r="Q6931">
        <v>55</v>
      </c>
      <c r="R6931">
        <v>44</v>
      </c>
      <c r="S6931">
        <v>66</v>
      </c>
      <c r="T6931" t="s">
        <v>34422</v>
      </c>
    </row>
    <row r="6932" spans="1:20">
      <c r="A6932">
        <v>4669527</v>
      </c>
      <c r="B6932" t="s">
        <v>34423</v>
      </c>
      <c r="C6932" t="str">
        <f>"9780802063069"</f>
        <v>9780802063069</v>
      </c>
      <c r="D6932" t="str">
        <f>"9781442656581"</f>
        <v>9781442656581</v>
      </c>
      <c r="E6932" t="s">
        <v>31435</v>
      </c>
      <c r="F6932" t="s">
        <v>31435</v>
      </c>
      <c r="G6932" s="1">
        <v>27760</v>
      </c>
      <c r="I6932" t="s">
        <v>31443</v>
      </c>
      <c r="J6932" t="s">
        <v>34424</v>
      </c>
      <c r="K6932" t="s">
        <v>1464</v>
      </c>
      <c r="L6932" t="s">
        <v>34425</v>
      </c>
      <c r="M6932">
        <v>821.4</v>
      </c>
      <c r="O6932" t="s">
        <v>26</v>
      </c>
      <c r="Q6932">
        <v>87.5</v>
      </c>
      <c r="R6932">
        <v>70</v>
      </c>
      <c r="S6932">
        <v>105</v>
      </c>
      <c r="T6932" t="s">
        <v>34426</v>
      </c>
    </row>
    <row r="6933" spans="1:20">
      <c r="A6933">
        <v>4669528</v>
      </c>
      <c r="B6933" t="s">
        <v>34427</v>
      </c>
      <c r="C6933" t="str">
        <f>"9781442651401"</f>
        <v>9781442651401</v>
      </c>
      <c r="D6933" t="str">
        <f>"9781442656284"</f>
        <v>9781442656284</v>
      </c>
      <c r="E6933" t="s">
        <v>31435</v>
      </c>
      <c r="F6933" t="s">
        <v>31435</v>
      </c>
      <c r="G6933" s="1">
        <v>29587</v>
      </c>
      <c r="I6933" t="s">
        <v>31443</v>
      </c>
      <c r="J6933" t="s">
        <v>34428</v>
      </c>
      <c r="K6933" t="s">
        <v>278</v>
      </c>
      <c r="L6933" t="s">
        <v>34429</v>
      </c>
      <c r="M6933" t="s">
        <v>34430</v>
      </c>
      <c r="O6933" t="s">
        <v>26</v>
      </c>
      <c r="Q6933">
        <v>66.25</v>
      </c>
      <c r="R6933">
        <v>53</v>
      </c>
      <c r="S6933">
        <v>79.5</v>
      </c>
      <c r="T6933" t="s">
        <v>34431</v>
      </c>
    </row>
    <row r="6934" spans="1:20">
      <c r="A6934">
        <v>4669529</v>
      </c>
      <c r="B6934" t="s">
        <v>34432</v>
      </c>
      <c r="C6934" t="str">
        <f>"9781442651494"</f>
        <v>9781442651494</v>
      </c>
      <c r="D6934" t="str">
        <f>"9781442656383"</f>
        <v>9781442656383</v>
      </c>
      <c r="E6934" t="s">
        <v>31435</v>
      </c>
      <c r="F6934" t="s">
        <v>31435</v>
      </c>
      <c r="G6934" s="1">
        <v>29935</v>
      </c>
      <c r="I6934" t="s">
        <v>31443</v>
      </c>
      <c r="J6934" t="s">
        <v>34433</v>
      </c>
      <c r="K6934" t="s">
        <v>1464</v>
      </c>
      <c r="L6934" t="s">
        <v>34434</v>
      </c>
      <c r="M6934">
        <v>821.3</v>
      </c>
      <c r="O6934" t="s">
        <v>26</v>
      </c>
      <c r="Q6934">
        <v>40</v>
      </c>
      <c r="R6934">
        <v>32</v>
      </c>
      <c r="S6934">
        <v>48</v>
      </c>
      <c r="T6934" t="s">
        <v>34435</v>
      </c>
    </row>
    <row r="6935" spans="1:20">
      <c r="A6935">
        <v>4669530</v>
      </c>
      <c r="B6935" t="s">
        <v>34436</v>
      </c>
      <c r="C6935" t="str">
        <f>"9781442652200"</f>
        <v>9781442652200</v>
      </c>
      <c r="D6935" t="str">
        <f>"9781442632363"</f>
        <v>9781442632363</v>
      </c>
      <c r="E6935" t="s">
        <v>31435</v>
      </c>
      <c r="F6935" t="s">
        <v>31435</v>
      </c>
      <c r="G6935" s="1">
        <v>29587</v>
      </c>
      <c r="I6935" t="s">
        <v>31443</v>
      </c>
      <c r="J6935" t="s">
        <v>34437</v>
      </c>
      <c r="K6935" t="s">
        <v>1859</v>
      </c>
      <c r="L6935" t="s">
        <v>34438</v>
      </c>
      <c r="M6935" t="s">
        <v>34439</v>
      </c>
      <c r="O6935" t="s">
        <v>26</v>
      </c>
      <c r="Q6935">
        <v>51.25</v>
      </c>
      <c r="R6935">
        <v>41</v>
      </c>
      <c r="S6935">
        <v>61.5</v>
      </c>
      <c r="T6935" t="s">
        <v>34440</v>
      </c>
    </row>
    <row r="6936" spans="1:20">
      <c r="A6936">
        <v>4669532</v>
      </c>
      <c r="B6936" t="s">
        <v>34441</v>
      </c>
      <c r="C6936" t="str">
        <f>"9781442651654"</f>
        <v>9781442651654</v>
      </c>
      <c r="D6936" t="str">
        <f>"9781442632646"</f>
        <v>9781442632646</v>
      </c>
      <c r="E6936" t="s">
        <v>31435</v>
      </c>
      <c r="F6936" t="s">
        <v>31435</v>
      </c>
      <c r="G6936" s="1">
        <v>41640</v>
      </c>
      <c r="I6936" t="s">
        <v>33899</v>
      </c>
      <c r="J6936" t="s">
        <v>34442</v>
      </c>
      <c r="O6936" t="s">
        <v>26</v>
      </c>
      <c r="Q6936">
        <v>68.75</v>
      </c>
      <c r="R6936">
        <v>55</v>
      </c>
      <c r="S6936">
        <v>82.5</v>
      </c>
      <c r="T6936" t="s">
        <v>34443</v>
      </c>
    </row>
    <row r="6937" spans="1:20">
      <c r="A6937">
        <v>4669533</v>
      </c>
      <c r="B6937" t="s">
        <v>34444</v>
      </c>
      <c r="C6937" t="str">
        <f>"9781442651432"</f>
        <v>9781442651432</v>
      </c>
      <c r="D6937" t="str">
        <f>"9781442656321"</f>
        <v>9781442656321</v>
      </c>
      <c r="E6937" t="s">
        <v>31435</v>
      </c>
      <c r="F6937" t="s">
        <v>31435</v>
      </c>
      <c r="G6937" s="1">
        <v>28856</v>
      </c>
      <c r="I6937" t="s">
        <v>31443</v>
      </c>
      <c r="J6937" t="s">
        <v>34445</v>
      </c>
      <c r="K6937" t="s">
        <v>1464</v>
      </c>
      <c r="L6937" t="s">
        <v>34446</v>
      </c>
      <c r="M6937" t="s">
        <v>34447</v>
      </c>
      <c r="O6937" t="s">
        <v>26</v>
      </c>
      <c r="Q6937">
        <v>51.25</v>
      </c>
      <c r="R6937">
        <v>41</v>
      </c>
      <c r="S6937">
        <v>61.5</v>
      </c>
      <c r="T6937" t="s">
        <v>34448</v>
      </c>
    </row>
    <row r="6938" spans="1:20">
      <c r="A6938">
        <v>4669534</v>
      </c>
      <c r="B6938" t="s">
        <v>34449</v>
      </c>
      <c r="C6938" t="str">
        <f>"9781442652170"</f>
        <v>9781442652170</v>
      </c>
      <c r="D6938" t="str">
        <f>"9781442632752"</f>
        <v>9781442632752</v>
      </c>
      <c r="E6938" t="s">
        <v>31435</v>
      </c>
      <c r="F6938" t="s">
        <v>31435</v>
      </c>
      <c r="G6938" s="1">
        <v>27013</v>
      </c>
      <c r="I6938" t="s">
        <v>31443</v>
      </c>
      <c r="J6938" t="s">
        <v>34450</v>
      </c>
      <c r="K6938" t="s">
        <v>1464</v>
      </c>
      <c r="L6938" t="s">
        <v>34451</v>
      </c>
      <c r="M6938" t="s">
        <v>33981</v>
      </c>
      <c r="O6938" t="s">
        <v>26</v>
      </c>
      <c r="Q6938">
        <v>77.5</v>
      </c>
      <c r="R6938">
        <v>62</v>
      </c>
      <c r="S6938">
        <v>93</v>
      </c>
      <c r="T6938" t="s">
        <v>34452</v>
      </c>
    </row>
    <row r="6939" spans="1:20">
      <c r="A6939">
        <v>4669535</v>
      </c>
      <c r="B6939" t="s">
        <v>34453</v>
      </c>
      <c r="C6939" t="str">
        <f>"9780802072931"</f>
        <v>9780802072931</v>
      </c>
      <c r="D6939" t="str">
        <f>"9781442656888"</f>
        <v>9781442656888</v>
      </c>
      <c r="E6939" t="s">
        <v>31435</v>
      </c>
      <c r="F6939" t="s">
        <v>31435</v>
      </c>
      <c r="G6939" s="1">
        <v>31396</v>
      </c>
      <c r="I6939" t="s">
        <v>31443</v>
      </c>
      <c r="J6939" t="s">
        <v>34454</v>
      </c>
      <c r="K6939" t="s">
        <v>525</v>
      </c>
      <c r="L6939" t="s">
        <v>34455</v>
      </c>
      <c r="M6939" t="s">
        <v>23627</v>
      </c>
      <c r="O6939" t="s">
        <v>26</v>
      </c>
      <c r="Q6939">
        <v>48.75</v>
      </c>
      <c r="R6939">
        <v>39</v>
      </c>
      <c r="S6939">
        <v>58.5</v>
      </c>
      <c r="T6939" t="s">
        <v>34456</v>
      </c>
    </row>
    <row r="6940" spans="1:20">
      <c r="A6940">
        <v>4669536</v>
      </c>
      <c r="B6940" t="s">
        <v>34457</v>
      </c>
      <c r="C6940" t="str">
        <f>"9781442651623"</f>
        <v>9781442651623</v>
      </c>
      <c r="D6940" t="str">
        <f>"9781442656550"</f>
        <v>9781442656550</v>
      </c>
      <c r="E6940" t="s">
        <v>31435</v>
      </c>
      <c r="F6940" t="s">
        <v>31435</v>
      </c>
      <c r="G6940" s="1">
        <v>20804</v>
      </c>
      <c r="I6940" t="s">
        <v>31443</v>
      </c>
      <c r="J6940" t="s">
        <v>34458</v>
      </c>
      <c r="K6940" t="s">
        <v>4347</v>
      </c>
      <c r="L6940" t="s">
        <v>34459</v>
      </c>
      <c r="M6940">
        <v>359.83209440000002</v>
      </c>
      <c r="O6940" t="s">
        <v>26</v>
      </c>
      <c r="Q6940">
        <v>61.25</v>
      </c>
      <c r="R6940">
        <v>49</v>
      </c>
      <c r="S6940">
        <v>73.5</v>
      </c>
      <c r="T6940" t="s">
        <v>34460</v>
      </c>
    </row>
    <row r="6941" spans="1:20">
      <c r="A6941">
        <v>4669537</v>
      </c>
      <c r="B6941" t="s">
        <v>34461</v>
      </c>
      <c r="C6941" t="str">
        <f>"9781442651777"</f>
        <v>9781442651777</v>
      </c>
      <c r="D6941" t="str">
        <f>"9781442656765"</f>
        <v>9781442656765</v>
      </c>
      <c r="E6941" t="s">
        <v>31435</v>
      </c>
      <c r="F6941" t="s">
        <v>31435</v>
      </c>
      <c r="G6941" s="1">
        <v>28839</v>
      </c>
      <c r="I6941" t="s">
        <v>31443</v>
      </c>
      <c r="J6941" t="s">
        <v>34462</v>
      </c>
      <c r="K6941" t="s">
        <v>1471</v>
      </c>
      <c r="L6941" t="s">
        <v>34463</v>
      </c>
      <c r="M6941">
        <v>780.0711</v>
      </c>
      <c r="O6941" t="s">
        <v>26</v>
      </c>
      <c r="Q6941">
        <v>48.75</v>
      </c>
      <c r="R6941">
        <v>39</v>
      </c>
      <c r="S6941">
        <v>58.5</v>
      </c>
      <c r="T6941" t="s">
        <v>34464</v>
      </c>
    </row>
    <row r="6942" spans="1:20">
      <c r="A6942">
        <v>4669538</v>
      </c>
      <c r="B6942" t="s">
        <v>34465</v>
      </c>
      <c r="C6942" t="str">
        <f>"9781442651890"</f>
        <v>9781442651890</v>
      </c>
      <c r="D6942" t="str">
        <f>"9781442656956"</f>
        <v>9781442656956</v>
      </c>
      <c r="E6942" t="s">
        <v>31435</v>
      </c>
      <c r="F6942" t="s">
        <v>31435</v>
      </c>
      <c r="G6942" s="1">
        <v>41640</v>
      </c>
      <c r="I6942" t="s">
        <v>31443</v>
      </c>
      <c r="J6942" t="s">
        <v>34466</v>
      </c>
      <c r="O6942" t="s">
        <v>26</v>
      </c>
      <c r="Q6942">
        <v>68.75</v>
      </c>
      <c r="R6942">
        <v>55</v>
      </c>
      <c r="S6942">
        <v>82.5</v>
      </c>
      <c r="T6942" t="s">
        <v>34467</v>
      </c>
    </row>
    <row r="6943" spans="1:20">
      <c r="A6943">
        <v>4669539</v>
      </c>
      <c r="B6943" t="s">
        <v>34468</v>
      </c>
      <c r="C6943" t="str">
        <f>"9781442651357"</f>
        <v>9781442651357</v>
      </c>
      <c r="D6943" t="str">
        <f>"9781442615083"</f>
        <v>9781442615083</v>
      </c>
      <c r="E6943" t="s">
        <v>31435</v>
      </c>
      <c r="F6943" t="s">
        <v>31435</v>
      </c>
      <c r="G6943" s="1">
        <v>23360</v>
      </c>
      <c r="I6943" t="s">
        <v>31443</v>
      </c>
      <c r="J6943" t="s">
        <v>34469</v>
      </c>
      <c r="K6943" t="s">
        <v>467</v>
      </c>
      <c r="L6943" t="s">
        <v>34470</v>
      </c>
      <c r="M6943">
        <v>320.971</v>
      </c>
      <c r="O6943" t="s">
        <v>26</v>
      </c>
      <c r="Q6943">
        <v>46.25</v>
      </c>
      <c r="R6943">
        <v>37</v>
      </c>
      <c r="S6943">
        <v>55.5</v>
      </c>
      <c r="T6943" t="s">
        <v>34471</v>
      </c>
    </row>
    <row r="6944" spans="1:20">
      <c r="A6944">
        <v>4669540</v>
      </c>
      <c r="B6944" t="s">
        <v>34472</v>
      </c>
      <c r="C6944" t="str">
        <f>"9781442651562"</f>
        <v>9781442651562</v>
      </c>
      <c r="D6944" t="str">
        <f>"9781442656468"</f>
        <v>9781442656468</v>
      </c>
      <c r="E6944" t="s">
        <v>31435</v>
      </c>
      <c r="F6944" t="s">
        <v>31435</v>
      </c>
      <c r="G6944" s="1">
        <v>27013</v>
      </c>
      <c r="I6944" t="s">
        <v>31443</v>
      </c>
      <c r="J6944" t="s">
        <v>34473</v>
      </c>
      <c r="K6944" t="s">
        <v>1464</v>
      </c>
      <c r="L6944" t="s">
        <v>34474</v>
      </c>
      <c r="M6944" t="s">
        <v>34038</v>
      </c>
      <c r="O6944" t="s">
        <v>26</v>
      </c>
      <c r="Q6944">
        <v>66.25</v>
      </c>
      <c r="R6944">
        <v>53</v>
      </c>
      <c r="S6944">
        <v>79.5</v>
      </c>
      <c r="T6944" t="s">
        <v>34475</v>
      </c>
    </row>
    <row r="6945" spans="1:20">
      <c r="A6945">
        <v>4669541</v>
      </c>
      <c r="B6945" t="s">
        <v>34476</v>
      </c>
      <c r="C6945" t="str">
        <f>"9780802083289"</f>
        <v>9780802083289</v>
      </c>
      <c r="D6945" t="str">
        <f>"9781442656710"</f>
        <v>9781442656710</v>
      </c>
      <c r="E6945" t="s">
        <v>31435</v>
      </c>
      <c r="F6945" t="s">
        <v>31435</v>
      </c>
      <c r="G6945" s="1">
        <v>36533</v>
      </c>
      <c r="I6945" t="s">
        <v>31443</v>
      </c>
      <c r="J6945" t="s">
        <v>8346</v>
      </c>
      <c r="K6945" t="s">
        <v>10860</v>
      </c>
      <c r="L6945" t="s">
        <v>34477</v>
      </c>
      <c r="M6945">
        <v>25.524000000000001</v>
      </c>
      <c r="N6945" t="s">
        <v>34478</v>
      </c>
      <c r="O6945" t="s">
        <v>26</v>
      </c>
      <c r="Q6945">
        <v>63.75</v>
      </c>
      <c r="R6945">
        <v>51</v>
      </c>
      <c r="S6945">
        <v>76.5</v>
      </c>
      <c r="T6945" t="s">
        <v>34479</v>
      </c>
    </row>
    <row r="6946" spans="1:20">
      <c r="A6946">
        <v>4669542</v>
      </c>
      <c r="B6946" t="s">
        <v>34480</v>
      </c>
      <c r="C6946" t="str">
        <f>"9781442651500"</f>
        <v>9781442651500</v>
      </c>
      <c r="D6946" t="str">
        <f>"9781442632608"</f>
        <v>9781442632608</v>
      </c>
      <c r="E6946" t="s">
        <v>31435</v>
      </c>
      <c r="F6946" t="s">
        <v>31435</v>
      </c>
      <c r="G6946" s="1">
        <v>27760</v>
      </c>
      <c r="I6946" t="s">
        <v>34035</v>
      </c>
      <c r="J6946" t="s">
        <v>33939</v>
      </c>
      <c r="K6946" t="s">
        <v>1464</v>
      </c>
      <c r="L6946" t="s">
        <v>34481</v>
      </c>
      <c r="M6946" t="s">
        <v>34482</v>
      </c>
      <c r="O6946" t="s">
        <v>26</v>
      </c>
      <c r="Q6946">
        <v>55</v>
      </c>
      <c r="R6946">
        <v>44</v>
      </c>
      <c r="S6946">
        <v>66</v>
      </c>
      <c r="T6946" t="s">
        <v>34483</v>
      </c>
    </row>
    <row r="6947" spans="1:20">
      <c r="A6947">
        <v>4669543</v>
      </c>
      <c r="B6947" t="s">
        <v>34484</v>
      </c>
      <c r="C6947" t="str">
        <f>"9780802064318"</f>
        <v>9780802064318</v>
      </c>
      <c r="D6947" t="str">
        <f>"9781442632929"</f>
        <v>9781442632929</v>
      </c>
      <c r="E6947" t="s">
        <v>31435</v>
      </c>
      <c r="F6947" t="s">
        <v>31435</v>
      </c>
      <c r="G6947" s="1">
        <v>42166</v>
      </c>
      <c r="I6947" t="s">
        <v>31443</v>
      </c>
      <c r="J6947" t="s">
        <v>34485</v>
      </c>
      <c r="K6947" t="s">
        <v>31967</v>
      </c>
      <c r="M6947">
        <v>331.88116861999998</v>
      </c>
      <c r="O6947" t="s">
        <v>26</v>
      </c>
      <c r="Q6947">
        <v>83.75</v>
      </c>
      <c r="R6947">
        <v>67</v>
      </c>
      <c r="S6947">
        <v>100.5</v>
      </c>
      <c r="T6947" t="s">
        <v>34486</v>
      </c>
    </row>
    <row r="6948" spans="1:20">
      <c r="A6948">
        <v>4669544</v>
      </c>
      <c r="B6948" t="s">
        <v>34487</v>
      </c>
      <c r="C6948" t="str">
        <f>"9780802062253"</f>
        <v>9780802062253</v>
      </c>
      <c r="D6948" t="str">
        <f>"9781442632684"</f>
        <v>9781442632684</v>
      </c>
      <c r="E6948" t="s">
        <v>31435</v>
      </c>
      <c r="F6948" t="s">
        <v>31435</v>
      </c>
      <c r="G6948" s="1">
        <v>25917</v>
      </c>
      <c r="I6948" t="s">
        <v>31443</v>
      </c>
      <c r="J6948" t="s">
        <v>34488</v>
      </c>
      <c r="K6948" t="s">
        <v>1464</v>
      </c>
      <c r="L6948" t="s">
        <v>34489</v>
      </c>
      <c r="M6948" t="s">
        <v>15595</v>
      </c>
      <c r="O6948" t="s">
        <v>26</v>
      </c>
      <c r="Q6948">
        <v>72.5</v>
      </c>
      <c r="R6948">
        <v>58</v>
      </c>
      <c r="S6948">
        <v>87</v>
      </c>
      <c r="T6948" t="s">
        <v>34490</v>
      </c>
    </row>
    <row r="6949" spans="1:20">
      <c r="A6949">
        <v>4669545</v>
      </c>
      <c r="B6949" t="s">
        <v>34491</v>
      </c>
      <c r="C6949" t="str">
        <f>"9781442651807"</f>
        <v>9781442651807</v>
      </c>
      <c r="D6949" t="str">
        <f>"9781442656796"</f>
        <v>9781442656796</v>
      </c>
      <c r="E6949" t="s">
        <v>31435</v>
      </c>
      <c r="F6949" t="s">
        <v>31435</v>
      </c>
      <c r="G6949" s="1">
        <v>25934</v>
      </c>
      <c r="I6949" t="s">
        <v>31443</v>
      </c>
      <c r="J6949" t="s">
        <v>34492</v>
      </c>
      <c r="K6949" t="s">
        <v>1464</v>
      </c>
      <c r="L6949" t="s">
        <v>34493</v>
      </c>
      <c r="M6949" t="s">
        <v>34494</v>
      </c>
      <c r="O6949" t="s">
        <v>26</v>
      </c>
      <c r="Q6949">
        <v>48.75</v>
      </c>
      <c r="R6949">
        <v>39</v>
      </c>
      <c r="S6949">
        <v>58.5</v>
      </c>
      <c r="T6949" t="s">
        <v>34495</v>
      </c>
    </row>
    <row r="6950" spans="1:20">
      <c r="A6950">
        <v>4669546</v>
      </c>
      <c r="B6950" t="s">
        <v>34496</v>
      </c>
      <c r="C6950" t="str">
        <f>"9781442652255"</f>
        <v>9781442652255</v>
      </c>
      <c r="D6950" t="str">
        <f>"9781442632424"</f>
        <v>9781442632424</v>
      </c>
      <c r="E6950" t="s">
        <v>31435</v>
      </c>
      <c r="F6950" t="s">
        <v>31435</v>
      </c>
      <c r="G6950" s="1">
        <v>28491</v>
      </c>
      <c r="I6950" t="s">
        <v>31443</v>
      </c>
      <c r="J6950" t="s">
        <v>34497</v>
      </c>
      <c r="K6950" t="s">
        <v>467</v>
      </c>
      <c r="L6950" t="s">
        <v>34498</v>
      </c>
      <c r="M6950" t="s">
        <v>34499</v>
      </c>
      <c r="O6950" t="s">
        <v>26</v>
      </c>
      <c r="Q6950">
        <v>43.75</v>
      </c>
      <c r="R6950">
        <v>35</v>
      </c>
      <c r="S6950">
        <v>52.5</v>
      </c>
      <c r="T6950" t="s">
        <v>34500</v>
      </c>
    </row>
    <row r="6951" spans="1:20">
      <c r="A6951">
        <v>4669547</v>
      </c>
      <c r="B6951" t="s">
        <v>34501</v>
      </c>
      <c r="C6951" t="str">
        <f>"9781442652156"</f>
        <v>9781442652156</v>
      </c>
      <c r="D6951" t="str">
        <f>"9781442632288"</f>
        <v>9781442632288</v>
      </c>
      <c r="E6951" t="s">
        <v>31435</v>
      </c>
      <c r="F6951" t="s">
        <v>31435</v>
      </c>
      <c r="G6951" s="1">
        <v>41640</v>
      </c>
      <c r="I6951" t="s">
        <v>31443</v>
      </c>
      <c r="J6951" t="s">
        <v>34502</v>
      </c>
      <c r="O6951" t="s">
        <v>26</v>
      </c>
      <c r="Q6951">
        <v>72.5</v>
      </c>
      <c r="R6951">
        <v>58</v>
      </c>
      <c r="S6951">
        <v>87</v>
      </c>
      <c r="T6951" t="s">
        <v>34503</v>
      </c>
    </row>
    <row r="6952" spans="1:20">
      <c r="A6952">
        <v>4669548</v>
      </c>
      <c r="B6952" t="s">
        <v>34504</v>
      </c>
      <c r="C6952" t="str">
        <f>"9781442651456"</f>
        <v>9781442651456</v>
      </c>
      <c r="D6952" t="str">
        <f>"9781442656345"</f>
        <v>9781442656345</v>
      </c>
      <c r="E6952" t="s">
        <v>31435</v>
      </c>
      <c r="F6952" t="s">
        <v>31435</v>
      </c>
      <c r="G6952" s="1">
        <v>35431</v>
      </c>
      <c r="I6952" t="s">
        <v>31443</v>
      </c>
      <c r="K6952" t="s">
        <v>416</v>
      </c>
      <c r="L6952" t="s">
        <v>34505</v>
      </c>
      <c r="M6952" t="s">
        <v>34506</v>
      </c>
      <c r="O6952" t="s">
        <v>26</v>
      </c>
      <c r="Q6952">
        <v>77.5</v>
      </c>
      <c r="R6952">
        <v>62</v>
      </c>
      <c r="S6952">
        <v>93</v>
      </c>
      <c r="T6952" t="s">
        <v>34507</v>
      </c>
    </row>
    <row r="6953" spans="1:20">
      <c r="A6953">
        <v>4669557</v>
      </c>
      <c r="B6953" t="s">
        <v>34508</v>
      </c>
      <c r="C6953" t="str">
        <f>"9781442652309"</f>
        <v>9781442652309</v>
      </c>
      <c r="D6953" t="str">
        <f>"9781442632479"</f>
        <v>9781442632479</v>
      </c>
      <c r="E6953" t="s">
        <v>31435</v>
      </c>
      <c r="F6953" t="s">
        <v>31435</v>
      </c>
      <c r="G6953" s="1">
        <v>28126</v>
      </c>
      <c r="I6953" t="s">
        <v>31443</v>
      </c>
      <c r="J6953" t="s">
        <v>34509</v>
      </c>
      <c r="K6953" t="s">
        <v>284</v>
      </c>
      <c r="L6953" t="s">
        <v>34510</v>
      </c>
      <c r="M6953" t="s">
        <v>34511</v>
      </c>
      <c r="O6953" t="s">
        <v>26</v>
      </c>
      <c r="Q6953">
        <v>40</v>
      </c>
      <c r="R6953">
        <v>32</v>
      </c>
      <c r="S6953">
        <v>48</v>
      </c>
      <c r="T6953" t="s">
        <v>34512</v>
      </c>
    </row>
    <row r="6954" spans="1:20">
      <c r="A6954">
        <v>4669558</v>
      </c>
      <c r="B6954" t="s">
        <v>34513</v>
      </c>
      <c r="C6954" t="str">
        <f>"9781442652316"</f>
        <v>9781442652316</v>
      </c>
      <c r="D6954" t="str">
        <f>"9781442632486"</f>
        <v>9781442632486</v>
      </c>
      <c r="E6954" t="s">
        <v>31435</v>
      </c>
      <c r="F6954" t="s">
        <v>31435</v>
      </c>
      <c r="G6954" s="1">
        <v>27760</v>
      </c>
      <c r="I6954" t="s">
        <v>31443</v>
      </c>
      <c r="J6954" t="s">
        <v>34509</v>
      </c>
      <c r="K6954" t="s">
        <v>291</v>
      </c>
      <c r="L6954" t="s">
        <v>34514</v>
      </c>
      <c r="M6954" t="s">
        <v>34515</v>
      </c>
      <c r="O6954" t="s">
        <v>26</v>
      </c>
      <c r="Q6954">
        <v>33.75</v>
      </c>
      <c r="R6954">
        <v>27</v>
      </c>
      <c r="S6954">
        <v>40.5</v>
      </c>
      <c r="T6954" t="s">
        <v>34516</v>
      </c>
    </row>
    <row r="6955" spans="1:20">
      <c r="A6955">
        <v>4669559</v>
      </c>
      <c r="B6955" t="s">
        <v>34517</v>
      </c>
      <c r="C6955" t="str">
        <f>"9781442651586"</f>
        <v>9781442651586</v>
      </c>
      <c r="D6955" t="str">
        <f>"9781442656499"</f>
        <v>9781442656499</v>
      </c>
      <c r="E6955" t="s">
        <v>31435</v>
      </c>
      <c r="F6955" t="s">
        <v>31435</v>
      </c>
      <c r="G6955" s="1">
        <v>28126</v>
      </c>
      <c r="I6955" t="s">
        <v>31443</v>
      </c>
      <c r="J6955" t="s">
        <v>34518</v>
      </c>
      <c r="K6955" t="s">
        <v>7063</v>
      </c>
      <c r="L6955" t="s">
        <v>34519</v>
      </c>
      <c r="M6955" t="s">
        <v>34520</v>
      </c>
      <c r="O6955" t="s">
        <v>26</v>
      </c>
      <c r="Q6955">
        <v>72.5</v>
      </c>
      <c r="R6955">
        <v>58</v>
      </c>
      <c r="S6955">
        <v>87</v>
      </c>
      <c r="T6955" t="s">
        <v>34521</v>
      </c>
    </row>
    <row r="6956" spans="1:20">
      <c r="A6956">
        <v>4669560</v>
      </c>
      <c r="B6956" t="s">
        <v>34522</v>
      </c>
      <c r="C6956" t="str">
        <f>"9781442651364"</f>
        <v>9781442651364</v>
      </c>
      <c r="D6956" t="str">
        <f>"9781442656246"</f>
        <v>9781442656246</v>
      </c>
      <c r="E6956" t="s">
        <v>31435</v>
      </c>
      <c r="F6956" t="s">
        <v>31435</v>
      </c>
      <c r="G6956" s="1">
        <v>28126</v>
      </c>
      <c r="I6956" t="s">
        <v>31443</v>
      </c>
      <c r="J6956" t="s">
        <v>34523</v>
      </c>
      <c r="K6956" t="s">
        <v>1464</v>
      </c>
      <c r="L6956" t="s">
        <v>34524</v>
      </c>
      <c r="M6956" t="s">
        <v>24386</v>
      </c>
      <c r="O6956" t="s">
        <v>26</v>
      </c>
      <c r="Q6956">
        <v>55</v>
      </c>
      <c r="R6956">
        <v>44</v>
      </c>
      <c r="S6956">
        <v>66</v>
      </c>
      <c r="T6956" t="s">
        <v>34525</v>
      </c>
    </row>
    <row r="6957" spans="1:20">
      <c r="A6957">
        <v>4669562</v>
      </c>
      <c r="B6957" t="s">
        <v>34526</v>
      </c>
      <c r="C6957" t="str">
        <f>"9781442651555"</f>
        <v>9781442651555</v>
      </c>
      <c r="D6957" t="str">
        <f>"9781442656451"</f>
        <v>9781442656451</v>
      </c>
      <c r="E6957" t="s">
        <v>31435</v>
      </c>
      <c r="F6957" t="s">
        <v>31435</v>
      </c>
      <c r="G6957" s="1">
        <v>28109</v>
      </c>
      <c r="I6957" t="s">
        <v>31443</v>
      </c>
      <c r="J6957" t="s">
        <v>34473</v>
      </c>
      <c r="K6957" t="s">
        <v>7075</v>
      </c>
      <c r="L6957" t="s">
        <v>34527</v>
      </c>
      <c r="M6957" t="s">
        <v>34528</v>
      </c>
      <c r="O6957" t="s">
        <v>26</v>
      </c>
      <c r="Q6957">
        <v>142.5</v>
      </c>
      <c r="R6957">
        <v>114</v>
      </c>
      <c r="S6957">
        <v>171</v>
      </c>
      <c r="T6957" t="s">
        <v>34529</v>
      </c>
    </row>
    <row r="6958" spans="1:20">
      <c r="A6958">
        <v>4669563</v>
      </c>
      <c r="B6958" t="s">
        <v>34530</v>
      </c>
      <c r="C6958" t="str">
        <f>"9781442651999"</f>
        <v>9781442651999</v>
      </c>
      <c r="D6958" t="str">
        <f>"9781442632073"</f>
        <v>9781442632073</v>
      </c>
      <c r="E6958" t="s">
        <v>31435</v>
      </c>
      <c r="F6958" t="s">
        <v>31435</v>
      </c>
      <c r="G6958" s="1">
        <v>27743</v>
      </c>
      <c r="I6958" t="s">
        <v>31443</v>
      </c>
      <c r="J6958" t="s">
        <v>34531</v>
      </c>
      <c r="K6958" t="s">
        <v>291</v>
      </c>
      <c r="L6958" t="s">
        <v>34532</v>
      </c>
      <c r="M6958" t="s">
        <v>34533</v>
      </c>
      <c r="O6958" t="s">
        <v>26</v>
      </c>
      <c r="Q6958">
        <v>61.25</v>
      </c>
      <c r="R6958">
        <v>49</v>
      </c>
      <c r="S6958">
        <v>73.5</v>
      </c>
      <c r="T6958" t="s">
        <v>34534</v>
      </c>
    </row>
    <row r="6959" spans="1:20">
      <c r="A6959">
        <v>4669564</v>
      </c>
      <c r="B6959" t="s">
        <v>34535</v>
      </c>
      <c r="C6959" t="str">
        <f>"9781442650404"</f>
        <v>9781442650404</v>
      </c>
      <c r="D6959" t="str">
        <f>"9781442623019"</f>
        <v>9781442623019</v>
      </c>
      <c r="E6959" t="s">
        <v>31435</v>
      </c>
      <c r="F6959" t="s">
        <v>31435</v>
      </c>
      <c r="G6959" s="1">
        <v>42005</v>
      </c>
      <c r="J6959" t="s">
        <v>34536</v>
      </c>
      <c r="O6959" t="s">
        <v>26</v>
      </c>
      <c r="Q6959">
        <v>87.5</v>
      </c>
      <c r="R6959">
        <v>70</v>
      </c>
      <c r="S6959">
        <v>105</v>
      </c>
      <c r="T6959" t="s">
        <v>34537</v>
      </c>
    </row>
    <row r="6960" spans="1:20">
      <c r="A6960">
        <v>4669569</v>
      </c>
      <c r="B6960" t="s">
        <v>34538</v>
      </c>
      <c r="C6960" t="str">
        <f>"9781442644885"</f>
        <v>9781442644885</v>
      </c>
      <c r="D6960" t="str">
        <f>"9781442667884"</f>
        <v>9781442667884</v>
      </c>
      <c r="E6960" t="s">
        <v>31435</v>
      </c>
      <c r="F6960" t="s">
        <v>31435</v>
      </c>
      <c r="G6960" s="1">
        <v>41275</v>
      </c>
      <c r="J6960" t="s">
        <v>34539</v>
      </c>
      <c r="K6960" t="s">
        <v>467</v>
      </c>
      <c r="L6960" t="s">
        <v>34540</v>
      </c>
      <c r="M6960">
        <v>321.8</v>
      </c>
      <c r="O6960" t="s">
        <v>26</v>
      </c>
      <c r="Q6960">
        <v>96.25</v>
      </c>
      <c r="R6960">
        <v>77</v>
      </c>
      <c r="S6960">
        <v>115.5</v>
      </c>
      <c r="T6960" t="s">
        <v>34541</v>
      </c>
    </row>
    <row r="6961" spans="1:20">
      <c r="A6961">
        <v>4669574</v>
      </c>
      <c r="B6961" t="s">
        <v>34542</v>
      </c>
      <c r="C6961" t="str">
        <f>"9781442646216"</f>
        <v>9781442646216</v>
      </c>
      <c r="D6961" t="str">
        <f>"9781442665156"</f>
        <v>9781442665156</v>
      </c>
      <c r="E6961" t="s">
        <v>31435</v>
      </c>
      <c r="F6961" t="s">
        <v>31435</v>
      </c>
      <c r="G6961" s="1">
        <v>41528</v>
      </c>
      <c r="H6961">
        <v>3</v>
      </c>
      <c r="I6961" t="s">
        <v>34543</v>
      </c>
      <c r="J6961" t="s">
        <v>34544</v>
      </c>
      <c r="K6961" t="s">
        <v>7075</v>
      </c>
      <c r="L6961" t="s">
        <v>34545</v>
      </c>
      <c r="M6961">
        <v>16.839630080382001</v>
      </c>
      <c r="O6961" t="s">
        <v>26</v>
      </c>
      <c r="Q6961">
        <v>102.5</v>
      </c>
      <c r="R6961">
        <v>82</v>
      </c>
      <c r="S6961">
        <v>123</v>
      </c>
      <c r="T6961" t="s">
        <v>34546</v>
      </c>
    </row>
    <row r="6962" spans="1:20">
      <c r="A6962">
        <v>4669576</v>
      </c>
      <c r="B6962" t="s">
        <v>34547</v>
      </c>
      <c r="C6962" t="str">
        <f>"9781442649729"</f>
        <v>9781442649729</v>
      </c>
      <c r="D6962" t="str">
        <f>"9781442621299"</f>
        <v>9781442621299</v>
      </c>
      <c r="E6962" t="s">
        <v>31435</v>
      </c>
      <c r="F6962" t="s">
        <v>31435</v>
      </c>
      <c r="G6962" s="1">
        <v>42005</v>
      </c>
      <c r="J6962" t="s">
        <v>34548</v>
      </c>
      <c r="K6962" t="s">
        <v>1464</v>
      </c>
      <c r="M6962">
        <v>801.95</v>
      </c>
      <c r="O6962" t="s">
        <v>26</v>
      </c>
      <c r="Q6962">
        <v>118.75</v>
      </c>
      <c r="R6962">
        <v>95</v>
      </c>
      <c r="S6962">
        <v>142.5</v>
      </c>
      <c r="T6962" t="s">
        <v>34549</v>
      </c>
    </row>
    <row r="6963" spans="1:20">
      <c r="A6963">
        <v>4669582</v>
      </c>
      <c r="B6963" t="s">
        <v>34550</v>
      </c>
      <c r="C6963" t="str">
        <f>"9781442650084"</f>
        <v>9781442650084</v>
      </c>
      <c r="D6963" t="str">
        <f>"9781442622180"</f>
        <v>9781442622180</v>
      </c>
      <c r="E6963" t="s">
        <v>31435</v>
      </c>
      <c r="F6963" t="s">
        <v>31435</v>
      </c>
      <c r="G6963" s="1">
        <v>42110</v>
      </c>
      <c r="J6963" t="s">
        <v>34551</v>
      </c>
      <c r="K6963" t="s">
        <v>1464</v>
      </c>
      <c r="M6963">
        <v>891.79319999999996</v>
      </c>
      <c r="N6963" t="s">
        <v>34552</v>
      </c>
      <c r="O6963" t="s">
        <v>26</v>
      </c>
      <c r="Q6963">
        <v>106.25</v>
      </c>
      <c r="R6963">
        <v>85</v>
      </c>
      <c r="S6963">
        <v>127.5</v>
      </c>
      <c r="T6963" t="s">
        <v>34553</v>
      </c>
    </row>
    <row r="6964" spans="1:20">
      <c r="A6964">
        <v>4669594</v>
      </c>
      <c r="B6964" t="s">
        <v>34554</v>
      </c>
      <c r="C6964" t="str">
        <f>"9781442629271"</f>
        <v>9781442629271</v>
      </c>
      <c r="D6964" t="str">
        <f>"9781442616288"</f>
        <v>9781442616288</v>
      </c>
      <c r="E6964" t="s">
        <v>31435</v>
      </c>
      <c r="F6964" t="s">
        <v>31435</v>
      </c>
      <c r="G6964" s="1">
        <v>41827</v>
      </c>
      <c r="I6964" t="s">
        <v>33771</v>
      </c>
      <c r="J6964" t="s">
        <v>34555</v>
      </c>
      <c r="K6964" t="s">
        <v>7075</v>
      </c>
      <c r="M6964">
        <v>11.31</v>
      </c>
      <c r="O6964" t="s">
        <v>26</v>
      </c>
      <c r="Q6964">
        <v>218.75</v>
      </c>
      <c r="R6964">
        <v>175</v>
      </c>
      <c r="S6964">
        <v>262.5</v>
      </c>
      <c r="T6964" t="s">
        <v>34556</v>
      </c>
    </row>
    <row r="6965" spans="1:20">
      <c r="A6965">
        <v>4669600</v>
      </c>
      <c r="B6965" t="s">
        <v>34557</v>
      </c>
      <c r="C6965" t="str">
        <f>"9781442644519"</f>
        <v>9781442644519</v>
      </c>
      <c r="D6965" t="str">
        <f>"9781442660748"</f>
        <v>9781442660748</v>
      </c>
      <c r="E6965" t="s">
        <v>31435</v>
      </c>
      <c r="F6965" t="s">
        <v>31435</v>
      </c>
      <c r="G6965" s="1">
        <v>42005</v>
      </c>
      <c r="J6965" t="s">
        <v>34558</v>
      </c>
      <c r="O6965" t="s">
        <v>26</v>
      </c>
      <c r="Q6965">
        <v>68.75</v>
      </c>
      <c r="R6965">
        <v>55</v>
      </c>
      <c r="S6965">
        <v>82.5</v>
      </c>
      <c r="T6965" t="s">
        <v>34559</v>
      </c>
    </row>
    <row r="6966" spans="1:20">
      <c r="A6966">
        <v>4669601</v>
      </c>
      <c r="B6966" t="s">
        <v>34560</v>
      </c>
      <c r="C6966" t="str">
        <f>"9781442648944"</f>
        <v>9781442648944</v>
      </c>
      <c r="D6966" t="str">
        <f>"9781442619074"</f>
        <v>9781442619074</v>
      </c>
      <c r="E6966" t="s">
        <v>31435</v>
      </c>
      <c r="F6966" t="s">
        <v>31435</v>
      </c>
      <c r="G6966" s="1">
        <v>42227</v>
      </c>
      <c r="I6966" t="s">
        <v>34561</v>
      </c>
      <c r="J6966" t="s">
        <v>34562</v>
      </c>
      <c r="K6966" t="s">
        <v>1859</v>
      </c>
      <c r="M6966">
        <v>199.49199999999999</v>
      </c>
      <c r="O6966" t="s">
        <v>26</v>
      </c>
      <c r="Q6966">
        <v>218.75</v>
      </c>
      <c r="R6966">
        <v>175</v>
      </c>
      <c r="S6966">
        <v>262.5</v>
      </c>
      <c r="T6966" t="s">
        <v>34563</v>
      </c>
    </row>
    <row r="6967" spans="1:20">
      <c r="A6967">
        <v>4669603</v>
      </c>
      <c r="B6967" t="s">
        <v>34564</v>
      </c>
      <c r="C6967" t="str">
        <f>"9780802093639"</f>
        <v>9780802093639</v>
      </c>
      <c r="D6967" t="str">
        <f>"9781442621404"</f>
        <v>9781442621404</v>
      </c>
      <c r="E6967" t="s">
        <v>31435</v>
      </c>
      <c r="F6967" t="s">
        <v>31435</v>
      </c>
      <c r="G6967" s="1">
        <v>40043</v>
      </c>
      <c r="I6967" t="s">
        <v>34565</v>
      </c>
      <c r="J6967" t="s">
        <v>34566</v>
      </c>
      <c r="K6967" t="s">
        <v>1464</v>
      </c>
      <c r="L6967" t="s">
        <v>34567</v>
      </c>
      <c r="M6967" t="s">
        <v>34568</v>
      </c>
      <c r="N6967" t="s">
        <v>34569</v>
      </c>
      <c r="O6967" t="s">
        <v>26</v>
      </c>
      <c r="Q6967">
        <v>108.75</v>
      </c>
      <c r="R6967">
        <v>87</v>
      </c>
      <c r="S6967">
        <v>130.5</v>
      </c>
      <c r="T6967" t="s">
        <v>34570</v>
      </c>
    </row>
    <row r="6968" spans="1:20">
      <c r="A6968">
        <v>4669612</v>
      </c>
      <c r="B6968" t="s">
        <v>34571</v>
      </c>
      <c r="C6968" t="str">
        <f>"9781442649002"</f>
        <v>9781442649002</v>
      </c>
      <c r="D6968" t="str">
        <f>"9781442619227"</f>
        <v>9781442619227</v>
      </c>
      <c r="E6968" t="s">
        <v>31435</v>
      </c>
      <c r="F6968" t="s">
        <v>31435</v>
      </c>
      <c r="G6968" s="1">
        <v>42171</v>
      </c>
      <c r="I6968" t="s">
        <v>33775</v>
      </c>
      <c r="J6968" t="s">
        <v>34572</v>
      </c>
      <c r="K6968" t="s">
        <v>1464</v>
      </c>
      <c r="M6968">
        <v>853.91</v>
      </c>
      <c r="N6968" t="s">
        <v>34573</v>
      </c>
      <c r="O6968" t="s">
        <v>26</v>
      </c>
      <c r="Q6968">
        <v>112.5</v>
      </c>
      <c r="R6968">
        <v>90</v>
      </c>
      <c r="S6968">
        <v>135</v>
      </c>
      <c r="T6968" t="s">
        <v>34574</v>
      </c>
    </row>
    <row r="6969" spans="1:20">
      <c r="A6969">
        <v>4669614</v>
      </c>
      <c r="B6969" t="s">
        <v>34575</v>
      </c>
      <c r="C6969" t="str">
        <f>"9780802099488"</f>
        <v>9780802099488</v>
      </c>
      <c r="D6969" t="str">
        <f>"9781442625686"</f>
        <v>9781442625686</v>
      </c>
      <c r="E6969" t="s">
        <v>31435</v>
      </c>
      <c r="F6969" t="s">
        <v>31435</v>
      </c>
      <c r="G6969" s="1">
        <v>42192</v>
      </c>
      <c r="I6969" t="s">
        <v>34561</v>
      </c>
      <c r="J6969" t="s">
        <v>34576</v>
      </c>
      <c r="K6969" t="s">
        <v>1892</v>
      </c>
      <c r="M6969">
        <v>230.20920000000001</v>
      </c>
      <c r="O6969" t="s">
        <v>26</v>
      </c>
      <c r="Q6969">
        <v>368.75</v>
      </c>
      <c r="R6969">
        <v>295</v>
      </c>
      <c r="S6969">
        <v>442.5</v>
      </c>
      <c r="T6969" t="s">
        <v>34577</v>
      </c>
    </row>
    <row r="6970" spans="1:20">
      <c r="A6970">
        <v>4669615</v>
      </c>
      <c r="B6970" t="s">
        <v>34578</v>
      </c>
      <c r="C6970" t="str">
        <f>"9780802099556"</f>
        <v>9780802099556</v>
      </c>
      <c r="D6970" t="str">
        <f>"9781442667242"</f>
        <v>9781442667242</v>
      </c>
      <c r="E6970" t="s">
        <v>31435</v>
      </c>
      <c r="F6970" t="s">
        <v>31435</v>
      </c>
      <c r="G6970" s="1">
        <v>39814</v>
      </c>
      <c r="J6970" t="s">
        <v>34579</v>
      </c>
      <c r="K6970" t="s">
        <v>1892</v>
      </c>
      <c r="L6970" t="s">
        <v>34580</v>
      </c>
      <c r="M6970">
        <v>284.20920000000001</v>
      </c>
      <c r="O6970" t="s">
        <v>26</v>
      </c>
      <c r="Q6970">
        <v>261.25</v>
      </c>
      <c r="R6970">
        <v>209</v>
      </c>
      <c r="S6970">
        <v>313.5</v>
      </c>
      <c r="T6970" t="s">
        <v>34581</v>
      </c>
    </row>
    <row r="6971" spans="1:20">
      <c r="A6971">
        <v>4669618</v>
      </c>
      <c r="B6971" t="s">
        <v>34582</v>
      </c>
      <c r="C6971" t="str">
        <f>"9781442613171"</f>
        <v>9781442613171</v>
      </c>
      <c r="D6971" t="str">
        <f>"9781442664821"</f>
        <v>9781442664821</v>
      </c>
      <c r="E6971" t="s">
        <v>31435</v>
      </c>
      <c r="F6971" t="s">
        <v>31435</v>
      </c>
      <c r="G6971" s="1">
        <v>35796</v>
      </c>
      <c r="J6971" t="s">
        <v>34583</v>
      </c>
      <c r="K6971" t="s">
        <v>4081</v>
      </c>
      <c r="L6971" t="s">
        <v>34584</v>
      </c>
      <c r="M6971" t="s">
        <v>34585</v>
      </c>
      <c r="O6971" t="s">
        <v>26</v>
      </c>
      <c r="Q6971">
        <v>59.94</v>
      </c>
      <c r="R6971">
        <v>47.95</v>
      </c>
      <c r="S6971">
        <v>71.930000000000007</v>
      </c>
      <c r="T6971" t="s">
        <v>34586</v>
      </c>
    </row>
    <row r="6972" spans="1:20">
      <c r="A6972">
        <v>4669619</v>
      </c>
      <c r="B6972" t="s">
        <v>34587</v>
      </c>
      <c r="C6972" t="str">
        <f>"9781442613201"</f>
        <v>9781442613201</v>
      </c>
      <c r="D6972" t="str">
        <f>"9781442664869"</f>
        <v>9781442664869</v>
      </c>
      <c r="E6972" t="s">
        <v>31435</v>
      </c>
      <c r="F6972" t="s">
        <v>31435</v>
      </c>
      <c r="G6972" s="1">
        <v>35431</v>
      </c>
      <c r="J6972" t="s">
        <v>34588</v>
      </c>
      <c r="K6972" t="s">
        <v>1835</v>
      </c>
      <c r="L6972" t="s">
        <v>34589</v>
      </c>
      <c r="M6972" t="s">
        <v>34590</v>
      </c>
      <c r="O6972" t="s">
        <v>26</v>
      </c>
      <c r="Q6972">
        <v>91.25</v>
      </c>
      <c r="R6972">
        <v>73</v>
      </c>
      <c r="S6972">
        <v>109.5</v>
      </c>
      <c r="T6972" t="s">
        <v>34591</v>
      </c>
    </row>
    <row r="6973" spans="1:20">
      <c r="A6973">
        <v>4669620</v>
      </c>
      <c r="B6973" t="s">
        <v>34592</v>
      </c>
      <c r="C6973" t="str">
        <f>"9780802076571"</f>
        <v>9780802076571</v>
      </c>
      <c r="D6973" t="str">
        <f>"9781442664647"</f>
        <v>9781442664647</v>
      </c>
      <c r="E6973" t="s">
        <v>31435</v>
      </c>
      <c r="F6973" t="s">
        <v>31435</v>
      </c>
      <c r="G6973" s="1">
        <v>35096</v>
      </c>
      <c r="I6973" t="s">
        <v>31443</v>
      </c>
      <c r="J6973" t="s">
        <v>34593</v>
      </c>
      <c r="K6973" t="s">
        <v>1471</v>
      </c>
      <c r="L6973" t="s">
        <v>34594</v>
      </c>
      <c r="M6973">
        <v>701.18</v>
      </c>
      <c r="O6973" t="s">
        <v>26</v>
      </c>
      <c r="Q6973">
        <v>111.25</v>
      </c>
      <c r="R6973">
        <v>89</v>
      </c>
      <c r="S6973">
        <v>133.5</v>
      </c>
      <c r="T6973" t="s">
        <v>34595</v>
      </c>
    </row>
    <row r="6974" spans="1:20">
      <c r="A6974">
        <v>4669622</v>
      </c>
      <c r="B6974" t="s">
        <v>34596</v>
      </c>
      <c r="C6974" t="str">
        <f>"9781442612938"</f>
        <v>9781442612938</v>
      </c>
      <c r="D6974" t="str">
        <f>"9781442664654"</f>
        <v>9781442664654</v>
      </c>
      <c r="E6974" t="s">
        <v>31435</v>
      </c>
      <c r="F6974" t="s">
        <v>31435</v>
      </c>
      <c r="G6974" s="1">
        <v>33239</v>
      </c>
      <c r="I6974" t="s">
        <v>31443</v>
      </c>
      <c r="J6974" t="s">
        <v>34597</v>
      </c>
      <c r="K6974" t="s">
        <v>1464</v>
      </c>
      <c r="L6974" t="s">
        <v>34598</v>
      </c>
      <c r="M6974">
        <v>821.4</v>
      </c>
      <c r="O6974" t="s">
        <v>26</v>
      </c>
      <c r="Q6974">
        <v>111.25</v>
      </c>
      <c r="R6974">
        <v>89</v>
      </c>
      <c r="S6974">
        <v>133.5</v>
      </c>
      <c r="T6974" t="s">
        <v>34599</v>
      </c>
    </row>
    <row r="6975" spans="1:20">
      <c r="A6975">
        <v>4669624</v>
      </c>
      <c r="B6975" t="s">
        <v>34600</v>
      </c>
      <c r="C6975" t="str">
        <f>"9781442613249"</f>
        <v>9781442613249</v>
      </c>
      <c r="D6975" t="str">
        <f>"9781442664883"</f>
        <v>9781442664883</v>
      </c>
      <c r="E6975" t="s">
        <v>31435</v>
      </c>
      <c r="F6975" t="s">
        <v>31435</v>
      </c>
      <c r="G6975" s="1">
        <v>33239</v>
      </c>
      <c r="J6975" t="s">
        <v>34601</v>
      </c>
      <c r="K6975" t="s">
        <v>1859</v>
      </c>
      <c r="L6975" t="s">
        <v>34602</v>
      </c>
      <c r="M6975">
        <v>194</v>
      </c>
      <c r="O6975" t="s">
        <v>26</v>
      </c>
      <c r="Q6975">
        <v>115</v>
      </c>
      <c r="R6975">
        <v>92</v>
      </c>
      <c r="S6975">
        <v>138</v>
      </c>
      <c r="T6975" t="s">
        <v>34603</v>
      </c>
    </row>
    <row r="6976" spans="1:20">
      <c r="A6976">
        <v>4669625</v>
      </c>
      <c r="B6976" t="s">
        <v>34604</v>
      </c>
      <c r="C6976" t="str">
        <f>"9780802068279"</f>
        <v>9780802068279</v>
      </c>
      <c r="D6976" t="str">
        <f>"9781442664661"</f>
        <v>9781442664661</v>
      </c>
      <c r="E6976" t="s">
        <v>31435</v>
      </c>
      <c r="F6976" t="s">
        <v>31435</v>
      </c>
      <c r="G6976" s="1">
        <v>33239</v>
      </c>
      <c r="I6976" t="s">
        <v>31443</v>
      </c>
      <c r="J6976" t="s">
        <v>34605</v>
      </c>
      <c r="K6976" t="s">
        <v>291</v>
      </c>
      <c r="L6976" t="s">
        <v>34606</v>
      </c>
      <c r="M6976" t="s">
        <v>34607</v>
      </c>
      <c r="O6976" t="s">
        <v>26</v>
      </c>
      <c r="Q6976">
        <v>103.75</v>
      </c>
      <c r="R6976">
        <v>83</v>
      </c>
      <c r="S6976">
        <v>124.5</v>
      </c>
      <c r="T6976" t="s">
        <v>34608</v>
      </c>
    </row>
    <row r="6977" spans="1:20">
      <c r="A6977">
        <v>4669628</v>
      </c>
      <c r="B6977" t="s">
        <v>34609</v>
      </c>
      <c r="C6977" t="str">
        <f>"9780802065452"</f>
        <v>9780802065452</v>
      </c>
      <c r="D6977" t="str">
        <f>"9781442664616"</f>
        <v>9781442664616</v>
      </c>
      <c r="E6977" t="s">
        <v>31435</v>
      </c>
      <c r="F6977" t="s">
        <v>31435</v>
      </c>
      <c r="G6977" s="1">
        <v>30682</v>
      </c>
      <c r="I6977" t="s">
        <v>31443</v>
      </c>
      <c r="J6977" t="s">
        <v>34610</v>
      </c>
      <c r="K6977" t="s">
        <v>1892</v>
      </c>
      <c r="L6977" t="s">
        <v>34611</v>
      </c>
      <c r="M6977" t="s">
        <v>34612</v>
      </c>
      <c r="O6977" t="s">
        <v>26</v>
      </c>
      <c r="Q6977">
        <v>59.94</v>
      </c>
      <c r="R6977">
        <v>47.95</v>
      </c>
      <c r="S6977">
        <v>71.930000000000007</v>
      </c>
      <c r="T6977" t="s">
        <v>34613</v>
      </c>
    </row>
    <row r="6978" spans="1:20">
      <c r="A6978">
        <v>4669632</v>
      </c>
      <c r="B6978" t="s">
        <v>34614</v>
      </c>
      <c r="C6978" t="str">
        <f>"9781442613263"</f>
        <v>9781442613263</v>
      </c>
      <c r="D6978" t="str">
        <f>"9781442664609"</f>
        <v>9781442664609</v>
      </c>
      <c r="E6978" t="s">
        <v>31435</v>
      </c>
      <c r="F6978" t="s">
        <v>31435</v>
      </c>
      <c r="G6978" s="1">
        <v>35796</v>
      </c>
      <c r="J6978" t="s">
        <v>34615</v>
      </c>
      <c r="K6978" t="s">
        <v>291</v>
      </c>
      <c r="L6978" t="s">
        <v>34616</v>
      </c>
      <c r="M6978" t="s">
        <v>34617</v>
      </c>
      <c r="O6978" t="s">
        <v>26</v>
      </c>
      <c r="Q6978">
        <v>96.25</v>
      </c>
      <c r="R6978">
        <v>77</v>
      </c>
      <c r="S6978">
        <v>115.5</v>
      </c>
      <c r="T6978" t="s">
        <v>34618</v>
      </c>
    </row>
    <row r="6979" spans="1:20">
      <c r="A6979">
        <v>4669640</v>
      </c>
      <c r="B6979" t="s">
        <v>34619</v>
      </c>
      <c r="C6979" t="str">
        <f>"9780802068125"</f>
        <v>9780802068125</v>
      </c>
      <c r="D6979" t="str">
        <f>"9781442657540"</f>
        <v>9781442657540</v>
      </c>
      <c r="E6979" t="s">
        <v>31435</v>
      </c>
      <c r="F6979" t="s">
        <v>31435</v>
      </c>
      <c r="G6979" s="1">
        <v>33239</v>
      </c>
      <c r="I6979" t="s">
        <v>31443</v>
      </c>
      <c r="J6979" t="s">
        <v>31437</v>
      </c>
      <c r="K6979" t="s">
        <v>1464</v>
      </c>
      <c r="L6979" t="s">
        <v>34620</v>
      </c>
      <c r="M6979" t="s">
        <v>34621</v>
      </c>
      <c r="O6979" t="s">
        <v>26</v>
      </c>
      <c r="Q6979">
        <v>47.44</v>
      </c>
      <c r="R6979">
        <v>37.950000000000003</v>
      </c>
      <c r="S6979">
        <v>56.93</v>
      </c>
      <c r="T6979" t="s">
        <v>34622</v>
      </c>
    </row>
    <row r="6980" spans="1:20">
      <c r="A6980">
        <v>4669645</v>
      </c>
      <c r="B6980" t="s">
        <v>34623</v>
      </c>
      <c r="C6980" t="str">
        <f>"9780802095350"</f>
        <v>9780802095350</v>
      </c>
      <c r="D6980" t="str">
        <f>"9781442660267"</f>
        <v>9781442660267</v>
      </c>
      <c r="E6980" t="s">
        <v>31435</v>
      </c>
      <c r="F6980" t="s">
        <v>31435</v>
      </c>
      <c r="G6980" s="1">
        <v>40530</v>
      </c>
      <c r="J6980" t="s">
        <v>34624</v>
      </c>
      <c r="K6980" t="s">
        <v>1127</v>
      </c>
      <c r="L6980" t="s">
        <v>34625</v>
      </c>
      <c r="M6980" t="s">
        <v>34626</v>
      </c>
      <c r="O6980" t="s">
        <v>26</v>
      </c>
      <c r="Q6980">
        <v>126.25</v>
      </c>
      <c r="R6980">
        <v>101</v>
      </c>
      <c r="S6980">
        <v>151.5</v>
      </c>
      <c r="T6980" t="s">
        <v>34627</v>
      </c>
    </row>
    <row r="6981" spans="1:20">
      <c r="A6981">
        <v>4669647</v>
      </c>
      <c r="B6981" t="s">
        <v>34628</v>
      </c>
      <c r="C6981" t="str">
        <f>"9780802099532"</f>
        <v>9780802099532</v>
      </c>
      <c r="D6981" t="str">
        <f>"9781442660281"</f>
        <v>9781442660281</v>
      </c>
      <c r="E6981" t="s">
        <v>31435</v>
      </c>
      <c r="F6981" t="s">
        <v>31435</v>
      </c>
      <c r="G6981" s="1">
        <v>40179</v>
      </c>
      <c r="J6981" t="s">
        <v>34629</v>
      </c>
      <c r="K6981" t="s">
        <v>899</v>
      </c>
      <c r="L6981" t="s">
        <v>34630</v>
      </c>
      <c r="M6981">
        <v>306.30971</v>
      </c>
      <c r="O6981" t="s">
        <v>26</v>
      </c>
      <c r="Q6981">
        <v>103.75</v>
      </c>
      <c r="R6981">
        <v>83</v>
      </c>
      <c r="S6981">
        <v>124.5</v>
      </c>
      <c r="T6981" t="s">
        <v>34631</v>
      </c>
    </row>
    <row r="6982" spans="1:20">
      <c r="A6982">
        <v>4669649</v>
      </c>
      <c r="B6982" t="s">
        <v>34632</v>
      </c>
      <c r="C6982" t="str">
        <f>"9780802099778"</f>
        <v>9780802099778</v>
      </c>
      <c r="D6982" t="str">
        <f>"9781442660298"</f>
        <v>9781442660298</v>
      </c>
      <c r="E6982" t="s">
        <v>31435</v>
      </c>
      <c r="F6982" t="s">
        <v>31435</v>
      </c>
      <c r="G6982" s="1">
        <v>41773</v>
      </c>
      <c r="I6982" t="s">
        <v>34565</v>
      </c>
      <c r="J6982" t="s">
        <v>34633</v>
      </c>
      <c r="K6982" t="s">
        <v>1464</v>
      </c>
      <c r="M6982">
        <v>860.90030000000002</v>
      </c>
      <c r="O6982" t="s">
        <v>26</v>
      </c>
      <c r="Q6982">
        <v>87.5</v>
      </c>
      <c r="R6982">
        <v>70</v>
      </c>
      <c r="S6982">
        <v>105</v>
      </c>
      <c r="T6982" t="s">
        <v>34634</v>
      </c>
    </row>
    <row r="6983" spans="1:20">
      <c r="A6983">
        <v>4669652</v>
      </c>
      <c r="B6983" t="s">
        <v>34635</v>
      </c>
      <c r="C6983" t="str">
        <f>"9780802092793"</f>
        <v>9780802092793</v>
      </c>
      <c r="D6983" t="str">
        <f>"9781442660243"</f>
        <v>9781442660243</v>
      </c>
      <c r="E6983" t="s">
        <v>31435</v>
      </c>
      <c r="F6983" t="s">
        <v>31435</v>
      </c>
      <c r="G6983" s="1">
        <v>40179</v>
      </c>
      <c r="H6983">
        <v>2</v>
      </c>
      <c r="I6983" t="s">
        <v>33775</v>
      </c>
      <c r="J6983" t="s">
        <v>34636</v>
      </c>
      <c r="K6983" t="s">
        <v>1464</v>
      </c>
      <c r="L6983" t="s">
        <v>34637</v>
      </c>
      <c r="M6983" t="s">
        <v>34638</v>
      </c>
      <c r="O6983" t="s">
        <v>26</v>
      </c>
      <c r="Q6983">
        <v>111.25</v>
      </c>
      <c r="R6983">
        <v>89</v>
      </c>
      <c r="S6983">
        <v>133.5</v>
      </c>
      <c r="T6983" t="s">
        <v>34639</v>
      </c>
    </row>
    <row r="6984" spans="1:20">
      <c r="A6984">
        <v>4669653</v>
      </c>
      <c r="B6984" t="s">
        <v>34640</v>
      </c>
      <c r="C6984" t="str">
        <f>"9780802099761"</f>
        <v>9780802099761</v>
      </c>
      <c r="D6984" t="str">
        <f>"9781442660021"</f>
        <v>9781442660021</v>
      </c>
      <c r="E6984" t="s">
        <v>31435</v>
      </c>
      <c r="F6984" t="s">
        <v>31435</v>
      </c>
      <c r="G6984" s="1">
        <v>40179</v>
      </c>
      <c r="H6984">
        <v>2</v>
      </c>
      <c r="J6984" t="s">
        <v>34641</v>
      </c>
      <c r="K6984" t="s">
        <v>525</v>
      </c>
      <c r="L6984" t="s">
        <v>34642</v>
      </c>
      <c r="M6984">
        <v>343.04</v>
      </c>
      <c r="O6984" t="s">
        <v>26</v>
      </c>
      <c r="Q6984">
        <v>96.25</v>
      </c>
      <c r="R6984">
        <v>77</v>
      </c>
      <c r="S6984">
        <v>115.5</v>
      </c>
      <c r="T6984" t="s">
        <v>34643</v>
      </c>
    </row>
    <row r="6985" spans="1:20">
      <c r="A6985">
        <v>4669654</v>
      </c>
      <c r="B6985" t="s">
        <v>34644</v>
      </c>
      <c r="C6985" t="str">
        <f>"9780802098665"</f>
        <v>9780802098665</v>
      </c>
      <c r="D6985" t="str">
        <f>"9781442660076"</f>
        <v>9781442660076</v>
      </c>
      <c r="E6985" t="s">
        <v>31435</v>
      </c>
      <c r="F6985" t="s">
        <v>31435</v>
      </c>
      <c r="G6985" s="1">
        <v>40602</v>
      </c>
      <c r="I6985" t="s">
        <v>34561</v>
      </c>
      <c r="J6985" t="s">
        <v>34645</v>
      </c>
      <c r="K6985" t="s">
        <v>22702</v>
      </c>
      <c r="L6985" t="s">
        <v>34646</v>
      </c>
      <c r="M6985">
        <v>89.71</v>
      </c>
      <c r="O6985" t="s">
        <v>26</v>
      </c>
      <c r="Q6985">
        <v>261.25</v>
      </c>
      <c r="R6985">
        <v>209</v>
      </c>
      <c r="S6985">
        <v>313.5</v>
      </c>
      <c r="T6985" t="s">
        <v>34647</v>
      </c>
    </row>
    <row r="6986" spans="1:20">
      <c r="A6986">
        <v>4669657</v>
      </c>
      <c r="B6986" t="s">
        <v>34648</v>
      </c>
      <c r="C6986" t="str">
        <f>"9780802096838"</f>
        <v>9780802096838</v>
      </c>
      <c r="D6986" t="str">
        <f>"9781442660090"</f>
        <v>9781442660090</v>
      </c>
      <c r="E6986" t="s">
        <v>31435</v>
      </c>
      <c r="F6986" t="s">
        <v>31435</v>
      </c>
      <c r="G6986" s="1">
        <v>41773</v>
      </c>
      <c r="J6986" t="s">
        <v>34649</v>
      </c>
      <c r="K6986" t="s">
        <v>263</v>
      </c>
      <c r="M6986">
        <v>303.483</v>
      </c>
      <c r="O6986" t="s">
        <v>26</v>
      </c>
      <c r="Q6986">
        <v>87.5</v>
      </c>
      <c r="R6986">
        <v>70</v>
      </c>
      <c r="S6986">
        <v>105</v>
      </c>
      <c r="T6986" t="s">
        <v>34650</v>
      </c>
    </row>
    <row r="6987" spans="1:20">
      <c r="A6987">
        <v>4669694</v>
      </c>
      <c r="B6987" t="s">
        <v>34651</v>
      </c>
      <c r="C6987" t="str">
        <f>"9781442645073"</f>
        <v>9781442645073</v>
      </c>
      <c r="D6987" t="str">
        <f>"9781442665415"</f>
        <v>9781442665415</v>
      </c>
      <c r="E6987" t="s">
        <v>31435</v>
      </c>
      <c r="F6987" t="s">
        <v>31435</v>
      </c>
      <c r="G6987" s="1">
        <v>41208</v>
      </c>
      <c r="I6987" t="s">
        <v>33827</v>
      </c>
      <c r="J6987" t="s">
        <v>34652</v>
      </c>
      <c r="K6987" t="s">
        <v>263</v>
      </c>
      <c r="L6987" t="s">
        <v>34653</v>
      </c>
      <c r="M6987">
        <v>307.76</v>
      </c>
      <c r="O6987" t="s">
        <v>26</v>
      </c>
      <c r="Q6987">
        <v>72.5</v>
      </c>
      <c r="R6987">
        <v>58</v>
      </c>
      <c r="S6987">
        <v>87</v>
      </c>
      <c r="T6987" t="s">
        <v>34654</v>
      </c>
    </row>
    <row r="6988" spans="1:20">
      <c r="A6988">
        <v>4669699</v>
      </c>
      <c r="B6988" t="s">
        <v>34655</v>
      </c>
      <c r="C6988" t="str">
        <f>"9780802066572"</f>
        <v>9780802066572</v>
      </c>
      <c r="D6988" t="str">
        <f>"9781442664777"</f>
        <v>9781442664777</v>
      </c>
      <c r="E6988" t="s">
        <v>31435</v>
      </c>
      <c r="F6988" t="s">
        <v>31435</v>
      </c>
      <c r="G6988" s="1">
        <v>31929</v>
      </c>
      <c r="J6988" t="s">
        <v>34656</v>
      </c>
      <c r="K6988" t="s">
        <v>1150</v>
      </c>
      <c r="L6988" t="s">
        <v>34657</v>
      </c>
      <c r="M6988">
        <v>797.1</v>
      </c>
      <c r="O6988" t="s">
        <v>26</v>
      </c>
      <c r="Q6988">
        <v>59.94</v>
      </c>
      <c r="R6988">
        <v>47.95</v>
      </c>
      <c r="S6988">
        <v>71.930000000000007</v>
      </c>
      <c r="T6988" t="s">
        <v>34658</v>
      </c>
    </row>
    <row r="6989" spans="1:20">
      <c r="A6989">
        <v>4669700</v>
      </c>
      <c r="B6989" t="s">
        <v>34659</v>
      </c>
      <c r="C6989" t="str">
        <f>"9780802077813"</f>
        <v>9780802077813</v>
      </c>
      <c r="D6989" t="str">
        <f>"9781442664715"</f>
        <v>9781442664715</v>
      </c>
      <c r="E6989" t="s">
        <v>31435</v>
      </c>
      <c r="F6989" t="s">
        <v>31435</v>
      </c>
      <c r="G6989" s="1">
        <v>33970</v>
      </c>
      <c r="I6989" t="s">
        <v>31443</v>
      </c>
      <c r="J6989" t="s">
        <v>34660</v>
      </c>
      <c r="K6989" t="s">
        <v>1464</v>
      </c>
      <c r="L6989" t="s">
        <v>34661</v>
      </c>
      <c r="M6989" t="s">
        <v>24386</v>
      </c>
      <c r="O6989" t="s">
        <v>26</v>
      </c>
      <c r="Q6989">
        <v>59.94</v>
      </c>
      <c r="R6989">
        <v>47.95</v>
      </c>
      <c r="S6989">
        <v>71.930000000000007</v>
      </c>
      <c r="T6989" t="s">
        <v>34662</v>
      </c>
    </row>
    <row r="6990" spans="1:20">
      <c r="A6990">
        <v>4669701</v>
      </c>
      <c r="B6990" t="s">
        <v>34663</v>
      </c>
      <c r="C6990" t="str">
        <f>"9780802082084"</f>
        <v>9780802082084</v>
      </c>
      <c r="D6990" t="str">
        <f>"9781442664739"</f>
        <v>9781442664739</v>
      </c>
      <c r="E6990" t="s">
        <v>31435</v>
      </c>
      <c r="F6990" t="s">
        <v>31435</v>
      </c>
      <c r="G6990" s="1">
        <v>35796</v>
      </c>
      <c r="I6990" t="s">
        <v>31443</v>
      </c>
      <c r="J6990" t="s">
        <v>34664</v>
      </c>
      <c r="K6990" t="s">
        <v>263</v>
      </c>
      <c r="L6990" t="s">
        <v>34665</v>
      </c>
      <c r="M6990">
        <v>364</v>
      </c>
      <c r="O6990" t="s">
        <v>26</v>
      </c>
      <c r="Q6990">
        <v>100</v>
      </c>
      <c r="R6990">
        <v>80</v>
      </c>
      <c r="S6990">
        <v>120</v>
      </c>
      <c r="T6990" t="s">
        <v>34666</v>
      </c>
    </row>
    <row r="6991" spans="1:20">
      <c r="A6991">
        <v>4669702</v>
      </c>
      <c r="B6991" t="s">
        <v>34667</v>
      </c>
      <c r="C6991" t="str">
        <f>"9780802078551"</f>
        <v>9780802078551</v>
      </c>
      <c r="D6991" t="str">
        <f>"9781442664760"</f>
        <v>9781442664760</v>
      </c>
      <c r="E6991" t="s">
        <v>31435</v>
      </c>
      <c r="F6991" t="s">
        <v>31435</v>
      </c>
      <c r="G6991" s="1">
        <v>35405</v>
      </c>
      <c r="I6991" t="s">
        <v>31443</v>
      </c>
      <c r="J6991" t="s">
        <v>34668</v>
      </c>
      <c r="K6991" t="s">
        <v>291</v>
      </c>
      <c r="L6991" t="s">
        <v>34669</v>
      </c>
      <c r="M6991">
        <v>947.7</v>
      </c>
      <c r="O6991" t="s">
        <v>26</v>
      </c>
      <c r="Q6991">
        <v>59.94</v>
      </c>
      <c r="R6991">
        <v>47.95</v>
      </c>
      <c r="S6991">
        <v>71.930000000000007</v>
      </c>
      <c r="T6991" t="s">
        <v>34670</v>
      </c>
    </row>
    <row r="6992" spans="1:20">
      <c r="A6992">
        <v>4669703</v>
      </c>
      <c r="B6992" t="s">
        <v>34671</v>
      </c>
      <c r="C6992" t="str">
        <f>"9780802008916"</f>
        <v>9780802008916</v>
      </c>
      <c r="D6992" t="str">
        <f>"9781442664784"</f>
        <v>9781442664784</v>
      </c>
      <c r="E6992" t="s">
        <v>31435</v>
      </c>
      <c r="F6992" t="s">
        <v>31435</v>
      </c>
      <c r="G6992" s="1">
        <v>35431</v>
      </c>
      <c r="J6992" t="s">
        <v>34672</v>
      </c>
      <c r="K6992" t="s">
        <v>263</v>
      </c>
      <c r="L6992" t="s">
        <v>34673</v>
      </c>
      <c r="M6992">
        <v>306.09717999999901</v>
      </c>
      <c r="O6992" t="s">
        <v>26</v>
      </c>
      <c r="Q6992">
        <v>91.25</v>
      </c>
      <c r="R6992">
        <v>73</v>
      </c>
      <c r="S6992">
        <v>109.5</v>
      </c>
      <c r="T6992" t="s">
        <v>34674</v>
      </c>
    </row>
    <row r="6993" spans="1:20">
      <c r="A6993">
        <v>4669704</v>
      </c>
      <c r="B6993" t="s">
        <v>34675</v>
      </c>
      <c r="C6993" t="str">
        <f>"9780802077004"</f>
        <v>9780802077004</v>
      </c>
      <c r="D6993" t="str">
        <f>"9781442664722"</f>
        <v>9781442664722</v>
      </c>
      <c r="E6993" t="s">
        <v>31435</v>
      </c>
      <c r="F6993" t="s">
        <v>31435</v>
      </c>
      <c r="G6993" s="1">
        <v>34053</v>
      </c>
      <c r="I6993" t="s">
        <v>31443</v>
      </c>
      <c r="J6993" t="s">
        <v>34676</v>
      </c>
      <c r="K6993" t="s">
        <v>263</v>
      </c>
      <c r="L6993" t="s">
        <v>34677</v>
      </c>
      <c r="M6993">
        <v>362.78410000000002</v>
      </c>
      <c r="O6993" t="s">
        <v>26</v>
      </c>
      <c r="Q6993">
        <v>59.94</v>
      </c>
      <c r="R6993">
        <v>47.95</v>
      </c>
      <c r="S6993">
        <v>71.930000000000007</v>
      </c>
      <c r="T6993" t="s">
        <v>34678</v>
      </c>
    </row>
    <row r="6994" spans="1:20">
      <c r="A6994">
        <v>4669705</v>
      </c>
      <c r="B6994" t="s">
        <v>34679</v>
      </c>
      <c r="C6994" t="str">
        <f>"9781442613102"</f>
        <v>9781442613102</v>
      </c>
      <c r="D6994" t="str">
        <f>"9781442664746"</f>
        <v>9781442664746</v>
      </c>
      <c r="E6994" t="s">
        <v>31435</v>
      </c>
      <c r="F6994" t="s">
        <v>31435</v>
      </c>
      <c r="G6994" s="1">
        <v>29036</v>
      </c>
      <c r="J6994" t="s">
        <v>18937</v>
      </c>
      <c r="K6994" t="s">
        <v>291</v>
      </c>
      <c r="L6994" t="s">
        <v>34680</v>
      </c>
      <c r="M6994" t="s">
        <v>34681</v>
      </c>
      <c r="O6994" t="s">
        <v>26</v>
      </c>
      <c r="Q6994">
        <v>59.94</v>
      </c>
      <c r="R6994">
        <v>47.95</v>
      </c>
      <c r="S6994">
        <v>71.930000000000007</v>
      </c>
      <c r="T6994" t="s">
        <v>34682</v>
      </c>
    </row>
    <row r="6995" spans="1:20">
      <c r="A6995">
        <v>4669706</v>
      </c>
      <c r="B6995" t="s">
        <v>34683</v>
      </c>
      <c r="C6995" t="str">
        <f>"9780802004505"</f>
        <v>9780802004505</v>
      </c>
      <c r="D6995" t="str">
        <f>"9781442664845"</f>
        <v>9781442664845</v>
      </c>
      <c r="E6995" t="s">
        <v>31435</v>
      </c>
      <c r="F6995" t="s">
        <v>31435</v>
      </c>
      <c r="G6995" s="1">
        <v>35446</v>
      </c>
      <c r="J6995" t="s">
        <v>34684</v>
      </c>
      <c r="K6995" t="s">
        <v>2260</v>
      </c>
      <c r="L6995" t="s">
        <v>34685</v>
      </c>
      <c r="M6995" t="s">
        <v>34686</v>
      </c>
      <c r="O6995" t="s">
        <v>26</v>
      </c>
      <c r="Q6995">
        <v>102.5</v>
      </c>
      <c r="R6995">
        <v>82</v>
      </c>
      <c r="S6995">
        <v>123</v>
      </c>
      <c r="T6995" t="s">
        <v>34687</v>
      </c>
    </row>
    <row r="6996" spans="1:20">
      <c r="A6996">
        <v>4669707</v>
      </c>
      <c r="B6996" t="s">
        <v>34688</v>
      </c>
      <c r="C6996" t="str">
        <f>"9780802068101"</f>
        <v>9780802068101</v>
      </c>
      <c r="D6996" t="str">
        <f>"9781442664807"</f>
        <v>9781442664807</v>
      </c>
      <c r="E6996" t="s">
        <v>31435</v>
      </c>
      <c r="F6996" t="s">
        <v>31435</v>
      </c>
      <c r="G6996" s="1">
        <v>32874</v>
      </c>
      <c r="J6996" t="s">
        <v>34689</v>
      </c>
      <c r="K6996" t="s">
        <v>263</v>
      </c>
      <c r="L6996" t="s">
        <v>34690</v>
      </c>
      <c r="M6996">
        <v>302.23</v>
      </c>
      <c r="O6996" t="s">
        <v>26</v>
      </c>
      <c r="Q6996">
        <v>59.94</v>
      </c>
      <c r="R6996">
        <v>47.95</v>
      </c>
      <c r="S6996">
        <v>71.930000000000007</v>
      </c>
      <c r="T6996" t="s">
        <v>34691</v>
      </c>
    </row>
    <row r="6997" spans="1:20">
      <c r="A6997">
        <v>4669708</v>
      </c>
      <c r="B6997" t="s">
        <v>34692</v>
      </c>
      <c r="C6997" t="str">
        <f>"9780802069535"</f>
        <v>9780802069535</v>
      </c>
      <c r="D6997" t="str">
        <f>"9781442664852"</f>
        <v>9781442664852</v>
      </c>
      <c r="E6997" t="s">
        <v>31435</v>
      </c>
      <c r="F6997" t="s">
        <v>31435</v>
      </c>
      <c r="G6997" s="1">
        <v>34700</v>
      </c>
      <c r="I6997" t="s">
        <v>34693</v>
      </c>
      <c r="K6997" t="s">
        <v>416</v>
      </c>
      <c r="L6997" t="s">
        <v>34694</v>
      </c>
      <c r="M6997" t="s">
        <v>34695</v>
      </c>
      <c r="O6997" t="s">
        <v>26</v>
      </c>
      <c r="Q6997">
        <v>59.94</v>
      </c>
      <c r="R6997">
        <v>47.95</v>
      </c>
      <c r="S6997">
        <v>71.930000000000007</v>
      </c>
      <c r="T6997" t="s">
        <v>34696</v>
      </c>
    </row>
    <row r="6998" spans="1:20">
      <c r="A6998">
        <v>4669709</v>
      </c>
      <c r="B6998" t="s">
        <v>34697</v>
      </c>
      <c r="C6998" t="str">
        <f>"9781442642232"</f>
        <v>9781442642232</v>
      </c>
      <c r="D6998" t="str">
        <f>"9781442663619"</f>
        <v>9781442663619</v>
      </c>
      <c r="E6998" t="s">
        <v>31435</v>
      </c>
      <c r="F6998" t="s">
        <v>31435</v>
      </c>
      <c r="G6998" s="1">
        <v>40866</v>
      </c>
      <c r="I6998" t="s">
        <v>33775</v>
      </c>
      <c r="J6998" t="s">
        <v>34698</v>
      </c>
      <c r="K6998" t="s">
        <v>1464</v>
      </c>
      <c r="L6998" t="s">
        <v>34699</v>
      </c>
      <c r="M6998" t="s">
        <v>7053</v>
      </c>
      <c r="O6998" t="s">
        <v>26</v>
      </c>
      <c r="Q6998">
        <v>87.5</v>
      </c>
      <c r="R6998">
        <v>70</v>
      </c>
      <c r="S6998">
        <v>105</v>
      </c>
      <c r="T6998" t="s">
        <v>34700</v>
      </c>
    </row>
    <row r="6999" spans="1:20">
      <c r="A6999">
        <v>4669710</v>
      </c>
      <c r="B6999" t="s">
        <v>34701</v>
      </c>
      <c r="C6999" t="str">
        <f>"9780802080295"</f>
        <v>9780802080295</v>
      </c>
      <c r="D6999" t="str">
        <f>"9781442664838"</f>
        <v>9781442664838</v>
      </c>
      <c r="E6999" t="s">
        <v>31435</v>
      </c>
      <c r="F6999" t="s">
        <v>31435</v>
      </c>
      <c r="G6999" s="1">
        <v>35551</v>
      </c>
      <c r="J6999" t="s">
        <v>34702</v>
      </c>
      <c r="K6999" t="s">
        <v>4081</v>
      </c>
      <c r="L6999" t="s">
        <v>34703</v>
      </c>
      <c r="M6999" t="s">
        <v>34704</v>
      </c>
      <c r="N6999" t="s">
        <v>34705</v>
      </c>
      <c r="O6999" t="s">
        <v>26</v>
      </c>
      <c r="Q6999">
        <v>59.94</v>
      </c>
      <c r="R6999">
        <v>47.95</v>
      </c>
      <c r="S6999">
        <v>71.930000000000007</v>
      </c>
      <c r="T6999" t="s">
        <v>34706</v>
      </c>
    </row>
    <row r="7000" spans="1:20">
      <c r="A7000">
        <v>4669711</v>
      </c>
      <c r="B7000" t="s">
        <v>34707</v>
      </c>
      <c r="C7000" t="str">
        <f>"9780802081667"</f>
        <v>9780802081667</v>
      </c>
      <c r="D7000" t="str">
        <f>"9781442664791"</f>
        <v>9781442664791</v>
      </c>
      <c r="E7000" t="s">
        <v>31435</v>
      </c>
      <c r="F7000" t="s">
        <v>31435</v>
      </c>
      <c r="G7000" s="1">
        <v>35796</v>
      </c>
      <c r="J7000" t="s">
        <v>34708</v>
      </c>
      <c r="K7000" t="s">
        <v>263</v>
      </c>
      <c r="L7000" t="s">
        <v>34709</v>
      </c>
      <c r="M7000" t="s">
        <v>34710</v>
      </c>
      <c r="O7000" t="s">
        <v>26</v>
      </c>
      <c r="Q7000">
        <v>143.75</v>
      </c>
      <c r="R7000">
        <v>115</v>
      </c>
      <c r="S7000">
        <v>172.5</v>
      </c>
      <c r="T7000" t="s">
        <v>34711</v>
      </c>
    </row>
    <row r="7001" spans="1:20">
      <c r="A7001">
        <v>4669715</v>
      </c>
      <c r="B7001" t="s">
        <v>34712</v>
      </c>
      <c r="C7001" t="str">
        <f>"9781442613164"</f>
        <v>9781442613164</v>
      </c>
      <c r="D7001" t="str">
        <f>"9781442664814"</f>
        <v>9781442664814</v>
      </c>
      <c r="E7001" t="s">
        <v>31435</v>
      </c>
      <c r="F7001" t="s">
        <v>31435</v>
      </c>
      <c r="G7001" s="1">
        <v>28915</v>
      </c>
      <c r="J7001" t="s">
        <v>34713</v>
      </c>
      <c r="K7001" t="s">
        <v>305</v>
      </c>
      <c r="L7001" t="s">
        <v>34714</v>
      </c>
      <c r="M7001" t="s">
        <v>34715</v>
      </c>
      <c r="O7001" t="s">
        <v>26</v>
      </c>
      <c r="Q7001">
        <v>63.75</v>
      </c>
      <c r="R7001">
        <v>51</v>
      </c>
      <c r="S7001">
        <v>76.5</v>
      </c>
      <c r="T7001" t="s">
        <v>34716</v>
      </c>
    </row>
    <row r="7002" spans="1:20">
      <c r="A7002">
        <v>4669720</v>
      </c>
      <c r="B7002" t="s">
        <v>34717</v>
      </c>
      <c r="C7002" t="str">
        <f>"9780802064226"</f>
        <v>9780802064226</v>
      </c>
      <c r="D7002" t="str">
        <f>"9781442664708"</f>
        <v>9781442664708</v>
      </c>
      <c r="E7002" t="s">
        <v>31435</v>
      </c>
      <c r="F7002" t="s">
        <v>31435</v>
      </c>
      <c r="G7002" s="1">
        <v>29221</v>
      </c>
      <c r="I7002" t="s">
        <v>31443</v>
      </c>
      <c r="J7002" t="s">
        <v>34718</v>
      </c>
      <c r="K7002" t="s">
        <v>1892</v>
      </c>
      <c r="L7002" t="s">
        <v>34719</v>
      </c>
      <c r="M7002" t="s">
        <v>34720</v>
      </c>
      <c r="O7002" t="s">
        <v>26</v>
      </c>
      <c r="Q7002">
        <v>59.94</v>
      </c>
      <c r="R7002">
        <v>47.95</v>
      </c>
      <c r="S7002">
        <v>71.930000000000007</v>
      </c>
      <c r="T7002" t="s">
        <v>34721</v>
      </c>
    </row>
    <row r="7003" spans="1:20">
      <c r="A7003">
        <v>4669721</v>
      </c>
      <c r="B7003" t="s">
        <v>34722</v>
      </c>
      <c r="C7003" t="str">
        <f>"9780802081711"</f>
        <v>9780802081711</v>
      </c>
      <c r="D7003" t="str">
        <f>"9781442664623"</f>
        <v>9781442664623</v>
      </c>
      <c r="E7003" t="s">
        <v>31435</v>
      </c>
      <c r="F7003" t="s">
        <v>31435</v>
      </c>
      <c r="G7003" s="1">
        <v>35796</v>
      </c>
      <c r="I7003" t="s">
        <v>31443</v>
      </c>
      <c r="J7003" t="s">
        <v>34723</v>
      </c>
      <c r="K7003" t="s">
        <v>291</v>
      </c>
      <c r="L7003" t="s">
        <v>34724</v>
      </c>
      <c r="M7003" t="s">
        <v>34725</v>
      </c>
      <c r="O7003" t="s">
        <v>26</v>
      </c>
      <c r="Q7003">
        <v>123.75</v>
      </c>
      <c r="R7003">
        <v>99</v>
      </c>
      <c r="S7003">
        <v>148.5</v>
      </c>
      <c r="T7003" t="s">
        <v>34726</v>
      </c>
    </row>
    <row r="7004" spans="1:20">
      <c r="A7004">
        <v>4669723</v>
      </c>
      <c r="B7004" t="s">
        <v>34727</v>
      </c>
      <c r="C7004" t="str">
        <f>"9780802062109"</f>
        <v>9780802062109</v>
      </c>
      <c r="D7004" t="str">
        <f>"9781442664593"</f>
        <v>9781442664593</v>
      </c>
      <c r="E7004" t="s">
        <v>31435</v>
      </c>
      <c r="F7004" t="s">
        <v>31435</v>
      </c>
      <c r="G7004" s="1">
        <v>25659</v>
      </c>
      <c r="J7004" t="s">
        <v>34713</v>
      </c>
      <c r="K7004" t="s">
        <v>305</v>
      </c>
      <c r="L7004" t="s">
        <v>34728</v>
      </c>
      <c r="M7004" t="s">
        <v>23971</v>
      </c>
      <c r="O7004" t="s">
        <v>26</v>
      </c>
      <c r="Q7004">
        <v>61.19</v>
      </c>
      <c r="R7004">
        <v>48.95</v>
      </c>
      <c r="S7004">
        <v>73.430000000000007</v>
      </c>
      <c r="T7004" t="s">
        <v>34729</v>
      </c>
    </row>
    <row r="7005" spans="1:20">
      <c r="A7005">
        <v>4669724</v>
      </c>
      <c r="B7005" t="s">
        <v>34730</v>
      </c>
      <c r="C7005" t="str">
        <f>"9780802066411"</f>
        <v>9780802066411</v>
      </c>
      <c r="D7005" t="str">
        <f>"9781442664630"</f>
        <v>9781442664630</v>
      </c>
      <c r="E7005" t="s">
        <v>31435</v>
      </c>
      <c r="F7005" t="s">
        <v>31435</v>
      </c>
      <c r="G7005" s="1">
        <v>31717</v>
      </c>
      <c r="J7005" t="s">
        <v>34731</v>
      </c>
      <c r="K7005" t="s">
        <v>4081</v>
      </c>
      <c r="L7005" t="s">
        <v>34732</v>
      </c>
      <c r="M7005">
        <v>458.64210000000003</v>
      </c>
      <c r="O7005" t="s">
        <v>26</v>
      </c>
      <c r="Q7005">
        <v>59.94</v>
      </c>
      <c r="R7005">
        <v>47.95</v>
      </c>
      <c r="S7005">
        <v>71.930000000000007</v>
      </c>
      <c r="T7005" t="s">
        <v>34733</v>
      </c>
    </row>
    <row r="7006" spans="1:20">
      <c r="A7006">
        <v>4669726</v>
      </c>
      <c r="B7006" t="s">
        <v>34734</v>
      </c>
      <c r="C7006" t="str">
        <f>"9780802084767"</f>
        <v>9780802084767</v>
      </c>
      <c r="D7006" t="str">
        <f>"9781442664685"</f>
        <v>9781442664685</v>
      </c>
      <c r="E7006" t="s">
        <v>31435</v>
      </c>
      <c r="F7006" t="s">
        <v>31435</v>
      </c>
      <c r="G7006" s="1">
        <v>37212</v>
      </c>
      <c r="I7006" t="s">
        <v>31443</v>
      </c>
      <c r="J7006" t="s">
        <v>34735</v>
      </c>
      <c r="K7006" t="s">
        <v>34736</v>
      </c>
      <c r="L7006" t="s">
        <v>34737</v>
      </c>
      <c r="M7006" t="s">
        <v>34738</v>
      </c>
      <c r="N7006" t="s">
        <v>34739</v>
      </c>
      <c r="O7006" t="s">
        <v>26</v>
      </c>
      <c r="Q7006">
        <v>59.94</v>
      </c>
      <c r="R7006">
        <v>47.95</v>
      </c>
      <c r="S7006">
        <v>71.930000000000007</v>
      </c>
      <c r="T7006" t="s">
        <v>34740</v>
      </c>
    </row>
    <row r="7007" spans="1:20">
      <c r="A7007">
        <v>4669728</v>
      </c>
      <c r="B7007" t="s">
        <v>34741</v>
      </c>
      <c r="C7007" t="str">
        <f>"9780802071552"</f>
        <v>9780802071552</v>
      </c>
      <c r="D7007" t="str">
        <f>"9781442664678"</f>
        <v>9781442664678</v>
      </c>
      <c r="E7007" t="s">
        <v>31435</v>
      </c>
      <c r="F7007" t="s">
        <v>31435</v>
      </c>
      <c r="G7007" s="1">
        <v>35318</v>
      </c>
      <c r="I7007" t="s">
        <v>31443</v>
      </c>
      <c r="J7007" t="s">
        <v>34742</v>
      </c>
      <c r="K7007" t="s">
        <v>1464</v>
      </c>
      <c r="L7007" t="s">
        <v>34743</v>
      </c>
      <c r="M7007" t="s">
        <v>34744</v>
      </c>
      <c r="O7007" t="s">
        <v>26</v>
      </c>
      <c r="Q7007">
        <v>96.25</v>
      </c>
      <c r="R7007">
        <v>77</v>
      </c>
      <c r="S7007">
        <v>115.5</v>
      </c>
      <c r="T7007" t="s">
        <v>34745</v>
      </c>
    </row>
    <row r="7008" spans="1:20">
      <c r="A7008">
        <v>4669732</v>
      </c>
      <c r="B7008" t="s">
        <v>34746</v>
      </c>
      <c r="C7008" t="str">
        <f>"9780802092663"</f>
        <v>9780802092663</v>
      </c>
      <c r="D7008" t="str">
        <f>"9781442662698"</f>
        <v>9781442662698</v>
      </c>
      <c r="E7008" t="s">
        <v>31435</v>
      </c>
      <c r="F7008" t="s">
        <v>31435</v>
      </c>
      <c r="G7008" s="1">
        <v>41773</v>
      </c>
      <c r="H7008">
        <v>2</v>
      </c>
      <c r="I7008" t="s">
        <v>34747</v>
      </c>
      <c r="J7008" t="s">
        <v>34748</v>
      </c>
      <c r="K7008" t="s">
        <v>1892</v>
      </c>
      <c r="M7008">
        <v>227.107</v>
      </c>
      <c r="O7008" t="s">
        <v>26</v>
      </c>
      <c r="Q7008">
        <v>96.25</v>
      </c>
      <c r="R7008">
        <v>77</v>
      </c>
      <c r="S7008">
        <v>115.5</v>
      </c>
      <c r="T7008" t="s">
        <v>34749</v>
      </c>
    </row>
    <row r="7009" spans="1:20">
      <c r="A7009">
        <v>4669748</v>
      </c>
      <c r="B7009" t="s">
        <v>34750</v>
      </c>
      <c r="C7009" t="str">
        <f>"9781442610019"</f>
        <v>9781442610019</v>
      </c>
      <c r="D7009" t="str">
        <f>"9781442661912"</f>
        <v>9781442661912</v>
      </c>
      <c r="E7009" t="s">
        <v>31435</v>
      </c>
      <c r="F7009" t="s">
        <v>31435</v>
      </c>
      <c r="G7009" s="1">
        <v>40670</v>
      </c>
      <c r="J7009" t="s">
        <v>34751</v>
      </c>
      <c r="K7009" t="s">
        <v>263</v>
      </c>
      <c r="L7009" t="s">
        <v>34752</v>
      </c>
      <c r="M7009">
        <v>307.34160900000001</v>
      </c>
      <c r="N7009" t="s">
        <v>34753</v>
      </c>
      <c r="O7009" t="s">
        <v>26</v>
      </c>
      <c r="Q7009">
        <v>118.75</v>
      </c>
      <c r="R7009">
        <v>95</v>
      </c>
      <c r="S7009">
        <v>142.5</v>
      </c>
      <c r="T7009" t="s">
        <v>34754</v>
      </c>
    </row>
    <row r="7010" spans="1:20">
      <c r="A7010">
        <v>4669752</v>
      </c>
      <c r="B7010" t="s">
        <v>34755</v>
      </c>
      <c r="C7010" t="str">
        <f>"9781442645226"</f>
        <v>9781442645226</v>
      </c>
      <c r="D7010" t="str">
        <f>"9781442662087"</f>
        <v>9781442662087</v>
      </c>
      <c r="E7010" t="s">
        <v>31435</v>
      </c>
      <c r="F7010" t="s">
        <v>31435</v>
      </c>
      <c r="G7010" s="1">
        <v>41089</v>
      </c>
      <c r="I7010" t="s">
        <v>34756</v>
      </c>
      <c r="J7010" t="s">
        <v>34757</v>
      </c>
      <c r="K7010" t="s">
        <v>1464</v>
      </c>
      <c r="L7010" t="s">
        <v>34758</v>
      </c>
      <c r="M7010">
        <v>801.95092399999896</v>
      </c>
      <c r="O7010" t="s">
        <v>26</v>
      </c>
      <c r="Q7010">
        <v>191.25</v>
      </c>
      <c r="R7010">
        <v>153</v>
      </c>
      <c r="S7010">
        <v>229.5</v>
      </c>
      <c r="T7010" t="s">
        <v>34759</v>
      </c>
    </row>
    <row r="7011" spans="1:20">
      <c r="A7011">
        <v>4669755</v>
      </c>
      <c r="B7011" t="s">
        <v>34760</v>
      </c>
      <c r="C7011" t="str">
        <f>"9780802096999"</f>
        <v>9780802096999</v>
      </c>
      <c r="D7011" t="str">
        <f>"9781442660342"</f>
        <v>9781442660342</v>
      </c>
      <c r="E7011" t="s">
        <v>31435</v>
      </c>
      <c r="F7011" t="s">
        <v>31435</v>
      </c>
      <c r="G7011" s="1">
        <v>41773</v>
      </c>
      <c r="J7011" t="s">
        <v>34761</v>
      </c>
      <c r="K7011" t="s">
        <v>467</v>
      </c>
      <c r="L7011" t="s">
        <v>34762</v>
      </c>
      <c r="M7011">
        <v>323.09710000000001</v>
      </c>
      <c r="O7011" t="s">
        <v>26</v>
      </c>
      <c r="Q7011">
        <v>96.25</v>
      </c>
      <c r="R7011">
        <v>77</v>
      </c>
      <c r="S7011">
        <v>115.5</v>
      </c>
      <c r="T7011" t="s">
        <v>34763</v>
      </c>
    </row>
    <row r="7012" spans="1:20">
      <c r="A7012">
        <v>4669756</v>
      </c>
      <c r="B7012" t="s">
        <v>34764</v>
      </c>
      <c r="C7012" t="str">
        <f>"9780802098641"</f>
        <v>9780802098641</v>
      </c>
      <c r="D7012" t="str">
        <f>"9781442660397"</f>
        <v>9781442660397</v>
      </c>
      <c r="E7012" t="s">
        <v>31435</v>
      </c>
      <c r="F7012" t="s">
        <v>31435</v>
      </c>
      <c r="G7012" s="1">
        <v>41773</v>
      </c>
      <c r="I7012" t="s">
        <v>34765</v>
      </c>
      <c r="J7012" t="s">
        <v>34766</v>
      </c>
      <c r="K7012" t="s">
        <v>416</v>
      </c>
      <c r="M7012">
        <v>339</v>
      </c>
      <c r="O7012" t="s">
        <v>26</v>
      </c>
      <c r="Q7012">
        <v>103.75</v>
      </c>
      <c r="R7012">
        <v>83</v>
      </c>
      <c r="S7012">
        <v>124.5</v>
      </c>
      <c r="T7012" t="s">
        <v>34767</v>
      </c>
    </row>
    <row r="7013" spans="1:20">
      <c r="A7013">
        <v>4669768</v>
      </c>
      <c r="B7013" t="s">
        <v>34768</v>
      </c>
      <c r="C7013" t="str">
        <f>"9781442612778"</f>
        <v>9781442612778</v>
      </c>
      <c r="D7013" t="str">
        <f>"9781442661240"</f>
        <v>9781442661240</v>
      </c>
      <c r="E7013" t="s">
        <v>31435</v>
      </c>
      <c r="F7013" t="s">
        <v>31435</v>
      </c>
      <c r="G7013" s="1">
        <v>41773</v>
      </c>
      <c r="J7013" t="s">
        <v>34769</v>
      </c>
      <c r="K7013" t="s">
        <v>467</v>
      </c>
      <c r="M7013">
        <v>327</v>
      </c>
      <c r="O7013" t="s">
        <v>26</v>
      </c>
      <c r="Q7013">
        <v>116.25</v>
      </c>
      <c r="R7013">
        <v>93</v>
      </c>
      <c r="S7013">
        <v>139.5</v>
      </c>
      <c r="T7013" t="s">
        <v>34770</v>
      </c>
    </row>
    <row r="7014" spans="1:20">
      <c r="A7014">
        <v>4669788</v>
      </c>
      <c r="B7014" t="s">
        <v>34771</v>
      </c>
      <c r="C7014" t="str">
        <f>"9781442629677"</f>
        <v>9781442629677</v>
      </c>
      <c r="D7014" t="str">
        <f>"9781442629684"</f>
        <v>9781442629684</v>
      </c>
      <c r="E7014" t="s">
        <v>31435</v>
      </c>
      <c r="F7014" t="s">
        <v>31435</v>
      </c>
      <c r="G7014" s="1">
        <v>42175</v>
      </c>
      <c r="I7014" t="s">
        <v>33899</v>
      </c>
      <c r="J7014" t="s">
        <v>34772</v>
      </c>
      <c r="O7014" t="s">
        <v>26</v>
      </c>
      <c r="Q7014">
        <v>93.75</v>
      </c>
      <c r="R7014">
        <v>75</v>
      </c>
      <c r="S7014">
        <v>112.5</v>
      </c>
      <c r="T7014" t="s">
        <v>34773</v>
      </c>
    </row>
    <row r="7015" spans="1:20">
      <c r="A7015">
        <v>4669795</v>
      </c>
      <c r="B7015" t="s">
        <v>34774</v>
      </c>
      <c r="C7015" t="str">
        <f>"9781442649033"</f>
        <v>9781442649033</v>
      </c>
      <c r="D7015" t="str">
        <f>"9781442619289"</f>
        <v>9781442619289</v>
      </c>
      <c r="E7015" t="s">
        <v>31435</v>
      </c>
      <c r="F7015" t="s">
        <v>31435</v>
      </c>
      <c r="G7015" s="1">
        <v>42059</v>
      </c>
      <c r="J7015" t="s">
        <v>34775</v>
      </c>
      <c r="K7015" t="s">
        <v>1464</v>
      </c>
      <c r="M7015">
        <v>823.0093554</v>
      </c>
      <c r="N7015" t="s">
        <v>34776</v>
      </c>
      <c r="O7015" t="s">
        <v>26</v>
      </c>
      <c r="Q7015">
        <v>87.5</v>
      </c>
      <c r="R7015">
        <v>70</v>
      </c>
      <c r="S7015">
        <v>105</v>
      </c>
      <c r="T7015" t="s">
        <v>34777</v>
      </c>
    </row>
    <row r="7016" spans="1:20">
      <c r="A7016">
        <v>4669797</v>
      </c>
      <c r="B7016" t="s">
        <v>34778</v>
      </c>
      <c r="C7016" t="str">
        <f>"9781442649217"</f>
        <v>9781442649217</v>
      </c>
      <c r="D7016" t="str">
        <f>"9781442619722"</f>
        <v>9781442619722</v>
      </c>
      <c r="E7016" t="s">
        <v>31435</v>
      </c>
      <c r="F7016" t="s">
        <v>31435</v>
      </c>
      <c r="G7016" s="1">
        <v>42005</v>
      </c>
      <c r="I7016" t="s">
        <v>34779</v>
      </c>
      <c r="J7016" t="s">
        <v>34780</v>
      </c>
      <c r="O7016" t="s">
        <v>26</v>
      </c>
      <c r="Q7016">
        <v>93.75</v>
      </c>
      <c r="R7016">
        <v>75</v>
      </c>
      <c r="S7016">
        <v>112.5</v>
      </c>
      <c r="T7016" t="s">
        <v>34781</v>
      </c>
    </row>
    <row r="7017" spans="1:20">
      <c r="A7017">
        <v>4669804</v>
      </c>
      <c r="B7017" t="s">
        <v>34782</v>
      </c>
      <c r="C7017" t="str">
        <f>"9781442649675"</f>
        <v>9781442649675</v>
      </c>
      <c r="D7017" t="str">
        <f>"9781442621190"</f>
        <v>9781442621190</v>
      </c>
      <c r="E7017" t="s">
        <v>31435</v>
      </c>
      <c r="F7017" t="s">
        <v>31435</v>
      </c>
      <c r="G7017" s="1">
        <v>42005</v>
      </c>
      <c r="I7017" t="s">
        <v>33775</v>
      </c>
      <c r="J7017" t="s">
        <v>34783</v>
      </c>
      <c r="O7017" t="s">
        <v>26</v>
      </c>
      <c r="Q7017">
        <v>62.5</v>
      </c>
      <c r="R7017">
        <v>50</v>
      </c>
      <c r="S7017">
        <v>75</v>
      </c>
      <c r="T7017" t="s">
        <v>34784</v>
      </c>
    </row>
    <row r="7018" spans="1:20">
      <c r="A7018">
        <v>4669806</v>
      </c>
      <c r="B7018" t="s">
        <v>34785</v>
      </c>
      <c r="C7018" t="str">
        <f>"9781442648425"</f>
        <v>9781442648425</v>
      </c>
      <c r="D7018" t="str">
        <f>"9781442616936"</f>
        <v>9781442616936</v>
      </c>
      <c r="E7018" t="s">
        <v>31435</v>
      </c>
      <c r="F7018" t="s">
        <v>31435</v>
      </c>
      <c r="G7018" s="1">
        <v>42005</v>
      </c>
      <c r="J7018" t="s">
        <v>34786</v>
      </c>
      <c r="O7018" t="s">
        <v>26</v>
      </c>
      <c r="Q7018">
        <v>93.75</v>
      </c>
      <c r="R7018">
        <v>75</v>
      </c>
      <c r="S7018">
        <v>112.5</v>
      </c>
      <c r="T7018" t="s">
        <v>34787</v>
      </c>
    </row>
    <row r="7019" spans="1:20">
      <c r="A7019">
        <v>4669811</v>
      </c>
      <c r="B7019" t="s">
        <v>34788</v>
      </c>
      <c r="C7019" t="str">
        <f>"9781442645790"</f>
        <v>9781442645790</v>
      </c>
      <c r="D7019" t="str">
        <f>"9781442663657"</f>
        <v>9781442663657</v>
      </c>
      <c r="E7019" t="s">
        <v>31435</v>
      </c>
      <c r="F7019" t="s">
        <v>31435</v>
      </c>
      <c r="G7019" s="1">
        <v>41275</v>
      </c>
      <c r="H7019">
        <v>3</v>
      </c>
      <c r="I7019" t="s">
        <v>33762</v>
      </c>
      <c r="J7019" t="s">
        <v>34789</v>
      </c>
      <c r="K7019" t="s">
        <v>1464</v>
      </c>
      <c r="L7019" t="s">
        <v>34790</v>
      </c>
      <c r="M7019" t="s">
        <v>34791</v>
      </c>
      <c r="O7019" t="s">
        <v>26</v>
      </c>
      <c r="Q7019">
        <v>108.75</v>
      </c>
      <c r="R7019">
        <v>87</v>
      </c>
      <c r="S7019">
        <v>130.5</v>
      </c>
      <c r="T7019" t="s">
        <v>34792</v>
      </c>
    </row>
    <row r="7020" spans="1:20">
      <c r="A7020">
        <v>4669819</v>
      </c>
      <c r="B7020" t="s">
        <v>34793</v>
      </c>
      <c r="C7020" t="str">
        <f>"9781442647497"</f>
        <v>9781442647497</v>
      </c>
      <c r="D7020" t="str">
        <f>"9781442668331"</f>
        <v>9781442668331</v>
      </c>
      <c r="E7020" t="s">
        <v>31435</v>
      </c>
      <c r="F7020" t="s">
        <v>31435</v>
      </c>
      <c r="G7020" s="1">
        <v>42079</v>
      </c>
      <c r="J7020" t="s">
        <v>34794</v>
      </c>
      <c r="K7020" t="s">
        <v>1859</v>
      </c>
      <c r="M7020">
        <v>199.49199999999999</v>
      </c>
      <c r="O7020" t="s">
        <v>26</v>
      </c>
      <c r="Q7020">
        <v>218.75</v>
      </c>
      <c r="R7020">
        <v>175</v>
      </c>
      <c r="S7020">
        <v>262.5</v>
      </c>
      <c r="T7020" t="s">
        <v>34795</v>
      </c>
    </row>
    <row r="7021" spans="1:20">
      <c r="A7021">
        <v>4669824</v>
      </c>
      <c r="B7021" t="s">
        <v>34796</v>
      </c>
      <c r="C7021" t="str">
        <f>"9781442650107"</f>
        <v>9781442650107</v>
      </c>
      <c r="D7021" t="str">
        <f>"9781442622227"</f>
        <v>9781442622227</v>
      </c>
      <c r="E7021" t="s">
        <v>31435</v>
      </c>
      <c r="F7021" t="s">
        <v>31435</v>
      </c>
      <c r="G7021" s="1">
        <v>42005</v>
      </c>
      <c r="I7021" t="s">
        <v>34797</v>
      </c>
      <c r="J7021" t="s">
        <v>34798</v>
      </c>
      <c r="K7021" t="s">
        <v>1892</v>
      </c>
      <c r="M7021">
        <v>251</v>
      </c>
      <c r="O7021" t="s">
        <v>26</v>
      </c>
      <c r="Q7021">
        <v>56.25</v>
      </c>
      <c r="R7021">
        <v>45</v>
      </c>
      <c r="S7021">
        <v>67.5</v>
      </c>
      <c r="T7021" t="s">
        <v>34799</v>
      </c>
    </row>
    <row r="7022" spans="1:20">
      <c r="A7022">
        <v>4669826</v>
      </c>
      <c r="B7022" t="s">
        <v>34800</v>
      </c>
      <c r="C7022" t="str">
        <f>"9781442649026"</f>
        <v>9781442649026</v>
      </c>
      <c r="D7022" t="str">
        <f>"9781442619265"</f>
        <v>9781442619265</v>
      </c>
      <c r="E7022" t="s">
        <v>31435</v>
      </c>
      <c r="F7022" t="s">
        <v>31435</v>
      </c>
      <c r="G7022" s="1">
        <v>42103</v>
      </c>
      <c r="I7022" t="s">
        <v>34779</v>
      </c>
      <c r="J7022" t="s">
        <v>34801</v>
      </c>
      <c r="O7022" t="s">
        <v>26</v>
      </c>
      <c r="Q7022">
        <v>81.25</v>
      </c>
      <c r="R7022">
        <v>65</v>
      </c>
      <c r="S7022">
        <v>97.5</v>
      </c>
      <c r="T7022" t="s">
        <v>34802</v>
      </c>
    </row>
    <row r="7023" spans="1:20">
      <c r="A7023">
        <v>4669829</v>
      </c>
      <c r="B7023" t="s">
        <v>34803</v>
      </c>
      <c r="C7023" t="str">
        <f>"9781442648807"</f>
        <v>9781442648807</v>
      </c>
      <c r="D7023" t="str">
        <f>"9781442617711"</f>
        <v>9781442617711</v>
      </c>
      <c r="E7023" t="s">
        <v>31435</v>
      </c>
      <c r="F7023" t="s">
        <v>31435</v>
      </c>
      <c r="G7023" s="1">
        <v>42005</v>
      </c>
      <c r="J7023" t="s">
        <v>34804</v>
      </c>
      <c r="O7023" t="s">
        <v>26</v>
      </c>
      <c r="Q7023">
        <v>81.25</v>
      </c>
      <c r="R7023">
        <v>65</v>
      </c>
      <c r="S7023">
        <v>97.5</v>
      </c>
      <c r="T7023" t="s">
        <v>34805</v>
      </c>
    </row>
    <row r="7024" spans="1:20">
      <c r="A7024">
        <v>4669835</v>
      </c>
      <c r="B7024" t="s">
        <v>34806</v>
      </c>
      <c r="C7024" t="str">
        <f>"9781442614536"</f>
        <v>9781442614536</v>
      </c>
      <c r="D7024" t="str">
        <f>"9781442666207"</f>
        <v>9781442666207</v>
      </c>
      <c r="E7024" t="s">
        <v>31435</v>
      </c>
      <c r="F7024" t="s">
        <v>31435</v>
      </c>
      <c r="G7024" s="1">
        <v>42005</v>
      </c>
      <c r="J7024" t="s">
        <v>34807</v>
      </c>
      <c r="K7024" t="s">
        <v>278</v>
      </c>
      <c r="M7024">
        <v>338.47669999999999</v>
      </c>
      <c r="O7024" t="s">
        <v>26</v>
      </c>
      <c r="Q7024">
        <v>100</v>
      </c>
      <c r="R7024">
        <v>80</v>
      </c>
      <c r="S7024">
        <v>120</v>
      </c>
      <c r="T7024" t="s">
        <v>34808</v>
      </c>
    </row>
    <row r="7025" spans="1:20">
      <c r="A7025">
        <v>4669850</v>
      </c>
      <c r="B7025" t="s">
        <v>34809</v>
      </c>
      <c r="C7025" t="str">
        <f>"9781442648241"</f>
        <v>9781442648241</v>
      </c>
      <c r="D7025" t="str">
        <f>"9781442616431"</f>
        <v>9781442616431</v>
      </c>
      <c r="E7025" t="s">
        <v>31435</v>
      </c>
      <c r="F7025" t="s">
        <v>31435</v>
      </c>
      <c r="G7025" s="1">
        <v>41769</v>
      </c>
      <c r="J7025" t="s">
        <v>34810</v>
      </c>
      <c r="K7025" t="s">
        <v>1464</v>
      </c>
      <c r="L7025" t="s">
        <v>34811</v>
      </c>
      <c r="M7025">
        <v>853.1</v>
      </c>
      <c r="O7025" t="s">
        <v>26</v>
      </c>
      <c r="Q7025">
        <v>87.5</v>
      </c>
      <c r="R7025">
        <v>70</v>
      </c>
      <c r="S7025">
        <v>105</v>
      </c>
      <c r="T7025" t="s">
        <v>34812</v>
      </c>
    </row>
    <row r="7026" spans="1:20">
      <c r="A7026">
        <v>4669851</v>
      </c>
      <c r="B7026" t="s">
        <v>34813</v>
      </c>
      <c r="C7026" t="str">
        <f>"9781442647657"</f>
        <v>9781442647657</v>
      </c>
      <c r="D7026" t="str">
        <f>"9781442668836"</f>
        <v>9781442668836</v>
      </c>
      <c r="E7026" t="s">
        <v>31435</v>
      </c>
      <c r="F7026" t="s">
        <v>31435</v>
      </c>
      <c r="G7026" s="1">
        <v>41640</v>
      </c>
      <c r="J7026" t="s">
        <v>34814</v>
      </c>
      <c r="K7026" t="s">
        <v>10956</v>
      </c>
      <c r="L7026" t="s">
        <v>34815</v>
      </c>
      <c r="M7026" t="s">
        <v>34816</v>
      </c>
      <c r="O7026" t="s">
        <v>26</v>
      </c>
      <c r="Q7026">
        <v>81.25</v>
      </c>
      <c r="R7026">
        <v>65</v>
      </c>
      <c r="S7026">
        <v>97.5</v>
      </c>
      <c r="T7026" t="s">
        <v>34817</v>
      </c>
    </row>
    <row r="7027" spans="1:20">
      <c r="A7027">
        <v>4669875</v>
      </c>
      <c r="B7027" t="s">
        <v>34818</v>
      </c>
      <c r="C7027" t="str">
        <f>"9781442637184"</f>
        <v>9781442637184</v>
      </c>
      <c r="D7027" t="str">
        <f>"9781442624757"</f>
        <v>9781442624757</v>
      </c>
      <c r="E7027" t="s">
        <v>31435</v>
      </c>
      <c r="F7027" t="s">
        <v>31435</v>
      </c>
      <c r="G7027" s="1">
        <v>42398</v>
      </c>
      <c r="I7027" t="s">
        <v>33775</v>
      </c>
      <c r="J7027" t="s">
        <v>34819</v>
      </c>
      <c r="K7027" t="s">
        <v>291</v>
      </c>
      <c r="M7027">
        <v>945.07</v>
      </c>
      <c r="O7027" t="s">
        <v>26</v>
      </c>
      <c r="Q7027">
        <v>106.25</v>
      </c>
      <c r="R7027">
        <v>85</v>
      </c>
      <c r="S7027">
        <v>127.5</v>
      </c>
      <c r="T7027" t="s">
        <v>34820</v>
      </c>
    </row>
    <row r="7028" spans="1:20">
      <c r="A7028">
        <v>4669878</v>
      </c>
      <c r="B7028" t="s">
        <v>34821</v>
      </c>
      <c r="C7028" t="str">
        <f>"9780802098269"</f>
        <v>9780802098269</v>
      </c>
      <c r="D7028" t="str">
        <f>"9781442661936"</f>
        <v>9781442661936</v>
      </c>
      <c r="E7028" t="s">
        <v>31435</v>
      </c>
      <c r="F7028" t="s">
        <v>31435</v>
      </c>
      <c r="G7028" s="1">
        <v>40422</v>
      </c>
      <c r="J7028" t="s">
        <v>34822</v>
      </c>
      <c r="K7028" t="s">
        <v>2951</v>
      </c>
      <c r="L7028" t="s">
        <v>34823</v>
      </c>
      <c r="M7028">
        <v>306.44</v>
      </c>
      <c r="N7028" t="s">
        <v>34824</v>
      </c>
      <c r="O7028" t="s">
        <v>26</v>
      </c>
      <c r="Q7028">
        <v>83.75</v>
      </c>
      <c r="R7028">
        <v>67</v>
      </c>
      <c r="S7028">
        <v>100.5</v>
      </c>
      <c r="T7028" t="s">
        <v>34825</v>
      </c>
    </row>
    <row r="7029" spans="1:20">
      <c r="A7029">
        <v>4669893</v>
      </c>
      <c r="B7029" t="s">
        <v>34826</v>
      </c>
      <c r="C7029" t="str">
        <f>"9781442649453"</f>
        <v>9781442649453</v>
      </c>
      <c r="D7029" t="str">
        <f>"9781442620247"</f>
        <v>9781442620247</v>
      </c>
      <c r="E7029" t="s">
        <v>31435</v>
      </c>
      <c r="F7029" t="s">
        <v>31435</v>
      </c>
      <c r="G7029" s="1">
        <v>41976</v>
      </c>
      <c r="J7029" t="s">
        <v>34827</v>
      </c>
      <c r="K7029" t="s">
        <v>291</v>
      </c>
      <c r="M7029">
        <v>945.70699999999999</v>
      </c>
      <c r="O7029" t="s">
        <v>26</v>
      </c>
      <c r="Q7029">
        <v>93.75</v>
      </c>
      <c r="R7029">
        <v>75</v>
      </c>
      <c r="S7029">
        <v>112.5</v>
      </c>
      <c r="T7029" t="s">
        <v>34828</v>
      </c>
    </row>
    <row r="7030" spans="1:20">
      <c r="A7030">
        <v>4669897</v>
      </c>
      <c r="B7030" t="s">
        <v>34829</v>
      </c>
      <c r="C7030" t="str">
        <f>"9781442630864"</f>
        <v>9781442630864</v>
      </c>
      <c r="D7030" t="str">
        <f>"9781442630871"</f>
        <v>9781442630871</v>
      </c>
      <c r="E7030" t="s">
        <v>31435</v>
      </c>
      <c r="F7030" t="s">
        <v>31435</v>
      </c>
      <c r="G7030" s="1">
        <v>42343</v>
      </c>
      <c r="I7030" t="s">
        <v>34830</v>
      </c>
      <c r="J7030" t="s">
        <v>34831</v>
      </c>
      <c r="K7030" t="s">
        <v>467</v>
      </c>
      <c r="M7030">
        <v>320.971090511</v>
      </c>
      <c r="O7030" t="s">
        <v>26</v>
      </c>
      <c r="Q7030">
        <v>168.75</v>
      </c>
      <c r="R7030">
        <v>135</v>
      </c>
      <c r="S7030">
        <v>202.5</v>
      </c>
      <c r="T7030" t="s">
        <v>34832</v>
      </c>
    </row>
    <row r="7031" spans="1:20">
      <c r="A7031">
        <v>4669898</v>
      </c>
      <c r="B7031" t="s">
        <v>34833</v>
      </c>
      <c r="C7031" t="str">
        <f>"9781442647862"</f>
        <v>9781442647862</v>
      </c>
      <c r="D7031" t="str">
        <f>"9781442669390"</f>
        <v>9781442669390</v>
      </c>
      <c r="E7031" t="s">
        <v>31435</v>
      </c>
      <c r="F7031" t="s">
        <v>31435</v>
      </c>
      <c r="G7031" s="1">
        <v>41961</v>
      </c>
      <c r="J7031" t="s">
        <v>34834</v>
      </c>
      <c r="K7031" t="s">
        <v>291</v>
      </c>
      <c r="M7031">
        <v>941.06092000000001</v>
      </c>
      <c r="O7031" t="s">
        <v>26</v>
      </c>
      <c r="Q7031">
        <v>243.75</v>
      </c>
      <c r="R7031">
        <v>195</v>
      </c>
      <c r="S7031">
        <v>292.5</v>
      </c>
      <c r="T7031" t="s">
        <v>34835</v>
      </c>
    </row>
    <row r="7032" spans="1:20">
      <c r="A7032">
        <v>4669903</v>
      </c>
      <c r="B7032" t="s">
        <v>34836</v>
      </c>
      <c r="C7032" t="str">
        <f>"9781442650695"</f>
        <v>9781442650695</v>
      </c>
      <c r="D7032" t="str">
        <f>"9781442624375"</f>
        <v>9781442624375</v>
      </c>
      <c r="E7032" t="s">
        <v>31435</v>
      </c>
      <c r="F7032" t="s">
        <v>31435</v>
      </c>
      <c r="G7032" s="1">
        <v>42331</v>
      </c>
      <c r="I7032" t="s">
        <v>34779</v>
      </c>
      <c r="J7032" t="s">
        <v>34837</v>
      </c>
      <c r="K7032" t="s">
        <v>291</v>
      </c>
      <c r="M7032">
        <v>941.7</v>
      </c>
      <c r="O7032" t="s">
        <v>26</v>
      </c>
      <c r="Q7032">
        <v>81.25</v>
      </c>
      <c r="R7032">
        <v>65</v>
      </c>
      <c r="S7032">
        <v>97.5</v>
      </c>
      <c r="T7032" t="s">
        <v>34838</v>
      </c>
    </row>
    <row r="7033" spans="1:20">
      <c r="A7033">
        <v>4669905</v>
      </c>
      <c r="B7033" t="s">
        <v>34839</v>
      </c>
      <c r="C7033" t="str">
        <f>"9781442645066"</f>
        <v>9781442645066</v>
      </c>
      <c r="D7033" t="str">
        <f>"9781442622371"</f>
        <v>9781442622371</v>
      </c>
      <c r="E7033" t="s">
        <v>31435</v>
      </c>
      <c r="F7033" t="s">
        <v>31435</v>
      </c>
      <c r="G7033" s="1">
        <v>42094</v>
      </c>
      <c r="I7033" t="s">
        <v>34840</v>
      </c>
      <c r="J7033" t="s">
        <v>34841</v>
      </c>
      <c r="K7033" t="s">
        <v>291</v>
      </c>
      <c r="M7033">
        <v>947.06</v>
      </c>
      <c r="N7033" t="s">
        <v>34842</v>
      </c>
      <c r="O7033" t="s">
        <v>26</v>
      </c>
      <c r="Q7033">
        <v>112.5</v>
      </c>
      <c r="R7033">
        <v>90</v>
      </c>
      <c r="S7033">
        <v>135</v>
      </c>
      <c r="T7033" t="s">
        <v>34843</v>
      </c>
    </row>
    <row r="7034" spans="1:20">
      <c r="A7034">
        <v>4669910</v>
      </c>
      <c r="B7034" t="s">
        <v>34844</v>
      </c>
      <c r="C7034" t="str">
        <f>"9781442646421"</f>
        <v>9781442646421</v>
      </c>
      <c r="D7034" t="str">
        <f>"9781442665651"</f>
        <v>9781442665651</v>
      </c>
      <c r="E7034" t="s">
        <v>31435</v>
      </c>
      <c r="F7034" t="s">
        <v>31435</v>
      </c>
      <c r="G7034" s="1">
        <v>41680</v>
      </c>
      <c r="J7034" t="s">
        <v>34845</v>
      </c>
      <c r="K7034" t="s">
        <v>4081</v>
      </c>
      <c r="M7034" t="s">
        <v>34846</v>
      </c>
      <c r="O7034" t="s">
        <v>26</v>
      </c>
      <c r="Q7034">
        <v>93.75</v>
      </c>
      <c r="R7034">
        <v>75</v>
      </c>
      <c r="S7034">
        <v>112.5</v>
      </c>
      <c r="T7034" t="s">
        <v>34847</v>
      </c>
    </row>
    <row r="7035" spans="1:20">
      <c r="A7035">
        <v>4669919</v>
      </c>
      <c r="B7035" t="s">
        <v>34848</v>
      </c>
      <c r="C7035" t="str">
        <f>"9781442649194"</f>
        <v>9781442649194</v>
      </c>
      <c r="D7035" t="str">
        <f>"9781442619647"</f>
        <v>9781442619647</v>
      </c>
      <c r="E7035" t="s">
        <v>31435</v>
      </c>
      <c r="F7035" t="s">
        <v>31435</v>
      </c>
      <c r="G7035" s="1">
        <v>42005</v>
      </c>
      <c r="J7035" t="s">
        <v>34849</v>
      </c>
      <c r="O7035" t="s">
        <v>26</v>
      </c>
      <c r="Q7035">
        <v>68.75</v>
      </c>
      <c r="R7035">
        <v>55</v>
      </c>
      <c r="S7035">
        <v>82.5</v>
      </c>
      <c r="T7035" t="s">
        <v>34850</v>
      </c>
    </row>
    <row r="7036" spans="1:20">
      <c r="A7036">
        <v>4669920</v>
      </c>
      <c r="B7036" t="s">
        <v>34851</v>
      </c>
      <c r="C7036" t="str">
        <f>"9781442649286"</f>
        <v>9781442649286</v>
      </c>
      <c r="D7036" t="str">
        <f>"9781442619876"</f>
        <v>9781442619876</v>
      </c>
      <c r="E7036" t="s">
        <v>31435</v>
      </c>
      <c r="F7036" t="s">
        <v>31435</v>
      </c>
      <c r="G7036" s="1">
        <v>42005</v>
      </c>
      <c r="J7036" t="s">
        <v>34852</v>
      </c>
      <c r="O7036" t="s">
        <v>26</v>
      </c>
      <c r="Q7036">
        <v>87.5</v>
      </c>
      <c r="R7036">
        <v>70</v>
      </c>
      <c r="S7036">
        <v>105</v>
      </c>
      <c r="T7036" t="s">
        <v>34853</v>
      </c>
    </row>
    <row r="7037" spans="1:20">
      <c r="A7037">
        <v>4669921</v>
      </c>
      <c r="B7037" t="s">
        <v>34854</v>
      </c>
      <c r="C7037" t="str">
        <f>"9781442649446"</f>
        <v>9781442649446</v>
      </c>
      <c r="D7037" t="str">
        <f>"9781442620216"</f>
        <v>9781442620216</v>
      </c>
      <c r="E7037" t="s">
        <v>31435</v>
      </c>
      <c r="F7037" t="s">
        <v>31435</v>
      </c>
      <c r="G7037" s="1">
        <v>42005</v>
      </c>
      <c r="J7037" t="s">
        <v>34831</v>
      </c>
      <c r="O7037" t="s">
        <v>26</v>
      </c>
      <c r="Q7037">
        <v>156.25</v>
      </c>
      <c r="R7037">
        <v>125</v>
      </c>
      <c r="S7037">
        <v>187.5</v>
      </c>
      <c r="T7037" t="s">
        <v>34855</v>
      </c>
    </row>
    <row r="7038" spans="1:20">
      <c r="A7038">
        <v>4669930</v>
      </c>
      <c r="B7038" t="s">
        <v>34856</v>
      </c>
      <c r="C7038" t="str">
        <f>"9781442648555"</f>
        <v>9781442648555</v>
      </c>
      <c r="D7038" t="str">
        <f>"9781442617216"</f>
        <v>9781442617216</v>
      </c>
      <c r="E7038" t="s">
        <v>31435</v>
      </c>
      <c r="F7038" t="s">
        <v>31435</v>
      </c>
      <c r="G7038" s="1">
        <v>41773</v>
      </c>
      <c r="J7038" t="s">
        <v>34831</v>
      </c>
      <c r="K7038" t="s">
        <v>467</v>
      </c>
      <c r="M7038">
        <v>320.97000000000003</v>
      </c>
      <c r="O7038" t="s">
        <v>26</v>
      </c>
      <c r="Q7038">
        <v>156.25</v>
      </c>
      <c r="R7038">
        <v>125</v>
      </c>
      <c r="S7038">
        <v>187.5</v>
      </c>
      <c r="T7038" t="s">
        <v>34857</v>
      </c>
    </row>
    <row r="7039" spans="1:20">
      <c r="A7039">
        <v>4669931</v>
      </c>
      <c r="B7039" t="s">
        <v>34858</v>
      </c>
      <c r="C7039" t="str">
        <f>"9781442644694"</f>
        <v>9781442644694</v>
      </c>
      <c r="D7039" t="str">
        <f>"9781442661363"</f>
        <v>9781442661363</v>
      </c>
      <c r="E7039" t="s">
        <v>31435</v>
      </c>
      <c r="F7039" t="s">
        <v>31435</v>
      </c>
      <c r="G7039" s="1">
        <v>41640</v>
      </c>
      <c r="J7039" t="s">
        <v>34859</v>
      </c>
      <c r="K7039" t="s">
        <v>1464</v>
      </c>
      <c r="M7039" t="s">
        <v>34860</v>
      </c>
      <c r="O7039" t="s">
        <v>26</v>
      </c>
      <c r="Q7039">
        <v>81.25</v>
      </c>
      <c r="R7039">
        <v>65</v>
      </c>
      <c r="S7039">
        <v>97.5</v>
      </c>
      <c r="T7039" t="s">
        <v>34861</v>
      </c>
    </row>
    <row r="7040" spans="1:20">
      <c r="A7040">
        <v>4669935</v>
      </c>
      <c r="B7040" t="s">
        <v>34862</v>
      </c>
      <c r="C7040" t="str">
        <f>"9781442647183"</f>
        <v>9781442647183</v>
      </c>
      <c r="D7040" t="str">
        <f>"9781442667471"</f>
        <v>9781442667471</v>
      </c>
      <c r="E7040" t="s">
        <v>31435</v>
      </c>
      <c r="F7040" t="s">
        <v>31435</v>
      </c>
      <c r="G7040" s="1">
        <v>41640</v>
      </c>
      <c r="J7040" t="s">
        <v>34863</v>
      </c>
      <c r="K7040" t="s">
        <v>1464</v>
      </c>
      <c r="M7040" t="s">
        <v>34864</v>
      </c>
      <c r="O7040" t="s">
        <v>26</v>
      </c>
      <c r="Q7040">
        <v>81.25</v>
      </c>
      <c r="R7040">
        <v>65</v>
      </c>
      <c r="S7040">
        <v>97.5</v>
      </c>
      <c r="T7040" t="s">
        <v>34865</v>
      </c>
    </row>
    <row r="7041" spans="1:20">
      <c r="A7041">
        <v>4669939</v>
      </c>
      <c r="B7041" t="s">
        <v>34866</v>
      </c>
      <c r="C7041" t="str">
        <f>"9781442647022"</f>
        <v>9781442647022</v>
      </c>
      <c r="D7041" t="str">
        <f>"9781442667068"</f>
        <v>9781442667068</v>
      </c>
      <c r="E7041" t="s">
        <v>31435</v>
      </c>
      <c r="F7041" t="s">
        <v>31435</v>
      </c>
      <c r="G7041" s="1">
        <v>41640</v>
      </c>
      <c r="J7041" t="s">
        <v>34867</v>
      </c>
      <c r="K7041" t="s">
        <v>263</v>
      </c>
      <c r="M7041" t="s">
        <v>34868</v>
      </c>
      <c r="O7041" t="s">
        <v>26</v>
      </c>
      <c r="Q7041">
        <v>81.25</v>
      </c>
      <c r="R7041">
        <v>65</v>
      </c>
      <c r="S7041">
        <v>97.5</v>
      </c>
      <c r="T7041" t="s">
        <v>34869</v>
      </c>
    </row>
    <row r="7042" spans="1:20">
      <c r="A7042">
        <v>4669940</v>
      </c>
      <c r="B7042" t="s">
        <v>34870</v>
      </c>
      <c r="C7042" t="str">
        <f>"9781442647299"</f>
        <v>9781442647299</v>
      </c>
      <c r="D7042" t="str">
        <f>"9781442667747"</f>
        <v>9781442667747</v>
      </c>
      <c r="E7042" t="s">
        <v>31435</v>
      </c>
      <c r="F7042" t="s">
        <v>31435</v>
      </c>
      <c r="G7042" s="1">
        <v>41275</v>
      </c>
      <c r="J7042" t="s">
        <v>34871</v>
      </c>
      <c r="K7042" t="s">
        <v>1464</v>
      </c>
      <c r="L7042" t="s">
        <v>34872</v>
      </c>
      <c r="M7042">
        <v>861</v>
      </c>
      <c r="O7042" t="s">
        <v>26</v>
      </c>
      <c r="Q7042">
        <v>106.25</v>
      </c>
      <c r="R7042">
        <v>85</v>
      </c>
      <c r="S7042">
        <v>127.5</v>
      </c>
      <c r="T7042" t="s">
        <v>34873</v>
      </c>
    </row>
    <row r="7043" spans="1:20">
      <c r="A7043">
        <v>4669941</v>
      </c>
      <c r="B7043" t="s">
        <v>34874</v>
      </c>
      <c r="C7043" t="str">
        <f>"9781442642317"</f>
        <v>9781442642317</v>
      </c>
      <c r="D7043" t="str">
        <f>"9781442665583"</f>
        <v>9781442665583</v>
      </c>
      <c r="E7043" t="s">
        <v>31435</v>
      </c>
      <c r="F7043" t="s">
        <v>31435</v>
      </c>
      <c r="G7043" s="1">
        <v>41640</v>
      </c>
      <c r="J7043" t="s">
        <v>34875</v>
      </c>
      <c r="K7043" t="s">
        <v>263</v>
      </c>
      <c r="M7043">
        <v>361.70925209420898</v>
      </c>
      <c r="O7043" t="s">
        <v>26</v>
      </c>
      <c r="Q7043">
        <v>81.25</v>
      </c>
      <c r="R7043">
        <v>65</v>
      </c>
      <c r="S7043">
        <v>97.5</v>
      </c>
      <c r="T7043" t="s">
        <v>34876</v>
      </c>
    </row>
    <row r="7044" spans="1:20">
      <c r="A7044">
        <v>4669944</v>
      </c>
      <c r="B7044" t="s">
        <v>34877</v>
      </c>
      <c r="C7044" t="str">
        <f>"9780802067920"</f>
        <v>9780802067920</v>
      </c>
      <c r="D7044" t="str">
        <f>"9781442616752"</f>
        <v>9781442616752</v>
      </c>
      <c r="E7044" t="s">
        <v>31435</v>
      </c>
      <c r="F7044" t="s">
        <v>31435</v>
      </c>
      <c r="G7044" s="1">
        <v>33239</v>
      </c>
      <c r="H7044">
        <v>2</v>
      </c>
      <c r="J7044" t="s">
        <v>34878</v>
      </c>
      <c r="K7044" t="s">
        <v>1892</v>
      </c>
      <c r="L7044" t="s">
        <v>34879</v>
      </c>
      <c r="M7044">
        <v>230.209239999999</v>
      </c>
      <c r="O7044" t="s">
        <v>26</v>
      </c>
      <c r="Q7044">
        <v>58.69</v>
      </c>
      <c r="R7044">
        <v>46.95</v>
      </c>
      <c r="S7044">
        <v>70.430000000000007</v>
      </c>
      <c r="T7044" t="s">
        <v>34880</v>
      </c>
    </row>
    <row r="7045" spans="1:20">
      <c r="A7045">
        <v>4669945</v>
      </c>
      <c r="B7045" t="s">
        <v>34881</v>
      </c>
      <c r="C7045" t="str">
        <f>"9780802074232"</f>
        <v>9780802074232</v>
      </c>
      <c r="D7045" t="str">
        <f>"9781442623187"</f>
        <v>9781442623187</v>
      </c>
      <c r="E7045" t="s">
        <v>31435</v>
      </c>
      <c r="F7045" t="s">
        <v>31435</v>
      </c>
      <c r="G7045" s="1">
        <v>33970</v>
      </c>
      <c r="H7045">
        <v>2</v>
      </c>
      <c r="I7045" t="s">
        <v>31443</v>
      </c>
      <c r="J7045" t="s">
        <v>34882</v>
      </c>
      <c r="K7045" t="s">
        <v>263</v>
      </c>
      <c r="L7045" t="s">
        <v>34883</v>
      </c>
      <c r="M7045">
        <v>305.8</v>
      </c>
      <c r="O7045" t="s">
        <v>26</v>
      </c>
      <c r="Q7045">
        <v>75</v>
      </c>
      <c r="R7045">
        <v>60</v>
      </c>
      <c r="S7045">
        <v>90</v>
      </c>
      <c r="T7045" t="s">
        <v>34884</v>
      </c>
    </row>
    <row r="7046" spans="1:20">
      <c r="A7046">
        <v>4669946</v>
      </c>
      <c r="B7046" t="s">
        <v>34885</v>
      </c>
      <c r="C7046" t="str">
        <f>"9780802064080"</f>
        <v>9780802064080</v>
      </c>
      <c r="D7046" t="str">
        <f>"9781442623194"</f>
        <v>9781442623194</v>
      </c>
      <c r="E7046" t="s">
        <v>31435</v>
      </c>
      <c r="F7046" t="s">
        <v>31435</v>
      </c>
      <c r="G7046" s="1">
        <v>31533</v>
      </c>
      <c r="I7046" t="s">
        <v>34886</v>
      </c>
      <c r="J7046" t="s">
        <v>34887</v>
      </c>
      <c r="K7046" t="s">
        <v>7075</v>
      </c>
      <c r="L7046" t="s">
        <v>34888</v>
      </c>
      <c r="M7046" t="s">
        <v>34889</v>
      </c>
      <c r="N7046" t="s">
        <v>34890</v>
      </c>
      <c r="O7046" t="s">
        <v>26</v>
      </c>
      <c r="Q7046">
        <v>30</v>
      </c>
      <c r="R7046">
        <v>24</v>
      </c>
      <c r="S7046">
        <v>36</v>
      </c>
      <c r="T7046" t="s">
        <v>34891</v>
      </c>
    </row>
    <row r="7047" spans="1:20">
      <c r="A7047">
        <v>4669947</v>
      </c>
      <c r="B7047" t="s">
        <v>34892</v>
      </c>
      <c r="C7047" t="str">
        <f>"9780802080905"</f>
        <v>9780802080905</v>
      </c>
      <c r="D7047" t="str">
        <f>"9781442623170"</f>
        <v>9781442623170</v>
      </c>
      <c r="E7047" t="s">
        <v>31435</v>
      </c>
      <c r="F7047" t="s">
        <v>31435</v>
      </c>
      <c r="G7047" s="1">
        <v>35431</v>
      </c>
      <c r="I7047" t="s">
        <v>31443</v>
      </c>
      <c r="J7047" t="s">
        <v>34893</v>
      </c>
      <c r="K7047" t="s">
        <v>1464</v>
      </c>
      <c r="L7047" t="s">
        <v>34894</v>
      </c>
      <c r="M7047">
        <v>813.54</v>
      </c>
      <c r="O7047" t="s">
        <v>26</v>
      </c>
      <c r="Q7047">
        <v>85</v>
      </c>
      <c r="R7047">
        <v>68</v>
      </c>
      <c r="S7047">
        <v>102</v>
      </c>
      <c r="T7047" t="s">
        <v>34895</v>
      </c>
    </row>
    <row r="7048" spans="1:20">
      <c r="A7048">
        <v>4669948</v>
      </c>
      <c r="B7048" t="s">
        <v>34896</v>
      </c>
      <c r="C7048" t="str">
        <f>"9780802067517"</f>
        <v>9780802067517</v>
      </c>
      <c r="D7048" t="str">
        <f>"9781442623200"</f>
        <v>9781442623200</v>
      </c>
      <c r="E7048" t="s">
        <v>31435</v>
      </c>
      <c r="F7048" t="s">
        <v>31435</v>
      </c>
      <c r="G7048" s="1">
        <v>32857</v>
      </c>
      <c r="H7048">
        <v>2</v>
      </c>
      <c r="I7048" t="s">
        <v>31443</v>
      </c>
      <c r="J7048" t="s">
        <v>34897</v>
      </c>
      <c r="K7048" t="s">
        <v>263</v>
      </c>
      <c r="L7048" t="s">
        <v>34898</v>
      </c>
      <c r="M7048">
        <v>305.50941</v>
      </c>
      <c r="O7048" t="s">
        <v>26</v>
      </c>
      <c r="Q7048">
        <v>31.19</v>
      </c>
      <c r="R7048">
        <v>24.95</v>
      </c>
      <c r="S7048">
        <v>37.43</v>
      </c>
      <c r="T7048" t="s">
        <v>34899</v>
      </c>
    </row>
    <row r="7049" spans="1:20">
      <c r="A7049">
        <v>4669949</v>
      </c>
      <c r="B7049" t="s">
        <v>34900</v>
      </c>
      <c r="C7049" t="str">
        <f>"9780802066527"</f>
        <v>9780802066527</v>
      </c>
      <c r="D7049" t="str">
        <f>"9781442623309"</f>
        <v>9781442623309</v>
      </c>
      <c r="E7049" t="s">
        <v>31435</v>
      </c>
      <c r="F7049" t="s">
        <v>31435</v>
      </c>
      <c r="G7049" s="1">
        <v>32126</v>
      </c>
      <c r="H7049">
        <v>2</v>
      </c>
      <c r="I7049" t="s">
        <v>31443</v>
      </c>
      <c r="J7049" t="s">
        <v>15625</v>
      </c>
      <c r="K7049" t="s">
        <v>1530</v>
      </c>
      <c r="L7049" t="s">
        <v>34901</v>
      </c>
      <c r="M7049">
        <v>303.48309710000001</v>
      </c>
      <c r="O7049" t="s">
        <v>26</v>
      </c>
      <c r="Q7049">
        <v>57.5</v>
      </c>
      <c r="R7049">
        <v>46</v>
      </c>
      <c r="S7049">
        <v>69</v>
      </c>
      <c r="T7049" t="s">
        <v>34902</v>
      </c>
    </row>
    <row r="7050" spans="1:20">
      <c r="A7050">
        <v>4669950</v>
      </c>
      <c r="B7050" t="s">
        <v>34903</v>
      </c>
      <c r="C7050" t="str">
        <f>"9780802069542"</f>
        <v>9780802069542</v>
      </c>
      <c r="D7050" t="str">
        <f>"9781442623088"</f>
        <v>9781442623088</v>
      </c>
      <c r="E7050" t="s">
        <v>31435</v>
      </c>
      <c r="F7050" t="s">
        <v>31435</v>
      </c>
      <c r="G7050" s="1">
        <v>34700</v>
      </c>
      <c r="H7050">
        <v>2</v>
      </c>
      <c r="I7050" t="s">
        <v>31443</v>
      </c>
      <c r="J7050" t="s">
        <v>34904</v>
      </c>
      <c r="K7050" t="s">
        <v>1464</v>
      </c>
      <c r="L7050" t="s">
        <v>34905</v>
      </c>
      <c r="M7050">
        <v>823.08720992869905</v>
      </c>
      <c r="O7050" t="s">
        <v>26</v>
      </c>
      <c r="Q7050">
        <v>75</v>
      </c>
      <c r="R7050">
        <v>60</v>
      </c>
      <c r="S7050">
        <v>90</v>
      </c>
      <c r="T7050" t="s">
        <v>34906</v>
      </c>
    </row>
    <row r="7051" spans="1:20">
      <c r="A7051">
        <v>4669952</v>
      </c>
      <c r="B7051" t="s">
        <v>34907</v>
      </c>
      <c r="C7051" t="str">
        <f>"9780802067883"</f>
        <v>9780802067883</v>
      </c>
      <c r="D7051" t="str">
        <f>"9781442623224"</f>
        <v>9781442623224</v>
      </c>
      <c r="E7051" t="s">
        <v>31435</v>
      </c>
      <c r="F7051" t="s">
        <v>31435</v>
      </c>
      <c r="G7051" s="1">
        <v>33239</v>
      </c>
      <c r="H7051">
        <v>2</v>
      </c>
      <c r="I7051" t="s">
        <v>31443</v>
      </c>
      <c r="J7051" t="s">
        <v>34908</v>
      </c>
      <c r="K7051" t="s">
        <v>257</v>
      </c>
      <c r="L7051" t="s">
        <v>34909</v>
      </c>
      <c r="M7051">
        <v>372.11009710000002</v>
      </c>
      <c r="O7051" t="s">
        <v>26</v>
      </c>
      <c r="Q7051">
        <v>72.5</v>
      </c>
      <c r="R7051">
        <v>58</v>
      </c>
      <c r="S7051">
        <v>87</v>
      </c>
      <c r="T7051" t="s">
        <v>34910</v>
      </c>
    </row>
    <row r="7052" spans="1:20">
      <c r="A7052">
        <v>4669953</v>
      </c>
      <c r="B7052" t="s">
        <v>34911</v>
      </c>
      <c r="C7052" t="str">
        <f>"9780802076298"</f>
        <v>9780802076298</v>
      </c>
      <c r="D7052" t="str">
        <f>"9781442623286"</f>
        <v>9781442623286</v>
      </c>
      <c r="E7052" t="s">
        <v>31435</v>
      </c>
      <c r="F7052" t="s">
        <v>31435</v>
      </c>
      <c r="G7052" s="1">
        <v>35048</v>
      </c>
      <c r="I7052" t="s">
        <v>31443</v>
      </c>
      <c r="J7052" t="s">
        <v>34912</v>
      </c>
      <c r="K7052" t="s">
        <v>416</v>
      </c>
      <c r="L7052" t="s">
        <v>34913</v>
      </c>
      <c r="M7052">
        <v>336.20509713000001</v>
      </c>
      <c r="O7052" t="s">
        <v>26</v>
      </c>
      <c r="Q7052">
        <v>33.75</v>
      </c>
      <c r="R7052">
        <v>27</v>
      </c>
      <c r="S7052">
        <v>40.5</v>
      </c>
      <c r="T7052" t="s">
        <v>34914</v>
      </c>
    </row>
    <row r="7053" spans="1:20">
      <c r="A7053">
        <v>4669954</v>
      </c>
      <c r="B7053" t="s">
        <v>34915</v>
      </c>
      <c r="C7053" t="str">
        <f>"9780802079794"</f>
        <v>9780802079794</v>
      </c>
      <c r="D7053" t="str">
        <f>"9781442621152"</f>
        <v>9781442621152</v>
      </c>
      <c r="E7053" t="s">
        <v>31435</v>
      </c>
      <c r="F7053" t="s">
        <v>31435</v>
      </c>
      <c r="G7053" s="1">
        <v>36099</v>
      </c>
      <c r="H7053">
        <v>2</v>
      </c>
      <c r="J7053" t="s">
        <v>34916</v>
      </c>
      <c r="K7053" t="s">
        <v>263</v>
      </c>
      <c r="L7053" t="s">
        <v>34917</v>
      </c>
      <c r="M7053">
        <v>361.32071550000001</v>
      </c>
      <c r="O7053" t="s">
        <v>26</v>
      </c>
      <c r="Q7053">
        <v>42.44</v>
      </c>
      <c r="R7053">
        <v>33.950000000000003</v>
      </c>
      <c r="S7053">
        <v>50.93</v>
      </c>
      <c r="T7053" t="s">
        <v>34918</v>
      </c>
    </row>
    <row r="7054" spans="1:20">
      <c r="A7054">
        <v>4669955</v>
      </c>
      <c r="B7054" t="s">
        <v>34919</v>
      </c>
      <c r="C7054" t="str">
        <f>"9780802074386"</f>
        <v>9780802074386</v>
      </c>
      <c r="D7054" t="str">
        <f>"9781442623033"</f>
        <v>9781442623033</v>
      </c>
      <c r="E7054" t="s">
        <v>31435</v>
      </c>
      <c r="F7054" t="s">
        <v>31435</v>
      </c>
      <c r="G7054" s="1">
        <v>35048</v>
      </c>
      <c r="H7054">
        <v>2</v>
      </c>
      <c r="I7054" t="s">
        <v>31450</v>
      </c>
      <c r="J7054" t="s">
        <v>34920</v>
      </c>
      <c r="K7054" t="s">
        <v>1464</v>
      </c>
      <c r="L7054" t="s">
        <v>34921</v>
      </c>
      <c r="M7054">
        <v>829.3</v>
      </c>
      <c r="O7054" t="s">
        <v>26</v>
      </c>
      <c r="Q7054">
        <v>72.5</v>
      </c>
      <c r="R7054">
        <v>58</v>
      </c>
      <c r="S7054">
        <v>87</v>
      </c>
      <c r="T7054" t="s">
        <v>34922</v>
      </c>
    </row>
    <row r="7055" spans="1:20">
      <c r="A7055">
        <v>4669956</v>
      </c>
      <c r="B7055" t="s">
        <v>34923</v>
      </c>
      <c r="C7055" t="str">
        <f>"9781442657755"</f>
        <v>9781442657755</v>
      </c>
      <c r="D7055" t="str">
        <f>"9781442621091"</f>
        <v>9781442621091</v>
      </c>
      <c r="E7055" t="s">
        <v>31435</v>
      </c>
      <c r="F7055" t="s">
        <v>31435</v>
      </c>
      <c r="G7055" s="1">
        <v>1</v>
      </c>
      <c r="I7055" t="s">
        <v>31443</v>
      </c>
      <c r="J7055" t="s">
        <v>34924</v>
      </c>
      <c r="K7055" t="s">
        <v>1082</v>
      </c>
      <c r="L7055" t="s">
        <v>34925</v>
      </c>
      <c r="M7055">
        <v>362.1109713541</v>
      </c>
      <c r="O7055" t="s">
        <v>26</v>
      </c>
      <c r="Q7055">
        <v>93.75</v>
      </c>
      <c r="R7055">
        <v>75</v>
      </c>
      <c r="S7055">
        <v>112.5</v>
      </c>
      <c r="T7055" t="s">
        <v>34926</v>
      </c>
    </row>
    <row r="7056" spans="1:20">
      <c r="A7056">
        <v>4669957</v>
      </c>
      <c r="B7056" t="s">
        <v>34927</v>
      </c>
      <c r="C7056" t="str">
        <f>"9780802062543"</f>
        <v>9780802062543</v>
      </c>
      <c r="D7056" t="str">
        <f>"9781442623149"</f>
        <v>9781442623149</v>
      </c>
      <c r="E7056" t="s">
        <v>31435</v>
      </c>
      <c r="F7056" t="s">
        <v>31435</v>
      </c>
      <c r="G7056" s="1">
        <v>27395</v>
      </c>
      <c r="I7056" t="s">
        <v>31443</v>
      </c>
      <c r="J7056" t="s">
        <v>34928</v>
      </c>
      <c r="K7056" t="s">
        <v>263</v>
      </c>
      <c r="L7056" t="s">
        <v>34929</v>
      </c>
      <c r="M7056">
        <v>303.36</v>
      </c>
      <c r="O7056" t="s">
        <v>26</v>
      </c>
      <c r="Q7056">
        <v>42.5</v>
      </c>
      <c r="R7056">
        <v>34</v>
      </c>
      <c r="S7056">
        <v>51</v>
      </c>
      <c r="T7056" t="s">
        <v>34930</v>
      </c>
    </row>
    <row r="7057" spans="1:20">
      <c r="A7057">
        <v>4669958</v>
      </c>
      <c r="B7057" t="s">
        <v>34931</v>
      </c>
      <c r="C7057" t="str">
        <f>"9781442623057"</f>
        <v>9781442623057</v>
      </c>
      <c r="D7057" t="str">
        <f>"9781442623132"</f>
        <v>9781442623132</v>
      </c>
      <c r="E7057" t="s">
        <v>31435</v>
      </c>
      <c r="F7057" t="s">
        <v>31435</v>
      </c>
      <c r="G7057" s="1">
        <v>42005</v>
      </c>
      <c r="I7057" t="s">
        <v>31443</v>
      </c>
      <c r="J7057" t="s">
        <v>34932</v>
      </c>
      <c r="K7057" t="s">
        <v>1464</v>
      </c>
      <c r="M7057">
        <v>818</v>
      </c>
      <c r="O7057" t="s">
        <v>26</v>
      </c>
      <c r="Q7057">
        <v>87.5</v>
      </c>
      <c r="R7057">
        <v>70</v>
      </c>
      <c r="S7057">
        <v>105</v>
      </c>
      <c r="T7057" t="s">
        <v>34933</v>
      </c>
    </row>
    <row r="7058" spans="1:20">
      <c r="A7058">
        <v>4669959</v>
      </c>
      <c r="B7058" t="s">
        <v>34934</v>
      </c>
      <c r="C7058" t="str">
        <f>"9780195418033"</f>
        <v>9780195418033</v>
      </c>
      <c r="D7058" t="str">
        <f>"9781442623156"</f>
        <v>9781442623156</v>
      </c>
      <c r="E7058" t="s">
        <v>31435</v>
      </c>
      <c r="F7058" t="s">
        <v>31435</v>
      </c>
      <c r="G7058" s="1">
        <v>37257</v>
      </c>
      <c r="I7058" t="s">
        <v>34935</v>
      </c>
      <c r="J7058" t="s">
        <v>34936</v>
      </c>
      <c r="K7058" t="s">
        <v>291</v>
      </c>
      <c r="L7058" t="s">
        <v>34937</v>
      </c>
      <c r="M7058">
        <v>971.06299999999896</v>
      </c>
      <c r="O7058" t="s">
        <v>26</v>
      </c>
      <c r="Q7058">
        <v>135</v>
      </c>
      <c r="R7058">
        <v>108</v>
      </c>
      <c r="S7058">
        <v>162</v>
      </c>
      <c r="T7058" t="s">
        <v>34938</v>
      </c>
    </row>
    <row r="7059" spans="1:20">
      <c r="A7059">
        <v>4669960</v>
      </c>
      <c r="B7059" t="s">
        <v>34939</v>
      </c>
      <c r="C7059" t="str">
        <f>"9780802082978"</f>
        <v>9780802082978</v>
      </c>
      <c r="D7059" t="str">
        <f>"9781442621084"</f>
        <v>9781442621084</v>
      </c>
      <c r="E7059" t="s">
        <v>31435</v>
      </c>
      <c r="F7059" t="s">
        <v>31435</v>
      </c>
      <c r="G7059" s="1">
        <v>36161</v>
      </c>
      <c r="I7059" t="s">
        <v>31443</v>
      </c>
      <c r="J7059" t="s">
        <v>34940</v>
      </c>
      <c r="K7059" t="s">
        <v>1464</v>
      </c>
      <c r="L7059" t="s">
        <v>34941</v>
      </c>
      <c r="M7059">
        <v>822.30935499999896</v>
      </c>
      <c r="O7059" t="s">
        <v>26</v>
      </c>
      <c r="Q7059">
        <v>81.25</v>
      </c>
      <c r="R7059">
        <v>65</v>
      </c>
      <c r="S7059">
        <v>97.5</v>
      </c>
      <c r="T7059" t="s">
        <v>34942</v>
      </c>
    </row>
    <row r="7060" spans="1:20">
      <c r="A7060">
        <v>4669961</v>
      </c>
      <c r="B7060" t="s">
        <v>34943</v>
      </c>
      <c r="C7060" t="str">
        <f>"9780802083548"</f>
        <v>9780802083548</v>
      </c>
      <c r="D7060" t="str">
        <f>"9781442623101"</f>
        <v>9781442623101</v>
      </c>
      <c r="E7060" t="s">
        <v>31435</v>
      </c>
      <c r="F7060" t="s">
        <v>31435</v>
      </c>
      <c r="G7060" s="1">
        <v>42005</v>
      </c>
      <c r="I7060" t="s">
        <v>31443</v>
      </c>
      <c r="J7060" t="s">
        <v>34944</v>
      </c>
      <c r="K7060" t="s">
        <v>1471</v>
      </c>
      <c r="L7060" t="s">
        <v>34945</v>
      </c>
      <c r="M7060">
        <v>709.03399999999999</v>
      </c>
      <c r="O7060" t="s">
        <v>26</v>
      </c>
      <c r="Q7060">
        <v>131.25</v>
      </c>
      <c r="R7060">
        <v>105</v>
      </c>
      <c r="S7060">
        <v>157.5</v>
      </c>
      <c r="T7060" t="s">
        <v>34946</v>
      </c>
    </row>
    <row r="7061" spans="1:20">
      <c r="A7061">
        <v>4669962</v>
      </c>
      <c r="B7061" t="s">
        <v>34947</v>
      </c>
      <c r="C7061" t="str">
        <f>"9780195414547"</f>
        <v>9780195414547</v>
      </c>
      <c r="D7061" t="str">
        <f>"9781442659872"</f>
        <v>9781442659872</v>
      </c>
      <c r="E7061" t="s">
        <v>31435</v>
      </c>
      <c r="F7061" t="s">
        <v>31435</v>
      </c>
      <c r="G7061" s="1">
        <v>36161</v>
      </c>
      <c r="I7061" t="s">
        <v>34935</v>
      </c>
      <c r="J7061" t="s">
        <v>34948</v>
      </c>
      <c r="K7061" t="s">
        <v>416</v>
      </c>
      <c r="L7061" t="s">
        <v>34949</v>
      </c>
      <c r="M7061">
        <v>331.88041097109902</v>
      </c>
      <c r="O7061" t="s">
        <v>26</v>
      </c>
      <c r="Q7061">
        <v>38.69</v>
      </c>
      <c r="R7061">
        <v>30.95</v>
      </c>
      <c r="S7061">
        <v>46.43</v>
      </c>
      <c r="T7061" t="s">
        <v>34950</v>
      </c>
    </row>
    <row r="7062" spans="1:20">
      <c r="A7062">
        <v>4669963</v>
      </c>
      <c r="B7062" t="s">
        <v>34951</v>
      </c>
      <c r="C7062" t="str">
        <f>"9780802092410"</f>
        <v>9780802092410</v>
      </c>
      <c r="D7062" t="str">
        <f>"9781442660434"</f>
        <v>9781442660434</v>
      </c>
      <c r="E7062" t="s">
        <v>31435</v>
      </c>
      <c r="F7062" t="s">
        <v>31435</v>
      </c>
      <c r="G7062" s="1">
        <v>40527</v>
      </c>
      <c r="I7062" t="s">
        <v>34952</v>
      </c>
      <c r="J7062" t="s">
        <v>34953</v>
      </c>
      <c r="K7062" t="s">
        <v>6359</v>
      </c>
      <c r="L7062" t="s">
        <v>34954</v>
      </c>
      <c r="M7062">
        <v>320.54000000000002</v>
      </c>
      <c r="N7062" t="s">
        <v>34955</v>
      </c>
      <c r="O7062" t="s">
        <v>26</v>
      </c>
      <c r="Q7062">
        <v>112.5</v>
      </c>
      <c r="R7062">
        <v>90</v>
      </c>
      <c r="S7062">
        <v>135</v>
      </c>
      <c r="T7062" t="s">
        <v>34956</v>
      </c>
    </row>
    <row r="7063" spans="1:20">
      <c r="A7063">
        <v>4669964</v>
      </c>
      <c r="B7063" t="s">
        <v>34957</v>
      </c>
      <c r="C7063" t="str">
        <f>"9780802084958"</f>
        <v>9780802084958</v>
      </c>
      <c r="D7063" t="str">
        <f>"9781442659704"</f>
        <v>9781442659704</v>
      </c>
      <c r="E7063" t="s">
        <v>31435</v>
      </c>
      <c r="F7063" t="s">
        <v>31435</v>
      </c>
      <c r="G7063" s="1">
        <v>37257</v>
      </c>
      <c r="I7063" t="s">
        <v>34958</v>
      </c>
      <c r="J7063" t="s">
        <v>34959</v>
      </c>
      <c r="K7063" t="s">
        <v>525</v>
      </c>
      <c r="L7063" t="s">
        <v>34960</v>
      </c>
      <c r="M7063">
        <v>345.01</v>
      </c>
      <c r="O7063" t="s">
        <v>26</v>
      </c>
      <c r="Q7063">
        <v>19.940000000000001</v>
      </c>
      <c r="R7063">
        <v>15.95</v>
      </c>
      <c r="S7063">
        <v>23.93</v>
      </c>
      <c r="T7063" t="s">
        <v>34961</v>
      </c>
    </row>
    <row r="7064" spans="1:20">
      <c r="A7064">
        <v>4669966</v>
      </c>
      <c r="B7064" t="s">
        <v>34962</v>
      </c>
      <c r="C7064" t="str">
        <f>"9780802072122"</f>
        <v>9780802072122</v>
      </c>
      <c r="D7064" t="str">
        <f>"9781442659742"</f>
        <v>9781442659742</v>
      </c>
      <c r="E7064" t="s">
        <v>31435</v>
      </c>
      <c r="F7064" t="s">
        <v>31435</v>
      </c>
      <c r="G7064" s="1">
        <v>33970</v>
      </c>
      <c r="H7064">
        <v>2</v>
      </c>
      <c r="I7064" t="s">
        <v>33775</v>
      </c>
      <c r="J7064" t="s">
        <v>34963</v>
      </c>
      <c r="K7064" t="s">
        <v>4081</v>
      </c>
      <c r="L7064" t="s">
        <v>34964</v>
      </c>
      <c r="M7064">
        <v>458.24209999999903</v>
      </c>
      <c r="O7064" t="s">
        <v>26</v>
      </c>
      <c r="Q7064">
        <v>41.19</v>
      </c>
      <c r="R7064">
        <v>32.950000000000003</v>
      </c>
      <c r="S7064">
        <v>49.43</v>
      </c>
      <c r="T7064" t="s">
        <v>34965</v>
      </c>
    </row>
    <row r="7065" spans="1:20">
      <c r="A7065">
        <v>4669967</v>
      </c>
      <c r="B7065" t="s">
        <v>34966</v>
      </c>
      <c r="C7065" t="str">
        <f>"9780802035677"</f>
        <v>9780802035677</v>
      </c>
      <c r="D7065" t="str">
        <f>"9781442661844"</f>
        <v>9781442661844</v>
      </c>
      <c r="E7065" t="s">
        <v>31435</v>
      </c>
      <c r="F7065" t="s">
        <v>31435</v>
      </c>
      <c r="G7065" s="1">
        <v>40483</v>
      </c>
      <c r="J7065" t="s">
        <v>34967</v>
      </c>
      <c r="K7065" t="s">
        <v>1464</v>
      </c>
      <c r="L7065" t="s">
        <v>34968</v>
      </c>
      <c r="M7065" t="s">
        <v>34969</v>
      </c>
      <c r="N7065" t="s">
        <v>34970</v>
      </c>
      <c r="O7065" t="s">
        <v>26</v>
      </c>
      <c r="Q7065">
        <v>71.25</v>
      </c>
      <c r="R7065">
        <v>57</v>
      </c>
      <c r="S7065">
        <v>85.5</v>
      </c>
      <c r="T7065" t="s">
        <v>34971</v>
      </c>
    </row>
    <row r="7066" spans="1:20">
      <c r="A7066">
        <v>4669969</v>
      </c>
      <c r="B7066" t="s">
        <v>34972</v>
      </c>
      <c r="C7066" t="str">
        <f>"9780802092090"</f>
        <v>9780802092090</v>
      </c>
      <c r="D7066" t="str">
        <f>"9781442657465"</f>
        <v>9781442657465</v>
      </c>
      <c r="E7066" t="s">
        <v>31435</v>
      </c>
      <c r="F7066" t="s">
        <v>31435</v>
      </c>
      <c r="G7066" s="1">
        <v>38718</v>
      </c>
      <c r="I7066" t="s">
        <v>34756</v>
      </c>
      <c r="J7066" t="s">
        <v>34973</v>
      </c>
      <c r="K7066" t="s">
        <v>1464</v>
      </c>
      <c r="L7066" t="s">
        <v>34974</v>
      </c>
      <c r="M7066">
        <v>809</v>
      </c>
      <c r="O7066" t="s">
        <v>26</v>
      </c>
      <c r="Q7066">
        <v>186.25</v>
      </c>
      <c r="R7066">
        <v>149</v>
      </c>
      <c r="S7066">
        <v>223.5</v>
      </c>
      <c r="T7066" t="s">
        <v>34975</v>
      </c>
    </row>
    <row r="7067" spans="1:20">
      <c r="A7067">
        <v>4669970</v>
      </c>
      <c r="B7067" t="s">
        <v>34976</v>
      </c>
      <c r="C7067" t="str">
        <f>"9781442657649"</f>
        <v>9781442657649</v>
      </c>
      <c r="D7067" t="str">
        <f>"9781442620858"</f>
        <v>9781442620858</v>
      </c>
      <c r="E7067" t="s">
        <v>31435</v>
      </c>
      <c r="F7067" t="s">
        <v>31435</v>
      </c>
      <c r="G7067" s="1">
        <v>38718</v>
      </c>
      <c r="I7067" t="s">
        <v>34756</v>
      </c>
      <c r="J7067" t="s">
        <v>34977</v>
      </c>
      <c r="K7067" t="s">
        <v>1464</v>
      </c>
      <c r="L7067" t="s">
        <v>34978</v>
      </c>
      <c r="M7067">
        <v>821.3</v>
      </c>
      <c r="O7067" t="s">
        <v>26</v>
      </c>
      <c r="Q7067">
        <v>143.75</v>
      </c>
      <c r="R7067">
        <v>115</v>
      </c>
      <c r="S7067">
        <v>172.5</v>
      </c>
      <c r="T7067" t="s">
        <v>34979</v>
      </c>
    </row>
    <row r="7068" spans="1:20">
      <c r="A7068">
        <v>4669971</v>
      </c>
      <c r="B7068" t="s">
        <v>34980</v>
      </c>
      <c r="C7068" t="str">
        <f>"9780802081131"</f>
        <v>9780802081131</v>
      </c>
      <c r="D7068" t="str">
        <f>"9781442657472"</f>
        <v>9781442657472</v>
      </c>
      <c r="E7068" t="s">
        <v>31435</v>
      </c>
      <c r="F7068" t="s">
        <v>31435</v>
      </c>
      <c r="G7068" s="1">
        <v>35431</v>
      </c>
      <c r="I7068" t="s">
        <v>31443</v>
      </c>
      <c r="J7068" t="s">
        <v>34981</v>
      </c>
      <c r="K7068" t="s">
        <v>291</v>
      </c>
      <c r="L7068" t="s">
        <v>34982</v>
      </c>
      <c r="M7068">
        <v>971.404</v>
      </c>
      <c r="O7068" t="s">
        <v>26</v>
      </c>
      <c r="Q7068">
        <v>26.19</v>
      </c>
      <c r="R7068">
        <v>20.95</v>
      </c>
      <c r="S7068">
        <v>31.43</v>
      </c>
      <c r="T7068" t="s">
        <v>34983</v>
      </c>
    </row>
    <row r="7069" spans="1:20">
      <c r="A7069">
        <v>4669972</v>
      </c>
      <c r="B7069" t="s">
        <v>34984</v>
      </c>
      <c r="C7069" t="str">
        <f>"9780802039552"</f>
        <v>9780802039552</v>
      </c>
      <c r="D7069" t="str">
        <f>"9781442657489"</f>
        <v>9781442657489</v>
      </c>
      <c r="E7069" t="s">
        <v>31435</v>
      </c>
      <c r="F7069" t="s">
        <v>31435</v>
      </c>
      <c r="G7069" s="1">
        <v>38718</v>
      </c>
      <c r="H7069">
        <v>2</v>
      </c>
      <c r="J7069" t="s">
        <v>34985</v>
      </c>
      <c r="K7069" t="s">
        <v>1464</v>
      </c>
      <c r="L7069" t="s">
        <v>34986</v>
      </c>
      <c r="M7069">
        <v>823.8</v>
      </c>
      <c r="O7069" t="s">
        <v>26</v>
      </c>
      <c r="Q7069">
        <v>97.5</v>
      </c>
      <c r="R7069">
        <v>78</v>
      </c>
      <c r="S7069">
        <v>117</v>
      </c>
      <c r="T7069" t="s">
        <v>34987</v>
      </c>
    </row>
    <row r="7070" spans="1:20">
      <c r="A7070">
        <v>4669974</v>
      </c>
      <c r="B7070" t="s">
        <v>34988</v>
      </c>
      <c r="C7070" t="str">
        <f>"9781442657687"</f>
        <v>9781442657687</v>
      </c>
      <c r="D7070" t="str">
        <f>"9781442657564"</f>
        <v>9781442657564</v>
      </c>
      <c r="E7070" t="s">
        <v>31435</v>
      </c>
      <c r="F7070" t="s">
        <v>31435</v>
      </c>
      <c r="G7070" s="1">
        <v>37257</v>
      </c>
      <c r="I7070" t="s">
        <v>31450</v>
      </c>
      <c r="J7070" t="s">
        <v>34989</v>
      </c>
      <c r="K7070" t="s">
        <v>291</v>
      </c>
      <c r="L7070" t="s">
        <v>34990</v>
      </c>
      <c r="M7070">
        <v>966.70046349999905</v>
      </c>
      <c r="O7070" t="s">
        <v>26</v>
      </c>
      <c r="Q7070">
        <v>123.75</v>
      </c>
      <c r="R7070">
        <v>99</v>
      </c>
      <c r="S7070">
        <v>148.5</v>
      </c>
      <c r="T7070" t="s">
        <v>34991</v>
      </c>
    </row>
    <row r="7071" spans="1:20">
      <c r="A7071">
        <v>4669975</v>
      </c>
      <c r="B7071" t="s">
        <v>34992</v>
      </c>
      <c r="C7071" t="str">
        <f>"9780802082282"</f>
        <v>9780802082282</v>
      </c>
      <c r="D7071" t="str">
        <f>"9781442657557"</f>
        <v>9781442657557</v>
      </c>
      <c r="E7071" t="s">
        <v>31435</v>
      </c>
      <c r="F7071" t="s">
        <v>31435</v>
      </c>
      <c r="G7071" s="1">
        <v>36161</v>
      </c>
      <c r="I7071" t="s">
        <v>33915</v>
      </c>
      <c r="J7071" t="s">
        <v>34993</v>
      </c>
      <c r="K7071" t="s">
        <v>1464</v>
      </c>
      <c r="L7071" t="s">
        <v>34994</v>
      </c>
      <c r="M7071">
        <v>823.00992870000005</v>
      </c>
      <c r="O7071" t="s">
        <v>26</v>
      </c>
      <c r="Q7071">
        <v>60</v>
      </c>
      <c r="R7071">
        <v>48</v>
      </c>
      <c r="S7071">
        <v>72</v>
      </c>
      <c r="T7071" t="s">
        <v>34995</v>
      </c>
    </row>
    <row r="7072" spans="1:20">
      <c r="A7072">
        <v>4669976</v>
      </c>
      <c r="B7072" t="s">
        <v>34996</v>
      </c>
      <c r="C7072" t="str">
        <f>"9780802064196"</f>
        <v>9780802064196</v>
      </c>
      <c r="D7072" t="str">
        <f>"9781442659698"</f>
        <v>9781442659698</v>
      </c>
      <c r="E7072" t="s">
        <v>31435</v>
      </c>
      <c r="F7072" t="s">
        <v>31435</v>
      </c>
      <c r="G7072" s="1">
        <v>36161</v>
      </c>
      <c r="H7072">
        <v>2</v>
      </c>
      <c r="I7072" t="s">
        <v>31443</v>
      </c>
      <c r="J7072" t="s">
        <v>32162</v>
      </c>
      <c r="K7072" t="s">
        <v>291</v>
      </c>
      <c r="L7072" t="s">
        <v>34997</v>
      </c>
      <c r="M7072">
        <v>971.37199999999905</v>
      </c>
      <c r="O7072" t="s">
        <v>26</v>
      </c>
      <c r="Q7072">
        <v>32.44</v>
      </c>
      <c r="R7072">
        <v>25.95</v>
      </c>
      <c r="S7072">
        <v>38.93</v>
      </c>
      <c r="T7072" t="s">
        <v>34998</v>
      </c>
    </row>
    <row r="7073" spans="1:20">
      <c r="A7073">
        <v>4669978</v>
      </c>
      <c r="B7073" t="s">
        <v>34999</v>
      </c>
      <c r="C7073" t="str">
        <f>"9780802093998"</f>
        <v>9780802093998</v>
      </c>
      <c r="D7073" t="str">
        <f>"9781442657380"</f>
        <v>9781442657380</v>
      </c>
      <c r="E7073" t="s">
        <v>31435</v>
      </c>
      <c r="F7073" t="s">
        <v>31435</v>
      </c>
      <c r="G7073" s="1">
        <v>38718</v>
      </c>
      <c r="J7073" t="s">
        <v>35000</v>
      </c>
      <c r="K7073" t="s">
        <v>1464</v>
      </c>
      <c r="L7073" t="s">
        <v>35001</v>
      </c>
      <c r="M7073">
        <v>808.4</v>
      </c>
      <c r="O7073" t="s">
        <v>26</v>
      </c>
      <c r="Q7073">
        <v>90</v>
      </c>
      <c r="R7073">
        <v>72</v>
      </c>
      <c r="S7073">
        <v>108</v>
      </c>
      <c r="T7073" t="s">
        <v>35002</v>
      </c>
    </row>
    <row r="7074" spans="1:20">
      <c r="A7074">
        <v>4669979</v>
      </c>
      <c r="B7074" t="s">
        <v>35003</v>
      </c>
      <c r="C7074" t="str">
        <f>"9780802081032"</f>
        <v>9780802081032</v>
      </c>
      <c r="D7074" t="str">
        <f>"9781442659681"</f>
        <v>9781442659681</v>
      </c>
      <c r="E7074" t="s">
        <v>31435</v>
      </c>
      <c r="F7074" t="s">
        <v>31435</v>
      </c>
      <c r="G7074" s="1">
        <v>35796</v>
      </c>
      <c r="I7074" t="s">
        <v>31443</v>
      </c>
      <c r="J7074" t="s">
        <v>35004</v>
      </c>
      <c r="K7074" t="s">
        <v>3308</v>
      </c>
      <c r="L7074" t="s">
        <v>35005</v>
      </c>
      <c r="M7074">
        <v>362.1968</v>
      </c>
      <c r="O7074" t="s">
        <v>26</v>
      </c>
      <c r="Q7074">
        <v>68.75</v>
      </c>
      <c r="R7074">
        <v>55</v>
      </c>
      <c r="S7074">
        <v>82.5</v>
      </c>
      <c r="T7074" t="s">
        <v>35006</v>
      </c>
    </row>
    <row r="7075" spans="1:20">
      <c r="A7075">
        <v>4669981</v>
      </c>
      <c r="B7075" t="s">
        <v>35007</v>
      </c>
      <c r="C7075" t="str">
        <f>"9780802039491"</f>
        <v>9780802039491</v>
      </c>
      <c r="D7075" t="str">
        <f>"9781442657397"</f>
        <v>9781442657397</v>
      </c>
      <c r="E7075" t="s">
        <v>31435</v>
      </c>
      <c r="F7075" t="s">
        <v>31435</v>
      </c>
      <c r="G7075" s="1">
        <v>38626</v>
      </c>
      <c r="H7075">
        <v>2</v>
      </c>
      <c r="J7075" t="s">
        <v>35008</v>
      </c>
      <c r="K7075" t="s">
        <v>1892</v>
      </c>
      <c r="L7075" t="s">
        <v>35009</v>
      </c>
      <c r="M7075">
        <v>255.79</v>
      </c>
      <c r="N7075" t="s">
        <v>35010</v>
      </c>
      <c r="O7075" t="s">
        <v>26</v>
      </c>
      <c r="Q7075">
        <v>186.25</v>
      </c>
      <c r="R7075">
        <v>149</v>
      </c>
      <c r="S7075">
        <v>223.5</v>
      </c>
      <c r="T7075" t="s">
        <v>35011</v>
      </c>
    </row>
    <row r="7076" spans="1:20">
      <c r="A7076">
        <v>4669982</v>
      </c>
      <c r="B7076" t="s">
        <v>35012</v>
      </c>
      <c r="C7076" t="str">
        <f>"9781442609822"</f>
        <v>9781442609822</v>
      </c>
      <c r="D7076" t="str">
        <f>"9781442657434"</f>
        <v>9781442657434</v>
      </c>
      <c r="E7076" t="s">
        <v>31435</v>
      </c>
      <c r="F7076" t="s">
        <v>31435</v>
      </c>
      <c r="G7076" s="1">
        <v>39814</v>
      </c>
      <c r="H7076">
        <v>2</v>
      </c>
      <c r="I7076" t="s">
        <v>34935</v>
      </c>
      <c r="J7076" t="s">
        <v>35013</v>
      </c>
      <c r="K7076" t="s">
        <v>278</v>
      </c>
      <c r="L7076" t="s">
        <v>35014</v>
      </c>
      <c r="M7076">
        <v>331.88097099999902</v>
      </c>
      <c r="O7076" t="s">
        <v>26</v>
      </c>
      <c r="Q7076">
        <v>34.94</v>
      </c>
      <c r="R7076">
        <v>27.95</v>
      </c>
      <c r="S7076">
        <v>41.93</v>
      </c>
      <c r="T7076" t="s">
        <v>35015</v>
      </c>
    </row>
    <row r="7077" spans="1:20">
      <c r="A7077">
        <v>4669983</v>
      </c>
      <c r="B7077" t="s">
        <v>35016</v>
      </c>
      <c r="C7077" t="str">
        <f>"9781442609877"</f>
        <v>9781442609877</v>
      </c>
      <c r="D7077" t="str">
        <f>"9781442657175"</f>
        <v>9781442657175</v>
      </c>
      <c r="E7077" t="s">
        <v>31435</v>
      </c>
      <c r="F7077" t="s">
        <v>34236</v>
      </c>
      <c r="G7077" s="1">
        <v>39814</v>
      </c>
      <c r="I7077" t="s">
        <v>34236</v>
      </c>
      <c r="J7077" t="s">
        <v>35017</v>
      </c>
      <c r="K7077" t="s">
        <v>416</v>
      </c>
      <c r="L7077" t="s">
        <v>35018</v>
      </c>
      <c r="M7077">
        <v>330.97300000000001</v>
      </c>
      <c r="O7077" t="s">
        <v>26</v>
      </c>
      <c r="Q7077">
        <v>77.5</v>
      </c>
      <c r="R7077">
        <v>62</v>
      </c>
      <c r="S7077">
        <v>93</v>
      </c>
      <c r="T7077" t="s">
        <v>35019</v>
      </c>
    </row>
    <row r="7078" spans="1:20">
      <c r="A7078">
        <v>4669984</v>
      </c>
      <c r="B7078" t="s">
        <v>35020</v>
      </c>
      <c r="C7078" t="str">
        <f>"9780802094193"</f>
        <v>9780802094193</v>
      </c>
      <c r="D7078" t="str">
        <f>"9781442657410"</f>
        <v>9781442657410</v>
      </c>
      <c r="E7078" t="s">
        <v>31435</v>
      </c>
      <c r="F7078" t="s">
        <v>31435</v>
      </c>
      <c r="G7078" s="1">
        <v>38718</v>
      </c>
      <c r="I7078" t="s">
        <v>33831</v>
      </c>
      <c r="J7078" t="s">
        <v>35021</v>
      </c>
      <c r="K7078" t="s">
        <v>7063</v>
      </c>
      <c r="L7078" t="s">
        <v>35022</v>
      </c>
      <c r="M7078">
        <v>320.94309034000003</v>
      </c>
      <c r="O7078" t="s">
        <v>26</v>
      </c>
      <c r="Q7078">
        <v>112.5</v>
      </c>
      <c r="R7078">
        <v>90</v>
      </c>
      <c r="S7078">
        <v>135</v>
      </c>
      <c r="T7078" t="s">
        <v>35023</v>
      </c>
    </row>
    <row r="7079" spans="1:20">
      <c r="A7079">
        <v>4669985</v>
      </c>
      <c r="B7079" t="s">
        <v>35024</v>
      </c>
      <c r="C7079" t="str">
        <f>"9780802043887"</f>
        <v>9780802043887</v>
      </c>
      <c r="D7079" t="str">
        <f>"9781442657441"</f>
        <v>9781442657441</v>
      </c>
      <c r="E7079" t="s">
        <v>31435</v>
      </c>
      <c r="F7079" t="s">
        <v>31435</v>
      </c>
      <c r="G7079" s="1">
        <v>38353</v>
      </c>
      <c r="J7079" t="s">
        <v>27996</v>
      </c>
      <c r="K7079" t="s">
        <v>1464</v>
      </c>
      <c r="L7079" t="s">
        <v>35025</v>
      </c>
      <c r="M7079" t="s">
        <v>35026</v>
      </c>
      <c r="O7079" t="s">
        <v>26</v>
      </c>
      <c r="Q7079">
        <v>68.75</v>
      </c>
      <c r="R7079">
        <v>55</v>
      </c>
      <c r="S7079">
        <v>82.5</v>
      </c>
      <c r="T7079" t="s">
        <v>35027</v>
      </c>
    </row>
    <row r="7080" spans="1:20">
      <c r="A7080">
        <v>4669989</v>
      </c>
      <c r="B7080" t="s">
        <v>35028</v>
      </c>
      <c r="C7080" t="str">
        <f>"9780802009470"</f>
        <v>9780802009470</v>
      </c>
      <c r="D7080" t="str">
        <f>"9781442657458"</f>
        <v>9781442657458</v>
      </c>
      <c r="E7080" t="s">
        <v>31435</v>
      </c>
      <c r="F7080" t="s">
        <v>31435</v>
      </c>
      <c r="G7080" s="1">
        <v>35431</v>
      </c>
      <c r="I7080" t="s">
        <v>35029</v>
      </c>
      <c r="J7080" t="s">
        <v>35030</v>
      </c>
      <c r="K7080" t="s">
        <v>1859</v>
      </c>
      <c r="L7080" t="s">
        <v>35031</v>
      </c>
      <c r="M7080">
        <v>121.4</v>
      </c>
      <c r="O7080" t="s">
        <v>26</v>
      </c>
      <c r="Q7080">
        <v>81.25</v>
      </c>
      <c r="R7080">
        <v>65</v>
      </c>
      <c r="S7080">
        <v>97.5</v>
      </c>
      <c r="T7080" t="s">
        <v>35032</v>
      </c>
    </row>
    <row r="7081" spans="1:20">
      <c r="A7081">
        <v>4669992</v>
      </c>
      <c r="B7081" t="s">
        <v>35033</v>
      </c>
      <c r="C7081" t="str">
        <f>"9780802085481"</f>
        <v>9780802085481</v>
      </c>
      <c r="D7081" t="str">
        <f>"9781442657281"</f>
        <v>9781442657281</v>
      </c>
      <c r="E7081" t="s">
        <v>31435</v>
      </c>
      <c r="F7081" t="s">
        <v>31435</v>
      </c>
      <c r="G7081" s="1">
        <v>37987</v>
      </c>
      <c r="H7081">
        <v>2</v>
      </c>
      <c r="I7081" t="s">
        <v>35034</v>
      </c>
      <c r="J7081" t="s">
        <v>35035</v>
      </c>
      <c r="K7081" t="s">
        <v>550</v>
      </c>
      <c r="L7081" t="s">
        <v>35036</v>
      </c>
      <c r="M7081">
        <v>302.23450971133002</v>
      </c>
      <c r="O7081" t="s">
        <v>26</v>
      </c>
      <c r="Q7081">
        <v>90</v>
      </c>
      <c r="R7081">
        <v>72</v>
      </c>
      <c r="S7081">
        <v>108</v>
      </c>
      <c r="T7081" t="s">
        <v>35037</v>
      </c>
    </row>
    <row r="7082" spans="1:20">
      <c r="A7082">
        <v>4669993</v>
      </c>
      <c r="B7082" t="s">
        <v>35038</v>
      </c>
      <c r="C7082" t="str">
        <f>"9780802090140"</f>
        <v>9780802090140</v>
      </c>
      <c r="D7082" t="str">
        <f>"9781442628199"</f>
        <v>9781442628199</v>
      </c>
      <c r="E7082" t="s">
        <v>31435</v>
      </c>
      <c r="F7082" t="s">
        <v>31435</v>
      </c>
      <c r="G7082" s="1">
        <v>39083</v>
      </c>
      <c r="J7082" t="s">
        <v>35039</v>
      </c>
      <c r="K7082" t="s">
        <v>13493</v>
      </c>
      <c r="L7082" t="s">
        <v>35040</v>
      </c>
      <c r="M7082">
        <v>780.08</v>
      </c>
      <c r="O7082" t="s">
        <v>26</v>
      </c>
      <c r="Q7082">
        <v>87.5</v>
      </c>
      <c r="R7082">
        <v>70</v>
      </c>
      <c r="S7082">
        <v>105</v>
      </c>
      <c r="T7082" t="s">
        <v>35041</v>
      </c>
    </row>
    <row r="7083" spans="1:20">
      <c r="A7083">
        <v>4669994</v>
      </c>
      <c r="B7083" t="s">
        <v>35042</v>
      </c>
      <c r="C7083" t="str">
        <f>"9780802090607"</f>
        <v>9780802090607</v>
      </c>
      <c r="D7083" t="str">
        <f>"9781442657083"</f>
        <v>9781442657083</v>
      </c>
      <c r="E7083" t="s">
        <v>31435</v>
      </c>
      <c r="F7083" t="s">
        <v>31435</v>
      </c>
      <c r="G7083" s="1">
        <v>42004</v>
      </c>
      <c r="J7083" t="s">
        <v>35043</v>
      </c>
      <c r="K7083" t="s">
        <v>467</v>
      </c>
      <c r="L7083" t="s">
        <v>35044</v>
      </c>
      <c r="M7083">
        <v>321.02300000000002</v>
      </c>
      <c r="O7083" t="s">
        <v>26</v>
      </c>
      <c r="Q7083">
        <v>87.5</v>
      </c>
      <c r="R7083">
        <v>70</v>
      </c>
      <c r="S7083">
        <v>105</v>
      </c>
      <c r="T7083" t="s">
        <v>35045</v>
      </c>
    </row>
    <row r="7084" spans="1:20">
      <c r="A7084">
        <v>4669995</v>
      </c>
      <c r="B7084" t="s">
        <v>35046</v>
      </c>
      <c r="C7084" t="str">
        <f>"9780802090430"</f>
        <v>9780802090430</v>
      </c>
      <c r="D7084" t="str">
        <f>"9781442656994"</f>
        <v>9781442656994</v>
      </c>
      <c r="E7084" t="s">
        <v>31435</v>
      </c>
      <c r="F7084" t="s">
        <v>31435</v>
      </c>
      <c r="G7084" s="1">
        <v>38693</v>
      </c>
      <c r="I7084" t="s">
        <v>35047</v>
      </c>
      <c r="J7084" t="s">
        <v>35048</v>
      </c>
      <c r="K7084" t="s">
        <v>291</v>
      </c>
      <c r="L7084" t="s">
        <v>35049</v>
      </c>
      <c r="M7084">
        <v>941.08509200000003</v>
      </c>
      <c r="O7084" t="s">
        <v>26</v>
      </c>
      <c r="Q7084">
        <v>105</v>
      </c>
      <c r="R7084">
        <v>84</v>
      </c>
      <c r="S7084">
        <v>126</v>
      </c>
      <c r="T7084" t="s">
        <v>35050</v>
      </c>
    </row>
    <row r="7085" spans="1:20">
      <c r="A7085">
        <v>4669996</v>
      </c>
      <c r="B7085" t="s">
        <v>35051</v>
      </c>
      <c r="C7085" t="str">
        <f>"9780802091055"</f>
        <v>9780802091055</v>
      </c>
      <c r="D7085" t="str">
        <f>"9781442657120"</f>
        <v>9781442657120</v>
      </c>
      <c r="E7085" t="s">
        <v>31435</v>
      </c>
      <c r="F7085" t="s">
        <v>31435</v>
      </c>
      <c r="G7085" s="1">
        <v>38718</v>
      </c>
      <c r="J7085" t="s">
        <v>35052</v>
      </c>
      <c r="K7085" t="s">
        <v>1464</v>
      </c>
      <c r="L7085" t="s">
        <v>35053</v>
      </c>
      <c r="M7085">
        <v>821.4</v>
      </c>
      <c r="O7085" t="s">
        <v>26</v>
      </c>
      <c r="Q7085">
        <v>68.75</v>
      </c>
      <c r="R7085">
        <v>55</v>
      </c>
      <c r="S7085">
        <v>82.5</v>
      </c>
      <c r="T7085" t="s">
        <v>35054</v>
      </c>
    </row>
    <row r="7086" spans="1:20">
      <c r="A7086">
        <v>4669997</v>
      </c>
      <c r="B7086" t="s">
        <v>35055</v>
      </c>
      <c r="C7086" t="str">
        <f>"9780802087652"</f>
        <v>9780802087652</v>
      </c>
      <c r="D7086" t="str">
        <f>"9781442657113"</f>
        <v>9781442657113</v>
      </c>
      <c r="E7086" t="s">
        <v>31435</v>
      </c>
      <c r="F7086" t="s">
        <v>31435</v>
      </c>
      <c r="G7086" s="1">
        <v>38353</v>
      </c>
      <c r="H7086">
        <v>2</v>
      </c>
      <c r="I7086" t="s">
        <v>35056</v>
      </c>
      <c r="J7086" t="s">
        <v>35057</v>
      </c>
      <c r="K7086" t="s">
        <v>2951</v>
      </c>
      <c r="L7086" t="s">
        <v>35058</v>
      </c>
      <c r="M7086">
        <v>302.2</v>
      </c>
      <c r="O7086" t="s">
        <v>26</v>
      </c>
      <c r="Q7086">
        <v>143.75</v>
      </c>
      <c r="R7086">
        <v>115</v>
      </c>
      <c r="S7086">
        <v>172.5</v>
      </c>
      <c r="T7086" t="s">
        <v>35059</v>
      </c>
    </row>
    <row r="7087" spans="1:20">
      <c r="A7087">
        <v>4670001</v>
      </c>
      <c r="B7087" t="s">
        <v>35060</v>
      </c>
      <c r="C7087" t="str">
        <f>"9780802094247"</f>
        <v>9780802094247</v>
      </c>
      <c r="D7087" t="str">
        <f>"9781442657151"</f>
        <v>9781442657151</v>
      </c>
      <c r="E7087" t="s">
        <v>31435</v>
      </c>
      <c r="F7087" t="s">
        <v>31435</v>
      </c>
      <c r="G7087" s="1">
        <v>38718</v>
      </c>
      <c r="I7087" t="s">
        <v>33881</v>
      </c>
      <c r="J7087" t="s">
        <v>35061</v>
      </c>
      <c r="K7087" t="s">
        <v>525</v>
      </c>
      <c r="L7087" t="s">
        <v>35062</v>
      </c>
      <c r="M7087">
        <v>340.10971000000001</v>
      </c>
      <c r="O7087" t="s">
        <v>26</v>
      </c>
      <c r="Q7087">
        <v>100</v>
      </c>
      <c r="R7087">
        <v>80</v>
      </c>
      <c r="S7087">
        <v>120</v>
      </c>
      <c r="T7087" t="s">
        <v>35063</v>
      </c>
    </row>
    <row r="7088" spans="1:20">
      <c r="A7088">
        <v>4670002</v>
      </c>
      <c r="B7088" t="s">
        <v>35064</v>
      </c>
      <c r="C7088" t="str">
        <f>"9780802086358"</f>
        <v>9780802086358</v>
      </c>
      <c r="D7088" t="str">
        <f>"9781442628151"</f>
        <v>9781442628151</v>
      </c>
      <c r="E7088" t="s">
        <v>31435</v>
      </c>
      <c r="F7088" t="s">
        <v>31435</v>
      </c>
      <c r="G7088" s="1">
        <v>38353</v>
      </c>
      <c r="H7088">
        <v>2</v>
      </c>
      <c r="J7088" t="s">
        <v>35065</v>
      </c>
      <c r="K7088" t="s">
        <v>1394</v>
      </c>
      <c r="L7088" t="s">
        <v>35066</v>
      </c>
      <c r="M7088">
        <v>614.42084409710003</v>
      </c>
      <c r="O7088" t="s">
        <v>26</v>
      </c>
      <c r="Q7088">
        <v>100</v>
      </c>
      <c r="R7088">
        <v>80</v>
      </c>
      <c r="S7088">
        <v>120</v>
      </c>
      <c r="T7088" t="s">
        <v>35067</v>
      </c>
    </row>
    <row r="7089" spans="1:20">
      <c r="A7089">
        <v>4670005</v>
      </c>
      <c r="B7089" t="s">
        <v>35068</v>
      </c>
      <c r="C7089" t="str">
        <f>"9780802090836"</f>
        <v>9780802090836</v>
      </c>
      <c r="D7089" t="str">
        <f>"9781442628144"</f>
        <v>9781442628144</v>
      </c>
      <c r="E7089" t="s">
        <v>31435</v>
      </c>
      <c r="F7089" t="s">
        <v>31435</v>
      </c>
      <c r="G7089" s="1">
        <v>42004</v>
      </c>
      <c r="I7089" t="s">
        <v>35069</v>
      </c>
      <c r="J7089" t="s">
        <v>35070</v>
      </c>
      <c r="K7089" t="s">
        <v>1550</v>
      </c>
      <c r="L7089" t="s">
        <v>35071</v>
      </c>
      <c r="M7089">
        <v>306.89999999999998</v>
      </c>
      <c r="O7089" t="s">
        <v>26</v>
      </c>
      <c r="Q7089">
        <v>106.25</v>
      </c>
      <c r="R7089">
        <v>85</v>
      </c>
      <c r="S7089">
        <v>127.5</v>
      </c>
      <c r="T7089" t="s">
        <v>35072</v>
      </c>
    </row>
    <row r="7090" spans="1:20">
      <c r="A7090">
        <v>4670007</v>
      </c>
      <c r="B7090" t="s">
        <v>35073</v>
      </c>
      <c r="C7090" t="str">
        <f>"9780802038869"</f>
        <v>9780802038869</v>
      </c>
      <c r="D7090" t="str">
        <f>"9781442628083"</f>
        <v>9781442628083</v>
      </c>
      <c r="E7090" t="s">
        <v>31435</v>
      </c>
      <c r="F7090" t="s">
        <v>31435</v>
      </c>
      <c r="G7090" s="1">
        <v>38353</v>
      </c>
      <c r="H7090">
        <v>2</v>
      </c>
      <c r="I7090" t="s">
        <v>35034</v>
      </c>
      <c r="J7090" t="s">
        <v>35074</v>
      </c>
      <c r="K7090" t="s">
        <v>263</v>
      </c>
      <c r="L7090" t="s">
        <v>35075</v>
      </c>
      <c r="M7090">
        <v>307.14160971354102</v>
      </c>
      <c r="O7090" t="s">
        <v>26</v>
      </c>
      <c r="Q7090">
        <v>100</v>
      </c>
      <c r="R7090">
        <v>80</v>
      </c>
      <c r="S7090">
        <v>120</v>
      </c>
      <c r="T7090" t="s">
        <v>35076</v>
      </c>
    </row>
    <row r="7091" spans="1:20">
      <c r="A7091">
        <v>4670010</v>
      </c>
      <c r="B7091" t="s">
        <v>35077</v>
      </c>
      <c r="C7091" t="str">
        <f>"9780802080172"</f>
        <v>9780802080172</v>
      </c>
      <c r="D7091" t="str">
        <f>"9781442628076"</f>
        <v>9781442628076</v>
      </c>
      <c r="E7091" t="s">
        <v>31435</v>
      </c>
      <c r="F7091" t="s">
        <v>31435</v>
      </c>
      <c r="G7091" s="1">
        <v>38353</v>
      </c>
      <c r="I7091" t="s">
        <v>34693</v>
      </c>
      <c r="J7091" t="s">
        <v>35078</v>
      </c>
      <c r="K7091" t="s">
        <v>2963</v>
      </c>
      <c r="L7091" t="s">
        <v>35079</v>
      </c>
      <c r="M7091">
        <v>907.202</v>
      </c>
      <c r="O7091" t="s">
        <v>26</v>
      </c>
      <c r="Q7091">
        <v>68.75</v>
      </c>
      <c r="R7091">
        <v>55</v>
      </c>
      <c r="S7091">
        <v>82.5</v>
      </c>
      <c r="T7091" t="s">
        <v>35080</v>
      </c>
    </row>
    <row r="7092" spans="1:20">
      <c r="A7092">
        <v>4670012</v>
      </c>
      <c r="B7092" t="s">
        <v>35081</v>
      </c>
      <c r="C7092" t="str">
        <f>"9780802048899"</f>
        <v>9780802048899</v>
      </c>
      <c r="D7092" t="str">
        <f>"9781442628021"</f>
        <v>9781442628021</v>
      </c>
      <c r="E7092" t="s">
        <v>31435</v>
      </c>
      <c r="F7092" t="s">
        <v>31435</v>
      </c>
      <c r="G7092" s="1">
        <v>38710</v>
      </c>
      <c r="H7092">
        <v>74</v>
      </c>
      <c r="I7092" t="s">
        <v>33827</v>
      </c>
      <c r="J7092" t="s">
        <v>35082</v>
      </c>
      <c r="K7092" t="s">
        <v>1464</v>
      </c>
      <c r="L7092" t="s">
        <v>35083</v>
      </c>
      <c r="M7092">
        <v>853.01080000000002</v>
      </c>
      <c r="O7092" t="s">
        <v>26</v>
      </c>
      <c r="Q7092">
        <v>81.25</v>
      </c>
      <c r="R7092">
        <v>65</v>
      </c>
      <c r="S7092">
        <v>97.5</v>
      </c>
      <c r="T7092" t="s">
        <v>35084</v>
      </c>
    </row>
    <row r="7093" spans="1:20">
      <c r="A7093">
        <v>4670014</v>
      </c>
      <c r="B7093" t="s">
        <v>35085</v>
      </c>
      <c r="C7093" t="str">
        <f>"9780802090003"</f>
        <v>9780802090003</v>
      </c>
      <c r="D7093" t="str">
        <f>"9781442628038"</f>
        <v>9781442628038</v>
      </c>
      <c r="E7093" t="s">
        <v>31435</v>
      </c>
      <c r="F7093" t="s">
        <v>31435</v>
      </c>
      <c r="G7093" s="1">
        <v>42004</v>
      </c>
      <c r="J7093" t="s">
        <v>35086</v>
      </c>
      <c r="K7093" t="s">
        <v>257</v>
      </c>
      <c r="L7093" t="s">
        <v>35087</v>
      </c>
      <c r="M7093">
        <v>378.120971</v>
      </c>
      <c r="O7093" t="s">
        <v>26</v>
      </c>
      <c r="Q7093">
        <v>106.25</v>
      </c>
      <c r="R7093">
        <v>85</v>
      </c>
      <c r="S7093">
        <v>127.5</v>
      </c>
      <c r="T7093" t="s">
        <v>35088</v>
      </c>
    </row>
    <row r="7094" spans="1:20">
      <c r="A7094">
        <v>4670016</v>
      </c>
      <c r="B7094" t="s">
        <v>35089</v>
      </c>
      <c r="C7094" t="str">
        <f>"9780802086792"</f>
        <v>9780802086792</v>
      </c>
      <c r="D7094" t="str">
        <f>"9781442627987"</f>
        <v>9781442627987</v>
      </c>
      <c r="E7094" t="s">
        <v>31435</v>
      </c>
      <c r="F7094" t="s">
        <v>31435</v>
      </c>
      <c r="G7094" s="1">
        <v>37622</v>
      </c>
      <c r="H7094">
        <v>2</v>
      </c>
      <c r="I7094" t="s">
        <v>34935</v>
      </c>
      <c r="J7094" t="s">
        <v>35090</v>
      </c>
      <c r="K7094" t="s">
        <v>3994</v>
      </c>
      <c r="L7094" t="s">
        <v>35091</v>
      </c>
      <c r="M7094" t="s">
        <v>35092</v>
      </c>
      <c r="O7094" t="s">
        <v>26</v>
      </c>
      <c r="Q7094">
        <v>42.44</v>
      </c>
      <c r="R7094">
        <v>33.950000000000003</v>
      </c>
      <c r="S7094">
        <v>50.93</v>
      </c>
      <c r="T7094" t="s">
        <v>35093</v>
      </c>
    </row>
    <row r="7095" spans="1:20">
      <c r="A7095">
        <v>4670018</v>
      </c>
      <c r="B7095" t="s">
        <v>35094</v>
      </c>
      <c r="C7095" t="str">
        <f>"9780802093929"</f>
        <v>9780802093929</v>
      </c>
      <c r="D7095" t="str">
        <f>"9781442628014"</f>
        <v>9781442628014</v>
      </c>
      <c r="E7095" t="s">
        <v>31435</v>
      </c>
      <c r="F7095" t="s">
        <v>31435</v>
      </c>
      <c r="G7095" s="1">
        <v>38353</v>
      </c>
      <c r="J7095" t="s">
        <v>35095</v>
      </c>
      <c r="K7095" t="s">
        <v>263</v>
      </c>
      <c r="L7095" t="s">
        <v>35096</v>
      </c>
      <c r="M7095">
        <v>305.23</v>
      </c>
      <c r="O7095" t="s">
        <v>26</v>
      </c>
      <c r="Q7095">
        <v>62.5</v>
      </c>
      <c r="R7095">
        <v>50</v>
      </c>
      <c r="S7095">
        <v>75</v>
      </c>
      <c r="T7095" t="s">
        <v>35097</v>
      </c>
    </row>
    <row r="7096" spans="1:20">
      <c r="A7096">
        <v>4670022</v>
      </c>
      <c r="B7096" t="s">
        <v>35098</v>
      </c>
      <c r="C7096" t="str">
        <f>"9780802093790"</f>
        <v>9780802093790</v>
      </c>
      <c r="D7096" t="str">
        <f>"9781442627949"</f>
        <v>9781442627949</v>
      </c>
      <c r="E7096" t="s">
        <v>31435</v>
      </c>
      <c r="F7096" t="s">
        <v>31435</v>
      </c>
      <c r="G7096" s="1">
        <v>38718</v>
      </c>
      <c r="J7096" t="s">
        <v>35099</v>
      </c>
      <c r="K7096" t="s">
        <v>1082</v>
      </c>
      <c r="L7096" t="s">
        <v>35100</v>
      </c>
      <c r="M7096" t="s">
        <v>35101</v>
      </c>
      <c r="O7096" t="s">
        <v>26</v>
      </c>
      <c r="Q7096">
        <v>87.5</v>
      </c>
      <c r="R7096">
        <v>70</v>
      </c>
      <c r="S7096">
        <v>105</v>
      </c>
      <c r="T7096" t="s">
        <v>35102</v>
      </c>
    </row>
    <row r="7097" spans="1:20">
      <c r="A7097">
        <v>4670028</v>
      </c>
      <c r="B7097" t="s">
        <v>35103</v>
      </c>
      <c r="C7097" t="str">
        <f>"9780802038098"</f>
        <v>9780802038098</v>
      </c>
      <c r="D7097" t="str">
        <f>"9781442627796"</f>
        <v>9781442627796</v>
      </c>
      <c r="E7097" t="s">
        <v>31435</v>
      </c>
      <c r="F7097" t="s">
        <v>31435</v>
      </c>
      <c r="G7097" s="1">
        <v>38353</v>
      </c>
      <c r="H7097">
        <v>2</v>
      </c>
      <c r="J7097" t="s">
        <v>35104</v>
      </c>
      <c r="K7097" t="s">
        <v>1859</v>
      </c>
      <c r="L7097" t="s">
        <v>35105</v>
      </c>
      <c r="M7097">
        <v>100</v>
      </c>
      <c r="O7097" t="s">
        <v>26</v>
      </c>
      <c r="Q7097">
        <v>96.25</v>
      </c>
      <c r="R7097">
        <v>77</v>
      </c>
      <c r="S7097">
        <v>115.5</v>
      </c>
      <c r="T7097" t="s">
        <v>35106</v>
      </c>
    </row>
    <row r="7098" spans="1:20">
      <c r="A7098">
        <v>4670029</v>
      </c>
      <c r="B7098" t="s">
        <v>35107</v>
      </c>
      <c r="C7098" t="str">
        <f>"9780802093974"</f>
        <v>9780802093974</v>
      </c>
      <c r="D7098" t="str">
        <f>"9781442627864"</f>
        <v>9781442627864</v>
      </c>
      <c r="E7098" t="s">
        <v>31435</v>
      </c>
      <c r="F7098" t="s">
        <v>31435</v>
      </c>
      <c r="G7098" s="1">
        <v>42003</v>
      </c>
      <c r="J7098" t="s">
        <v>6884</v>
      </c>
      <c r="K7098" t="s">
        <v>291</v>
      </c>
      <c r="M7098">
        <v>971.46</v>
      </c>
      <c r="O7098" t="s">
        <v>26</v>
      </c>
      <c r="Q7098">
        <v>106.25</v>
      </c>
      <c r="R7098">
        <v>85</v>
      </c>
      <c r="S7098">
        <v>127.5</v>
      </c>
      <c r="T7098" t="s">
        <v>35108</v>
      </c>
    </row>
    <row r="7099" spans="1:20">
      <c r="A7099">
        <v>4670031</v>
      </c>
      <c r="B7099" t="s">
        <v>35109</v>
      </c>
      <c r="C7099" t="str">
        <f>"9780802091987"</f>
        <v>9780802091987</v>
      </c>
      <c r="D7099" t="str">
        <f>"9781442627765"</f>
        <v>9781442627765</v>
      </c>
      <c r="E7099" t="s">
        <v>31435</v>
      </c>
      <c r="F7099" t="s">
        <v>31435</v>
      </c>
      <c r="G7099" s="1">
        <v>39083</v>
      </c>
      <c r="I7099" t="s">
        <v>34035</v>
      </c>
      <c r="J7099" t="s">
        <v>35110</v>
      </c>
      <c r="K7099" t="s">
        <v>1464</v>
      </c>
      <c r="L7099" t="s">
        <v>35111</v>
      </c>
      <c r="M7099" t="s">
        <v>35112</v>
      </c>
      <c r="O7099" t="s">
        <v>26</v>
      </c>
      <c r="Q7099">
        <v>93.75</v>
      </c>
      <c r="R7099">
        <v>75</v>
      </c>
      <c r="S7099">
        <v>112.5</v>
      </c>
      <c r="T7099" t="s">
        <v>35113</v>
      </c>
    </row>
    <row r="7100" spans="1:20">
      <c r="A7100">
        <v>4670035</v>
      </c>
      <c r="B7100" t="s">
        <v>35114</v>
      </c>
      <c r="C7100" t="str">
        <f>"9780802094186"</f>
        <v>9780802094186</v>
      </c>
      <c r="D7100" t="str">
        <f>"9781442627871"</f>
        <v>9781442627871</v>
      </c>
      <c r="E7100" t="s">
        <v>31435</v>
      </c>
      <c r="F7100" t="s">
        <v>31435</v>
      </c>
      <c r="G7100" s="1">
        <v>38718</v>
      </c>
      <c r="J7100" t="s">
        <v>35115</v>
      </c>
      <c r="K7100" t="s">
        <v>1550</v>
      </c>
      <c r="L7100" t="s">
        <v>35116</v>
      </c>
      <c r="M7100" t="s">
        <v>35117</v>
      </c>
      <c r="O7100" t="s">
        <v>26</v>
      </c>
      <c r="Q7100">
        <v>106.25</v>
      </c>
      <c r="R7100">
        <v>85</v>
      </c>
      <c r="S7100">
        <v>127.5</v>
      </c>
      <c r="T7100" t="s">
        <v>35118</v>
      </c>
    </row>
    <row r="7101" spans="1:20">
      <c r="A7101">
        <v>4670036</v>
      </c>
      <c r="B7101" t="s">
        <v>35119</v>
      </c>
      <c r="C7101" t="str">
        <f>"9781487520021"</f>
        <v>9781487520021</v>
      </c>
      <c r="D7101" t="str">
        <f>"9781442627789"</f>
        <v>9781442627789</v>
      </c>
      <c r="E7101" t="s">
        <v>31435</v>
      </c>
      <c r="F7101" t="s">
        <v>31435</v>
      </c>
      <c r="G7101" s="1">
        <v>39083</v>
      </c>
      <c r="J7101" t="s">
        <v>35120</v>
      </c>
      <c r="K7101" t="s">
        <v>2260</v>
      </c>
      <c r="L7101" t="s">
        <v>35121</v>
      </c>
      <c r="M7101">
        <v>616.84979999999905</v>
      </c>
      <c r="O7101" t="s">
        <v>26</v>
      </c>
      <c r="Q7101">
        <v>71.19</v>
      </c>
      <c r="R7101">
        <v>56.95</v>
      </c>
      <c r="S7101">
        <v>85.43</v>
      </c>
      <c r="T7101" t="s">
        <v>35122</v>
      </c>
    </row>
    <row r="7102" spans="1:20">
      <c r="A7102">
        <v>4670038</v>
      </c>
      <c r="B7102" t="s">
        <v>35123</v>
      </c>
      <c r="C7102" t="str">
        <f>"9780802091239"</f>
        <v>9780802091239</v>
      </c>
      <c r="D7102" t="str">
        <f>"9781442627734"</f>
        <v>9781442627734</v>
      </c>
      <c r="E7102" t="s">
        <v>31435</v>
      </c>
      <c r="F7102" t="s">
        <v>31435</v>
      </c>
      <c r="G7102" s="1">
        <v>38718</v>
      </c>
      <c r="J7102" t="s">
        <v>35124</v>
      </c>
      <c r="K7102" t="s">
        <v>257</v>
      </c>
      <c r="L7102" t="s">
        <v>35125</v>
      </c>
      <c r="M7102">
        <v>370.97129999999902</v>
      </c>
      <c r="O7102" t="s">
        <v>26</v>
      </c>
      <c r="Q7102">
        <v>68.75</v>
      </c>
      <c r="R7102">
        <v>55</v>
      </c>
      <c r="S7102">
        <v>82.5</v>
      </c>
      <c r="T7102" t="s">
        <v>35126</v>
      </c>
    </row>
    <row r="7103" spans="1:20">
      <c r="A7103">
        <v>4670039</v>
      </c>
      <c r="B7103" t="s">
        <v>35127</v>
      </c>
      <c r="C7103" t="str">
        <f>"9780802094827"</f>
        <v>9780802094827</v>
      </c>
      <c r="D7103" t="str">
        <f>"9781442627697"</f>
        <v>9781442627697</v>
      </c>
      <c r="E7103" t="s">
        <v>31435</v>
      </c>
      <c r="F7103" t="s">
        <v>31435</v>
      </c>
      <c r="G7103" s="1">
        <v>39083</v>
      </c>
      <c r="J7103" t="s">
        <v>35128</v>
      </c>
      <c r="K7103" t="s">
        <v>263</v>
      </c>
      <c r="L7103" t="s">
        <v>35129</v>
      </c>
      <c r="M7103" t="s">
        <v>35130</v>
      </c>
      <c r="O7103" t="s">
        <v>26</v>
      </c>
      <c r="Q7103">
        <v>99.94</v>
      </c>
      <c r="R7103">
        <v>79.95</v>
      </c>
      <c r="S7103">
        <v>119.93</v>
      </c>
      <c r="T7103" t="s">
        <v>35131</v>
      </c>
    </row>
    <row r="7104" spans="1:20">
      <c r="A7104">
        <v>4670041</v>
      </c>
      <c r="B7104" t="s">
        <v>35132</v>
      </c>
      <c r="C7104" t="str">
        <f>"9780802087171"</f>
        <v>9780802087171</v>
      </c>
      <c r="D7104" t="str">
        <f>"9781442627727"</f>
        <v>9781442627727</v>
      </c>
      <c r="E7104" t="s">
        <v>31435</v>
      </c>
      <c r="F7104" t="s">
        <v>31435</v>
      </c>
      <c r="G7104" s="1">
        <v>37987</v>
      </c>
      <c r="H7104">
        <v>2</v>
      </c>
      <c r="J7104" t="s">
        <v>35133</v>
      </c>
      <c r="K7104" t="s">
        <v>1464</v>
      </c>
      <c r="L7104" t="s">
        <v>35134</v>
      </c>
      <c r="M7104" t="s">
        <v>35135</v>
      </c>
      <c r="O7104" t="s">
        <v>26</v>
      </c>
      <c r="Q7104">
        <v>86.25</v>
      </c>
      <c r="R7104">
        <v>69</v>
      </c>
      <c r="S7104">
        <v>103.5</v>
      </c>
      <c r="T7104" t="s">
        <v>35136</v>
      </c>
    </row>
    <row r="7105" spans="1:20">
      <c r="A7105">
        <v>4670045</v>
      </c>
      <c r="B7105" t="s">
        <v>35137</v>
      </c>
      <c r="C7105" t="str">
        <f>"9781442645622"</f>
        <v>9781442645622</v>
      </c>
      <c r="D7105" t="str">
        <f>"9781442663237"</f>
        <v>9781442663237</v>
      </c>
      <c r="E7105" t="s">
        <v>31435</v>
      </c>
      <c r="F7105" t="s">
        <v>31435</v>
      </c>
      <c r="G7105" s="1">
        <v>41275</v>
      </c>
      <c r="H7105">
        <v>3</v>
      </c>
      <c r="J7105" t="s">
        <v>35138</v>
      </c>
      <c r="K7105" t="s">
        <v>291</v>
      </c>
      <c r="L7105" t="s">
        <v>35139</v>
      </c>
      <c r="M7105">
        <v>944.02709200000004</v>
      </c>
      <c r="O7105" t="s">
        <v>26</v>
      </c>
      <c r="Q7105">
        <v>83.75</v>
      </c>
      <c r="R7105">
        <v>67</v>
      </c>
      <c r="S7105">
        <v>100.5</v>
      </c>
      <c r="T7105" t="s">
        <v>35140</v>
      </c>
    </row>
    <row r="7106" spans="1:20">
      <c r="A7106">
        <v>4670048</v>
      </c>
      <c r="B7106" t="s">
        <v>35141</v>
      </c>
      <c r="C7106" t="str">
        <f>"9780802039453"</f>
        <v>9780802039453</v>
      </c>
      <c r="D7106" t="str">
        <f>"9781442627550"</f>
        <v>9781442627550</v>
      </c>
      <c r="E7106" t="s">
        <v>31435</v>
      </c>
      <c r="F7106" t="s">
        <v>31435</v>
      </c>
      <c r="G7106" s="1">
        <v>38353</v>
      </c>
      <c r="H7106">
        <v>2</v>
      </c>
      <c r="I7106" t="s">
        <v>34756</v>
      </c>
      <c r="J7106" t="s">
        <v>35142</v>
      </c>
      <c r="K7106" t="s">
        <v>1464</v>
      </c>
      <c r="L7106" t="s">
        <v>35143</v>
      </c>
      <c r="M7106" t="s">
        <v>35144</v>
      </c>
      <c r="O7106" t="s">
        <v>26</v>
      </c>
      <c r="Q7106">
        <v>150</v>
      </c>
      <c r="R7106">
        <v>120</v>
      </c>
      <c r="S7106">
        <v>180</v>
      </c>
      <c r="T7106" t="s">
        <v>35145</v>
      </c>
    </row>
    <row r="7107" spans="1:20">
      <c r="A7107">
        <v>4670049</v>
      </c>
      <c r="B7107" t="s">
        <v>35146</v>
      </c>
      <c r="C7107" t="str">
        <f>"9781442611351"</f>
        <v>9781442611351</v>
      </c>
      <c r="D7107" t="str">
        <f>"9781442627628"</f>
        <v>9781442627628</v>
      </c>
      <c r="E7107" t="s">
        <v>31435</v>
      </c>
      <c r="F7107" t="s">
        <v>31435</v>
      </c>
      <c r="G7107" s="1">
        <v>40182</v>
      </c>
      <c r="J7107" t="s">
        <v>35147</v>
      </c>
      <c r="K7107" t="s">
        <v>1550</v>
      </c>
      <c r="L7107" t="s">
        <v>35148</v>
      </c>
      <c r="M7107">
        <v>305.80097110000003</v>
      </c>
      <c r="O7107" t="s">
        <v>26</v>
      </c>
      <c r="Q7107">
        <v>75</v>
      </c>
      <c r="R7107">
        <v>60</v>
      </c>
      <c r="S7107">
        <v>90</v>
      </c>
      <c r="T7107" t="s">
        <v>35149</v>
      </c>
    </row>
    <row r="7108" spans="1:20">
      <c r="A7108">
        <v>4670050</v>
      </c>
      <c r="B7108" t="s">
        <v>35150</v>
      </c>
      <c r="C7108" t="str">
        <f>"9780802093622"</f>
        <v>9780802093622</v>
      </c>
      <c r="D7108" t="str">
        <f>"9781442627543"</f>
        <v>9781442627543</v>
      </c>
      <c r="E7108" t="s">
        <v>31435</v>
      </c>
      <c r="F7108" t="s">
        <v>31435</v>
      </c>
      <c r="G7108" s="1">
        <v>39448</v>
      </c>
      <c r="I7108" t="s">
        <v>34756</v>
      </c>
      <c r="J7108" t="s">
        <v>34548</v>
      </c>
      <c r="K7108" t="s">
        <v>1464</v>
      </c>
      <c r="L7108" t="s">
        <v>35151</v>
      </c>
      <c r="M7108" t="s">
        <v>35144</v>
      </c>
      <c r="O7108" t="s">
        <v>26</v>
      </c>
      <c r="Q7108">
        <v>137.5</v>
      </c>
      <c r="R7108">
        <v>110</v>
      </c>
      <c r="S7108">
        <v>165</v>
      </c>
      <c r="T7108" t="s">
        <v>35152</v>
      </c>
    </row>
    <row r="7109" spans="1:20">
      <c r="A7109">
        <v>4670051</v>
      </c>
      <c r="B7109" t="s">
        <v>35153</v>
      </c>
      <c r="C7109" t="str">
        <f>"9780802094049"</f>
        <v>9780802094049</v>
      </c>
      <c r="D7109" t="str">
        <f>"9781442627604"</f>
        <v>9781442627604</v>
      </c>
      <c r="E7109" t="s">
        <v>31435</v>
      </c>
      <c r="F7109" t="s">
        <v>31435</v>
      </c>
      <c r="G7109" s="1">
        <v>38718</v>
      </c>
      <c r="I7109" t="s">
        <v>35154</v>
      </c>
      <c r="J7109" t="s">
        <v>35155</v>
      </c>
      <c r="K7109" t="s">
        <v>1464</v>
      </c>
      <c r="L7109" t="s">
        <v>35156</v>
      </c>
      <c r="M7109" t="s">
        <v>35157</v>
      </c>
      <c r="O7109" t="s">
        <v>26</v>
      </c>
      <c r="Q7109">
        <v>81.25</v>
      </c>
      <c r="R7109">
        <v>65</v>
      </c>
      <c r="S7109">
        <v>97.5</v>
      </c>
      <c r="T7109" t="s">
        <v>35158</v>
      </c>
    </row>
    <row r="7110" spans="1:20">
      <c r="A7110">
        <v>4670053</v>
      </c>
      <c r="B7110" t="s">
        <v>35159</v>
      </c>
      <c r="C7110" t="str">
        <f>"9780802048882"</f>
        <v>9780802048882</v>
      </c>
      <c r="D7110" t="str">
        <f>"9781442627451"</f>
        <v>9781442627451</v>
      </c>
      <c r="E7110" t="s">
        <v>31435</v>
      </c>
      <c r="F7110" t="s">
        <v>31435</v>
      </c>
      <c r="G7110" s="1">
        <v>38353</v>
      </c>
      <c r="I7110" t="s">
        <v>34693</v>
      </c>
      <c r="J7110" t="s">
        <v>35160</v>
      </c>
      <c r="K7110" t="s">
        <v>263</v>
      </c>
      <c r="L7110" t="s">
        <v>35161</v>
      </c>
      <c r="M7110" t="s">
        <v>35162</v>
      </c>
      <c r="O7110" t="s">
        <v>26</v>
      </c>
      <c r="Q7110">
        <v>93.75</v>
      </c>
      <c r="R7110">
        <v>75</v>
      </c>
      <c r="S7110">
        <v>112.5</v>
      </c>
      <c r="T7110" t="s">
        <v>35163</v>
      </c>
    </row>
    <row r="7111" spans="1:20">
      <c r="A7111">
        <v>4670061</v>
      </c>
      <c r="B7111" t="s">
        <v>35164</v>
      </c>
      <c r="C7111" t="str">
        <f>"9780802086938"</f>
        <v>9780802086938</v>
      </c>
      <c r="D7111" t="str">
        <f>"9781442627468"</f>
        <v>9781442627468</v>
      </c>
      <c r="E7111" t="s">
        <v>31435</v>
      </c>
      <c r="F7111" t="s">
        <v>31435</v>
      </c>
      <c r="G7111" s="1">
        <v>37987</v>
      </c>
      <c r="H7111">
        <v>2</v>
      </c>
      <c r="J7111" t="s">
        <v>35165</v>
      </c>
      <c r="K7111" t="s">
        <v>263</v>
      </c>
      <c r="L7111" t="s">
        <v>35166</v>
      </c>
      <c r="M7111" t="s">
        <v>35167</v>
      </c>
      <c r="O7111" t="s">
        <v>26</v>
      </c>
      <c r="Q7111">
        <v>106.25</v>
      </c>
      <c r="R7111">
        <v>85</v>
      </c>
      <c r="S7111">
        <v>127.5</v>
      </c>
      <c r="T7111" t="s">
        <v>35168</v>
      </c>
    </row>
    <row r="7112" spans="1:20">
      <c r="A7112">
        <v>4670063</v>
      </c>
      <c r="B7112" t="s">
        <v>35169</v>
      </c>
      <c r="C7112" t="str">
        <f>"9780802039088"</f>
        <v>9780802039088</v>
      </c>
      <c r="D7112" t="str">
        <f>"9781442627437"</f>
        <v>9781442627437</v>
      </c>
      <c r="E7112" t="s">
        <v>31435</v>
      </c>
      <c r="F7112" t="s">
        <v>31435</v>
      </c>
      <c r="G7112" s="1">
        <v>37987</v>
      </c>
      <c r="H7112">
        <v>2</v>
      </c>
      <c r="J7112" t="s">
        <v>35170</v>
      </c>
      <c r="K7112" t="s">
        <v>1464</v>
      </c>
      <c r="L7112" t="s">
        <v>35171</v>
      </c>
      <c r="M7112" t="s">
        <v>4596</v>
      </c>
      <c r="O7112" t="s">
        <v>26</v>
      </c>
      <c r="Q7112">
        <v>80</v>
      </c>
      <c r="R7112">
        <v>64</v>
      </c>
      <c r="S7112">
        <v>96</v>
      </c>
      <c r="T7112" t="s">
        <v>35172</v>
      </c>
    </row>
    <row r="7113" spans="1:20">
      <c r="A7113">
        <v>4670064</v>
      </c>
      <c r="B7113" t="s">
        <v>35173</v>
      </c>
      <c r="C7113" t="str">
        <f>"9781442644700"</f>
        <v>9781442644700</v>
      </c>
      <c r="D7113" t="str">
        <f>"9781442661387"</f>
        <v>9781442661387</v>
      </c>
      <c r="E7113" t="s">
        <v>31435</v>
      </c>
      <c r="F7113" t="s">
        <v>31435</v>
      </c>
      <c r="G7113" s="1">
        <v>40909</v>
      </c>
      <c r="J7113" t="s">
        <v>35174</v>
      </c>
      <c r="K7113" t="s">
        <v>291</v>
      </c>
      <c r="L7113" t="s">
        <v>35175</v>
      </c>
      <c r="M7113">
        <v>940.1</v>
      </c>
      <c r="O7113" t="s">
        <v>26</v>
      </c>
      <c r="Q7113">
        <v>90</v>
      </c>
      <c r="R7113">
        <v>72</v>
      </c>
      <c r="S7113">
        <v>108</v>
      </c>
      <c r="T7113" t="s">
        <v>35176</v>
      </c>
    </row>
    <row r="7114" spans="1:20">
      <c r="A7114">
        <v>4670067</v>
      </c>
      <c r="B7114" t="s">
        <v>35177</v>
      </c>
      <c r="C7114" t="str">
        <f>"9780802085535"</f>
        <v>9780802085535</v>
      </c>
      <c r="D7114" t="str">
        <f>"9781442627345"</f>
        <v>9781442627345</v>
      </c>
      <c r="E7114" t="s">
        <v>31435</v>
      </c>
      <c r="F7114" t="s">
        <v>31435</v>
      </c>
      <c r="G7114" s="1">
        <v>42005</v>
      </c>
      <c r="I7114" t="s">
        <v>35178</v>
      </c>
      <c r="J7114" t="s">
        <v>35179</v>
      </c>
      <c r="K7114" t="s">
        <v>263</v>
      </c>
      <c r="L7114" t="s">
        <v>35180</v>
      </c>
      <c r="M7114">
        <v>303.48399999999998</v>
      </c>
      <c r="O7114" t="s">
        <v>26</v>
      </c>
      <c r="Q7114">
        <v>100</v>
      </c>
      <c r="R7114">
        <v>80</v>
      </c>
      <c r="S7114">
        <v>120</v>
      </c>
      <c r="T7114" t="s">
        <v>35181</v>
      </c>
    </row>
    <row r="7115" spans="1:20">
      <c r="A7115">
        <v>4670068</v>
      </c>
      <c r="B7115" t="s">
        <v>35182</v>
      </c>
      <c r="C7115" t="str">
        <f>"9780802050014"</f>
        <v>9780802050014</v>
      </c>
      <c r="D7115" t="str">
        <f>"9781442627352"</f>
        <v>9781442627352</v>
      </c>
      <c r="E7115" t="s">
        <v>31435</v>
      </c>
      <c r="F7115" t="s">
        <v>31435</v>
      </c>
      <c r="G7115" s="1">
        <v>37987</v>
      </c>
      <c r="H7115">
        <v>2</v>
      </c>
      <c r="J7115" t="s">
        <v>35183</v>
      </c>
      <c r="K7115" t="s">
        <v>1464</v>
      </c>
      <c r="L7115" t="s">
        <v>35184</v>
      </c>
      <c r="M7115" t="s">
        <v>35185</v>
      </c>
      <c r="O7115" t="s">
        <v>26</v>
      </c>
      <c r="Q7115">
        <v>93.75</v>
      </c>
      <c r="R7115">
        <v>75</v>
      </c>
      <c r="S7115">
        <v>112.5</v>
      </c>
      <c r="T7115" t="s">
        <v>35186</v>
      </c>
    </row>
    <row r="7116" spans="1:20">
      <c r="A7116">
        <v>4670069</v>
      </c>
      <c r="B7116" t="s">
        <v>35187</v>
      </c>
      <c r="C7116" t="str">
        <f>"9780802038272"</f>
        <v>9780802038272</v>
      </c>
      <c r="D7116" t="str">
        <f>"9781442627383"</f>
        <v>9781442627383</v>
      </c>
      <c r="E7116" t="s">
        <v>31435</v>
      </c>
      <c r="F7116" t="s">
        <v>31435</v>
      </c>
      <c r="G7116" s="1">
        <v>38718</v>
      </c>
      <c r="H7116">
        <v>2</v>
      </c>
      <c r="I7116" t="s">
        <v>35188</v>
      </c>
      <c r="J7116" t="s">
        <v>35189</v>
      </c>
      <c r="K7116" t="s">
        <v>1471</v>
      </c>
      <c r="L7116" t="s">
        <v>35190</v>
      </c>
      <c r="M7116" t="s">
        <v>35191</v>
      </c>
      <c r="O7116" t="s">
        <v>26</v>
      </c>
      <c r="Q7116">
        <v>106.25</v>
      </c>
      <c r="R7116">
        <v>85</v>
      </c>
      <c r="S7116">
        <v>127.5</v>
      </c>
      <c r="T7116" t="s">
        <v>35192</v>
      </c>
    </row>
    <row r="7117" spans="1:20">
      <c r="A7117">
        <v>4670072</v>
      </c>
      <c r="B7117" t="s">
        <v>35193</v>
      </c>
      <c r="C7117" t="str">
        <f>"9780802086648"</f>
        <v>9780802086648</v>
      </c>
      <c r="D7117" t="str">
        <f>"9781442627376"</f>
        <v>9781442627376</v>
      </c>
      <c r="E7117" t="s">
        <v>31435</v>
      </c>
      <c r="F7117" t="s">
        <v>31435</v>
      </c>
      <c r="G7117" s="1">
        <v>42005</v>
      </c>
      <c r="H7117">
        <v>2</v>
      </c>
      <c r="I7117" t="s">
        <v>35194</v>
      </c>
      <c r="J7117" t="s">
        <v>35195</v>
      </c>
      <c r="K7117" t="s">
        <v>1464</v>
      </c>
      <c r="L7117" t="s">
        <v>35196</v>
      </c>
      <c r="M7117">
        <v>820.99287089999996</v>
      </c>
      <c r="O7117" t="s">
        <v>26</v>
      </c>
      <c r="Q7117">
        <v>100</v>
      </c>
      <c r="R7117">
        <v>80</v>
      </c>
      <c r="S7117">
        <v>120</v>
      </c>
      <c r="T7117" t="s">
        <v>35197</v>
      </c>
    </row>
    <row r="7118" spans="1:20">
      <c r="A7118">
        <v>4670073</v>
      </c>
      <c r="B7118" t="s">
        <v>35198</v>
      </c>
      <c r="C7118" t="str">
        <f>"9781442629226"</f>
        <v>9781442629226</v>
      </c>
      <c r="D7118" t="str">
        <f>"9781442661592"</f>
        <v>9781442661592</v>
      </c>
      <c r="E7118" t="s">
        <v>31435</v>
      </c>
      <c r="F7118" t="s">
        <v>31435</v>
      </c>
      <c r="G7118" s="1">
        <v>42107</v>
      </c>
      <c r="J7118" t="s">
        <v>35199</v>
      </c>
      <c r="K7118" t="s">
        <v>291</v>
      </c>
      <c r="M7118">
        <v>937</v>
      </c>
      <c r="N7118" t="s">
        <v>35200</v>
      </c>
      <c r="O7118" t="s">
        <v>26</v>
      </c>
      <c r="Q7118">
        <v>115</v>
      </c>
      <c r="R7118">
        <v>92</v>
      </c>
      <c r="S7118">
        <v>138</v>
      </c>
      <c r="T7118" t="s">
        <v>35201</v>
      </c>
    </row>
    <row r="7119" spans="1:20">
      <c r="A7119">
        <v>4670075</v>
      </c>
      <c r="B7119" t="s">
        <v>35202</v>
      </c>
      <c r="C7119" t="str">
        <f>"9780802038319"</f>
        <v>9780802038319</v>
      </c>
      <c r="D7119" t="str">
        <f>"9781442627208"</f>
        <v>9781442627208</v>
      </c>
      <c r="E7119" t="s">
        <v>31435</v>
      </c>
      <c r="F7119" t="s">
        <v>31435</v>
      </c>
      <c r="G7119" s="1">
        <v>38353</v>
      </c>
      <c r="H7119">
        <v>2</v>
      </c>
      <c r="I7119" t="s">
        <v>35203</v>
      </c>
      <c r="J7119" t="s">
        <v>35204</v>
      </c>
      <c r="K7119" t="s">
        <v>11854</v>
      </c>
      <c r="L7119" t="s">
        <v>35205</v>
      </c>
      <c r="M7119" t="s">
        <v>35206</v>
      </c>
      <c r="O7119" t="s">
        <v>26</v>
      </c>
      <c r="Q7119">
        <v>102.5</v>
      </c>
      <c r="R7119">
        <v>82</v>
      </c>
      <c r="S7119">
        <v>123</v>
      </c>
      <c r="T7119" t="s">
        <v>35207</v>
      </c>
    </row>
    <row r="7120" spans="1:20">
      <c r="A7120">
        <v>4670076</v>
      </c>
      <c r="B7120" t="s">
        <v>35208</v>
      </c>
      <c r="C7120" t="str">
        <f>"9780802094452"</f>
        <v>9780802094452</v>
      </c>
      <c r="D7120" t="str">
        <f>"9781442627284"</f>
        <v>9781442627284</v>
      </c>
      <c r="E7120" t="s">
        <v>31435</v>
      </c>
      <c r="F7120" t="s">
        <v>31435</v>
      </c>
      <c r="G7120" s="1">
        <v>39082</v>
      </c>
      <c r="I7120" t="s">
        <v>33827</v>
      </c>
      <c r="J7120" t="s">
        <v>35209</v>
      </c>
      <c r="K7120" t="s">
        <v>291</v>
      </c>
      <c r="L7120" t="s">
        <v>35210</v>
      </c>
      <c r="M7120">
        <v>945.08</v>
      </c>
      <c r="O7120" t="s">
        <v>26</v>
      </c>
      <c r="Q7120">
        <v>87.5</v>
      </c>
      <c r="R7120">
        <v>70</v>
      </c>
      <c r="S7120">
        <v>105</v>
      </c>
      <c r="T7120" t="s">
        <v>35211</v>
      </c>
    </row>
    <row r="7121" spans="1:20">
      <c r="A7121">
        <v>4670077</v>
      </c>
      <c r="B7121" t="s">
        <v>35212</v>
      </c>
      <c r="C7121" t="str">
        <f>"9780802090737"</f>
        <v>9780802090737</v>
      </c>
      <c r="D7121" t="str">
        <f>"9781442627215"</f>
        <v>9781442627215</v>
      </c>
      <c r="E7121" t="s">
        <v>31435</v>
      </c>
      <c r="F7121" t="s">
        <v>31435</v>
      </c>
      <c r="G7121" s="1">
        <v>38718</v>
      </c>
      <c r="J7121" t="s">
        <v>34509</v>
      </c>
      <c r="K7121" t="s">
        <v>4347</v>
      </c>
      <c r="L7121" t="s">
        <v>35213</v>
      </c>
      <c r="M7121" t="s">
        <v>35214</v>
      </c>
      <c r="O7121" t="s">
        <v>26</v>
      </c>
      <c r="Q7121">
        <v>120</v>
      </c>
      <c r="R7121">
        <v>96</v>
      </c>
      <c r="S7121">
        <v>144</v>
      </c>
      <c r="T7121" t="s">
        <v>35215</v>
      </c>
    </row>
    <row r="7122" spans="1:20">
      <c r="A7122">
        <v>4670078</v>
      </c>
      <c r="B7122" t="s">
        <v>35216</v>
      </c>
      <c r="C7122" t="str">
        <f>"9781487520564"</f>
        <v>9781487520564</v>
      </c>
      <c r="D7122" t="str">
        <f>"9781442627307"</f>
        <v>9781442627307</v>
      </c>
      <c r="E7122" t="s">
        <v>31435</v>
      </c>
      <c r="F7122" t="s">
        <v>31435</v>
      </c>
      <c r="G7122" s="1">
        <v>42005</v>
      </c>
      <c r="I7122" t="s">
        <v>33775</v>
      </c>
      <c r="J7122" t="s">
        <v>35217</v>
      </c>
      <c r="K7122" t="s">
        <v>291</v>
      </c>
      <c r="M7122">
        <v>945.08399999999995</v>
      </c>
      <c r="O7122" t="s">
        <v>26</v>
      </c>
      <c r="Q7122">
        <v>106.25</v>
      </c>
      <c r="R7122">
        <v>85</v>
      </c>
      <c r="S7122">
        <v>127.5</v>
      </c>
      <c r="T7122" t="s">
        <v>35218</v>
      </c>
    </row>
    <row r="7123" spans="1:20">
      <c r="A7123">
        <v>4670080</v>
      </c>
      <c r="B7123" t="s">
        <v>35219</v>
      </c>
      <c r="C7123" t="str">
        <f>"9780195415940"</f>
        <v>9780195415940</v>
      </c>
      <c r="D7123" t="str">
        <f>"9781442623392"</f>
        <v>9781442623392</v>
      </c>
      <c r="E7123" t="s">
        <v>31435</v>
      </c>
      <c r="F7123" t="s">
        <v>31435</v>
      </c>
      <c r="G7123" s="1">
        <v>36892</v>
      </c>
      <c r="I7123" t="s">
        <v>34935</v>
      </c>
      <c r="J7123" t="s">
        <v>35220</v>
      </c>
      <c r="K7123" t="s">
        <v>6457</v>
      </c>
      <c r="L7123" t="s">
        <v>35221</v>
      </c>
      <c r="M7123" t="s">
        <v>35222</v>
      </c>
      <c r="O7123" t="s">
        <v>26</v>
      </c>
      <c r="Q7123">
        <v>38.69</v>
      </c>
      <c r="R7123">
        <v>30.95</v>
      </c>
      <c r="S7123">
        <v>46.43</v>
      </c>
      <c r="T7123" t="s">
        <v>35223</v>
      </c>
    </row>
    <row r="7124" spans="1:20">
      <c r="A7124">
        <v>4670083</v>
      </c>
      <c r="B7124" t="s">
        <v>35224</v>
      </c>
      <c r="C7124" t="str">
        <f>"9780195416633"</f>
        <v>9780195416633</v>
      </c>
      <c r="D7124" t="str">
        <f>"9781442623507"</f>
        <v>9781442623507</v>
      </c>
      <c r="E7124" t="s">
        <v>31435</v>
      </c>
      <c r="F7124" t="s">
        <v>31435</v>
      </c>
      <c r="G7124" s="1">
        <v>36892</v>
      </c>
      <c r="I7124" t="s">
        <v>34935</v>
      </c>
      <c r="K7124" t="s">
        <v>263</v>
      </c>
      <c r="L7124" t="s">
        <v>35225</v>
      </c>
      <c r="M7124">
        <v>364</v>
      </c>
      <c r="O7124" t="s">
        <v>26</v>
      </c>
      <c r="Q7124">
        <v>38.69</v>
      </c>
      <c r="R7124">
        <v>30.95</v>
      </c>
      <c r="S7124">
        <v>46.43</v>
      </c>
      <c r="T7124" t="s">
        <v>35226</v>
      </c>
    </row>
    <row r="7125" spans="1:20">
      <c r="A7125">
        <v>4670084</v>
      </c>
      <c r="B7125" t="s">
        <v>35227</v>
      </c>
      <c r="C7125" t="str">
        <f>"9781442655034"</f>
        <v>9781442655034</v>
      </c>
      <c r="D7125" t="str">
        <f>"9781442623576"</f>
        <v>9781442623576</v>
      </c>
      <c r="E7125" t="s">
        <v>31435</v>
      </c>
      <c r="F7125" t="s">
        <v>31435</v>
      </c>
      <c r="G7125" s="1">
        <v>34700</v>
      </c>
      <c r="I7125" t="s">
        <v>31443</v>
      </c>
      <c r="J7125" t="s">
        <v>22630</v>
      </c>
      <c r="K7125" t="s">
        <v>35228</v>
      </c>
      <c r="L7125" t="s">
        <v>35229</v>
      </c>
      <c r="M7125">
        <v>808.02700000000004</v>
      </c>
      <c r="O7125" t="s">
        <v>26</v>
      </c>
      <c r="Q7125">
        <v>68.75</v>
      </c>
      <c r="R7125">
        <v>55</v>
      </c>
      <c r="S7125">
        <v>82.5</v>
      </c>
      <c r="T7125" t="s">
        <v>35230</v>
      </c>
    </row>
    <row r="7126" spans="1:20">
      <c r="A7126">
        <v>4670085</v>
      </c>
      <c r="B7126" t="s">
        <v>35231</v>
      </c>
      <c r="C7126" t="str">
        <f>"9780802090362"</f>
        <v>9780802090362</v>
      </c>
      <c r="D7126" t="str">
        <f>"9781442627222"</f>
        <v>9781442627222</v>
      </c>
      <c r="E7126" t="s">
        <v>31435</v>
      </c>
      <c r="F7126" t="s">
        <v>31435</v>
      </c>
      <c r="G7126" s="1">
        <v>38657</v>
      </c>
      <c r="J7126" t="s">
        <v>35232</v>
      </c>
      <c r="K7126" t="s">
        <v>3219</v>
      </c>
      <c r="L7126" t="s">
        <v>35233</v>
      </c>
      <c r="M7126" t="s">
        <v>35234</v>
      </c>
      <c r="N7126" t="s">
        <v>35235</v>
      </c>
      <c r="O7126" t="s">
        <v>26</v>
      </c>
      <c r="Q7126">
        <v>112.5</v>
      </c>
      <c r="R7126">
        <v>90</v>
      </c>
      <c r="S7126">
        <v>135</v>
      </c>
      <c r="T7126" t="s">
        <v>35236</v>
      </c>
    </row>
    <row r="7127" spans="1:20">
      <c r="A7127">
        <v>4670086</v>
      </c>
      <c r="B7127" t="s">
        <v>35237</v>
      </c>
      <c r="C7127" t="str">
        <f>"9780802067814"</f>
        <v>9780802067814</v>
      </c>
      <c r="D7127" t="str">
        <f>"9781442623095"</f>
        <v>9781442623095</v>
      </c>
      <c r="E7127" t="s">
        <v>31435</v>
      </c>
      <c r="F7127" t="s">
        <v>31435</v>
      </c>
      <c r="G7127" s="1">
        <v>32874</v>
      </c>
      <c r="H7127">
        <v>2</v>
      </c>
      <c r="I7127" t="s">
        <v>31443</v>
      </c>
      <c r="J7127" t="s">
        <v>35238</v>
      </c>
      <c r="K7127" t="s">
        <v>2260</v>
      </c>
      <c r="L7127" t="s">
        <v>35239</v>
      </c>
      <c r="M7127">
        <v>616.89819999999895</v>
      </c>
      <c r="O7127" t="s">
        <v>26</v>
      </c>
      <c r="Q7127">
        <v>27.44</v>
      </c>
      <c r="R7127">
        <v>21.95</v>
      </c>
      <c r="S7127">
        <v>32.93</v>
      </c>
      <c r="T7127" t="s">
        <v>35240</v>
      </c>
    </row>
    <row r="7128" spans="1:20">
      <c r="A7128">
        <v>4670087</v>
      </c>
      <c r="B7128" t="s">
        <v>35241</v>
      </c>
      <c r="C7128" t="str">
        <f>"9780802083678"</f>
        <v>9780802083678</v>
      </c>
      <c r="D7128" t="str">
        <f>"9781442623255"</f>
        <v>9781442623255</v>
      </c>
      <c r="E7128" t="s">
        <v>31435</v>
      </c>
      <c r="F7128" t="s">
        <v>31435</v>
      </c>
      <c r="G7128" s="1">
        <v>36526</v>
      </c>
      <c r="I7128" t="s">
        <v>31443</v>
      </c>
      <c r="J7128" t="s">
        <v>35242</v>
      </c>
      <c r="K7128" t="s">
        <v>467</v>
      </c>
      <c r="L7128" t="s">
        <v>35243</v>
      </c>
      <c r="M7128">
        <v>320.51</v>
      </c>
      <c r="O7128" t="s">
        <v>26</v>
      </c>
      <c r="Q7128">
        <v>19.940000000000001</v>
      </c>
      <c r="R7128">
        <v>15.95</v>
      </c>
      <c r="S7128">
        <v>23.93</v>
      </c>
      <c r="T7128" t="s">
        <v>35244</v>
      </c>
    </row>
    <row r="7129" spans="1:20">
      <c r="A7129">
        <v>4670088</v>
      </c>
      <c r="B7129" t="s">
        <v>35245</v>
      </c>
      <c r="C7129" t="str">
        <f>"9780802074492"</f>
        <v>9780802074492</v>
      </c>
      <c r="D7129" t="str">
        <f>"9781442623545"</f>
        <v>9781442623545</v>
      </c>
      <c r="E7129" t="s">
        <v>31435</v>
      </c>
      <c r="F7129" t="s">
        <v>31435</v>
      </c>
      <c r="G7129" s="1">
        <v>34700</v>
      </c>
      <c r="H7129">
        <v>2</v>
      </c>
      <c r="I7129" t="s">
        <v>31443</v>
      </c>
      <c r="J7129" t="s">
        <v>35246</v>
      </c>
      <c r="K7129" t="s">
        <v>263</v>
      </c>
      <c r="L7129" t="s">
        <v>35247</v>
      </c>
      <c r="M7129" t="s">
        <v>35248</v>
      </c>
      <c r="O7129" t="s">
        <v>26</v>
      </c>
      <c r="Q7129">
        <v>68.75</v>
      </c>
      <c r="R7129">
        <v>55</v>
      </c>
      <c r="S7129">
        <v>82.5</v>
      </c>
      <c r="T7129" t="s">
        <v>35249</v>
      </c>
    </row>
    <row r="7130" spans="1:20">
      <c r="A7130">
        <v>4670089</v>
      </c>
      <c r="B7130" t="s">
        <v>35250</v>
      </c>
      <c r="C7130" t="str">
        <f>"9780802086334"</f>
        <v>9780802086334</v>
      </c>
      <c r="D7130" t="str">
        <f>"9781442620919"</f>
        <v>9781442620919</v>
      </c>
      <c r="E7130" t="s">
        <v>31435</v>
      </c>
      <c r="F7130" t="s">
        <v>31435</v>
      </c>
      <c r="G7130" s="1">
        <v>42005</v>
      </c>
      <c r="H7130">
        <v>2</v>
      </c>
      <c r="I7130" t="s">
        <v>35251</v>
      </c>
      <c r="J7130" t="s">
        <v>35252</v>
      </c>
      <c r="K7130" t="s">
        <v>291</v>
      </c>
      <c r="L7130" t="s">
        <v>35253</v>
      </c>
      <c r="M7130">
        <v>971.24030000000005</v>
      </c>
      <c r="O7130" t="s">
        <v>26</v>
      </c>
      <c r="Q7130">
        <v>106.25</v>
      </c>
      <c r="R7130">
        <v>85</v>
      </c>
      <c r="S7130">
        <v>127.5</v>
      </c>
      <c r="T7130" t="s">
        <v>35254</v>
      </c>
    </row>
    <row r="7131" spans="1:20">
      <c r="A7131">
        <v>4670090</v>
      </c>
      <c r="B7131" t="s">
        <v>35255</v>
      </c>
      <c r="C7131" t="str">
        <f>"9780802086211"</f>
        <v>9780802086211</v>
      </c>
      <c r="D7131" t="str">
        <f>"9781442620926"</f>
        <v>9781442620926</v>
      </c>
      <c r="E7131" t="s">
        <v>31435</v>
      </c>
      <c r="F7131" t="s">
        <v>31435</v>
      </c>
      <c r="G7131" s="1">
        <v>42005</v>
      </c>
      <c r="H7131">
        <v>2</v>
      </c>
      <c r="I7131" t="s">
        <v>31443</v>
      </c>
      <c r="J7131" t="s">
        <v>35256</v>
      </c>
      <c r="K7131" t="s">
        <v>13493</v>
      </c>
      <c r="L7131" t="s">
        <v>35257</v>
      </c>
      <c r="M7131">
        <v>808</v>
      </c>
      <c r="O7131" t="s">
        <v>26</v>
      </c>
      <c r="Q7131">
        <v>47.44</v>
      </c>
      <c r="R7131">
        <v>37.950000000000003</v>
      </c>
      <c r="S7131">
        <v>56.93</v>
      </c>
      <c r="T7131" t="s">
        <v>35258</v>
      </c>
    </row>
    <row r="7132" spans="1:20">
      <c r="A7132">
        <v>4670091</v>
      </c>
      <c r="B7132" t="s">
        <v>35259</v>
      </c>
      <c r="C7132" t="str">
        <f>"9780802083067"</f>
        <v>9780802083067</v>
      </c>
      <c r="D7132" t="str">
        <f>"9781442623217"</f>
        <v>9781442623217</v>
      </c>
      <c r="E7132" t="s">
        <v>31435</v>
      </c>
      <c r="F7132" t="s">
        <v>31435</v>
      </c>
      <c r="G7132" s="1">
        <v>36509</v>
      </c>
      <c r="I7132" t="s">
        <v>31443</v>
      </c>
      <c r="J7132" t="s">
        <v>35260</v>
      </c>
      <c r="K7132" t="s">
        <v>257</v>
      </c>
      <c r="L7132" t="s">
        <v>35261</v>
      </c>
      <c r="M7132">
        <v>370.97129999999902</v>
      </c>
      <c r="O7132" t="s">
        <v>26</v>
      </c>
      <c r="Q7132">
        <v>24.94</v>
      </c>
      <c r="R7132">
        <v>19.95</v>
      </c>
      <c r="S7132">
        <v>29.93</v>
      </c>
      <c r="T7132" t="s">
        <v>35262</v>
      </c>
    </row>
    <row r="7133" spans="1:20">
      <c r="A7133">
        <v>4670092</v>
      </c>
      <c r="B7133" t="s">
        <v>35263</v>
      </c>
      <c r="C7133" t="str">
        <f>"9780802086082"</f>
        <v>9780802086082</v>
      </c>
      <c r="D7133" t="str">
        <f>"9781442620896"</f>
        <v>9781442620896</v>
      </c>
      <c r="E7133" t="s">
        <v>31435</v>
      </c>
      <c r="F7133" t="s">
        <v>31435</v>
      </c>
      <c r="G7133" s="1">
        <v>38045</v>
      </c>
      <c r="H7133">
        <v>2</v>
      </c>
      <c r="I7133" t="s">
        <v>35264</v>
      </c>
      <c r="J7133" t="s">
        <v>35265</v>
      </c>
      <c r="K7133" t="s">
        <v>35266</v>
      </c>
      <c r="L7133" t="s">
        <v>35267</v>
      </c>
      <c r="M7133" t="s">
        <v>35268</v>
      </c>
      <c r="N7133" t="s">
        <v>35269</v>
      </c>
      <c r="O7133" t="s">
        <v>26</v>
      </c>
      <c r="Q7133">
        <v>85</v>
      </c>
      <c r="R7133">
        <v>68</v>
      </c>
      <c r="S7133">
        <v>102</v>
      </c>
      <c r="T7133" t="s">
        <v>35270</v>
      </c>
    </row>
    <row r="7134" spans="1:20">
      <c r="A7134">
        <v>4670095</v>
      </c>
      <c r="B7134" t="s">
        <v>35271</v>
      </c>
      <c r="C7134" t="str">
        <f>"9780802074591"</f>
        <v>9780802074591</v>
      </c>
      <c r="D7134" t="str">
        <f>"9781442623293"</f>
        <v>9781442623293</v>
      </c>
      <c r="E7134" t="s">
        <v>31435</v>
      </c>
      <c r="F7134" t="s">
        <v>31435</v>
      </c>
      <c r="G7134" s="1">
        <v>42005</v>
      </c>
      <c r="I7134" t="s">
        <v>31443</v>
      </c>
      <c r="J7134" t="s">
        <v>34912</v>
      </c>
      <c r="K7134" t="s">
        <v>278</v>
      </c>
      <c r="L7134" t="s">
        <v>35272</v>
      </c>
      <c r="M7134">
        <v>336.29409709999999</v>
      </c>
      <c r="O7134" t="s">
        <v>26</v>
      </c>
      <c r="Q7134">
        <v>23.69</v>
      </c>
      <c r="R7134">
        <v>18.95</v>
      </c>
      <c r="S7134">
        <v>28.43</v>
      </c>
      <c r="T7134" t="s">
        <v>35273</v>
      </c>
    </row>
    <row r="7135" spans="1:20">
      <c r="A7135">
        <v>4670097</v>
      </c>
      <c r="B7135" t="s">
        <v>35274</v>
      </c>
      <c r="C7135" t="str">
        <f>"9780802083845"</f>
        <v>9780802083845</v>
      </c>
      <c r="D7135" t="str">
        <f>"9781442620964"</f>
        <v>9781442620964</v>
      </c>
      <c r="E7135" t="s">
        <v>31435</v>
      </c>
      <c r="F7135" t="s">
        <v>31435</v>
      </c>
      <c r="G7135" s="1">
        <v>42005</v>
      </c>
      <c r="J7135" t="s">
        <v>35275</v>
      </c>
      <c r="K7135" t="s">
        <v>1471</v>
      </c>
      <c r="L7135" t="s">
        <v>35276</v>
      </c>
      <c r="M7135">
        <v>782.1</v>
      </c>
      <c r="O7135" t="s">
        <v>26</v>
      </c>
      <c r="Q7135">
        <v>32.44</v>
      </c>
      <c r="R7135">
        <v>25.95</v>
      </c>
      <c r="S7135">
        <v>38.93</v>
      </c>
      <c r="T7135" t="s">
        <v>35277</v>
      </c>
    </row>
    <row r="7136" spans="1:20">
      <c r="A7136">
        <v>4670098</v>
      </c>
      <c r="B7136" t="s">
        <v>35278</v>
      </c>
      <c r="C7136" t="str">
        <f>"9781442657748"</f>
        <v>9781442657748</v>
      </c>
      <c r="D7136" t="str">
        <f>"9781442620940"</f>
        <v>9781442620940</v>
      </c>
      <c r="E7136" t="s">
        <v>31435</v>
      </c>
      <c r="F7136" t="s">
        <v>31435</v>
      </c>
      <c r="G7136" s="1">
        <v>1</v>
      </c>
      <c r="I7136" t="s">
        <v>31443</v>
      </c>
      <c r="J7136" t="s">
        <v>35279</v>
      </c>
      <c r="K7136" t="s">
        <v>35280</v>
      </c>
      <c r="L7136" t="s">
        <v>35281</v>
      </c>
      <c r="M7136">
        <v>531</v>
      </c>
      <c r="O7136" t="s">
        <v>26</v>
      </c>
      <c r="Q7136">
        <v>87.5</v>
      </c>
      <c r="R7136">
        <v>70</v>
      </c>
      <c r="S7136">
        <v>105</v>
      </c>
      <c r="T7136" t="s">
        <v>35282</v>
      </c>
    </row>
    <row r="7137" spans="1:20">
      <c r="A7137">
        <v>4670099</v>
      </c>
      <c r="B7137" t="s">
        <v>35283</v>
      </c>
      <c r="C7137" t="str">
        <f>"9781442657700"</f>
        <v>9781442657700</v>
      </c>
      <c r="D7137" t="str">
        <f>"9781442620995"</f>
        <v>9781442620995</v>
      </c>
      <c r="E7137" t="s">
        <v>31435</v>
      </c>
      <c r="F7137" t="s">
        <v>31435</v>
      </c>
      <c r="G7137" s="1">
        <v>36526</v>
      </c>
      <c r="I7137" t="s">
        <v>35029</v>
      </c>
      <c r="J7137" t="s">
        <v>35284</v>
      </c>
      <c r="K7137" t="s">
        <v>1859</v>
      </c>
      <c r="L7137" t="s">
        <v>35285</v>
      </c>
      <c r="M7137">
        <v>149.69999999999899</v>
      </c>
      <c r="O7137" t="s">
        <v>26</v>
      </c>
      <c r="Q7137">
        <v>145</v>
      </c>
      <c r="R7137">
        <v>116</v>
      </c>
      <c r="S7137">
        <v>174</v>
      </c>
      <c r="T7137" t="s">
        <v>35286</v>
      </c>
    </row>
    <row r="7138" spans="1:20">
      <c r="A7138">
        <v>4670100</v>
      </c>
      <c r="B7138" t="s">
        <v>35287</v>
      </c>
      <c r="C7138" t="str">
        <f>"9780802084415"</f>
        <v>9780802084415</v>
      </c>
      <c r="D7138" t="str">
        <f>"9781442621008"</f>
        <v>9781442621008</v>
      </c>
      <c r="E7138" t="s">
        <v>31435</v>
      </c>
      <c r="F7138" t="s">
        <v>31435</v>
      </c>
      <c r="G7138" s="1">
        <v>37622</v>
      </c>
      <c r="I7138" t="s">
        <v>31443</v>
      </c>
      <c r="J7138" t="s">
        <v>35288</v>
      </c>
      <c r="K7138" t="s">
        <v>263</v>
      </c>
      <c r="L7138" t="s">
        <v>35289</v>
      </c>
      <c r="M7138" t="s">
        <v>35290</v>
      </c>
      <c r="O7138" t="s">
        <v>26</v>
      </c>
      <c r="Q7138">
        <v>93.75</v>
      </c>
      <c r="R7138">
        <v>75</v>
      </c>
      <c r="S7138">
        <v>112.5</v>
      </c>
      <c r="T7138" t="s">
        <v>35291</v>
      </c>
    </row>
    <row r="7139" spans="1:20">
      <c r="A7139">
        <v>4670101</v>
      </c>
      <c r="B7139" t="s">
        <v>35292</v>
      </c>
      <c r="C7139" t="str">
        <f>"9780802086457"</f>
        <v>9780802086457</v>
      </c>
      <c r="D7139" t="str">
        <f>"9781442620971"</f>
        <v>9781442620971</v>
      </c>
      <c r="E7139" t="s">
        <v>31435</v>
      </c>
      <c r="F7139" t="s">
        <v>31435</v>
      </c>
      <c r="G7139" s="1">
        <v>37987</v>
      </c>
      <c r="H7139">
        <v>2</v>
      </c>
      <c r="I7139" t="s">
        <v>34303</v>
      </c>
      <c r="J7139" t="s">
        <v>30025</v>
      </c>
      <c r="K7139" t="s">
        <v>2963</v>
      </c>
      <c r="L7139" t="s">
        <v>35293</v>
      </c>
      <c r="M7139">
        <v>901</v>
      </c>
      <c r="O7139" t="s">
        <v>26</v>
      </c>
      <c r="Q7139">
        <v>81.25</v>
      </c>
      <c r="R7139">
        <v>65</v>
      </c>
      <c r="S7139">
        <v>97.5</v>
      </c>
      <c r="T7139" t="s">
        <v>35294</v>
      </c>
    </row>
    <row r="7140" spans="1:20">
      <c r="A7140">
        <v>4670103</v>
      </c>
      <c r="B7140" t="s">
        <v>35295</v>
      </c>
      <c r="C7140" t="str">
        <f>"9780802038043"</f>
        <v>9780802038043</v>
      </c>
      <c r="D7140" t="str">
        <f>"9781442621121"</f>
        <v>9781442621121</v>
      </c>
      <c r="E7140" t="s">
        <v>31435</v>
      </c>
      <c r="F7140" t="s">
        <v>31435</v>
      </c>
      <c r="G7140" s="1">
        <v>42005</v>
      </c>
      <c r="H7140">
        <v>2</v>
      </c>
      <c r="I7140" t="s">
        <v>33831</v>
      </c>
      <c r="J7140" t="s">
        <v>35296</v>
      </c>
      <c r="K7140" t="s">
        <v>6444</v>
      </c>
      <c r="L7140" t="s">
        <v>35297</v>
      </c>
      <c r="M7140">
        <v>320.91822000000002</v>
      </c>
      <c r="O7140" t="s">
        <v>26</v>
      </c>
      <c r="Q7140">
        <v>106.25</v>
      </c>
      <c r="R7140">
        <v>85</v>
      </c>
      <c r="S7140">
        <v>127.5</v>
      </c>
      <c r="T7140" t="s">
        <v>35298</v>
      </c>
    </row>
    <row r="7141" spans="1:20">
      <c r="A7141">
        <v>4670104</v>
      </c>
      <c r="B7141" t="s">
        <v>35299</v>
      </c>
      <c r="C7141" t="str">
        <f>"9781442657731"</f>
        <v>9781442657731</v>
      </c>
      <c r="D7141" t="str">
        <f>"9781442621060"</f>
        <v>9781442621060</v>
      </c>
      <c r="E7141" t="s">
        <v>31435</v>
      </c>
      <c r="F7141" t="s">
        <v>31435</v>
      </c>
      <c r="G7141" s="1">
        <v>37987</v>
      </c>
      <c r="I7141" t="s">
        <v>33775</v>
      </c>
      <c r="J7141" t="s">
        <v>35300</v>
      </c>
      <c r="K7141" t="s">
        <v>1835</v>
      </c>
      <c r="L7141" t="s">
        <v>35301</v>
      </c>
      <c r="M7141" t="s">
        <v>35302</v>
      </c>
      <c r="O7141" t="s">
        <v>26</v>
      </c>
      <c r="Q7141">
        <v>87.5</v>
      </c>
      <c r="R7141">
        <v>70</v>
      </c>
      <c r="S7141">
        <v>105</v>
      </c>
      <c r="T7141" t="s">
        <v>35303</v>
      </c>
    </row>
    <row r="7142" spans="1:20">
      <c r="A7142">
        <v>4670105</v>
      </c>
      <c r="B7142" t="s">
        <v>35304</v>
      </c>
      <c r="C7142" t="str">
        <f>"9780802086617"</f>
        <v>9780802086617</v>
      </c>
      <c r="D7142" t="str">
        <f>"9781442620803"</f>
        <v>9781442620803</v>
      </c>
      <c r="E7142" t="s">
        <v>31435</v>
      </c>
      <c r="F7142" t="s">
        <v>31435</v>
      </c>
      <c r="G7142" s="1">
        <v>37987</v>
      </c>
      <c r="H7142">
        <v>2</v>
      </c>
      <c r="I7142" t="s">
        <v>31443</v>
      </c>
      <c r="J7142" t="s">
        <v>35305</v>
      </c>
      <c r="K7142" t="s">
        <v>4347</v>
      </c>
      <c r="L7142" t="s">
        <v>35306</v>
      </c>
      <c r="M7142" t="s">
        <v>35307</v>
      </c>
      <c r="O7142" t="s">
        <v>26</v>
      </c>
      <c r="Q7142">
        <v>112.5</v>
      </c>
      <c r="R7142">
        <v>90</v>
      </c>
      <c r="S7142">
        <v>135</v>
      </c>
      <c r="T7142" t="s">
        <v>35308</v>
      </c>
    </row>
    <row r="7143" spans="1:20">
      <c r="A7143">
        <v>4670107</v>
      </c>
      <c r="B7143" t="s">
        <v>35309</v>
      </c>
      <c r="C7143" t="str">
        <f>"9781442657625"</f>
        <v>9781442657625</v>
      </c>
      <c r="D7143" t="str">
        <f>"9781442620810"</f>
        <v>9781442620810</v>
      </c>
      <c r="E7143" t="s">
        <v>31435</v>
      </c>
      <c r="F7143" t="s">
        <v>31435</v>
      </c>
      <c r="G7143" s="1">
        <v>37597</v>
      </c>
      <c r="I7143" t="s">
        <v>33881</v>
      </c>
      <c r="J7143" t="s">
        <v>33962</v>
      </c>
      <c r="K7143" t="s">
        <v>525</v>
      </c>
      <c r="L7143" t="s">
        <v>35310</v>
      </c>
      <c r="M7143">
        <v>345.71025300000002</v>
      </c>
      <c r="O7143" t="s">
        <v>26</v>
      </c>
      <c r="Q7143">
        <v>72.5</v>
      </c>
      <c r="R7143">
        <v>58</v>
      </c>
      <c r="S7143">
        <v>87</v>
      </c>
      <c r="T7143" t="s">
        <v>35311</v>
      </c>
    </row>
    <row r="7144" spans="1:20">
      <c r="A7144">
        <v>4670109</v>
      </c>
      <c r="B7144" t="s">
        <v>35312</v>
      </c>
      <c r="C7144" t="str">
        <f>"9780802085825"</f>
        <v>9780802085825</v>
      </c>
      <c r="D7144" t="str">
        <f>"9781442620773"</f>
        <v>9781442620773</v>
      </c>
      <c r="E7144" t="s">
        <v>31435</v>
      </c>
      <c r="F7144" t="s">
        <v>31435</v>
      </c>
      <c r="G7144" s="1">
        <v>37257</v>
      </c>
      <c r="H7144">
        <v>2</v>
      </c>
      <c r="I7144" t="s">
        <v>33881</v>
      </c>
      <c r="J7144" t="s">
        <v>35313</v>
      </c>
      <c r="K7144" t="s">
        <v>525</v>
      </c>
      <c r="L7144" t="s">
        <v>35314</v>
      </c>
      <c r="M7144">
        <v>347</v>
      </c>
      <c r="O7144" t="s">
        <v>26</v>
      </c>
      <c r="Q7144">
        <v>106.25</v>
      </c>
      <c r="R7144">
        <v>85</v>
      </c>
      <c r="S7144">
        <v>127.5</v>
      </c>
      <c r="T7144" t="s">
        <v>35315</v>
      </c>
    </row>
    <row r="7145" spans="1:20">
      <c r="A7145">
        <v>4670111</v>
      </c>
      <c r="B7145" t="s">
        <v>35316</v>
      </c>
      <c r="C7145" t="str">
        <f>"9780802081414"</f>
        <v>9780802081414</v>
      </c>
      <c r="D7145" t="str">
        <f>"9781442620841"</f>
        <v>9781442620841</v>
      </c>
      <c r="E7145" t="s">
        <v>31435</v>
      </c>
      <c r="F7145" t="s">
        <v>31435</v>
      </c>
      <c r="G7145" s="1">
        <v>36526</v>
      </c>
      <c r="I7145" t="s">
        <v>31443</v>
      </c>
      <c r="J7145" t="s">
        <v>35317</v>
      </c>
      <c r="K7145" t="s">
        <v>1464</v>
      </c>
      <c r="L7145" t="s">
        <v>35318</v>
      </c>
      <c r="M7145" t="s">
        <v>35157</v>
      </c>
      <c r="O7145" t="s">
        <v>26</v>
      </c>
      <c r="Q7145">
        <v>68.75</v>
      </c>
      <c r="R7145">
        <v>55</v>
      </c>
      <c r="S7145">
        <v>82.5</v>
      </c>
      <c r="T7145" t="s">
        <v>35319</v>
      </c>
    </row>
    <row r="7146" spans="1:20">
      <c r="A7146">
        <v>4670112</v>
      </c>
      <c r="B7146" t="s">
        <v>35320</v>
      </c>
      <c r="C7146" t="str">
        <f>"9781442657663"</f>
        <v>9781442657663</v>
      </c>
      <c r="D7146" t="str">
        <f>"9781442620872"</f>
        <v>9781442620872</v>
      </c>
      <c r="E7146" t="s">
        <v>31435</v>
      </c>
      <c r="F7146" t="s">
        <v>31435</v>
      </c>
      <c r="G7146" s="1">
        <v>1</v>
      </c>
      <c r="I7146" t="s">
        <v>31443</v>
      </c>
      <c r="J7146" t="s">
        <v>35321</v>
      </c>
      <c r="K7146" t="s">
        <v>291</v>
      </c>
      <c r="L7146" t="s">
        <v>35322</v>
      </c>
      <c r="M7146" t="s">
        <v>35323</v>
      </c>
      <c r="O7146" t="s">
        <v>26</v>
      </c>
      <c r="Q7146">
        <v>102.5</v>
      </c>
      <c r="R7146">
        <v>82</v>
      </c>
      <c r="S7146">
        <v>123</v>
      </c>
      <c r="T7146" t="s">
        <v>35324</v>
      </c>
    </row>
    <row r="7147" spans="1:20">
      <c r="A7147">
        <v>4670113</v>
      </c>
      <c r="B7147" t="s">
        <v>35325</v>
      </c>
      <c r="C7147" t="str">
        <f>"9781442657670"</f>
        <v>9781442657670</v>
      </c>
      <c r="D7147" t="str">
        <f>"9781442620889"</f>
        <v>9781442620889</v>
      </c>
      <c r="E7147" t="s">
        <v>31435</v>
      </c>
      <c r="F7147" t="s">
        <v>31435</v>
      </c>
      <c r="G7147" s="1">
        <v>1</v>
      </c>
      <c r="I7147" t="s">
        <v>35326</v>
      </c>
      <c r="J7147" t="s">
        <v>35327</v>
      </c>
      <c r="K7147" t="s">
        <v>525</v>
      </c>
      <c r="L7147" t="s">
        <v>35328</v>
      </c>
      <c r="M7147">
        <v>345.0231</v>
      </c>
      <c r="O7147" t="s">
        <v>26</v>
      </c>
      <c r="Q7147">
        <v>118.75</v>
      </c>
      <c r="R7147">
        <v>95</v>
      </c>
      <c r="S7147">
        <v>142.5</v>
      </c>
      <c r="T7147" t="s">
        <v>35329</v>
      </c>
    </row>
    <row r="7148" spans="1:20">
      <c r="A7148">
        <v>4670114</v>
      </c>
      <c r="B7148" t="s">
        <v>35330</v>
      </c>
      <c r="C7148" t="str">
        <f>"9781442657618"</f>
        <v>9781442657618</v>
      </c>
      <c r="D7148" t="str">
        <f>"9781442620797"</f>
        <v>9781442620797</v>
      </c>
      <c r="E7148" t="s">
        <v>31435</v>
      </c>
      <c r="F7148" t="s">
        <v>31435</v>
      </c>
      <c r="G7148" s="1">
        <v>1</v>
      </c>
      <c r="I7148" t="s">
        <v>33881</v>
      </c>
      <c r="J7148" t="s">
        <v>35331</v>
      </c>
      <c r="K7148" t="s">
        <v>525</v>
      </c>
      <c r="L7148" t="s">
        <v>35332</v>
      </c>
      <c r="M7148">
        <v>349.71</v>
      </c>
      <c r="O7148" t="s">
        <v>26</v>
      </c>
      <c r="Q7148">
        <v>117.5</v>
      </c>
      <c r="R7148">
        <v>94</v>
      </c>
      <c r="S7148">
        <v>141</v>
      </c>
      <c r="T7148" t="s">
        <v>35333</v>
      </c>
    </row>
    <row r="7149" spans="1:20">
      <c r="A7149">
        <v>4670115</v>
      </c>
      <c r="B7149" t="s">
        <v>35334</v>
      </c>
      <c r="C7149" t="str">
        <f>"9781442657656"</f>
        <v>9781442657656</v>
      </c>
      <c r="D7149" t="str">
        <f>"9781442620865"</f>
        <v>9781442620865</v>
      </c>
      <c r="E7149" t="s">
        <v>31435</v>
      </c>
      <c r="F7149" t="s">
        <v>31435</v>
      </c>
      <c r="G7149" s="1">
        <v>37622</v>
      </c>
      <c r="I7149" t="s">
        <v>34797</v>
      </c>
      <c r="J7149" t="s">
        <v>35335</v>
      </c>
      <c r="K7149" t="s">
        <v>291</v>
      </c>
      <c r="L7149" t="s">
        <v>35336</v>
      </c>
      <c r="M7149" t="s">
        <v>35337</v>
      </c>
      <c r="O7149" t="s">
        <v>26</v>
      </c>
      <c r="Q7149">
        <v>81.25</v>
      </c>
      <c r="R7149">
        <v>65</v>
      </c>
      <c r="S7149">
        <v>97.5</v>
      </c>
      <c r="T7149" t="s">
        <v>35338</v>
      </c>
    </row>
    <row r="7150" spans="1:20">
      <c r="A7150">
        <v>4670117</v>
      </c>
      <c r="B7150" t="s">
        <v>35339</v>
      </c>
      <c r="C7150" t="str">
        <f>"9781442646100"</f>
        <v>9781442646100</v>
      </c>
      <c r="D7150" t="str">
        <f>"9781442664494"</f>
        <v>9781442664494</v>
      </c>
      <c r="E7150" t="s">
        <v>31435</v>
      </c>
      <c r="F7150" t="s">
        <v>31435</v>
      </c>
      <c r="G7150" s="1">
        <v>41275</v>
      </c>
      <c r="H7150">
        <v>3</v>
      </c>
      <c r="J7150" t="s">
        <v>35340</v>
      </c>
      <c r="K7150" t="s">
        <v>1464</v>
      </c>
      <c r="L7150" t="s">
        <v>35341</v>
      </c>
      <c r="M7150" t="s">
        <v>6312</v>
      </c>
      <c r="O7150" t="s">
        <v>26</v>
      </c>
      <c r="Q7150">
        <v>96.25</v>
      </c>
      <c r="R7150">
        <v>77</v>
      </c>
      <c r="S7150">
        <v>115.5</v>
      </c>
      <c r="T7150" t="s">
        <v>35342</v>
      </c>
    </row>
    <row r="7151" spans="1:20">
      <c r="A7151">
        <v>4670125</v>
      </c>
      <c r="B7151" t="s">
        <v>35343</v>
      </c>
      <c r="C7151" t="str">
        <f>"9780802071514"</f>
        <v>9780802071514</v>
      </c>
      <c r="D7151" t="str">
        <f>"9781442657021"</f>
        <v>9781442657021</v>
      </c>
      <c r="E7151" t="s">
        <v>31435</v>
      </c>
      <c r="F7151" t="s">
        <v>31435</v>
      </c>
      <c r="G7151" s="1">
        <v>35025</v>
      </c>
      <c r="H7151">
        <v>2</v>
      </c>
      <c r="I7151" t="s">
        <v>35047</v>
      </c>
      <c r="J7151" t="s">
        <v>35344</v>
      </c>
      <c r="K7151" t="s">
        <v>525</v>
      </c>
      <c r="L7151" t="s">
        <v>35345</v>
      </c>
      <c r="M7151">
        <v>349.71</v>
      </c>
      <c r="O7151" t="s">
        <v>26</v>
      </c>
      <c r="Q7151">
        <v>118.75</v>
      </c>
      <c r="R7151">
        <v>95</v>
      </c>
      <c r="S7151">
        <v>142.5</v>
      </c>
      <c r="T7151" t="s">
        <v>35346</v>
      </c>
    </row>
    <row r="7152" spans="1:20">
      <c r="A7152">
        <v>4670126</v>
      </c>
      <c r="B7152" t="s">
        <v>35347</v>
      </c>
      <c r="C7152" t="str">
        <f>"9780802068170"</f>
        <v>9780802068170</v>
      </c>
      <c r="D7152" t="str">
        <f>"9781442657007"</f>
        <v>9781442657007</v>
      </c>
      <c r="E7152" t="s">
        <v>31435</v>
      </c>
      <c r="F7152" t="s">
        <v>31435</v>
      </c>
      <c r="G7152" s="1">
        <v>36892</v>
      </c>
      <c r="H7152">
        <v>2</v>
      </c>
      <c r="I7152" t="s">
        <v>31443</v>
      </c>
      <c r="J7152" t="s">
        <v>35348</v>
      </c>
      <c r="K7152" t="s">
        <v>291</v>
      </c>
      <c r="L7152" t="s">
        <v>35349</v>
      </c>
      <c r="M7152">
        <v>971.5</v>
      </c>
      <c r="O7152" t="s">
        <v>26</v>
      </c>
      <c r="Q7152">
        <v>106.25</v>
      </c>
      <c r="R7152">
        <v>85</v>
      </c>
      <c r="S7152">
        <v>127.5</v>
      </c>
      <c r="T7152" t="s">
        <v>35350</v>
      </c>
    </row>
    <row r="7153" spans="1:20">
      <c r="A7153">
        <v>4670127</v>
      </c>
      <c r="B7153" t="s">
        <v>35351</v>
      </c>
      <c r="C7153" t="str">
        <f>"9780802080950"</f>
        <v>9780802080950</v>
      </c>
      <c r="D7153" t="str">
        <f>"9781442659773"</f>
        <v>9781442659773</v>
      </c>
      <c r="E7153" t="s">
        <v>31435</v>
      </c>
      <c r="F7153" t="s">
        <v>31435</v>
      </c>
      <c r="G7153" s="1">
        <v>35796</v>
      </c>
      <c r="I7153" t="s">
        <v>35029</v>
      </c>
      <c r="J7153" t="s">
        <v>35352</v>
      </c>
      <c r="K7153" t="s">
        <v>1859</v>
      </c>
      <c r="L7153" t="s">
        <v>35353</v>
      </c>
      <c r="M7153" t="s">
        <v>35354</v>
      </c>
      <c r="O7153" t="s">
        <v>26</v>
      </c>
      <c r="Q7153">
        <v>117.5</v>
      </c>
      <c r="R7153">
        <v>94</v>
      </c>
      <c r="S7153">
        <v>141</v>
      </c>
      <c r="T7153" t="s">
        <v>35355</v>
      </c>
    </row>
    <row r="7154" spans="1:20">
      <c r="A7154">
        <v>4670128</v>
      </c>
      <c r="B7154" t="s">
        <v>35356</v>
      </c>
      <c r="C7154" t="str">
        <f>"9781442623774"</f>
        <v>9781442623774</v>
      </c>
      <c r="D7154" t="str">
        <f>"9781442659834"</f>
        <v>9781442659834</v>
      </c>
      <c r="E7154" t="s">
        <v>31435</v>
      </c>
      <c r="F7154" t="s">
        <v>31435</v>
      </c>
      <c r="G7154" s="1">
        <v>37987</v>
      </c>
      <c r="I7154" t="s">
        <v>33881</v>
      </c>
      <c r="J7154" t="s">
        <v>35357</v>
      </c>
      <c r="K7154" t="s">
        <v>525</v>
      </c>
      <c r="L7154" t="s">
        <v>35358</v>
      </c>
      <c r="M7154">
        <v>349.71600000000001</v>
      </c>
      <c r="O7154" t="s">
        <v>26</v>
      </c>
      <c r="Q7154">
        <v>112.5</v>
      </c>
      <c r="R7154">
        <v>90</v>
      </c>
      <c r="S7154">
        <v>135</v>
      </c>
      <c r="T7154" t="s">
        <v>35359</v>
      </c>
    </row>
    <row r="7155" spans="1:20">
      <c r="A7155">
        <v>4670129</v>
      </c>
      <c r="B7155" t="s">
        <v>35360</v>
      </c>
      <c r="C7155" t="str">
        <f>"9780802069740"</f>
        <v>9780802069740</v>
      </c>
      <c r="D7155" t="str">
        <f>"9781442659452"</f>
        <v>9781442659452</v>
      </c>
      <c r="E7155" t="s">
        <v>31435</v>
      </c>
      <c r="F7155" t="s">
        <v>31435</v>
      </c>
      <c r="G7155" s="1">
        <v>34254</v>
      </c>
      <c r="H7155">
        <v>2</v>
      </c>
      <c r="I7155" t="s">
        <v>31443</v>
      </c>
      <c r="J7155" t="s">
        <v>35361</v>
      </c>
      <c r="K7155" t="s">
        <v>14458</v>
      </c>
      <c r="L7155" t="s">
        <v>35362</v>
      </c>
      <c r="M7155" t="s">
        <v>23804</v>
      </c>
      <c r="N7155" t="s">
        <v>35363</v>
      </c>
      <c r="O7155" t="s">
        <v>26</v>
      </c>
      <c r="Q7155">
        <v>72.5</v>
      </c>
      <c r="R7155">
        <v>58</v>
      </c>
      <c r="S7155">
        <v>87</v>
      </c>
      <c r="T7155" t="s">
        <v>35364</v>
      </c>
    </row>
    <row r="7156" spans="1:20">
      <c r="A7156">
        <v>4670131</v>
      </c>
      <c r="B7156" t="s">
        <v>35365</v>
      </c>
      <c r="C7156" t="str">
        <f>"9780802072191"</f>
        <v>9780802072191</v>
      </c>
      <c r="D7156" t="str">
        <f>"9781442623460"</f>
        <v>9781442623460</v>
      </c>
      <c r="E7156" t="s">
        <v>31435</v>
      </c>
      <c r="F7156" t="s">
        <v>31435</v>
      </c>
      <c r="G7156" s="1">
        <v>42005</v>
      </c>
      <c r="H7156">
        <v>2</v>
      </c>
      <c r="I7156" t="s">
        <v>33775</v>
      </c>
      <c r="J7156" t="s">
        <v>35366</v>
      </c>
      <c r="K7156" t="s">
        <v>1471</v>
      </c>
      <c r="L7156" t="s">
        <v>35367</v>
      </c>
      <c r="M7156">
        <v>791.43023000000005</v>
      </c>
      <c r="O7156" t="s">
        <v>26</v>
      </c>
      <c r="Q7156">
        <v>62.5</v>
      </c>
      <c r="R7156">
        <v>50</v>
      </c>
      <c r="S7156">
        <v>75</v>
      </c>
      <c r="T7156" t="s">
        <v>35368</v>
      </c>
    </row>
    <row r="7157" spans="1:20">
      <c r="A7157">
        <v>4670132</v>
      </c>
      <c r="B7157" t="s">
        <v>35369</v>
      </c>
      <c r="C7157" t="str">
        <f>"9781442613584"</f>
        <v>9781442613584</v>
      </c>
      <c r="D7157" t="str">
        <f>"9781442662919"</f>
        <v>9781442662919</v>
      </c>
      <c r="E7157" t="s">
        <v>31435</v>
      </c>
      <c r="F7157" t="s">
        <v>31435</v>
      </c>
      <c r="G7157" s="1">
        <v>40838</v>
      </c>
      <c r="I7157" t="s">
        <v>35047</v>
      </c>
      <c r="J7157" t="s">
        <v>35370</v>
      </c>
      <c r="K7157" t="s">
        <v>525</v>
      </c>
      <c r="L7157" t="s">
        <v>35371</v>
      </c>
      <c r="M7157">
        <v>340.09710000000001</v>
      </c>
      <c r="O7157" t="s">
        <v>26</v>
      </c>
      <c r="Q7157">
        <v>165</v>
      </c>
      <c r="R7157">
        <v>132</v>
      </c>
      <c r="S7157">
        <v>198</v>
      </c>
      <c r="T7157" t="s">
        <v>35372</v>
      </c>
    </row>
    <row r="7158" spans="1:20">
      <c r="A7158">
        <v>4670133</v>
      </c>
      <c r="B7158" t="s">
        <v>35373</v>
      </c>
      <c r="C7158" t="str">
        <f>"9780802086518"</f>
        <v>9780802086518</v>
      </c>
      <c r="D7158" t="str">
        <f>"9781442623484"</f>
        <v>9781442623484</v>
      </c>
      <c r="E7158" t="s">
        <v>31435</v>
      </c>
      <c r="F7158" t="s">
        <v>31435</v>
      </c>
      <c r="G7158" s="1">
        <v>42005</v>
      </c>
      <c r="H7158">
        <v>2</v>
      </c>
      <c r="I7158" t="s">
        <v>31443</v>
      </c>
      <c r="J7158" t="s">
        <v>35374</v>
      </c>
      <c r="K7158" t="s">
        <v>291</v>
      </c>
      <c r="L7158" t="s">
        <v>35375</v>
      </c>
      <c r="M7158">
        <v>956.70399999999995</v>
      </c>
      <c r="O7158" t="s">
        <v>26</v>
      </c>
      <c r="Q7158">
        <v>72.5</v>
      </c>
      <c r="R7158">
        <v>58</v>
      </c>
      <c r="S7158">
        <v>87</v>
      </c>
      <c r="T7158" t="s">
        <v>35376</v>
      </c>
    </row>
    <row r="7159" spans="1:20">
      <c r="A7159">
        <v>4670135</v>
      </c>
      <c r="B7159" t="s">
        <v>35377</v>
      </c>
      <c r="C7159" t="str">
        <f>"9781442655010"</f>
        <v>9781442655010</v>
      </c>
      <c r="D7159" t="str">
        <f>"9781442623477"</f>
        <v>9781442623477</v>
      </c>
      <c r="E7159" t="s">
        <v>31435</v>
      </c>
      <c r="F7159" t="s">
        <v>31435</v>
      </c>
      <c r="G7159" s="1">
        <v>34700</v>
      </c>
      <c r="I7159" t="s">
        <v>34035</v>
      </c>
      <c r="J7159" t="s">
        <v>35378</v>
      </c>
      <c r="K7159" t="s">
        <v>13493</v>
      </c>
      <c r="L7159" t="s">
        <v>35379</v>
      </c>
      <c r="M7159" t="s">
        <v>35380</v>
      </c>
      <c r="O7159" t="s">
        <v>26</v>
      </c>
      <c r="Q7159">
        <v>117.5</v>
      </c>
      <c r="R7159">
        <v>94</v>
      </c>
      <c r="S7159">
        <v>141</v>
      </c>
      <c r="T7159" t="s">
        <v>35381</v>
      </c>
    </row>
    <row r="7160" spans="1:20">
      <c r="A7160">
        <v>4670136</v>
      </c>
      <c r="B7160" t="s">
        <v>35382</v>
      </c>
      <c r="C7160" t="str">
        <f>"9780802072023"</f>
        <v>9780802072023</v>
      </c>
      <c r="D7160" t="str">
        <f>"9781442659841"</f>
        <v>9781442659841</v>
      </c>
      <c r="E7160" t="s">
        <v>31435</v>
      </c>
      <c r="F7160" t="s">
        <v>31435</v>
      </c>
      <c r="G7160" s="1">
        <v>34335</v>
      </c>
      <c r="H7160">
        <v>2</v>
      </c>
      <c r="I7160" t="s">
        <v>34035</v>
      </c>
      <c r="J7160" t="s">
        <v>35383</v>
      </c>
      <c r="K7160" t="s">
        <v>1464</v>
      </c>
      <c r="L7160" t="s">
        <v>35384</v>
      </c>
      <c r="M7160" t="s">
        <v>4547</v>
      </c>
      <c r="O7160" t="s">
        <v>26</v>
      </c>
      <c r="Q7160">
        <v>106.25</v>
      </c>
      <c r="R7160">
        <v>85</v>
      </c>
      <c r="S7160">
        <v>127.5</v>
      </c>
      <c r="T7160" t="s">
        <v>35385</v>
      </c>
    </row>
    <row r="7161" spans="1:20">
      <c r="A7161">
        <v>4670137</v>
      </c>
      <c r="B7161" t="s">
        <v>35386</v>
      </c>
      <c r="C7161" t="str">
        <f>"9780802074669"</f>
        <v>9780802074669</v>
      </c>
      <c r="D7161" t="str">
        <f>"9781442623514"</f>
        <v>9781442623514</v>
      </c>
      <c r="E7161" t="s">
        <v>31435</v>
      </c>
      <c r="F7161" t="s">
        <v>31435</v>
      </c>
      <c r="G7161" s="1">
        <v>34700</v>
      </c>
      <c r="I7161" t="s">
        <v>31443</v>
      </c>
      <c r="J7161" t="s">
        <v>35387</v>
      </c>
      <c r="K7161" t="s">
        <v>1464</v>
      </c>
      <c r="L7161" t="s">
        <v>35388</v>
      </c>
      <c r="M7161" t="s">
        <v>35389</v>
      </c>
      <c r="O7161" t="s">
        <v>26</v>
      </c>
      <c r="Q7161">
        <v>70</v>
      </c>
      <c r="R7161">
        <v>56</v>
      </c>
      <c r="S7161">
        <v>84</v>
      </c>
      <c r="T7161" t="s">
        <v>35390</v>
      </c>
    </row>
    <row r="7162" spans="1:20">
      <c r="A7162">
        <v>4670139</v>
      </c>
      <c r="B7162" t="s">
        <v>35391</v>
      </c>
      <c r="C7162" t="str">
        <f>"9781442655027"</f>
        <v>9781442655027</v>
      </c>
      <c r="D7162" t="str">
        <f>"9781442623521"</f>
        <v>9781442623521</v>
      </c>
      <c r="E7162" t="s">
        <v>31435</v>
      </c>
      <c r="F7162" t="s">
        <v>31435</v>
      </c>
      <c r="G7162" s="1">
        <v>34335</v>
      </c>
      <c r="I7162" t="s">
        <v>31443</v>
      </c>
      <c r="J7162" t="s">
        <v>35392</v>
      </c>
      <c r="K7162" t="s">
        <v>1464</v>
      </c>
      <c r="L7162" t="s">
        <v>35393</v>
      </c>
      <c r="M7162" t="s">
        <v>35394</v>
      </c>
      <c r="O7162" t="s">
        <v>26</v>
      </c>
      <c r="Q7162">
        <v>87.5</v>
      </c>
      <c r="R7162">
        <v>70</v>
      </c>
      <c r="S7162">
        <v>105</v>
      </c>
      <c r="T7162" t="s">
        <v>35395</v>
      </c>
    </row>
    <row r="7163" spans="1:20">
      <c r="A7163">
        <v>4670140</v>
      </c>
      <c r="B7163" t="s">
        <v>35396</v>
      </c>
      <c r="C7163" t="str">
        <f>"9780802071392"</f>
        <v>9780802071392</v>
      </c>
      <c r="D7163" t="str">
        <f>"9781442623552"</f>
        <v>9781442623552</v>
      </c>
      <c r="E7163" t="s">
        <v>31435</v>
      </c>
      <c r="F7163" t="s">
        <v>31435</v>
      </c>
      <c r="G7163" s="1">
        <v>35065</v>
      </c>
      <c r="H7163">
        <v>2</v>
      </c>
      <c r="I7163" t="s">
        <v>35029</v>
      </c>
      <c r="J7163" t="s">
        <v>35397</v>
      </c>
      <c r="K7163" t="s">
        <v>23646</v>
      </c>
      <c r="L7163" t="s">
        <v>35398</v>
      </c>
      <c r="M7163" t="s">
        <v>34738</v>
      </c>
      <c r="O7163" t="s">
        <v>26</v>
      </c>
      <c r="Q7163">
        <v>67.5</v>
      </c>
      <c r="R7163">
        <v>54</v>
      </c>
      <c r="S7163">
        <v>81</v>
      </c>
      <c r="T7163" t="s">
        <v>35399</v>
      </c>
    </row>
    <row r="7164" spans="1:20">
      <c r="A7164">
        <v>4670142</v>
      </c>
      <c r="B7164" t="s">
        <v>35400</v>
      </c>
      <c r="C7164" t="str">
        <f>"9780802086884"</f>
        <v>9780802086884</v>
      </c>
      <c r="D7164" t="str">
        <f>"9781442623408"</f>
        <v>9781442623408</v>
      </c>
      <c r="E7164" t="s">
        <v>31435</v>
      </c>
      <c r="F7164" t="s">
        <v>31435</v>
      </c>
      <c r="G7164" s="1">
        <v>37257</v>
      </c>
      <c r="H7164">
        <v>2</v>
      </c>
      <c r="I7164" t="s">
        <v>33881</v>
      </c>
      <c r="J7164" t="s">
        <v>35401</v>
      </c>
      <c r="K7164" t="s">
        <v>14194</v>
      </c>
      <c r="L7164" t="s">
        <v>35402</v>
      </c>
      <c r="M7164" t="s">
        <v>35403</v>
      </c>
      <c r="O7164" t="s">
        <v>26</v>
      </c>
      <c r="Q7164">
        <v>87.5</v>
      </c>
      <c r="R7164">
        <v>70</v>
      </c>
      <c r="S7164">
        <v>105</v>
      </c>
      <c r="T7164" t="s">
        <v>35404</v>
      </c>
    </row>
    <row r="7165" spans="1:20">
      <c r="A7165">
        <v>4670143</v>
      </c>
      <c r="B7165" t="s">
        <v>35405</v>
      </c>
      <c r="C7165" t="str">
        <f>"9781442659636"</f>
        <v>9781442659636</v>
      </c>
      <c r="D7165" t="str">
        <f>"9781442623491"</f>
        <v>9781442623491</v>
      </c>
      <c r="E7165" t="s">
        <v>31435</v>
      </c>
      <c r="F7165" t="s">
        <v>31435</v>
      </c>
      <c r="G7165" s="1">
        <v>32509</v>
      </c>
      <c r="I7165" t="s">
        <v>34935</v>
      </c>
      <c r="K7165" t="s">
        <v>263</v>
      </c>
      <c r="L7165" t="s">
        <v>35406</v>
      </c>
      <c r="M7165" t="s">
        <v>35407</v>
      </c>
      <c r="O7165" t="s">
        <v>26</v>
      </c>
      <c r="Q7165">
        <v>38.69</v>
      </c>
      <c r="R7165">
        <v>30.95</v>
      </c>
      <c r="S7165">
        <v>46.43</v>
      </c>
      <c r="T7165" t="s">
        <v>35408</v>
      </c>
    </row>
    <row r="7166" spans="1:20">
      <c r="A7166">
        <v>4670144</v>
      </c>
      <c r="B7166" t="s">
        <v>35409</v>
      </c>
      <c r="C7166" t="str">
        <f>"9780802068422"</f>
        <v>9780802068422</v>
      </c>
      <c r="D7166" t="str">
        <f>"9781442623354"</f>
        <v>9781442623354</v>
      </c>
      <c r="E7166" t="s">
        <v>31435</v>
      </c>
      <c r="F7166" t="s">
        <v>31435</v>
      </c>
      <c r="G7166" s="1">
        <v>33239</v>
      </c>
      <c r="H7166">
        <v>2</v>
      </c>
      <c r="I7166" t="s">
        <v>31443</v>
      </c>
      <c r="J7166" t="s">
        <v>35410</v>
      </c>
      <c r="K7166" t="s">
        <v>291</v>
      </c>
      <c r="L7166" t="s">
        <v>35411</v>
      </c>
      <c r="M7166" t="s">
        <v>35412</v>
      </c>
      <c r="O7166" t="s">
        <v>26</v>
      </c>
      <c r="Q7166">
        <v>77.5</v>
      </c>
      <c r="R7166">
        <v>62</v>
      </c>
      <c r="S7166">
        <v>93</v>
      </c>
      <c r="T7166" t="s">
        <v>35413</v>
      </c>
    </row>
    <row r="7167" spans="1:20">
      <c r="A7167">
        <v>4670145</v>
      </c>
      <c r="B7167" t="s">
        <v>35414</v>
      </c>
      <c r="C7167" t="str">
        <f>"9780802077264"</f>
        <v>9780802077264</v>
      </c>
      <c r="D7167" t="str">
        <f>"9781442623361"</f>
        <v>9781442623361</v>
      </c>
      <c r="E7167" t="s">
        <v>31435</v>
      </c>
      <c r="F7167" t="s">
        <v>31435</v>
      </c>
      <c r="G7167" s="1">
        <v>42005</v>
      </c>
      <c r="H7167">
        <v>2</v>
      </c>
      <c r="I7167" t="s">
        <v>31443</v>
      </c>
      <c r="J7167" t="s">
        <v>35415</v>
      </c>
      <c r="K7167" t="s">
        <v>263</v>
      </c>
      <c r="L7167" t="s">
        <v>35416</v>
      </c>
      <c r="M7167">
        <v>361.32</v>
      </c>
      <c r="O7167" t="s">
        <v>26</v>
      </c>
      <c r="Q7167">
        <v>77.5</v>
      </c>
      <c r="R7167">
        <v>62</v>
      </c>
      <c r="S7167">
        <v>93</v>
      </c>
      <c r="T7167" t="s">
        <v>35417</v>
      </c>
    </row>
    <row r="7168" spans="1:20">
      <c r="A7168">
        <v>4670146</v>
      </c>
      <c r="B7168" t="s">
        <v>35418</v>
      </c>
      <c r="C7168" t="str">
        <f>"9781442659643"</f>
        <v>9781442659643</v>
      </c>
      <c r="D7168" t="str">
        <f>"9781442623316"</f>
        <v>9781442623316</v>
      </c>
      <c r="E7168" t="s">
        <v>31435</v>
      </c>
      <c r="F7168" t="s">
        <v>31435</v>
      </c>
      <c r="G7168" s="1">
        <v>32874</v>
      </c>
      <c r="I7168" t="s">
        <v>34935</v>
      </c>
      <c r="J7168" t="s">
        <v>35419</v>
      </c>
      <c r="K7168" t="s">
        <v>263</v>
      </c>
      <c r="L7168" t="s">
        <v>35420</v>
      </c>
      <c r="M7168" t="s">
        <v>35421</v>
      </c>
      <c r="O7168" t="s">
        <v>26</v>
      </c>
      <c r="Q7168">
        <v>38.69</v>
      </c>
      <c r="R7168">
        <v>30.95</v>
      </c>
      <c r="S7168">
        <v>46.43</v>
      </c>
      <c r="T7168" t="s">
        <v>35422</v>
      </c>
    </row>
    <row r="7169" spans="1:20">
      <c r="A7169">
        <v>4670147</v>
      </c>
      <c r="B7169" t="s">
        <v>35423</v>
      </c>
      <c r="C7169" t="str">
        <f>"9781442655003"</f>
        <v>9781442655003</v>
      </c>
      <c r="D7169" t="str">
        <f>"9781442623446"</f>
        <v>9781442623446</v>
      </c>
      <c r="E7169" t="s">
        <v>31435</v>
      </c>
      <c r="F7169" t="s">
        <v>31435</v>
      </c>
      <c r="G7169" s="1">
        <v>35431</v>
      </c>
      <c r="I7169" t="s">
        <v>31443</v>
      </c>
      <c r="J7169" t="s">
        <v>35424</v>
      </c>
      <c r="K7169" t="s">
        <v>1892</v>
      </c>
      <c r="L7169" t="s">
        <v>35425</v>
      </c>
      <c r="M7169">
        <v>270.60000000000002</v>
      </c>
      <c r="O7169" t="s">
        <v>26</v>
      </c>
      <c r="Q7169">
        <v>93.75</v>
      </c>
      <c r="R7169">
        <v>75</v>
      </c>
      <c r="S7169">
        <v>112.5</v>
      </c>
      <c r="T7169" t="s">
        <v>35426</v>
      </c>
    </row>
    <row r="7170" spans="1:20">
      <c r="A7170">
        <v>4670148</v>
      </c>
      <c r="B7170" t="s">
        <v>35427</v>
      </c>
      <c r="C7170" t="str">
        <f>"9780802062338"</f>
        <v>9780802062338</v>
      </c>
      <c r="D7170" t="str">
        <f>"9781442623415"</f>
        <v>9781442623415</v>
      </c>
      <c r="E7170" t="s">
        <v>31435</v>
      </c>
      <c r="F7170" t="s">
        <v>31435</v>
      </c>
      <c r="G7170" s="1">
        <v>27030</v>
      </c>
      <c r="I7170" t="s">
        <v>31443</v>
      </c>
      <c r="J7170" t="s">
        <v>35428</v>
      </c>
      <c r="K7170" t="s">
        <v>291</v>
      </c>
      <c r="L7170" t="s">
        <v>35429</v>
      </c>
      <c r="M7170">
        <v>971.8</v>
      </c>
      <c r="O7170" t="s">
        <v>26</v>
      </c>
      <c r="Q7170">
        <v>42.5</v>
      </c>
      <c r="R7170">
        <v>34</v>
      </c>
      <c r="S7170">
        <v>51</v>
      </c>
      <c r="T7170" t="s">
        <v>35430</v>
      </c>
    </row>
    <row r="7171" spans="1:20">
      <c r="A7171">
        <v>4670149</v>
      </c>
      <c r="B7171" t="s">
        <v>35431</v>
      </c>
      <c r="C7171" t="str">
        <f>"9780802064707"</f>
        <v>9780802064707</v>
      </c>
      <c r="D7171" t="str">
        <f>"9781442623422"</f>
        <v>9781442623422</v>
      </c>
      <c r="E7171" t="s">
        <v>31435</v>
      </c>
      <c r="F7171" t="s">
        <v>31435</v>
      </c>
      <c r="G7171" s="1">
        <v>29952</v>
      </c>
      <c r="H7171">
        <v>2</v>
      </c>
      <c r="I7171" t="s">
        <v>31443</v>
      </c>
      <c r="J7171" t="s">
        <v>35432</v>
      </c>
      <c r="K7171" t="s">
        <v>305</v>
      </c>
      <c r="L7171" t="s">
        <v>35433</v>
      </c>
      <c r="M7171" t="s">
        <v>35434</v>
      </c>
      <c r="O7171" t="s">
        <v>26</v>
      </c>
      <c r="Q7171">
        <v>65</v>
      </c>
      <c r="R7171">
        <v>52</v>
      </c>
      <c r="S7171">
        <v>78</v>
      </c>
      <c r="T7171" t="s">
        <v>35435</v>
      </c>
    </row>
    <row r="7172" spans="1:20">
      <c r="A7172">
        <v>4670150</v>
      </c>
      <c r="B7172" t="s">
        <v>35436</v>
      </c>
      <c r="C7172" t="str">
        <f>"9780802074133"</f>
        <v>9780802074133</v>
      </c>
      <c r="D7172" t="str">
        <f>"9781442623439"</f>
        <v>9781442623439</v>
      </c>
      <c r="E7172" t="s">
        <v>31435</v>
      </c>
      <c r="F7172" t="s">
        <v>31435</v>
      </c>
      <c r="G7172" s="1">
        <v>42005</v>
      </c>
      <c r="H7172">
        <v>2</v>
      </c>
      <c r="I7172" t="s">
        <v>31443</v>
      </c>
      <c r="J7172" t="s">
        <v>35437</v>
      </c>
      <c r="K7172" t="s">
        <v>1464</v>
      </c>
      <c r="M7172">
        <v>821.8</v>
      </c>
      <c r="O7172" t="s">
        <v>26</v>
      </c>
      <c r="Q7172">
        <v>62.5</v>
      </c>
      <c r="R7172">
        <v>50</v>
      </c>
      <c r="S7172">
        <v>75</v>
      </c>
      <c r="T7172" t="s">
        <v>35438</v>
      </c>
    </row>
    <row r="7173" spans="1:20">
      <c r="A7173">
        <v>4670153</v>
      </c>
      <c r="B7173" t="s">
        <v>35439</v>
      </c>
      <c r="C7173" t="str">
        <f>"9780802085030"</f>
        <v>9780802085030</v>
      </c>
      <c r="D7173" t="str">
        <f>"9781442627338"</f>
        <v>9781442627338</v>
      </c>
      <c r="E7173" t="s">
        <v>31435</v>
      </c>
      <c r="F7173" t="s">
        <v>31435</v>
      </c>
      <c r="G7173" s="1">
        <v>38353</v>
      </c>
      <c r="J7173" t="s">
        <v>35440</v>
      </c>
      <c r="K7173" t="s">
        <v>263</v>
      </c>
      <c r="L7173" t="s">
        <v>35441</v>
      </c>
      <c r="M7173" t="s">
        <v>35442</v>
      </c>
      <c r="O7173" t="s">
        <v>26</v>
      </c>
      <c r="Q7173">
        <v>100</v>
      </c>
      <c r="R7173">
        <v>80</v>
      </c>
      <c r="S7173">
        <v>120</v>
      </c>
      <c r="T7173" t="s">
        <v>35443</v>
      </c>
    </row>
    <row r="7174" spans="1:20">
      <c r="A7174">
        <v>4670155</v>
      </c>
      <c r="B7174" t="s">
        <v>35444</v>
      </c>
      <c r="C7174" t="str">
        <f>"9781442609846"</f>
        <v>9781442609846</v>
      </c>
      <c r="D7174" t="str">
        <f>"9781442627666"</f>
        <v>9781442627666</v>
      </c>
      <c r="E7174" t="s">
        <v>31435</v>
      </c>
      <c r="F7174" t="s">
        <v>31435</v>
      </c>
      <c r="G7174" s="1">
        <v>39448</v>
      </c>
      <c r="I7174" t="s">
        <v>34935</v>
      </c>
      <c r="J7174" t="s">
        <v>35445</v>
      </c>
      <c r="K7174" t="s">
        <v>416</v>
      </c>
      <c r="L7174" t="s">
        <v>35446</v>
      </c>
      <c r="M7174">
        <v>338.4766910971</v>
      </c>
      <c r="O7174" t="s">
        <v>26</v>
      </c>
      <c r="Q7174">
        <v>36.19</v>
      </c>
      <c r="R7174">
        <v>28.95</v>
      </c>
      <c r="S7174">
        <v>43.43</v>
      </c>
      <c r="T7174" t="s">
        <v>35447</v>
      </c>
    </row>
    <row r="7175" spans="1:20">
      <c r="A7175">
        <v>4670156</v>
      </c>
      <c r="B7175" t="s">
        <v>35448</v>
      </c>
      <c r="C7175" t="str">
        <f>"9780802065780"</f>
        <v>9780802065780</v>
      </c>
      <c r="D7175" t="str">
        <f>"9781442627635"</f>
        <v>9781442627635</v>
      </c>
      <c r="E7175" t="s">
        <v>31435</v>
      </c>
      <c r="F7175" t="s">
        <v>31435</v>
      </c>
      <c r="G7175" s="1">
        <v>31321</v>
      </c>
      <c r="H7175">
        <v>2</v>
      </c>
      <c r="I7175" t="s">
        <v>31443</v>
      </c>
      <c r="J7175" t="s">
        <v>35449</v>
      </c>
      <c r="K7175" t="s">
        <v>1550</v>
      </c>
      <c r="L7175" t="s">
        <v>35450</v>
      </c>
      <c r="M7175" t="s">
        <v>35451</v>
      </c>
      <c r="O7175" t="s">
        <v>26</v>
      </c>
      <c r="Q7175">
        <v>77.5</v>
      </c>
      <c r="R7175">
        <v>62</v>
      </c>
      <c r="S7175">
        <v>93</v>
      </c>
      <c r="T7175" t="s">
        <v>35452</v>
      </c>
    </row>
    <row r="7176" spans="1:20">
      <c r="A7176">
        <v>4670157</v>
      </c>
      <c r="B7176" t="s">
        <v>35453</v>
      </c>
      <c r="C7176" t="str">
        <f>"9780802083982"</f>
        <v>9780802083982</v>
      </c>
      <c r="D7176" t="str">
        <f>"9781442623620"</f>
        <v>9781442623620</v>
      </c>
      <c r="E7176" t="s">
        <v>31435</v>
      </c>
      <c r="F7176" t="s">
        <v>31435</v>
      </c>
      <c r="G7176" s="1">
        <v>36892</v>
      </c>
      <c r="I7176" t="s">
        <v>31443</v>
      </c>
      <c r="J7176" t="s">
        <v>35454</v>
      </c>
      <c r="K7176" t="s">
        <v>1471</v>
      </c>
      <c r="L7176" t="s">
        <v>35455</v>
      </c>
      <c r="M7176" t="s">
        <v>35456</v>
      </c>
      <c r="O7176" t="s">
        <v>26</v>
      </c>
      <c r="Q7176">
        <v>93.75</v>
      </c>
      <c r="R7176">
        <v>75</v>
      </c>
      <c r="S7176">
        <v>112.5</v>
      </c>
      <c r="T7176" t="s">
        <v>35457</v>
      </c>
    </row>
    <row r="7177" spans="1:20">
      <c r="A7177">
        <v>4670159</v>
      </c>
      <c r="B7177" t="s">
        <v>35458</v>
      </c>
      <c r="C7177" t="str">
        <f>"9780802087874"</f>
        <v>9780802087874</v>
      </c>
      <c r="D7177" t="str">
        <f>"9781442627598"</f>
        <v>9781442627598</v>
      </c>
      <c r="E7177" t="s">
        <v>31435</v>
      </c>
      <c r="F7177" t="s">
        <v>31435</v>
      </c>
      <c r="G7177" s="1">
        <v>38353</v>
      </c>
      <c r="H7177">
        <v>2</v>
      </c>
      <c r="J7177" t="s">
        <v>35459</v>
      </c>
      <c r="K7177" t="s">
        <v>1471</v>
      </c>
      <c r="L7177" t="s">
        <v>35460</v>
      </c>
      <c r="M7177" t="s">
        <v>35461</v>
      </c>
      <c r="O7177" t="s">
        <v>26</v>
      </c>
      <c r="Q7177">
        <v>68.75</v>
      </c>
      <c r="R7177">
        <v>55</v>
      </c>
      <c r="S7177">
        <v>82.5</v>
      </c>
      <c r="T7177" t="s">
        <v>35462</v>
      </c>
    </row>
    <row r="7178" spans="1:20">
      <c r="A7178">
        <v>4670164</v>
      </c>
      <c r="B7178" t="s">
        <v>35463</v>
      </c>
      <c r="C7178" t="str">
        <f>"9780802092250"</f>
        <v>9780802092250</v>
      </c>
      <c r="D7178" t="str">
        <f>"9781442627192"</f>
        <v>9781442627192</v>
      </c>
      <c r="E7178" t="s">
        <v>31435</v>
      </c>
      <c r="F7178" t="s">
        <v>31435</v>
      </c>
      <c r="G7178" s="1">
        <v>38718</v>
      </c>
      <c r="I7178" t="s">
        <v>33881</v>
      </c>
      <c r="J7178" t="s">
        <v>35464</v>
      </c>
      <c r="K7178" t="s">
        <v>525</v>
      </c>
      <c r="L7178" t="s">
        <v>35465</v>
      </c>
      <c r="M7178" t="s">
        <v>35466</v>
      </c>
      <c r="O7178" t="s">
        <v>26</v>
      </c>
      <c r="Q7178">
        <v>100</v>
      </c>
      <c r="R7178">
        <v>80</v>
      </c>
      <c r="S7178">
        <v>120</v>
      </c>
      <c r="T7178" t="s">
        <v>35467</v>
      </c>
    </row>
    <row r="7179" spans="1:20">
      <c r="A7179">
        <v>4670165</v>
      </c>
      <c r="B7179" t="s">
        <v>35468</v>
      </c>
      <c r="C7179" t="str">
        <f>"9780802042934"</f>
        <v>9780802042934</v>
      </c>
      <c r="D7179" t="str">
        <f>"9781442667389"</f>
        <v>9781442667389</v>
      </c>
      <c r="E7179" t="s">
        <v>31435</v>
      </c>
      <c r="F7179" t="s">
        <v>31435</v>
      </c>
      <c r="G7179" s="1">
        <v>41568</v>
      </c>
      <c r="J7179" t="s">
        <v>35469</v>
      </c>
      <c r="K7179" t="s">
        <v>35470</v>
      </c>
      <c r="L7179" t="s">
        <v>35471</v>
      </c>
      <c r="M7179" t="s">
        <v>35472</v>
      </c>
      <c r="O7179" t="s">
        <v>26</v>
      </c>
      <c r="Q7179">
        <v>236.25</v>
      </c>
      <c r="R7179">
        <v>189</v>
      </c>
      <c r="S7179">
        <v>283.5</v>
      </c>
      <c r="T7179" t="s">
        <v>35473</v>
      </c>
    </row>
    <row r="7180" spans="1:20">
      <c r="A7180">
        <v>4670167</v>
      </c>
      <c r="B7180" t="s">
        <v>35474</v>
      </c>
      <c r="C7180" t="str">
        <f>"9780802086907"</f>
        <v>9780802086907</v>
      </c>
      <c r="D7180" t="str">
        <f>"9781442627970"</f>
        <v>9781442627970</v>
      </c>
      <c r="E7180" t="s">
        <v>31435</v>
      </c>
      <c r="F7180" t="s">
        <v>31435</v>
      </c>
      <c r="G7180" s="1">
        <v>42004</v>
      </c>
      <c r="H7180">
        <v>2</v>
      </c>
      <c r="I7180" t="s">
        <v>34935</v>
      </c>
      <c r="J7180" t="s">
        <v>35475</v>
      </c>
      <c r="K7180" t="s">
        <v>263</v>
      </c>
      <c r="L7180" t="s">
        <v>35476</v>
      </c>
      <c r="M7180">
        <v>305.3</v>
      </c>
      <c r="O7180" t="s">
        <v>26</v>
      </c>
      <c r="Q7180">
        <v>38.69</v>
      </c>
      <c r="R7180">
        <v>30.95</v>
      </c>
      <c r="S7180">
        <v>46.43</v>
      </c>
      <c r="T7180" t="s">
        <v>35477</v>
      </c>
    </row>
    <row r="7181" spans="1:20">
      <c r="A7181">
        <v>4670170</v>
      </c>
      <c r="B7181" t="s">
        <v>35478</v>
      </c>
      <c r="C7181" t="str">
        <f>"9780802039996"</f>
        <v>9780802039996</v>
      </c>
      <c r="D7181" t="str">
        <f>"9781442657014"</f>
        <v>9781442657014</v>
      </c>
      <c r="E7181" t="s">
        <v>31435</v>
      </c>
      <c r="F7181" t="s">
        <v>31435</v>
      </c>
      <c r="G7181" s="1">
        <v>32143</v>
      </c>
      <c r="H7181">
        <v>2</v>
      </c>
      <c r="I7181" t="s">
        <v>31443</v>
      </c>
      <c r="J7181" t="s">
        <v>35479</v>
      </c>
      <c r="K7181" t="s">
        <v>257</v>
      </c>
      <c r="L7181" t="s">
        <v>35480</v>
      </c>
      <c r="M7181" t="s">
        <v>35481</v>
      </c>
      <c r="O7181" t="s">
        <v>26</v>
      </c>
      <c r="Q7181">
        <v>12.44</v>
      </c>
      <c r="R7181">
        <v>9.9499999999999993</v>
      </c>
      <c r="S7181">
        <v>14.93</v>
      </c>
      <c r="T7181" t="s">
        <v>35482</v>
      </c>
    </row>
    <row r="7182" spans="1:20">
      <c r="A7182">
        <v>4670173</v>
      </c>
      <c r="B7182" t="s">
        <v>35483</v>
      </c>
      <c r="C7182" t="str">
        <f>"9781442623736"</f>
        <v>9781442623736</v>
      </c>
      <c r="D7182" t="str">
        <f>"9781442656970"</f>
        <v>9781442656970</v>
      </c>
      <c r="E7182" t="s">
        <v>31435</v>
      </c>
      <c r="F7182" t="s">
        <v>31435</v>
      </c>
      <c r="G7182" s="1">
        <v>33239</v>
      </c>
      <c r="I7182" t="s">
        <v>31443</v>
      </c>
      <c r="J7182" t="s">
        <v>35484</v>
      </c>
      <c r="K7182" t="s">
        <v>35485</v>
      </c>
      <c r="L7182" t="s">
        <v>35486</v>
      </c>
      <c r="M7182">
        <v>17.509768000000001</v>
      </c>
      <c r="O7182" t="s">
        <v>26</v>
      </c>
      <c r="Q7182">
        <v>122.5</v>
      </c>
      <c r="R7182">
        <v>98</v>
      </c>
      <c r="S7182">
        <v>147</v>
      </c>
      <c r="T7182" t="s">
        <v>35487</v>
      </c>
    </row>
    <row r="7183" spans="1:20">
      <c r="A7183">
        <v>4670174</v>
      </c>
      <c r="B7183" t="s">
        <v>35488</v>
      </c>
      <c r="C7183" t="str">
        <f>"9780802071347"</f>
        <v>9780802071347</v>
      </c>
      <c r="D7183" t="str">
        <f>"9781442627741"</f>
        <v>9781442627741</v>
      </c>
      <c r="E7183" t="s">
        <v>31435</v>
      </c>
      <c r="F7183" t="s">
        <v>31435</v>
      </c>
      <c r="G7183" s="1">
        <v>42003</v>
      </c>
      <c r="H7183">
        <v>2</v>
      </c>
      <c r="J7183" t="s">
        <v>35489</v>
      </c>
      <c r="K7183" t="s">
        <v>263</v>
      </c>
      <c r="L7183" t="s">
        <v>35490</v>
      </c>
      <c r="M7183">
        <v>306.87400000000002</v>
      </c>
      <c r="O7183" t="s">
        <v>26</v>
      </c>
      <c r="Q7183">
        <v>32.44</v>
      </c>
      <c r="R7183">
        <v>25.95</v>
      </c>
      <c r="S7183">
        <v>38.93</v>
      </c>
      <c r="T7183" t="s">
        <v>35491</v>
      </c>
    </row>
    <row r="7184" spans="1:20">
      <c r="A7184">
        <v>4670178</v>
      </c>
      <c r="B7184" t="s">
        <v>35492</v>
      </c>
      <c r="C7184" t="str">
        <f>"9780802065919"</f>
        <v>9780802065919</v>
      </c>
      <c r="D7184" t="str">
        <f>"9781442627819"</f>
        <v>9781442627819</v>
      </c>
      <c r="E7184" t="s">
        <v>31435</v>
      </c>
      <c r="F7184" t="s">
        <v>31435</v>
      </c>
      <c r="G7184" s="1">
        <v>42004</v>
      </c>
      <c r="H7184">
        <v>2</v>
      </c>
      <c r="J7184" t="s">
        <v>35493</v>
      </c>
      <c r="K7184" t="s">
        <v>305</v>
      </c>
      <c r="L7184" t="s">
        <v>35494</v>
      </c>
      <c r="M7184">
        <v>386.48097137000002</v>
      </c>
      <c r="O7184" t="s">
        <v>26</v>
      </c>
      <c r="Q7184">
        <v>67.5</v>
      </c>
      <c r="R7184">
        <v>54</v>
      </c>
      <c r="S7184">
        <v>81</v>
      </c>
      <c r="T7184" t="s">
        <v>35495</v>
      </c>
    </row>
    <row r="7185" spans="1:20">
      <c r="A7185">
        <v>4670182</v>
      </c>
      <c r="B7185" t="s">
        <v>35496</v>
      </c>
      <c r="C7185" t="str">
        <f>"9781442611382"</f>
        <v>9781442611382</v>
      </c>
      <c r="D7185" t="str">
        <f>"9781442627840"</f>
        <v>9781442627840</v>
      </c>
      <c r="E7185" t="s">
        <v>31435</v>
      </c>
      <c r="F7185" t="s">
        <v>31435</v>
      </c>
      <c r="G7185" s="1">
        <v>42004</v>
      </c>
      <c r="I7185" t="s">
        <v>34935</v>
      </c>
      <c r="J7185" t="s">
        <v>35497</v>
      </c>
      <c r="K7185" t="s">
        <v>263</v>
      </c>
      <c r="M7185">
        <v>306.70819999999998</v>
      </c>
      <c r="O7185" t="s">
        <v>26</v>
      </c>
      <c r="Q7185">
        <v>37.44</v>
      </c>
      <c r="R7185">
        <v>29.95</v>
      </c>
      <c r="S7185">
        <v>44.93</v>
      </c>
      <c r="T7185" t="s">
        <v>35498</v>
      </c>
    </row>
    <row r="7186" spans="1:20">
      <c r="A7186">
        <v>4670184</v>
      </c>
      <c r="B7186" t="s">
        <v>35499</v>
      </c>
      <c r="C7186" t="str">
        <f>"9780802067432"</f>
        <v>9780802067432</v>
      </c>
      <c r="D7186" t="str">
        <f>"9781442657403"</f>
        <v>9781442657403</v>
      </c>
      <c r="E7186" t="s">
        <v>31435</v>
      </c>
      <c r="F7186" t="s">
        <v>31435</v>
      </c>
      <c r="G7186" s="1">
        <v>32879</v>
      </c>
      <c r="H7186">
        <v>2</v>
      </c>
      <c r="J7186" t="s">
        <v>35500</v>
      </c>
      <c r="K7186" t="s">
        <v>6038</v>
      </c>
      <c r="L7186" t="s">
        <v>35501</v>
      </c>
      <c r="M7186">
        <v>971.20100000000002</v>
      </c>
      <c r="N7186" t="s">
        <v>35502</v>
      </c>
      <c r="O7186" t="s">
        <v>26</v>
      </c>
      <c r="Q7186">
        <v>67.5</v>
      </c>
      <c r="R7186">
        <v>54</v>
      </c>
      <c r="S7186">
        <v>81</v>
      </c>
      <c r="T7186" t="s">
        <v>35503</v>
      </c>
    </row>
    <row r="7187" spans="1:20">
      <c r="A7187">
        <v>4670185</v>
      </c>
      <c r="B7187" t="s">
        <v>35504</v>
      </c>
      <c r="C7187" t="str">
        <f>"9780802080356"</f>
        <v>9780802080356</v>
      </c>
      <c r="D7187" t="str">
        <f>"9781442657427"</f>
        <v>9781442657427</v>
      </c>
      <c r="E7187" t="s">
        <v>31435</v>
      </c>
      <c r="F7187" t="s">
        <v>31435</v>
      </c>
      <c r="G7187" s="1">
        <v>35796</v>
      </c>
      <c r="I7187" t="s">
        <v>31443</v>
      </c>
      <c r="J7187" t="s">
        <v>35505</v>
      </c>
      <c r="K7187" t="s">
        <v>305</v>
      </c>
      <c r="L7187" t="s">
        <v>35506</v>
      </c>
      <c r="M7187">
        <v>658.80200000000002</v>
      </c>
      <c r="O7187" t="s">
        <v>26</v>
      </c>
      <c r="Q7187">
        <v>81.25</v>
      </c>
      <c r="R7187">
        <v>65</v>
      </c>
      <c r="S7187">
        <v>97.5</v>
      </c>
      <c r="T7187" t="s">
        <v>35507</v>
      </c>
    </row>
    <row r="7188" spans="1:20">
      <c r="A7188">
        <v>4670186</v>
      </c>
      <c r="B7188" t="s">
        <v>35508</v>
      </c>
      <c r="C7188" t="str">
        <f>"9780802076663"</f>
        <v>9780802076663</v>
      </c>
      <c r="D7188" t="str">
        <f>"9781442657502"</f>
        <v>9781442657502</v>
      </c>
      <c r="E7188" t="s">
        <v>31435</v>
      </c>
      <c r="F7188" t="s">
        <v>31435</v>
      </c>
      <c r="G7188" s="1">
        <v>35010</v>
      </c>
      <c r="J7188" t="s">
        <v>35509</v>
      </c>
      <c r="K7188" t="s">
        <v>263</v>
      </c>
      <c r="L7188" t="s">
        <v>35510</v>
      </c>
      <c r="M7188" t="s">
        <v>35511</v>
      </c>
      <c r="O7188" t="s">
        <v>26</v>
      </c>
      <c r="Q7188">
        <v>65</v>
      </c>
      <c r="R7188">
        <v>52</v>
      </c>
      <c r="S7188">
        <v>78</v>
      </c>
      <c r="T7188" t="s">
        <v>35512</v>
      </c>
    </row>
    <row r="7189" spans="1:20">
      <c r="A7189">
        <v>4670187</v>
      </c>
      <c r="B7189" t="s">
        <v>35513</v>
      </c>
      <c r="C7189" t="str">
        <f>"9780802078797"</f>
        <v>9780802078797</v>
      </c>
      <c r="D7189" t="str">
        <f>"9781442657519"</f>
        <v>9781442657519</v>
      </c>
      <c r="E7189" t="s">
        <v>31435</v>
      </c>
      <c r="F7189" t="s">
        <v>31435</v>
      </c>
      <c r="G7189" s="1">
        <v>35431</v>
      </c>
      <c r="I7189" t="s">
        <v>35203</v>
      </c>
      <c r="J7189" t="s">
        <v>35514</v>
      </c>
      <c r="K7189" t="s">
        <v>1464</v>
      </c>
      <c r="L7189" t="s">
        <v>35515</v>
      </c>
      <c r="M7189" t="s">
        <v>35516</v>
      </c>
      <c r="O7189" t="s">
        <v>26</v>
      </c>
      <c r="Q7189">
        <v>33.69</v>
      </c>
      <c r="R7189">
        <v>26.95</v>
      </c>
      <c r="S7189">
        <v>40.43</v>
      </c>
      <c r="T7189" t="s">
        <v>35517</v>
      </c>
    </row>
    <row r="7190" spans="1:20">
      <c r="A7190">
        <v>4670188</v>
      </c>
      <c r="B7190" t="s">
        <v>35518</v>
      </c>
      <c r="C7190" t="str">
        <f>"9780802066770"</f>
        <v>9780802066770</v>
      </c>
      <c r="D7190" t="str">
        <f>"9781442657526"</f>
        <v>9781442657526</v>
      </c>
      <c r="E7190" t="s">
        <v>31435</v>
      </c>
      <c r="F7190" t="s">
        <v>31435</v>
      </c>
      <c r="G7190" s="1">
        <v>32325</v>
      </c>
      <c r="J7190" t="s">
        <v>27068</v>
      </c>
      <c r="K7190" t="s">
        <v>278</v>
      </c>
      <c r="L7190" t="s">
        <v>35519</v>
      </c>
      <c r="M7190" t="s">
        <v>35520</v>
      </c>
      <c r="O7190" t="s">
        <v>26</v>
      </c>
      <c r="Q7190">
        <v>75</v>
      </c>
      <c r="R7190">
        <v>60</v>
      </c>
      <c r="S7190">
        <v>90</v>
      </c>
      <c r="T7190" t="s">
        <v>35521</v>
      </c>
    </row>
    <row r="7191" spans="1:20">
      <c r="A7191">
        <v>4670189</v>
      </c>
      <c r="B7191" t="s">
        <v>35522</v>
      </c>
      <c r="C7191" t="str">
        <f>"9780802084118"</f>
        <v>9780802084118</v>
      </c>
      <c r="D7191" t="str">
        <f>"9781442657571"</f>
        <v>9781442657571</v>
      </c>
      <c r="E7191" t="s">
        <v>31435</v>
      </c>
      <c r="F7191" t="s">
        <v>31435</v>
      </c>
      <c r="G7191" s="1">
        <v>36526</v>
      </c>
      <c r="I7191" t="s">
        <v>35523</v>
      </c>
      <c r="J7191" t="s">
        <v>34981</v>
      </c>
      <c r="K7191" t="s">
        <v>467</v>
      </c>
      <c r="L7191" t="s">
        <v>35524</v>
      </c>
      <c r="M7191" t="s">
        <v>35525</v>
      </c>
      <c r="O7191" t="s">
        <v>26</v>
      </c>
      <c r="Q7191">
        <v>32.44</v>
      </c>
      <c r="R7191">
        <v>25.95</v>
      </c>
      <c r="S7191">
        <v>38.93</v>
      </c>
      <c r="T7191" t="s">
        <v>35526</v>
      </c>
    </row>
    <row r="7192" spans="1:20">
      <c r="A7192">
        <v>4670190</v>
      </c>
      <c r="B7192" t="s">
        <v>35527</v>
      </c>
      <c r="C7192" t="str">
        <f>"9780802078056"</f>
        <v>9780802078056</v>
      </c>
      <c r="D7192" t="str">
        <f>"9781442657533"</f>
        <v>9781442657533</v>
      </c>
      <c r="E7192" t="s">
        <v>31435</v>
      </c>
      <c r="F7192" t="s">
        <v>31435</v>
      </c>
      <c r="G7192" s="1">
        <v>35431</v>
      </c>
      <c r="J7192" t="s">
        <v>35528</v>
      </c>
      <c r="K7192" t="s">
        <v>376</v>
      </c>
      <c r="L7192" t="s">
        <v>35529</v>
      </c>
      <c r="M7192" t="s">
        <v>35530</v>
      </c>
      <c r="O7192" t="s">
        <v>26</v>
      </c>
      <c r="Q7192">
        <v>105</v>
      </c>
      <c r="R7192">
        <v>84</v>
      </c>
      <c r="S7192">
        <v>126</v>
      </c>
      <c r="T7192" t="s">
        <v>35531</v>
      </c>
    </row>
    <row r="7193" spans="1:20">
      <c r="A7193">
        <v>4670196</v>
      </c>
      <c r="B7193" t="s">
        <v>35532</v>
      </c>
      <c r="C7193" t="str">
        <f>"9780802067050"</f>
        <v>9780802067050</v>
      </c>
      <c r="D7193" t="str">
        <f>"9781442657311"</f>
        <v>9781442657311</v>
      </c>
      <c r="E7193" t="s">
        <v>31435</v>
      </c>
      <c r="F7193" t="s">
        <v>31435</v>
      </c>
      <c r="G7193" s="1">
        <v>33239</v>
      </c>
      <c r="H7193">
        <v>2</v>
      </c>
      <c r="J7193" t="s">
        <v>35533</v>
      </c>
      <c r="K7193" t="s">
        <v>263</v>
      </c>
      <c r="L7193" t="s">
        <v>35534</v>
      </c>
      <c r="M7193" t="s">
        <v>35535</v>
      </c>
      <c r="O7193" t="s">
        <v>26</v>
      </c>
      <c r="Q7193">
        <v>67.5</v>
      </c>
      <c r="R7193">
        <v>54</v>
      </c>
      <c r="S7193">
        <v>81</v>
      </c>
      <c r="T7193" t="s">
        <v>35536</v>
      </c>
    </row>
    <row r="7194" spans="1:20">
      <c r="A7194">
        <v>4670197</v>
      </c>
      <c r="B7194" t="s">
        <v>35537</v>
      </c>
      <c r="C7194" t="str">
        <f>"9780802079282"</f>
        <v>9780802079282</v>
      </c>
      <c r="D7194" t="str">
        <f>"9781442657243"</f>
        <v>9781442657243</v>
      </c>
      <c r="E7194" t="s">
        <v>31435</v>
      </c>
      <c r="F7194" t="s">
        <v>31435</v>
      </c>
      <c r="G7194" s="1">
        <v>42003</v>
      </c>
      <c r="H7194">
        <v>2</v>
      </c>
      <c r="J7194" t="s">
        <v>35538</v>
      </c>
      <c r="K7194" t="s">
        <v>291</v>
      </c>
      <c r="L7194" t="s">
        <v>35539</v>
      </c>
      <c r="M7194">
        <v>971.00411399999996</v>
      </c>
      <c r="O7194" t="s">
        <v>26</v>
      </c>
      <c r="Q7194">
        <v>77.5</v>
      </c>
      <c r="R7194">
        <v>62</v>
      </c>
      <c r="S7194">
        <v>93</v>
      </c>
      <c r="T7194" t="s">
        <v>35540</v>
      </c>
    </row>
    <row r="7195" spans="1:20">
      <c r="A7195">
        <v>4670198</v>
      </c>
      <c r="B7195" t="s">
        <v>35541</v>
      </c>
      <c r="C7195" t="str">
        <f>"9780195417845"</f>
        <v>9780195417845</v>
      </c>
      <c r="D7195" t="str">
        <f>"9781442659827"</f>
        <v>9781442659827</v>
      </c>
      <c r="E7195" t="s">
        <v>31435</v>
      </c>
      <c r="F7195" t="s">
        <v>31435</v>
      </c>
      <c r="G7195" s="1">
        <v>37712</v>
      </c>
      <c r="I7195" t="s">
        <v>34935</v>
      </c>
      <c r="J7195" t="s">
        <v>35542</v>
      </c>
      <c r="K7195" t="s">
        <v>6444</v>
      </c>
      <c r="L7195" t="s">
        <v>35543</v>
      </c>
      <c r="M7195" t="s">
        <v>35544</v>
      </c>
      <c r="O7195" t="s">
        <v>26</v>
      </c>
      <c r="Q7195">
        <v>135</v>
      </c>
      <c r="R7195">
        <v>108</v>
      </c>
      <c r="S7195">
        <v>162</v>
      </c>
      <c r="T7195" t="s">
        <v>35545</v>
      </c>
    </row>
    <row r="7196" spans="1:20">
      <c r="A7196">
        <v>4670199</v>
      </c>
      <c r="B7196" t="s">
        <v>35546</v>
      </c>
      <c r="C7196" t="str">
        <f>"9780802048868"</f>
        <v>9780802048868</v>
      </c>
      <c r="D7196" t="str">
        <f>"9781442657342"</f>
        <v>9781442657342</v>
      </c>
      <c r="E7196" t="s">
        <v>31435</v>
      </c>
      <c r="F7196" t="s">
        <v>31435</v>
      </c>
      <c r="G7196" s="1">
        <v>38353</v>
      </c>
      <c r="J7196" t="s">
        <v>35547</v>
      </c>
      <c r="K7196" t="s">
        <v>856</v>
      </c>
      <c r="L7196" t="s">
        <v>35548</v>
      </c>
      <c r="M7196">
        <v>335.43833100000001</v>
      </c>
      <c r="O7196" t="s">
        <v>26</v>
      </c>
      <c r="Q7196">
        <v>120</v>
      </c>
      <c r="R7196">
        <v>96</v>
      </c>
      <c r="S7196">
        <v>144</v>
      </c>
      <c r="T7196" t="s">
        <v>35549</v>
      </c>
    </row>
    <row r="7197" spans="1:20">
      <c r="A7197">
        <v>4670200</v>
      </c>
      <c r="B7197" t="s">
        <v>35550</v>
      </c>
      <c r="C7197" t="str">
        <f>"9780802034199"</f>
        <v>9780802034199</v>
      </c>
      <c r="D7197" t="str">
        <f>"9781442659810"</f>
        <v>9781442659810</v>
      </c>
      <c r="E7197" t="s">
        <v>31435</v>
      </c>
      <c r="F7197" t="s">
        <v>31435</v>
      </c>
      <c r="G7197" s="1">
        <v>31031</v>
      </c>
      <c r="I7197" t="s">
        <v>31443</v>
      </c>
      <c r="J7197" t="s">
        <v>33962</v>
      </c>
      <c r="K7197" t="s">
        <v>14458</v>
      </c>
      <c r="L7197" t="s">
        <v>35551</v>
      </c>
      <c r="M7197" t="s">
        <v>35552</v>
      </c>
      <c r="O7197" t="s">
        <v>26</v>
      </c>
      <c r="Q7197">
        <v>62.5</v>
      </c>
      <c r="R7197">
        <v>50</v>
      </c>
      <c r="S7197">
        <v>75</v>
      </c>
      <c r="T7197" t="s">
        <v>35553</v>
      </c>
    </row>
    <row r="7198" spans="1:20">
      <c r="A7198">
        <v>4670201</v>
      </c>
      <c r="B7198" t="s">
        <v>35554</v>
      </c>
      <c r="C7198" t="str">
        <f>"9780802069788"</f>
        <v>9780802069788</v>
      </c>
      <c r="D7198" t="str">
        <f>"9781442659803"</f>
        <v>9781442659803</v>
      </c>
      <c r="E7198" t="s">
        <v>31435</v>
      </c>
      <c r="F7198" t="s">
        <v>31435</v>
      </c>
      <c r="G7198" s="1">
        <v>34335</v>
      </c>
      <c r="H7198">
        <v>2</v>
      </c>
      <c r="I7198" t="s">
        <v>31443</v>
      </c>
      <c r="J7198" t="s">
        <v>35555</v>
      </c>
      <c r="K7198" t="s">
        <v>291</v>
      </c>
      <c r="L7198" t="s">
        <v>35556</v>
      </c>
      <c r="M7198" t="s">
        <v>35557</v>
      </c>
      <c r="O7198" t="s">
        <v>26</v>
      </c>
      <c r="Q7198">
        <v>87.5</v>
      </c>
      <c r="R7198">
        <v>70</v>
      </c>
      <c r="S7198">
        <v>105</v>
      </c>
      <c r="T7198" t="s">
        <v>35558</v>
      </c>
    </row>
    <row r="7199" spans="1:20">
      <c r="A7199">
        <v>4670202</v>
      </c>
      <c r="B7199" t="s">
        <v>35559</v>
      </c>
      <c r="C7199" t="str">
        <f>"9781442623682"</f>
        <v>9781442623682</v>
      </c>
      <c r="D7199" t="str">
        <f>"9781442659780"</f>
        <v>9781442659780</v>
      </c>
      <c r="E7199" t="s">
        <v>31435</v>
      </c>
      <c r="F7199" t="s">
        <v>31435</v>
      </c>
      <c r="G7199" s="1">
        <v>35796</v>
      </c>
      <c r="I7199" t="s">
        <v>31443</v>
      </c>
      <c r="J7199" t="s">
        <v>35560</v>
      </c>
      <c r="K7199" t="s">
        <v>1464</v>
      </c>
      <c r="L7199" t="s">
        <v>35561</v>
      </c>
      <c r="M7199" t="s">
        <v>14551</v>
      </c>
      <c r="O7199" t="s">
        <v>26</v>
      </c>
      <c r="Q7199">
        <v>75</v>
      </c>
      <c r="R7199">
        <v>60</v>
      </c>
      <c r="S7199">
        <v>90</v>
      </c>
      <c r="T7199" t="s">
        <v>35562</v>
      </c>
    </row>
    <row r="7200" spans="1:20">
      <c r="A7200">
        <v>4670203</v>
      </c>
      <c r="B7200" t="s">
        <v>35563</v>
      </c>
      <c r="C7200" t="str">
        <f>"9780802076502"</f>
        <v>9780802076502</v>
      </c>
      <c r="D7200" t="str">
        <f>"9781442659759"</f>
        <v>9781442659759</v>
      </c>
      <c r="E7200" t="s">
        <v>31435</v>
      </c>
      <c r="F7200" t="s">
        <v>31435</v>
      </c>
      <c r="G7200" s="1">
        <v>34700</v>
      </c>
      <c r="H7200">
        <v>2</v>
      </c>
      <c r="I7200" t="s">
        <v>31443</v>
      </c>
      <c r="J7200" t="s">
        <v>35564</v>
      </c>
      <c r="K7200" t="s">
        <v>525</v>
      </c>
      <c r="L7200" t="s">
        <v>35565</v>
      </c>
      <c r="M7200">
        <v>342.71</v>
      </c>
      <c r="O7200" t="s">
        <v>26</v>
      </c>
      <c r="Q7200">
        <v>67.5</v>
      </c>
      <c r="R7200">
        <v>54</v>
      </c>
      <c r="S7200">
        <v>81</v>
      </c>
      <c r="T7200" t="s">
        <v>35566</v>
      </c>
    </row>
    <row r="7201" spans="1:20">
      <c r="A7201">
        <v>4670204</v>
      </c>
      <c r="B7201" t="s">
        <v>35567</v>
      </c>
      <c r="C7201" t="str">
        <f>"9780802038135"</f>
        <v>9780802038135</v>
      </c>
      <c r="D7201" t="str">
        <f>"9781442659797"</f>
        <v>9781442659797</v>
      </c>
      <c r="E7201" t="s">
        <v>31435</v>
      </c>
      <c r="F7201" t="s">
        <v>31435</v>
      </c>
      <c r="G7201" s="1">
        <v>38718</v>
      </c>
      <c r="H7201">
        <v>2</v>
      </c>
      <c r="I7201" t="s">
        <v>31443</v>
      </c>
      <c r="J7201" t="s">
        <v>35568</v>
      </c>
      <c r="K7201" t="s">
        <v>76</v>
      </c>
      <c r="L7201" t="s">
        <v>35569</v>
      </c>
      <c r="M7201">
        <v>630.91999999999905</v>
      </c>
      <c r="O7201" t="s">
        <v>26</v>
      </c>
      <c r="Q7201">
        <v>85</v>
      </c>
      <c r="R7201">
        <v>68</v>
      </c>
      <c r="S7201">
        <v>102</v>
      </c>
      <c r="T7201" t="s">
        <v>35570</v>
      </c>
    </row>
    <row r="7202" spans="1:20">
      <c r="A7202">
        <v>4670206</v>
      </c>
      <c r="B7202" t="s">
        <v>35571</v>
      </c>
      <c r="C7202" t="str">
        <f>"9781442623675"</f>
        <v>9781442623675</v>
      </c>
      <c r="D7202" t="str">
        <f>"9781442659766"</f>
        <v>9781442659766</v>
      </c>
      <c r="E7202" t="s">
        <v>31435</v>
      </c>
      <c r="F7202" t="s">
        <v>31435</v>
      </c>
      <c r="G7202" s="1">
        <v>35065</v>
      </c>
      <c r="I7202" t="s">
        <v>31443</v>
      </c>
      <c r="J7202" t="s">
        <v>35572</v>
      </c>
      <c r="K7202" t="s">
        <v>291</v>
      </c>
      <c r="L7202" t="s">
        <v>35573</v>
      </c>
      <c r="M7202" t="s">
        <v>35574</v>
      </c>
      <c r="O7202" t="s">
        <v>26</v>
      </c>
      <c r="Q7202">
        <v>52.44</v>
      </c>
      <c r="R7202">
        <v>41.95</v>
      </c>
      <c r="S7202">
        <v>62.93</v>
      </c>
      <c r="T7202" t="s">
        <v>35575</v>
      </c>
    </row>
    <row r="7203" spans="1:20">
      <c r="A7203">
        <v>4670207</v>
      </c>
      <c r="B7203" t="s">
        <v>35576</v>
      </c>
      <c r="C7203" t="str">
        <f>"9780802066152"</f>
        <v>9780802066152</v>
      </c>
      <c r="D7203" t="str">
        <f>"9781442659711"</f>
        <v>9781442659711</v>
      </c>
      <c r="E7203" t="s">
        <v>31435</v>
      </c>
      <c r="F7203" t="s">
        <v>31435</v>
      </c>
      <c r="G7203" s="1">
        <v>32857</v>
      </c>
      <c r="H7203">
        <v>2</v>
      </c>
      <c r="I7203" t="s">
        <v>31443</v>
      </c>
      <c r="J7203" t="s">
        <v>35577</v>
      </c>
      <c r="K7203" t="s">
        <v>2312</v>
      </c>
      <c r="L7203" t="s">
        <v>35578</v>
      </c>
      <c r="M7203">
        <v>322.30971</v>
      </c>
      <c r="O7203" t="s">
        <v>26</v>
      </c>
      <c r="Q7203">
        <v>67.5</v>
      </c>
      <c r="R7203">
        <v>54</v>
      </c>
      <c r="S7203">
        <v>81</v>
      </c>
      <c r="T7203" t="s">
        <v>35579</v>
      </c>
    </row>
    <row r="7204" spans="1:20">
      <c r="A7204">
        <v>4670208</v>
      </c>
      <c r="B7204" t="s">
        <v>35580</v>
      </c>
      <c r="C7204" t="str">
        <f>"9781442623781"</f>
        <v>9781442623781</v>
      </c>
      <c r="D7204" t="str">
        <f>"9781442659599"</f>
        <v>9781442659599</v>
      </c>
      <c r="E7204" t="s">
        <v>31435</v>
      </c>
      <c r="F7204" t="s">
        <v>31435</v>
      </c>
      <c r="G7204" s="1">
        <v>33239</v>
      </c>
      <c r="I7204" t="s">
        <v>31443</v>
      </c>
      <c r="J7204" t="s">
        <v>35581</v>
      </c>
      <c r="K7204" t="s">
        <v>1464</v>
      </c>
      <c r="L7204" t="s">
        <v>35582</v>
      </c>
      <c r="M7204" t="s">
        <v>6931</v>
      </c>
      <c r="O7204" t="s">
        <v>26</v>
      </c>
      <c r="Q7204">
        <v>81.25</v>
      </c>
      <c r="R7204">
        <v>65</v>
      </c>
      <c r="S7204">
        <v>97.5</v>
      </c>
      <c r="T7204" t="s">
        <v>35583</v>
      </c>
    </row>
    <row r="7205" spans="1:20">
      <c r="A7205">
        <v>4670209</v>
      </c>
      <c r="B7205" t="s">
        <v>35584</v>
      </c>
      <c r="C7205" t="str">
        <f>"9780802073808"</f>
        <v>9780802073808</v>
      </c>
      <c r="D7205" t="str">
        <f>"9781442659674"</f>
        <v>9781442659674</v>
      </c>
      <c r="E7205" t="s">
        <v>31435</v>
      </c>
      <c r="F7205" t="s">
        <v>31435</v>
      </c>
      <c r="G7205" s="1">
        <v>34318</v>
      </c>
      <c r="H7205">
        <v>2</v>
      </c>
      <c r="I7205" t="s">
        <v>31443</v>
      </c>
      <c r="J7205" t="s">
        <v>35585</v>
      </c>
      <c r="K7205" t="s">
        <v>291</v>
      </c>
      <c r="L7205" t="s">
        <v>35586</v>
      </c>
      <c r="M7205" t="s">
        <v>35587</v>
      </c>
      <c r="O7205" t="s">
        <v>26</v>
      </c>
      <c r="Q7205">
        <v>87.5</v>
      </c>
      <c r="R7205">
        <v>70</v>
      </c>
      <c r="S7205">
        <v>105</v>
      </c>
      <c r="T7205" t="s">
        <v>35588</v>
      </c>
    </row>
    <row r="7206" spans="1:20">
      <c r="A7206">
        <v>4670210</v>
      </c>
      <c r="B7206" t="s">
        <v>35589</v>
      </c>
      <c r="C7206" t="str">
        <f>"9780802066732"</f>
        <v>9780802066732</v>
      </c>
      <c r="D7206" t="str">
        <f>"9781442659728"</f>
        <v>9781442659728</v>
      </c>
      <c r="E7206" t="s">
        <v>31435</v>
      </c>
      <c r="F7206" t="s">
        <v>31435</v>
      </c>
      <c r="G7206" s="1">
        <v>32857</v>
      </c>
      <c r="H7206">
        <v>2</v>
      </c>
      <c r="I7206" t="s">
        <v>31443</v>
      </c>
      <c r="J7206" t="s">
        <v>12533</v>
      </c>
      <c r="K7206" t="s">
        <v>1550</v>
      </c>
      <c r="L7206" t="s">
        <v>35590</v>
      </c>
      <c r="M7206">
        <v>305.800971</v>
      </c>
      <c r="O7206" t="s">
        <v>26</v>
      </c>
      <c r="Q7206">
        <v>77.5</v>
      </c>
      <c r="R7206">
        <v>62</v>
      </c>
      <c r="S7206">
        <v>93</v>
      </c>
      <c r="T7206" t="s">
        <v>35591</v>
      </c>
    </row>
    <row r="7207" spans="1:20">
      <c r="A7207">
        <v>4670211</v>
      </c>
      <c r="B7207" t="s">
        <v>35592</v>
      </c>
      <c r="C7207" t="str">
        <f>"9780802065896"</f>
        <v>9780802065896</v>
      </c>
      <c r="D7207" t="str">
        <f>"9781442657762"</f>
        <v>9781442657762</v>
      </c>
      <c r="E7207" t="s">
        <v>31435</v>
      </c>
      <c r="F7207" t="s">
        <v>31435</v>
      </c>
      <c r="G7207" s="1">
        <v>31048</v>
      </c>
      <c r="H7207">
        <v>2</v>
      </c>
      <c r="J7207" t="s">
        <v>35593</v>
      </c>
      <c r="K7207" t="s">
        <v>525</v>
      </c>
      <c r="L7207" t="s">
        <v>35594</v>
      </c>
      <c r="M7207">
        <v>342.71087199999897</v>
      </c>
      <c r="O7207" t="s">
        <v>26</v>
      </c>
      <c r="Q7207">
        <v>82.5</v>
      </c>
      <c r="R7207">
        <v>66</v>
      </c>
      <c r="S7207">
        <v>99</v>
      </c>
      <c r="T7207" t="s">
        <v>35595</v>
      </c>
    </row>
    <row r="7208" spans="1:20">
      <c r="A7208">
        <v>4670212</v>
      </c>
      <c r="B7208" t="s">
        <v>35596</v>
      </c>
      <c r="C7208" t="str">
        <f>"9780802085269"</f>
        <v>9780802085269</v>
      </c>
      <c r="D7208" t="str">
        <f>"9781442658875"</f>
        <v>9781442658875</v>
      </c>
      <c r="E7208" t="s">
        <v>31435</v>
      </c>
      <c r="F7208" t="s">
        <v>31435</v>
      </c>
      <c r="G7208" s="1">
        <v>37290</v>
      </c>
      <c r="I7208" t="s">
        <v>31443</v>
      </c>
      <c r="J7208" t="s">
        <v>35597</v>
      </c>
      <c r="K7208" t="s">
        <v>257</v>
      </c>
      <c r="L7208" t="s">
        <v>35598</v>
      </c>
      <c r="M7208">
        <v>376.65097135410002</v>
      </c>
      <c r="O7208" t="s">
        <v>26</v>
      </c>
      <c r="Q7208">
        <v>63.69</v>
      </c>
      <c r="R7208">
        <v>50.95</v>
      </c>
      <c r="S7208">
        <v>76.430000000000007</v>
      </c>
      <c r="T7208" t="s">
        <v>35599</v>
      </c>
    </row>
    <row r="7209" spans="1:20">
      <c r="A7209">
        <v>4670214</v>
      </c>
      <c r="B7209" t="s">
        <v>35600</v>
      </c>
      <c r="C7209" t="str">
        <f>"9781442613591"</f>
        <v>9781442613591</v>
      </c>
      <c r="D7209" t="str">
        <f>"9781442662926"</f>
        <v>9781442662926</v>
      </c>
      <c r="E7209" t="s">
        <v>31435</v>
      </c>
      <c r="F7209" t="s">
        <v>31435</v>
      </c>
      <c r="G7209" s="1">
        <v>40839</v>
      </c>
      <c r="I7209" t="s">
        <v>35047</v>
      </c>
      <c r="J7209" t="s">
        <v>35601</v>
      </c>
      <c r="K7209" t="s">
        <v>525</v>
      </c>
      <c r="L7209" t="s">
        <v>35602</v>
      </c>
      <c r="M7209">
        <v>349.71600000000001</v>
      </c>
      <c r="O7209" t="s">
        <v>26</v>
      </c>
      <c r="Q7209">
        <v>165</v>
      </c>
      <c r="R7209">
        <v>132</v>
      </c>
      <c r="S7209">
        <v>198</v>
      </c>
      <c r="T7209" t="s">
        <v>35603</v>
      </c>
    </row>
    <row r="7210" spans="1:20">
      <c r="A7210">
        <v>4670215</v>
      </c>
      <c r="B7210" t="s">
        <v>35604</v>
      </c>
      <c r="C7210" t="str">
        <f>"9780802064646"</f>
        <v>9780802064646</v>
      </c>
      <c r="D7210" t="str">
        <f>"9781442659971"</f>
        <v>9781442659971</v>
      </c>
      <c r="E7210" t="s">
        <v>31435</v>
      </c>
      <c r="F7210" t="s">
        <v>31435</v>
      </c>
      <c r="G7210" s="1">
        <v>30665</v>
      </c>
      <c r="H7210">
        <v>2</v>
      </c>
      <c r="I7210" t="s">
        <v>31443</v>
      </c>
      <c r="J7210" t="s">
        <v>35605</v>
      </c>
      <c r="K7210" t="s">
        <v>23</v>
      </c>
      <c r="L7210" t="s">
        <v>35606</v>
      </c>
      <c r="M7210">
        <v>599.4</v>
      </c>
      <c r="O7210" t="s">
        <v>26</v>
      </c>
      <c r="Q7210">
        <v>60</v>
      </c>
      <c r="R7210">
        <v>48</v>
      </c>
      <c r="S7210">
        <v>72</v>
      </c>
      <c r="T7210" t="s">
        <v>35607</v>
      </c>
    </row>
    <row r="7211" spans="1:20">
      <c r="A7211">
        <v>4670216</v>
      </c>
      <c r="B7211" t="s">
        <v>35608</v>
      </c>
      <c r="C7211" t="str">
        <f>"9780802039149"</f>
        <v>9780802039149</v>
      </c>
      <c r="D7211" t="str">
        <f>"9781442657595"</f>
        <v>9781442657595</v>
      </c>
      <c r="E7211" t="s">
        <v>31435</v>
      </c>
      <c r="F7211" t="s">
        <v>31435</v>
      </c>
      <c r="G7211" s="1">
        <v>38353</v>
      </c>
      <c r="H7211">
        <v>2</v>
      </c>
      <c r="I7211" t="s">
        <v>33899</v>
      </c>
      <c r="J7211" t="s">
        <v>35609</v>
      </c>
      <c r="K7211" t="s">
        <v>7838</v>
      </c>
      <c r="L7211" t="s">
        <v>35610</v>
      </c>
      <c r="M7211">
        <v>724.19</v>
      </c>
      <c r="O7211" t="s">
        <v>26</v>
      </c>
      <c r="Q7211">
        <v>225</v>
      </c>
      <c r="R7211">
        <v>180</v>
      </c>
      <c r="S7211">
        <v>270</v>
      </c>
      <c r="T7211" t="s">
        <v>35611</v>
      </c>
    </row>
    <row r="7212" spans="1:20">
      <c r="A7212">
        <v>4670217</v>
      </c>
      <c r="B7212" t="s">
        <v>35612</v>
      </c>
      <c r="C7212" t="str">
        <f>"9780802080462"</f>
        <v>9780802080462</v>
      </c>
      <c r="D7212" t="str">
        <f>"9781442659988"</f>
        <v>9781442659988</v>
      </c>
      <c r="E7212" t="s">
        <v>31435</v>
      </c>
      <c r="F7212" t="s">
        <v>31435</v>
      </c>
      <c r="G7212" s="1">
        <v>35431</v>
      </c>
      <c r="I7212" t="s">
        <v>31443</v>
      </c>
      <c r="J7212" t="s">
        <v>35613</v>
      </c>
      <c r="K7212" t="s">
        <v>35614</v>
      </c>
      <c r="L7212" t="s">
        <v>35615</v>
      </c>
      <c r="M7212" t="s">
        <v>35616</v>
      </c>
      <c r="O7212" t="s">
        <v>26</v>
      </c>
      <c r="Q7212">
        <v>42.44</v>
      </c>
      <c r="R7212">
        <v>33.950000000000003</v>
      </c>
      <c r="S7212">
        <v>50.93</v>
      </c>
      <c r="T7212" t="s">
        <v>35617</v>
      </c>
    </row>
    <row r="7213" spans="1:20">
      <c r="A7213">
        <v>4670218</v>
      </c>
      <c r="B7213" t="s">
        <v>35618</v>
      </c>
      <c r="C7213" t="str">
        <f>"9781442623712"</f>
        <v>9781442623712</v>
      </c>
      <c r="D7213" t="str">
        <f>"9781442659940"</f>
        <v>9781442659940</v>
      </c>
      <c r="E7213" t="s">
        <v>31435</v>
      </c>
      <c r="F7213" t="s">
        <v>31435</v>
      </c>
      <c r="G7213" s="1">
        <v>32690</v>
      </c>
      <c r="I7213" t="s">
        <v>31443</v>
      </c>
      <c r="J7213" t="s">
        <v>35619</v>
      </c>
      <c r="K7213" t="s">
        <v>1471</v>
      </c>
      <c r="L7213" t="s">
        <v>35620</v>
      </c>
      <c r="M7213">
        <v>792.09420903399905</v>
      </c>
      <c r="O7213" t="s">
        <v>26</v>
      </c>
      <c r="Q7213">
        <v>75</v>
      </c>
      <c r="R7213">
        <v>60</v>
      </c>
      <c r="S7213">
        <v>90</v>
      </c>
      <c r="T7213" t="s">
        <v>35621</v>
      </c>
    </row>
    <row r="7214" spans="1:20">
      <c r="A7214">
        <v>4670219</v>
      </c>
      <c r="B7214" t="s">
        <v>35622</v>
      </c>
      <c r="C7214" t="str">
        <f>"9780802078261"</f>
        <v>9780802078261</v>
      </c>
      <c r="D7214" t="str">
        <f>"9781442659957"</f>
        <v>9781442659957</v>
      </c>
      <c r="E7214" t="s">
        <v>31435</v>
      </c>
      <c r="F7214" t="s">
        <v>31435</v>
      </c>
      <c r="G7214" s="1">
        <v>35431</v>
      </c>
      <c r="H7214">
        <v>2</v>
      </c>
      <c r="I7214" t="s">
        <v>34886</v>
      </c>
      <c r="J7214" t="s">
        <v>35623</v>
      </c>
      <c r="K7214" t="s">
        <v>35624</v>
      </c>
      <c r="L7214" t="s">
        <v>35625</v>
      </c>
      <c r="M7214">
        <v>264.06502</v>
      </c>
      <c r="O7214" t="s">
        <v>26</v>
      </c>
      <c r="Q7214">
        <v>65</v>
      </c>
      <c r="R7214">
        <v>52</v>
      </c>
      <c r="S7214">
        <v>78</v>
      </c>
      <c r="T7214" t="s">
        <v>35626</v>
      </c>
    </row>
    <row r="7215" spans="1:20">
      <c r="A7215">
        <v>4670221</v>
      </c>
      <c r="B7215" t="s">
        <v>35627</v>
      </c>
      <c r="C7215" t="str">
        <f>"9781442623705"</f>
        <v>9781442623705</v>
      </c>
      <c r="D7215" t="str">
        <f>"9781442659933"</f>
        <v>9781442659933</v>
      </c>
      <c r="E7215" t="s">
        <v>31435</v>
      </c>
      <c r="F7215" t="s">
        <v>31435</v>
      </c>
      <c r="G7215" s="1">
        <v>38323</v>
      </c>
      <c r="I7215" t="s">
        <v>35264</v>
      </c>
      <c r="J7215" t="s">
        <v>35628</v>
      </c>
      <c r="K7215" t="s">
        <v>22702</v>
      </c>
      <c r="L7215" t="s">
        <v>35629</v>
      </c>
      <c r="M7215">
        <v>91</v>
      </c>
      <c r="O7215" t="s">
        <v>26</v>
      </c>
      <c r="Q7215">
        <v>80</v>
      </c>
      <c r="R7215">
        <v>64</v>
      </c>
      <c r="S7215">
        <v>96</v>
      </c>
      <c r="T7215" t="s">
        <v>35630</v>
      </c>
    </row>
    <row r="7216" spans="1:20">
      <c r="A7216">
        <v>4670222</v>
      </c>
      <c r="B7216" t="s">
        <v>35631</v>
      </c>
      <c r="C7216" t="str">
        <f>"9780771025525"</f>
        <v>9780771025525</v>
      </c>
      <c r="D7216" t="str">
        <f>"9781442659902"</f>
        <v>9781442659902</v>
      </c>
      <c r="E7216" t="s">
        <v>31435</v>
      </c>
      <c r="F7216" t="s">
        <v>31435</v>
      </c>
      <c r="G7216" s="1">
        <v>34700</v>
      </c>
      <c r="I7216" t="s">
        <v>34935</v>
      </c>
      <c r="J7216" t="s">
        <v>35632</v>
      </c>
      <c r="K7216" t="s">
        <v>27928</v>
      </c>
      <c r="L7216" t="s">
        <v>35633</v>
      </c>
      <c r="M7216">
        <v>331.76299999999901</v>
      </c>
      <c r="O7216" t="s">
        <v>26</v>
      </c>
      <c r="Q7216">
        <v>38.69</v>
      </c>
      <c r="R7216">
        <v>30.95</v>
      </c>
      <c r="S7216">
        <v>46.43</v>
      </c>
      <c r="T7216" t="s">
        <v>35634</v>
      </c>
    </row>
    <row r="7217" spans="1:20">
      <c r="A7217">
        <v>4670224</v>
      </c>
      <c r="B7217" t="s">
        <v>35635</v>
      </c>
      <c r="C7217" t="str">
        <f>"9781442623699"</f>
        <v>9781442623699</v>
      </c>
      <c r="D7217" t="str">
        <f>"9781442659919"</f>
        <v>9781442659919</v>
      </c>
      <c r="E7217" t="s">
        <v>31435</v>
      </c>
      <c r="F7217" t="s">
        <v>31435</v>
      </c>
      <c r="G7217" s="1">
        <v>33961</v>
      </c>
      <c r="I7217" t="s">
        <v>31443</v>
      </c>
      <c r="J7217" t="s">
        <v>35636</v>
      </c>
      <c r="K7217" t="s">
        <v>3230</v>
      </c>
      <c r="L7217" t="s">
        <v>35637</v>
      </c>
      <c r="M7217">
        <v>917.19504099999904</v>
      </c>
      <c r="O7217" t="s">
        <v>26</v>
      </c>
      <c r="Q7217">
        <v>68.75</v>
      </c>
      <c r="R7217">
        <v>55</v>
      </c>
      <c r="S7217">
        <v>82.5</v>
      </c>
      <c r="T7217" t="s">
        <v>35638</v>
      </c>
    </row>
    <row r="7218" spans="1:20">
      <c r="A7218">
        <v>4670230</v>
      </c>
      <c r="B7218" t="s">
        <v>35639</v>
      </c>
      <c r="C7218" t="str">
        <f>"9781442657366"</f>
        <v>9781442657366</v>
      </c>
      <c r="D7218" t="str">
        <f>"9781442621022"</f>
        <v>9781442621022</v>
      </c>
      <c r="E7218" t="s">
        <v>31435</v>
      </c>
      <c r="F7218" t="s">
        <v>31435</v>
      </c>
      <c r="G7218" s="1">
        <v>37622</v>
      </c>
      <c r="I7218" t="s">
        <v>34797</v>
      </c>
      <c r="J7218" t="s">
        <v>35640</v>
      </c>
      <c r="K7218" t="s">
        <v>1613</v>
      </c>
      <c r="L7218" t="s">
        <v>35641</v>
      </c>
      <c r="M7218">
        <v>241</v>
      </c>
      <c r="O7218" t="s">
        <v>26</v>
      </c>
      <c r="Q7218">
        <v>131.25</v>
      </c>
      <c r="R7218">
        <v>105</v>
      </c>
      <c r="S7218">
        <v>157.5</v>
      </c>
      <c r="T7218" t="s">
        <v>35642</v>
      </c>
    </row>
    <row r="7219" spans="1:20">
      <c r="A7219">
        <v>4670232</v>
      </c>
      <c r="B7219" t="s">
        <v>35643</v>
      </c>
      <c r="C7219" t="str">
        <f>"9780802075871"</f>
        <v>9780802075871</v>
      </c>
      <c r="D7219" t="str">
        <f>"9781442627857"</f>
        <v>9781442627857</v>
      </c>
      <c r="E7219" t="s">
        <v>31435</v>
      </c>
      <c r="F7219" t="s">
        <v>31435</v>
      </c>
      <c r="G7219" s="1">
        <v>34335</v>
      </c>
      <c r="H7219">
        <v>2</v>
      </c>
      <c r="I7219" t="s">
        <v>35047</v>
      </c>
      <c r="J7219" t="s">
        <v>35644</v>
      </c>
      <c r="K7219" t="s">
        <v>525</v>
      </c>
      <c r="L7219" t="s">
        <v>35645</v>
      </c>
      <c r="M7219">
        <v>340.09710000000001</v>
      </c>
      <c r="O7219" t="s">
        <v>26</v>
      </c>
      <c r="Q7219">
        <v>132.5</v>
      </c>
      <c r="R7219">
        <v>106</v>
      </c>
      <c r="S7219">
        <v>159</v>
      </c>
      <c r="T7219" t="s">
        <v>35646</v>
      </c>
    </row>
    <row r="7220" spans="1:20">
      <c r="A7220">
        <v>4670236</v>
      </c>
      <c r="B7220" t="s">
        <v>35647</v>
      </c>
      <c r="C7220" t="str">
        <f>"9781442654983"</f>
        <v>9781442654983</v>
      </c>
      <c r="D7220" t="str">
        <f>"9781442623668"</f>
        <v>9781442623668</v>
      </c>
      <c r="E7220" t="s">
        <v>31435</v>
      </c>
      <c r="F7220" t="s">
        <v>31435</v>
      </c>
      <c r="G7220" s="1">
        <v>28856</v>
      </c>
      <c r="I7220" t="s">
        <v>35648</v>
      </c>
      <c r="J7220" t="s">
        <v>35649</v>
      </c>
      <c r="K7220" t="s">
        <v>1859</v>
      </c>
      <c r="L7220" t="s">
        <v>35650</v>
      </c>
      <c r="M7220">
        <v>192</v>
      </c>
      <c r="O7220" t="s">
        <v>26</v>
      </c>
      <c r="Q7220">
        <v>93.75</v>
      </c>
      <c r="R7220">
        <v>75</v>
      </c>
      <c r="S7220">
        <v>112.5</v>
      </c>
      <c r="T7220" t="s">
        <v>35651</v>
      </c>
    </row>
    <row r="7221" spans="1:20">
      <c r="A7221">
        <v>4670237</v>
      </c>
      <c r="B7221" t="s">
        <v>35652</v>
      </c>
      <c r="C7221" t="str">
        <f>"9780802087119"</f>
        <v>9780802087119</v>
      </c>
      <c r="D7221" t="str">
        <f>"9781442627475"</f>
        <v>9781442627475</v>
      </c>
      <c r="E7221" t="s">
        <v>31435</v>
      </c>
      <c r="F7221" t="s">
        <v>31435</v>
      </c>
      <c r="G7221" s="1">
        <v>38718</v>
      </c>
      <c r="H7221">
        <v>2</v>
      </c>
      <c r="I7221" t="s">
        <v>35264</v>
      </c>
      <c r="J7221" t="s">
        <v>35653</v>
      </c>
      <c r="K7221" t="s">
        <v>22527</v>
      </c>
      <c r="L7221" t="s">
        <v>35654</v>
      </c>
      <c r="M7221">
        <v>70.509410904099894</v>
      </c>
      <c r="O7221" t="s">
        <v>26</v>
      </c>
      <c r="Q7221">
        <v>100</v>
      </c>
      <c r="R7221">
        <v>80</v>
      </c>
      <c r="S7221">
        <v>120</v>
      </c>
      <c r="T7221" t="s">
        <v>35655</v>
      </c>
    </row>
    <row r="7222" spans="1:20">
      <c r="A7222">
        <v>4670240</v>
      </c>
      <c r="B7222" t="s">
        <v>35656</v>
      </c>
      <c r="C7222" t="str">
        <f>"9780802065537"</f>
        <v>9780802065537</v>
      </c>
      <c r="D7222" t="str">
        <f>"9781442627529"</f>
        <v>9781442627529</v>
      </c>
      <c r="E7222" t="s">
        <v>31435</v>
      </c>
      <c r="F7222" t="s">
        <v>31435</v>
      </c>
      <c r="G7222" s="1">
        <v>42005</v>
      </c>
      <c r="H7222">
        <v>2</v>
      </c>
      <c r="J7222" t="s">
        <v>35657</v>
      </c>
      <c r="K7222" t="s">
        <v>4081</v>
      </c>
      <c r="M7222">
        <v>458.24209999999999</v>
      </c>
      <c r="O7222" t="s">
        <v>26</v>
      </c>
      <c r="Q7222">
        <v>37.44</v>
      </c>
      <c r="R7222">
        <v>29.95</v>
      </c>
      <c r="S7222">
        <v>44.93</v>
      </c>
      <c r="T7222" t="s">
        <v>35658</v>
      </c>
    </row>
    <row r="7223" spans="1:20">
      <c r="A7223">
        <v>4670241</v>
      </c>
      <c r="B7223" t="s">
        <v>35659</v>
      </c>
      <c r="C7223" t="str">
        <f>"9780802085313"</f>
        <v>9780802085313</v>
      </c>
      <c r="D7223" t="str">
        <f>"9781442623323"</f>
        <v>9781442623323</v>
      </c>
      <c r="E7223" t="s">
        <v>31435</v>
      </c>
      <c r="F7223" t="s">
        <v>31435</v>
      </c>
      <c r="G7223" s="1">
        <v>37622</v>
      </c>
      <c r="I7223" t="s">
        <v>35029</v>
      </c>
      <c r="J7223" t="s">
        <v>35660</v>
      </c>
      <c r="K7223" t="s">
        <v>1859</v>
      </c>
      <c r="L7223" t="s">
        <v>35661</v>
      </c>
      <c r="M7223">
        <v>190</v>
      </c>
      <c r="O7223" t="s">
        <v>26</v>
      </c>
      <c r="Q7223">
        <v>145</v>
      </c>
      <c r="R7223">
        <v>116</v>
      </c>
      <c r="S7223">
        <v>174</v>
      </c>
      <c r="T7223" t="s">
        <v>35662</v>
      </c>
    </row>
    <row r="7224" spans="1:20">
      <c r="A7224">
        <v>4670242</v>
      </c>
      <c r="B7224" t="s">
        <v>35663</v>
      </c>
      <c r="C7224" t="str">
        <f>"9781442655041"</f>
        <v>9781442655041</v>
      </c>
      <c r="D7224" t="str">
        <f>"9781442623583"</f>
        <v>9781442623583</v>
      </c>
      <c r="E7224" t="s">
        <v>31435</v>
      </c>
      <c r="F7224" t="s">
        <v>31435</v>
      </c>
      <c r="G7224" s="1">
        <v>34335</v>
      </c>
      <c r="I7224" t="s">
        <v>31443</v>
      </c>
      <c r="J7224" t="s">
        <v>35664</v>
      </c>
      <c r="K7224" t="s">
        <v>7838</v>
      </c>
      <c r="L7224" t="s">
        <v>35665</v>
      </c>
      <c r="M7224">
        <v>720.94</v>
      </c>
      <c r="O7224" t="s">
        <v>26</v>
      </c>
      <c r="Q7224">
        <v>117.5</v>
      </c>
      <c r="R7224">
        <v>94</v>
      </c>
      <c r="S7224">
        <v>141</v>
      </c>
      <c r="T7224" t="s">
        <v>35666</v>
      </c>
    </row>
    <row r="7225" spans="1:20">
      <c r="A7225">
        <v>4670244</v>
      </c>
      <c r="B7225" t="s">
        <v>35667</v>
      </c>
      <c r="C7225" t="str">
        <f>"9781442654976"</f>
        <v>9781442654976</v>
      </c>
      <c r="D7225" t="str">
        <f>"9781442623330"</f>
        <v>9781442623330</v>
      </c>
      <c r="E7225" t="s">
        <v>31435</v>
      </c>
      <c r="F7225" t="s">
        <v>31435</v>
      </c>
      <c r="G7225" s="1">
        <v>32509</v>
      </c>
      <c r="I7225" t="s">
        <v>35648</v>
      </c>
      <c r="J7225" t="s">
        <v>35668</v>
      </c>
      <c r="K7225" t="s">
        <v>1859</v>
      </c>
      <c r="L7225" t="s">
        <v>35669</v>
      </c>
      <c r="M7225">
        <v>128.19999999999899</v>
      </c>
      <c r="O7225" t="s">
        <v>26</v>
      </c>
      <c r="Q7225">
        <v>131.25</v>
      </c>
      <c r="R7225">
        <v>105</v>
      </c>
      <c r="S7225">
        <v>157.5</v>
      </c>
      <c r="T7225" t="s">
        <v>35670</v>
      </c>
    </row>
    <row r="7226" spans="1:20">
      <c r="A7226">
        <v>4670245</v>
      </c>
      <c r="B7226" t="s">
        <v>35671</v>
      </c>
      <c r="C7226" t="str">
        <f>"9781442647275"</f>
        <v>9781442647275</v>
      </c>
      <c r="D7226" t="str">
        <f>"9781442667662"</f>
        <v>9781442667662</v>
      </c>
      <c r="E7226" t="s">
        <v>31435</v>
      </c>
      <c r="F7226" t="s">
        <v>31435</v>
      </c>
      <c r="G7226" s="1">
        <v>41275</v>
      </c>
      <c r="J7226" t="s">
        <v>35672</v>
      </c>
      <c r="K7226" t="s">
        <v>263</v>
      </c>
      <c r="L7226" t="s">
        <v>35673</v>
      </c>
      <c r="M7226">
        <v>306.09460903000002</v>
      </c>
      <c r="O7226" t="s">
        <v>26</v>
      </c>
      <c r="Q7226">
        <v>90</v>
      </c>
      <c r="R7226">
        <v>72</v>
      </c>
      <c r="S7226">
        <v>108</v>
      </c>
      <c r="T7226" t="s">
        <v>35674</v>
      </c>
    </row>
    <row r="7227" spans="1:20">
      <c r="A7227">
        <v>4670246</v>
      </c>
      <c r="B7227" t="s">
        <v>35675</v>
      </c>
      <c r="C7227" t="str">
        <f>"9780802086693"</f>
        <v>9780802086693</v>
      </c>
      <c r="D7227" t="str">
        <f>"9781442623347"</f>
        <v>9781442623347</v>
      </c>
      <c r="E7227" t="s">
        <v>31435</v>
      </c>
      <c r="F7227" t="s">
        <v>31435</v>
      </c>
      <c r="G7227" s="1">
        <v>42005</v>
      </c>
      <c r="H7227">
        <v>2</v>
      </c>
      <c r="J7227" t="s">
        <v>35676</v>
      </c>
      <c r="K7227" t="s">
        <v>291</v>
      </c>
      <c r="L7227" t="s">
        <v>35677</v>
      </c>
      <c r="M7227">
        <v>971</v>
      </c>
      <c r="O7227" t="s">
        <v>26</v>
      </c>
      <c r="Q7227">
        <v>96.25</v>
      </c>
      <c r="R7227">
        <v>77</v>
      </c>
      <c r="S7227">
        <v>115.5</v>
      </c>
      <c r="T7227" t="s">
        <v>35678</v>
      </c>
    </row>
    <row r="7228" spans="1:20">
      <c r="A7228">
        <v>4670248</v>
      </c>
      <c r="B7228" t="s">
        <v>35679</v>
      </c>
      <c r="C7228" t="str">
        <f>"9781442654990"</f>
        <v>9781442654990</v>
      </c>
      <c r="D7228" t="str">
        <f>"9781442623378"</f>
        <v>9781442623378</v>
      </c>
      <c r="E7228" t="s">
        <v>31435</v>
      </c>
      <c r="F7228" t="s">
        <v>31435</v>
      </c>
      <c r="G7228" s="1">
        <v>35431</v>
      </c>
      <c r="I7228" t="s">
        <v>31443</v>
      </c>
      <c r="J7228" t="s">
        <v>35680</v>
      </c>
      <c r="K7228" t="s">
        <v>525</v>
      </c>
      <c r="L7228" t="s">
        <v>35681</v>
      </c>
      <c r="M7228">
        <v>340.06071300000002</v>
      </c>
      <c r="O7228" t="s">
        <v>26</v>
      </c>
      <c r="Q7228">
        <v>75</v>
      </c>
      <c r="R7228">
        <v>60</v>
      </c>
      <c r="S7228">
        <v>90</v>
      </c>
      <c r="T7228" t="s">
        <v>35682</v>
      </c>
    </row>
    <row r="7229" spans="1:20">
      <c r="A7229">
        <v>4670250</v>
      </c>
      <c r="B7229" t="s">
        <v>35683</v>
      </c>
      <c r="C7229" t="str">
        <f>"9781442623040"</f>
        <v>9781442623040</v>
      </c>
      <c r="D7229" t="str">
        <f>"9781442623071"</f>
        <v>9781442623071</v>
      </c>
      <c r="E7229" t="s">
        <v>31435</v>
      </c>
      <c r="F7229" t="s">
        <v>31435</v>
      </c>
      <c r="G7229" s="1">
        <v>36161</v>
      </c>
      <c r="I7229" t="s">
        <v>31443</v>
      </c>
      <c r="J7229" t="s">
        <v>35684</v>
      </c>
      <c r="K7229" t="s">
        <v>22527</v>
      </c>
      <c r="L7229" t="s">
        <v>35685</v>
      </c>
      <c r="M7229">
        <v>70.509410903399896</v>
      </c>
      <c r="O7229" t="s">
        <v>26</v>
      </c>
      <c r="Q7229">
        <v>72.5</v>
      </c>
      <c r="R7229">
        <v>58</v>
      </c>
      <c r="S7229">
        <v>87</v>
      </c>
      <c r="T7229" t="s">
        <v>35686</v>
      </c>
    </row>
    <row r="7230" spans="1:20">
      <c r="A7230">
        <v>4670251</v>
      </c>
      <c r="B7230" t="s">
        <v>35687</v>
      </c>
      <c r="C7230" t="str">
        <f>"9781442657632"</f>
        <v>9781442657632</v>
      </c>
      <c r="D7230" t="str">
        <f>"9781442620827"</f>
        <v>9781442620827</v>
      </c>
      <c r="E7230" t="s">
        <v>31435</v>
      </c>
      <c r="F7230" t="s">
        <v>31435</v>
      </c>
      <c r="G7230" s="1">
        <v>36526</v>
      </c>
      <c r="I7230" t="s">
        <v>33881</v>
      </c>
      <c r="J7230" t="s">
        <v>13535</v>
      </c>
      <c r="K7230" t="s">
        <v>525</v>
      </c>
      <c r="L7230" t="s">
        <v>35688</v>
      </c>
      <c r="M7230">
        <v>340.09199999999902</v>
      </c>
      <c r="O7230" t="s">
        <v>26</v>
      </c>
      <c r="Q7230">
        <v>72.5</v>
      </c>
      <c r="R7230">
        <v>58</v>
      </c>
      <c r="S7230">
        <v>87</v>
      </c>
      <c r="T7230" t="s">
        <v>35689</v>
      </c>
    </row>
    <row r="7231" spans="1:20">
      <c r="A7231">
        <v>4670253</v>
      </c>
      <c r="B7231" t="s">
        <v>35690</v>
      </c>
      <c r="C7231" t="str">
        <f>"9780802074218"</f>
        <v>9780802074218</v>
      </c>
      <c r="D7231" t="str">
        <f>"9781442623118"</f>
        <v>9781442623118</v>
      </c>
      <c r="E7231" t="s">
        <v>31435</v>
      </c>
      <c r="F7231" t="s">
        <v>31435</v>
      </c>
      <c r="G7231" s="1">
        <v>34335</v>
      </c>
      <c r="I7231" t="s">
        <v>31443</v>
      </c>
      <c r="J7231" t="s">
        <v>35691</v>
      </c>
      <c r="K7231" t="s">
        <v>263</v>
      </c>
      <c r="L7231" t="s">
        <v>35692</v>
      </c>
      <c r="M7231">
        <v>362.971</v>
      </c>
      <c r="O7231" t="s">
        <v>26</v>
      </c>
      <c r="Q7231">
        <v>75</v>
      </c>
      <c r="R7231">
        <v>60</v>
      </c>
      <c r="S7231">
        <v>90</v>
      </c>
      <c r="T7231" t="s">
        <v>35693</v>
      </c>
    </row>
    <row r="7232" spans="1:20">
      <c r="A7232">
        <v>4670254</v>
      </c>
      <c r="B7232" t="s">
        <v>35694</v>
      </c>
      <c r="C7232" t="str">
        <f>"9781442646650"</f>
        <v>9781442646650</v>
      </c>
      <c r="D7232" t="str">
        <f>"9781442666245"</f>
        <v>9781442666245</v>
      </c>
      <c r="E7232" t="s">
        <v>31435</v>
      </c>
      <c r="F7232" t="s">
        <v>31435</v>
      </c>
      <c r="G7232" s="1">
        <v>41275</v>
      </c>
      <c r="H7232">
        <v>3</v>
      </c>
      <c r="J7232" t="s">
        <v>35383</v>
      </c>
      <c r="K7232" t="s">
        <v>1464</v>
      </c>
      <c r="L7232" t="s">
        <v>35695</v>
      </c>
      <c r="M7232">
        <v>820.99411090199897</v>
      </c>
      <c r="O7232" t="s">
        <v>26</v>
      </c>
      <c r="Q7232">
        <v>90</v>
      </c>
      <c r="R7232">
        <v>72</v>
      </c>
      <c r="S7232">
        <v>108</v>
      </c>
      <c r="T7232" t="s">
        <v>35696</v>
      </c>
    </row>
    <row r="7233" spans="1:20">
      <c r="A7233">
        <v>4670257</v>
      </c>
      <c r="B7233" t="s">
        <v>35697</v>
      </c>
      <c r="C7233" t="str">
        <f>"9781442657601"</f>
        <v>9781442657601</v>
      </c>
      <c r="D7233" t="str">
        <f>"9781442620780"</f>
        <v>9781442620780</v>
      </c>
      <c r="E7233" t="s">
        <v>31435</v>
      </c>
      <c r="F7233" t="s">
        <v>31435</v>
      </c>
      <c r="G7233" s="1">
        <v>36892</v>
      </c>
      <c r="I7233" t="s">
        <v>31443</v>
      </c>
      <c r="K7233" t="s">
        <v>525</v>
      </c>
      <c r="L7233" t="s">
        <v>35698</v>
      </c>
      <c r="M7233">
        <v>346.71309200000002</v>
      </c>
      <c r="O7233" t="s">
        <v>26</v>
      </c>
      <c r="Q7233">
        <v>93.69</v>
      </c>
      <c r="R7233">
        <v>74.95</v>
      </c>
      <c r="S7233">
        <v>112.43</v>
      </c>
      <c r="T7233" t="s">
        <v>35699</v>
      </c>
    </row>
    <row r="7234" spans="1:20">
      <c r="A7234">
        <v>4670266</v>
      </c>
      <c r="B7234" t="s">
        <v>35700</v>
      </c>
      <c r="C7234" t="str">
        <f>"9780802039408"</f>
        <v>9780802039408</v>
      </c>
      <c r="D7234" t="str">
        <f>"9781442627963"</f>
        <v>9781442627963</v>
      </c>
      <c r="E7234" t="s">
        <v>31435</v>
      </c>
      <c r="F7234" t="s">
        <v>31435</v>
      </c>
      <c r="G7234" s="1">
        <v>38353</v>
      </c>
      <c r="H7234">
        <v>2</v>
      </c>
      <c r="J7234" t="s">
        <v>35701</v>
      </c>
      <c r="K7234" t="s">
        <v>291</v>
      </c>
      <c r="L7234" t="s">
        <v>35702</v>
      </c>
      <c r="M7234">
        <v>929.81709999999896</v>
      </c>
      <c r="O7234" t="s">
        <v>26</v>
      </c>
      <c r="Q7234">
        <v>106.25</v>
      </c>
      <c r="R7234">
        <v>85</v>
      </c>
      <c r="S7234">
        <v>127.5</v>
      </c>
      <c r="T7234" t="s">
        <v>35703</v>
      </c>
    </row>
    <row r="7235" spans="1:20">
      <c r="A7235">
        <v>4670267</v>
      </c>
      <c r="B7235" t="s">
        <v>35704</v>
      </c>
      <c r="C7235" t="str">
        <f>"9781442623743"</f>
        <v>9781442623743</v>
      </c>
      <c r="D7235" t="str">
        <f>"9781442657052"</f>
        <v>9781442657052</v>
      </c>
      <c r="E7235" t="s">
        <v>31435</v>
      </c>
      <c r="F7235" t="s">
        <v>31435</v>
      </c>
      <c r="G7235" s="1">
        <v>34700</v>
      </c>
      <c r="I7235" t="s">
        <v>35705</v>
      </c>
      <c r="J7235" t="s">
        <v>35706</v>
      </c>
      <c r="K7235" t="s">
        <v>4081</v>
      </c>
      <c r="L7235" t="s">
        <v>35707</v>
      </c>
      <c r="M7235">
        <v>492.1</v>
      </c>
      <c r="O7235" t="s">
        <v>26</v>
      </c>
      <c r="Q7235">
        <v>263.75</v>
      </c>
      <c r="R7235">
        <v>211</v>
      </c>
      <c r="S7235">
        <v>316.5</v>
      </c>
      <c r="T7235" t="s">
        <v>35708</v>
      </c>
    </row>
    <row r="7236" spans="1:20">
      <c r="A7236">
        <v>4670269</v>
      </c>
      <c r="B7236" t="s">
        <v>35709</v>
      </c>
      <c r="C7236" t="str">
        <f>"9781442623064"</f>
        <v>9781442623064</v>
      </c>
      <c r="D7236" t="str">
        <f>"9781442623248"</f>
        <v>9781442623248</v>
      </c>
      <c r="E7236" t="s">
        <v>31435</v>
      </c>
      <c r="F7236" t="s">
        <v>31435</v>
      </c>
      <c r="G7236" s="1">
        <v>42036</v>
      </c>
      <c r="I7236" t="s">
        <v>35710</v>
      </c>
      <c r="J7236" t="s">
        <v>35711</v>
      </c>
      <c r="O7236" t="s">
        <v>26</v>
      </c>
      <c r="Q7236">
        <v>72.5</v>
      </c>
      <c r="R7236">
        <v>58</v>
      </c>
      <c r="S7236">
        <v>87</v>
      </c>
      <c r="T7236" t="s">
        <v>35712</v>
      </c>
    </row>
    <row r="7237" spans="1:20">
      <c r="A7237">
        <v>4670271</v>
      </c>
      <c r="B7237" t="s">
        <v>35713</v>
      </c>
      <c r="C7237" t="str">
        <f>"9781442623750"</f>
        <v>9781442623750</v>
      </c>
      <c r="D7237" t="str">
        <f>"9781442658578"</f>
        <v>9781442658578</v>
      </c>
      <c r="E7237" t="s">
        <v>31435</v>
      </c>
      <c r="F7237" t="s">
        <v>31435</v>
      </c>
      <c r="G7237" s="1">
        <v>33970</v>
      </c>
      <c r="I7237" t="s">
        <v>35705</v>
      </c>
      <c r="J7237" t="s">
        <v>35714</v>
      </c>
      <c r="K7237" t="s">
        <v>4081</v>
      </c>
      <c r="L7237" t="s">
        <v>35715</v>
      </c>
      <c r="M7237">
        <v>499.9511</v>
      </c>
      <c r="O7237" t="s">
        <v>26</v>
      </c>
      <c r="Q7237">
        <v>263.75</v>
      </c>
      <c r="R7237">
        <v>211</v>
      </c>
      <c r="S7237">
        <v>316.5</v>
      </c>
      <c r="T7237" t="s">
        <v>35716</v>
      </c>
    </row>
    <row r="7238" spans="1:20">
      <c r="A7238">
        <v>4670272</v>
      </c>
      <c r="B7238" t="s">
        <v>35717</v>
      </c>
      <c r="C7238" t="str">
        <f>"9781442647206"</f>
        <v>9781442647206</v>
      </c>
      <c r="D7238" t="str">
        <f>"9781442667518"</f>
        <v>9781442667518</v>
      </c>
      <c r="E7238" t="s">
        <v>31435</v>
      </c>
      <c r="F7238" t="s">
        <v>31435</v>
      </c>
      <c r="G7238" s="1">
        <v>41852</v>
      </c>
      <c r="I7238" t="s">
        <v>33762</v>
      </c>
      <c r="J7238" t="s">
        <v>35718</v>
      </c>
      <c r="K7238" t="s">
        <v>35719</v>
      </c>
      <c r="L7238" t="s">
        <v>35720</v>
      </c>
      <c r="M7238">
        <v>686.20899999999995</v>
      </c>
      <c r="O7238" t="s">
        <v>26</v>
      </c>
      <c r="Q7238">
        <v>83.75</v>
      </c>
      <c r="R7238">
        <v>67</v>
      </c>
      <c r="S7238">
        <v>100.5</v>
      </c>
      <c r="T7238" t="s">
        <v>35721</v>
      </c>
    </row>
    <row r="7239" spans="1:20">
      <c r="A7239">
        <v>4670273</v>
      </c>
      <c r="B7239" t="s">
        <v>35722</v>
      </c>
      <c r="C7239" t="str">
        <f>"9781442644830"</f>
        <v>9781442644830</v>
      </c>
      <c r="D7239" t="str">
        <f>"9781442669574"</f>
        <v>9781442669574</v>
      </c>
      <c r="E7239" t="s">
        <v>31435</v>
      </c>
      <c r="F7239" t="s">
        <v>31435</v>
      </c>
      <c r="G7239" s="1">
        <v>41191</v>
      </c>
      <c r="H7239">
        <v>2</v>
      </c>
      <c r="J7239" t="s">
        <v>35723</v>
      </c>
      <c r="K7239" t="s">
        <v>155</v>
      </c>
      <c r="L7239" t="s">
        <v>35724</v>
      </c>
      <c r="M7239">
        <v>599.052490971</v>
      </c>
      <c r="N7239" t="s">
        <v>35725</v>
      </c>
      <c r="O7239" t="s">
        <v>26</v>
      </c>
      <c r="Q7239">
        <v>90</v>
      </c>
      <c r="R7239">
        <v>72</v>
      </c>
      <c r="S7239">
        <v>108</v>
      </c>
      <c r="T7239" t="s">
        <v>35726</v>
      </c>
    </row>
    <row r="7240" spans="1:20">
      <c r="A7240">
        <v>4670274</v>
      </c>
      <c r="B7240" t="s">
        <v>35727</v>
      </c>
      <c r="C7240" t="str">
        <f>"9781442657205"</f>
        <v>9781442657205</v>
      </c>
      <c r="D7240" t="str">
        <f>"9781442657588"</f>
        <v>9781442657588</v>
      </c>
      <c r="E7240" t="s">
        <v>31435</v>
      </c>
      <c r="F7240" t="s">
        <v>31435</v>
      </c>
      <c r="G7240" s="1">
        <v>35796</v>
      </c>
      <c r="I7240" t="s">
        <v>31443</v>
      </c>
      <c r="J7240" t="s">
        <v>35728</v>
      </c>
      <c r="K7240" t="s">
        <v>291</v>
      </c>
      <c r="L7240" t="s">
        <v>35729</v>
      </c>
      <c r="M7240">
        <v>971.06220919999896</v>
      </c>
      <c r="O7240" t="s">
        <v>26</v>
      </c>
      <c r="Q7240">
        <v>145</v>
      </c>
      <c r="R7240">
        <v>116</v>
      </c>
      <c r="S7240">
        <v>174</v>
      </c>
      <c r="T7240" t="s">
        <v>35730</v>
      </c>
    </row>
    <row r="7241" spans="1:20">
      <c r="A7241">
        <v>4670277</v>
      </c>
      <c r="B7241" t="s">
        <v>35731</v>
      </c>
      <c r="C7241" t="str">
        <f>"9781442623767"</f>
        <v>9781442623767</v>
      </c>
      <c r="D7241" t="str">
        <f>"9781442657069"</f>
        <v>9781442657069</v>
      </c>
      <c r="E7241" t="s">
        <v>31435</v>
      </c>
      <c r="F7241" t="s">
        <v>31435</v>
      </c>
      <c r="G7241" s="1">
        <v>35431</v>
      </c>
      <c r="I7241" t="s">
        <v>35705</v>
      </c>
      <c r="J7241" t="s">
        <v>35714</v>
      </c>
      <c r="K7241" t="s">
        <v>4081</v>
      </c>
      <c r="L7241" t="s">
        <v>35732</v>
      </c>
      <c r="M7241">
        <v>499.9511</v>
      </c>
      <c r="O7241" t="s">
        <v>26</v>
      </c>
      <c r="Q7241">
        <v>301.25</v>
      </c>
      <c r="R7241">
        <v>241</v>
      </c>
      <c r="S7241">
        <v>361.5</v>
      </c>
      <c r="T7241" t="s">
        <v>35733</v>
      </c>
    </row>
    <row r="7242" spans="1:20">
      <c r="A7242">
        <v>4670282</v>
      </c>
      <c r="B7242" t="s">
        <v>35734</v>
      </c>
      <c r="C7242" t="str">
        <f>"9780802058195"</f>
        <v>9780802058195</v>
      </c>
      <c r="D7242" t="str">
        <f>"9781442659964"</f>
        <v>9781442659964</v>
      </c>
      <c r="E7242" t="s">
        <v>31435</v>
      </c>
      <c r="F7242" t="s">
        <v>31435</v>
      </c>
      <c r="G7242" s="1">
        <v>35567</v>
      </c>
      <c r="I7242" t="s">
        <v>34561</v>
      </c>
      <c r="J7242" t="s">
        <v>35735</v>
      </c>
      <c r="K7242" t="s">
        <v>1464</v>
      </c>
      <c r="L7242" t="s">
        <v>35736</v>
      </c>
      <c r="M7242">
        <v>878.04070000000002</v>
      </c>
      <c r="O7242" t="s">
        <v>26</v>
      </c>
      <c r="Q7242">
        <v>487.5</v>
      </c>
      <c r="R7242">
        <v>390</v>
      </c>
      <c r="S7242">
        <v>585</v>
      </c>
      <c r="T7242" t="s">
        <v>35737</v>
      </c>
    </row>
    <row r="7243" spans="1:20">
      <c r="A7243">
        <v>4670289</v>
      </c>
      <c r="B7243" t="s">
        <v>35738</v>
      </c>
      <c r="C7243" t="str">
        <f>"9781442641662"</f>
        <v>9781442641662</v>
      </c>
      <c r="D7243" t="str">
        <f>"9781442622791"</f>
        <v>9781442622791</v>
      </c>
      <c r="E7243" t="s">
        <v>31435</v>
      </c>
      <c r="F7243" t="s">
        <v>31435</v>
      </c>
      <c r="G7243" s="1">
        <v>41879</v>
      </c>
      <c r="J7243" t="s">
        <v>35739</v>
      </c>
      <c r="K7243" t="s">
        <v>1859</v>
      </c>
      <c r="M7243">
        <v>199.49199999999999</v>
      </c>
      <c r="N7243" t="s">
        <v>35740</v>
      </c>
      <c r="O7243" t="s">
        <v>26</v>
      </c>
      <c r="Q7243">
        <v>368.75</v>
      </c>
      <c r="R7243">
        <v>295</v>
      </c>
      <c r="S7243">
        <v>442.5</v>
      </c>
      <c r="T7243" t="s">
        <v>35741</v>
      </c>
    </row>
    <row r="7244" spans="1:20">
      <c r="A7244">
        <v>4670292</v>
      </c>
      <c r="B7244" t="s">
        <v>35742</v>
      </c>
      <c r="C7244" t="str">
        <f>"9781442614222"</f>
        <v>9781442614222</v>
      </c>
      <c r="D7244" t="str">
        <f>"9781442664555"</f>
        <v>9781442664555</v>
      </c>
      <c r="E7244" t="s">
        <v>31435</v>
      </c>
      <c r="F7244" t="s">
        <v>31435</v>
      </c>
      <c r="G7244" s="1">
        <v>41769</v>
      </c>
      <c r="H7244">
        <v>3</v>
      </c>
      <c r="J7244" t="s">
        <v>35743</v>
      </c>
      <c r="K7244" t="s">
        <v>291</v>
      </c>
      <c r="L7244" t="s">
        <v>35744</v>
      </c>
      <c r="M7244">
        <v>930.10919999999999</v>
      </c>
      <c r="O7244" t="s">
        <v>26</v>
      </c>
      <c r="Q7244">
        <v>44.94</v>
      </c>
      <c r="R7244">
        <v>35.950000000000003</v>
      </c>
      <c r="S7244">
        <v>53.93</v>
      </c>
      <c r="T7244" t="s">
        <v>35745</v>
      </c>
    </row>
    <row r="7245" spans="1:20">
      <c r="A7245">
        <v>4670294</v>
      </c>
      <c r="B7245" t="s">
        <v>35746</v>
      </c>
      <c r="C7245" t="str">
        <f>"9781442645691"</f>
        <v>9781442645691</v>
      </c>
      <c r="D7245" t="str">
        <f>"9781442663435"</f>
        <v>9781442663435</v>
      </c>
      <c r="E7245" t="s">
        <v>31435</v>
      </c>
      <c r="F7245" t="s">
        <v>31435</v>
      </c>
      <c r="G7245" s="1">
        <v>41275</v>
      </c>
      <c r="H7245">
        <v>3</v>
      </c>
      <c r="I7245" t="s">
        <v>34830</v>
      </c>
      <c r="J7245" t="s">
        <v>34831</v>
      </c>
      <c r="K7245" t="s">
        <v>291</v>
      </c>
      <c r="L7245" t="s">
        <v>35747</v>
      </c>
      <c r="M7245">
        <v>971.005</v>
      </c>
      <c r="O7245" t="s">
        <v>26</v>
      </c>
      <c r="Q7245">
        <v>160</v>
      </c>
      <c r="R7245">
        <v>128</v>
      </c>
      <c r="S7245">
        <v>192</v>
      </c>
      <c r="T7245" t="s">
        <v>35748</v>
      </c>
    </row>
    <row r="7246" spans="1:20">
      <c r="A7246">
        <v>4670296</v>
      </c>
      <c r="B7246" t="s">
        <v>35749</v>
      </c>
      <c r="C7246" t="str">
        <f>"9781442646827"</f>
        <v>9781442646827</v>
      </c>
      <c r="D7246" t="str">
        <f>"9781442666641"</f>
        <v>9781442666641</v>
      </c>
      <c r="E7246" t="s">
        <v>31435</v>
      </c>
      <c r="F7246" t="s">
        <v>31435</v>
      </c>
      <c r="G7246" s="1">
        <v>41769</v>
      </c>
      <c r="J7246" t="s">
        <v>35750</v>
      </c>
      <c r="K7246" t="s">
        <v>1082</v>
      </c>
      <c r="L7246" t="s">
        <v>35751</v>
      </c>
      <c r="M7246">
        <v>362.1</v>
      </c>
      <c r="O7246" t="s">
        <v>26</v>
      </c>
      <c r="Q7246">
        <v>83.75</v>
      </c>
      <c r="R7246">
        <v>67</v>
      </c>
      <c r="S7246">
        <v>100.5</v>
      </c>
      <c r="T7246" t="s">
        <v>35752</v>
      </c>
    </row>
    <row r="7247" spans="1:20">
      <c r="A7247">
        <v>4670309</v>
      </c>
      <c r="B7247" t="s">
        <v>35753</v>
      </c>
      <c r="C7247" t="str">
        <f>"9781442626126"</f>
        <v>9781442626126</v>
      </c>
      <c r="D7247" t="str">
        <f>"9781442616769"</f>
        <v>9781442616769</v>
      </c>
      <c r="E7247" t="s">
        <v>31435</v>
      </c>
      <c r="F7247" t="s">
        <v>31435</v>
      </c>
      <c r="G7247" s="1">
        <v>41275</v>
      </c>
      <c r="J7247" t="s">
        <v>35754</v>
      </c>
      <c r="K7247" t="s">
        <v>291</v>
      </c>
      <c r="L7247" t="s">
        <v>35755</v>
      </c>
      <c r="M7247" t="s">
        <v>35756</v>
      </c>
      <c r="O7247" t="s">
        <v>26</v>
      </c>
      <c r="Q7247">
        <v>62.44</v>
      </c>
      <c r="R7247">
        <v>49.95</v>
      </c>
      <c r="S7247">
        <v>74.930000000000007</v>
      </c>
      <c r="T7247" t="s">
        <v>35757</v>
      </c>
    </row>
    <row r="7248" spans="1:20">
      <c r="A7248">
        <v>4671114</v>
      </c>
      <c r="B7248" t="s">
        <v>35758</v>
      </c>
      <c r="C7248" t="str">
        <f>"9781442648074"</f>
        <v>9781442648074</v>
      </c>
      <c r="D7248" t="str">
        <f>"9781442669895"</f>
        <v>9781442669895</v>
      </c>
      <c r="E7248" t="s">
        <v>31435</v>
      </c>
      <c r="F7248" t="s">
        <v>31435</v>
      </c>
      <c r="G7248" s="1">
        <v>42031</v>
      </c>
      <c r="J7248" t="s">
        <v>35759</v>
      </c>
      <c r="K7248" t="s">
        <v>1471</v>
      </c>
      <c r="M7248">
        <v>779.97</v>
      </c>
      <c r="N7248" t="s">
        <v>35760</v>
      </c>
      <c r="O7248" t="s">
        <v>26</v>
      </c>
      <c r="Q7248">
        <v>93.75</v>
      </c>
      <c r="R7248">
        <v>75</v>
      </c>
      <c r="S7248">
        <v>112.5</v>
      </c>
      <c r="T7248" t="s">
        <v>35761</v>
      </c>
    </row>
    <row r="7249" spans="1:20">
      <c r="A7249">
        <v>4671120</v>
      </c>
      <c r="B7249" t="s">
        <v>35762</v>
      </c>
      <c r="C7249" t="str">
        <f>"9781442648159"</f>
        <v>9781442648159</v>
      </c>
      <c r="D7249" t="str">
        <f>"9781442670051"</f>
        <v>9781442670051</v>
      </c>
      <c r="E7249" t="s">
        <v>31435</v>
      </c>
      <c r="F7249" t="s">
        <v>31435</v>
      </c>
      <c r="G7249" s="1">
        <v>41572</v>
      </c>
      <c r="I7249" t="s">
        <v>33881</v>
      </c>
      <c r="J7249" t="s">
        <v>35763</v>
      </c>
      <c r="K7249" t="s">
        <v>525</v>
      </c>
      <c r="L7249" t="s">
        <v>35764</v>
      </c>
      <c r="M7249">
        <v>349.714</v>
      </c>
      <c r="O7249" t="s">
        <v>26</v>
      </c>
      <c r="Q7249">
        <v>121.25</v>
      </c>
      <c r="R7249">
        <v>97</v>
      </c>
      <c r="S7249">
        <v>145.5</v>
      </c>
      <c r="T7249" t="s">
        <v>35765</v>
      </c>
    </row>
    <row r="7250" spans="1:20">
      <c r="A7250">
        <v>4671121</v>
      </c>
      <c r="B7250" t="s">
        <v>35766</v>
      </c>
      <c r="C7250" t="str">
        <f>"9781442640016"</f>
        <v>9781442640016</v>
      </c>
      <c r="D7250" t="str">
        <f>"9781442670082"</f>
        <v>9781442670082</v>
      </c>
      <c r="E7250" t="s">
        <v>31435</v>
      </c>
      <c r="F7250" t="s">
        <v>34236</v>
      </c>
      <c r="G7250" s="1">
        <v>40299</v>
      </c>
      <c r="H7250">
        <v>2</v>
      </c>
      <c r="I7250" t="s">
        <v>34236</v>
      </c>
      <c r="J7250" t="s">
        <v>35767</v>
      </c>
      <c r="K7250" t="s">
        <v>278</v>
      </c>
      <c r="L7250" t="s">
        <v>35768</v>
      </c>
      <c r="M7250" t="s">
        <v>35769</v>
      </c>
      <c r="N7250" t="s">
        <v>35770</v>
      </c>
      <c r="O7250" t="s">
        <v>26</v>
      </c>
      <c r="Q7250">
        <v>80</v>
      </c>
      <c r="R7250">
        <v>64</v>
      </c>
      <c r="S7250">
        <v>96</v>
      </c>
      <c r="T7250" t="s">
        <v>35771</v>
      </c>
    </row>
    <row r="7251" spans="1:20">
      <c r="A7251">
        <v>4671123</v>
      </c>
      <c r="B7251" t="s">
        <v>35772</v>
      </c>
      <c r="C7251" t="str">
        <f>"9781442640054"</f>
        <v>9781442640054</v>
      </c>
      <c r="D7251" t="str">
        <f>"9781442670129"</f>
        <v>9781442670129</v>
      </c>
      <c r="E7251" t="s">
        <v>31435</v>
      </c>
      <c r="F7251" t="s">
        <v>31435</v>
      </c>
      <c r="G7251" s="1">
        <v>40005</v>
      </c>
      <c r="H7251">
        <v>2</v>
      </c>
      <c r="I7251" t="s">
        <v>34035</v>
      </c>
      <c r="J7251" t="s">
        <v>35773</v>
      </c>
      <c r="K7251" t="s">
        <v>1464</v>
      </c>
      <c r="L7251" t="s">
        <v>35774</v>
      </c>
      <c r="M7251" t="s">
        <v>35775</v>
      </c>
      <c r="N7251" t="s">
        <v>35776</v>
      </c>
      <c r="O7251" t="s">
        <v>26</v>
      </c>
      <c r="Q7251">
        <v>103.75</v>
      </c>
      <c r="R7251">
        <v>83</v>
      </c>
      <c r="S7251">
        <v>124.5</v>
      </c>
      <c r="T7251" t="s">
        <v>35777</v>
      </c>
    </row>
    <row r="7252" spans="1:20">
      <c r="A7252">
        <v>4671126</v>
      </c>
      <c r="B7252" t="s">
        <v>35778</v>
      </c>
      <c r="C7252" t="str">
        <f>"9781442640092"</f>
        <v>9781442640092</v>
      </c>
      <c r="D7252" t="str">
        <f>"9781442670150"</f>
        <v>9781442670150</v>
      </c>
      <c r="E7252" t="s">
        <v>31435</v>
      </c>
      <c r="F7252" t="s">
        <v>31435</v>
      </c>
      <c r="G7252" s="1">
        <v>41597</v>
      </c>
      <c r="I7252" t="s">
        <v>35779</v>
      </c>
      <c r="J7252" t="s">
        <v>35780</v>
      </c>
      <c r="K7252" t="s">
        <v>1859</v>
      </c>
      <c r="L7252" t="s">
        <v>35781</v>
      </c>
      <c r="M7252">
        <v>142.69999999999899</v>
      </c>
      <c r="O7252" t="s">
        <v>26</v>
      </c>
      <c r="Q7252">
        <v>63.75</v>
      </c>
      <c r="R7252">
        <v>51</v>
      </c>
      <c r="S7252">
        <v>76.5</v>
      </c>
      <c r="T7252" t="s">
        <v>35782</v>
      </c>
    </row>
    <row r="7253" spans="1:20">
      <c r="A7253">
        <v>4671127</v>
      </c>
      <c r="B7253" t="s">
        <v>35783</v>
      </c>
      <c r="C7253" t="str">
        <f>"9781442640078"</f>
        <v>9781442640078</v>
      </c>
      <c r="D7253" t="str">
        <f>"9781442670167"</f>
        <v>9781442670167</v>
      </c>
      <c r="E7253" t="s">
        <v>31435</v>
      </c>
      <c r="F7253" t="s">
        <v>31435</v>
      </c>
      <c r="G7253" s="1">
        <v>41818</v>
      </c>
      <c r="J7253" t="s">
        <v>35784</v>
      </c>
      <c r="K7253" t="s">
        <v>467</v>
      </c>
      <c r="M7253">
        <v>323.09710000000001</v>
      </c>
      <c r="O7253" t="s">
        <v>26</v>
      </c>
      <c r="Q7253">
        <v>63.75</v>
      </c>
      <c r="R7253">
        <v>51</v>
      </c>
      <c r="S7253">
        <v>76.5</v>
      </c>
      <c r="T7253" t="s">
        <v>35785</v>
      </c>
    </row>
    <row r="7254" spans="1:20">
      <c r="A7254">
        <v>4671128</v>
      </c>
      <c r="B7254" t="s">
        <v>35786</v>
      </c>
      <c r="C7254" t="str">
        <f>"9781442640085"</f>
        <v>9781442640085</v>
      </c>
      <c r="D7254" t="str">
        <f>"9781442670174"</f>
        <v>9781442670174</v>
      </c>
      <c r="E7254" t="s">
        <v>31435</v>
      </c>
      <c r="F7254" t="s">
        <v>31435</v>
      </c>
      <c r="G7254" s="1">
        <v>40179</v>
      </c>
      <c r="I7254" t="s">
        <v>33831</v>
      </c>
      <c r="J7254" t="s">
        <v>35787</v>
      </c>
      <c r="K7254" t="s">
        <v>1471</v>
      </c>
      <c r="L7254" t="s">
        <v>35788</v>
      </c>
      <c r="M7254" t="s">
        <v>11069</v>
      </c>
      <c r="O7254" t="s">
        <v>26</v>
      </c>
      <c r="Q7254">
        <v>87.5</v>
      </c>
      <c r="R7254">
        <v>70</v>
      </c>
      <c r="S7254">
        <v>105</v>
      </c>
      <c r="T7254" t="s">
        <v>35789</v>
      </c>
    </row>
    <row r="7255" spans="1:20">
      <c r="A7255">
        <v>4671131</v>
      </c>
      <c r="B7255" t="s">
        <v>35790</v>
      </c>
      <c r="C7255" t="str">
        <f>"9780802084989"</f>
        <v>9780802084989</v>
      </c>
      <c r="D7255" t="str">
        <f>"9781442670228"</f>
        <v>9781442670228</v>
      </c>
      <c r="E7255" t="s">
        <v>31435</v>
      </c>
      <c r="F7255" t="s">
        <v>31435</v>
      </c>
      <c r="G7255" s="1">
        <v>37401</v>
      </c>
      <c r="J7255" t="s">
        <v>35791</v>
      </c>
      <c r="K7255" t="s">
        <v>9858</v>
      </c>
      <c r="L7255" t="s">
        <v>35792</v>
      </c>
      <c r="M7255" t="s">
        <v>35793</v>
      </c>
      <c r="N7255" t="s">
        <v>35794</v>
      </c>
      <c r="O7255" t="s">
        <v>26</v>
      </c>
      <c r="Q7255">
        <v>91.25</v>
      </c>
      <c r="R7255">
        <v>73</v>
      </c>
      <c r="S7255">
        <v>109.5</v>
      </c>
      <c r="T7255" t="s">
        <v>35795</v>
      </c>
    </row>
    <row r="7256" spans="1:20">
      <c r="A7256">
        <v>4671133</v>
      </c>
      <c r="B7256" t="s">
        <v>35796</v>
      </c>
      <c r="C7256" t="str">
        <f>"9780802084361"</f>
        <v>9780802084361</v>
      </c>
      <c r="D7256" t="str">
        <f>"9781442670259"</f>
        <v>9781442670259</v>
      </c>
      <c r="E7256" t="s">
        <v>31435</v>
      </c>
      <c r="F7256" t="s">
        <v>31435</v>
      </c>
      <c r="G7256" s="1">
        <v>41773</v>
      </c>
      <c r="J7256" t="s">
        <v>35797</v>
      </c>
      <c r="K7256" t="s">
        <v>568</v>
      </c>
      <c r="L7256" t="s">
        <v>35798</v>
      </c>
      <c r="M7256">
        <v>305.90691097000001</v>
      </c>
      <c r="O7256" t="s">
        <v>26</v>
      </c>
      <c r="Q7256">
        <v>135</v>
      </c>
      <c r="R7256">
        <v>108</v>
      </c>
      <c r="S7256">
        <v>162</v>
      </c>
      <c r="T7256" t="s">
        <v>35799</v>
      </c>
    </row>
    <row r="7257" spans="1:20">
      <c r="A7257">
        <v>4671134</v>
      </c>
      <c r="B7257" t="s">
        <v>35800</v>
      </c>
      <c r="C7257" t="str">
        <f>"9780802042194"</f>
        <v>9780802042194</v>
      </c>
      <c r="D7257" t="str">
        <f>"9781442670266"</f>
        <v>9781442670266</v>
      </c>
      <c r="E7257" t="s">
        <v>31435</v>
      </c>
      <c r="F7257" t="s">
        <v>31435</v>
      </c>
      <c r="G7257" s="1">
        <v>36161</v>
      </c>
      <c r="H7257">
        <v>74</v>
      </c>
      <c r="J7257" t="s">
        <v>35801</v>
      </c>
      <c r="K7257" t="s">
        <v>7075</v>
      </c>
      <c r="L7257" t="s">
        <v>35802</v>
      </c>
      <c r="M7257">
        <v>15.71</v>
      </c>
      <c r="O7257" t="s">
        <v>26</v>
      </c>
      <c r="Q7257">
        <v>227.5</v>
      </c>
      <c r="R7257">
        <v>182</v>
      </c>
      <c r="S7257">
        <v>273</v>
      </c>
      <c r="T7257" t="s">
        <v>35803</v>
      </c>
    </row>
    <row r="7258" spans="1:20">
      <c r="A7258">
        <v>4671135</v>
      </c>
      <c r="B7258" t="s">
        <v>35804</v>
      </c>
      <c r="C7258" t="str">
        <f>"9780802043894"</f>
        <v>9780802043894</v>
      </c>
      <c r="D7258" t="str">
        <f>"9781442670273"</f>
        <v>9781442670273</v>
      </c>
      <c r="E7258" t="s">
        <v>31435</v>
      </c>
      <c r="F7258" t="s">
        <v>31435</v>
      </c>
      <c r="G7258" s="1">
        <v>36161</v>
      </c>
      <c r="J7258" t="s">
        <v>35805</v>
      </c>
      <c r="K7258" t="s">
        <v>1892</v>
      </c>
      <c r="L7258" t="s">
        <v>35806</v>
      </c>
      <c r="M7258" t="s">
        <v>35807</v>
      </c>
      <c r="O7258" t="s">
        <v>26</v>
      </c>
      <c r="Q7258">
        <v>115</v>
      </c>
      <c r="R7258">
        <v>92</v>
      </c>
      <c r="S7258">
        <v>138</v>
      </c>
      <c r="T7258" t="s">
        <v>35808</v>
      </c>
    </row>
    <row r="7259" spans="1:20">
      <c r="A7259">
        <v>4671136</v>
      </c>
      <c r="B7259" t="s">
        <v>35809</v>
      </c>
      <c r="C7259" t="str">
        <f>"9780802036179"</f>
        <v>9780802036179</v>
      </c>
      <c r="D7259" t="str">
        <f>"9781442670280"</f>
        <v>9781442670280</v>
      </c>
      <c r="E7259" t="s">
        <v>31435</v>
      </c>
      <c r="F7259" t="s">
        <v>31435</v>
      </c>
      <c r="G7259" s="1">
        <v>37578</v>
      </c>
      <c r="J7259" t="s">
        <v>35810</v>
      </c>
      <c r="K7259" t="s">
        <v>3308</v>
      </c>
      <c r="L7259" t="s">
        <v>35811</v>
      </c>
      <c r="M7259" t="s">
        <v>35812</v>
      </c>
      <c r="N7259" t="s">
        <v>35813</v>
      </c>
      <c r="O7259" t="s">
        <v>26</v>
      </c>
      <c r="Q7259">
        <v>91.25</v>
      </c>
      <c r="R7259">
        <v>73</v>
      </c>
      <c r="S7259">
        <v>109.5</v>
      </c>
      <c r="T7259" t="s">
        <v>35814</v>
      </c>
    </row>
    <row r="7260" spans="1:20">
      <c r="A7260">
        <v>4671137</v>
      </c>
      <c r="B7260" t="s">
        <v>35815</v>
      </c>
      <c r="C7260" t="str">
        <f>"9780802048264"</f>
        <v>9780802048264</v>
      </c>
      <c r="D7260" t="str">
        <f>"9781442670297"</f>
        <v>9781442670297</v>
      </c>
      <c r="E7260" t="s">
        <v>31435</v>
      </c>
      <c r="F7260" t="s">
        <v>31435</v>
      </c>
      <c r="G7260" s="1">
        <v>36536</v>
      </c>
      <c r="J7260" t="s">
        <v>35816</v>
      </c>
      <c r="K7260" t="s">
        <v>2260</v>
      </c>
      <c r="L7260" t="s">
        <v>35817</v>
      </c>
      <c r="M7260" t="s">
        <v>35818</v>
      </c>
      <c r="N7260" t="s">
        <v>35819</v>
      </c>
      <c r="O7260" t="s">
        <v>26</v>
      </c>
      <c r="Q7260">
        <v>91.25</v>
      </c>
      <c r="R7260">
        <v>73</v>
      </c>
      <c r="S7260">
        <v>109.5</v>
      </c>
      <c r="T7260" t="s">
        <v>35820</v>
      </c>
    </row>
    <row r="7261" spans="1:20">
      <c r="A7261">
        <v>4671138</v>
      </c>
      <c r="B7261" t="s">
        <v>35821</v>
      </c>
      <c r="C7261" t="str">
        <f>"9780802068033"</f>
        <v>9780802068033</v>
      </c>
      <c r="D7261" t="str">
        <f>"9781442670303"</f>
        <v>9781442670303</v>
      </c>
      <c r="E7261" t="s">
        <v>31435</v>
      </c>
      <c r="F7261" t="s">
        <v>31435</v>
      </c>
      <c r="G7261" s="1">
        <v>33239</v>
      </c>
      <c r="I7261" t="s">
        <v>31443</v>
      </c>
      <c r="J7261" t="s">
        <v>35822</v>
      </c>
      <c r="K7261" t="s">
        <v>1464</v>
      </c>
      <c r="L7261" t="s">
        <v>35823</v>
      </c>
      <c r="M7261">
        <v>803</v>
      </c>
      <c r="O7261" t="s">
        <v>26</v>
      </c>
      <c r="Q7261">
        <v>123.75</v>
      </c>
      <c r="R7261">
        <v>99</v>
      </c>
      <c r="S7261">
        <v>148.5</v>
      </c>
      <c r="T7261" t="s">
        <v>35824</v>
      </c>
    </row>
    <row r="7262" spans="1:20">
      <c r="A7262">
        <v>4671139</v>
      </c>
      <c r="B7262" t="s">
        <v>35825</v>
      </c>
      <c r="C7262" t="str">
        <f>"9780802076953"</f>
        <v>9780802076953</v>
      </c>
      <c r="D7262" t="str">
        <f>"9781442670310"</f>
        <v>9781442670310</v>
      </c>
      <c r="E7262" t="s">
        <v>31435</v>
      </c>
      <c r="F7262" t="s">
        <v>31435</v>
      </c>
      <c r="G7262" s="1">
        <v>34700</v>
      </c>
      <c r="H7262">
        <v>2</v>
      </c>
      <c r="J7262" t="s">
        <v>35826</v>
      </c>
      <c r="K7262" t="s">
        <v>263</v>
      </c>
      <c r="L7262" t="s">
        <v>35827</v>
      </c>
      <c r="M7262" t="s">
        <v>35828</v>
      </c>
      <c r="O7262" t="s">
        <v>26</v>
      </c>
      <c r="Q7262">
        <v>59.94</v>
      </c>
      <c r="R7262">
        <v>47.95</v>
      </c>
      <c r="S7262">
        <v>71.930000000000007</v>
      </c>
      <c r="T7262" t="s">
        <v>35829</v>
      </c>
    </row>
    <row r="7263" spans="1:20">
      <c r="A7263">
        <v>4671140</v>
      </c>
      <c r="B7263" t="s">
        <v>35830</v>
      </c>
      <c r="C7263" t="str">
        <f>"9781442628816"</f>
        <v>9781442628816</v>
      </c>
      <c r="D7263" t="str">
        <f>"9781442670334"</f>
        <v>9781442670334</v>
      </c>
      <c r="E7263" t="s">
        <v>31435</v>
      </c>
      <c r="F7263" t="s">
        <v>31435</v>
      </c>
      <c r="G7263" s="1">
        <v>41773</v>
      </c>
      <c r="J7263" t="s">
        <v>35831</v>
      </c>
      <c r="K7263" t="s">
        <v>263</v>
      </c>
      <c r="M7263">
        <v>303.60940901999999</v>
      </c>
      <c r="O7263" t="s">
        <v>26</v>
      </c>
      <c r="Q7263">
        <v>117.5</v>
      </c>
      <c r="R7263">
        <v>94</v>
      </c>
      <c r="S7263">
        <v>141</v>
      </c>
      <c r="T7263" t="s">
        <v>35832</v>
      </c>
    </row>
    <row r="7264" spans="1:20">
      <c r="A7264">
        <v>4671142</v>
      </c>
      <c r="B7264" t="s">
        <v>35833</v>
      </c>
      <c r="C7264" t="str">
        <f>"9780802078636"</f>
        <v>9780802078636</v>
      </c>
      <c r="D7264" t="str">
        <f>"9781442670358"</f>
        <v>9781442670358</v>
      </c>
      <c r="E7264" t="s">
        <v>31435</v>
      </c>
      <c r="F7264" t="s">
        <v>31435</v>
      </c>
      <c r="G7264" s="1">
        <v>36161</v>
      </c>
      <c r="H7264">
        <v>2</v>
      </c>
      <c r="J7264" t="s">
        <v>35834</v>
      </c>
      <c r="K7264" t="s">
        <v>416</v>
      </c>
      <c r="L7264" t="s">
        <v>35835</v>
      </c>
      <c r="M7264">
        <v>338.971</v>
      </c>
      <c r="O7264" t="s">
        <v>26</v>
      </c>
      <c r="Q7264">
        <v>100</v>
      </c>
      <c r="R7264">
        <v>80</v>
      </c>
      <c r="S7264">
        <v>120</v>
      </c>
      <c r="T7264" t="s">
        <v>35836</v>
      </c>
    </row>
    <row r="7265" spans="1:20">
      <c r="A7265">
        <v>4671143</v>
      </c>
      <c r="B7265" t="s">
        <v>35837</v>
      </c>
      <c r="C7265" t="str">
        <f>"9780802037657"</f>
        <v>9780802037657</v>
      </c>
      <c r="D7265" t="str">
        <f>"9781442670365"</f>
        <v>9781442670365</v>
      </c>
      <c r="E7265" t="s">
        <v>31435</v>
      </c>
      <c r="F7265" t="s">
        <v>31435</v>
      </c>
      <c r="G7265" s="1">
        <v>37680</v>
      </c>
      <c r="I7265" t="s">
        <v>35838</v>
      </c>
      <c r="J7265" t="s">
        <v>35839</v>
      </c>
      <c r="K7265" t="s">
        <v>1471</v>
      </c>
      <c r="L7265" t="s">
        <v>35840</v>
      </c>
      <c r="M7265" t="s">
        <v>35841</v>
      </c>
      <c r="N7265" t="s">
        <v>35842</v>
      </c>
      <c r="O7265" t="s">
        <v>26</v>
      </c>
      <c r="Q7265">
        <v>135</v>
      </c>
      <c r="R7265">
        <v>108</v>
      </c>
      <c r="S7265">
        <v>162</v>
      </c>
      <c r="T7265" t="s">
        <v>35843</v>
      </c>
    </row>
    <row r="7266" spans="1:20">
      <c r="A7266">
        <v>4671145</v>
      </c>
      <c r="B7266" t="s">
        <v>35844</v>
      </c>
      <c r="C7266" t="str">
        <f>"9780802036254"</f>
        <v>9780802036254</v>
      </c>
      <c r="D7266" t="str">
        <f>"9781442670389"</f>
        <v>9781442670389</v>
      </c>
      <c r="E7266" t="s">
        <v>31435</v>
      </c>
      <c r="F7266" t="s">
        <v>31435</v>
      </c>
      <c r="G7266" s="1">
        <v>37541</v>
      </c>
      <c r="I7266" t="s">
        <v>35251</v>
      </c>
      <c r="J7266" t="s">
        <v>35845</v>
      </c>
      <c r="K7266" t="s">
        <v>435</v>
      </c>
      <c r="L7266" t="s">
        <v>35846</v>
      </c>
      <c r="M7266" t="s">
        <v>35847</v>
      </c>
      <c r="O7266" t="s">
        <v>26</v>
      </c>
      <c r="Q7266">
        <v>115</v>
      </c>
      <c r="R7266">
        <v>92</v>
      </c>
      <c r="S7266">
        <v>138</v>
      </c>
      <c r="T7266" t="s">
        <v>35848</v>
      </c>
    </row>
    <row r="7267" spans="1:20">
      <c r="A7267">
        <v>4671146</v>
      </c>
      <c r="B7267" t="s">
        <v>35849</v>
      </c>
      <c r="C7267" t="str">
        <f>"9780802047175"</f>
        <v>9780802047175</v>
      </c>
      <c r="D7267" t="str">
        <f>"9781442670396"</f>
        <v>9781442670396</v>
      </c>
      <c r="E7267" t="s">
        <v>31435</v>
      </c>
      <c r="F7267" t="s">
        <v>31435</v>
      </c>
      <c r="G7267" s="1">
        <v>36526</v>
      </c>
      <c r="I7267" t="s">
        <v>35850</v>
      </c>
      <c r="J7267" t="s">
        <v>35851</v>
      </c>
      <c r="K7267" t="s">
        <v>1464</v>
      </c>
      <c r="L7267" t="s">
        <v>35852</v>
      </c>
      <c r="M7267" t="s">
        <v>14551</v>
      </c>
      <c r="O7267" t="s">
        <v>26</v>
      </c>
      <c r="Q7267">
        <v>91.25</v>
      </c>
      <c r="R7267">
        <v>73</v>
      </c>
      <c r="S7267">
        <v>109.5</v>
      </c>
      <c r="T7267" t="s">
        <v>35853</v>
      </c>
    </row>
    <row r="7268" spans="1:20">
      <c r="A7268">
        <v>4671147</v>
      </c>
      <c r="B7268" t="s">
        <v>35854</v>
      </c>
      <c r="C7268" t="str">
        <f>"9780802083821"</f>
        <v>9780802083821</v>
      </c>
      <c r="D7268" t="str">
        <f>"9781442670402"</f>
        <v>9781442670402</v>
      </c>
      <c r="E7268" t="s">
        <v>31435</v>
      </c>
      <c r="F7268" t="s">
        <v>31435</v>
      </c>
      <c r="G7268" s="1">
        <v>36892</v>
      </c>
      <c r="J7268" t="s">
        <v>35855</v>
      </c>
      <c r="K7268" t="s">
        <v>263</v>
      </c>
      <c r="L7268" t="s">
        <v>35856</v>
      </c>
      <c r="M7268" t="s">
        <v>35857</v>
      </c>
      <c r="O7268" t="s">
        <v>26</v>
      </c>
      <c r="Q7268">
        <v>77.5</v>
      </c>
      <c r="R7268">
        <v>62</v>
      </c>
      <c r="S7268">
        <v>93</v>
      </c>
      <c r="T7268" t="s">
        <v>35858</v>
      </c>
    </row>
    <row r="7269" spans="1:20">
      <c r="A7269">
        <v>4671148</v>
      </c>
      <c r="B7269" t="s">
        <v>35859</v>
      </c>
      <c r="C7269" t="str">
        <f>"9780802057983"</f>
        <v>9780802057983</v>
      </c>
      <c r="D7269" t="str">
        <f>"9781442670419"</f>
        <v>9781442670419</v>
      </c>
      <c r="E7269" t="s">
        <v>31435</v>
      </c>
      <c r="F7269" t="s">
        <v>31435</v>
      </c>
      <c r="G7269" s="1">
        <v>32143</v>
      </c>
      <c r="J7269" t="s">
        <v>35860</v>
      </c>
      <c r="K7269" t="s">
        <v>263</v>
      </c>
      <c r="L7269" t="s">
        <v>35861</v>
      </c>
      <c r="M7269">
        <v>309.17130400000002</v>
      </c>
      <c r="O7269" t="s">
        <v>26</v>
      </c>
      <c r="Q7269">
        <v>59.94</v>
      </c>
      <c r="R7269">
        <v>47.95</v>
      </c>
      <c r="S7269">
        <v>71.930000000000007</v>
      </c>
      <c r="T7269" t="s">
        <v>35862</v>
      </c>
    </row>
    <row r="7270" spans="1:20">
      <c r="A7270">
        <v>4671149</v>
      </c>
      <c r="B7270" t="s">
        <v>35863</v>
      </c>
      <c r="C7270" t="str">
        <f>"9780802084279"</f>
        <v>9780802084279</v>
      </c>
      <c r="D7270" t="str">
        <f>"9781442670426"</f>
        <v>9781442670426</v>
      </c>
      <c r="E7270" t="s">
        <v>31435</v>
      </c>
      <c r="F7270" t="s">
        <v>31435</v>
      </c>
      <c r="G7270" s="1">
        <v>36892</v>
      </c>
      <c r="I7270" t="s">
        <v>35838</v>
      </c>
      <c r="J7270" t="s">
        <v>35410</v>
      </c>
      <c r="K7270" t="s">
        <v>291</v>
      </c>
      <c r="L7270" t="s">
        <v>35864</v>
      </c>
      <c r="M7270" t="s">
        <v>35865</v>
      </c>
      <c r="O7270" t="s">
        <v>26</v>
      </c>
      <c r="Q7270">
        <v>123.75</v>
      </c>
      <c r="R7270">
        <v>99</v>
      </c>
      <c r="S7270">
        <v>148.5</v>
      </c>
      <c r="T7270" t="s">
        <v>35866</v>
      </c>
    </row>
    <row r="7271" spans="1:20">
      <c r="A7271">
        <v>4671150</v>
      </c>
      <c r="B7271" t="s">
        <v>35867</v>
      </c>
      <c r="C7271" t="str">
        <f>"9780802067685"</f>
        <v>9780802067685</v>
      </c>
      <c r="D7271" t="str">
        <f>"9781442670433"</f>
        <v>9781442670433</v>
      </c>
      <c r="E7271" t="s">
        <v>31435</v>
      </c>
      <c r="F7271" t="s">
        <v>31435</v>
      </c>
      <c r="G7271" s="1">
        <v>32509</v>
      </c>
      <c r="H7271">
        <v>2</v>
      </c>
      <c r="J7271" t="s">
        <v>35868</v>
      </c>
      <c r="K7271" t="s">
        <v>1859</v>
      </c>
      <c r="L7271" t="s">
        <v>35869</v>
      </c>
      <c r="M7271">
        <v>133.4</v>
      </c>
      <c r="O7271" t="s">
        <v>26</v>
      </c>
      <c r="Q7271">
        <v>59.94</v>
      </c>
      <c r="R7271">
        <v>47.95</v>
      </c>
      <c r="S7271">
        <v>71.930000000000007</v>
      </c>
      <c r="T7271" t="s">
        <v>35870</v>
      </c>
    </row>
    <row r="7272" spans="1:20">
      <c r="A7272">
        <v>4671152</v>
      </c>
      <c r="B7272" t="s">
        <v>35871</v>
      </c>
      <c r="C7272" t="str">
        <f>"9780802085948"</f>
        <v>9780802085948</v>
      </c>
      <c r="D7272" t="str">
        <f>"9781442670457"</f>
        <v>9781442670457</v>
      </c>
      <c r="E7272" t="s">
        <v>31435</v>
      </c>
      <c r="F7272" t="s">
        <v>31435</v>
      </c>
      <c r="G7272" s="1">
        <v>37622</v>
      </c>
      <c r="H7272">
        <v>2</v>
      </c>
      <c r="I7272" t="s">
        <v>33775</v>
      </c>
      <c r="J7272" t="s">
        <v>33809</v>
      </c>
      <c r="K7272" t="s">
        <v>1464</v>
      </c>
      <c r="L7272" t="s">
        <v>35872</v>
      </c>
      <c r="M7272" t="s">
        <v>35873</v>
      </c>
      <c r="O7272" t="s">
        <v>26</v>
      </c>
      <c r="Q7272">
        <v>95</v>
      </c>
      <c r="R7272">
        <v>76</v>
      </c>
      <c r="S7272">
        <v>114</v>
      </c>
      <c r="T7272" t="s">
        <v>35874</v>
      </c>
    </row>
    <row r="7273" spans="1:20">
      <c r="A7273">
        <v>4671153</v>
      </c>
      <c r="B7273" t="s">
        <v>35875</v>
      </c>
      <c r="C7273" t="str">
        <f>"9780802088598"</f>
        <v>9780802088598</v>
      </c>
      <c r="D7273" t="str">
        <f>"9781442670464"</f>
        <v>9781442670464</v>
      </c>
      <c r="E7273" t="s">
        <v>31435</v>
      </c>
      <c r="F7273" t="s">
        <v>31435</v>
      </c>
      <c r="G7273" s="1">
        <v>38353</v>
      </c>
      <c r="J7273" t="s">
        <v>35876</v>
      </c>
      <c r="K7273" t="s">
        <v>23</v>
      </c>
      <c r="L7273" t="s">
        <v>35877</v>
      </c>
      <c r="M7273" t="s">
        <v>35878</v>
      </c>
      <c r="O7273" t="s">
        <v>26</v>
      </c>
      <c r="Q7273">
        <v>117.5</v>
      </c>
      <c r="R7273">
        <v>94</v>
      </c>
      <c r="S7273">
        <v>141</v>
      </c>
      <c r="T7273" t="s">
        <v>35879</v>
      </c>
    </row>
    <row r="7274" spans="1:20">
      <c r="A7274">
        <v>4671154</v>
      </c>
      <c r="B7274" t="s">
        <v>35880</v>
      </c>
      <c r="C7274" t="str">
        <f>"9780802083876"</f>
        <v>9780802083876</v>
      </c>
      <c r="D7274" t="str">
        <f>"9781442670471"</f>
        <v>9781442670471</v>
      </c>
      <c r="E7274" t="s">
        <v>31435</v>
      </c>
      <c r="F7274" t="s">
        <v>31435</v>
      </c>
      <c r="G7274" s="1">
        <v>41773</v>
      </c>
      <c r="J7274" t="s">
        <v>35275</v>
      </c>
      <c r="K7274" t="s">
        <v>1471</v>
      </c>
      <c r="M7274">
        <v>782</v>
      </c>
      <c r="O7274" t="s">
        <v>26</v>
      </c>
      <c r="Q7274">
        <v>62.44</v>
      </c>
      <c r="R7274">
        <v>49.95</v>
      </c>
      <c r="S7274">
        <v>74.930000000000007</v>
      </c>
      <c r="T7274" t="s">
        <v>35881</v>
      </c>
    </row>
    <row r="7275" spans="1:20">
      <c r="A7275">
        <v>4671155</v>
      </c>
      <c r="B7275" t="s">
        <v>35882</v>
      </c>
      <c r="C7275" t="str">
        <f>"9780802089397"</f>
        <v>9780802089397</v>
      </c>
      <c r="D7275" t="str">
        <f>"9781442670488"</f>
        <v>9781442670488</v>
      </c>
      <c r="E7275" t="s">
        <v>31435</v>
      </c>
      <c r="F7275" t="s">
        <v>31435</v>
      </c>
      <c r="G7275" s="1">
        <v>38353</v>
      </c>
      <c r="J7275" t="s">
        <v>35883</v>
      </c>
      <c r="K7275" t="s">
        <v>1464</v>
      </c>
      <c r="L7275" t="s">
        <v>35884</v>
      </c>
      <c r="M7275" t="s">
        <v>35885</v>
      </c>
      <c r="O7275" t="s">
        <v>26</v>
      </c>
      <c r="Q7275">
        <v>155</v>
      </c>
      <c r="R7275">
        <v>124</v>
      </c>
      <c r="S7275">
        <v>186</v>
      </c>
      <c r="T7275" t="s">
        <v>35886</v>
      </c>
    </row>
    <row r="7276" spans="1:20">
      <c r="A7276">
        <v>4671156</v>
      </c>
      <c r="B7276" t="s">
        <v>35887</v>
      </c>
      <c r="C7276" t="str">
        <f>"9780802044648"</f>
        <v>9780802044648</v>
      </c>
      <c r="D7276" t="str">
        <f>"9781442670495"</f>
        <v>9781442670495</v>
      </c>
      <c r="E7276" t="s">
        <v>31435</v>
      </c>
      <c r="F7276" t="s">
        <v>31435</v>
      </c>
      <c r="G7276" s="1">
        <v>36442</v>
      </c>
      <c r="J7276" t="s">
        <v>35888</v>
      </c>
      <c r="K7276" t="s">
        <v>6444</v>
      </c>
      <c r="L7276" t="s">
        <v>35889</v>
      </c>
      <c r="M7276" t="s">
        <v>35890</v>
      </c>
      <c r="N7276" t="s">
        <v>35891</v>
      </c>
      <c r="O7276" t="s">
        <v>26</v>
      </c>
      <c r="Q7276">
        <v>70</v>
      </c>
      <c r="R7276">
        <v>56</v>
      </c>
      <c r="S7276">
        <v>84</v>
      </c>
      <c r="T7276" t="s">
        <v>35892</v>
      </c>
    </row>
    <row r="7277" spans="1:20">
      <c r="A7277">
        <v>4671157</v>
      </c>
      <c r="B7277" t="s">
        <v>35893</v>
      </c>
      <c r="C7277" t="str">
        <f>"9780802036032"</f>
        <v>9780802036032</v>
      </c>
      <c r="D7277" t="str">
        <f>"9781442670501"</f>
        <v>9781442670501</v>
      </c>
      <c r="E7277" t="s">
        <v>31435</v>
      </c>
      <c r="F7277" t="s">
        <v>31435</v>
      </c>
      <c r="G7277" s="1">
        <v>37257</v>
      </c>
      <c r="I7277" t="s">
        <v>35029</v>
      </c>
      <c r="J7277" t="s">
        <v>35894</v>
      </c>
      <c r="K7277" t="s">
        <v>1859</v>
      </c>
      <c r="L7277" t="s">
        <v>35895</v>
      </c>
      <c r="M7277" t="s">
        <v>35896</v>
      </c>
      <c r="O7277" t="s">
        <v>26</v>
      </c>
      <c r="Q7277">
        <v>161.25</v>
      </c>
      <c r="R7277">
        <v>129</v>
      </c>
      <c r="S7277">
        <v>193.5</v>
      </c>
      <c r="T7277" t="s">
        <v>35897</v>
      </c>
    </row>
    <row r="7278" spans="1:20">
      <c r="A7278">
        <v>4671158</v>
      </c>
      <c r="B7278" t="s">
        <v>35898</v>
      </c>
      <c r="C7278" t="str">
        <f>"9781442613287"</f>
        <v>9781442613287</v>
      </c>
      <c r="D7278" t="str">
        <f>"9781442670532"</f>
        <v>9781442670532</v>
      </c>
      <c r="E7278" t="s">
        <v>31435</v>
      </c>
      <c r="F7278" t="s">
        <v>31435</v>
      </c>
      <c r="G7278" s="1">
        <v>41773</v>
      </c>
      <c r="J7278" t="s">
        <v>35899</v>
      </c>
      <c r="K7278" t="s">
        <v>1464</v>
      </c>
      <c r="M7278">
        <v>809.93350999999996</v>
      </c>
      <c r="O7278" t="s">
        <v>26</v>
      </c>
      <c r="Q7278">
        <v>102.5</v>
      </c>
      <c r="R7278">
        <v>82</v>
      </c>
      <c r="S7278">
        <v>123</v>
      </c>
      <c r="T7278" t="s">
        <v>35900</v>
      </c>
    </row>
    <row r="7279" spans="1:20">
      <c r="A7279">
        <v>4671159</v>
      </c>
      <c r="B7279" t="s">
        <v>35901</v>
      </c>
      <c r="C7279" t="str">
        <f>"9780802008657"</f>
        <v>9780802008657</v>
      </c>
      <c r="D7279" t="str">
        <f>"9781442670549"</f>
        <v>9781442670549</v>
      </c>
      <c r="E7279" t="s">
        <v>31435</v>
      </c>
      <c r="F7279" t="s">
        <v>31435</v>
      </c>
      <c r="G7279" s="1">
        <v>35431</v>
      </c>
      <c r="J7279" t="s">
        <v>24461</v>
      </c>
      <c r="K7279" t="s">
        <v>11854</v>
      </c>
      <c r="L7279" t="s">
        <v>35902</v>
      </c>
      <c r="M7279" t="s">
        <v>35903</v>
      </c>
      <c r="O7279" t="s">
        <v>26</v>
      </c>
      <c r="Q7279">
        <v>71.25</v>
      </c>
      <c r="R7279">
        <v>57</v>
      </c>
      <c r="S7279">
        <v>85.5</v>
      </c>
      <c r="T7279" t="s">
        <v>35904</v>
      </c>
    </row>
    <row r="7280" spans="1:20">
      <c r="A7280">
        <v>4671161</v>
      </c>
      <c r="B7280" t="s">
        <v>35905</v>
      </c>
      <c r="C7280" t="str">
        <f>"9780802058027"</f>
        <v>9780802058027</v>
      </c>
      <c r="D7280" t="str">
        <f>"9781442670563"</f>
        <v>9781442670563</v>
      </c>
      <c r="E7280" t="s">
        <v>31435</v>
      </c>
      <c r="F7280" t="s">
        <v>31435</v>
      </c>
      <c r="G7280" s="1">
        <v>33208</v>
      </c>
      <c r="J7280" t="s">
        <v>35906</v>
      </c>
      <c r="K7280" t="s">
        <v>1464</v>
      </c>
      <c r="L7280" t="s">
        <v>35907</v>
      </c>
      <c r="M7280">
        <v>821.91408000000001</v>
      </c>
      <c r="O7280" t="s">
        <v>26</v>
      </c>
      <c r="Q7280">
        <v>232.5</v>
      </c>
      <c r="R7280">
        <v>186</v>
      </c>
      <c r="S7280">
        <v>279</v>
      </c>
      <c r="T7280" t="s">
        <v>35908</v>
      </c>
    </row>
    <row r="7281" spans="1:20">
      <c r="A7281">
        <v>4671162</v>
      </c>
      <c r="B7281" t="s">
        <v>35909</v>
      </c>
      <c r="C7281" t="str">
        <f>"9780802007261"</f>
        <v>9780802007261</v>
      </c>
      <c r="D7281" t="str">
        <f>"9781442670570"</f>
        <v>9781442670570</v>
      </c>
      <c r="E7281" t="s">
        <v>31435</v>
      </c>
      <c r="F7281" t="s">
        <v>31435</v>
      </c>
      <c r="G7281" s="1">
        <v>36161</v>
      </c>
      <c r="J7281" t="s">
        <v>20739</v>
      </c>
      <c r="K7281" t="s">
        <v>257</v>
      </c>
      <c r="L7281" t="s">
        <v>35910</v>
      </c>
      <c r="M7281">
        <v>371.10399999999902</v>
      </c>
      <c r="O7281" t="s">
        <v>26</v>
      </c>
      <c r="Q7281">
        <v>80</v>
      </c>
      <c r="R7281">
        <v>64</v>
      </c>
      <c r="S7281">
        <v>96</v>
      </c>
      <c r="T7281" t="s">
        <v>35911</v>
      </c>
    </row>
    <row r="7282" spans="1:20">
      <c r="A7282">
        <v>4671163</v>
      </c>
      <c r="B7282" t="s">
        <v>35912</v>
      </c>
      <c r="C7282" t="str">
        <f>"9780802094209"</f>
        <v>9780802094209</v>
      </c>
      <c r="D7282" t="str">
        <f>"9781442670587"</f>
        <v>9781442670587</v>
      </c>
      <c r="E7282" t="s">
        <v>31435</v>
      </c>
      <c r="F7282" t="s">
        <v>31435</v>
      </c>
      <c r="G7282" s="1">
        <v>41773</v>
      </c>
      <c r="J7282" t="s">
        <v>35913</v>
      </c>
      <c r="K7282" t="s">
        <v>525</v>
      </c>
      <c r="L7282" t="s">
        <v>35914</v>
      </c>
      <c r="M7282">
        <v>344.71021999999999</v>
      </c>
      <c r="O7282" t="s">
        <v>26</v>
      </c>
      <c r="Q7282">
        <v>71.25</v>
      </c>
      <c r="R7282">
        <v>57</v>
      </c>
      <c r="S7282">
        <v>85.5</v>
      </c>
      <c r="T7282" t="s">
        <v>35915</v>
      </c>
    </row>
    <row r="7283" spans="1:20">
      <c r="A7283">
        <v>4671164</v>
      </c>
      <c r="B7283" t="s">
        <v>35916</v>
      </c>
      <c r="C7283" t="str">
        <f>"9780802076014"</f>
        <v>9780802076014</v>
      </c>
      <c r="D7283" t="str">
        <f>"9781442670594"</f>
        <v>9781442670594</v>
      </c>
      <c r="E7283" t="s">
        <v>31435</v>
      </c>
      <c r="F7283" t="s">
        <v>31435</v>
      </c>
      <c r="G7283" s="1">
        <v>35045</v>
      </c>
      <c r="H7283">
        <v>2</v>
      </c>
      <c r="J7283" t="s">
        <v>35917</v>
      </c>
      <c r="K7283" t="s">
        <v>1186</v>
      </c>
      <c r="L7283" t="s">
        <v>35918</v>
      </c>
      <c r="M7283">
        <v>345.71</v>
      </c>
      <c r="O7283" t="s">
        <v>26</v>
      </c>
      <c r="Q7283">
        <v>59.94</v>
      </c>
      <c r="R7283">
        <v>47.95</v>
      </c>
      <c r="S7283">
        <v>71.930000000000007</v>
      </c>
      <c r="T7283" t="s">
        <v>35919</v>
      </c>
    </row>
    <row r="7284" spans="1:20">
      <c r="A7284">
        <v>4671165</v>
      </c>
      <c r="B7284" t="s">
        <v>35920</v>
      </c>
      <c r="C7284" t="str">
        <f>"9780802009821"</f>
        <v>9780802009821</v>
      </c>
      <c r="D7284" t="str">
        <f>"9781442670600"</f>
        <v>9781442670600</v>
      </c>
      <c r="E7284" t="s">
        <v>31435</v>
      </c>
      <c r="F7284" t="s">
        <v>31435</v>
      </c>
      <c r="G7284" s="1">
        <v>35065</v>
      </c>
      <c r="I7284" t="s">
        <v>35710</v>
      </c>
      <c r="J7284" t="s">
        <v>35921</v>
      </c>
      <c r="K7284" t="s">
        <v>1464</v>
      </c>
      <c r="L7284" t="s">
        <v>35922</v>
      </c>
      <c r="M7284" t="s">
        <v>35923</v>
      </c>
      <c r="O7284" t="s">
        <v>26</v>
      </c>
      <c r="Q7284">
        <v>91.25</v>
      </c>
      <c r="R7284">
        <v>73</v>
      </c>
      <c r="S7284">
        <v>109.5</v>
      </c>
      <c r="T7284" t="s">
        <v>35924</v>
      </c>
    </row>
    <row r="7285" spans="1:20">
      <c r="A7285">
        <v>4671171</v>
      </c>
      <c r="B7285" t="s">
        <v>35925</v>
      </c>
      <c r="C7285" t="str">
        <f>"9780802067470"</f>
        <v>9780802067470</v>
      </c>
      <c r="D7285" t="str">
        <f>"9781442670679"</f>
        <v>9781442670679</v>
      </c>
      <c r="E7285" t="s">
        <v>31435</v>
      </c>
      <c r="F7285" t="s">
        <v>31435</v>
      </c>
      <c r="G7285" s="1">
        <v>32599</v>
      </c>
      <c r="H7285">
        <v>2</v>
      </c>
      <c r="J7285" t="s">
        <v>35926</v>
      </c>
      <c r="K7285" t="s">
        <v>1464</v>
      </c>
      <c r="L7285" t="s">
        <v>35927</v>
      </c>
      <c r="M7285" t="s">
        <v>34744</v>
      </c>
      <c r="O7285" t="s">
        <v>26</v>
      </c>
      <c r="Q7285">
        <v>96.25</v>
      </c>
      <c r="R7285">
        <v>77</v>
      </c>
      <c r="S7285">
        <v>115.5</v>
      </c>
      <c r="T7285" t="s">
        <v>35928</v>
      </c>
    </row>
    <row r="7286" spans="1:20">
      <c r="A7286">
        <v>4671172</v>
      </c>
      <c r="B7286" t="s">
        <v>35929</v>
      </c>
      <c r="C7286" t="str">
        <f>"9780802047915"</f>
        <v>9780802047915</v>
      </c>
      <c r="D7286" t="str">
        <f>"9781442670686"</f>
        <v>9781442670686</v>
      </c>
      <c r="E7286" t="s">
        <v>31435</v>
      </c>
      <c r="F7286" t="s">
        <v>31435</v>
      </c>
      <c r="G7286" s="1">
        <v>37257</v>
      </c>
      <c r="J7286" t="s">
        <v>35930</v>
      </c>
      <c r="K7286" t="s">
        <v>35931</v>
      </c>
      <c r="L7286" t="s">
        <v>35932</v>
      </c>
      <c r="M7286">
        <v>901</v>
      </c>
      <c r="O7286" t="s">
        <v>26</v>
      </c>
      <c r="Q7286">
        <v>100</v>
      </c>
      <c r="R7286">
        <v>80</v>
      </c>
      <c r="S7286">
        <v>120</v>
      </c>
      <c r="T7286" t="s">
        <v>35933</v>
      </c>
    </row>
    <row r="7287" spans="1:20">
      <c r="A7287">
        <v>4671173</v>
      </c>
      <c r="B7287" t="s">
        <v>35934</v>
      </c>
      <c r="C7287" t="str">
        <f>"9780802006295"</f>
        <v>9780802006295</v>
      </c>
      <c r="D7287" t="str">
        <f>"9781442670709"</f>
        <v>9781442670709</v>
      </c>
      <c r="E7287" t="s">
        <v>31435</v>
      </c>
      <c r="F7287" t="s">
        <v>31435</v>
      </c>
      <c r="G7287" s="1">
        <v>36161</v>
      </c>
      <c r="J7287" t="s">
        <v>35935</v>
      </c>
      <c r="K7287" t="s">
        <v>278</v>
      </c>
      <c r="L7287" t="s">
        <v>35936</v>
      </c>
      <c r="M7287">
        <v>339.53097100000002</v>
      </c>
      <c r="O7287" t="s">
        <v>26</v>
      </c>
      <c r="Q7287">
        <v>77.5</v>
      </c>
      <c r="R7287">
        <v>62</v>
      </c>
      <c r="S7287">
        <v>93</v>
      </c>
      <c r="T7287" t="s">
        <v>35937</v>
      </c>
    </row>
    <row r="7288" spans="1:20">
      <c r="A7288">
        <v>4671174</v>
      </c>
      <c r="B7288" t="s">
        <v>35938</v>
      </c>
      <c r="C7288" t="str">
        <f>"9780802044501"</f>
        <v>9780802044501</v>
      </c>
      <c r="D7288" t="str">
        <f>"9781442670716"</f>
        <v>9781442670716</v>
      </c>
      <c r="E7288" t="s">
        <v>31435</v>
      </c>
      <c r="F7288" t="s">
        <v>31435</v>
      </c>
      <c r="G7288" s="1">
        <v>36414</v>
      </c>
      <c r="J7288" t="s">
        <v>35939</v>
      </c>
      <c r="K7288" t="s">
        <v>278</v>
      </c>
      <c r="L7288" t="s">
        <v>35940</v>
      </c>
      <c r="M7288">
        <v>338.97179999999901</v>
      </c>
      <c r="O7288" t="s">
        <v>26</v>
      </c>
      <c r="Q7288">
        <v>80</v>
      </c>
      <c r="R7288">
        <v>64</v>
      </c>
      <c r="S7288">
        <v>96</v>
      </c>
      <c r="T7288" t="s">
        <v>35941</v>
      </c>
    </row>
    <row r="7289" spans="1:20">
      <c r="A7289">
        <v>4671175</v>
      </c>
      <c r="B7289" t="s">
        <v>35942</v>
      </c>
      <c r="C7289" t="str">
        <f>"9780802039576"</f>
        <v>9780802039576</v>
      </c>
      <c r="D7289" t="str">
        <f>"9781442670723"</f>
        <v>9781442670723</v>
      </c>
      <c r="E7289" t="s">
        <v>31435</v>
      </c>
      <c r="F7289" t="s">
        <v>31435</v>
      </c>
      <c r="G7289" s="1">
        <v>37987</v>
      </c>
      <c r="H7289">
        <v>2</v>
      </c>
      <c r="I7289" t="s">
        <v>33881</v>
      </c>
      <c r="J7289" t="s">
        <v>13481</v>
      </c>
      <c r="K7289" t="s">
        <v>525</v>
      </c>
      <c r="L7289" t="s">
        <v>35943</v>
      </c>
      <c r="M7289" t="s">
        <v>23866</v>
      </c>
      <c r="O7289" t="s">
        <v>26</v>
      </c>
      <c r="Q7289">
        <v>95</v>
      </c>
      <c r="R7289">
        <v>76</v>
      </c>
      <c r="S7289">
        <v>114</v>
      </c>
      <c r="T7289" t="s">
        <v>35944</v>
      </c>
    </row>
    <row r="7290" spans="1:20">
      <c r="A7290">
        <v>4671176</v>
      </c>
      <c r="B7290" t="s">
        <v>35945</v>
      </c>
      <c r="C7290" t="str">
        <f>"9780802085054"</f>
        <v>9780802085054</v>
      </c>
      <c r="D7290" t="str">
        <f>"9781442670730"</f>
        <v>9781442670730</v>
      </c>
      <c r="E7290" t="s">
        <v>31435</v>
      </c>
      <c r="F7290" t="s">
        <v>31435</v>
      </c>
      <c r="G7290" s="1">
        <v>41773</v>
      </c>
      <c r="I7290" t="s">
        <v>35946</v>
      </c>
      <c r="J7290" t="s">
        <v>35947</v>
      </c>
      <c r="K7290" t="s">
        <v>899</v>
      </c>
      <c r="L7290" t="s">
        <v>35948</v>
      </c>
      <c r="M7290">
        <v>305</v>
      </c>
      <c r="O7290" t="s">
        <v>26</v>
      </c>
      <c r="Q7290">
        <v>59.94</v>
      </c>
      <c r="R7290">
        <v>47.95</v>
      </c>
      <c r="S7290">
        <v>71.930000000000007</v>
      </c>
      <c r="T7290" t="s">
        <v>35949</v>
      </c>
    </row>
    <row r="7291" spans="1:20">
      <c r="A7291">
        <v>4671177</v>
      </c>
      <c r="B7291" t="s">
        <v>35950</v>
      </c>
      <c r="C7291" t="str">
        <f>"9781487598150"</f>
        <v>9781487598150</v>
      </c>
      <c r="D7291" t="str">
        <f>"9781442670747"</f>
        <v>9781442670747</v>
      </c>
      <c r="E7291" t="s">
        <v>31435</v>
      </c>
      <c r="F7291" t="s">
        <v>31435</v>
      </c>
      <c r="G7291" s="1">
        <v>36589</v>
      </c>
      <c r="J7291" t="s">
        <v>20632</v>
      </c>
      <c r="K7291" t="s">
        <v>291</v>
      </c>
      <c r="L7291" t="s">
        <v>35951</v>
      </c>
      <c r="M7291" t="s">
        <v>35952</v>
      </c>
      <c r="O7291" t="s">
        <v>26</v>
      </c>
      <c r="Q7291">
        <v>100</v>
      </c>
      <c r="R7291">
        <v>80</v>
      </c>
      <c r="S7291">
        <v>120</v>
      </c>
      <c r="T7291" t="s">
        <v>35953</v>
      </c>
    </row>
    <row r="7292" spans="1:20">
      <c r="A7292">
        <v>4671178</v>
      </c>
      <c r="B7292" t="s">
        <v>35954</v>
      </c>
      <c r="C7292" t="str">
        <f>"9780802086396"</f>
        <v>9780802086396</v>
      </c>
      <c r="D7292" t="str">
        <f>"9781442670754"</f>
        <v>9781442670754</v>
      </c>
      <c r="E7292" t="s">
        <v>31435</v>
      </c>
      <c r="F7292" t="s">
        <v>31435</v>
      </c>
      <c r="G7292" s="1">
        <v>41773</v>
      </c>
      <c r="H7292">
        <v>2</v>
      </c>
      <c r="J7292" t="s">
        <v>35955</v>
      </c>
      <c r="K7292" t="s">
        <v>1082</v>
      </c>
      <c r="L7292" t="s">
        <v>35956</v>
      </c>
      <c r="M7292">
        <v>362.14097129999999</v>
      </c>
      <c r="O7292" t="s">
        <v>26</v>
      </c>
      <c r="Q7292">
        <v>117.5</v>
      </c>
      <c r="R7292">
        <v>94</v>
      </c>
      <c r="S7292">
        <v>141</v>
      </c>
      <c r="T7292" t="s">
        <v>35957</v>
      </c>
    </row>
    <row r="7293" spans="1:20">
      <c r="A7293">
        <v>4671180</v>
      </c>
      <c r="B7293" t="s">
        <v>35958</v>
      </c>
      <c r="C7293" t="str">
        <f>"9780802088338"</f>
        <v>9780802088338</v>
      </c>
      <c r="D7293" t="str">
        <f>"9781442670778"</f>
        <v>9781442670778</v>
      </c>
      <c r="E7293" t="s">
        <v>31435</v>
      </c>
      <c r="F7293" t="s">
        <v>31435</v>
      </c>
      <c r="G7293" s="1">
        <v>41773</v>
      </c>
      <c r="J7293" t="s">
        <v>35959</v>
      </c>
      <c r="K7293" t="s">
        <v>291</v>
      </c>
      <c r="L7293" t="s">
        <v>35960</v>
      </c>
      <c r="M7293">
        <v>941.06309199999998</v>
      </c>
      <c r="O7293" t="s">
        <v>26</v>
      </c>
      <c r="Q7293">
        <v>110</v>
      </c>
      <c r="R7293">
        <v>88</v>
      </c>
      <c r="S7293">
        <v>132</v>
      </c>
      <c r="T7293" t="s">
        <v>35961</v>
      </c>
    </row>
    <row r="7294" spans="1:20">
      <c r="A7294">
        <v>4671181</v>
      </c>
      <c r="B7294" t="s">
        <v>35962</v>
      </c>
      <c r="C7294" t="str">
        <f>"9780802048189"</f>
        <v>9780802048189</v>
      </c>
      <c r="D7294" t="str">
        <f>"9781442670785"</f>
        <v>9781442670785</v>
      </c>
      <c r="E7294" t="s">
        <v>31435</v>
      </c>
      <c r="F7294" t="s">
        <v>31435</v>
      </c>
      <c r="G7294" s="1">
        <v>36526</v>
      </c>
      <c r="J7294" t="s">
        <v>35963</v>
      </c>
      <c r="K7294" t="s">
        <v>1892</v>
      </c>
      <c r="L7294" t="s">
        <v>35964</v>
      </c>
      <c r="M7294">
        <v>220.07</v>
      </c>
      <c r="O7294" t="s">
        <v>26</v>
      </c>
      <c r="Q7294">
        <v>123.75</v>
      </c>
      <c r="R7294">
        <v>99</v>
      </c>
      <c r="S7294">
        <v>148.5</v>
      </c>
      <c r="T7294" t="s">
        <v>35965</v>
      </c>
    </row>
    <row r="7295" spans="1:20">
      <c r="A7295">
        <v>4671182</v>
      </c>
      <c r="B7295" t="s">
        <v>35966</v>
      </c>
      <c r="C7295" t="str">
        <f>"9780802035318"</f>
        <v>9780802035318</v>
      </c>
      <c r="D7295" t="str">
        <f>"9781442670792"</f>
        <v>9781442670792</v>
      </c>
      <c r="E7295" t="s">
        <v>31435</v>
      </c>
      <c r="F7295" t="s">
        <v>31435</v>
      </c>
      <c r="G7295" s="1">
        <v>38718</v>
      </c>
      <c r="I7295" t="s">
        <v>31450</v>
      </c>
      <c r="J7295" t="s">
        <v>22380</v>
      </c>
      <c r="K7295" t="s">
        <v>899</v>
      </c>
      <c r="L7295" t="s">
        <v>35967</v>
      </c>
      <c r="M7295" t="s">
        <v>35968</v>
      </c>
      <c r="O7295" t="s">
        <v>26</v>
      </c>
      <c r="Q7295">
        <v>161.25</v>
      </c>
      <c r="R7295">
        <v>129</v>
      </c>
      <c r="S7295">
        <v>193.5</v>
      </c>
      <c r="T7295" t="s">
        <v>35969</v>
      </c>
    </row>
    <row r="7296" spans="1:20">
      <c r="A7296">
        <v>4671184</v>
      </c>
      <c r="B7296" t="s">
        <v>35970</v>
      </c>
      <c r="C7296" t="str">
        <f>"9780802005779"</f>
        <v>9780802005779</v>
      </c>
      <c r="D7296" t="str">
        <f>"9781442670839"</f>
        <v>9781442670839</v>
      </c>
      <c r="E7296" t="s">
        <v>31435</v>
      </c>
      <c r="F7296" t="s">
        <v>31435</v>
      </c>
      <c r="G7296" s="1">
        <v>34335</v>
      </c>
      <c r="I7296" t="s">
        <v>33775</v>
      </c>
      <c r="J7296" t="s">
        <v>35971</v>
      </c>
      <c r="K7296" t="s">
        <v>11854</v>
      </c>
      <c r="L7296" t="s">
        <v>35972</v>
      </c>
      <c r="M7296" t="s">
        <v>35973</v>
      </c>
      <c r="O7296" t="s">
        <v>26</v>
      </c>
      <c r="Q7296">
        <v>100</v>
      </c>
      <c r="R7296">
        <v>80</v>
      </c>
      <c r="S7296">
        <v>120</v>
      </c>
      <c r="T7296" t="s">
        <v>35974</v>
      </c>
    </row>
    <row r="7297" spans="1:20">
      <c r="A7297">
        <v>4671185</v>
      </c>
      <c r="B7297" t="s">
        <v>35975</v>
      </c>
      <c r="C7297" t="str">
        <f>"9780802038456"</f>
        <v>9780802038456</v>
      </c>
      <c r="D7297" t="str">
        <f>"9781442670846"</f>
        <v>9781442670846</v>
      </c>
      <c r="E7297" t="s">
        <v>31435</v>
      </c>
      <c r="F7297" t="s">
        <v>31435</v>
      </c>
      <c r="G7297" s="1">
        <v>38657</v>
      </c>
      <c r="H7297">
        <v>2</v>
      </c>
      <c r="I7297" t="s">
        <v>35264</v>
      </c>
      <c r="J7297" t="s">
        <v>35976</v>
      </c>
      <c r="K7297" t="s">
        <v>7075</v>
      </c>
      <c r="L7297" t="s">
        <v>35977</v>
      </c>
      <c r="M7297">
        <v>16.86</v>
      </c>
      <c r="N7297" t="s">
        <v>35978</v>
      </c>
      <c r="O7297" t="s">
        <v>26</v>
      </c>
      <c r="Q7297">
        <v>102.5</v>
      </c>
      <c r="R7297">
        <v>82</v>
      </c>
      <c r="S7297">
        <v>123</v>
      </c>
      <c r="T7297" t="s">
        <v>35979</v>
      </c>
    </row>
    <row r="7298" spans="1:20">
      <c r="A7298">
        <v>4671186</v>
      </c>
      <c r="B7298" t="s">
        <v>35980</v>
      </c>
      <c r="C7298" t="str">
        <f>"9780802047946"</f>
        <v>9780802047946</v>
      </c>
      <c r="D7298" t="str">
        <f>"9781442670853"</f>
        <v>9781442670853</v>
      </c>
      <c r="E7298" t="s">
        <v>31435</v>
      </c>
      <c r="F7298" t="s">
        <v>31435</v>
      </c>
      <c r="G7298" s="1">
        <v>36526</v>
      </c>
      <c r="J7298" t="s">
        <v>35981</v>
      </c>
      <c r="K7298" t="s">
        <v>22702</v>
      </c>
      <c r="L7298" t="s">
        <v>35982</v>
      </c>
      <c r="M7298" t="s">
        <v>35983</v>
      </c>
      <c r="O7298" t="s">
        <v>26</v>
      </c>
      <c r="Q7298">
        <v>80</v>
      </c>
      <c r="R7298">
        <v>64</v>
      </c>
      <c r="S7298">
        <v>96</v>
      </c>
      <c r="T7298" t="s">
        <v>35984</v>
      </c>
    </row>
    <row r="7299" spans="1:20">
      <c r="A7299">
        <v>4671187</v>
      </c>
      <c r="B7299" t="s">
        <v>35985</v>
      </c>
      <c r="C7299" t="str">
        <f>"9780802038371"</f>
        <v>9780802038371</v>
      </c>
      <c r="D7299" t="str">
        <f>"9781442670860"</f>
        <v>9781442670860</v>
      </c>
      <c r="E7299" t="s">
        <v>31435</v>
      </c>
      <c r="F7299" t="s">
        <v>31435</v>
      </c>
      <c r="G7299" s="1">
        <v>38353</v>
      </c>
      <c r="H7299">
        <v>2</v>
      </c>
      <c r="I7299" t="s">
        <v>34543</v>
      </c>
      <c r="J7299" t="s">
        <v>35986</v>
      </c>
      <c r="K7299" t="s">
        <v>1464</v>
      </c>
      <c r="L7299" t="s">
        <v>35987</v>
      </c>
      <c r="M7299" t="s">
        <v>35988</v>
      </c>
      <c r="O7299" t="s">
        <v>26</v>
      </c>
      <c r="Q7299">
        <v>110</v>
      </c>
      <c r="R7299">
        <v>88</v>
      </c>
      <c r="S7299">
        <v>132</v>
      </c>
      <c r="T7299" t="s">
        <v>35989</v>
      </c>
    </row>
    <row r="7300" spans="1:20">
      <c r="A7300">
        <v>4671189</v>
      </c>
      <c r="B7300" t="s">
        <v>35990</v>
      </c>
      <c r="C7300" t="str">
        <f>"9780802036896"</f>
        <v>9780802036896</v>
      </c>
      <c r="D7300" t="str">
        <f>"9781442670891"</f>
        <v>9781442670891</v>
      </c>
      <c r="E7300" t="s">
        <v>31435</v>
      </c>
      <c r="F7300" t="s">
        <v>31435</v>
      </c>
      <c r="G7300" s="1">
        <v>37622</v>
      </c>
      <c r="J7300" t="s">
        <v>15302</v>
      </c>
      <c r="K7300" t="s">
        <v>1550</v>
      </c>
      <c r="L7300" t="s">
        <v>35991</v>
      </c>
      <c r="M7300" t="s">
        <v>35992</v>
      </c>
      <c r="O7300" t="s">
        <v>26</v>
      </c>
      <c r="Q7300">
        <v>115</v>
      </c>
      <c r="R7300">
        <v>92</v>
      </c>
      <c r="S7300">
        <v>138</v>
      </c>
      <c r="T7300" t="s">
        <v>35993</v>
      </c>
    </row>
    <row r="7301" spans="1:20">
      <c r="A7301">
        <v>4671191</v>
      </c>
      <c r="B7301" t="s">
        <v>35994</v>
      </c>
      <c r="C7301" t="str">
        <f>"9780802090423"</f>
        <v>9780802090423</v>
      </c>
      <c r="D7301" t="str">
        <f>"9781442670914"</f>
        <v>9781442670914</v>
      </c>
      <c r="E7301" t="s">
        <v>31435</v>
      </c>
      <c r="F7301" t="s">
        <v>31435</v>
      </c>
      <c r="G7301" s="1">
        <v>41773</v>
      </c>
      <c r="J7301" t="s">
        <v>35995</v>
      </c>
      <c r="K7301" t="s">
        <v>1892</v>
      </c>
      <c r="L7301" t="s">
        <v>35996</v>
      </c>
      <c r="M7301">
        <v>266.30919999999998</v>
      </c>
      <c r="O7301" t="s">
        <v>26</v>
      </c>
      <c r="Q7301">
        <v>140</v>
      </c>
      <c r="R7301">
        <v>112</v>
      </c>
      <c r="S7301">
        <v>168</v>
      </c>
      <c r="T7301" t="s">
        <v>35997</v>
      </c>
    </row>
    <row r="7302" spans="1:20">
      <c r="A7302">
        <v>4671192</v>
      </c>
      <c r="B7302" t="s">
        <v>35998</v>
      </c>
      <c r="C7302" t="str">
        <f>"9780802091178"</f>
        <v>9780802091178</v>
      </c>
      <c r="D7302" t="str">
        <f>"9781442670938"</f>
        <v>9781442670938</v>
      </c>
      <c r="E7302" t="s">
        <v>31435</v>
      </c>
      <c r="F7302" t="s">
        <v>31435</v>
      </c>
      <c r="G7302" s="1">
        <v>39060</v>
      </c>
      <c r="H7302">
        <v>2</v>
      </c>
      <c r="J7302" t="s">
        <v>35999</v>
      </c>
      <c r="K7302" t="s">
        <v>1892</v>
      </c>
      <c r="L7302" t="s">
        <v>36000</v>
      </c>
      <c r="M7302" t="s">
        <v>36001</v>
      </c>
      <c r="O7302" t="s">
        <v>26</v>
      </c>
      <c r="Q7302">
        <v>131.25</v>
      </c>
      <c r="R7302">
        <v>105</v>
      </c>
      <c r="S7302">
        <v>157.5</v>
      </c>
      <c r="T7302" t="s">
        <v>36002</v>
      </c>
    </row>
    <row r="7303" spans="1:20">
      <c r="A7303">
        <v>4671193</v>
      </c>
      <c r="B7303" t="s">
        <v>36003</v>
      </c>
      <c r="C7303" t="str">
        <f>"9780802044518"</f>
        <v>9780802044518</v>
      </c>
      <c r="D7303" t="str">
        <f>"9781442670945"</f>
        <v>9781442670945</v>
      </c>
      <c r="E7303" t="s">
        <v>31435</v>
      </c>
      <c r="F7303" t="s">
        <v>31435</v>
      </c>
      <c r="G7303" s="1">
        <v>36526</v>
      </c>
      <c r="J7303" t="s">
        <v>36004</v>
      </c>
      <c r="K7303" t="s">
        <v>1464</v>
      </c>
      <c r="L7303" t="s">
        <v>36005</v>
      </c>
      <c r="M7303" t="s">
        <v>36006</v>
      </c>
      <c r="O7303" t="s">
        <v>26</v>
      </c>
      <c r="Q7303">
        <v>107.5</v>
      </c>
      <c r="R7303">
        <v>86</v>
      </c>
      <c r="S7303">
        <v>129</v>
      </c>
      <c r="T7303" t="s">
        <v>36007</v>
      </c>
    </row>
    <row r="7304" spans="1:20">
      <c r="A7304">
        <v>4671194</v>
      </c>
      <c r="B7304" t="s">
        <v>36008</v>
      </c>
      <c r="C7304" t="str">
        <f>"9780802080622"</f>
        <v>9780802080622</v>
      </c>
      <c r="D7304" t="str">
        <f>"9781442670952"</f>
        <v>9781442670952</v>
      </c>
      <c r="E7304" t="s">
        <v>31435</v>
      </c>
      <c r="F7304" t="s">
        <v>31435</v>
      </c>
      <c r="G7304" s="1">
        <v>36161</v>
      </c>
      <c r="J7304" t="s">
        <v>36009</v>
      </c>
      <c r="K7304" t="s">
        <v>525</v>
      </c>
      <c r="L7304" t="s">
        <v>36010</v>
      </c>
      <c r="M7304" t="s">
        <v>36011</v>
      </c>
      <c r="O7304" t="s">
        <v>26</v>
      </c>
      <c r="Q7304">
        <v>151.25</v>
      </c>
      <c r="R7304">
        <v>121</v>
      </c>
      <c r="S7304">
        <v>181.5</v>
      </c>
      <c r="T7304" t="s">
        <v>36012</v>
      </c>
    </row>
    <row r="7305" spans="1:20">
      <c r="A7305">
        <v>4671196</v>
      </c>
      <c r="B7305" t="s">
        <v>36013</v>
      </c>
      <c r="C7305" t="str">
        <f>"9780802088147"</f>
        <v>9780802088147</v>
      </c>
      <c r="D7305" t="str">
        <f>"9781442670976"</f>
        <v>9781442670976</v>
      </c>
      <c r="E7305" t="s">
        <v>31435</v>
      </c>
      <c r="F7305" t="s">
        <v>31435</v>
      </c>
      <c r="G7305" s="1">
        <v>41773</v>
      </c>
      <c r="H7305">
        <v>2</v>
      </c>
      <c r="I7305" t="s">
        <v>33775</v>
      </c>
      <c r="J7305" t="s">
        <v>36014</v>
      </c>
      <c r="K7305" t="s">
        <v>1464</v>
      </c>
      <c r="L7305" t="s">
        <v>36015</v>
      </c>
      <c r="M7305">
        <v>858.30899999999997</v>
      </c>
      <c r="O7305" t="s">
        <v>26</v>
      </c>
      <c r="Q7305">
        <v>115</v>
      </c>
      <c r="R7305">
        <v>92</v>
      </c>
      <c r="S7305">
        <v>138</v>
      </c>
      <c r="T7305" t="s">
        <v>36016</v>
      </c>
    </row>
    <row r="7306" spans="1:20">
      <c r="A7306">
        <v>4671197</v>
      </c>
      <c r="B7306" t="s">
        <v>36017</v>
      </c>
      <c r="C7306" t="str">
        <f>"9780802029676"</f>
        <v>9780802029676</v>
      </c>
      <c r="D7306" t="str">
        <f>"9781442670983"</f>
        <v>9781442670983</v>
      </c>
      <c r="E7306" t="s">
        <v>31435</v>
      </c>
      <c r="F7306" t="s">
        <v>31435</v>
      </c>
      <c r="G7306" s="1">
        <v>37741</v>
      </c>
      <c r="I7306" t="s">
        <v>33775</v>
      </c>
      <c r="J7306" t="s">
        <v>36018</v>
      </c>
      <c r="K7306" t="s">
        <v>1464</v>
      </c>
      <c r="L7306" t="s">
        <v>36019</v>
      </c>
      <c r="M7306" t="s">
        <v>36020</v>
      </c>
      <c r="O7306" t="s">
        <v>26</v>
      </c>
      <c r="Q7306">
        <v>115</v>
      </c>
      <c r="R7306">
        <v>92</v>
      </c>
      <c r="S7306">
        <v>138</v>
      </c>
      <c r="T7306" t="s">
        <v>36021</v>
      </c>
    </row>
    <row r="7307" spans="1:20">
      <c r="A7307">
        <v>4671198</v>
      </c>
      <c r="B7307" t="s">
        <v>36022</v>
      </c>
      <c r="C7307" t="str">
        <f>"9780802047960"</f>
        <v>9780802047960</v>
      </c>
      <c r="D7307" t="str">
        <f>"9781442670990"</f>
        <v>9781442670990</v>
      </c>
      <c r="E7307" t="s">
        <v>31435</v>
      </c>
      <c r="F7307" t="s">
        <v>31435</v>
      </c>
      <c r="G7307" s="1">
        <v>36526</v>
      </c>
      <c r="I7307" t="s">
        <v>33899</v>
      </c>
      <c r="J7307" t="s">
        <v>36023</v>
      </c>
      <c r="K7307" t="s">
        <v>1859</v>
      </c>
      <c r="L7307" t="s">
        <v>36024</v>
      </c>
      <c r="M7307">
        <v>185</v>
      </c>
      <c r="O7307" t="s">
        <v>26</v>
      </c>
      <c r="Q7307">
        <v>143.75</v>
      </c>
      <c r="R7307">
        <v>115</v>
      </c>
      <c r="S7307">
        <v>172.5</v>
      </c>
      <c r="T7307" t="s">
        <v>36025</v>
      </c>
    </row>
    <row r="7308" spans="1:20">
      <c r="A7308">
        <v>4671200</v>
      </c>
      <c r="B7308" t="s">
        <v>36026</v>
      </c>
      <c r="C7308" t="str">
        <f>"9780802058560"</f>
        <v>9780802058560</v>
      </c>
      <c r="D7308" t="str">
        <f>"9781442671010"</f>
        <v>9781442671010</v>
      </c>
      <c r="E7308" t="s">
        <v>31435</v>
      </c>
      <c r="F7308" t="s">
        <v>31435</v>
      </c>
      <c r="G7308" s="1">
        <v>33239</v>
      </c>
      <c r="J7308" t="s">
        <v>36027</v>
      </c>
      <c r="K7308" t="s">
        <v>36028</v>
      </c>
      <c r="L7308" t="s">
        <v>36029</v>
      </c>
      <c r="M7308">
        <v>16</v>
      </c>
      <c r="O7308" t="s">
        <v>26</v>
      </c>
      <c r="Q7308">
        <v>456.25</v>
      </c>
      <c r="R7308">
        <v>365</v>
      </c>
      <c r="S7308">
        <v>547.5</v>
      </c>
      <c r="T7308" t="s">
        <v>36030</v>
      </c>
    </row>
    <row r="7309" spans="1:20">
      <c r="A7309">
        <v>4671201</v>
      </c>
      <c r="B7309" t="s">
        <v>36031</v>
      </c>
      <c r="C7309" t="str">
        <f>"9780802009227"</f>
        <v>9780802009227</v>
      </c>
      <c r="D7309" t="str">
        <f>"9781442671027"</f>
        <v>9781442671027</v>
      </c>
      <c r="E7309" t="s">
        <v>31435</v>
      </c>
      <c r="F7309" t="s">
        <v>31435</v>
      </c>
      <c r="G7309" s="1">
        <v>37257</v>
      </c>
      <c r="J7309" t="s">
        <v>36032</v>
      </c>
      <c r="K7309" t="s">
        <v>1471</v>
      </c>
      <c r="L7309" t="s">
        <v>36033</v>
      </c>
      <c r="M7309" t="s">
        <v>36034</v>
      </c>
      <c r="O7309" t="s">
        <v>26</v>
      </c>
      <c r="Q7309">
        <v>91.25</v>
      </c>
      <c r="R7309">
        <v>73</v>
      </c>
      <c r="S7309">
        <v>109.5</v>
      </c>
      <c r="T7309" t="s">
        <v>36035</v>
      </c>
    </row>
    <row r="7310" spans="1:20">
      <c r="A7310">
        <v>4671202</v>
      </c>
      <c r="B7310" t="s">
        <v>36036</v>
      </c>
      <c r="C7310" t="str">
        <f>"9780802068415"</f>
        <v>9780802068415</v>
      </c>
      <c r="D7310" t="str">
        <f>"9781442671034"</f>
        <v>9781442671034</v>
      </c>
      <c r="E7310" t="s">
        <v>31435</v>
      </c>
      <c r="F7310" t="s">
        <v>31435</v>
      </c>
      <c r="G7310" s="1">
        <v>32883</v>
      </c>
      <c r="H7310">
        <v>2</v>
      </c>
      <c r="J7310" t="s">
        <v>36037</v>
      </c>
      <c r="K7310" t="s">
        <v>1471</v>
      </c>
      <c r="L7310" t="s">
        <v>36038</v>
      </c>
      <c r="M7310">
        <v>707.2</v>
      </c>
      <c r="O7310" t="s">
        <v>26</v>
      </c>
      <c r="Q7310">
        <v>59.94</v>
      </c>
      <c r="R7310">
        <v>47.95</v>
      </c>
      <c r="S7310">
        <v>71.930000000000007</v>
      </c>
      <c r="T7310" t="s">
        <v>36039</v>
      </c>
    </row>
    <row r="7311" spans="1:20">
      <c r="A7311">
        <v>4671203</v>
      </c>
      <c r="B7311" t="s">
        <v>36040</v>
      </c>
      <c r="C7311" t="str">
        <f>"9780802026057"</f>
        <v>9780802026057</v>
      </c>
      <c r="D7311" t="str">
        <f>"9781442671065"</f>
        <v>9781442671065</v>
      </c>
      <c r="E7311" t="s">
        <v>31435</v>
      </c>
      <c r="F7311" t="s">
        <v>31435</v>
      </c>
      <c r="G7311" s="1">
        <v>31851</v>
      </c>
      <c r="J7311" t="s">
        <v>36041</v>
      </c>
      <c r="K7311" t="s">
        <v>4081</v>
      </c>
      <c r="L7311" t="s">
        <v>36042</v>
      </c>
      <c r="M7311" t="s">
        <v>36043</v>
      </c>
      <c r="O7311" t="s">
        <v>26</v>
      </c>
      <c r="Q7311">
        <v>186.25</v>
      </c>
      <c r="R7311">
        <v>149</v>
      </c>
      <c r="S7311">
        <v>223.5</v>
      </c>
      <c r="T7311" t="s">
        <v>36044</v>
      </c>
    </row>
    <row r="7312" spans="1:20">
      <c r="A7312">
        <v>4671207</v>
      </c>
      <c r="B7312" t="s">
        <v>36045</v>
      </c>
      <c r="C7312" t="str">
        <f>"9781442612129"</f>
        <v>9781442612129</v>
      </c>
      <c r="D7312" t="str">
        <f>"9781442671102"</f>
        <v>9781442671102</v>
      </c>
      <c r="E7312" t="s">
        <v>31435</v>
      </c>
      <c r="F7312" t="s">
        <v>31435</v>
      </c>
      <c r="G7312" s="1">
        <v>36379</v>
      </c>
      <c r="I7312" t="s">
        <v>33899</v>
      </c>
      <c r="J7312" t="s">
        <v>36046</v>
      </c>
      <c r="K7312" t="s">
        <v>1859</v>
      </c>
      <c r="L7312" t="s">
        <v>36047</v>
      </c>
      <c r="M7312" t="s">
        <v>36048</v>
      </c>
      <c r="O7312" t="s">
        <v>26</v>
      </c>
      <c r="Q7312">
        <v>123.75</v>
      </c>
      <c r="R7312">
        <v>99</v>
      </c>
      <c r="S7312">
        <v>148.5</v>
      </c>
      <c r="T7312" t="s">
        <v>36049</v>
      </c>
    </row>
    <row r="7313" spans="1:20">
      <c r="A7313">
        <v>4671208</v>
      </c>
      <c r="B7313" t="s">
        <v>36050</v>
      </c>
      <c r="C7313" t="str">
        <f>"9780802059291"</f>
        <v>9780802059291</v>
      </c>
      <c r="D7313" t="str">
        <f>"9781442671119"</f>
        <v>9781442671119</v>
      </c>
      <c r="E7313" t="s">
        <v>31435</v>
      </c>
      <c r="F7313" t="s">
        <v>31435</v>
      </c>
      <c r="G7313" s="1">
        <v>33604</v>
      </c>
      <c r="J7313" t="s">
        <v>36051</v>
      </c>
      <c r="K7313" t="s">
        <v>1471</v>
      </c>
      <c r="L7313" t="s">
        <v>36052</v>
      </c>
      <c r="M7313" t="s">
        <v>36053</v>
      </c>
      <c r="O7313" t="s">
        <v>26</v>
      </c>
      <c r="Q7313">
        <v>111.25</v>
      </c>
      <c r="R7313">
        <v>89</v>
      </c>
      <c r="S7313">
        <v>133.5</v>
      </c>
      <c r="T7313" t="s">
        <v>36054</v>
      </c>
    </row>
    <row r="7314" spans="1:20">
      <c r="A7314">
        <v>4671209</v>
      </c>
      <c r="B7314" t="s">
        <v>36055</v>
      </c>
      <c r="C7314" t="str">
        <f>"9780802067937"</f>
        <v>9780802067937</v>
      </c>
      <c r="D7314" t="str">
        <f>"9781442671126"</f>
        <v>9781442671126</v>
      </c>
      <c r="E7314" t="s">
        <v>31435</v>
      </c>
      <c r="F7314" t="s">
        <v>31435</v>
      </c>
      <c r="G7314" s="1">
        <v>33970</v>
      </c>
      <c r="H7314">
        <v>2</v>
      </c>
      <c r="J7314" t="s">
        <v>36056</v>
      </c>
      <c r="K7314" t="s">
        <v>1892</v>
      </c>
      <c r="L7314" t="s">
        <v>36057</v>
      </c>
      <c r="M7314">
        <v>289.89999999999901</v>
      </c>
      <c r="O7314" t="s">
        <v>26</v>
      </c>
      <c r="Q7314">
        <v>59.94</v>
      </c>
      <c r="R7314">
        <v>47.95</v>
      </c>
      <c r="S7314">
        <v>71.930000000000007</v>
      </c>
      <c r="T7314" t="s">
        <v>36058</v>
      </c>
    </row>
    <row r="7315" spans="1:20">
      <c r="A7315">
        <v>4671210</v>
      </c>
      <c r="B7315" t="s">
        <v>36059</v>
      </c>
      <c r="C7315" t="str">
        <f>"9780802079985"</f>
        <v>9780802079985</v>
      </c>
      <c r="D7315" t="str">
        <f>"9781442671133"</f>
        <v>9781442671133</v>
      </c>
      <c r="E7315" t="s">
        <v>31435</v>
      </c>
      <c r="F7315" t="s">
        <v>31435</v>
      </c>
      <c r="G7315" s="1">
        <v>37987</v>
      </c>
      <c r="H7315">
        <v>2</v>
      </c>
      <c r="J7315" t="s">
        <v>36060</v>
      </c>
      <c r="K7315" t="s">
        <v>36061</v>
      </c>
      <c r="L7315" t="s">
        <v>36062</v>
      </c>
      <c r="M7315">
        <v>1.2</v>
      </c>
      <c r="O7315" t="s">
        <v>26</v>
      </c>
      <c r="Q7315">
        <v>110</v>
      </c>
      <c r="R7315">
        <v>88</v>
      </c>
      <c r="S7315">
        <v>132</v>
      </c>
      <c r="T7315" t="s">
        <v>36063</v>
      </c>
    </row>
    <row r="7316" spans="1:20">
      <c r="A7316">
        <v>4671211</v>
      </c>
      <c r="B7316" t="s">
        <v>36064</v>
      </c>
      <c r="C7316" t="str">
        <f>"9780802083494"</f>
        <v>9780802083494</v>
      </c>
      <c r="D7316" t="str">
        <f>"9781442671140"</f>
        <v>9781442671140</v>
      </c>
      <c r="E7316" t="s">
        <v>31435</v>
      </c>
      <c r="F7316" t="s">
        <v>31435</v>
      </c>
      <c r="G7316" s="1">
        <v>36892</v>
      </c>
      <c r="J7316" t="s">
        <v>36065</v>
      </c>
      <c r="K7316" t="s">
        <v>2260</v>
      </c>
      <c r="L7316" t="s">
        <v>36066</v>
      </c>
      <c r="M7316" t="s">
        <v>36067</v>
      </c>
      <c r="O7316" t="s">
        <v>26</v>
      </c>
      <c r="Q7316">
        <v>115</v>
      </c>
      <c r="R7316">
        <v>92</v>
      </c>
      <c r="S7316">
        <v>138</v>
      </c>
      <c r="T7316" t="s">
        <v>36068</v>
      </c>
    </row>
    <row r="7317" spans="1:20">
      <c r="A7317">
        <v>4671212</v>
      </c>
      <c r="B7317" t="s">
        <v>36069</v>
      </c>
      <c r="C7317" t="str">
        <f>"9780802076434"</f>
        <v>9780802076434</v>
      </c>
      <c r="D7317" t="str">
        <f>"9781442671157"</f>
        <v>9781442671157</v>
      </c>
      <c r="E7317" t="s">
        <v>31435</v>
      </c>
      <c r="F7317" t="s">
        <v>31435</v>
      </c>
      <c r="G7317" s="1">
        <v>35431</v>
      </c>
      <c r="H7317">
        <v>2</v>
      </c>
      <c r="J7317" t="s">
        <v>36070</v>
      </c>
      <c r="K7317" t="s">
        <v>263</v>
      </c>
      <c r="L7317" t="s">
        <v>36071</v>
      </c>
      <c r="M7317" t="s">
        <v>36072</v>
      </c>
      <c r="O7317" t="s">
        <v>26</v>
      </c>
      <c r="Q7317">
        <v>107.5</v>
      </c>
      <c r="R7317">
        <v>86</v>
      </c>
      <c r="S7317">
        <v>129</v>
      </c>
      <c r="T7317" t="s">
        <v>36073</v>
      </c>
    </row>
    <row r="7318" spans="1:20">
      <c r="A7318">
        <v>4671213</v>
      </c>
      <c r="B7318" t="s">
        <v>36074</v>
      </c>
      <c r="C7318" t="str">
        <f>"9780802027764"</f>
        <v>9780802027764</v>
      </c>
      <c r="D7318" t="str">
        <f>"9781442671164"</f>
        <v>9781442671164</v>
      </c>
      <c r="E7318" t="s">
        <v>31435</v>
      </c>
      <c r="F7318" t="s">
        <v>31435</v>
      </c>
      <c r="G7318" s="1">
        <v>33359</v>
      </c>
      <c r="J7318" t="s">
        <v>36075</v>
      </c>
      <c r="K7318" t="s">
        <v>1464</v>
      </c>
      <c r="L7318" t="s">
        <v>36076</v>
      </c>
      <c r="M7318">
        <v>843.7</v>
      </c>
      <c r="O7318" t="s">
        <v>26</v>
      </c>
      <c r="Q7318">
        <v>86.25</v>
      </c>
      <c r="R7318">
        <v>69</v>
      </c>
      <c r="S7318">
        <v>103.5</v>
      </c>
      <c r="T7318" t="s">
        <v>36077</v>
      </c>
    </row>
    <row r="7319" spans="1:20">
      <c r="A7319">
        <v>4671214</v>
      </c>
      <c r="B7319" t="s">
        <v>36078</v>
      </c>
      <c r="C7319" t="str">
        <f>"9780802079411"</f>
        <v>9780802079411</v>
      </c>
      <c r="D7319" t="str">
        <f>"9781442671171"</f>
        <v>9781442671171</v>
      </c>
      <c r="E7319" t="s">
        <v>31435</v>
      </c>
      <c r="F7319" t="s">
        <v>31435</v>
      </c>
      <c r="G7319" s="1">
        <v>35065</v>
      </c>
      <c r="I7319" t="s">
        <v>31443</v>
      </c>
      <c r="J7319" t="s">
        <v>36079</v>
      </c>
      <c r="K7319" t="s">
        <v>1464</v>
      </c>
      <c r="L7319" t="s">
        <v>36080</v>
      </c>
      <c r="M7319">
        <v>872.01</v>
      </c>
      <c r="O7319" t="s">
        <v>26</v>
      </c>
      <c r="Q7319">
        <v>59.94</v>
      </c>
      <c r="R7319">
        <v>47.95</v>
      </c>
      <c r="S7319">
        <v>71.930000000000007</v>
      </c>
      <c r="T7319" t="s">
        <v>36081</v>
      </c>
    </row>
    <row r="7320" spans="1:20">
      <c r="A7320">
        <v>4671215</v>
      </c>
      <c r="B7320" t="s">
        <v>36082</v>
      </c>
      <c r="C7320" t="str">
        <f>"9780802069801"</f>
        <v>9780802069801</v>
      </c>
      <c r="D7320" t="str">
        <f>"9781442671188"</f>
        <v>9781442671188</v>
      </c>
      <c r="E7320" t="s">
        <v>31435</v>
      </c>
      <c r="F7320" t="s">
        <v>31435</v>
      </c>
      <c r="G7320" s="1">
        <v>34335</v>
      </c>
      <c r="H7320">
        <v>2</v>
      </c>
      <c r="J7320" t="s">
        <v>36083</v>
      </c>
      <c r="K7320" t="s">
        <v>4403</v>
      </c>
      <c r="L7320" t="s">
        <v>36084</v>
      </c>
      <c r="M7320" t="s">
        <v>36085</v>
      </c>
      <c r="O7320" t="s">
        <v>26</v>
      </c>
      <c r="Q7320">
        <v>59.94</v>
      </c>
      <c r="R7320">
        <v>47.95</v>
      </c>
      <c r="S7320">
        <v>71.930000000000007</v>
      </c>
      <c r="T7320" t="s">
        <v>36086</v>
      </c>
    </row>
    <row r="7321" spans="1:20">
      <c r="A7321">
        <v>4671216</v>
      </c>
      <c r="B7321" t="s">
        <v>36087</v>
      </c>
      <c r="C7321" t="str">
        <f>"9780802036124"</f>
        <v>9780802036124</v>
      </c>
      <c r="D7321" t="str">
        <f>"9781442671195"</f>
        <v>9781442671195</v>
      </c>
      <c r="E7321" t="s">
        <v>31435</v>
      </c>
      <c r="F7321" t="s">
        <v>31435</v>
      </c>
      <c r="G7321" s="1">
        <v>37622</v>
      </c>
      <c r="J7321" t="s">
        <v>36088</v>
      </c>
      <c r="K7321" t="s">
        <v>1464</v>
      </c>
      <c r="L7321" t="s">
        <v>36089</v>
      </c>
      <c r="M7321" t="s">
        <v>36090</v>
      </c>
      <c r="O7321" t="s">
        <v>26</v>
      </c>
      <c r="Q7321">
        <v>100</v>
      </c>
      <c r="R7321">
        <v>80</v>
      </c>
      <c r="S7321">
        <v>120</v>
      </c>
      <c r="T7321" t="s">
        <v>36091</v>
      </c>
    </row>
    <row r="7322" spans="1:20">
      <c r="A7322">
        <v>4671217</v>
      </c>
      <c r="B7322" t="s">
        <v>36092</v>
      </c>
      <c r="C7322" t="str">
        <f>"9780802078407"</f>
        <v>9780802078407</v>
      </c>
      <c r="D7322" t="str">
        <f>"9781442671201"</f>
        <v>9781442671201</v>
      </c>
      <c r="E7322" t="s">
        <v>31435</v>
      </c>
      <c r="F7322" t="s">
        <v>31435</v>
      </c>
      <c r="G7322" s="1">
        <v>35431</v>
      </c>
      <c r="J7322" t="s">
        <v>20739</v>
      </c>
      <c r="K7322" t="s">
        <v>291</v>
      </c>
      <c r="L7322" t="s">
        <v>36093</v>
      </c>
      <c r="M7322" t="s">
        <v>36094</v>
      </c>
      <c r="O7322" t="s">
        <v>26</v>
      </c>
      <c r="Q7322">
        <v>59.94</v>
      </c>
      <c r="R7322">
        <v>47.95</v>
      </c>
      <c r="S7322">
        <v>71.930000000000007</v>
      </c>
      <c r="T7322" t="s">
        <v>36095</v>
      </c>
    </row>
    <row r="7323" spans="1:20">
      <c r="A7323">
        <v>4671219</v>
      </c>
      <c r="B7323" t="s">
        <v>36096</v>
      </c>
      <c r="C7323" t="str">
        <f>"9780802037220"</f>
        <v>9780802037220</v>
      </c>
      <c r="D7323" t="str">
        <f>"9781442671225"</f>
        <v>9781442671225</v>
      </c>
      <c r="E7323" t="s">
        <v>31435</v>
      </c>
      <c r="F7323" t="s">
        <v>31435</v>
      </c>
      <c r="G7323" s="1">
        <v>37982</v>
      </c>
      <c r="J7323" t="s">
        <v>36097</v>
      </c>
      <c r="K7323" t="s">
        <v>1464</v>
      </c>
      <c r="L7323" t="s">
        <v>36098</v>
      </c>
      <c r="M7323" t="s">
        <v>36099</v>
      </c>
      <c r="O7323" t="s">
        <v>26</v>
      </c>
      <c r="Q7323">
        <v>115</v>
      </c>
      <c r="R7323">
        <v>92</v>
      </c>
      <c r="S7323">
        <v>138</v>
      </c>
      <c r="T7323" t="s">
        <v>36100</v>
      </c>
    </row>
    <row r="7324" spans="1:20">
      <c r="A7324">
        <v>4671220</v>
      </c>
      <c r="B7324" t="s">
        <v>36101</v>
      </c>
      <c r="C7324" t="str">
        <f>"9780802035882"</f>
        <v>9780802035882</v>
      </c>
      <c r="D7324" t="str">
        <f>"9781442671232"</f>
        <v>9781442671232</v>
      </c>
      <c r="E7324" t="s">
        <v>31435</v>
      </c>
      <c r="F7324" t="s">
        <v>31435</v>
      </c>
      <c r="G7324" s="1">
        <v>37257</v>
      </c>
      <c r="J7324" t="s">
        <v>36102</v>
      </c>
      <c r="K7324" t="s">
        <v>1471</v>
      </c>
      <c r="L7324" t="s">
        <v>36103</v>
      </c>
      <c r="M7324" t="s">
        <v>36104</v>
      </c>
      <c r="O7324" t="s">
        <v>26</v>
      </c>
      <c r="Q7324">
        <v>115</v>
      </c>
      <c r="R7324">
        <v>92</v>
      </c>
      <c r="S7324">
        <v>138</v>
      </c>
      <c r="T7324" t="s">
        <v>36105</v>
      </c>
    </row>
    <row r="7325" spans="1:20">
      <c r="A7325">
        <v>4671221</v>
      </c>
      <c r="B7325" t="s">
        <v>36106</v>
      </c>
      <c r="C7325" t="str">
        <f>"9780969969105"</f>
        <v>9780969969105</v>
      </c>
      <c r="D7325" t="str">
        <f>"9781442671249"</f>
        <v>9781442671249</v>
      </c>
      <c r="E7325" t="s">
        <v>31435</v>
      </c>
      <c r="F7325" t="s">
        <v>31435</v>
      </c>
      <c r="G7325" s="1">
        <v>41773</v>
      </c>
      <c r="I7325" t="s">
        <v>36107</v>
      </c>
      <c r="J7325" t="s">
        <v>36108</v>
      </c>
      <c r="K7325" t="s">
        <v>305</v>
      </c>
      <c r="M7325">
        <v>382</v>
      </c>
      <c r="O7325" t="s">
        <v>26</v>
      </c>
      <c r="Q7325">
        <v>59.94</v>
      </c>
      <c r="R7325">
        <v>47.95</v>
      </c>
      <c r="S7325">
        <v>71.930000000000007</v>
      </c>
      <c r="T7325" t="s">
        <v>36109</v>
      </c>
    </row>
    <row r="7326" spans="1:20">
      <c r="A7326">
        <v>4671222</v>
      </c>
      <c r="B7326" t="s">
        <v>36110</v>
      </c>
      <c r="C7326" t="str">
        <f>"9781442613195"</f>
        <v>9781442613195</v>
      </c>
      <c r="D7326" t="str">
        <f>"9781442671256"</f>
        <v>9781442671256</v>
      </c>
      <c r="E7326" t="s">
        <v>31435</v>
      </c>
      <c r="F7326" t="s">
        <v>31435</v>
      </c>
      <c r="G7326" s="1">
        <v>37742</v>
      </c>
      <c r="I7326" t="s">
        <v>33775</v>
      </c>
      <c r="J7326" t="s">
        <v>36111</v>
      </c>
      <c r="K7326" t="s">
        <v>7651</v>
      </c>
      <c r="L7326" t="s">
        <v>36112</v>
      </c>
      <c r="M7326">
        <v>945.091092</v>
      </c>
      <c r="O7326" t="s">
        <v>26</v>
      </c>
      <c r="Q7326">
        <v>115</v>
      </c>
      <c r="R7326">
        <v>92</v>
      </c>
      <c r="S7326">
        <v>138</v>
      </c>
      <c r="T7326" t="s">
        <v>36113</v>
      </c>
    </row>
    <row r="7327" spans="1:20">
      <c r="A7327">
        <v>4671223</v>
      </c>
      <c r="B7327" t="s">
        <v>36114</v>
      </c>
      <c r="C7327" t="str">
        <f>"9780802057365"</f>
        <v>9780802057365</v>
      </c>
      <c r="D7327" t="str">
        <f>"9781442671263"</f>
        <v>9781442671263</v>
      </c>
      <c r="E7327" t="s">
        <v>31435</v>
      </c>
      <c r="F7327" t="s">
        <v>31435</v>
      </c>
      <c r="G7327" s="1">
        <v>31778</v>
      </c>
      <c r="I7327" t="s">
        <v>33798</v>
      </c>
      <c r="J7327" t="s">
        <v>36115</v>
      </c>
      <c r="K7327" t="s">
        <v>291</v>
      </c>
      <c r="L7327" t="s">
        <v>36116</v>
      </c>
      <c r="M7327" t="s">
        <v>36117</v>
      </c>
      <c r="O7327" t="s">
        <v>26</v>
      </c>
      <c r="Q7327">
        <v>115</v>
      </c>
      <c r="R7327">
        <v>92</v>
      </c>
      <c r="S7327">
        <v>138</v>
      </c>
      <c r="T7327" t="s">
        <v>36118</v>
      </c>
    </row>
    <row r="7328" spans="1:20">
      <c r="A7328">
        <v>4671224</v>
      </c>
      <c r="B7328" t="s">
        <v>36119</v>
      </c>
      <c r="C7328" t="str">
        <f>"9780802058102"</f>
        <v>9780802058102</v>
      </c>
      <c r="D7328" t="str">
        <f>"9781442671270"</f>
        <v>9781442671270</v>
      </c>
      <c r="E7328" t="s">
        <v>31435</v>
      </c>
      <c r="F7328" t="s">
        <v>31435</v>
      </c>
      <c r="G7328" s="1">
        <v>32509</v>
      </c>
      <c r="H7328">
        <v>74</v>
      </c>
      <c r="I7328" t="s">
        <v>33798</v>
      </c>
      <c r="J7328" t="s">
        <v>36120</v>
      </c>
      <c r="K7328" t="s">
        <v>291</v>
      </c>
      <c r="L7328" t="s">
        <v>36121</v>
      </c>
      <c r="M7328">
        <v>941.00990000000002</v>
      </c>
      <c r="O7328" t="s">
        <v>26</v>
      </c>
      <c r="Q7328">
        <v>143.75</v>
      </c>
      <c r="R7328">
        <v>115</v>
      </c>
      <c r="S7328">
        <v>172.5</v>
      </c>
      <c r="T7328" t="s">
        <v>36122</v>
      </c>
    </row>
    <row r="7329" spans="1:20">
      <c r="A7329">
        <v>4671225</v>
      </c>
      <c r="B7329" t="s">
        <v>36123</v>
      </c>
      <c r="C7329" t="str">
        <f>"9780802029270"</f>
        <v>9780802029270</v>
      </c>
      <c r="D7329" t="str">
        <f>"9781442671287"</f>
        <v>9781442671287</v>
      </c>
      <c r="E7329" t="s">
        <v>31435</v>
      </c>
      <c r="F7329" t="s">
        <v>31435</v>
      </c>
      <c r="G7329" s="1">
        <v>33970</v>
      </c>
      <c r="I7329" t="s">
        <v>33798</v>
      </c>
      <c r="J7329" t="s">
        <v>36124</v>
      </c>
      <c r="K7329" t="s">
        <v>3230</v>
      </c>
      <c r="L7329" t="s">
        <v>36125</v>
      </c>
      <c r="M7329">
        <v>910.4</v>
      </c>
      <c r="O7329" t="s">
        <v>26</v>
      </c>
      <c r="Q7329">
        <v>181.25</v>
      </c>
      <c r="R7329">
        <v>145</v>
      </c>
      <c r="S7329">
        <v>217.5</v>
      </c>
      <c r="T7329" t="s">
        <v>36126</v>
      </c>
    </row>
    <row r="7330" spans="1:20">
      <c r="A7330">
        <v>4671226</v>
      </c>
      <c r="B7330" t="s">
        <v>36127</v>
      </c>
      <c r="C7330" t="str">
        <f>"9780802041371"</f>
        <v>9780802041371</v>
      </c>
      <c r="D7330" t="str">
        <f>"9781442671294"</f>
        <v>9781442671294</v>
      </c>
      <c r="E7330" t="s">
        <v>31435</v>
      </c>
      <c r="F7330" t="s">
        <v>31435</v>
      </c>
      <c r="G7330" s="1">
        <v>35791</v>
      </c>
      <c r="H7330">
        <v>74</v>
      </c>
      <c r="I7330" t="s">
        <v>33798</v>
      </c>
      <c r="J7330" t="s">
        <v>36128</v>
      </c>
      <c r="K7330" t="s">
        <v>3230</v>
      </c>
      <c r="L7330" t="s">
        <v>36129</v>
      </c>
      <c r="M7330">
        <v>910.4</v>
      </c>
      <c r="O7330" t="s">
        <v>26</v>
      </c>
      <c r="Q7330">
        <v>232.5</v>
      </c>
      <c r="R7330">
        <v>186</v>
      </c>
      <c r="S7330">
        <v>279</v>
      </c>
      <c r="T7330" t="s">
        <v>36130</v>
      </c>
    </row>
    <row r="7331" spans="1:20">
      <c r="A7331">
        <v>4671227</v>
      </c>
      <c r="B7331" t="s">
        <v>36131</v>
      </c>
      <c r="C7331" t="str">
        <f>"9780802087287"</f>
        <v>9780802087287</v>
      </c>
      <c r="D7331" t="str">
        <f>"9781442671300"</f>
        <v>9781442671300</v>
      </c>
      <c r="E7331" t="s">
        <v>31435</v>
      </c>
      <c r="F7331" t="s">
        <v>31435</v>
      </c>
      <c r="G7331" s="1">
        <v>41773</v>
      </c>
      <c r="H7331">
        <v>2</v>
      </c>
      <c r="I7331" t="s">
        <v>33798</v>
      </c>
      <c r="J7331" t="s">
        <v>36132</v>
      </c>
      <c r="K7331" t="s">
        <v>291</v>
      </c>
      <c r="L7331" t="s">
        <v>36133</v>
      </c>
      <c r="M7331">
        <v>941.07092399999999</v>
      </c>
      <c r="O7331" t="s">
        <v>26</v>
      </c>
      <c r="Q7331">
        <v>343.75</v>
      </c>
      <c r="R7331">
        <v>275</v>
      </c>
      <c r="S7331">
        <v>412.5</v>
      </c>
      <c r="T7331" t="s">
        <v>36134</v>
      </c>
    </row>
    <row r="7332" spans="1:20">
      <c r="A7332">
        <v>4671228</v>
      </c>
      <c r="B7332" t="s">
        <v>36135</v>
      </c>
      <c r="C7332" t="str">
        <f>"9780802037176"</f>
        <v>9780802037176</v>
      </c>
      <c r="D7332" t="str">
        <f>"9781442671317"</f>
        <v>9781442671317</v>
      </c>
      <c r="E7332" t="s">
        <v>31435</v>
      </c>
      <c r="F7332" t="s">
        <v>31435</v>
      </c>
      <c r="G7332" s="1">
        <v>37926</v>
      </c>
      <c r="I7332" t="s">
        <v>35251</v>
      </c>
      <c r="J7332" t="s">
        <v>36136</v>
      </c>
      <c r="K7332" t="s">
        <v>6444</v>
      </c>
      <c r="L7332" t="s">
        <v>36137</v>
      </c>
      <c r="M7332" t="s">
        <v>27521</v>
      </c>
      <c r="O7332" t="s">
        <v>26</v>
      </c>
      <c r="Q7332">
        <v>91.25</v>
      </c>
      <c r="R7332">
        <v>73</v>
      </c>
      <c r="S7332">
        <v>109.5</v>
      </c>
      <c r="T7332" t="s">
        <v>36138</v>
      </c>
    </row>
    <row r="7333" spans="1:20">
      <c r="A7333">
        <v>4671229</v>
      </c>
      <c r="B7333" t="s">
        <v>36139</v>
      </c>
      <c r="C7333" t="str">
        <f>"9780802078834"</f>
        <v>9780802078834</v>
      </c>
      <c r="D7333" t="str">
        <f>"9781442671324"</f>
        <v>9781442671324</v>
      </c>
      <c r="E7333" t="s">
        <v>31435</v>
      </c>
      <c r="F7333" t="s">
        <v>31435</v>
      </c>
      <c r="G7333" s="1">
        <v>35791</v>
      </c>
      <c r="I7333" t="s">
        <v>31450</v>
      </c>
      <c r="J7333" t="s">
        <v>36140</v>
      </c>
      <c r="K7333" t="s">
        <v>2963</v>
      </c>
      <c r="L7333" t="s">
        <v>36141</v>
      </c>
      <c r="M7333">
        <v>909</v>
      </c>
      <c r="N7333" t="s">
        <v>36142</v>
      </c>
      <c r="O7333" t="s">
        <v>26</v>
      </c>
      <c r="Q7333">
        <v>100</v>
      </c>
      <c r="R7333">
        <v>80</v>
      </c>
      <c r="S7333">
        <v>120</v>
      </c>
      <c r="T7333" t="s">
        <v>36143</v>
      </c>
    </row>
    <row r="7334" spans="1:20">
      <c r="A7334">
        <v>4671230</v>
      </c>
      <c r="B7334" t="s">
        <v>36144</v>
      </c>
      <c r="C7334" t="str">
        <f>"9780802029935"</f>
        <v>9780802029935</v>
      </c>
      <c r="D7334" t="str">
        <f>"9781442671331"</f>
        <v>9781442671331</v>
      </c>
      <c r="E7334" t="s">
        <v>31435</v>
      </c>
      <c r="F7334" t="s">
        <v>31435</v>
      </c>
      <c r="G7334" s="1">
        <v>34711</v>
      </c>
      <c r="H7334">
        <v>2</v>
      </c>
      <c r="J7334" t="s">
        <v>34551</v>
      </c>
      <c r="K7334" t="s">
        <v>3939</v>
      </c>
      <c r="L7334" t="s">
        <v>36145</v>
      </c>
      <c r="M7334" t="s">
        <v>36146</v>
      </c>
      <c r="O7334" t="s">
        <v>26</v>
      </c>
      <c r="Q7334">
        <v>96.25</v>
      </c>
      <c r="R7334">
        <v>77</v>
      </c>
      <c r="S7334">
        <v>115.5</v>
      </c>
      <c r="T7334" t="s">
        <v>36147</v>
      </c>
    </row>
    <row r="7335" spans="1:20">
      <c r="A7335">
        <v>4671231</v>
      </c>
      <c r="B7335" t="s">
        <v>36148</v>
      </c>
      <c r="C7335" t="str">
        <f>"9780802076373"</f>
        <v>9780802076373</v>
      </c>
      <c r="D7335" t="str">
        <f>"9781442671348"</f>
        <v>9781442671348</v>
      </c>
      <c r="E7335" t="s">
        <v>31435</v>
      </c>
      <c r="F7335" t="s">
        <v>31435</v>
      </c>
      <c r="G7335" s="1">
        <v>34820</v>
      </c>
      <c r="H7335">
        <v>2</v>
      </c>
      <c r="J7335" t="s">
        <v>36149</v>
      </c>
      <c r="K7335" t="s">
        <v>416</v>
      </c>
      <c r="L7335" t="s">
        <v>36150</v>
      </c>
      <c r="M7335">
        <v>338.971</v>
      </c>
      <c r="N7335" t="s">
        <v>36151</v>
      </c>
      <c r="O7335" t="s">
        <v>26</v>
      </c>
      <c r="Q7335">
        <v>59.94</v>
      </c>
      <c r="R7335">
        <v>47.95</v>
      </c>
      <c r="S7335">
        <v>71.930000000000007</v>
      </c>
      <c r="T7335" t="s">
        <v>36152</v>
      </c>
    </row>
    <row r="7336" spans="1:20">
      <c r="A7336">
        <v>4671232</v>
      </c>
      <c r="B7336" t="s">
        <v>36153</v>
      </c>
      <c r="C7336" t="str">
        <f>"9781442631434"</f>
        <v>9781442631434</v>
      </c>
      <c r="D7336" t="str">
        <f>"9781442671355"</f>
        <v>9781442671355</v>
      </c>
      <c r="E7336" t="s">
        <v>31435</v>
      </c>
      <c r="F7336" t="s">
        <v>31435</v>
      </c>
      <c r="G7336" s="1">
        <v>30103</v>
      </c>
      <c r="J7336" t="s">
        <v>36154</v>
      </c>
      <c r="K7336" t="s">
        <v>1550</v>
      </c>
      <c r="L7336" t="s">
        <v>36155</v>
      </c>
      <c r="M7336">
        <v>305.89240000000001</v>
      </c>
      <c r="O7336" t="s">
        <v>26</v>
      </c>
      <c r="Q7336">
        <v>71.25</v>
      </c>
      <c r="R7336">
        <v>57</v>
      </c>
      <c r="S7336">
        <v>85.5</v>
      </c>
      <c r="T7336" t="s">
        <v>36156</v>
      </c>
    </row>
    <row r="7337" spans="1:20">
      <c r="A7337">
        <v>4671233</v>
      </c>
      <c r="B7337" t="s">
        <v>36157</v>
      </c>
      <c r="C7337" t="str">
        <f>"9780802047663"</f>
        <v>9780802047663</v>
      </c>
      <c r="D7337" t="str">
        <f>"9781442671362"</f>
        <v>9781442671362</v>
      </c>
      <c r="E7337" t="s">
        <v>31435</v>
      </c>
      <c r="F7337" t="s">
        <v>31435</v>
      </c>
      <c r="G7337" s="1">
        <v>37226</v>
      </c>
      <c r="I7337" t="s">
        <v>35251</v>
      </c>
      <c r="J7337" t="s">
        <v>36158</v>
      </c>
      <c r="K7337" t="s">
        <v>278</v>
      </c>
      <c r="L7337" t="s">
        <v>36159</v>
      </c>
      <c r="M7337" t="s">
        <v>36160</v>
      </c>
      <c r="O7337" t="s">
        <v>26</v>
      </c>
      <c r="Q7337">
        <v>107.5</v>
      </c>
      <c r="R7337">
        <v>86</v>
      </c>
      <c r="S7337">
        <v>129</v>
      </c>
      <c r="T7337" t="s">
        <v>36161</v>
      </c>
    </row>
    <row r="7338" spans="1:20">
      <c r="A7338">
        <v>4671234</v>
      </c>
      <c r="B7338" t="s">
        <v>36162</v>
      </c>
      <c r="C7338" t="str">
        <f>"9780802035400"</f>
        <v>9780802035400</v>
      </c>
      <c r="D7338" t="str">
        <f>"9781442671379"</f>
        <v>9781442671379</v>
      </c>
      <c r="E7338" t="s">
        <v>31435</v>
      </c>
      <c r="F7338" t="s">
        <v>31435</v>
      </c>
      <c r="G7338" s="1">
        <v>37987</v>
      </c>
      <c r="H7338">
        <v>2</v>
      </c>
      <c r="J7338" t="s">
        <v>36163</v>
      </c>
      <c r="K7338" t="s">
        <v>1464</v>
      </c>
      <c r="L7338" t="s">
        <v>36164</v>
      </c>
      <c r="M7338" t="s">
        <v>6312</v>
      </c>
      <c r="O7338" t="s">
        <v>26</v>
      </c>
      <c r="Q7338">
        <v>83.75</v>
      </c>
      <c r="R7338">
        <v>67</v>
      </c>
      <c r="S7338">
        <v>100.5</v>
      </c>
      <c r="T7338" t="s">
        <v>36165</v>
      </c>
    </row>
    <row r="7339" spans="1:20">
      <c r="A7339">
        <v>4671235</v>
      </c>
      <c r="B7339" t="s">
        <v>36166</v>
      </c>
      <c r="C7339" t="str">
        <f>"9780802066503"</f>
        <v>9780802066503</v>
      </c>
      <c r="D7339" t="str">
        <f>"9781442671386"</f>
        <v>9781442671386</v>
      </c>
      <c r="E7339" t="s">
        <v>31435</v>
      </c>
      <c r="F7339" t="s">
        <v>31435</v>
      </c>
      <c r="G7339" s="1">
        <v>32509</v>
      </c>
      <c r="J7339" t="s">
        <v>36167</v>
      </c>
      <c r="K7339" t="s">
        <v>568</v>
      </c>
      <c r="L7339" t="s">
        <v>36168</v>
      </c>
      <c r="M7339" t="s">
        <v>36169</v>
      </c>
      <c r="O7339" t="s">
        <v>26</v>
      </c>
      <c r="Q7339">
        <v>59.94</v>
      </c>
      <c r="R7339">
        <v>47.95</v>
      </c>
      <c r="S7339">
        <v>71.930000000000007</v>
      </c>
      <c r="T7339" t="s">
        <v>36170</v>
      </c>
    </row>
    <row r="7340" spans="1:20">
      <c r="A7340">
        <v>4671237</v>
      </c>
      <c r="B7340" t="s">
        <v>36171</v>
      </c>
      <c r="C7340" t="str">
        <f>"9780802028372"</f>
        <v>9780802028372</v>
      </c>
      <c r="D7340" t="str">
        <f>"9781442671409"</f>
        <v>9781442671409</v>
      </c>
      <c r="E7340" t="s">
        <v>31435</v>
      </c>
      <c r="F7340" t="s">
        <v>31435</v>
      </c>
      <c r="G7340" s="1">
        <v>34670</v>
      </c>
      <c r="H7340">
        <v>3</v>
      </c>
      <c r="J7340" t="s">
        <v>36172</v>
      </c>
      <c r="K7340" t="s">
        <v>7075</v>
      </c>
      <c r="L7340" t="s">
        <v>36173</v>
      </c>
      <c r="M7340">
        <v>16.016971000000002</v>
      </c>
      <c r="O7340" t="s">
        <v>26</v>
      </c>
      <c r="Q7340">
        <v>277.5</v>
      </c>
      <c r="R7340">
        <v>222</v>
      </c>
      <c r="S7340">
        <v>333</v>
      </c>
      <c r="T7340" t="s">
        <v>36174</v>
      </c>
    </row>
    <row r="7341" spans="1:20">
      <c r="A7341">
        <v>4671238</v>
      </c>
      <c r="B7341" t="s">
        <v>36175</v>
      </c>
      <c r="C7341" t="str">
        <f>"9780802027900"</f>
        <v>9780802027900</v>
      </c>
      <c r="D7341" t="str">
        <f>"9781442671416"</f>
        <v>9781442671416</v>
      </c>
      <c r="E7341" t="s">
        <v>31435</v>
      </c>
      <c r="F7341" t="s">
        <v>31435</v>
      </c>
      <c r="G7341" s="1">
        <v>37812</v>
      </c>
      <c r="J7341" t="s">
        <v>36176</v>
      </c>
      <c r="K7341" t="s">
        <v>1471</v>
      </c>
      <c r="L7341" t="s">
        <v>36177</v>
      </c>
      <c r="M7341" t="s">
        <v>36178</v>
      </c>
      <c r="O7341" t="s">
        <v>26</v>
      </c>
      <c r="Q7341">
        <v>172.5</v>
      </c>
      <c r="R7341">
        <v>138</v>
      </c>
      <c r="S7341">
        <v>207</v>
      </c>
      <c r="T7341" t="s">
        <v>36179</v>
      </c>
    </row>
    <row r="7342" spans="1:20">
      <c r="A7342">
        <v>4671239</v>
      </c>
      <c r="B7342" t="s">
        <v>36180</v>
      </c>
      <c r="C7342" t="str">
        <f>"9780802069047"</f>
        <v>9780802069047</v>
      </c>
      <c r="D7342" t="str">
        <f>"9781442671423"</f>
        <v>9781442671423</v>
      </c>
      <c r="E7342" t="s">
        <v>31435</v>
      </c>
      <c r="F7342" t="s">
        <v>31435</v>
      </c>
      <c r="G7342" s="1">
        <v>34700</v>
      </c>
      <c r="H7342">
        <v>2</v>
      </c>
      <c r="J7342" t="s">
        <v>36181</v>
      </c>
      <c r="K7342" t="s">
        <v>23</v>
      </c>
      <c r="L7342" t="s">
        <v>36182</v>
      </c>
      <c r="M7342" t="s">
        <v>36183</v>
      </c>
      <c r="O7342" t="s">
        <v>26</v>
      </c>
      <c r="Q7342">
        <v>59.94</v>
      </c>
      <c r="R7342">
        <v>47.95</v>
      </c>
      <c r="S7342">
        <v>71.930000000000007</v>
      </c>
      <c r="T7342" t="s">
        <v>36184</v>
      </c>
    </row>
    <row r="7343" spans="1:20">
      <c r="A7343">
        <v>4671242</v>
      </c>
      <c r="B7343" t="s">
        <v>36185</v>
      </c>
      <c r="C7343" t="str">
        <f>"9780802085160"</f>
        <v>9780802085160</v>
      </c>
      <c r="D7343" t="str">
        <f>"9781442671461"</f>
        <v>9781442671461</v>
      </c>
      <c r="E7343" t="s">
        <v>31435</v>
      </c>
      <c r="F7343" t="s">
        <v>31435</v>
      </c>
      <c r="G7343" s="1">
        <v>37257</v>
      </c>
      <c r="J7343" t="s">
        <v>36186</v>
      </c>
      <c r="K7343" t="s">
        <v>10339</v>
      </c>
      <c r="L7343" t="s">
        <v>36187</v>
      </c>
      <c r="M7343" t="s">
        <v>36188</v>
      </c>
      <c r="O7343" t="s">
        <v>26</v>
      </c>
      <c r="Q7343">
        <v>71.25</v>
      </c>
      <c r="R7343">
        <v>57</v>
      </c>
      <c r="S7343">
        <v>85.5</v>
      </c>
      <c r="T7343" t="s">
        <v>36189</v>
      </c>
    </row>
    <row r="7344" spans="1:20">
      <c r="A7344">
        <v>4671243</v>
      </c>
      <c r="B7344" t="s">
        <v>36190</v>
      </c>
      <c r="C7344" t="str">
        <f>"9780802073525"</f>
        <v>9780802073525</v>
      </c>
      <c r="D7344" t="str">
        <f>"9781442671478"</f>
        <v>9781442671478</v>
      </c>
      <c r="E7344" t="s">
        <v>31435</v>
      </c>
      <c r="F7344" t="s">
        <v>31435</v>
      </c>
      <c r="G7344" s="1">
        <v>34335</v>
      </c>
      <c r="H7344">
        <v>2</v>
      </c>
      <c r="J7344" t="s">
        <v>36191</v>
      </c>
      <c r="K7344" t="s">
        <v>14194</v>
      </c>
      <c r="L7344" t="s">
        <v>36192</v>
      </c>
      <c r="M7344" t="s">
        <v>36072</v>
      </c>
      <c r="O7344" t="s">
        <v>26</v>
      </c>
      <c r="Q7344">
        <v>59.94</v>
      </c>
      <c r="R7344">
        <v>47.95</v>
      </c>
      <c r="S7344">
        <v>71.930000000000007</v>
      </c>
      <c r="T7344" t="s">
        <v>36193</v>
      </c>
    </row>
    <row r="7345" spans="1:20">
      <c r="A7345">
        <v>4671245</v>
      </c>
      <c r="B7345" t="s">
        <v>36194</v>
      </c>
      <c r="C7345" t="str">
        <f>"9780802076564"</f>
        <v>9780802076564</v>
      </c>
      <c r="D7345" t="str">
        <f>"9781442671492"</f>
        <v>9781442671492</v>
      </c>
      <c r="E7345" t="s">
        <v>31435</v>
      </c>
      <c r="F7345" t="s">
        <v>31435</v>
      </c>
      <c r="G7345" s="1">
        <v>35431</v>
      </c>
      <c r="I7345" t="s">
        <v>35710</v>
      </c>
      <c r="J7345" t="s">
        <v>36195</v>
      </c>
      <c r="K7345" t="s">
        <v>1464</v>
      </c>
      <c r="L7345" t="s">
        <v>36196</v>
      </c>
      <c r="M7345" t="s">
        <v>36197</v>
      </c>
      <c r="O7345" t="s">
        <v>26</v>
      </c>
      <c r="Q7345">
        <v>107.5</v>
      </c>
      <c r="R7345">
        <v>86</v>
      </c>
      <c r="S7345">
        <v>129</v>
      </c>
      <c r="T7345" t="s">
        <v>36198</v>
      </c>
    </row>
    <row r="7346" spans="1:20">
      <c r="A7346">
        <v>4671246</v>
      </c>
      <c r="B7346" t="s">
        <v>36199</v>
      </c>
      <c r="C7346" t="str">
        <f>"9780802059413"</f>
        <v>9780802059413</v>
      </c>
      <c r="D7346" t="str">
        <f>"9781442671508"</f>
        <v>9781442671508</v>
      </c>
      <c r="E7346" t="s">
        <v>31435</v>
      </c>
      <c r="F7346" t="s">
        <v>31435</v>
      </c>
      <c r="G7346" s="1">
        <v>33572</v>
      </c>
      <c r="J7346" t="s">
        <v>36200</v>
      </c>
      <c r="K7346" t="s">
        <v>2260</v>
      </c>
      <c r="L7346" t="s">
        <v>36201</v>
      </c>
      <c r="M7346">
        <v>617.29999999999905</v>
      </c>
      <c r="O7346" t="s">
        <v>26</v>
      </c>
      <c r="Q7346">
        <v>227.5</v>
      </c>
      <c r="R7346">
        <v>182</v>
      </c>
      <c r="S7346">
        <v>273</v>
      </c>
      <c r="T7346" t="s">
        <v>36202</v>
      </c>
    </row>
    <row r="7347" spans="1:20">
      <c r="A7347">
        <v>4671247</v>
      </c>
      <c r="B7347" t="s">
        <v>36203</v>
      </c>
      <c r="C7347" t="str">
        <f>"9781442626188"</f>
        <v>9781442626188</v>
      </c>
      <c r="D7347" t="str">
        <f>"9781442671522"</f>
        <v>9781442671522</v>
      </c>
      <c r="E7347" t="s">
        <v>31435</v>
      </c>
      <c r="F7347" t="s">
        <v>31435</v>
      </c>
      <c r="G7347" s="1">
        <v>41773</v>
      </c>
      <c r="I7347" t="s">
        <v>33881</v>
      </c>
      <c r="J7347" t="s">
        <v>36204</v>
      </c>
      <c r="K7347" t="s">
        <v>525</v>
      </c>
      <c r="M7347">
        <v>347.71035339999997</v>
      </c>
      <c r="O7347" t="s">
        <v>26</v>
      </c>
      <c r="Q7347">
        <v>102.5</v>
      </c>
      <c r="R7347">
        <v>82</v>
      </c>
      <c r="S7347">
        <v>123</v>
      </c>
      <c r="T7347" t="s">
        <v>36205</v>
      </c>
    </row>
    <row r="7348" spans="1:20">
      <c r="A7348">
        <v>4671248</v>
      </c>
      <c r="B7348" t="s">
        <v>36206</v>
      </c>
      <c r="C7348" t="str">
        <f>"9780802041340"</f>
        <v>9780802041340</v>
      </c>
      <c r="D7348" t="str">
        <f>"9781442671539"</f>
        <v>9781442671539</v>
      </c>
      <c r="E7348" t="s">
        <v>31435</v>
      </c>
      <c r="F7348" t="s">
        <v>31435</v>
      </c>
      <c r="G7348" s="1">
        <v>37685</v>
      </c>
      <c r="H7348">
        <v>74</v>
      </c>
      <c r="J7348" t="s">
        <v>36207</v>
      </c>
      <c r="K7348" t="s">
        <v>1464</v>
      </c>
      <c r="L7348" t="s">
        <v>36208</v>
      </c>
      <c r="M7348" t="s">
        <v>1460</v>
      </c>
      <c r="N7348" t="s">
        <v>36209</v>
      </c>
      <c r="O7348" t="s">
        <v>26</v>
      </c>
      <c r="Q7348">
        <v>71.25</v>
      </c>
      <c r="R7348">
        <v>57</v>
      </c>
      <c r="S7348">
        <v>85.5</v>
      </c>
      <c r="T7348" t="s">
        <v>36210</v>
      </c>
    </row>
    <row r="7349" spans="1:20">
      <c r="A7349">
        <v>4671249</v>
      </c>
      <c r="B7349" t="s">
        <v>36211</v>
      </c>
      <c r="C7349" t="str">
        <f>"9780802086716"</f>
        <v>9780802086716</v>
      </c>
      <c r="D7349" t="str">
        <f>"9781442671546"</f>
        <v>9781442671546</v>
      </c>
      <c r="E7349" t="s">
        <v>31435</v>
      </c>
      <c r="F7349" t="s">
        <v>31435</v>
      </c>
      <c r="G7349" s="1">
        <v>41773</v>
      </c>
      <c r="H7349">
        <v>2</v>
      </c>
      <c r="J7349" t="s">
        <v>36212</v>
      </c>
      <c r="K7349" t="s">
        <v>1892</v>
      </c>
      <c r="L7349" t="s">
        <v>36213</v>
      </c>
      <c r="M7349">
        <v>280.40971459999997</v>
      </c>
      <c r="O7349" t="s">
        <v>26</v>
      </c>
      <c r="Q7349">
        <v>140</v>
      </c>
      <c r="R7349">
        <v>112</v>
      </c>
      <c r="S7349">
        <v>168</v>
      </c>
      <c r="T7349" t="s">
        <v>36214</v>
      </c>
    </row>
    <row r="7350" spans="1:20">
      <c r="A7350">
        <v>4671250</v>
      </c>
      <c r="B7350" t="s">
        <v>36215</v>
      </c>
      <c r="C7350" t="str">
        <f>"9780802090188"</f>
        <v>9780802090188</v>
      </c>
      <c r="D7350" t="str">
        <f>"9781442671553"</f>
        <v>9781442671553</v>
      </c>
      <c r="E7350" t="s">
        <v>31435</v>
      </c>
      <c r="F7350" t="s">
        <v>31435</v>
      </c>
      <c r="G7350" s="1">
        <v>41773</v>
      </c>
      <c r="I7350" t="s">
        <v>35029</v>
      </c>
      <c r="J7350" t="s">
        <v>36216</v>
      </c>
      <c r="K7350" t="s">
        <v>1892</v>
      </c>
      <c r="L7350" t="s">
        <v>36217</v>
      </c>
      <c r="M7350">
        <v>212.1</v>
      </c>
      <c r="O7350" t="s">
        <v>26</v>
      </c>
      <c r="Q7350">
        <v>172.5</v>
      </c>
      <c r="R7350">
        <v>138</v>
      </c>
      <c r="S7350">
        <v>207</v>
      </c>
      <c r="T7350" t="s">
        <v>36218</v>
      </c>
    </row>
    <row r="7351" spans="1:20">
      <c r="A7351">
        <v>4671251</v>
      </c>
      <c r="B7351" t="s">
        <v>36219</v>
      </c>
      <c r="C7351" t="str">
        <f>"9781442613034"</f>
        <v>9781442613034</v>
      </c>
      <c r="D7351" t="str">
        <f>"9781442671560"</f>
        <v>9781442671560</v>
      </c>
      <c r="E7351" t="s">
        <v>31435</v>
      </c>
      <c r="F7351" t="s">
        <v>31435</v>
      </c>
      <c r="G7351" s="1">
        <v>35796</v>
      </c>
      <c r="I7351" t="s">
        <v>31443</v>
      </c>
      <c r="J7351" t="s">
        <v>36220</v>
      </c>
      <c r="K7351" t="s">
        <v>1892</v>
      </c>
      <c r="L7351" t="s">
        <v>36221</v>
      </c>
      <c r="M7351">
        <v>274.55104999999901</v>
      </c>
      <c r="O7351" t="s">
        <v>26</v>
      </c>
      <c r="Q7351">
        <v>107.5</v>
      </c>
      <c r="R7351">
        <v>86</v>
      </c>
      <c r="S7351">
        <v>129</v>
      </c>
      <c r="T7351" t="s">
        <v>36222</v>
      </c>
    </row>
    <row r="7352" spans="1:20">
      <c r="A7352">
        <v>4671252</v>
      </c>
      <c r="B7352" t="s">
        <v>36223</v>
      </c>
      <c r="C7352" t="str">
        <f>"9780802029195"</f>
        <v>9780802029195</v>
      </c>
      <c r="D7352" t="str">
        <f>"9781442671577"</f>
        <v>9781442671577</v>
      </c>
      <c r="E7352" t="s">
        <v>31435</v>
      </c>
      <c r="F7352" t="s">
        <v>31435</v>
      </c>
      <c r="G7352" s="1">
        <v>34045</v>
      </c>
      <c r="J7352" t="s">
        <v>36224</v>
      </c>
      <c r="K7352" t="s">
        <v>1892</v>
      </c>
      <c r="L7352" t="s">
        <v>36225</v>
      </c>
      <c r="M7352" t="s">
        <v>36226</v>
      </c>
      <c r="O7352" t="s">
        <v>26</v>
      </c>
      <c r="Q7352">
        <v>71.25</v>
      </c>
      <c r="R7352">
        <v>57</v>
      </c>
      <c r="S7352">
        <v>85.5</v>
      </c>
      <c r="T7352" t="s">
        <v>36227</v>
      </c>
    </row>
    <row r="7353" spans="1:20">
      <c r="A7353">
        <v>4671253</v>
      </c>
      <c r="B7353" t="s">
        <v>36228</v>
      </c>
      <c r="C7353" t="str">
        <f>"9780802036049"</f>
        <v>9780802036049</v>
      </c>
      <c r="D7353" t="str">
        <f>"9781442671584"</f>
        <v>9781442671584</v>
      </c>
      <c r="E7353" t="s">
        <v>31435</v>
      </c>
      <c r="F7353" t="s">
        <v>31435</v>
      </c>
      <c r="G7353" s="1">
        <v>37257</v>
      </c>
      <c r="I7353" t="s">
        <v>33775</v>
      </c>
      <c r="J7353" t="s">
        <v>36229</v>
      </c>
      <c r="K7353" t="s">
        <v>291</v>
      </c>
      <c r="L7353" t="s">
        <v>36230</v>
      </c>
      <c r="M7353">
        <v>945.09199999999896</v>
      </c>
      <c r="O7353" t="s">
        <v>26</v>
      </c>
      <c r="Q7353">
        <v>100</v>
      </c>
      <c r="R7353">
        <v>80</v>
      </c>
      <c r="S7353">
        <v>120</v>
      </c>
      <c r="T7353" t="s">
        <v>36231</v>
      </c>
    </row>
    <row r="7354" spans="1:20">
      <c r="A7354">
        <v>4671254</v>
      </c>
      <c r="B7354" t="s">
        <v>36232</v>
      </c>
      <c r="C7354" t="str">
        <f>"9780802090775"</f>
        <v>9780802090775</v>
      </c>
      <c r="D7354" t="str">
        <f>"9781442671591"</f>
        <v>9781442671591</v>
      </c>
      <c r="E7354" t="s">
        <v>31435</v>
      </c>
      <c r="F7354" t="s">
        <v>31435</v>
      </c>
      <c r="G7354" s="1">
        <v>41773</v>
      </c>
      <c r="J7354" t="s">
        <v>36233</v>
      </c>
      <c r="K7354" t="s">
        <v>263</v>
      </c>
      <c r="L7354" t="s">
        <v>36234</v>
      </c>
      <c r="M7354">
        <v>306.87509540000002</v>
      </c>
      <c r="O7354" t="s">
        <v>26</v>
      </c>
      <c r="Q7354">
        <v>110</v>
      </c>
      <c r="R7354">
        <v>88</v>
      </c>
      <c r="S7354">
        <v>132</v>
      </c>
      <c r="T7354" t="s">
        <v>36235</v>
      </c>
    </row>
    <row r="7355" spans="1:20">
      <c r="A7355">
        <v>4671255</v>
      </c>
      <c r="B7355" t="s">
        <v>36236</v>
      </c>
      <c r="C7355" t="str">
        <f>"9780802088116"</f>
        <v>9780802088116</v>
      </c>
      <c r="D7355" t="str">
        <f>"9781442671607"</f>
        <v>9781442671607</v>
      </c>
      <c r="E7355" t="s">
        <v>31435</v>
      </c>
      <c r="F7355" t="s">
        <v>31435</v>
      </c>
      <c r="G7355" s="1">
        <v>41773</v>
      </c>
      <c r="H7355">
        <v>2</v>
      </c>
      <c r="J7355" t="s">
        <v>36237</v>
      </c>
      <c r="K7355" t="s">
        <v>15517</v>
      </c>
      <c r="L7355" t="s">
        <v>36238</v>
      </c>
      <c r="M7355">
        <v>507.20710000000003</v>
      </c>
      <c r="O7355" t="s">
        <v>26</v>
      </c>
      <c r="Q7355">
        <v>206.25</v>
      </c>
      <c r="R7355">
        <v>165</v>
      </c>
      <c r="S7355">
        <v>247.5</v>
      </c>
      <c r="T7355" t="s">
        <v>36239</v>
      </c>
    </row>
    <row r="7356" spans="1:20">
      <c r="A7356">
        <v>4671256</v>
      </c>
      <c r="B7356" t="s">
        <v>36240</v>
      </c>
      <c r="C7356" t="str">
        <f>"9780802078575"</f>
        <v>9780802078575</v>
      </c>
      <c r="D7356" t="str">
        <f>"9781442671614"</f>
        <v>9781442671614</v>
      </c>
      <c r="E7356" t="s">
        <v>31435</v>
      </c>
      <c r="F7356" t="s">
        <v>31435</v>
      </c>
      <c r="G7356" s="1">
        <v>35065</v>
      </c>
      <c r="J7356" t="s">
        <v>36241</v>
      </c>
      <c r="K7356" t="s">
        <v>416</v>
      </c>
      <c r="L7356" t="s">
        <v>36242</v>
      </c>
      <c r="M7356">
        <v>334</v>
      </c>
      <c r="O7356" t="s">
        <v>26</v>
      </c>
      <c r="Q7356">
        <v>91.25</v>
      </c>
      <c r="R7356">
        <v>73</v>
      </c>
      <c r="S7356">
        <v>109.5</v>
      </c>
      <c r="T7356" t="s">
        <v>36243</v>
      </c>
    </row>
    <row r="7357" spans="1:20">
      <c r="A7357">
        <v>4671257</v>
      </c>
      <c r="B7357" t="s">
        <v>36244</v>
      </c>
      <c r="C7357" t="str">
        <f>"9780802068989"</f>
        <v>9780802068989</v>
      </c>
      <c r="D7357" t="str">
        <f>"9781442671621"</f>
        <v>9781442671621</v>
      </c>
      <c r="E7357" t="s">
        <v>31435</v>
      </c>
      <c r="F7357" t="s">
        <v>31435</v>
      </c>
      <c r="G7357" s="1">
        <v>33359</v>
      </c>
      <c r="H7357">
        <v>2</v>
      </c>
      <c r="J7357" t="s">
        <v>36245</v>
      </c>
      <c r="K7357" t="s">
        <v>4433</v>
      </c>
      <c r="L7357" t="s">
        <v>36246</v>
      </c>
      <c r="M7357">
        <v>354.71039999999903</v>
      </c>
      <c r="O7357" t="s">
        <v>26</v>
      </c>
      <c r="Q7357">
        <v>56.19</v>
      </c>
      <c r="R7357">
        <v>44.95</v>
      </c>
      <c r="S7357">
        <v>67.430000000000007</v>
      </c>
      <c r="T7357" t="s">
        <v>36247</v>
      </c>
    </row>
    <row r="7358" spans="1:20">
      <c r="A7358">
        <v>4671258</v>
      </c>
      <c r="B7358" t="s">
        <v>36248</v>
      </c>
      <c r="C7358" t="str">
        <f>"9780802082091"</f>
        <v>9780802082091</v>
      </c>
      <c r="D7358" t="str">
        <f>"9781442671638"</f>
        <v>9781442671638</v>
      </c>
      <c r="E7358" t="s">
        <v>31435</v>
      </c>
      <c r="F7358" t="s">
        <v>31435</v>
      </c>
      <c r="G7358" s="1">
        <v>36161</v>
      </c>
      <c r="I7358" t="s">
        <v>36249</v>
      </c>
      <c r="J7358" t="s">
        <v>36250</v>
      </c>
      <c r="K7358" t="s">
        <v>416</v>
      </c>
      <c r="L7358" t="s">
        <v>36251</v>
      </c>
      <c r="M7358">
        <v>338.98</v>
      </c>
      <c r="O7358" t="s">
        <v>26</v>
      </c>
      <c r="Q7358">
        <v>100</v>
      </c>
      <c r="R7358">
        <v>80</v>
      </c>
      <c r="S7358">
        <v>120</v>
      </c>
      <c r="T7358" t="s">
        <v>36252</v>
      </c>
    </row>
    <row r="7359" spans="1:20">
      <c r="A7359">
        <v>4671259</v>
      </c>
      <c r="B7359" t="s">
        <v>36253</v>
      </c>
      <c r="C7359" t="str">
        <f>"9780802089427"</f>
        <v>9780802089427</v>
      </c>
      <c r="D7359" t="str">
        <f>"9781442671645"</f>
        <v>9781442671645</v>
      </c>
      <c r="E7359" t="s">
        <v>31435</v>
      </c>
      <c r="F7359" t="s">
        <v>31435</v>
      </c>
      <c r="G7359" s="1">
        <v>41773</v>
      </c>
      <c r="J7359" t="s">
        <v>36254</v>
      </c>
      <c r="K7359" t="s">
        <v>263</v>
      </c>
      <c r="L7359" t="s">
        <v>36255</v>
      </c>
      <c r="M7359">
        <v>305.3</v>
      </c>
      <c r="O7359" t="s">
        <v>26</v>
      </c>
      <c r="Q7359">
        <v>100</v>
      </c>
      <c r="R7359">
        <v>80</v>
      </c>
      <c r="S7359">
        <v>120</v>
      </c>
      <c r="T7359" t="s">
        <v>36256</v>
      </c>
    </row>
    <row r="7360" spans="1:20">
      <c r="A7360">
        <v>4671260</v>
      </c>
      <c r="B7360" t="s">
        <v>36257</v>
      </c>
      <c r="C7360" t="str">
        <f>"9780802038081"</f>
        <v>9780802038081</v>
      </c>
      <c r="D7360" t="str">
        <f>"9781442671669"</f>
        <v>9781442671669</v>
      </c>
      <c r="E7360" t="s">
        <v>31435</v>
      </c>
      <c r="F7360" t="s">
        <v>31435</v>
      </c>
      <c r="G7360" s="1">
        <v>38353</v>
      </c>
      <c r="H7360">
        <v>2</v>
      </c>
      <c r="J7360" t="s">
        <v>36258</v>
      </c>
      <c r="K7360" t="s">
        <v>525</v>
      </c>
      <c r="L7360" t="s">
        <v>36259</v>
      </c>
      <c r="M7360" t="s">
        <v>36260</v>
      </c>
      <c r="O7360" t="s">
        <v>26</v>
      </c>
      <c r="Q7360">
        <v>140</v>
      </c>
      <c r="R7360">
        <v>112</v>
      </c>
      <c r="S7360">
        <v>168</v>
      </c>
      <c r="T7360" t="s">
        <v>36261</v>
      </c>
    </row>
    <row r="7361" spans="1:20">
      <c r="A7361">
        <v>4671262</v>
      </c>
      <c r="B7361" t="s">
        <v>36262</v>
      </c>
      <c r="C7361" t="str">
        <f>"9780802086402"</f>
        <v>9780802086402</v>
      </c>
      <c r="D7361" t="str">
        <f>"9781442671690"</f>
        <v>9781442671690</v>
      </c>
      <c r="E7361" t="s">
        <v>31435</v>
      </c>
      <c r="F7361" t="s">
        <v>31435</v>
      </c>
      <c r="G7361" s="1">
        <v>41773</v>
      </c>
      <c r="H7361">
        <v>2</v>
      </c>
      <c r="J7361" t="s">
        <v>36263</v>
      </c>
      <c r="K7361" t="s">
        <v>263</v>
      </c>
      <c r="L7361" t="s">
        <v>36264</v>
      </c>
      <c r="M7361">
        <v>306.85909709999999</v>
      </c>
      <c r="O7361" t="s">
        <v>26</v>
      </c>
      <c r="Q7361">
        <v>117.5</v>
      </c>
      <c r="R7361">
        <v>94</v>
      </c>
      <c r="S7361">
        <v>141</v>
      </c>
      <c r="T7361" t="s">
        <v>36265</v>
      </c>
    </row>
    <row r="7362" spans="1:20">
      <c r="A7362">
        <v>4671263</v>
      </c>
      <c r="B7362" t="s">
        <v>36266</v>
      </c>
      <c r="C7362" t="str">
        <f>"9780802064172"</f>
        <v>9780802064172</v>
      </c>
      <c r="D7362" t="str">
        <f>"9781442671706"</f>
        <v>9781442671706</v>
      </c>
      <c r="E7362" t="s">
        <v>31435</v>
      </c>
      <c r="F7362" t="s">
        <v>31435</v>
      </c>
      <c r="G7362" s="1">
        <v>29226</v>
      </c>
      <c r="I7362" t="s">
        <v>31443</v>
      </c>
      <c r="J7362" t="s">
        <v>36267</v>
      </c>
      <c r="K7362" t="s">
        <v>9086</v>
      </c>
      <c r="L7362" t="s">
        <v>36268</v>
      </c>
      <c r="M7362" t="s">
        <v>36269</v>
      </c>
      <c r="O7362" t="s">
        <v>26</v>
      </c>
      <c r="Q7362">
        <v>59.94</v>
      </c>
      <c r="R7362">
        <v>47.95</v>
      </c>
      <c r="S7362">
        <v>71.930000000000007</v>
      </c>
      <c r="T7362" t="s">
        <v>36270</v>
      </c>
    </row>
    <row r="7363" spans="1:20">
      <c r="A7363">
        <v>4671265</v>
      </c>
      <c r="B7363" t="s">
        <v>36271</v>
      </c>
      <c r="C7363" t="str">
        <f>"9780802093851"</f>
        <v>9780802093851</v>
      </c>
      <c r="D7363" t="str">
        <f>"9781442671720"</f>
        <v>9781442671720</v>
      </c>
      <c r="E7363" t="s">
        <v>31435</v>
      </c>
      <c r="F7363" t="s">
        <v>31435</v>
      </c>
      <c r="G7363" s="1">
        <v>41773</v>
      </c>
      <c r="J7363" t="s">
        <v>4288</v>
      </c>
      <c r="K7363" t="s">
        <v>291</v>
      </c>
      <c r="L7363" t="s">
        <v>36272</v>
      </c>
      <c r="M7363">
        <v>971.04092200000002</v>
      </c>
      <c r="O7363" t="s">
        <v>26</v>
      </c>
      <c r="Q7363">
        <v>117.5</v>
      </c>
      <c r="R7363">
        <v>94</v>
      </c>
      <c r="S7363">
        <v>141</v>
      </c>
      <c r="T7363" t="s">
        <v>36273</v>
      </c>
    </row>
    <row r="7364" spans="1:20">
      <c r="A7364">
        <v>4671267</v>
      </c>
      <c r="B7364" t="s">
        <v>36274</v>
      </c>
      <c r="C7364" t="str">
        <f>"9781442614994"</f>
        <v>9781442614994</v>
      </c>
      <c r="D7364" t="str">
        <f>"9781442671744"</f>
        <v>9781442671744</v>
      </c>
      <c r="E7364" t="s">
        <v>31435</v>
      </c>
      <c r="F7364" t="s">
        <v>31435</v>
      </c>
      <c r="G7364" s="1">
        <v>33239</v>
      </c>
      <c r="J7364" t="s">
        <v>36275</v>
      </c>
      <c r="K7364" t="s">
        <v>291</v>
      </c>
      <c r="L7364" t="s">
        <v>36276</v>
      </c>
      <c r="M7364" t="s">
        <v>36277</v>
      </c>
      <c r="O7364" t="s">
        <v>26</v>
      </c>
      <c r="Q7364">
        <v>100</v>
      </c>
      <c r="R7364">
        <v>80</v>
      </c>
      <c r="S7364">
        <v>120</v>
      </c>
      <c r="T7364" t="s">
        <v>36278</v>
      </c>
    </row>
    <row r="7365" spans="1:20">
      <c r="A7365">
        <v>4671268</v>
      </c>
      <c r="B7365" t="s">
        <v>36279</v>
      </c>
      <c r="C7365" t="str">
        <f>"9780802011961"</f>
        <v>9780802011961</v>
      </c>
      <c r="D7365" t="str">
        <f>"9781442671751"</f>
        <v>9781442671751</v>
      </c>
      <c r="E7365" t="s">
        <v>31435</v>
      </c>
      <c r="F7365" t="s">
        <v>31435</v>
      </c>
      <c r="G7365" s="1">
        <v>22647</v>
      </c>
      <c r="J7365" t="s">
        <v>36280</v>
      </c>
      <c r="K7365" t="s">
        <v>291</v>
      </c>
      <c r="L7365" t="s">
        <v>36281</v>
      </c>
      <c r="M7365">
        <v>971.06399999999906</v>
      </c>
      <c r="O7365" t="s">
        <v>26</v>
      </c>
      <c r="Q7365">
        <v>93.75</v>
      </c>
      <c r="R7365">
        <v>75</v>
      </c>
      <c r="S7365">
        <v>112.5</v>
      </c>
      <c r="T7365" t="s">
        <v>36282</v>
      </c>
    </row>
    <row r="7366" spans="1:20">
      <c r="A7366">
        <v>4671269</v>
      </c>
      <c r="B7366" t="s">
        <v>36283</v>
      </c>
      <c r="C7366" t="str">
        <f>"9780802012463"</f>
        <v>9780802012463</v>
      </c>
      <c r="D7366" t="str">
        <f>"9781442671768"</f>
        <v>9781442671768</v>
      </c>
      <c r="E7366" t="s">
        <v>31435</v>
      </c>
      <c r="F7366" t="s">
        <v>31435</v>
      </c>
      <c r="G7366" s="1">
        <v>23012</v>
      </c>
      <c r="J7366" t="s">
        <v>36280</v>
      </c>
      <c r="K7366" t="s">
        <v>291</v>
      </c>
      <c r="L7366" t="s">
        <v>36284</v>
      </c>
      <c r="M7366">
        <v>971.06399999999906</v>
      </c>
      <c r="O7366" t="s">
        <v>26</v>
      </c>
      <c r="Q7366">
        <v>93.75</v>
      </c>
      <c r="R7366">
        <v>75</v>
      </c>
      <c r="S7366">
        <v>112.5</v>
      </c>
      <c r="T7366" t="s">
        <v>36285</v>
      </c>
    </row>
    <row r="7367" spans="1:20">
      <c r="A7367">
        <v>4671270</v>
      </c>
      <c r="B7367" t="s">
        <v>36286</v>
      </c>
      <c r="C7367" t="str">
        <f>"9780802012890"</f>
        <v>9780802012890</v>
      </c>
      <c r="D7367" t="str">
        <f>"9781442671775"</f>
        <v>9781442671775</v>
      </c>
      <c r="E7367" t="s">
        <v>31435</v>
      </c>
      <c r="F7367" t="s">
        <v>31435</v>
      </c>
      <c r="G7367" s="1">
        <v>23377</v>
      </c>
      <c r="J7367" t="s">
        <v>36280</v>
      </c>
      <c r="K7367" t="s">
        <v>291</v>
      </c>
      <c r="L7367" t="s">
        <v>36287</v>
      </c>
      <c r="M7367">
        <v>971.06460000000004</v>
      </c>
      <c r="O7367" t="s">
        <v>26</v>
      </c>
      <c r="Q7367">
        <v>93.75</v>
      </c>
      <c r="R7367">
        <v>75</v>
      </c>
      <c r="S7367">
        <v>112.5</v>
      </c>
      <c r="T7367" t="s">
        <v>36288</v>
      </c>
    </row>
    <row r="7368" spans="1:20">
      <c r="A7368">
        <v>4671271</v>
      </c>
      <c r="B7368" t="s">
        <v>36289</v>
      </c>
      <c r="C7368" t="str">
        <f>"9780802013316"</f>
        <v>9780802013316</v>
      </c>
      <c r="D7368" t="str">
        <f>"9781442671782"</f>
        <v>9781442671782</v>
      </c>
      <c r="E7368" t="s">
        <v>31435</v>
      </c>
      <c r="F7368" t="s">
        <v>31435</v>
      </c>
      <c r="G7368" s="1">
        <v>23743</v>
      </c>
      <c r="J7368" t="s">
        <v>36280</v>
      </c>
      <c r="K7368" t="s">
        <v>291</v>
      </c>
      <c r="L7368" t="s">
        <v>36290</v>
      </c>
      <c r="M7368">
        <v>971.06399999999906</v>
      </c>
      <c r="O7368" t="s">
        <v>26</v>
      </c>
      <c r="Q7368">
        <v>93.75</v>
      </c>
      <c r="R7368">
        <v>75</v>
      </c>
      <c r="S7368">
        <v>112.5</v>
      </c>
      <c r="T7368" t="s">
        <v>36291</v>
      </c>
    </row>
    <row r="7369" spans="1:20">
      <c r="A7369">
        <v>4671272</v>
      </c>
      <c r="B7369" t="s">
        <v>36292</v>
      </c>
      <c r="C7369" t="str">
        <f>"9780802014016"</f>
        <v>9780802014016</v>
      </c>
      <c r="D7369" t="str">
        <f>"9781442671799"</f>
        <v>9781442671799</v>
      </c>
      <c r="E7369" t="s">
        <v>31435</v>
      </c>
      <c r="F7369" t="s">
        <v>31435</v>
      </c>
      <c r="G7369" s="1">
        <v>24108</v>
      </c>
      <c r="J7369" t="s">
        <v>36280</v>
      </c>
      <c r="K7369" t="s">
        <v>291</v>
      </c>
      <c r="L7369" t="s">
        <v>36293</v>
      </c>
      <c r="M7369">
        <v>971.06399999999906</v>
      </c>
      <c r="O7369" t="s">
        <v>26</v>
      </c>
      <c r="Q7369">
        <v>93.75</v>
      </c>
      <c r="R7369">
        <v>75</v>
      </c>
      <c r="S7369">
        <v>112.5</v>
      </c>
      <c r="T7369" t="s">
        <v>36294</v>
      </c>
    </row>
    <row r="7370" spans="1:20">
      <c r="A7370">
        <v>4671273</v>
      </c>
      <c r="B7370" t="s">
        <v>36295</v>
      </c>
      <c r="C7370" t="str">
        <f>"9780802014429"</f>
        <v>9780802014429</v>
      </c>
      <c r="D7370" t="str">
        <f>"9781442671805"</f>
        <v>9781442671805</v>
      </c>
      <c r="E7370" t="s">
        <v>31435</v>
      </c>
      <c r="F7370" t="s">
        <v>31435</v>
      </c>
      <c r="G7370" s="1">
        <v>24473</v>
      </c>
      <c r="J7370" t="s">
        <v>36280</v>
      </c>
      <c r="K7370" t="s">
        <v>291</v>
      </c>
      <c r="L7370" t="s">
        <v>36296</v>
      </c>
      <c r="M7370">
        <v>971.06399999999906</v>
      </c>
      <c r="O7370" t="s">
        <v>26</v>
      </c>
      <c r="Q7370">
        <v>93.75</v>
      </c>
      <c r="R7370">
        <v>75</v>
      </c>
      <c r="S7370">
        <v>112.5</v>
      </c>
      <c r="T7370" t="s">
        <v>36297</v>
      </c>
    </row>
    <row r="7371" spans="1:20">
      <c r="A7371">
        <v>4671274</v>
      </c>
      <c r="B7371" t="s">
        <v>36298</v>
      </c>
      <c r="C7371" t="str">
        <f>"9780802015495"</f>
        <v>9780802015495</v>
      </c>
      <c r="D7371" t="str">
        <f>"9781442671812"</f>
        <v>9781442671812</v>
      </c>
      <c r="E7371" t="s">
        <v>31435</v>
      </c>
      <c r="F7371" t="s">
        <v>31435</v>
      </c>
      <c r="G7371" s="1">
        <v>24838</v>
      </c>
      <c r="J7371" t="s">
        <v>36280</v>
      </c>
      <c r="K7371" t="s">
        <v>291</v>
      </c>
      <c r="L7371" t="s">
        <v>36299</v>
      </c>
      <c r="M7371">
        <v>971.06399999999906</v>
      </c>
      <c r="O7371" t="s">
        <v>26</v>
      </c>
      <c r="Q7371">
        <v>93.75</v>
      </c>
      <c r="R7371">
        <v>75</v>
      </c>
      <c r="S7371">
        <v>112.5</v>
      </c>
      <c r="T7371" t="s">
        <v>36300</v>
      </c>
    </row>
    <row r="7372" spans="1:20">
      <c r="A7372">
        <v>4671275</v>
      </c>
      <c r="B7372" t="s">
        <v>36301</v>
      </c>
      <c r="C7372" t="str">
        <f>"9780802016492"</f>
        <v>9780802016492</v>
      </c>
      <c r="D7372" t="str">
        <f>"9781442671829"</f>
        <v>9781442671829</v>
      </c>
      <c r="E7372" t="s">
        <v>31435</v>
      </c>
      <c r="F7372" t="s">
        <v>31435</v>
      </c>
      <c r="G7372" s="1">
        <v>25204</v>
      </c>
      <c r="J7372" t="s">
        <v>36280</v>
      </c>
      <c r="K7372" t="s">
        <v>291</v>
      </c>
      <c r="L7372" t="s">
        <v>36302</v>
      </c>
      <c r="M7372">
        <v>971.06399999999906</v>
      </c>
      <c r="O7372" t="s">
        <v>26</v>
      </c>
      <c r="Q7372">
        <v>93.75</v>
      </c>
      <c r="R7372">
        <v>75</v>
      </c>
      <c r="S7372">
        <v>112.5</v>
      </c>
      <c r="T7372" t="s">
        <v>36303</v>
      </c>
    </row>
    <row r="7373" spans="1:20">
      <c r="A7373">
        <v>4671276</v>
      </c>
      <c r="B7373" t="s">
        <v>36304</v>
      </c>
      <c r="C7373" t="str">
        <f>"9780802017369"</f>
        <v>9780802017369</v>
      </c>
      <c r="D7373" t="str">
        <f>"9781442671836"</f>
        <v>9781442671836</v>
      </c>
      <c r="E7373" t="s">
        <v>31435</v>
      </c>
      <c r="F7373" t="s">
        <v>31435</v>
      </c>
      <c r="G7373" s="1">
        <v>25569</v>
      </c>
      <c r="J7373" t="s">
        <v>36305</v>
      </c>
      <c r="K7373" t="s">
        <v>291</v>
      </c>
      <c r="L7373" t="s">
        <v>36306</v>
      </c>
      <c r="M7373">
        <v>971.06399999999906</v>
      </c>
      <c r="O7373" t="s">
        <v>26</v>
      </c>
      <c r="Q7373">
        <v>93.75</v>
      </c>
      <c r="R7373">
        <v>75</v>
      </c>
      <c r="S7373">
        <v>112.5</v>
      </c>
      <c r="T7373" t="s">
        <v>36307</v>
      </c>
    </row>
    <row r="7374" spans="1:20">
      <c r="A7374">
        <v>4671277</v>
      </c>
      <c r="B7374" t="s">
        <v>36308</v>
      </c>
      <c r="C7374" t="str">
        <f>"9780802018182"</f>
        <v>9780802018182</v>
      </c>
      <c r="D7374" t="str">
        <f>"9781442671843"</f>
        <v>9781442671843</v>
      </c>
      <c r="E7374" t="s">
        <v>31435</v>
      </c>
      <c r="F7374" t="s">
        <v>31435</v>
      </c>
      <c r="G7374" s="1">
        <v>25934</v>
      </c>
      <c r="J7374" t="s">
        <v>36305</v>
      </c>
      <c r="K7374" t="s">
        <v>291</v>
      </c>
      <c r="L7374" t="s">
        <v>36309</v>
      </c>
      <c r="M7374">
        <v>971.06399999999906</v>
      </c>
      <c r="O7374" t="s">
        <v>26</v>
      </c>
      <c r="Q7374">
        <v>93.75</v>
      </c>
      <c r="R7374">
        <v>75</v>
      </c>
      <c r="S7374">
        <v>112.5</v>
      </c>
      <c r="T7374" t="s">
        <v>36310</v>
      </c>
    </row>
    <row r="7375" spans="1:20">
      <c r="A7375">
        <v>4671278</v>
      </c>
      <c r="B7375" t="s">
        <v>36311</v>
      </c>
      <c r="C7375" t="str">
        <f>"9780802018878"</f>
        <v>9780802018878</v>
      </c>
      <c r="D7375" t="str">
        <f>"9781442671850"</f>
        <v>9781442671850</v>
      </c>
      <c r="E7375" t="s">
        <v>31435</v>
      </c>
      <c r="F7375" t="s">
        <v>31435</v>
      </c>
      <c r="G7375" s="1">
        <v>26665</v>
      </c>
      <c r="J7375" t="s">
        <v>36280</v>
      </c>
      <c r="K7375" t="s">
        <v>291</v>
      </c>
      <c r="L7375" t="s">
        <v>36312</v>
      </c>
      <c r="M7375">
        <v>971.06399999999906</v>
      </c>
      <c r="O7375" t="s">
        <v>26</v>
      </c>
      <c r="Q7375">
        <v>93.75</v>
      </c>
      <c r="R7375">
        <v>75</v>
      </c>
      <c r="S7375">
        <v>112.5</v>
      </c>
      <c r="T7375" t="s">
        <v>36313</v>
      </c>
    </row>
    <row r="7376" spans="1:20">
      <c r="A7376">
        <v>4671279</v>
      </c>
      <c r="B7376" t="s">
        <v>36314</v>
      </c>
      <c r="C7376" t="str">
        <f>"9780802019905"</f>
        <v>9780802019905</v>
      </c>
      <c r="D7376" t="str">
        <f>"9781442671867"</f>
        <v>9781442671867</v>
      </c>
      <c r="E7376" t="s">
        <v>31435</v>
      </c>
      <c r="F7376" t="s">
        <v>31435</v>
      </c>
      <c r="G7376" s="1">
        <v>27030</v>
      </c>
      <c r="J7376" t="s">
        <v>36280</v>
      </c>
      <c r="K7376" t="s">
        <v>291</v>
      </c>
      <c r="L7376" t="s">
        <v>36315</v>
      </c>
      <c r="M7376">
        <v>971.06399999999906</v>
      </c>
      <c r="O7376" t="s">
        <v>26</v>
      </c>
      <c r="Q7376">
        <v>93.75</v>
      </c>
      <c r="R7376">
        <v>75</v>
      </c>
      <c r="S7376">
        <v>112.5</v>
      </c>
      <c r="T7376" t="s">
        <v>36316</v>
      </c>
    </row>
    <row r="7377" spans="1:20">
      <c r="A7377">
        <v>4671280</v>
      </c>
      <c r="B7377" t="s">
        <v>36317</v>
      </c>
      <c r="C7377" t="str">
        <f>"9780802021540"</f>
        <v>9780802021540</v>
      </c>
      <c r="D7377" t="str">
        <f>"9781442671874"</f>
        <v>9781442671874</v>
      </c>
      <c r="E7377" t="s">
        <v>31435</v>
      </c>
      <c r="F7377" t="s">
        <v>31435</v>
      </c>
      <c r="G7377" s="1">
        <v>27030</v>
      </c>
      <c r="J7377" t="s">
        <v>36280</v>
      </c>
      <c r="K7377" t="s">
        <v>291</v>
      </c>
      <c r="L7377" t="s">
        <v>36315</v>
      </c>
      <c r="M7377">
        <v>971.06399999999906</v>
      </c>
      <c r="O7377" t="s">
        <v>26</v>
      </c>
      <c r="Q7377">
        <v>93.75</v>
      </c>
      <c r="R7377">
        <v>75</v>
      </c>
      <c r="S7377">
        <v>112.5</v>
      </c>
      <c r="T7377" t="s">
        <v>36318</v>
      </c>
    </row>
    <row r="7378" spans="1:20">
      <c r="A7378">
        <v>4671281</v>
      </c>
      <c r="B7378" t="s">
        <v>36319</v>
      </c>
      <c r="C7378" t="str">
        <f>"9780802021960"</f>
        <v>9780802021960</v>
      </c>
      <c r="D7378" t="str">
        <f>"9781442671881"</f>
        <v>9781442671881</v>
      </c>
      <c r="E7378" t="s">
        <v>31435</v>
      </c>
      <c r="F7378" t="s">
        <v>31435</v>
      </c>
      <c r="G7378" s="1">
        <v>27395</v>
      </c>
      <c r="J7378" t="s">
        <v>36280</v>
      </c>
      <c r="K7378" t="s">
        <v>291</v>
      </c>
      <c r="L7378" t="s">
        <v>36315</v>
      </c>
      <c r="M7378">
        <v>971.06399999999906</v>
      </c>
      <c r="O7378" t="s">
        <v>26</v>
      </c>
      <c r="Q7378">
        <v>93.75</v>
      </c>
      <c r="R7378">
        <v>75</v>
      </c>
      <c r="S7378">
        <v>112.5</v>
      </c>
      <c r="T7378" t="s">
        <v>36320</v>
      </c>
    </row>
    <row r="7379" spans="1:20">
      <c r="A7379">
        <v>4671282</v>
      </c>
      <c r="B7379" t="s">
        <v>36321</v>
      </c>
      <c r="C7379" t="str">
        <f>"9780802022455"</f>
        <v>9780802022455</v>
      </c>
      <c r="D7379" t="str">
        <f>"9781442671898"</f>
        <v>9781442671898</v>
      </c>
      <c r="E7379" t="s">
        <v>31435</v>
      </c>
      <c r="F7379" t="s">
        <v>31435</v>
      </c>
      <c r="G7379" s="1">
        <v>27760</v>
      </c>
      <c r="J7379" t="s">
        <v>36280</v>
      </c>
      <c r="K7379" t="s">
        <v>291</v>
      </c>
      <c r="L7379" t="s">
        <v>36322</v>
      </c>
      <c r="M7379">
        <v>971.06399999999906</v>
      </c>
      <c r="O7379" t="s">
        <v>26</v>
      </c>
      <c r="Q7379">
        <v>93.75</v>
      </c>
      <c r="R7379">
        <v>75</v>
      </c>
      <c r="S7379">
        <v>112.5</v>
      </c>
      <c r="T7379" t="s">
        <v>36323</v>
      </c>
    </row>
    <row r="7380" spans="1:20">
      <c r="A7380">
        <v>4671283</v>
      </c>
      <c r="B7380" t="s">
        <v>36324</v>
      </c>
      <c r="C7380" t="str">
        <f>"9780802022790"</f>
        <v>9780802022790</v>
      </c>
      <c r="D7380" t="str">
        <f>"9781442671904"</f>
        <v>9781442671904</v>
      </c>
      <c r="E7380" t="s">
        <v>31435</v>
      </c>
      <c r="F7380" t="s">
        <v>31435</v>
      </c>
      <c r="G7380" s="1">
        <v>28126</v>
      </c>
      <c r="J7380" t="s">
        <v>36280</v>
      </c>
      <c r="K7380" t="s">
        <v>291</v>
      </c>
      <c r="L7380" t="s">
        <v>36325</v>
      </c>
      <c r="M7380">
        <v>971.06399999999906</v>
      </c>
      <c r="O7380" t="s">
        <v>26</v>
      </c>
      <c r="Q7380">
        <v>93.75</v>
      </c>
      <c r="R7380">
        <v>75</v>
      </c>
      <c r="S7380">
        <v>112.5</v>
      </c>
      <c r="T7380" t="s">
        <v>36326</v>
      </c>
    </row>
    <row r="7381" spans="1:20">
      <c r="A7381">
        <v>4671284</v>
      </c>
      <c r="B7381" t="s">
        <v>36327</v>
      </c>
      <c r="C7381" t="str">
        <f>"9780802023131"</f>
        <v>9780802023131</v>
      </c>
      <c r="D7381" t="str">
        <f>"9781442671911"</f>
        <v>9781442671911</v>
      </c>
      <c r="E7381" t="s">
        <v>31435</v>
      </c>
      <c r="F7381" t="s">
        <v>31435</v>
      </c>
      <c r="G7381" s="1">
        <v>28856</v>
      </c>
      <c r="J7381" t="s">
        <v>36280</v>
      </c>
      <c r="K7381" t="s">
        <v>291</v>
      </c>
      <c r="L7381" t="s">
        <v>36328</v>
      </c>
      <c r="M7381">
        <v>971.06399999999906</v>
      </c>
      <c r="O7381" t="s">
        <v>26</v>
      </c>
      <c r="Q7381">
        <v>93.75</v>
      </c>
      <c r="R7381">
        <v>75</v>
      </c>
      <c r="S7381">
        <v>112.5</v>
      </c>
      <c r="T7381" t="s">
        <v>36329</v>
      </c>
    </row>
    <row r="7382" spans="1:20">
      <c r="A7382">
        <v>4671285</v>
      </c>
      <c r="B7382" t="s">
        <v>36330</v>
      </c>
      <c r="C7382" t="str">
        <f>"9780802023476"</f>
        <v>9780802023476</v>
      </c>
      <c r="D7382" t="str">
        <f>"9781442671928"</f>
        <v>9781442671928</v>
      </c>
      <c r="E7382" t="s">
        <v>31435</v>
      </c>
      <c r="F7382" t="s">
        <v>31435</v>
      </c>
      <c r="G7382" s="1">
        <v>29221</v>
      </c>
      <c r="J7382" t="s">
        <v>36280</v>
      </c>
      <c r="K7382" t="s">
        <v>291</v>
      </c>
      <c r="L7382" t="s">
        <v>36331</v>
      </c>
      <c r="M7382">
        <v>971.06399999999906</v>
      </c>
      <c r="O7382" t="s">
        <v>26</v>
      </c>
      <c r="Q7382">
        <v>93.75</v>
      </c>
      <c r="R7382">
        <v>75</v>
      </c>
      <c r="S7382">
        <v>112.5</v>
      </c>
      <c r="T7382" t="s">
        <v>36332</v>
      </c>
    </row>
    <row r="7383" spans="1:20">
      <c r="A7383">
        <v>4671286</v>
      </c>
      <c r="B7383" t="s">
        <v>36333</v>
      </c>
      <c r="C7383" t="str">
        <f>"9780802024077"</f>
        <v>9780802024077</v>
      </c>
      <c r="D7383" t="str">
        <f>"9781442671935"</f>
        <v>9781442671935</v>
      </c>
      <c r="E7383" t="s">
        <v>31435</v>
      </c>
      <c r="F7383" t="s">
        <v>31435</v>
      </c>
      <c r="G7383" s="1">
        <v>29860</v>
      </c>
      <c r="J7383" t="s">
        <v>36334</v>
      </c>
      <c r="K7383" t="s">
        <v>291</v>
      </c>
      <c r="L7383" t="s">
        <v>36335</v>
      </c>
      <c r="M7383">
        <v>971.06399999999906</v>
      </c>
      <c r="O7383" t="s">
        <v>26</v>
      </c>
      <c r="Q7383">
        <v>93.75</v>
      </c>
      <c r="R7383">
        <v>75</v>
      </c>
      <c r="S7383">
        <v>112.5</v>
      </c>
      <c r="T7383" t="s">
        <v>36336</v>
      </c>
    </row>
    <row r="7384" spans="1:20">
      <c r="A7384">
        <v>4671287</v>
      </c>
      <c r="B7384" t="s">
        <v>36337</v>
      </c>
      <c r="C7384" t="str">
        <f>"9780802024626"</f>
        <v>9780802024626</v>
      </c>
      <c r="D7384" t="str">
        <f>"9781442671942"</f>
        <v>9781442671942</v>
      </c>
      <c r="E7384" t="s">
        <v>31435</v>
      </c>
      <c r="F7384" t="s">
        <v>31435</v>
      </c>
      <c r="G7384" s="1">
        <v>30133</v>
      </c>
      <c r="J7384" t="s">
        <v>36334</v>
      </c>
      <c r="K7384" t="s">
        <v>291</v>
      </c>
      <c r="L7384" t="s">
        <v>36338</v>
      </c>
      <c r="M7384">
        <v>971.06399999999906</v>
      </c>
      <c r="O7384" t="s">
        <v>26</v>
      </c>
      <c r="Q7384">
        <v>93.75</v>
      </c>
      <c r="R7384">
        <v>75</v>
      </c>
      <c r="S7384">
        <v>112.5</v>
      </c>
      <c r="T7384" t="s">
        <v>36339</v>
      </c>
    </row>
    <row r="7385" spans="1:20">
      <c r="A7385">
        <v>4671288</v>
      </c>
      <c r="B7385" t="s">
        <v>36340</v>
      </c>
      <c r="C7385" t="str">
        <f>"9780802025005"</f>
        <v>9780802025005</v>
      </c>
      <c r="D7385" t="str">
        <f>"9781442671959"</f>
        <v>9781442671959</v>
      </c>
      <c r="E7385" t="s">
        <v>31435</v>
      </c>
      <c r="F7385" t="s">
        <v>31435</v>
      </c>
      <c r="G7385" s="1">
        <v>30834</v>
      </c>
      <c r="J7385" t="s">
        <v>36334</v>
      </c>
      <c r="K7385" t="s">
        <v>291</v>
      </c>
      <c r="L7385" t="s">
        <v>36341</v>
      </c>
      <c r="M7385">
        <v>971.06399999999906</v>
      </c>
      <c r="O7385" t="s">
        <v>26</v>
      </c>
      <c r="Q7385">
        <v>93.75</v>
      </c>
      <c r="R7385">
        <v>75</v>
      </c>
      <c r="S7385">
        <v>112.5</v>
      </c>
      <c r="T7385" t="s">
        <v>36342</v>
      </c>
    </row>
    <row r="7386" spans="1:20">
      <c r="A7386">
        <v>4671289</v>
      </c>
      <c r="B7386" t="s">
        <v>36343</v>
      </c>
      <c r="C7386" t="str">
        <f>"9780802025333"</f>
        <v>9780802025333</v>
      </c>
      <c r="D7386" t="str">
        <f>"9781442671966"</f>
        <v>9781442671966</v>
      </c>
      <c r="E7386" t="s">
        <v>31435</v>
      </c>
      <c r="F7386" t="s">
        <v>31435</v>
      </c>
      <c r="G7386" s="1">
        <v>30987</v>
      </c>
      <c r="J7386" t="s">
        <v>36334</v>
      </c>
      <c r="K7386" t="s">
        <v>291</v>
      </c>
      <c r="L7386" t="s">
        <v>36341</v>
      </c>
      <c r="M7386">
        <v>971.06399999999906</v>
      </c>
      <c r="O7386" t="s">
        <v>26</v>
      </c>
      <c r="Q7386">
        <v>177.5</v>
      </c>
      <c r="R7386">
        <v>142</v>
      </c>
      <c r="S7386">
        <v>213</v>
      </c>
      <c r="T7386" t="s">
        <v>36344</v>
      </c>
    </row>
    <row r="7387" spans="1:20">
      <c r="A7387">
        <v>4671290</v>
      </c>
      <c r="B7387" t="s">
        <v>36345</v>
      </c>
      <c r="C7387" t="str">
        <f>"9780802025913"</f>
        <v>9780802025913</v>
      </c>
      <c r="D7387" t="str">
        <f>"9781442671973"</f>
        <v>9781442671973</v>
      </c>
      <c r="E7387" t="s">
        <v>31435</v>
      </c>
      <c r="F7387" t="s">
        <v>31435</v>
      </c>
      <c r="G7387" s="1">
        <v>31959</v>
      </c>
      <c r="J7387" t="s">
        <v>36334</v>
      </c>
      <c r="K7387" t="s">
        <v>291</v>
      </c>
      <c r="L7387" t="s">
        <v>36346</v>
      </c>
      <c r="M7387">
        <v>971.06399999999906</v>
      </c>
      <c r="O7387" t="s">
        <v>26</v>
      </c>
      <c r="Q7387">
        <v>93.75</v>
      </c>
      <c r="R7387">
        <v>75</v>
      </c>
      <c r="S7387">
        <v>112.5</v>
      </c>
      <c r="T7387" t="s">
        <v>36347</v>
      </c>
    </row>
    <row r="7388" spans="1:20">
      <c r="A7388">
        <v>4671291</v>
      </c>
      <c r="B7388" t="s">
        <v>36348</v>
      </c>
      <c r="C7388" t="str">
        <f>"9780802057228"</f>
        <v>9780802057228</v>
      </c>
      <c r="D7388" t="str">
        <f>"9781442671980"</f>
        <v>9781442671980</v>
      </c>
      <c r="E7388" t="s">
        <v>31435</v>
      </c>
      <c r="F7388" t="s">
        <v>31435</v>
      </c>
      <c r="G7388" s="1">
        <v>32478</v>
      </c>
      <c r="J7388" t="s">
        <v>36334</v>
      </c>
      <c r="K7388" t="s">
        <v>416</v>
      </c>
      <c r="L7388" t="s">
        <v>36349</v>
      </c>
      <c r="M7388">
        <v>330.97106400000001</v>
      </c>
      <c r="O7388" t="s">
        <v>26</v>
      </c>
      <c r="Q7388">
        <v>93.75</v>
      </c>
      <c r="R7388">
        <v>75</v>
      </c>
      <c r="S7388">
        <v>112.5</v>
      </c>
      <c r="T7388" t="s">
        <v>36350</v>
      </c>
    </row>
    <row r="7389" spans="1:20">
      <c r="A7389">
        <v>4671292</v>
      </c>
      <c r="B7389" t="s">
        <v>36351</v>
      </c>
      <c r="C7389" t="str">
        <f>"9780802057716"</f>
        <v>9780802057716</v>
      </c>
      <c r="D7389" t="str">
        <f>"9781442671997"</f>
        <v>9781442671997</v>
      </c>
      <c r="E7389" t="s">
        <v>31435</v>
      </c>
      <c r="F7389" t="s">
        <v>31435</v>
      </c>
      <c r="G7389" s="1">
        <v>32933</v>
      </c>
      <c r="J7389" t="s">
        <v>36334</v>
      </c>
      <c r="K7389" t="s">
        <v>291</v>
      </c>
      <c r="L7389" t="s">
        <v>36352</v>
      </c>
      <c r="M7389">
        <v>971.06399999999906</v>
      </c>
      <c r="O7389" t="s">
        <v>26</v>
      </c>
      <c r="Q7389">
        <v>101.25</v>
      </c>
      <c r="R7389">
        <v>81</v>
      </c>
      <c r="S7389">
        <v>121.5</v>
      </c>
      <c r="T7389" t="s">
        <v>36353</v>
      </c>
    </row>
    <row r="7390" spans="1:20">
      <c r="A7390">
        <v>4671293</v>
      </c>
      <c r="B7390" t="s">
        <v>36354</v>
      </c>
      <c r="C7390" t="str">
        <f>"9780802058515"</f>
        <v>9780802058515</v>
      </c>
      <c r="D7390" t="str">
        <f>"9781442672000"</f>
        <v>9781442672000</v>
      </c>
      <c r="E7390" t="s">
        <v>31435</v>
      </c>
      <c r="F7390" t="s">
        <v>31435</v>
      </c>
      <c r="G7390" s="1">
        <v>33543</v>
      </c>
      <c r="J7390" t="s">
        <v>36334</v>
      </c>
      <c r="K7390" t="s">
        <v>416</v>
      </c>
      <c r="L7390" t="s">
        <v>36355</v>
      </c>
      <c r="M7390">
        <v>330.97106400000001</v>
      </c>
      <c r="O7390" t="s">
        <v>26</v>
      </c>
      <c r="Q7390">
        <v>101.25</v>
      </c>
      <c r="R7390">
        <v>81</v>
      </c>
      <c r="S7390">
        <v>121.5</v>
      </c>
      <c r="T7390" t="s">
        <v>36356</v>
      </c>
    </row>
    <row r="7391" spans="1:20">
      <c r="A7391">
        <v>4671294</v>
      </c>
      <c r="B7391" t="s">
        <v>36357</v>
      </c>
      <c r="C7391" t="str">
        <f>"9780802058492"</f>
        <v>9780802058492</v>
      </c>
      <c r="D7391" t="str">
        <f>"9781442672017"</f>
        <v>9781442672017</v>
      </c>
      <c r="E7391" t="s">
        <v>31435</v>
      </c>
      <c r="F7391" t="s">
        <v>31435</v>
      </c>
      <c r="G7391" s="1">
        <v>34722</v>
      </c>
      <c r="H7391">
        <v>88</v>
      </c>
      <c r="I7391" t="s">
        <v>34830</v>
      </c>
      <c r="J7391" t="s">
        <v>36358</v>
      </c>
      <c r="K7391" t="s">
        <v>291</v>
      </c>
      <c r="L7391" t="s">
        <v>36359</v>
      </c>
      <c r="M7391">
        <v>971.06</v>
      </c>
      <c r="O7391" t="s">
        <v>26</v>
      </c>
      <c r="Q7391">
        <v>181.25</v>
      </c>
      <c r="R7391">
        <v>145</v>
      </c>
      <c r="S7391">
        <v>217.5</v>
      </c>
      <c r="T7391" t="s">
        <v>36360</v>
      </c>
    </row>
    <row r="7392" spans="1:20">
      <c r="A7392">
        <v>4671295</v>
      </c>
      <c r="B7392" t="s">
        <v>36361</v>
      </c>
      <c r="C7392" t="str">
        <f>"9780802041562"</f>
        <v>9780802041562</v>
      </c>
      <c r="D7392" t="str">
        <f>"9781442672031"</f>
        <v>9781442672031</v>
      </c>
      <c r="E7392" t="s">
        <v>31435</v>
      </c>
      <c r="F7392" t="s">
        <v>31435</v>
      </c>
      <c r="G7392" s="1">
        <v>35791</v>
      </c>
      <c r="H7392">
        <v>74</v>
      </c>
      <c r="I7392" t="s">
        <v>34830</v>
      </c>
      <c r="J7392" t="s">
        <v>36358</v>
      </c>
      <c r="K7392" t="s">
        <v>291</v>
      </c>
      <c r="L7392" t="s">
        <v>36362</v>
      </c>
      <c r="M7392">
        <v>971.06399999999906</v>
      </c>
      <c r="O7392" t="s">
        <v>26</v>
      </c>
      <c r="Q7392">
        <v>181.25</v>
      </c>
      <c r="R7392">
        <v>145</v>
      </c>
      <c r="S7392">
        <v>217.5</v>
      </c>
      <c r="T7392" t="s">
        <v>36363</v>
      </c>
    </row>
    <row r="7393" spans="1:20">
      <c r="A7393">
        <v>4671296</v>
      </c>
      <c r="B7393" t="s">
        <v>36364</v>
      </c>
      <c r="C7393" t="str">
        <f>"9780802041555"</f>
        <v>9780802041555</v>
      </c>
      <c r="D7393" t="str">
        <f>"9781442672048"</f>
        <v>9781442672048</v>
      </c>
      <c r="E7393" t="s">
        <v>31435</v>
      </c>
      <c r="F7393" t="s">
        <v>31435</v>
      </c>
      <c r="G7393" s="1">
        <v>35889</v>
      </c>
      <c r="H7393">
        <v>74</v>
      </c>
      <c r="I7393" t="s">
        <v>34830</v>
      </c>
      <c r="J7393" t="s">
        <v>36358</v>
      </c>
      <c r="K7393" t="s">
        <v>291</v>
      </c>
      <c r="L7393" t="s">
        <v>36365</v>
      </c>
      <c r="M7393">
        <v>971.06399999999906</v>
      </c>
      <c r="O7393" t="s">
        <v>26</v>
      </c>
      <c r="Q7393">
        <v>181.25</v>
      </c>
      <c r="R7393">
        <v>145</v>
      </c>
      <c r="S7393">
        <v>217.5</v>
      </c>
      <c r="T7393" t="s">
        <v>36366</v>
      </c>
    </row>
    <row r="7394" spans="1:20">
      <c r="A7394">
        <v>4671297</v>
      </c>
      <c r="B7394" t="s">
        <v>36367</v>
      </c>
      <c r="C7394" t="str">
        <f>"9780802043696"</f>
        <v>9780802043696</v>
      </c>
      <c r="D7394" t="str">
        <f>"9781442672055"</f>
        <v>9781442672055</v>
      </c>
      <c r="E7394" t="s">
        <v>31435</v>
      </c>
      <c r="F7394" t="s">
        <v>31435</v>
      </c>
      <c r="G7394" s="1">
        <v>36127</v>
      </c>
      <c r="I7394" t="s">
        <v>34830</v>
      </c>
      <c r="J7394" t="s">
        <v>36358</v>
      </c>
      <c r="K7394" t="s">
        <v>291</v>
      </c>
      <c r="L7394" t="s">
        <v>36365</v>
      </c>
      <c r="M7394">
        <v>971.06399999999906</v>
      </c>
      <c r="O7394" t="s">
        <v>26</v>
      </c>
      <c r="Q7394">
        <v>181.25</v>
      </c>
      <c r="R7394">
        <v>145</v>
      </c>
      <c r="S7394">
        <v>217.5</v>
      </c>
      <c r="T7394" t="s">
        <v>36368</v>
      </c>
    </row>
    <row r="7395" spans="1:20">
      <c r="A7395">
        <v>4671298</v>
      </c>
      <c r="B7395" t="s">
        <v>36369</v>
      </c>
      <c r="C7395" t="str">
        <f>"9780802047014"</f>
        <v>9780802047014</v>
      </c>
      <c r="D7395" t="str">
        <f>"9781442672062"</f>
        <v>9781442672062</v>
      </c>
      <c r="E7395" t="s">
        <v>31435</v>
      </c>
      <c r="F7395" t="s">
        <v>31435</v>
      </c>
      <c r="G7395" s="1">
        <v>36519</v>
      </c>
      <c r="I7395" t="s">
        <v>34830</v>
      </c>
      <c r="J7395" t="s">
        <v>36358</v>
      </c>
      <c r="K7395" t="s">
        <v>416</v>
      </c>
      <c r="L7395" t="s">
        <v>36370</v>
      </c>
      <c r="M7395">
        <v>330.97106400000001</v>
      </c>
      <c r="O7395" t="s">
        <v>26</v>
      </c>
      <c r="Q7395">
        <v>181.25</v>
      </c>
      <c r="R7395">
        <v>145</v>
      </c>
      <c r="S7395">
        <v>217.5</v>
      </c>
      <c r="T7395" t="s">
        <v>36371</v>
      </c>
    </row>
    <row r="7396" spans="1:20">
      <c r="A7396">
        <v>4671299</v>
      </c>
      <c r="B7396" t="s">
        <v>36372</v>
      </c>
      <c r="C7396" t="str">
        <f>"9780802048288"</f>
        <v>9780802048288</v>
      </c>
      <c r="D7396" t="str">
        <f>"9781442672079"</f>
        <v>9781442672079</v>
      </c>
      <c r="E7396" t="s">
        <v>31435</v>
      </c>
      <c r="F7396" t="s">
        <v>31435</v>
      </c>
      <c r="G7396" s="1">
        <v>36770</v>
      </c>
      <c r="I7396" t="s">
        <v>34830</v>
      </c>
      <c r="J7396" t="s">
        <v>36358</v>
      </c>
      <c r="K7396" t="s">
        <v>416</v>
      </c>
      <c r="L7396" t="s">
        <v>36373</v>
      </c>
      <c r="M7396">
        <v>330.97106400000001</v>
      </c>
      <c r="O7396" t="s">
        <v>26</v>
      </c>
      <c r="Q7396">
        <v>181.25</v>
      </c>
      <c r="R7396">
        <v>145</v>
      </c>
      <c r="S7396">
        <v>217.5</v>
      </c>
      <c r="T7396" t="s">
        <v>36374</v>
      </c>
    </row>
    <row r="7397" spans="1:20">
      <c r="A7397">
        <v>4671300</v>
      </c>
      <c r="B7397" t="s">
        <v>36375</v>
      </c>
      <c r="C7397" t="str">
        <f>"9780802036735"</f>
        <v>9780802036735</v>
      </c>
      <c r="D7397" t="str">
        <f>"9781442672086"</f>
        <v>9781442672086</v>
      </c>
      <c r="E7397" t="s">
        <v>31435</v>
      </c>
      <c r="F7397" t="s">
        <v>31435</v>
      </c>
      <c r="G7397" s="1">
        <v>37468</v>
      </c>
      <c r="I7397" t="s">
        <v>34830</v>
      </c>
      <c r="J7397" t="s">
        <v>36358</v>
      </c>
      <c r="K7397" t="s">
        <v>278</v>
      </c>
      <c r="L7397" t="s">
        <v>36376</v>
      </c>
      <c r="M7397">
        <v>330.97106400000001</v>
      </c>
      <c r="O7397" t="s">
        <v>26</v>
      </c>
      <c r="Q7397">
        <v>181.25</v>
      </c>
      <c r="R7397">
        <v>145</v>
      </c>
      <c r="S7397">
        <v>217.5</v>
      </c>
      <c r="T7397" t="s">
        <v>36377</v>
      </c>
    </row>
    <row r="7398" spans="1:20">
      <c r="A7398">
        <v>4671301</v>
      </c>
      <c r="B7398" t="s">
        <v>36378</v>
      </c>
      <c r="C7398" t="str">
        <f>"9780802037152"</f>
        <v>9780802037152</v>
      </c>
      <c r="D7398" t="str">
        <f>"9781442672093"</f>
        <v>9781442672093</v>
      </c>
      <c r="E7398" t="s">
        <v>31435</v>
      </c>
      <c r="F7398" t="s">
        <v>31435</v>
      </c>
      <c r="G7398" s="1">
        <v>37257</v>
      </c>
      <c r="I7398" t="s">
        <v>34830</v>
      </c>
      <c r="J7398" t="s">
        <v>34831</v>
      </c>
      <c r="K7398" t="s">
        <v>278</v>
      </c>
      <c r="L7398" t="s">
        <v>36376</v>
      </c>
      <c r="M7398">
        <v>330.97106400000001</v>
      </c>
      <c r="O7398" t="s">
        <v>26</v>
      </c>
      <c r="Q7398">
        <v>181.25</v>
      </c>
      <c r="R7398">
        <v>145</v>
      </c>
      <c r="S7398">
        <v>217.5</v>
      </c>
      <c r="T7398" t="s">
        <v>36379</v>
      </c>
    </row>
    <row r="7399" spans="1:20">
      <c r="A7399">
        <v>4671302</v>
      </c>
      <c r="B7399" t="s">
        <v>36380</v>
      </c>
      <c r="C7399" t="str">
        <f>"9780802088031"</f>
        <v>9780802088031</v>
      </c>
      <c r="D7399" t="str">
        <f>"9781442672109"</f>
        <v>9781442672109</v>
      </c>
      <c r="E7399" t="s">
        <v>31435</v>
      </c>
      <c r="F7399" t="s">
        <v>31435</v>
      </c>
      <c r="G7399" s="1">
        <v>37622</v>
      </c>
      <c r="H7399">
        <v>2</v>
      </c>
      <c r="I7399" t="s">
        <v>34830</v>
      </c>
      <c r="J7399" t="s">
        <v>34831</v>
      </c>
      <c r="K7399" t="s">
        <v>278</v>
      </c>
      <c r="L7399" t="s">
        <v>36381</v>
      </c>
      <c r="M7399">
        <v>330.97106400000001</v>
      </c>
      <c r="O7399" t="s">
        <v>26</v>
      </c>
      <c r="Q7399">
        <v>181.25</v>
      </c>
      <c r="R7399">
        <v>145</v>
      </c>
      <c r="S7399">
        <v>217.5</v>
      </c>
      <c r="T7399" t="s">
        <v>36382</v>
      </c>
    </row>
    <row r="7400" spans="1:20">
      <c r="A7400">
        <v>4671303</v>
      </c>
      <c r="B7400" t="s">
        <v>36383</v>
      </c>
      <c r="C7400" t="str">
        <f>"9780802089267"</f>
        <v>9780802089267</v>
      </c>
      <c r="D7400" t="str">
        <f>"9781442672116"</f>
        <v>9781442672116</v>
      </c>
      <c r="E7400" t="s">
        <v>31435</v>
      </c>
      <c r="F7400" t="s">
        <v>31435</v>
      </c>
      <c r="G7400" s="1">
        <v>37987</v>
      </c>
      <c r="I7400" t="s">
        <v>34830</v>
      </c>
      <c r="J7400" t="s">
        <v>34831</v>
      </c>
      <c r="K7400" t="s">
        <v>416</v>
      </c>
      <c r="L7400" t="s">
        <v>36384</v>
      </c>
      <c r="M7400">
        <v>330.97106400000001</v>
      </c>
      <c r="O7400" t="s">
        <v>26</v>
      </c>
      <c r="Q7400">
        <v>181.25</v>
      </c>
      <c r="R7400">
        <v>145</v>
      </c>
      <c r="S7400">
        <v>217.5</v>
      </c>
      <c r="T7400" t="s">
        <v>36385</v>
      </c>
    </row>
    <row r="7401" spans="1:20">
      <c r="A7401">
        <v>4671304</v>
      </c>
      <c r="B7401" t="s">
        <v>36386</v>
      </c>
      <c r="C7401" t="str">
        <f>"9780802039019"</f>
        <v>9780802039019</v>
      </c>
      <c r="D7401" t="str">
        <f>"9781442672123"</f>
        <v>9781442672123</v>
      </c>
      <c r="E7401" t="s">
        <v>31435</v>
      </c>
      <c r="F7401" t="s">
        <v>31435</v>
      </c>
      <c r="G7401" s="1">
        <v>38353</v>
      </c>
      <c r="H7401">
        <v>2</v>
      </c>
      <c r="J7401" t="s">
        <v>34831</v>
      </c>
      <c r="K7401" t="s">
        <v>291</v>
      </c>
      <c r="L7401" t="s">
        <v>36387</v>
      </c>
      <c r="M7401">
        <v>971.06399999999906</v>
      </c>
      <c r="O7401" t="s">
        <v>26</v>
      </c>
      <c r="Q7401">
        <v>181.25</v>
      </c>
      <c r="R7401">
        <v>145</v>
      </c>
      <c r="S7401">
        <v>217.5</v>
      </c>
      <c r="T7401" t="s">
        <v>36388</v>
      </c>
    </row>
    <row r="7402" spans="1:20">
      <c r="A7402">
        <v>4671305</v>
      </c>
      <c r="B7402" t="s">
        <v>36389</v>
      </c>
      <c r="C7402" t="str">
        <f>"9780802090898"</f>
        <v>9780802090898</v>
      </c>
      <c r="D7402" t="str">
        <f>"9781442672130"</f>
        <v>9781442672130</v>
      </c>
      <c r="E7402" t="s">
        <v>31435</v>
      </c>
      <c r="F7402" t="s">
        <v>31435</v>
      </c>
      <c r="G7402" s="1">
        <v>38718</v>
      </c>
      <c r="J7402" t="s">
        <v>36390</v>
      </c>
      <c r="K7402" t="s">
        <v>7063</v>
      </c>
      <c r="L7402" t="s">
        <v>36391</v>
      </c>
      <c r="M7402">
        <v>320.97106000000002</v>
      </c>
      <c r="O7402" t="s">
        <v>26</v>
      </c>
      <c r="Q7402">
        <v>181.25</v>
      </c>
      <c r="R7402">
        <v>145</v>
      </c>
      <c r="S7402">
        <v>217.5</v>
      </c>
      <c r="T7402" t="s">
        <v>36392</v>
      </c>
    </row>
    <row r="7403" spans="1:20">
      <c r="A7403">
        <v>4671307</v>
      </c>
      <c r="B7403" t="s">
        <v>36393</v>
      </c>
      <c r="C7403" t="str">
        <f>"9780802077868"</f>
        <v>9780802077868</v>
      </c>
      <c r="D7403" t="str">
        <f>"9781442672178"</f>
        <v>9781442672178</v>
      </c>
      <c r="E7403" t="s">
        <v>31435</v>
      </c>
      <c r="F7403" t="s">
        <v>31435</v>
      </c>
      <c r="G7403" s="1">
        <v>34700</v>
      </c>
      <c r="I7403" t="s">
        <v>31443</v>
      </c>
      <c r="J7403" t="s">
        <v>30749</v>
      </c>
      <c r="K7403" t="s">
        <v>263</v>
      </c>
      <c r="L7403" t="s">
        <v>36394</v>
      </c>
      <c r="M7403" t="s">
        <v>36395</v>
      </c>
      <c r="O7403" t="s">
        <v>26</v>
      </c>
      <c r="Q7403">
        <v>59.94</v>
      </c>
      <c r="R7403">
        <v>47.95</v>
      </c>
      <c r="S7403">
        <v>71.930000000000007</v>
      </c>
      <c r="T7403" t="s">
        <v>36396</v>
      </c>
    </row>
    <row r="7404" spans="1:20">
      <c r="A7404">
        <v>4671308</v>
      </c>
      <c r="B7404" t="s">
        <v>36397</v>
      </c>
      <c r="C7404" t="str">
        <f>"9780802029881"</f>
        <v>9780802029881</v>
      </c>
      <c r="D7404" t="str">
        <f>"9781442672185"</f>
        <v>9781442672185</v>
      </c>
      <c r="E7404" t="s">
        <v>31435</v>
      </c>
      <c r="F7404" t="s">
        <v>31435</v>
      </c>
      <c r="G7404" s="1">
        <v>35431</v>
      </c>
      <c r="J7404" t="s">
        <v>6850</v>
      </c>
      <c r="K7404" t="s">
        <v>7075</v>
      </c>
      <c r="L7404" t="s">
        <v>36398</v>
      </c>
      <c r="M7404" t="s">
        <v>36399</v>
      </c>
      <c r="O7404" t="s">
        <v>26</v>
      </c>
      <c r="Q7404">
        <v>501.25</v>
      </c>
      <c r="R7404">
        <v>401</v>
      </c>
      <c r="S7404">
        <v>601.5</v>
      </c>
      <c r="T7404" t="s">
        <v>36400</v>
      </c>
    </row>
    <row r="7405" spans="1:20">
      <c r="A7405">
        <v>4671309</v>
      </c>
      <c r="B7405" t="s">
        <v>36401</v>
      </c>
      <c r="C7405" t="str">
        <f>"9780802081759"</f>
        <v>9780802081759</v>
      </c>
      <c r="D7405" t="str">
        <f>"9781442672192"</f>
        <v>9781442672192</v>
      </c>
      <c r="E7405" t="s">
        <v>31435</v>
      </c>
      <c r="F7405" t="s">
        <v>31435</v>
      </c>
      <c r="G7405" s="1">
        <v>36892</v>
      </c>
      <c r="I7405" t="s">
        <v>36249</v>
      </c>
      <c r="J7405" t="s">
        <v>36402</v>
      </c>
      <c r="K7405" t="s">
        <v>1297</v>
      </c>
      <c r="L7405" t="s">
        <v>36403</v>
      </c>
      <c r="M7405" t="s">
        <v>36404</v>
      </c>
      <c r="O7405" t="s">
        <v>26</v>
      </c>
      <c r="Q7405">
        <v>143.75</v>
      </c>
      <c r="R7405">
        <v>115</v>
      </c>
      <c r="S7405">
        <v>172.5</v>
      </c>
      <c r="T7405" t="s">
        <v>36405</v>
      </c>
    </row>
    <row r="7406" spans="1:20">
      <c r="A7406">
        <v>4671310</v>
      </c>
      <c r="B7406" t="s">
        <v>36406</v>
      </c>
      <c r="C7406" t="str">
        <f>"9780802021564"</f>
        <v>9780802021564</v>
      </c>
      <c r="D7406" t="str">
        <f>"9781442672208"</f>
        <v>9781442672208</v>
      </c>
      <c r="E7406" t="s">
        <v>31435</v>
      </c>
      <c r="F7406" t="s">
        <v>31435</v>
      </c>
      <c r="G7406" s="1">
        <v>27030</v>
      </c>
      <c r="J7406" t="s">
        <v>36407</v>
      </c>
      <c r="K7406" t="s">
        <v>291</v>
      </c>
      <c r="L7406" t="s">
        <v>36408</v>
      </c>
      <c r="M7406">
        <v>971.00199999999904</v>
      </c>
      <c r="O7406" t="s">
        <v>26</v>
      </c>
      <c r="Q7406">
        <v>77.5</v>
      </c>
      <c r="R7406">
        <v>62</v>
      </c>
      <c r="S7406">
        <v>93</v>
      </c>
      <c r="T7406" t="s">
        <v>36409</v>
      </c>
    </row>
    <row r="7407" spans="1:20">
      <c r="A7407">
        <v>4671311</v>
      </c>
      <c r="B7407" t="s">
        <v>36410</v>
      </c>
      <c r="C7407" t="str">
        <f>"9780802027962"</f>
        <v>9780802027962</v>
      </c>
      <c r="D7407" t="str">
        <f>"9781442672215"</f>
        <v>9781442672215</v>
      </c>
      <c r="E7407" t="s">
        <v>31435</v>
      </c>
      <c r="F7407" t="s">
        <v>31435</v>
      </c>
      <c r="G7407" s="1">
        <v>33970</v>
      </c>
      <c r="J7407" t="s">
        <v>36411</v>
      </c>
      <c r="K7407" t="s">
        <v>291</v>
      </c>
      <c r="L7407" t="s">
        <v>36412</v>
      </c>
      <c r="M7407">
        <v>971.00199999999904</v>
      </c>
      <c r="O7407" t="s">
        <v>26</v>
      </c>
      <c r="Q7407">
        <v>165</v>
      </c>
      <c r="R7407">
        <v>132</v>
      </c>
      <c r="S7407">
        <v>198</v>
      </c>
      <c r="T7407" t="s">
        <v>36413</v>
      </c>
    </row>
    <row r="7408" spans="1:20">
      <c r="A7408">
        <v>4671312</v>
      </c>
      <c r="B7408" t="s">
        <v>36414</v>
      </c>
      <c r="C7408" t="str">
        <f>"9780802076762"</f>
        <v>9780802076762</v>
      </c>
      <c r="D7408" t="str">
        <f>"9781442672222"</f>
        <v>9781442672222</v>
      </c>
      <c r="E7408" t="s">
        <v>31435</v>
      </c>
      <c r="F7408" t="s">
        <v>31435</v>
      </c>
      <c r="G7408" s="1">
        <v>34335</v>
      </c>
      <c r="H7408">
        <v>2</v>
      </c>
      <c r="J7408" t="s">
        <v>36415</v>
      </c>
      <c r="K7408" t="s">
        <v>34198</v>
      </c>
      <c r="L7408" t="s">
        <v>36416</v>
      </c>
      <c r="M7408">
        <v>16.971</v>
      </c>
      <c r="O7408" t="s">
        <v>26</v>
      </c>
      <c r="Q7408">
        <v>59.94</v>
      </c>
      <c r="R7408">
        <v>47.95</v>
      </c>
      <c r="S7408">
        <v>71.930000000000007</v>
      </c>
      <c r="T7408" t="s">
        <v>36417</v>
      </c>
    </row>
    <row r="7409" spans="1:20">
      <c r="A7409">
        <v>4671313</v>
      </c>
      <c r="B7409" t="s">
        <v>36418</v>
      </c>
      <c r="C7409" t="str">
        <f>"9780802068262"</f>
        <v>9780802068262</v>
      </c>
      <c r="D7409" t="str">
        <f>"9781442672239"</f>
        <v>9781442672239</v>
      </c>
      <c r="E7409" t="s">
        <v>31435</v>
      </c>
      <c r="F7409" t="s">
        <v>31435</v>
      </c>
      <c r="G7409" s="1">
        <v>34471</v>
      </c>
      <c r="H7409">
        <v>2</v>
      </c>
      <c r="J7409" t="s">
        <v>36419</v>
      </c>
      <c r="K7409" t="s">
        <v>6902</v>
      </c>
      <c r="L7409" t="s">
        <v>36420</v>
      </c>
      <c r="M7409">
        <v>16.97101</v>
      </c>
      <c r="O7409" t="s">
        <v>26</v>
      </c>
      <c r="Q7409">
        <v>59.94</v>
      </c>
      <c r="R7409">
        <v>47.95</v>
      </c>
      <c r="S7409">
        <v>71.930000000000007</v>
      </c>
      <c r="T7409" t="s">
        <v>36421</v>
      </c>
    </row>
    <row r="7410" spans="1:20">
      <c r="A7410">
        <v>4671314</v>
      </c>
      <c r="B7410" t="s">
        <v>36422</v>
      </c>
      <c r="C7410" t="str">
        <f>"9781442628984"</f>
        <v>9781442628984</v>
      </c>
      <c r="D7410" t="str">
        <f>"9781442672246"</f>
        <v>9781442672246</v>
      </c>
      <c r="E7410" t="s">
        <v>31435</v>
      </c>
      <c r="F7410" t="s">
        <v>31435</v>
      </c>
      <c r="G7410" s="1">
        <v>42146</v>
      </c>
      <c r="J7410" t="s">
        <v>36423</v>
      </c>
      <c r="K7410" t="s">
        <v>291</v>
      </c>
      <c r="M7410">
        <v>971.06</v>
      </c>
      <c r="O7410" t="s">
        <v>26</v>
      </c>
      <c r="Q7410">
        <v>115</v>
      </c>
      <c r="R7410">
        <v>92</v>
      </c>
      <c r="S7410">
        <v>138</v>
      </c>
      <c r="T7410" t="s">
        <v>36424</v>
      </c>
    </row>
    <row r="7411" spans="1:20">
      <c r="A7411">
        <v>4671315</v>
      </c>
      <c r="B7411" t="s">
        <v>36425</v>
      </c>
      <c r="C7411" t="str">
        <f>"9780802037848"</f>
        <v>9780802037848</v>
      </c>
      <c r="D7411" t="str">
        <f>"9781442672253"</f>
        <v>9781442672253</v>
      </c>
      <c r="E7411" t="s">
        <v>31435</v>
      </c>
      <c r="F7411" t="s">
        <v>31435</v>
      </c>
      <c r="G7411" s="1">
        <v>38338</v>
      </c>
      <c r="J7411" t="s">
        <v>36426</v>
      </c>
      <c r="K7411" t="s">
        <v>1892</v>
      </c>
      <c r="L7411" t="s">
        <v>36427</v>
      </c>
      <c r="M7411" t="s">
        <v>36428</v>
      </c>
      <c r="N7411" t="s">
        <v>36429</v>
      </c>
      <c r="O7411" t="s">
        <v>26</v>
      </c>
      <c r="Q7411">
        <v>117.5</v>
      </c>
      <c r="R7411">
        <v>94</v>
      </c>
      <c r="S7411">
        <v>141</v>
      </c>
      <c r="T7411" t="s">
        <v>36430</v>
      </c>
    </row>
    <row r="7412" spans="1:20">
      <c r="A7412">
        <v>4671316</v>
      </c>
      <c r="B7412" t="s">
        <v>36431</v>
      </c>
      <c r="C7412" t="str">
        <f>"9780802047885"</f>
        <v>9780802047885</v>
      </c>
      <c r="D7412" t="str">
        <f>"9781442672260"</f>
        <v>9781442672260</v>
      </c>
      <c r="E7412" t="s">
        <v>31435</v>
      </c>
      <c r="F7412" t="s">
        <v>31435</v>
      </c>
      <c r="G7412" s="1">
        <v>37052</v>
      </c>
      <c r="J7412" t="s">
        <v>36432</v>
      </c>
      <c r="K7412" t="s">
        <v>1180</v>
      </c>
      <c r="L7412" t="s">
        <v>36433</v>
      </c>
      <c r="M7412" t="s">
        <v>36434</v>
      </c>
      <c r="N7412" t="s">
        <v>36435</v>
      </c>
      <c r="O7412" t="s">
        <v>26</v>
      </c>
      <c r="Q7412">
        <v>100</v>
      </c>
      <c r="R7412">
        <v>80</v>
      </c>
      <c r="S7412">
        <v>120</v>
      </c>
      <c r="T7412" t="s">
        <v>36436</v>
      </c>
    </row>
    <row r="7413" spans="1:20">
      <c r="A7413">
        <v>4671317</v>
      </c>
      <c r="B7413" t="s">
        <v>36437</v>
      </c>
      <c r="C7413" t="str">
        <f>"9780802024305"</f>
        <v>9780802024305</v>
      </c>
      <c r="D7413" t="str">
        <f>"9781442672673"</f>
        <v>9781442672673</v>
      </c>
      <c r="E7413" t="s">
        <v>31435</v>
      </c>
      <c r="F7413" t="s">
        <v>31435</v>
      </c>
      <c r="G7413" s="1">
        <v>29830</v>
      </c>
      <c r="H7413">
        <v>3</v>
      </c>
      <c r="J7413" t="s">
        <v>36438</v>
      </c>
      <c r="K7413" t="s">
        <v>36439</v>
      </c>
      <c r="L7413" t="s">
        <v>36440</v>
      </c>
      <c r="M7413">
        <v>674</v>
      </c>
      <c r="O7413" t="s">
        <v>26</v>
      </c>
      <c r="Q7413">
        <v>78.75</v>
      </c>
      <c r="R7413">
        <v>63</v>
      </c>
      <c r="S7413">
        <v>94.5</v>
      </c>
      <c r="T7413" t="s">
        <v>36441</v>
      </c>
    </row>
    <row r="7414" spans="1:20">
      <c r="A7414">
        <v>4671318</v>
      </c>
      <c r="B7414" t="s">
        <v>36442</v>
      </c>
      <c r="C7414" t="str">
        <f>"9780802084071"</f>
        <v>9780802084071</v>
      </c>
      <c r="D7414" t="str">
        <f>"9781442672697"</f>
        <v>9781442672697</v>
      </c>
      <c r="E7414" t="s">
        <v>31435</v>
      </c>
      <c r="F7414" t="s">
        <v>31435</v>
      </c>
      <c r="G7414" s="1">
        <v>37257</v>
      </c>
      <c r="I7414" t="s">
        <v>35946</v>
      </c>
      <c r="J7414" t="s">
        <v>36443</v>
      </c>
      <c r="K7414" t="s">
        <v>416</v>
      </c>
      <c r="L7414" t="s">
        <v>36444</v>
      </c>
      <c r="M7414" t="s">
        <v>36445</v>
      </c>
      <c r="O7414" t="s">
        <v>26</v>
      </c>
      <c r="Q7414">
        <v>59.94</v>
      </c>
      <c r="R7414">
        <v>47.95</v>
      </c>
      <c r="S7414">
        <v>71.930000000000007</v>
      </c>
      <c r="T7414" t="s">
        <v>36446</v>
      </c>
    </row>
    <row r="7415" spans="1:20">
      <c r="A7415">
        <v>4671319</v>
      </c>
      <c r="B7415" t="s">
        <v>36447</v>
      </c>
      <c r="C7415" t="str">
        <f>"9780802087126"</f>
        <v>9780802087126</v>
      </c>
      <c r="D7415" t="str">
        <f>"9781442672703"</f>
        <v>9781442672703</v>
      </c>
      <c r="E7415" t="s">
        <v>31435</v>
      </c>
      <c r="F7415" t="s">
        <v>31435</v>
      </c>
      <c r="G7415" s="1">
        <v>41773</v>
      </c>
      <c r="H7415">
        <v>2</v>
      </c>
      <c r="J7415" t="s">
        <v>36448</v>
      </c>
      <c r="K7415" t="s">
        <v>7075</v>
      </c>
      <c r="L7415" t="s">
        <v>36449</v>
      </c>
      <c r="M7415">
        <v>16.971689999999999</v>
      </c>
      <c r="O7415" t="s">
        <v>26</v>
      </c>
      <c r="Q7415">
        <v>202.5</v>
      </c>
      <c r="R7415">
        <v>162</v>
      </c>
      <c r="S7415">
        <v>243</v>
      </c>
      <c r="T7415" t="s">
        <v>36450</v>
      </c>
    </row>
    <row r="7416" spans="1:20">
      <c r="A7416">
        <v>4671320</v>
      </c>
      <c r="B7416" t="s">
        <v>36451</v>
      </c>
      <c r="C7416" t="str">
        <f>"9781442638860"</f>
        <v>9781442638860</v>
      </c>
      <c r="D7416" t="str">
        <f>"9781442672710"</f>
        <v>9781442672710</v>
      </c>
      <c r="E7416" t="s">
        <v>31435</v>
      </c>
      <c r="F7416" t="s">
        <v>31435</v>
      </c>
      <c r="G7416" s="1">
        <v>36715</v>
      </c>
      <c r="J7416" t="s">
        <v>36452</v>
      </c>
      <c r="K7416" t="s">
        <v>305</v>
      </c>
      <c r="L7416" t="s">
        <v>36453</v>
      </c>
      <c r="M7416">
        <v>650.07117300000004</v>
      </c>
      <c r="O7416" t="s">
        <v>26</v>
      </c>
      <c r="Q7416">
        <v>115</v>
      </c>
      <c r="R7416">
        <v>92</v>
      </c>
      <c r="S7416">
        <v>138</v>
      </c>
      <c r="T7416" t="s">
        <v>36454</v>
      </c>
    </row>
    <row r="7417" spans="1:20">
      <c r="A7417">
        <v>4671322</v>
      </c>
      <c r="B7417" t="s">
        <v>36455</v>
      </c>
      <c r="C7417" t="str">
        <f>"9780802036933"</f>
        <v>9780802036933</v>
      </c>
      <c r="D7417" t="str">
        <f>"9781442672727"</f>
        <v>9781442672727</v>
      </c>
      <c r="E7417" t="s">
        <v>31435</v>
      </c>
      <c r="F7417" t="s">
        <v>31435</v>
      </c>
      <c r="G7417" s="1">
        <v>37987</v>
      </c>
      <c r="I7417" t="s">
        <v>35034</v>
      </c>
      <c r="J7417" t="s">
        <v>36456</v>
      </c>
      <c r="K7417" t="s">
        <v>1550</v>
      </c>
      <c r="L7417" t="s">
        <v>36457</v>
      </c>
      <c r="M7417">
        <v>306.39999999999901</v>
      </c>
      <c r="O7417" t="s">
        <v>26</v>
      </c>
      <c r="Q7417">
        <v>59.94</v>
      </c>
      <c r="R7417">
        <v>47.95</v>
      </c>
      <c r="S7417">
        <v>71.930000000000007</v>
      </c>
      <c r="T7417" t="s">
        <v>36458</v>
      </c>
    </row>
    <row r="7418" spans="1:20">
      <c r="A7418">
        <v>4671323</v>
      </c>
      <c r="B7418" t="s">
        <v>36459</v>
      </c>
      <c r="C7418" t="str">
        <f>"9780802089687"</f>
        <v>9780802089687</v>
      </c>
      <c r="D7418" t="str">
        <f>"9781442672734"</f>
        <v>9781442672734</v>
      </c>
      <c r="E7418" t="s">
        <v>31435</v>
      </c>
      <c r="F7418" t="s">
        <v>31435</v>
      </c>
      <c r="G7418" s="1">
        <v>41773</v>
      </c>
      <c r="J7418" t="s">
        <v>36460</v>
      </c>
      <c r="K7418" t="s">
        <v>263</v>
      </c>
      <c r="L7418" t="s">
        <v>36461</v>
      </c>
      <c r="M7418">
        <v>365.09181000000001</v>
      </c>
      <c r="O7418" t="s">
        <v>26</v>
      </c>
      <c r="Q7418">
        <v>102.5</v>
      </c>
      <c r="R7418">
        <v>82</v>
      </c>
      <c r="S7418">
        <v>123</v>
      </c>
      <c r="T7418" t="s">
        <v>36462</v>
      </c>
    </row>
    <row r="7419" spans="1:20">
      <c r="A7419">
        <v>4671324</v>
      </c>
      <c r="B7419" t="s">
        <v>36463</v>
      </c>
      <c r="C7419" t="str">
        <f>"9780802083791"</f>
        <v>9780802083791</v>
      </c>
      <c r="D7419" t="str">
        <f>"9781442672741"</f>
        <v>9781442672741</v>
      </c>
      <c r="E7419" t="s">
        <v>31435</v>
      </c>
      <c r="F7419" t="s">
        <v>31435</v>
      </c>
      <c r="G7419" s="1">
        <v>37622</v>
      </c>
      <c r="J7419" t="s">
        <v>36464</v>
      </c>
      <c r="K7419" t="s">
        <v>376</v>
      </c>
      <c r="L7419" t="s">
        <v>36465</v>
      </c>
      <c r="M7419" t="s">
        <v>36466</v>
      </c>
      <c r="O7419" t="s">
        <v>26</v>
      </c>
      <c r="Q7419">
        <v>161.25</v>
      </c>
      <c r="R7419">
        <v>129</v>
      </c>
      <c r="S7419">
        <v>193.5</v>
      </c>
      <c r="T7419" t="s">
        <v>36467</v>
      </c>
    </row>
    <row r="7420" spans="1:20">
      <c r="A7420">
        <v>4671325</v>
      </c>
      <c r="B7420" t="s">
        <v>36468</v>
      </c>
      <c r="C7420" t="str">
        <f>"9780802084897"</f>
        <v>9780802084897</v>
      </c>
      <c r="D7420" t="str">
        <f>"9781442672758"</f>
        <v>9781442672758</v>
      </c>
      <c r="E7420" t="s">
        <v>31435</v>
      </c>
      <c r="F7420" t="s">
        <v>31435</v>
      </c>
      <c r="G7420" s="1">
        <v>37622</v>
      </c>
      <c r="J7420" t="s">
        <v>36469</v>
      </c>
      <c r="K7420" t="s">
        <v>1464</v>
      </c>
      <c r="L7420" t="s">
        <v>36470</v>
      </c>
      <c r="M7420">
        <v>813.54</v>
      </c>
      <c r="O7420" t="s">
        <v>26</v>
      </c>
      <c r="Q7420">
        <v>115</v>
      </c>
      <c r="R7420">
        <v>92</v>
      </c>
      <c r="S7420">
        <v>138</v>
      </c>
      <c r="T7420" t="s">
        <v>36471</v>
      </c>
    </row>
    <row r="7421" spans="1:20">
      <c r="A7421">
        <v>4671326</v>
      </c>
      <c r="B7421" t="s">
        <v>36472</v>
      </c>
      <c r="C7421" t="str">
        <f>"9780802008329"</f>
        <v>9780802008329</v>
      </c>
      <c r="D7421" t="str">
        <f>"9781442672765"</f>
        <v>9781442672765</v>
      </c>
      <c r="E7421" t="s">
        <v>31435</v>
      </c>
      <c r="F7421" t="s">
        <v>31435</v>
      </c>
      <c r="G7421" s="1">
        <v>35431</v>
      </c>
      <c r="J7421" t="s">
        <v>36473</v>
      </c>
      <c r="K7421" t="s">
        <v>291</v>
      </c>
      <c r="L7421" t="s">
        <v>36474</v>
      </c>
      <c r="M7421">
        <v>940.5318092</v>
      </c>
      <c r="O7421" t="s">
        <v>26</v>
      </c>
      <c r="Q7421">
        <v>71.25</v>
      </c>
      <c r="R7421">
        <v>57</v>
      </c>
      <c r="S7421">
        <v>85.5</v>
      </c>
      <c r="T7421" t="s">
        <v>36475</v>
      </c>
    </row>
    <row r="7422" spans="1:20">
      <c r="A7422">
        <v>4671327</v>
      </c>
      <c r="B7422" t="s">
        <v>36476</v>
      </c>
      <c r="C7422" t="str">
        <f>"9780802023094"</f>
        <v>9780802023094</v>
      </c>
      <c r="D7422" t="str">
        <f>"9781442672772"</f>
        <v>9781442672772</v>
      </c>
      <c r="E7422" t="s">
        <v>31435</v>
      </c>
      <c r="F7422" t="s">
        <v>31435</v>
      </c>
      <c r="G7422" s="1">
        <v>28672</v>
      </c>
      <c r="H7422">
        <v>5</v>
      </c>
      <c r="J7422" t="s">
        <v>36477</v>
      </c>
      <c r="K7422" t="s">
        <v>525</v>
      </c>
      <c r="L7422" t="s">
        <v>36478</v>
      </c>
      <c r="M7422">
        <v>345.71050000000002</v>
      </c>
      <c r="O7422" t="s">
        <v>26</v>
      </c>
      <c r="Q7422">
        <v>59.94</v>
      </c>
      <c r="R7422">
        <v>47.95</v>
      </c>
      <c r="S7422">
        <v>71.930000000000007</v>
      </c>
      <c r="T7422" t="s">
        <v>36479</v>
      </c>
    </row>
    <row r="7423" spans="1:20">
      <c r="A7423">
        <v>4671329</v>
      </c>
      <c r="B7423" t="s">
        <v>36480</v>
      </c>
      <c r="C7423" t="str">
        <f>"9780802043719"</f>
        <v>9780802043719</v>
      </c>
      <c r="D7423" t="str">
        <f>"9781442672796"</f>
        <v>9781442672796</v>
      </c>
      <c r="E7423" t="s">
        <v>31435</v>
      </c>
      <c r="F7423" t="s">
        <v>31435</v>
      </c>
      <c r="G7423" s="1">
        <v>36161</v>
      </c>
      <c r="J7423" t="s">
        <v>36481</v>
      </c>
      <c r="K7423" t="s">
        <v>473</v>
      </c>
      <c r="L7423" t="s">
        <v>36482</v>
      </c>
      <c r="M7423">
        <v>303.66000000000003</v>
      </c>
      <c r="O7423" t="s">
        <v>26</v>
      </c>
      <c r="Q7423">
        <v>143.75</v>
      </c>
      <c r="R7423">
        <v>115</v>
      </c>
      <c r="S7423">
        <v>172.5</v>
      </c>
      <c r="T7423" t="s">
        <v>36483</v>
      </c>
    </row>
    <row r="7424" spans="1:20">
      <c r="A7424">
        <v>4671330</v>
      </c>
      <c r="B7424" t="s">
        <v>36484</v>
      </c>
      <c r="C7424" t="str">
        <f>"9780802071705"</f>
        <v>9780802071705</v>
      </c>
      <c r="D7424" t="str">
        <f>"9781442672802"</f>
        <v>9781442672802</v>
      </c>
      <c r="E7424" t="s">
        <v>31435</v>
      </c>
      <c r="F7424" t="s">
        <v>31435</v>
      </c>
      <c r="G7424" s="1">
        <v>35796</v>
      </c>
      <c r="H7424">
        <v>2</v>
      </c>
      <c r="J7424" t="s">
        <v>36485</v>
      </c>
      <c r="K7424" t="s">
        <v>1471</v>
      </c>
      <c r="L7424" t="s">
        <v>36486</v>
      </c>
      <c r="M7424">
        <v>700.10299999999904</v>
      </c>
      <c r="O7424" t="s">
        <v>26</v>
      </c>
      <c r="Q7424">
        <v>107.5</v>
      </c>
      <c r="R7424">
        <v>86</v>
      </c>
      <c r="S7424">
        <v>129</v>
      </c>
      <c r="T7424" t="s">
        <v>36487</v>
      </c>
    </row>
    <row r="7425" spans="1:20">
      <c r="A7425">
        <v>4671331</v>
      </c>
      <c r="B7425" t="s">
        <v>36488</v>
      </c>
      <c r="C7425" t="str">
        <f>"9780802076526"</f>
        <v>9780802076526</v>
      </c>
      <c r="D7425" t="str">
        <f>"9781442672819"</f>
        <v>9781442672819</v>
      </c>
      <c r="E7425" t="s">
        <v>31435</v>
      </c>
      <c r="F7425" t="s">
        <v>31435</v>
      </c>
      <c r="G7425" s="1">
        <v>35431</v>
      </c>
      <c r="H7425">
        <v>2</v>
      </c>
      <c r="J7425" t="s">
        <v>36489</v>
      </c>
      <c r="K7425" t="s">
        <v>263</v>
      </c>
      <c r="L7425" t="s">
        <v>36490</v>
      </c>
      <c r="M7425">
        <v>305.42097100000001</v>
      </c>
      <c r="O7425" t="s">
        <v>26</v>
      </c>
      <c r="Q7425">
        <v>115</v>
      </c>
      <c r="R7425">
        <v>92</v>
      </c>
      <c r="S7425">
        <v>138</v>
      </c>
      <c r="T7425" t="s">
        <v>36491</v>
      </c>
    </row>
    <row r="7426" spans="1:20">
      <c r="A7426">
        <v>4671333</v>
      </c>
      <c r="B7426" t="s">
        <v>36492</v>
      </c>
      <c r="C7426" t="str">
        <f>"9781442614987"</f>
        <v>9781442614987</v>
      </c>
      <c r="D7426" t="str">
        <f>"9781442672826"</f>
        <v>9781442672826</v>
      </c>
      <c r="E7426" t="s">
        <v>31435</v>
      </c>
      <c r="F7426" t="s">
        <v>31435</v>
      </c>
      <c r="G7426" s="1">
        <v>35796</v>
      </c>
      <c r="J7426" t="s">
        <v>36493</v>
      </c>
      <c r="K7426" t="s">
        <v>1464</v>
      </c>
      <c r="L7426" t="s">
        <v>36494</v>
      </c>
      <c r="M7426">
        <v>821.04209000000003</v>
      </c>
      <c r="O7426" t="s">
        <v>26</v>
      </c>
      <c r="Q7426">
        <v>100</v>
      </c>
      <c r="R7426">
        <v>80</v>
      </c>
      <c r="S7426">
        <v>120</v>
      </c>
      <c r="T7426" t="s">
        <v>36495</v>
      </c>
    </row>
    <row r="7427" spans="1:20">
      <c r="A7427">
        <v>4671334</v>
      </c>
      <c r="B7427" t="s">
        <v>36496</v>
      </c>
      <c r="C7427" t="str">
        <f>"9780802086181"</f>
        <v>9780802086181</v>
      </c>
      <c r="D7427" t="str">
        <f>"9781442672833"</f>
        <v>9781442672833</v>
      </c>
      <c r="E7427" t="s">
        <v>31435</v>
      </c>
      <c r="F7427" t="s">
        <v>31435</v>
      </c>
      <c r="G7427" s="1">
        <v>41773</v>
      </c>
      <c r="H7427">
        <v>2</v>
      </c>
      <c r="J7427" t="s">
        <v>36497</v>
      </c>
      <c r="K7427" t="s">
        <v>376</v>
      </c>
      <c r="L7427" t="s">
        <v>36498</v>
      </c>
      <c r="M7427">
        <v>362.10971000000001</v>
      </c>
      <c r="O7427" t="s">
        <v>26</v>
      </c>
      <c r="Q7427">
        <v>59.94</v>
      </c>
      <c r="R7427">
        <v>47.95</v>
      </c>
      <c r="S7427">
        <v>71.930000000000007</v>
      </c>
      <c r="T7427" t="s">
        <v>36499</v>
      </c>
    </row>
    <row r="7428" spans="1:20">
      <c r="A7428">
        <v>4671336</v>
      </c>
      <c r="B7428" t="s">
        <v>36500</v>
      </c>
      <c r="C7428" t="str">
        <f>"9781442628229"</f>
        <v>9781442628229</v>
      </c>
      <c r="D7428" t="str">
        <f>"9781442672857"</f>
        <v>9781442672857</v>
      </c>
      <c r="E7428" t="s">
        <v>31435</v>
      </c>
      <c r="F7428" t="s">
        <v>31435</v>
      </c>
      <c r="G7428" s="1">
        <v>38718</v>
      </c>
      <c r="I7428" t="s">
        <v>35029</v>
      </c>
      <c r="J7428" t="s">
        <v>36501</v>
      </c>
      <c r="K7428" t="s">
        <v>1859</v>
      </c>
      <c r="L7428" t="s">
        <v>36502</v>
      </c>
      <c r="M7428">
        <v>149.19999999999899</v>
      </c>
      <c r="O7428" t="s">
        <v>26</v>
      </c>
      <c r="Q7428">
        <v>140</v>
      </c>
      <c r="R7428">
        <v>112</v>
      </c>
      <c r="S7428">
        <v>168</v>
      </c>
      <c r="T7428" t="s">
        <v>36503</v>
      </c>
    </row>
    <row r="7429" spans="1:20">
      <c r="A7429">
        <v>4671337</v>
      </c>
      <c r="B7429" t="s">
        <v>36504</v>
      </c>
      <c r="C7429" t="str">
        <f>"9780802071897"</f>
        <v>9780802071897</v>
      </c>
      <c r="D7429" t="str">
        <f>"9781442672864"</f>
        <v>9781442672864</v>
      </c>
      <c r="E7429" t="s">
        <v>31435</v>
      </c>
      <c r="F7429" t="s">
        <v>31435</v>
      </c>
      <c r="G7429" s="1">
        <v>33239</v>
      </c>
      <c r="J7429" t="s">
        <v>36505</v>
      </c>
      <c r="K7429" t="s">
        <v>1464</v>
      </c>
      <c r="L7429" t="s">
        <v>36506</v>
      </c>
      <c r="M7429">
        <v>821.1</v>
      </c>
      <c r="O7429" t="s">
        <v>26</v>
      </c>
      <c r="Q7429">
        <v>59.94</v>
      </c>
      <c r="R7429">
        <v>47.95</v>
      </c>
      <c r="S7429">
        <v>71.930000000000007</v>
      </c>
      <c r="T7429" t="s">
        <v>36507</v>
      </c>
    </row>
    <row r="7430" spans="1:20">
      <c r="A7430">
        <v>4671338</v>
      </c>
      <c r="B7430" t="s">
        <v>36508</v>
      </c>
      <c r="C7430" t="str">
        <f>"9780802025920"</f>
        <v>9780802025920</v>
      </c>
      <c r="D7430" t="str">
        <f>"9781442672871"</f>
        <v>9781442672871</v>
      </c>
      <c r="E7430" t="s">
        <v>31435</v>
      </c>
      <c r="F7430" t="s">
        <v>31435</v>
      </c>
      <c r="G7430" s="1">
        <v>32874</v>
      </c>
      <c r="I7430" t="s">
        <v>36509</v>
      </c>
      <c r="J7430" t="s">
        <v>36510</v>
      </c>
      <c r="K7430" t="s">
        <v>7075</v>
      </c>
      <c r="L7430" t="s">
        <v>36511</v>
      </c>
      <c r="M7430">
        <v>16.821100000000001</v>
      </c>
      <c r="O7430" t="s">
        <v>26</v>
      </c>
      <c r="Q7430">
        <v>123.75</v>
      </c>
      <c r="R7430">
        <v>99</v>
      </c>
      <c r="S7430">
        <v>148.5</v>
      </c>
      <c r="T7430" t="s">
        <v>36512</v>
      </c>
    </row>
    <row r="7431" spans="1:20">
      <c r="A7431">
        <v>4671339</v>
      </c>
      <c r="B7431" t="s">
        <v>36513</v>
      </c>
      <c r="C7431" t="str">
        <f>"9781442614857"</f>
        <v>9781442614857</v>
      </c>
      <c r="D7431" t="str">
        <f>"9781442672888"</f>
        <v>9781442672888</v>
      </c>
      <c r="E7431" t="s">
        <v>31435</v>
      </c>
      <c r="F7431" t="s">
        <v>31435</v>
      </c>
      <c r="G7431" s="1">
        <v>33239</v>
      </c>
      <c r="I7431" t="s">
        <v>36509</v>
      </c>
      <c r="J7431" t="s">
        <v>36514</v>
      </c>
      <c r="K7431" t="s">
        <v>7075</v>
      </c>
      <c r="L7431" t="s">
        <v>36515</v>
      </c>
      <c r="M7431">
        <v>16.821100000000001</v>
      </c>
      <c r="O7431" t="s">
        <v>26</v>
      </c>
      <c r="Q7431">
        <v>161.25</v>
      </c>
      <c r="R7431">
        <v>129</v>
      </c>
      <c r="S7431">
        <v>193.5</v>
      </c>
      <c r="T7431" t="s">
        <v>36516</v>
      </c>
    </row>
    <row r="7432" spans="1:20">
      <c r="A7432">
        <v>4671340</v>
      </c>
      <c r="B7432" t="s">
        <v>36517</v>
      </c>
      <c r="C7432" t="str">
        <f>"9780802008749"</f>
        <v>9780802008749</v>
      </c>
      <c r="D7432" t="str">
        <f>"9781442672895"</f>
        <v>9781442672895</v>
      </c>
      <c r="E7432" t="s">
        <v>31435</v>
      </c>
      <c r="F7432" t="s">
        <v>31435</v>
      </c>
      <c r="G7432" s="1">
        <v>35431</v>
      </c>
      <c r="I7432" t="s">
        <v>36509</v>
      </c>
      <c r="J7432" t="s">
        <v>36518</v>
      </c>
      <c r="K7432" t="s">
        <v>7075</v>
      </c>
      <c r="L7432" t="s">
        <v>36519</v>
      </c>
      <c r="M7432">
        <v>16.821100000000001</v>
      </c>
      <c r="O7432" t="s">
        <v>26</v>
      </c>
      <c r="Q7432">
        <v>143.75</v>
      </c>
      <c r="R7432">
        <v>115</v>
      </c>
      <c r="S7432">
        <v>172.5</v>
      </c>
      <c r="T7432" t="s">
        <v>36520</v>
      </c>
    </row>
    <row r="7433" spans="1:20">
      <c r="A7433">
        <v>4671341</v>
      </c>
      <c r="B7433" t="s">
        <v>36521</v>
      </c>
      <c r="C7433" t="str">
        <f>"9780802047441"</f>
        <v>9780802047441</v>
      </c>
      <c r="D7433" t="str">
        <f>"9781442672901"</f>
        <v>9781442672901</v>
      </c>
      <c r="E7433" t="s">
        <v>31435</v>
      </c>
      <c r="F7433" t="s">
        <v>31435</v>
      </c>
      <c r="G7433" s="1">
        <v>36526</v>
      </c>
      <c r="I7433" t="s">
        <v>36509</v>
      </c>
      <c r="J7433" t="s">
        <v>36522</v>
      </c>
      <c r="K7433" t="s">
        <v>7075</v>
      </c>
      <c r="L7433" t="s">
        <v>36523</v>
      </c>
      <c r="M7433">
        <v>16.821100000000001</v>
      </c>
      <c r="O7433" t="s">
        <v>26</v>
      </c>
      <c r="Q7433">
        <v>178.75</v>
      </c>
      <c r="R7433">
        <v>143</v>
      </c>
      <c r="S7433">
        <v>214.5</v>
      </c>
      <c r="T7433" t="s">
        <v>36524</v>
      </c>
    </row>
    <row r="7434" spans="1:20">
      <c r="A7434">
        <v>4671342</v>
      </c>
      <c r="B7434" t="s">
        <v>36525</v>
      </c>
      <c r="C7434" t="str">
        <f>"9780802090355"</f>
        <v>9780802090355</v>
      </c>
      <c r="D7434" t="str">
        <f>"9781442672918"</f>
        <v>9781442672918</v>
      </c>
      <c r="E7434" t="s">
        <v>31435</v>
      </c>
      <c r="F7434" t="s">
        <v>31435</v>
      </c>
      <c r="G7434" s="1">
        <v>41773</v>
      </c>
      <c r="J7434" t="s">
        <v>36526</v>
      </c>
      <c r="K7434" t="s">
        <v>1464</v>
      </c>
      <c r="L7434" t="s">
        <v>36527</v>
      </c>
      <c r="M7434">
        <v>821.1</v>
      </c>
      <c r="O7434" t="s">
        <v>26</v>
      </c>
      <c r="Q7434">
        <v>140</v>
      </c>
      <c r="R7434">
        <v>112</v>
      </c>
      <c r="S7434">
        <v>168</v>
      </c>
      <c r="T7434" t="s">
        <v>36528</v>
      </c>
    </row>
    <row r="7435" spans="1:20">
      <c r="A7435">
        <v>4671343</v>
      </c>
      <c r="B7435" t="s">
        <v>36529</v>
      </c>
      <c r="C7435" t="str">
        <f>"9780802077905"</f>
        <v>9780802077905</v>
      </c>
      <c r="D7435" t="str">
        <f>"9781442672932"</f>
        <v>9781442672932</v>
      </c>
      <c r="E7435" t="s">
        <v>31435</v>
      </c>
      <c r="F7435" t="s">
        <v>31435</v>
      </c>
      <c r="G7435" s="1">
        <v>35796</v>
      </c>
      <c r="H7435">
        <v>2</v>
      </c>
      <c r="J7435" t="s">
        <v>36530</v>
      </c>
      <c r="K7435" t="s">
        <v>2260</v>
      </c>
      <c r="L7435" t="s">
        <v>36531</v>
      </c>
      <c r="M7435">
        <v>616.0472019</v>
      </c>
      <c r="O7435" t="s">
        <v>26</v>
      </c>
      <c r="Q7435">
        <v>59.94</v>
      </c>
      <c r="R7435">
        <v>47.95</v>
      </c>
      <c r="S7435">
        <v>71.930000000000007</v>
      </c>
      <c r="T7435" t="s">
        <v>36532</v>
      </c>
    </row>
    <row r="7436" spans="1:20">
      <c r="A7436">
        <v>4671344</v>
      </c>
      <c r="B7436" t="s">
        <v>36533</v>
      </c>
      <c r="C7436" t="str">
        <f>"9780802035974"</f>
        <v>9780802035974</v>
      </c>
      <c r="D7436" t="str">
        <f>"9781442672949"</f>
        <v>9781442672949</v>
      </c>
      <c r="E7436" t="s">
        <v>31435</v>
      </c>
      <c r="F7436" t="s">
        <v>31435</v>
      </c>
      <c r="G7436" s="1">
        <v>37987</v>
      </c>
      <c r="H7436">
        <v>2</v>
      </c>
      <c r="J7436" t="s">
        <v>36530</v>
      </c>
      <c r="K7436" t="s">
        <v>2260</v>
      </c>
      <c r="L7436" t="s">
        <v>36534</v>
      </c>
      <c r="M7436">
        <v>616.00189999999895</v>
      </c>
      <c r="O7436" t="s">
        <v>26</v>
      </c>
      <c r="Q7436">
        <v>110</v>
      </c>
      <c r="R7436">
        <v>88</v>
      </c>
      <c r="S7436">
        <v>132</v>
      </c>
      <c r="T7436" t="s">
        <v>36535</v>
      </c>
    </row>
    <row r="7437" spans="1:20">
      <c r="A7437">
        <v>4671345</v>
      </c>
      <c r="B7437" t="s">
        <v>36536</v>
      </c>
      <c r="C7437" t="str">
        <f>"9780802039125"</f>
        <v>9780802039125</v>
      </c>
      <c r="D7437" t="str">
        <f>"9781442672956"</f>
        <v>9781442672956</v>
      </c>
      <c r="E7437" t="s">
        <v>31435</v>
      </c>
      <c r="F7437" t="s">
        <v>31435</v>
      </c>
      <c r="G7437" s="1">
        <v>38318</v>
      </c>
      <c r="H7437">
        <v>2</v>
      </c>
      <c r="I7437" t="s">
        <v>35056</v>
      </c>
      <c r="J7437" t="s">
        <v>36537</v>
      </c>
      <c r="K7437" t="s">
        <v>1471</v>
      </c>
      <c r="L7437" t="s">
        <v>36538</v>
      </c>
      <c r="M7437">
        <v>791.43014000000005</v>
      </c>
      <c r="N7437" t="s">
        <v>36539</v>
      </c>
      <c r="O7437" t="s">
        <v>26</v>
      </c>
      <c r="Q7437">
        <v>172.5</v>
      </c>
      <c r="R7437">
        <v>138</v>
      </c>
      <c r="S7437">
        <v>207</v>
      </c>
      <c r="T7437" t="s">
        <v>36540</v>
      </c>
    </row>
    <row r="7438" spans="1:20">
      <c r="A7438">
        <v>4671346</v>
      </c>
      <c r="B7438" t="s">
        <v>36541</v>
      </c>
      <c r="C7438" t="str">
        <f>"9780802078353"</f>
        <v>9780802078353</v>
      </c>
      <c r="D7438" t="str">
        <f>"9781442672963"</f>
        <v>9781442672963</v>
      </c>
      <c r="E7438" t="s">
        <v>31435</v>
      </c>
      <c r="F7438" t="s">
        <v>31435</v>
      </c>
      <c r="G7438" s="1">
        <v>37611</v>
      </c>
      <c r="H7438">
        <v>2</v>
      </c>
      <c r="J7438" t="s">
        <v>36542</v>
      </c>
      <c r="K7438" t="s">
        <v>467</v>
      </c>
      <c r="L7438" t="s">
        <v>36543</v>
      </c>
      <c r="M7438">
        <v>323.60971000000001</v>
      </c>
      <c r="O7438" t="s">
        <v>26</v>
      </c>
      <c r="Q7438">
        <v>143.75</v>
      </c>
      <c r="R7438">
        <v>115</v>
      </c>
      <c r="S7438">
        <v>172.5</v>
      </c>
      <c r="T7438" t="s">
        <v>36544</v>
      </c>
    </row>
    <row r="7439" spans="1:20">
      <c r="A7439">
        <v>4671347</v>
      </c>
      <c r="B7439" t="s">
        <v>36545</v>
      </c>
      <c r="C7439" t="str">
        <f>"9780802074485"</f>
        <v>9780802074485</v>
      </c>
      <c r="D7439" t="str">
        <f>"9781442672970"</f>
        <v>9781442672970</v>
      </c>
      <c r="E7439" t="s">
        <v>31435</v>
      </c>
      <c r="F7439" t="s">
        <v>31435</v>
      </c>
      <c r="G7439" s="1">
        <v>34335</v>
      </c>
      <c r="I7439" t="s">
        <v>31443</v>
      </c>
      <c r="J7439" t="s">
        <v>36546</v>
      </c>
      <c r="K7439" t="s">
        <v>263</v>
      </c>
      <c r="L7439" t="s">
        <v>36547</v>
      </c>
      <c r="M7439">
        <v>307.76097135409901</v>
      </c>
      <c r="O7439" t="s">
        <v>26</v>
      </c>
      <c r="Q7439">
        <v>91.25</v>
      </c>
      <c r="R7439">
        <v>73</v>
      </c>
      <c r="S7439">
        <v>109.5</v>
      </c>
      <c r="T7439" t="s">
        <v>36548</v>
      </c>
    </row>
    <row r="7440" spans="1:20">
      <c r="A7440">
        <v>4671348</v>
      </c>
      <c r="B7440" t="s">
        <v>36549</v>
      </c>
      <c r="C7440" t="str">
        <f>"9780802005144"</f>
        <v>9780802005144</v>
      </c>
      <c r="D7440" t="str">
        <f>"9781442672987"</f>
        <v>9781442672987</v>
      </c>
      <c r="E7440" t="s">
        <v>31435</v>
      </c>
      <c r="F7440" t="s">
        <v>31435</v>
      </c>
      <c r="G7440" s="1">
        <v>35167</v>
      </c>
      <c r="J7440" t="s">
        <v>36550</v>
      </c>
      <c r="K7440" t="s">
        <v>263</v>
      </c>
      <c r="L7440" t="s">
        <v>36551</v>
      </c>
      <c r="M7440">
        <v>307.76097099999902</v>
      </c>
      <c r="O7440" t="s">
        <v>26</v>
      </c>
      <c r="Q7440">
        <v>117.5</v>
      </c>
      <c r="R7440">
        <v>94</v>
      </c>
      <c r="S7440">
        <v>141</v>
      </c>
      <c r="T7440" t="s">
        <v>36552</v>
      </c>
    </row>
    <row r="7441" spans="1:20">
      <c r="A7441">
        <v>4671349</v>
      </c>
      <c r="B7441" t="s">
        <v>36553</v>
      </c>
      <c r="C7441" t="str">
        <f>"9780802077646"</f>
        <v>9780802077646</v>
      </c>
      <c r="D7441" t="str">
        <f>"9781442672994"</f>
        <v>9781442672994</v>
      </c>
      <c r="E7441" t="s">
        <v>31435</v>
      </c>
      <c r="F7441" t="s">
        <v>31435</v>
      </c>
      <c r="G7441" s="1">
        <v>33604</v>
      </c>
      <c r="H7441">
        <v>2</v>
      </c>
      <c r="J7441" t="s">
        <v>36554</v>
      </c>
      <c r="K7441" t="s">
        <v>416</v>
      </c>
      <c r="L7441" t="s">
        <v>36555</v>
      </c>
      <c r="M7441">
        <v>330.15300000000002</v>
      </c>
      <c r="O7441" t="s">
        <v>26</v>
      </c>
      <c r="Q7441">
        <v>59.94</v>
      </c>
      <c r="R7441">
        <v>47.95</v>
      </c>
      <c r="S7441">
        <v>71.930000000000007</v>
      </c>
      <c r="T7441" t="s">
        <v>36556</v>
      </c>
    </row>
    <row r="7442" spans="1:20">
      <c r="A7442">
        <v>4671350</v>
      </c>
      <c r="B7442" t="s">
        <v>36557</v>
      </c>
      <c r="C7442" t="str">
        <f>"9780802005700"</f>
        <v>9780802005700</v>
      </c>
      <c r="D7442" t="str">
        <f>"9781442673007"</f>
        <v>9781442673007</v>
      </c>
      <c r="E7442" t="s">
        <v>31435</v>
      </c>
      <c r="F7442" t="s">
        <v>31435</v>
      </c>
      <c r="G7442" s="1">
        <v>34335</v>
      </c>
      <c r="I7442" t="s">
        <v>36558</v>
      </c>
      <c r="J7442" t="s">
        <v>36559</v>
      </c>
      <c r="K7442" t="s">
        <v>1464</v>
      </c>
      <c r="L7442" t="s">
        <v>36560</v>
      </c>
      <c r="M7442">
        <v>821.009142</v>
      </c>
      <c r="O7442" t="s">
        <v>26</v>
      </c>
      <c r="Q7442">
        <v>107.5</v>
      </c>
      <c r="R7442">
        <v>86</v>
      </c>
      <c r="S7442">
        <v>129</v>
      </c>
      <c r="T7442" t="s">
        <v>36561</v>
      </c>
    </row>
    <row r="7443" spans="1:20">
      <c r="A7443">
        <v>4671351</v>
      </c>
      <c r="B7443" t="s">
        <v>36562</v>
      </c>
      <c r="C7443" t="str">
        <f>"9780802037985"</f>
        <v>9780802037985</v>
      </c>
      <c r="D7443" t="str">
        <f>"9781442673014"</f>
        <v>9781442673014</v>
      </c>
      <c r="E7443" t="s">
        <v>31435</v>
      </c>
      <c r="F7443" t="s">
        <v>31435</v>
      </c>
      <c r="G7443" s="1">
        <v>37987</v>
      </c>
      <c r="H7443">
        <v>2</v>
      </c>
      <c r="J7443" t="s">
        <v>20140</v>
      </c>
      <c r="K7443" t="s">
        <v>2260</v>
      </c>
      <c r="L7443" t="s">
        <v>36563</v>
      </c>
      <c r="M7443">
        <v>610.9</v>
      </c>
      <c r="O7443" t="s">
        <v>26</v>
      </c>
      <c r="Q7443">
        <v>117.5</v>
      </c>
      <c r="R7443">
        <v>94</v>
      </c>
      <c r="S7443">
        <v>141</v>
      </c>
      <c r="T7443" t="s">
        <v>36564</v>
      </c>
    </row>
    <row r="7444" spans="1:20">
      <c r="A7444">
        <v>4671352</v>
      </c>
      <c r="B7444" t="s">
        <v>36565</v>
      </c>
      <c r="C7444" t="str">
        <f>"9780802084552"</f>
        <v>9780802084552</v>
      </c>
      <c r="D7444" t="str">
        <f>"9781442673021"</f>
        <v>9781442673021</v>
      </c>
      <c r="E7444" t="s">
        <v>31435</v>
      </c>
      <c r="F7444" t="s">
        <v>31435</v>
      </c>
      <c r="G7444" s="1">
        <v>35796</v>
      </c>
      <c r="J7444" t="s">
        <v>36566</v>
      </c>
      <c r="K7444" t="s">
        <v>263</v>
      </c>
      <c r="L7444" t="s">
        <v>36567</v>
      </c>
      <c r="M7444">
        <v>363.20924000000002</v>
      </c>
      <c r="O7444" t="s">
        <v>26</v>
      </c>
      <c r="Q7444">
        <v>71.25</v>
      </c>
      <c r="R7444">
        <v>57</v>
      </c>
      <c r="S7444">
        <v>85.5</v>
      </c>
      <c r="T7444" t="s">
        <v>36568</v>
      </c>
    </row>
    <row r="7445" spans="1:20">
      <c r="A7445">
        <v>4671353</v>
      </c>
      <c r="B7445" t="s">
        <v>36569</v>
      </c>
      <c r="C7445" t="str">
        <f>"9780802085580"</f>
        <v>9780802085580</v>
      </c>
      <c r="D7445" t="str">
        <f>"9781442673038"</f>
        <v>9781442673038</v>
      </c>
      <c r="E7445" t="s">
        <v>31435</v>
      </c>
      <c r="F7445" t="s">
        <v>31435</v>
      </c>
      <c r="G7445" s="1">
        <v>41773</v>
      </c>
      <c r="J7445" t="s">
        <v>36570</v>
      </c>
      <c r="K7445" t="s">
        <v>4562</v>
      </c>
      <c r="L7445" t="s">
        <v>36571</v>
      </c>
      <c r="M7445">
        <v>306.87430000000001</v>
      </c>
      <c r="O7445" t="s">
        <v>26</v>
      </c>
      <c r="Q7445">
        <v>107.5</v>
      </c>
      <c r="R7445">
        <v>86</v>
      </c>
      <c r="S7445">
        <v>129</v>
      </c>
      <c r="T7445" t="s">
        <v>36572</v>
      </c>
    </row>
    <row r="7446" spans="1:20">
      <c r="A7446">
        <v>4671355</v>
      </c>
      <c r="B7446" t="s">
        <v>36573</v>
      </c>
      <c r="C7446" t="str">
        <f>"9780802007629"</f>
        <v>9780802007629</v>
      </c>
      <c r="D7446" t="str">
        <f>"9781442673052"</f>
        <v>9781442673052</v>
      </c>
      <c r="E7446" t="s">
        <v>31435</v>
      </c>
      <c r="F7446" t="s">
        <v>31435</v>
      </c>
      <c r="G7446" s="1">
        <v>36603</v>
      </c>
      <c r="I7446" t="s">
        <v>36574</v>
      </c>
      <c r="J7446" t="s">
        <v>36575</v>
      </c>
      <c r="K7446" t="s">
        <v>1859</v>
      </c>
      <c r="L7446" t="s">
        <v>36576</v>
      </c>
      <c r="M7446">
        <v>191</v>
      </c>
      <c r="O7446" t="s">
        <v>26</v>
      </c>
      <c r="Q7446">
        <v>151.25</v>
      </c>
      <c r="R7446">
        <v>121</v>
      </c>
      <c r="S7446">
        <v>181.5</v>
      </c>
      <c r="T7446" t="s">
        <v>36577</v>
      </c>
    </row>
    <row r="7447" spans="1:20">
      <c r="A7447">
        <v>4671356</v>
      </c>
      <c r="B7447" t="s">
        <v>36578</v>
      </c>
      <c r="C7447" t="str">
        <f>"9780802007636"</f>
        <v>9780802007636</v>
      </c>
      <c r="D7447" t="str">
        <f>"9781442673069"</f>
        <v>9781442673069</v>
      </c>
      <c r="E7447" t="s">
        <v>31435</v>
      </c>
      <c r="F7447" t="s">
        <v>31435</v>
      </c>
      <c r="G7447" s="1">
        <v>37257</v>
      </c>
      <c r="I7447" t="s">
        <v>36574</v>
      </c>
      <c r="J7447" t="s">
        <v>36575</v>
      </c>
      <c r="K7447" t="s">
        <v>1859</v>
      </c>
      <c r="L7447" t="s">
        <v>36579</v>
      </c>
      <c r="M7447">
        <v>191</v>
      </c>
      <c r="O7447" t="s">
        <v>26</v>
      </c>
      <c r="Q7447">
        <v>232.5</v>
      </c>
      <c r="R7447">
        <v>186</v>
      </c>
      <c r="S7447">
        <v>279</v>
      </c>
      <c r="T7447" t="s">
        <v>36580</v>
      </c>
    </row>
    <row r="7448" spans="1:20">
      <c r="A7448">
        <v>4671357</v>
      </c>
      <c r="B7448" t="s">
        <v>36581</v>
      </c>
      <c r="C7448" t="str">
        <f>"9780802039040"</f>
        <v>9780802039040</v>
      </c>
      <c r="D7448" t="str">
        <f>"9781442673076"</f>
        <v>9781442673076</v>
      </c>
      <c r="E7448" t="s">
        <v>31435</v>
      </c>
      <c r="F7448" t="s">
        <v>31435</v>
      </c>
      <c r="G7448" s="1">
        <v>38682</v>
      </c>
      <c r="I7448" t="s">
        <v>36574</v>
      </c>
      <c r="J7448" t="s">
        <v>36582</v>
      </c>
      <c r="K7448" t="s">
        <v>1859</v>
      </c>
      <c r="L7448" t="s">
        <v>36583</v>
      </c>
      <c r="M7448">
        <v>191</v>
      </c>
      <c r="O7448" t="s">
        <v>26</v>
      </c>
      <c r="Q7448">
        <v>227.5</v>
      </c>
      <c r="R7448">
        <v>182</v>
      </c>
      <c r="S7448">
        <v>273</v>
      </c>
      <c r="T7448" t="s">
        <v>36584</v>
      </c>
    </row>
    <row r="7449" spans="1:20">
      <c r="A7449">
        <v>4671359</v>
      </c>
      <c r="B7449" t="s">
        <v>36585</v>
      </c>
      <c r="C7449" t="str">
        <f>"9780802083036"</f>
        <v>9780802083036</v>
      </c>
      <c r="D7449" t="str">
        <f>"9781442673113"</f>
        <v>9781442673113</v>
      </c>
      <c r="E7449" t="s">
        <v>31435</v>
      </c>
      <c r="F7449" t="s">
        <v>31435</v>
      </c>
      <c r="G7449" s="1">
        <v>36526</v>
      </c>
      <c r="I7449" t="s">
        <v>31450</v>
      </c>
      <c r="J7449" t="s">
        <v>36056</v>
      </c>
      <c r="K7449" t="s">
        <v>1892</v>
      </c>
      <c r="L7449" t="s">
        <v>36586</v>
      </c>
      <c r="M7449">
        <v>266.25984</v>
      </c>
      <c r="O7449" t="s">
        <v>26</v>
      </c>
      <c r="Q7449">
        <v>115</v>
      </c>
      <c r="R7449">
        <v>92</v>
      </c>
      <c r="S7449">
        <v>138</v>
      </c>
      <c r="T7449" t="s">
        <v>36587</v>
      </c>
    </row>
    <row r="7450" spans="1:20">
      <c r="A7450">
        <v>4671361</v>
      </c>
      <c r="B7450" t="s">
        <v>36588</v>
      </c>
      <c r="C7450" t="str">
        <f>"9780802036339"</f>
        <v>9780802036339</v>
      </c>
      <c r="D7450" t="str">
        <f>"9781442673137"</f>
        <v>9781442673137</v>
      </c>
      <c r="E7450" t="s">
        <v>31435</v>
      </c>
      <c r="F7450" t="s">
        <v>31435</v>
      </c>
      <c r="G7450" s="1">
        <v>37257</v>
      </c>
      <c r="I7450" t="s">
        <v>35264</v>
      </c>
      <c r="J7450" t="s">
        <v>36589</v>
      </c>
      <c r="K7450" t="s">
        <v>1464</v>
      </c>
      <c r="L7450" t="s">
        <v>36590</v>
      </c>
      <c r="M7450">
        <v>820.9008</v>
      </c>
      <c r="O7450" t="s">
        <v>26</v>
      </c>
      <c r="Q7450">
        <v>115</v>
      </c>
      <c r="R7450">
        <v>92</v>
      </c>
      <c r="S7450">
        <v>138</v>
      </c>
      <c r="T7450" t="s">
        <v>36591</v>
      </c>
    </row>
    <row r="7451" spans="1:20">
      <c r="A7451">
        <v>4671362</v>
      </c>
      <c r="B7451" t="s">
        <v>36592</v>
      </c>
      <c r="C7451" t="str">
        <f>"9781442614888"</f>
        <v>9781442614888</v>
      </c>
      <c r="D7451" t="str">
        <f>"9781442673151"</f>
        <v>9781442673151</v>
      </c>
      <c r="E7451" t="s">
        <v>31435</v>
      </c>
      <c r="F7451" t="s">
        <v>31435</v>
      </c>
      <c r="G7451" s="1">
        <v>35796</v>
      </c>
      <c r="I7451" t="s">
        <v>36249</v>
      </c>
      <c r="J7451" t="s">
        <v>36593</v>
      </c>
      <c r="K7451" t="s">
        <v>27928</v>
      </c>
      <c r="L7451" t="s">
        <v>36594</v>
      </c>
      <c r="M7451">
        <v>338.3727094843</v>
      </c>
      <c r="O7451" t="s">
        <v>26</v>
      </c>
      <c r="Q7451">
        <v>115</v>
      </c>
      <c r="R7451">
        <v>92</v>
      </c>
      <c r="S7451">
        <v>138</v>
      </c>
      <c r="T7451" t="s">
        <v>36595</v>
      </c>
    </row>
    <row r="7452" spans="1:20">
      <c r="A7452">
        <v>4671363</v>
      </c>
      <c r="B7452" t="s">
        <v>36596</v>
      </c>
      <c r="C7452" t="str">
        <f>"9780802082541"</f>
        <v>9780802082541</v>
      </c>
      <c r="D7452" t="str">
        <f>"9781442673168"</f>
        <v>9781442673168</v>
      </c>
      <c r="E7452" t="s">
        <v>31435</v>
      </c>
      <c r="F7452" t="s">
        <v>31435</v>
      </c>
      <c r="G7452" s="1">
        <v>36161</v>
      </c>
      <c r="J7452" t="s">
        <v>36597</v>
      </c>
      <c r="K7452" t="s">
        <v>291</v>
      </c>
      <c r="L7452" t="s">
        <v>36598</v>
      </c>
      <c r="M7452">
        <v>971.18703091999896</v>
      </c>
      <c r="O7452" t="s">
        <v>26</v>
      </c>
      <c r="Q7452">
        <v>100</v>
      </c>
      <c r="R7452">
        <v>80</v>
      </c>
      <c r="S7452">
        <v>120</v>
      </c>
      <c r="T7452" t="s">
        <v>36599</v>
      </c>
    </row>
    <row r="7453" spans="1:20">
      <c r="A7453">
        <v>4671364</v>
      </c>
      <c r="B7453" t="s">
        <v>36600</v>
      </c>
      <c r="C7453" t="str">
        <f>"9780802005403"</f>
        <v>9780802005403</v>
      </c>
      <c r="D7453" t="str">
        <f>"9781442673175"</f>
        <v>9781442673175</v>
      </c>
      <c r="E7453" t="s">
        <v>31435</v>
      </c>
      <c r="F7453" t="s">
        <v>31435</v>
      </c>
      <c r="G7453" s="1">
        <v>34372</v>
      </c>
      <c r="J7453" t="s">
        <v>36601</v>
      </c>
      <c r="K7453" t="s">
        <v>11854</v>
      </c>
      <c r="L7453" t="s">
        <v>36602</v>
      </c>
      <c r="M7453">
        <v>829.10090000000002</v>
      </c>
      <c r="O7453" t="s">
        <v>26</v>
      </c>
      <c r="Q7453">
        <v>93.75</v>
      </c>
      <c r="R7453">
        <v>75</v>
      </c>
      <c r="S7453">
        <v>112.5</v>
      </c>
      <c r="T7453" t="s">
        <v>36603</v>
      </c>
    </row>
    <row r="7454" spans="1:20">
      <c r="A7454">
        <v>4671365</v>
      </c>
      <c r="B7454" t="s">
        <v>36604</v>
      </c>
      <c r="C7454" t="str">
        <f>"9780802036643"</f>
        <v>9780802036643</v>
      </c>
      <c r="D7454" t="str">
        <f>"9781442673182"</f>
        <v>9781442673182</v>
      </c>
      <c r="E7454" t="s">
        <v>31435</v>
      </c>
      <c r="F7454" t="s">
        <v>31435</v>
      </c>
      <c r="G7454" s="1">
        <v>37622</v>
      </c>
      <c r="J7454" t="s">
        <v>36605</v>
      </c>
      <c r="K7454" t="s">
        <v>467</v>
      </c>
      <c r="L7454" t="s">
        <v>36606</v>
      </c>
      <c r="M7454">
        <v>323.09710000000001</v>
      </c>
      <c r="O7454" t="s">
        <v>26</v>
      </c>
      <c r="Q7454">
        <v>107.5</v>
      </c>
      <c r="R7454">
        <v>86</v>
      </c>
      <c r="S7454">
        <v>129</v>
      </c>
      <c r="T7454" t="s">
        <v>36607</v>
      </c>
    </row>
    <row r="7455" spans="1:20">
      <c r="A7455">
        <v>4671366</v>
      </c>
      <c r="B7455" t="s">
        <v>36608</v>
      </c>
      <c r="C7455" t="str">
        <f>"9780802032614"</f>
        <v>9780802032614</v>
      </c>
      <c r="D7455" t="str">
        <f>"9781442673199"</f>
        <v>9781442673199</v>
      </c>
      <c r="E7455" t="s">
        <v>31435</v>
      </c>
      <c r="F7455" t="s">
        <v>31435</v>
      </c>
      <c r="G7455" s="1">
        <v>25477</v>
      </c>
      <c r="J7455" t="s">
        <v>36609</v>
      </c>
      <c r="K7455" t="s">
        <v>7075</v>
      </c>
      <c r="L7455" t="s">
        <v>36610</v>
      </c>
      <c r="M7455">
        <v>36.1</v>
      </c>
      <c r="O7455" t="s">
        <v>26</v>
      </c>
      <c r="Q7455">
        <v>178.75</v>
      </c>
      <c r="R7455">
        <v>143</v>
      </c>
      <c r="S7455">
        <v>214.5</v>
      </c>
      <c r="T7455" t="s">
        <v>36611</v>
      </c>
    </row>
    <row r="7456" spans="1:20">
      <c r="A7456">
        <v>4671367</v>
      </c>
      <c r="B7456" t="s">
        <v>36612</v>
      </c>
      <c r="C7456" t="str">
        <f>"9780802042033"</f>
        <v>9780802042033</v>
      </c>
      <c r="D7456" t="str">
        <f>"9781442673205"</f>
        <v>9781442673205</v>
      </c>
      <c r="E7456" t="s">
        <v>31435</v>
      </c>
      <c r="F7456" t="s">
        <v>31435</v>
      </c>
      <c r="G7456" s="1">
        <v>36082</v>
      </c>
      <c r="H7456">
        <v>74</v>
      </c>
      <c r="J7456" t="s">
        <v>36613</v>
      </c>
      <c r="K7456" t="s">
        <v>3230</v>
      </c>
      <c r="L7456" t="s">
        <v>36614</v>
      </c>
      <c r="M7456">
        <v>911.71</v>
      </c>
      <c r="O7456" t="s">
        <v>26</v>
      </c>
      <c r="Q7456">
        <v>165</v>
      </c>
      <c r="R7456">
        <v>132</v>
      </c>
      <c r="S7456">
        <v>198</v>
      </c>
      <c r="T7456" t="s">
        <v>36615</v>
      </c>
    </row>
    <row r="7457" spans="1:20">
      <c r="A7457">
        <v>4671369</v>
      </c>
      <c r="B7457" t="s">
        <v>36616</v>
      </c>
      <c r="C7457" t="str">
        <f>"9780802056801"</f>
        <v>9780802056801</v>
      </c>
      <c r="D7457" t="str">
        <f>"9781442673229"</f>
        <v>9781442673229</v>
      </c>
      <c r="E7457" t="s">
        <v>31435</v>
      </c>
      <c r="F7457" t="s">
        <v>31435</v>
      </c>
      <c r="G7457" s="1">
        <v>31625</v>
      </c>
      <c r="I7457" t="s">
        <v>36617</v>
      </c>
      <c r="J7457" t="s">
        <v>36618</v>
      </c>
      <c r="K7457" t="s">
        <v>305</v>
      </c>
      <c r="L7457" t="s">
        <v>36619</v>
      </c>
      <c r="M7457">
        <v>382.70970999999901</v>
      </c>
      <c r="O7457" t="s">
        <v>26</v>
      </c>
      <c r="Q7457">
        <v>70</v>
      </c>
      <c r="R7457">
        <v>56</v>
      </c>
      <c r="S7457">
        <v>84</v>
      </c>
      <c r="T7457" t="s">
        <v>36620</v>
      </c>
    </row>
    <row r="7458" spans="1:20">
      <c r="A7458">
        <v>4671370</v>
      </c>
      <c r="B7458" t="s">
        <v>36621</v>
      </c>
      <c r="C7458" t="str">
        <f>"9780802044259"</f>
        <v>9780802044259</v>
      </c>
      <c r="D7458" t="str">
        <f>"9781442673236"</f>
        <v>9781442673236</v>
      </c>
      <c r="E7458" t="s">
        <v>31435</v>
      </c>
      <c r="F7458" t="s">
        <v>31435</v>
      </c>
      <c r="G7458" s="1">
        <v>36281</v>
      </c>
      <c r="J7458" t="s">
        <v>36622</v>
      </c>
      <c r="K7458" t="s">
        <v>291</v>
      </c>
      <c r="L7458" t="s">
        <v>36623</v>
      </c>
      <c r="M7458">
        <v>971.07201999999904</v>
      </c>
      <c r="O7458" t="s">
        <v>26</v>
      </c>
      <c r="Q7458">
        <v>59.94</v>
      </c>
      <c r="R7458">
        <v>47.95</v>
      </c>
      <c r="S7458">
        <v>71.930000000000007</v>
      </c>
      <c r="T7458" t="s">
        <v>36624</v>
      </c>
    </row>
    <row r="7459" spans="1:20">
      <c r="A7459">
        <v>4671371</v>
      </c>
      <c r="B7459" t="s">
        <v>36625</v>
      </c>
      <c r="C7459" t="str">
        <f>"9781442614871"</f>
        <v>9781442614871</v>
      </c>
      <c r="D7459" t="str">
        <f>"9781442673243"</f>
        <v>9781442673243</v>
      </c>
      <c r="E7459" t="s">
        <v>31435</v>
      </c>
      <c r="F7459" t="s">
        <v>31435</v>
      </c>
      <c r="G7459" s="1">
        <v>36892</v>
      </c>
      <c r="J7459" t="s">
        <v>36626</v>
      </c>
      <c r="K7459" t="s">
        <v>1859</v>
      </c>
      <c r="L7459" t="s">
        <v>36627</v>
      </c>
      <c r="M7459">
        <v>170</v>
      </c>
      <c r="O7459" t="s">
        <v>26</v>
      </c>
      <c r="Q7459">
        <v>91.25</v>
      </c>
      <c r="R7459">
        <v>73</v>
      </c>
      <c r="S7459">
        <v>109.5</v>
      </c>
      <c r="T7459" t="s">
        <v>36628</v>
      </c>
    </row>
    <row r="7460" spans="1:20">
      <c r="A7460">
        <v>4671372</v>
      </c>
      <c r="B7460" t="s">
        <v>36629</v>
      </c>
      <c r="C7460" t="str">
        <f>"9780802084569"</f>
        <v>9780802084569</v>
      </c>
      <c r="D7460" t="str">
        <f>"9781442673267"</f>
        <v>9781442673267</v>
      </c>
      <c r="E7460" t="s">
        <v>31435</v>
      </c>
      <c r="F7460" t="s">
        <v>31435</v>
      </c>
      <c r="G7460" s="1">
        <v>37289</v>
      </c>
      <c r="J7460" t="s">
        <v>36630</v>
      </c>
      <c r="K7460" t="s">
        <v>525</v>
      </c>
      <c r="L7460" t="s">
        <v>36631</v>
      </c>
      <c r="M7460">
        <v>340.1</v>
      </c>
      <c r="N7460" t="s">
        <v>36632</v>
      </c>
      <c r="O7460" t="s">
        <v>26</v>
      </c>
      <c r="Q7460">
        <v>178.75</v>
      </c>
      <c r="R7460">
        <v>143</v>
      </c>
      <c r="S7460">
        <v>214.5</v>
      </c>
      <c r="T7460" t="s">
        <v>36633</v>
      </c>
    </row>
    <row r="7461" spans="1:20">
      <c r="A7461">
        <v>4671373</v>
      </c>
      <c r="B7461" t="s">
        <v>36634</v>
      </c>
      <c r="C7461" t="str">
        <f>"9780802036780"</f>
        <v>9780802036780</v>
      </c>
      <c r="D7461" t="str">
        <f>"9781442673274"</f>
        <v>9781442673274</v>
      </c>
      <c r="E7461" t="s">
        <v>31435</v>
      </c>
      <c r="F7461" t="s">
        <v>31435</v>
      </c>
      <c r="G7461" s="1">
        <v>37604</v>
      </c>
      <c r="J7461" t="s">
        <v>29901</v>
      </c>
      <c r="K7461" t="s">
        <v>1464</v>
      </c>
      <c r="L7461" t="s">
        <v>36635</v>
      </c>
      <c r="M7461">
        <v>818.52089999999896</v>
      </c>
      <c r="N7461" t="s">
        <v>36636</v>
      </c>
      <c r="O7461" t="s">
        <v>26</v>
      </c>
      <c r="Q7461">
        <v>100</v>
      </c>
      <c r="R7461">
        <v>80</v>
      </c>
      <c r="S7461">
        <v>120</v>
      </c>
      <c r="T7461" t="s">
        <v>36637</v>
      </c>
    </row>
    <row r="7462" spans="1:20">
      <c r="A7462">
        <v>4671374</v>
      </c>
      <c r="B7462" t="s">
        <v>36638</v>
      </c>
      <c r="C7462" t="str">
        <f>"9780802006660"</f>
        <v>9780802006660</v>
      </c>
      <c r="D7462" t="str">
        <f>"9781442673281"</f>
        <v>9781442673281</v>
      </c>
      <c r="E7462" t="s">
        <v>31435</v>
      </c>
      <c r="F7462" t="s">
        <v>31435</v>
      </c>
      <c r="G7462" s="1">
        <v>35431</v>
      </c>
      <c r="I7462" t="s">
        <v>35850</v>
      </c>
      <c r="J7462" t="s">
        <v>36639</v>
      </c>
      <c r="K7462" t="s">
        <v>1859</v>
      </c>
      <c r="L7462" t="s">
        <v>36640</v>
      </c>
      <c r="M7462">
        <v>199.492999999999</v>
      </c>
      <c r="O7462" t="s">
        <v>26</v>
      </c>
      <c r="Q7462">
        <v>123.75</v>
      </c>
      <c r="R7462">
        <v>99</v>
      </c>
      <c r="S7462">
        <v>148.5</v>
      </c>
      <c r="T7462" t="s">
        <v>36641</v>
      </c>
    </row>
    <row r="7463" spans="1:20">
      <c r="A7463">
        <v>4671375</v>
      </c>
      <c r="B7463" t="s">
        <v>36642</v>
      </c>
      <c r="C7463" t="str">
        <f>"9780802038111"</f>
        <v>9780802038111</v>
      </c>
      <c r="D7463" t="str">
        <f>"9781442673304"</f>
        <v>9781442673304</v>
      </c>
      <c r="E7463" t="s">
        <v>31435</v>
      </c>
      <c r="F7463" t="s">
        <v>31435</v>
      </c>
      <c r="G7463" s="1">
        <v>38353</v>
      </c>
      <c r="H7463">
        <v>2</v>
      </c>
      <c r="J7463" t="s">
        <v>36643</v>
      </c>
      <c r="K7463" t="s">
        <v>263</v>
      </c>
      <c r="L7463" t="s">
        <v>36644</v>
      </c>
      <c r="M7463">
        <v>364.3</v>
      </c>
      <c r="O7463" t="s">
        <v>26</v>
      </c>
      <c r="Q7463">
        <v>95</v>
      </c>
      <c r="R7463">
        <v>76</v>
      </c>
      <c r="S7463">
        <v>114</v>
      </c>
      <c r="T7463" t="s">
        <v>36645</v>
      </c>
    </row>
    <row r="7464" spans="1:20">
      <c r="A7464">
        <v>4671376</v>
      </c>
      <c r="B7464" t="s">
        <v>36646</v>
      </c>
      <c r="C7464" t="str">
        <f>"9780802085771"</f>
        <v>9780802085771</v>
      </c>
      <c r="D7464" t="str">
        <f>"9781442673311"</f>
        <v>9781442673311</v>
      </c>
      <c r="E7464" t="s">
        <v>31435</v>
      </c>
      <c r="F7464" t="s">
        <v>31435</v>
      </c>
      <c r="G7464" s="1">
        <v>37870</v>
      </c>
      <c r="J7464" t="s">
        <v>36647</v>
      </c>
      <c r="K7464" t="s">
        <v>3860</v>
      </c>
      <c r="L7464" t="s">
        <v>36648</v>
      </c>
      <c r="M7464">
        <v>920.04090310000004</v>
      </c>
      <c r="O7464" t="s">
        <v>26</v>
      </c>
      <c r="Q7464">
        <v>181.25</v>
      </c>
      <c r="R7464">
        <v>145</v>
      </c>
      <c r="S7464">
        <v>217.5</v>
      </c>
      <c r="T7464" t="s">
        <v>36649</v>
      </c>
    </row>
    <row r="7465" spans="1:20">
      <c r="A7465">
        <v>4671377</v>
      </c>
      <c r="B7465" t="s">
        <v>36650</v>
      </c>
      <c r="C7465" t="str">
        <f>"9780802025074"</f>
        <v>9780802025074</v>
      </c>
      <c r="D7465" t="str">
        <f>"9781442673328"</f>
        <v>9781442673328</v>
      </c>
      <c r="E7465" t="s">
        <v>31435</v>
      </c>
      <c r="F7465" t="s">
        <v>31435</v>
      </c>
      <c r="G7465" s="1">
        <v>31050</v>
      </c>
      <c r="J7465" t="s">
        <v>36651</v>
      </c>
      <c r="K7465" t="s">
        <v>3860</v>
      </c>
      <c r="L7465" t="s">
        <v>36652</v>
      </c>
      <c r="M7465">
        <v>920.04</v>
      </c>
      <c r="N7465" t="s">
        <v>36653</v>
      </c>
      <c r="O7465" t="s">
        <v>26</v>
      </c>
      <c r="Q7465">
        <v>186.25</v>
      </c>
      <c r="R7465">
        <v>149</v>
      </c>
      <c r="S7465">
        <v>223.5</v>
      </c>
      <c r="T7465" t="s">
        <v>36654</v>
      </c>
    </row>
    <row r="7466" spans="1:20">
      <c r="A7466">
        <v>4671378</v>
      </c>
      <c r="B7466" t="s">
        <v>36655</v>
      </c>
      <c r="C7466" t="str">
        <f>"9780802025753"</f>
        <v>9780802025753</v>
      </c>
      <c r="D7466" t="str">
        <f>"9781442673335"</f>
        <v>9781442673335</v>
      </c>
      <c r="E7466" t="s">
        <v>31435</v>
      </c>
      <c r="F7466" t="s">
        <v>31435</v>
      </c>
      <c r="G7466" s="1">
        <v>31781</v>
      </c>
      <c r="J7466" t="s">
        <v>36647</v>
      </c>
      <c r="K7466" t="s">
        <v>3848</v>
      </c>
      <c r="L7466" t="s">
        <v>36656</v>
      </c>
      <c r="M7466">
        <v>920.04</v>
      </c>
      <c r="O7466" t="s">
        <v>26</v>
      </c>
      <c r="Q7466">
        <v>186.25</v>
      </c>
      <c r="R7466">
        <v>149</v>
      </c>
      <c r="S7466">
        <v>223.5</v>
      </c>
      <c r="T7466" t="s">
        <v>36657</v>
      </c>
    </row>
    <row r="7467" spans="1:20">
      <c r="A7467">
        <v>4671379</v>
      </c>
      <c r="B7467" t="s">
        <v>36658</v>
      </c>
      <c r="C7467" t="str">
        <f>"9780802039316"</f>
        <v>9780802039316</v>
      </c>
      <c r="D7467" t="str">
        <f>"9781442673342"</f>
        <v>9781442673342</v>
      </c>
      <c r="E7467" t="s">
        <v>31435</v>
      </c>
      <c r="F7467" t="s">
        <v>31435</v>
      </c>
      <c r="G7467" s="1">
        <v>38343</v>
      </c>
      <c r="H7467">
        <v>2</v>
      </c>
      <c r="J7467" t="s">
        <v>36659</v>
      </c>
      <c r="K7467" t="s">
        <v>1550</v>
      </c>
      <c r="L7467" t="s">
        <v>36660</v>
      </c>
      <c r="M7467">
        <v>305.89240710000001</v>
      </c>
      <c r="N7467" t="s">
        <v>36661</v>
      </c>
      <c r="O7467" t="s">
        <v>26</v>
      </c>
      <c r="Q7467">
        <v>83.75</v>
      </c>
      <c r="R7467">
        <v>67</v>
      </c>
      <c r="S7467">
        <v>100.5</v>
      </c>
      <c r="T7467" t="s">
        <v>36662</v>
      </c>
    </row>
    <row r="7468" spans="1:20">
      <c r="A7468">
        <v>4671381</v>
      </c>
      <c r="B7468" t="s">
        <v>36663</v>
      </c>
      <c r="C7468" t="str">
        <f>"9780802087294"</f>
        <v>9780802087294</v>
      </c>
      <c r="D7468" t="str">
        <f>"9781442673366"</f>
        <v>9781442673366</v>
      </c>
      <c r="E7468" t="s">
        <v>31435</v>
      </c>
      <c r="F7468" t="s">
        <v>31435</v>
      </c>
      <c r="G7468" s="1">
        <v>38353</v>
      </c>
      <c r="H7468">
        <v>2</v>
      </c>
      <c r="I7468" t="s">
        <v>36249</v>
      </c>
      <c r="J7468" t="s">
        <v>22593</v>
      </c>
      <c r="K7468" t="s">
        <v>2312</v>
      </c>
      <c r="L7468" t="s">
        <v>36664</v>
      </c>
      <c r="M7468">
        <v>354.09710000000001</v>
      </c>
      <c r="O7468" t="s">
        <v>26</v>
      </c>
      <c r="Q7468">
        <v>140</v>
      </c>
      <c r="R7468">
        <v>112</v>
      </c>
      <c r="S7468">
        <v>168</v>
      </c>
      <c r="T7468" t="s">
        <v>36665</v>
      </c>
    </row>
    <row r="7469" spans="1:20">
      <c r="A7469">
        <v>4671383</v>
      </c>
      <c r="B7469" t="s">
        <v>36666</v>
      </c>
      <c r="C7469" t="str">
        <f>"9780802043979"</f>
        <v>9780802043979</v>
      </c>
      <c r="D7469" t="str">
        <f>"9781442673397"</f>
        <v>9781442673397</v>
      </c>
      <c r="E7469" t="s">
        <v>31435</v>
      </c>
      <c r="F7469" t="s">
        <v>31435</v>
      </c>
      <c r="G7469" s="1">
        <v>38457</v>
      </c>
      <c r="I7469" t="s">
        <v>34561</v>
      </c>
      <c r="J7469" t="s">
        <v>36667</v>
      </c>
      <c r="K7469" t="s">
        <v>21907</v>
      </c>
      <c r="L7469" t="s">
        <v>36668</v>
      </c>
      <c r="M7469">
        <v>89.71</v>
      </c>
      <c r="O7469" t="s">
        <v>26</v>
      </c>
      <c r="Q7469">
        <v>316.25</v>
      </c>
      <c r="R7469">
        <v>253</v>
      </c>
      <c r="S7469">
        <v>379.5</v>
      </c>
      <c r="T7469" t="s">
        <v>36669</v>
      </c>
    </row>
    <row r="7470" spans="1:20">
      <c r="A7470">
        <v>4671387</v>
      </c>
      <c r="B7470" t="s">
        <v>36670</v>
      </c>
      <c r="C7470" t="str">
        <f>"9780802036865"</f>
        <v>9780802036865</v>
      </c>
      <c r="D7470" t="str">
        <f>"9781442673458"</f>
        <v>9781442673458</v>
      </c>
      <c r="E7470" t="s">
        <v>31435</v>
      </c>
      <c r="F7470" t="s">
        <v>31435</v>
      </c>
      <c r="G7470" s="1">
        <v>37622</v>
      </c>
      <c r="I7470" t="s">
        <v>35056</v>
      </c>
      <c r="J7470" t="s">
        <v>36671</v>
      </c>
      <c r="K7470" t="s">
        <v>6304</v>
      </c>
      <c r="L7470" t="s">
        <v>36672</v>
      </c>
      <c r="M7470">
        <v>302.2</v>
      </c>
      <c r="O7470" t="s">
        <v>26</v>
      </c>
      <c r="Q7470">
        <v>123.75</v>
      </c>
      <c r="R7470">
        <v>99</v>
      </c>
      <c r="S7470">
        <v>148.5</v>
      </c>
      <c r="T7470" t="s">
        <v>36673</v>
      </c>
    </row>
    <row r="7471" spans="1:20">
      <c r="A7471">
        <v>4671388</v>
      </c>
      <c r="B7471" t="s">
        <v>36674</v>
      </c>
      <c r="C7471" t="str">
        <f>"9780802041012"</f>
        <v>9780802041012</v>
      </c>
      <c r="D7471" t="str">
        <f>"9781442673465"</f>
        <v>9781442673465</v>
      </c>
      <c r="E7471" t="s">
        <v>31435</v>
      </c>
      <c r="F7471" t="s">
        <v>31435</v>
      </c>
      <c r="G7471" s="1">
        <v>35582</v>
      </c>
      <c r="H7471">
        <v>74</v>
      </c>
      <c r="I7471" t="s">
        <v>34747</v>
      </c>
      <c r="J7471" t="s">
        <v>36675</v>
      </c>
      <c r="K7471" t="s">
        <v>1892</v>
      </c>
      <c r="L7471" t="s">
        <v>36676</v>
      </c>
      <c r="M7471">
        <v>248.32092</v>
      </c>
      <c r="N7471" t="s">
        <v>36677</v>
      </c>
      <c r="O7471" t="s">
        <v>26</v>
      </c>
      <c r="Q7471">
        <v>115</v>
      </c>
      <c r="R7471">
        <v>92</v>
      </c>
      <c r="S7471">
        <v>138</v>
      </c>
      <c r="T7471" t="s">
        <v>36678</v>
      </c>
    </row>
    <row r="7472" spans="1:20">
      <c r="A7472">
        <v>4671389</v>
      </c>
      <c r="B7472" t="s">
        <v>36679</v>
      </c>
      <c r="C7472" t="str">
        <f>"9780802074836"</f>
        <v>9780802074836</v>
      </c>
      <c r="D7472" t="str">
        <f>"9781442673472"</f>
        <v>9781442673472</v>
      </c>
      <c r="E7472" t="s">
        <v>31435</v>
      </c>
      <c r="F7472" t="s">
        <v>31435</v>
      </c>
      <c r="G7472" s="1">
        <v>34654</v>
      </c>
      <c r="H7472">
        <v>2</v>
      </c>
      <c r="I7472" t="s">
        <v>35056</v>
      </c>
      <c r="J7472" t="s">
        <v>36680</v>
      </c>
      <c r="K7472" t="s">
        <v>263</v>
      </c>
      <c r="L7472" t="s">
        <v>36681</v>
      </c>
      <c r="M7472">
        <v>305.23500000000001</v>
      </c>
      <c r="N7472" t="s">
        <v>36682</v>
      </c>
      <c r="O7472" t="s">
        <v>26</v>
      </c>
      <c r="Q7472">
        <v>59.94</v>
      </c>
      <c r="R7472">
        <v>47.95</v>
      </c>
      <c r="S7472">
        <v>71.930000000000007</v>
      </c>
      <c r="T7472" t="s">
        <v>36683</v>
      </c>
    </row>
    <row r="7473" spans="1:20">
      <c r="A7473">
        <v>4671390</v>
      </c>
      <c r="B7473" t="s">
        <v>36684</v>
      </c>
      <c r="C7473" t="str">
        <f>"9780802076212"</f>
        <v>9780802076212</v>
      </c>
      <c r="D7473" t="str">
        <f>"9781442673489"</f>
        <v>9781442673489</v>
      </c>
      <c r="E7473" t="s">
        <v>31435</v>
      </c>
      <c r="F7473" t="s">
        <v>31435</v>
      </c>
      <c r="G7473" s="1">
        <v>34700</v>
      </c>
      <c r="H7473">
        <v>2</v>
      </c>
      <c r="J7473" t="s">
        <v>36685</v>
      </c>
      <c r="K7473" t="s">
        <v>263</v>
      </c>
      <c r="L7473" t="s">
        <v>36686</v>
      </c>
      <c r="M7473">
        <v>364.16800000000001</v>
      </c>
      <c r="O7473" t="s">
        <v>26</v>
      </c>
      <c r="Q7473">
        <v>59.94</v>
      </c>
      <c r="R7473">
        <v>47.95</v>
      </c>
      <c r="S7473">
        <v>71.930000000000007</v>
      </c>
      <c r="T7473" t="s">
        <v>36687</v>
      </c>
    </row>
    <row r="7474" spans="1:20">
      <c r="A7474">
        <v>4671391</v>
      </c>
      <c r="B7474" t="s">
        <v>36688</v>
      </c>
      <c r="C7474" t="str">
        <f>"9780802081278"</f>
        <v>9780802081278</v>
      </c>
      <c r="D7474" t="str">
        <f>"9781442673496"</f>
        <v>9781442673496</v>
      </c>
      <c r="E7474" t="s">
        <v>31435</v>
      </c>
      <c r="F7474" t="s">
        <v>31435</v>
      </c>
      <c r="G7474" s="1">
        <v>35840</v>
      </c>
      <c r="J7474" t="s">
        <v>36689</v>
      </c>
      <c r="K7474" t="s">
        <v>416</v>
      </c>
      <c r="L7474" t="s">
        <v>36690</v>
      </c>
      <c r="M7474">
        <v>338.74</v>
      </c>
      <c r="O7474" t="s">
        <v>26</v>
      </c>
      <c r="Q7474">
        <v>107.5</v>
      </c>
      <c r="R7474">
        <v>86</v>
      </c>
      <c r="S7474">
        <v>129</v>
      </c>
      <c r="T7474" t="s">
        <v>36691</v>
      </c>
    </row>
    <row r="7475" spans="1:20">
      <c r="A7475">
        <v>4671392</v>
      </c>
      <c r="B7475" t="s">
        <v>36692</v>
      </c>
      <c r="C7475" t="str">
        <f>"9781442638815"</f>
        <v>9781442638815</v>
      </c>
      <c r="D7475" t="str">
        <f>"9781442673502"</f>
        <v>9781442673502</v>
      </c>
      <c r="E7475" t="s">
        <v>31435</v>
      </c>
      <c r="F7475" t="s">
        <v>31435</v>
      </c>
      <c r="G7475" s="1">
        <v>31017</v>
      </c>
      <c r="I7475" t="s">
        <v>36693</v>
      </c>
      <c r="J7475" t="s">
        <v>36694</v>
      </c>
      <c r="K7475" t="s">
        <v>1859</v>
      </c>
      <c r="L7475" t="s">
        <v>36695</v>
      </c>
      <c r="M7475">
        <v>194</v>
      </c>
      <c r="O7475" t="s">
        <v>26</v>
      </c>
      <c r="Q7475">
        <v>143.75</v>
      </c>
      <c r="R7475">
        <v>115</v>
      </c>
      <c r="S7475">
        <v>172.5</v>
      </c>
      <c r="T7475" t="s">
        <v>36696</v>
      </c>
    </row>
    <row r="7476" spans="1:20">
      <c r="A7476">
        <v>4671393</v>
      </c>
      <c r="B7476" t="s">
        <v>36697</v>
      </c>
      <c r="C7476" t="str">
        <f>"9781442638839"</f>
        <v>9781442638839</v>
      </c>
      <c r="D7476" t="str">
        <f>"9781442673519"</f>
        <v>9781442673519</v>
      </c>
      <c r="E7476" t="s">
        <v>31435</v>
      </c>
      <c r="F7476" t="s">
        <v>31435</v>
      </c>
      <c r="G7476" s="1">
        <v>35980</v>
      </c>
      <c r="I7476" t="s">
        <v>36693</v>
      </c>
      <c r="J7476" t="s">
        <v>36698</v>
      </c>
      <c r="K7476" t="s">
        <v>1859</v>
      </c>
      <c r="L7476" t="s">
        <v>36699</v>
      </c>
      <c r="M7476">
        <v>194</v>
      </c>
      <c r="O7476" t="s">
        <v>26</v>
      </c>
      <c r="Q7476">
        <v>232.5</v>
      </c>
      <c r="R7476">
        <v>186</v>
      </c>
      <c r="S7476">
        <v>279</v>
      </c>
      <c r="T7476" t="s">
        <v>36700</v>
      </c>
    </row>
    <row r="7477" spans="1:20">
      <c r="A7477">
        <v>4671394</v>
      </c>
      <c r="B7477" t="s">
        <v>36701</v>
      </c>
      <c r="C7477" t="str">
        <f>"9781442638846"</f>
        <v>9781442638846</v>
      </c>
      <c r="D7477" t="str">
        <f>"9781442673526"</f>
        <v>9781442673526</v>
      </c>
      <c r="E7477" t="s">
        <v>31435</v>
      </c>
      <c r="F7477" t="s">
        <v>31435</v>
      </c>
      <c r="G7477" s="1">
        <v>38411</v>
      </c>
      <c r="I7477" t="s">
        <v>36693</v>
      </c>
      <c r="J7477" t="s">
        <v>36702</v>
      </c>
      <c r="K7477" t="s">
        <v>1859</v>
      </c>
      <c r="L7477" t="s">
        <v>36703</v>
      </c>
      <c r="M7477">
        <v>194</v>
      </c>
      <c r="O7477" t="s">
        <v>26</v>
      </c>
      <c r="Q7477">
        <v>227.5</v>
      </c>
      <c r="R7477">
        <v>182</v>
      </c>
      <c r="S7477">
        <v>273</v>
      </c>
      <c r="T7477" t="s">
        <v>36704</v>
      </c>
    </row>
    <row r="7478" spans="1:20">
      <c r="A7478">
        <v>4671395</v>
      </c>
      <c r="B7478" t="s">
        <v>36705</v>
      </c>
      <c r="C7478" t="str">
        <f>"9780802095756"</f>
        <v>9780802095756</v>
      </c>
      <c r="D7478" t="str">
        <f>"9781442673533"</f>
        <v>9781442673533</v>
      </c>
      <c r="E7478" t="s">
        <v>31435</v>
      </c>
      <c r="F7478" t="s">
        <v>31435</v>
      </c>
      <c r="G7478" s="1">
        <v>38718</v>
      </c>
      <c r="J7478" t="s">
        <v>36706</v>
      </c>
      <c r="K7478" t="s">
        <v>1471</v>
      </c>
      <c r="L7478" t="s">
        <v>36707</v>
      </c>
      <c r="M7478">
        <v>759.11</v>
      </c>
      <c r="O7478" t="s">
        <v>26</v>
      </c>
      <c r="Q7478">
        <v>110</v>
      </c>
      <c r="R7478">
        <v>88</v>
      </c>
      <c r="S7478">
        <v>132</v>
      </c>
      <c r="T7478" t="s">
        <v>36708</v>
      </c>
    </row>
    <row r="7479" spans="1:20">
      <c r="A7479">
        <v>4671397</v>
      </c>
      <c r="B7479" t="s">
        <v>36709</v>
      </c>
      <c r="C7479" t="str">
        <f>"9781442614864"</f>
        <v>9781442614864</v>
      </c>
      <c r="D7479" t="str">
        <f>"9781442673557"</f>
        <v>9781442673557</v>
      </c>
      <c r="E7479" t="s">
        <v>31435</v>
      </c>
      <c r="F7479" t="s">
        <v>31435</v>
      </c>
      <c r="G7479" s="1">
        <v>34335</v>
      </c>
      <c r="J7479" t="s">
        <v>36710</v>
      </c>
      <c r="K7479" t="s">
        <v>13493</v>
      </c>
      <c r="L7479" t="s">
        <v>36711</v>
      </c>
      <c r="M7479">
        <v>791.02300000000002</v>
      </c>
      <c r="O7479" t="s">
        <v>26</v>
      </c>
      <c r="Q7479">
        <v>63.75</v>
      </c>
      <c r="R7479">
        <v>51</v>
      </c>
      <c r="S7479">
        <v>76.5</v>
      </c>
      <c r="T7479" t="s">
        <v>36712</v>
      </c>
    </row>
    <row r="7480" spans="1:20">
      <c r="A7480">
        <v>4671398</v>
      </c>
      <c r="B7480" t="s">
        <v>36713</v>
      </c>
      <c r="C7480" t="str">
        <f>"9781442613089"</f>
        <v>9781442613089</v>
      </c>
      <c r="D7480" t="str">
        <f>"9781442673564"</f>
        <v>9781442673564</v>
      </c>
      <c r="E7480" t="s">
        <v>31435</v>
      </c>
      <c r="F7480" t="s">
        <v>31435</v>
      </c>
      <c r="G7480" s="1">
        <v>38443</v>
      </c>
      <c r="I7480" t="s">
        <v>31443</v>
      </c>
      <c r="J7480" t="s">
        <v>36714</v>
      </c>
      <c r="K7480" t="s">
        <v>257</v>
      </c>
      <c r="L7480" t="s">
        <v>36715</v>
      </c>
      <c r="M7480">
        <v>378.01</v>
      </c>
      <c r="O7480" t="s">
        <v>26</v>
      </c>
      <c r="Q7480">
        <v>110</v>
      </c>
      <c r="R7480">
        <v>88</v>
      </c>
      <c r="S7480">
        <v>132</v>
      </c>
      <c r="T7480" t="s">
        <v>36716</v>
      </c>
    </row>
    <row r="7481" spans="1:20">
      <c r="A7481">
        <v>4671399</v>
      </c>
      <c r="B7481" t="s">
        <v>36717</v>
      </c>
      <c r="C7481" t="str">
        <f>"9781442614949"</f>
        <v>9781442614949</v>
      </c>
      <c r="D7481" t="str">
        <f>"9781442673571"</f>
        <v>9781442673571</v>
      </c>
      <c r="E7481" t="s">
        <v>31435</v>
      </c>
      <c r="F7481" t="s">
        <v>31435</v>
      </c>
      <c r="G7481" s="1">
        <v>34335</v>
      </c>
      <c r="J7481" t="s">
        <v>36718</v>
      </c>
      <c r="K7481" t="s">
        <v>1464</v>
      </c>
      <c r="L7481" t="s">
        <v>36719</v>
      </c>
      <c r="M7481">
        <v>821.00900000000001</v>
      </c>
      <c r="O7481" t="s">
        <v>26</v>
      </c>
      <c r="Q7481">
        <v>91.25</v>
      </c>
      <c r="R7481">
        <v>73</v>
      </c>
      <c r="S7481">
        <v>109.5</v>
      </c>
      <c r="T7481" t="s">
        <v>36720</v>
      </c>
    </row>
    <row r="7482" spans="1:20">
      <c r="A7482">
        <v>4671400</v>
      </c>
      <c r="B7482" t="s">
        <v>36721</v>
      </c>
      <c r="C7482" t="str">
        <f>"9780802044907"</f>
        <v>9780802044907</v>
      </c>
      <c r="D7482" t="str">
        <f>"9781442673588"</f>
        <v>9781442673588</v>
      </c>
      <c r="E7482" t="s">
        <v>31435</v>
      </c>
      <c r="F7482" t="s">
        <v>31435</v>
      </c>
      <c r="G7482" s="1">
        <v>36259</v>
      </c>
      <c r="I7482" t="s">
        <v>33775</v>
      </c>
      <c r="J7482" t="s">
        <v>36722</v>
      </c>
      <c r="K7482" t="s">
        <v>1464</v>
      </c>
      <c r="L7482" t="s">
        <v>36723</v>
      </c>
      <c r="M7482" t="s">
        <v>36724</v>
      </c>
      <c r="N7482" t="s">
        <v>36725</v>
      </c>
      <c r="O7482" t="s">
        <v>26</v>
      </c>
      <c r="Q7482">
        <v>91.25</v>
      </c>
      <c r="R7482">
        <v>73</v>
      </c>
      <c r="S7482">
        <v>109.5</v>
      </c>
      <c r="T7482" t="s">
        <v>36726</v>
      </c>
    </row>
    <row r="7483" spans="1:20">
      <c r="A7483">
        <v>4671401</v>
      </c>
      <c r="B7483" t="s">
        <v>36727</v>
      </c>
      <c r="C7483" t="str">
        <f>"9780802085597"</f>
        <v>9780802085597</v>
      </c>
      <c r="D7483" t="str">
        <f>"9781442673595"</f>
        <v>9781442673595</v>
      </c>
      <c r="E7483" t="s">
        <v>31435</v>
      </c>
      <c r="F7483" t="s">
        <v>31435</v>
      </c>
      <c r="G7483" s="1">
        <v>37622</v>
      </c>
      <c r="J7483" t="s">
        <v>27712</v>
      </c>
      <c r="K7483" t="s">
        <v>525</v>
      </c>
      <c r="L7483" t="s">
        <v>36728</v>
      </c>
      <c r="M7483" t="s">
        <v>36729</v>
      </c>
      <c r="O7483" t="s">
        <v>26</v>
      </c>
      <c r="Q7483">
        <v>115</v>
      </c>
      <c r="R7483">
        <v>92</v>
      </c>
      <c r="S7483">
        <v>138</v>
      </c>
      <c r="T7483" t="s">
        <v>36730</v>
      </c>
    </row>
    <row r="7484" spans="1:20">
      <c r="A7484">
        <v>4671402</v>
      </c>
      <c r="B7484" t="s">
        <v>36731</v>
      </c>
      <c r="C7484" t="str">
        <f>"9781442612990"</f>
        <v>9781442612990</v>
      </c>
      <c r="D7484" t="str">
        <f>"9781442673601"</f>
        <v>9781442673601</v>
      </c>
      <c r="E7484" t="s">
        <v>31435</v>
      </c>
      <c r="F7484" t="s">
        <v>31435</v>
      </c>
      <c r="G7484" s="1">
        <v>35065</v>
      </c>
      <c r="I7484" t="s">
        <v>36558</v>
      </c>
      <c r="J7484" t="s">
        <v>36732</v>
      </c>
      <c r="K7484" t="s">
        <v>1464</v>
      </c>
      <c r="L7484" t="s">
        <v>36733</v>
      </c>
      <c r="M7484">
        <v>809.19140000000004</v>
      </c>
      <c r="O7484" t="s">
        <v>26</v>
      </c>
      <c r="Q7484">
        <v>100</v>
      </c>
      <c r="R7484">
        <v>80</v>
      </c>
      <c r="S7484">
        <v>120</v>
      </c>
      <c r="T7484" t="s">
        <v>36734</v>
      </c>
    </row>
    <row r="7485" spans="1:20">
      <c r="A7485">
        <v>4671403</v>
      </c>
      <c r="B7485" t="s">
        <v>36735</v>
      </c>
      <c r="C7485" t="str">
        <f>"9780802038692"</f>
        <v>9780802038692</v>
      </c>
      <c r="D7485" t="str">
        <f>"9781442673618"</f>
        <v>9781442673618</v>
      </c>
      <c r="E7485" t="s">
        <v>31435</v>
      </c>
      <c r="F7485" t="s">
        <v>31435</v>
      </c>
      <c r="G7485" s="1">
        <v>38353</v>
      </c>
      <c r="H7485">
        <v>2</v>
      </c>
      <c r="J7485" t="s">
        <v>36736</v>
      </c>
      <c r="K7485" t="s">
        <v>291</v>
      </c>
      <c r="L7485" t="s">
        <v>36737</v>
      </c>
      <c r="M7485">
        <v>931</v>
      </c>
      <c r="O7485" t="s">
        <v>26</v>
      </c>
      <c r="Q7485">
        <v>117.5</v>
      </c>
      <c r="R7485">
        <v>94</v>
      </c>
      <c r="S7485">
        <v>141</v>
      </c>
      <c r="T7485" t="s">
        <v>36738</v>
      </c>
    </row>
    <row r="7486" spans="1:20">
      <c r="A7486">
        <v>4671404</v>
      </c>
      <c r="B7486" t="s">
        <v>36739</v>
      </c>
      <c r="C7486" t="str">
        <f>"9780802037244"</f>
        <v>9780802037244</v>
      </c>
      <c r="D7486" t="str">
        <f>"9781442673625"</f>
        <v>9781442673625</v>
      </c>
      <c r="E7486" t="s">
        <v>31435</v>
      </c>
      <c r="F7486" t="s">
        <v>31435</v>
      </c>
      <c r="G7486" s="1">
        <v>37792</v>
      </c>
      <c r="J7486" t="s">
        <v>36740</v>
      </c>
      <c r="K7486" t="s">
        <v>291</v>
      </c>
      <c r="L7486" t="s">
        <v>36741</v>
      </c>
      <c r="M7486" t="s">
        <v>36742</v>
      </c>
      <c r="O7486" t="s">
        <v>26</v>
      </c>
      <c r="Q7486">
        <v>107.5</v>
      </c>
      <c r="R7486">
        <v>86</v>
      </c>
      <c r="S7486">
        <v>129</v>
      </c>
      <c r="T7486" t="s">
        <v>36743</v>
      </c>
    </row>
    <row r="7487" spans="1:20">
      <c r="A7487">
        <v>4671405</v>
      </c>
      <c r="B7487" t="s">
        <v>36744</v>
      </c>
      <c r="C7487" t="str">
        <f>"9780802044303"</f>
        <v>9780802044303</v>
      </c>
      <c r="D7487" t="str">
        <f>"9781442673632"</f>
        <v>9781442673632</v>
      </c>
      <c r="E7487" t="s">
        <v>31435</v>
      </c>
      <c r="F7487" t="s">
        <v>31435</v>
      </c>
      <c r="G7487" s="1">
        <v>36342</v>
      </c>
      <c r="I7487" t="s">
        <v>33775</v>
      </c>
      <c r="J7487" t="s">
        <v>36680</v>
      </c>
      <c r="K7487" t="s">
        <v>1150</v>
      </c>
      <c r="L7487" t="s">
        <v>36745</v>
      </c>
      <c r="M7487">
        <v>793.73199999999895</v>
      </c>
      <c r="O7487" t="s">
        <v>26</v>
      </c>
      <c r="Q7487">
        <v>59.94</v>
      </c>
      <c r="R7487">
        <v>47.95</v>
      </c>
      <c r="S7487">
        <v>71.930000000000007</v>
      </c>
      <c r="T7487" t="s">
        <v>36746</v>
      </c>
    </row>
    <row r="7488" spans="1:20">
      <c r="A7488">
        <v>4671406</v>
      </c>
      <c r="B7488" t="s">
        <v>36747</v>
      </c>
      <c r="C7488" t="str">
        <f>"9780802042279"</f>
        <v>9780802042279</v>
      </c>
      <c r="D7488" t="str">
        <f>"9781442673649"</f>
        <v>9781442673649</v>
      </c>
      <c r="E7488" t="s">
        <v>31435</v>
      </c>
      <c r="F7488" t="s">
        <v>31435</v>
      </c>
      <c r="G7488" s="1">
        <v>35796</v>
      </c>
      <c r="H7488">
        <v>74</v>
      </c>
      <c r="J7488" t="s">
        <v>36748</v>
      </c>
      <c r="K7488" t="s">
        <v>291</v>
      </c>
      <c r="L7488" t="s">
        <v>36749</v>
      </c>
      <c r="M7488">
        <v>967.51</v>
      </c>
      <c r="O7488" t="s">
        <v>26</v>
      </c>
      <c r="Q7488">
        <v>115</v>
      </c>
      <c r="R7488">
        <v>92</v>
      </c>
      <c r="S7488">
        <v>138</v>
      </c>
      <c r="T7488" t="s">
        <v>36750</v>
      </c>
    </row>
    <row r="7489" spans="1:20">
      <c r="A7489">
        <v>4671407</v>
      </c>
      <c r="B7489" t="s">
        <v>36751</v>
      </c>
      <c r="C7489" t="str">
        <f>"9780802067722"</f>
        <v>9780802067722</v>
      </c>
      <c r="D7489" t="str">
        <f>"9781442673670"</f>
        <v>9781442673670</v>
      </c>
      <c r="E7489" t="s">
        <v>31435</v>
      </c>
      <c r="F7489" t="s">
        <v>31435</v>
      </c>
      <c r="G7489" s="1">
        <v>32874</v>
      </c>
      <c r="H7489">
        <v>2</v>
      </c>
      <c r="J7489" t="s">
        <v>36752</v>
      </c>
      <c r="K7489" t="s">
        <v>305</v>
      </c>
      <c r="L7489" t="s">
        <v>36753</v>
      </c>
      <c r="M7489">
        <v>384.54097100000001</v>
      </c>
      <c r="O7489" t="s">
        <v>26</v>
      </c>
      <c r="Q7489">
        <v>107.5</v>
      </c>
      <c r="R7489">
        <v>86</v>
      </c>
      <c r="S7489">
        <v>129</v>
      </c>
      <c r="T7489" t="s">
        <v>36754</v>
      </c>
    </row>
    <row r="7490" spans="1:20">
      <c r="A7490">
        <v>4671408</v>
      </c>
      <c r="B7490" t="s">
        <v>36755</v>
      </c>
      <c r="C7490" t="str">
        <f>"9780802088475"</f>
        <v>9780802088475</v>
      </c>
      <c r="D7490" t="str">
        <f>"9781442673687"</f>
        <v>9781442673687</v>
      </c>
      <c r="E7490" t="s">
        <v>31435</v>
      </c>
      <c r="F7490" t="s">
        <v>31435</v>
      </c>
      <c r="G7490" s="1">
        <v>38353</v>
      </c>
      <c r="J7490" t="s">
        <v>36756</v>
      </c>
      <c r="K7490" t="s">
        <v>36757</v>
      </c>
      <c r="L7490" t="s">
        <v>36758</v>
      </c>
      <c r="M7490">
        <v>333.95608997071201</v>
      </c>
      <c r="O7490" t="s">
        <v>26</v>
      </c>
      <c r="Q7490">
        <v>95</v>
      </c>
      <c r="R7490">
        <v>76</v>
      </c>
      <c r="S7490">
        <v>114</v>
      </c>
      <c r="T7490" t="s">
        <v>36759</v>
      </c>
    </row>
    <row r="7491" spans="1:20">
      <c r="A7491">
        <v>4671409</v>
      </c>
      <c r="B7491" t="s">
        <v>36760</v>
      </c>
      <c r="C7491" t="str">
        <f>"9780802088277"</f>
        <v>9780802088277</v>
      </c>
      <c r="D7491" t="str">
        <f>"9781442673700"</f>
        <v>9781442673700</v>
      </c>
      <c r="E7491" t="s">
        <v>31435</v>
      </c>
      <c r="F7491" t="s">
        <v>31435</v>
      </c>
      <c r="G7491" s="1">
        <v>41773</v>
      </c>
      <c r="H7491">
        <v>2</v>
      </c>
      <c r="I7491" t="s">
        <v>33775</v>
      </c>
      <c r="J7491" t="s">
        <v>36761</v>
      </c>
      <c r="K7491" t="s">
        <v>1471</v>
      </c>
      <c r="L7491" t="s">
        <v>36762</v>
      </c>
      <c r="M7491">
        <v>791.43600000000004</v>
      </c>
      <c r="O7491" t="s">
        <v>26</v>
      </c>
      <c r="Q7491">
        <v>102.5</v>
      </c>
      <c r="R7491">
        <v>82</v>
      </c>
      <c r="S7491">
        <v>123</v>
      </c>
      <c r="T7491" t="s">
        <v>36763</v>
      </c>
    </row>
    <row r="7492" spans="1:20">
      <c r="A7492">
        <v>4671410</v>
      </c>
      <c r="B7492" t="s">
        <v>36764</v>
      </c>
      <c r="C7492" t="str">
        <f>"9780802077363"</f>
        <v>9780802077363</v>
      </c>
      <c r="D7492" t="str">
        <f>"9781442673717"</f>
        <v>9781442673717</v>
      </c>
      <c r="E7492" t="s">
        <v>31435</v>
      </c>
      <c r="F7492" t="s">
        <v>31435</v>
      </c>
      <c r="G7492" s="1">
        <v>35525</v>
      </c>
      <c r="I7492" t="s">
        <v>33775</v>
      </c>
      <c r="J7492" t="s">
        <v>36765</v>
      </c>
      <c r="K7492" t="s">
        <v>1464</v>
      </c>
      <c r="L7492" t="s">
        <v>36766</v>
      </c>
      <c r="M7492">
        <v>851.1</v>
      </c>
      <c r="N7492" t="s">
        <v>36767</v>
      </c>
      <c r="O7492" t="s">
        <v>26</v>
      </c>
      <c r="Q7492">
        <v>59.94</v>
      </c>
      <c r="R7492">
        <v>47.95</v>
      </c>
      <c r="S7492">
        <v>71.930000000000007</v>
      </c>
      <c r="T7492" t="s">
        <v>36768</v>
      </c>
    </row>
    <row r="7493" spans="1:20">
      <c r="A7493">
        <v>4671411</v>
      </c>
      <c r="B7493" t="s">
        <v>36769</v>
      </c>
      <c r="C7493" t="str">
        <f>"9780802068552"</f>
        <v>9780802068552</v>
      </c>
      <c r="D7493" t="str">
        <f>"9781442673724"</f>
        <v>9781442673724</v>
      </c>
      <c r="E7493" t="s">
        <v>31435</v>
      </c>
      <c r="F7493" t="s">
        <v>31435</v>
      </c>
      <c r="G7493" s="1">
        <v>33272</v>
      </c>
      <c r="J7493" t="s">
        <v>36770</v>
      </c>
      <c r="K7493" t="s">
        <v>263</v>
      </c>
      <c r="L7493" t="s">
        <v>36771</v>
      </c>
      <c r="M7493">
        <v>304.5</v>
      </c>
      <c r="O7493" t="s">
        <v>26</v>
      </c>
      <c r="Q7493">
        <v>59.94</v>
      </c>
      <c r="R7493">
        <v>47.95</v>
      </c>
      <c r="S7493">
        <v>71.930000000000007</v>
      </c>
      <c r="T7493" t="s">
        <v>36772</v>
      </c>
    </row>
    <row r="7494" spans="1:20">
      <c r="A7494">
        <v>4671412</v>
      </c>
      <c r="B7494" t="s">
        <v>36773</v>
      </c>
      <c r="C7494" t="str">
        <f>"9780802083180"</f>
        <v>9780802083180</v>
      </c>
      <c r="D7494" t="str">
        <f>"9781442673731"</f>
        <v>9781442673731</v>
      </c>
      <c r="E7494" t="s">
        <v>31435</v>
      </c>
      <c r="F7494" t="s">
        <v>31435</v>
      </c>
      <c r="G7494" s="1">
        <v>37257</v>
      </c>
      <c r="J7494" t="s">
        <v>36774</v>
      </c>
      <c r="K7494" t="s">
        <v>263</v>
      </c>
      <c r="L7494" t="s">
        <v>36775</v>
      </c>
      <c r="M7494">
        <v>306.87419999999901</v>
      </c>
      <c r="O7494" t="s">
        <v>26</v>
      </c>
      <c r="Q7494">
        <v>107.5</v>
      </c>
      <c r="R7494">
        <v>86</v>
      </c>
      <c r="S7494">
        <v>129</v>
      </c>
      <c r="T7494" t="s">
        <v>36776</v>
      </c>
    </row>
    <row r="7495" spans="1:20">
      <c r="A7495">
        <v>4671413</v>
      </c>
      <c r="B7495" t="s">
        <v>36777</v>
      </c>
      <c r="C7495" t="str">
        <f>"9780802083739"</f>
        <v>9780802083739</v>
      </c>
      <c r="D7495" t="str">
        <f>"9781442673748"</f>
        <v>9781442673748</v>
      </c>
      <c r="E7495" t="s">
        <v>31435</v>
      </c>
      <c r="F7495" t="s">
        <v>31435</v>
      </c>
      <c r="G7495" s="1">
        <v>36526</v>
      </c>
      <c r="J7495" t="s">
        <v>36778</v>
      </c>
      <c r="K7495" t="s">
        <v>263</v>
      </c>
      <c r="L7495" t="s">
        <v>36779</v>
      </c>
      <c r="M7495">
        <v>362.428</v>
      </c>
      <c r="O7495" t="s">
        <v>26</v>
      </c>
      <c r="Q7495">
        <v>115</v>
      </c>
      <c r="R7495">
        <v>92</v>
      </c>
      <c r="S7495">
        <v>138</v>
      </c>
      <c r="T7495" t="s">
        <v>36780</v>
      </c>
    </row>
    <row r="7496" spans="1:20">
      <c r="A7496">
        <v>4671414</v>
      </c>
      <c r="B7496" t="s">
        <v>36781</v>
      </c>
      <c r="C7496" t="str">
        <f>"9780802078124"</f>
        <v>9780802078124</v>
      </c>
      <c r="D7496" t="str">
        <f>"9781442673755"</f>
        <v>9781442673755</v>
      </c>
      <c r="E7496" t="s">
        <v>31435</v>
      </c>
      <c r="F7496" t="s">
        <v>31435</v>
      </c>
      <c r="G7496" s="1">
        <v>36218</v>
      </c>
      <c r="H7496">
        <v>2</v>
      </c>
      <c r="J7496" t="s">
        <v>36782</v>
      </c>
      <c r="K7496" t="s">
        <v>1127</v>
      </c>
      <c r="L7496" t="s">
        <v>36783</v>
      </c>
      <c r="M7496">
        <v>155.9370835</v>
      </c>
      <c r="O7496" t="s">
        <v>26</v>
      </c>
      <c r="Q7496">
        <v>62.44</v>
      </c>
      <c r="R7496">
        <v>49.95</v>
      </c>
      <c r="S7496">
        <v>74.930000000000007</v>
      </c>
      <c r="T7496" t="s">
        <v>36784</v>
      </c>
    </row>
    <row r="7497" spans="1:20">
      <c r="A7497">
        <v>4671416</v>
      </c>
      <c r="B7497" t="s">
        <v>36785</v>
      </c>
      <c r="C7497" t="str">
        <f>"9780802080899"</f>
        <v>9780802080899</v>
      </c>
      <c r="D7497" t="str">
        <f>"9781442673786"</f>
        <v>9781442673786</v>
      </c>
      <c r="E7497" t="s">
        <v>31435</v>
      </c>
      <c r="F7497" t="s">
        <v>31435</v>
      </c>
      <c r="G7497" s="1">
        <v>35886</v>
      </c>
      <c r="I7497" t="s">
        <v>36249</v>
      </c>
      <c r="J7497" t="s">
        <v>36786</v>
      </c>
      <c r="K7497" t="s">
        <v>467</v>
      </c>
      <c r="L7497" t="s">
        <v>36787</v>
      </c>
      <c r="M7497">
        <v>322.40971000000002</v>
      </c>
      <c r="N7497" t="s">
        <v>36788</v>
      </c>
      <c r="O7497" t="s">
        <v>26</v>
      </c>
      <c r="Q7497">
        <v>107.5</v>
      </c>
      <c r="R7497">
        <v>86</v>
      </c>
      <c r="S7497">
        <v>129</v>
      </c>
      <c r="T7497" t="s">
        <v>36789</v>
      </c>
    </row>
    <row r="7498" spans="1:20">
      <c r="A7498">
        <v>4671418</v>
      </c>
      <c r="B7498" t="s">
        <v>36790</v>
      </c>
      <c r="C7498" t="str">
        <f>"9780802086365"</f>
        <v>9780802086365</v>
      </c>
      <c r="D7498" t="str">
        <f>"9781442673809"</f>
        <v>9781442673809</v>
      </c>
      <c r="E7498" t="s">
        <v>31435</v>
      </c>
      <c r="F7498" t="s">
        <v>31435</v>
      </c>
      <c r="G7498" s="1">
        <v>41773</v>
      </c>
      <c r="H7498">
        <v>2</v>
      </c>
      <c r="J7498" t="s">
        <v>36791</v>
      </c>
      <c r="K7498" t="s">
        <v>467</v>
      </c>
      <c r="M7498">
        <v>323.44</v>
      </c>
      <c r="O7498" t="s">
        <v>26</v>
      </c>
      <c r="Q7498">
        <v>130</v>
      </c>
      <c r="R7498">
        <v>104</v>
      </c>
      <c r="S7498">
        <v>156</v>
      </c>
      <c r="T7498" t="s">
        <v>36792</v>
      </c>
    </row>
    <row r="7499" spans="1:20">
      <c r="A7499">
        <v>4671419</v>
      </c>
      <c r="B7499" t="s">
        <v>36793</v>
      </c>
      <c r="C7499" t="str">
        <f>"9780802087614"</f>
        <v>9780802087614</v>
      </c>
      <c r="D7499" t="str">
        <f>"9781442673816"</f>
        <v>9781442673816</v>
      </c>
      <c r="E7499" t="s">
        <v>31435</v>
      </c>
      <c r="F7499" t="s">
        <v>31435</v>
      </c>
      <c r="G7499" s="1">
        <v>41773</v>
      </c>
      <c r="H7499">
        <v>2</v>
      </c>
      <c r="J7499" t="s">
        <v>36794</v>
      </c>
      <c r="K7499" t="s">
        <v>467</v>
      </c>
      <c r="L7499" t="s">
        <v>36795</v>
      </c>
      <c r="M7499">
        <v>321</v>
      </c>
      <c r="O7499" t="s">
        <v>26</v>
      </c>
      <c r="Q7499">
        <v>107.5</v>
      </c>
      <c r="R7499">
        <v>86</v>
      </c>
      <c r="S7499">
        <v>129</v>
      </c>
      <c r="T7499" t="s">
        <v>36796</v>
      </c>
    </row>
    <row r="7500" spans="1:20">
      <c r="A7500">
        <v>4671420</v>
      </c>
      <c r="B7500" t="s">
        <v>36797</v>
      </c>
      <c r="C7500" t="str">
        <f>"9780802083326"</f>
        <v>9780802083326</v>
      </c>
      <c r="D7500" t="str">
        <f>"9781442673823"</f>
        <v>9781442673823</v>
      </c>
      <c r="E7500" t="s">
        <v>31435</v>
      </c>
      <c r="F7500" t="s">
        <v>31435</v>
      </c>
      <c r="G7500" s="1">
        <v>36892</v>
      </c>
      <c r="J7500" t="s">
        <v>36798</v>
      </c>
      <c r="K7500" t="s">
        <v>467</v>
      </c>
      <c r="L7500" t="s">
        <v>36799</v>
      </c>
      <c r="M7500">
        <v>323</v>
      </c>
      <c r="O7500" t="s">
        <v>26</v>
      </c>
      <c r="Q7500">
        <v>96.25</v>
      </c>
      <c r="R7500">
        <v>77</v>
      </c>
      <c r="S7500">
        <v>115.5</v>
      </c>
      <c r="T7500" t="s">
        <v>36800</v>
      </c>
    </row>
    <row r="7501" spans="1:20">
      <c r="A7501">
        <v>4671421</v>
      </c>
      <c r="B7501" t="s">
        <v>36801</v>
      </c>
      <c r="C7501" t="str">
        <f>"9780802037947"</f>
        <v>9780802037947</v>
      </c>
      <c r="D7501" t="str">
        <f>"9781442673830"</f>
        <v>9781442673830</v>
      </c>
      <c r="E7501" t="s">
        <v>31435</v>
      </c>
      <c r="F7501" t="s">
        <v>31435</v>
      </c>
      <c r="G7501" s="1">
        <v>38353</v>
      </c>
      <c r="J7501" t="s">
        <v>36802</v>
      </c>
      <c r="K7501" t="s">
        <v>2154</v>
      </c>
      <c r="L7501" t="s">
        <v>36803</v>
      </c>
      <c r="M7501" t="s">
        <v>36804</v>
      </c>
      <c r="O7501" t="s">
        <v>26</v>
      </c>
      <c r="Q7501">
        <v>110</v>
      </c>
      <c r="R7501">
        <v>88</v>
      </c>
      <c r="S7501">
        <v>132</v>
      </c>
      <c r="T7501" t="s">
        <v>36805</v>
      </c>
    </row>
    <row r="7502" spans="1:20">
      <c r="A7502">
        <v>4671422</v>
      </c>
      <c r="B7502" t="s">
        <v>36806</v>
      </c>
      <c r="C7502" t="str">
        <f>"9780802082190"</f>
        <v>9780802082190</v>
      </c>
      <c r="D7502" t="str">
        <f>"9781442673847"</f>
        <v>9781442673847</v>
      </c>
      <c r="E7502" t="s">
        <v>31435</v>
      </c>
      <c r="F7502" t="s">
        <v>31435</v>
      </c>
      <c r="G7502" s="1">
        <v>36526</v>
      </c>
      <c r="J7502" t="s">
        <v>36807</v>
      </c>
      <c r="K7502" t="s">
        <v>7838</v>
      </c>
      <c r="L7502" t="s">
        <v>36808</v>
      </c>
      <c r="M7502" t="s">
        <v>36809</v>
      </c>
      <c r="O7502" t="s">
        <v>26</v>
      </c>
      <c r="Q7502">
        <v>100</v>
      </c>
      <c r="R7502">
        <v>80</v>
      </c>
      <c r="S7502">
        <v>120</v>
      </c>
      <c r="T7502" t="s">
        <v>36810</v>
      </c>
    </row>
    <row r="7503" spans="1:20">
      <c r="A7503">
        <v>4671423</v>
      </c>
      <c r="B7503" t="s">
        <v>36811</v>
      </c>
      <c r="C7503" t="str">
        <f>"9780802071446"</f>
        <v>9780802071446</v>
      </c>
      <c r="D7503" t="str">
        <f>"9781442673854"</f>
        <v>9781442673854</v>
      </c>
      <c r="E7503" t="s">
        <v>31435</v>
      </c>
      <c r="F7503" t="s">
        <v>31435</v>
      </c>
      <c r="G7503" s="1">
        <v>35388</v>
      </c>
      <c r="H7503">
        <v>2</v>
      </c>
      <c r="J7503" t="s">
        <v>36812</v>
      </c>
      <c r="K7503" t="s">
        <v>263</v>
      </c>
      <c r="L7503" t="s">
        <v>36813</v>
      </c>
      <c r="M7503" t="s">
        <v>36814</v>
      </c>
      <c r="O7503" t="s">
        <v>26</v>
      </c>
      <c r="Q7503">
        <v>115</v>
      </c>
      <c r="R7503">
        <v>92</v>
      </c>
      <c r="S7503">
        <v>138</v>
      </c>
      <c r="T7503" t="s">
        <v>36815</v>
      </c>
    </row>
    <row r="7504" spans="1:20">
      <c r="A7504">
        <v>4671424</v>
      </c>
      <c r="B7504" t="s">
        <v>36816</v>
      </c>
      <c r="C7504" t="str">
        <f>"9781487520533"</f>
        <v>9781487520533</v>
      </c>
      <c r="D7504" t="str">
        <f>"9781442673861"</f>
        <v>9781442673861</v>
      </c>
      <c r="E7504" t="s">
        <v>31435</v>
      </c>
      <c r="F7504" t="s">
        <v>31435</v>
      </c>
      <c r="G7504" s="1">
        <v>41773</v>
      </c>
      <c r="I7504" t="s">
        <v>34765</v>
      </c>
      <c r="J7504" t="s">
        <v>36817</v>
      </c>
      <c r="K7504" t="s">
        <v>1892</v>
      </c>
      <c r="M7504">
        <v>230.20920000000001</v>
      </c>
      <c r="O7504" t="s">
        <v>26</v>
      </c>
      <c r="Q7504">
        <v>140</v>
      </c>
      <c r="R7504">
        <v>112</v>
      </c>
      <c r="S7504">
        <v>168</v>
      </c>
      <c r="T7504" t="s">
        <v>36818</v>
      </c>
    </row>
    <row r="7505" spans="1:20">
      <c r="A7505">
        <v>4671427</v>
      </c>
      <c r="B7505" t="s">
        <v>36819</v>
      </c>
      <c r="C7505" t="str">
        <f>"9780802079046"</f>
        <v>9780802079046</v>
      </c>
      <c r="D7505" t="str">
        <f>"9781442673892"</f>
        <v>9781442673892</v>
      </c>
      <c r="E7505" t="s">
        <v>31435</v>
      </c>
      <c r="F7505" t="s">
        <v>31435</v>
      </c>
      <c r="G7505" s="1">
        <v>35388</v>
      </c>
      <c r="J7505" t="s">
        <v>36820</v>
      </c>
      <c r="K7505" t="s">
        <v>4081</v>
      </c>
      <c r="L7505" t="s">
        <v>36821</v>
      </c>
      <c r="M7505" t="s">
        <v>34585</v>
      </c>
      <c r="O7505" t="s">
        <v>26</v>
      </c>
      <c r="Q7505">
        <v>59.94</v>
      </c>
      <c r="R7505">
        <v>47.95</v>
      </c>
      <c r="S7505">
        <v>71.930000000000007</v>
      </c>
      <c r="T7505" t="s">
        <v>36822</v>
      </c>
    </row>
    <row r="7506" spans="1:20">
      <c r="A7506">
        <v>4671428</v>
      </c>
      <c r="B7506" t="s">
        <v>36823</v>
      </c>
      <c r="C7506" t="str">
        <f>"9780802094070"</f>
        <v>9780802094070</v>
      </c>
      <c r="D7506" t="str">
        <f>"9781442673922"</f>
        <v>9781442673922</v>
      </c>
      <c r="E7506" t="s">
        <v>31435</v>
      </c>
      <c r="F7506" t="s">
        <v>31435</v>
      </c>
      <c r="G7506" s="1">
        <v>41773</v>
      </c>
      <c r="J7506" t="s">
        <v>36824</v>
      </c>
      <c r="K7506" t="s">
        <v>416</v>
      </c>
      <c r="L7506" t="s">
        <v>36825</v>
      </c>
      <c r="M7506">
        <v>339.52097099999997</v>
      </c>
      <c r="O7506" t="s">
        <v>26</v>
      </c>
      <c r="Q7506">
        <v>102.5</v>
      </c>
      <c r="R7506">
        <v>82</v>
      </c>
      <c r="S7506">
        <v>123</v>
      </c>
      <c r="T7506" t="s">
        <v>36826</v>
      </c>
    </row>
    <row r="7507" spans="1:20">
      <c r="A7507">
        <v>4671430</v>
      </c>
      <c r="B7507" t="s">
        <v>36827</v>
      </c>
      <c r="C7507" t="str">
        <f>"9780802084576"</f>
        <v>9780802084576</v>
      </c>
      <c r="D7507" t="str">
        <f>"9781442673946"</f>
        <v>9781442673946</v>
      </c>
      <c r="E7507" t="s">
        <v>31435</v>
      </c>
      <c r="F7507" t="s">
        <v>31435</v>
      </c>
      <c r="G7507" s="1">
        <v>37257</v>
      </c>
      <c r="J7507" t="s">
        <v>36828</v>
      </c>
      <c r="K7507" t="s">
        <v>10956</v>
      </c>
      <c r="L7507" t="s">
        <v>36829</v>
      </c>
      <c r="M7507">
        <v>70.430971</v>
      </c>
      <c r="O7507" t="s">
        <v>26</v>
      </c>
      <c r="Q7507">
        <v>100</v>
      </c>
      <c r="R7507">
        <v>80</v>
      </c>
      <c r="S7507">
        <v>120</v>
      </c>
      <c r="T7507" t="s">
        <v>36830</v>
      </c>
    </row>
    <row r="7508" spans="1:20">
      <c r="A7508">
        <v>4671431</v>
      </c>
      <c r="B7508" t="s">
        <v>36831</v>
      </c>
      <c r="C7508" t="str">
        <f>"9780802044396"</f>
        <v>9780802044396</v>
      </c>
      <c r="D7508" t="str">
        <f>"9781442673953"</f>
        <v>9781442673953</v>
      </c>
      <c r="E7508" t="s">
        <v>31435</v>
      </c>
      <c r="F7508" t="s">
        <v>31435</v>
      </c>
      <c r="G7508" s="1">
        <v>36449</v>
      </c>
      <c r="I7508" t="s">
        <v>34035</v>
      </c>
      <c r="J7508" t="s">
        <v>36832</v>
      </c>
      <c r="K7508" t="s">
        <v>1464</v>
      </c>
      <c r="L7508" t="s">
        <v>36833</v>
      </c>
      <c r="M7508" t="s">
        <v>36834</v>
      </c>
      <c r="O7508" t="s">
        <v>26</v>
      </c>
      <c r="Q7508">
        <v>107.5</v>
      </c>
      <c r="R7508">
        <v>86</v>
      </c>
      <c r="S7508">
        <v>129</v>
      </c>
      <c r="T7508" t="s">
        <v>36835</v>
      </c>
    </row>
    <row r="7509" spans="1:20">
      <c r="A7509">
        <v>4671432</v>
      </c>
      <c r="B7509" t="s">
        <v>36836</v>
      </c>
      <c r="C7509" t="str">
        <f>"9780802071491"</f>
        <v>9780802071491</v>
      </c>
      <c r="D7509" t="str">
        <f>"9781442673960"</f>
        <v>9781442673960</v>
      </c>
      <c r="E7509" t="s">
        <v>31435</v>
      </c>
      <c r="F7509" t="s">
        <v>31435</v>
      </c>
      <c r="G7509" s="1">
        <v>35796</v>
      </c>
      <c r="H7509">
        <v>2</v>
      </c>
      <c r="J7509" t="s">
        <v>36837</v>
      </c>
      <c r="K7509" t="s">
        <v>14194</v>
      </c>
      <c r="L7509" t="s">
        <v>36838</v>
      </c>
      <c r="M7509" t="s">
        <v>36839</v>
      </c>
      <c r="O7509" t="s">
        <v>26</v>
      </c>
      <c r="Q7509">
        <v>59.94</v>
      </c>
      <c r="R7509">
        <v>47.95</v>
      </c>
      <c r="S7509">
        <v>71.930000000000007</v>
      </c>
      <c r="T7509" t="s">
        <v>36840</v>
      </c>
    </row>
    <row r="7510" spans="1:20">
      <c r="A7510">
        <v>4671433</v>
      </c>
      <c r="B7510" t="s">
        <v>36841</v>
      </c>
      <c r="C7510" t="str">
        <f>"9780802090928"</f>
        <v>9780802090928</v>
      </c>
      <c r="D7510" t="str">
        <f>"9781442673977"</f>
        <v>9781442673977</v>
      </c>
      <c r="E7510" t="s">
        <v>31435</v>
      </c>
      <c r="F7510" t="s">
        <v>31435</v>
      </c>
      <c r="G7510" s="1">
        <v>41773</v>
      </c>
      <c r="J7510" t="s">
        <v>36842</v>
      </c>
      <c r="K7510" t="s">
        <v>291</v>
      </c>
      <c r="L7510" t="s">
        <v>36843</v>
      </c>
      <c r="M7510">
        <v>941.08109200000001</v>
      </c>
      <c r="O7510" t="s">
        <v>26</v>
      </c>
      <c r="Q7510">
        <v>140</v>
      </c>
      <c r="R7510">
        <v>112</v>
      </c>
      <c r="S7510">
        <v>168</v>
      </c>
      <c r="T7510" t="s">
        <v>36844</v>
      </c>
    </row>
    <row r="7511" spans="1:20">
      <c r="A7511">
        <v>4671434</v>
      </c>
      <c r="B7511" t="s">
        <v>36845</v>
      </c>
      <c r="C7511" t="str">
        <f>"9780802048561"</f>
        <v>9780802048561</v>
      </c>
      <c r="D7511" t="str">
        <f>"9781442673984"</f>
        <v>9781442673984</v>
      </c>
      <c r="E7511" t="s">
        <v>31435</v>
      </c>
      <c r="F7511" t="s">
        <v>31435</v>
      </c>
      <c r="G7511" s="1">
        <v>36526</v>
      </c>
      <c r="I7511" t="s">
        <v>33775</v>
      </c>
      <c r="J7511" t="s">
        <v>36846</v>
      </c>
      <c r="K7511" t="s">
        <v>1464</v>
      </c>
      <c r="L7511" t="s">
        <v>36847</v>
      </c>
      <c r="M7511" t="s">
        <v>7053</v>
      </c>
      <c r="O7511" t="s">
        <v>26</v>
      </c>
      <c r="Q7511">
        <v>107.5</v>
      </c>
      <c r="R7511">
        <v>86</v>
      </c>
      <c r="S7511">
        <v>129</v>
      </c>
      <c r="T7511" t="s">
        <v>36848</v>
      </c>
    </row>
    <row r="7512" spans="1:20">
      <c r="A7512">
        <v>4671435</v>
      </c>
      <c r="B7512" t="s">
        <v>36849</v>
      </c>
      <c r="C7512" t="str">
        <f>"9780802089533"</f>
        <v>9780802089533</v>
      </c>
      <c r="D7512" t="str">
        <f>"9781442673991"</f>
        <v>9781442673991</v>
      </c>
      <c r="E7512" t="s">
        <v>31435</v>
      </c>
      <c r="F7512" t="s">
        <v>31435</v>
      </c>
      <c r="G7512" s="1">
        <v>41773</v>
      </c>
      <c r="J7512" t="s">
        <v>36850</v>
      </c>
      <c r="K7512" t="s">
        <v>36851</v>
      </c>
      <c r="L7512" t="s">
        <v>36852</v>
      </c>
      <c r="M7512">
        <v>27</v>
      </c>
      <c r="O7512" t="s">
        <v>26</v>
      </c>
      <c r="Q7512">
        <v>100</v>
      </c>
      <c r="R7512">
        <v>80</v>
      </c>
      <c r="S7512">
        <v>120</v>
      </c>
      <c r="T7512" t="s">
        <v>36853</v>
      </c>
    </row>
    <row r="7513" spans="1:20">
      <c r="A7513">
        <v>4671436</v>
      </c>
      <c r="B7513" t="s">
        <v>36854</v>
      </c>
      <c r="C7513" t="str">
        <f>"9780802091710"</f>
        <v>9780802091710</v>
      </c>
      <c r="D7513" t="str">
        <f>"9781442674004"</f>
        <v>9781442674004</v>
      </c>
      <c r="E7513" t="s">
        <v>31435</v>
      </c>
      <c r="F7513" t="s">
        <v>31435</v>
      </c>
      <c r="G7513" s="1">
        <v>38718</v>
      </c>
      <c r="I7513" t="s">
        <v>33831</v>
      </c>
      <c r="J7513" t="s">
        <v>36855</v>
      </c>
      <c r="K7513" t="s">
        <v>2260</v>
      </c>
      <c r="L7513" t="s">
        <v>36856</v>
      </c>
      <c r="M7513" t="s">
        <v>36857</v>
      </c>
      <c r="O7513" t="s">
        <v>26</v>
      </c>
      <c r="Q7513">
        <v>117.5</v>
      </c>
      <c r="R7513">
        <v>94</v>
      </c>
      <c r="S7513">
        <v>141</v>
      </c>
      <c r="T7513" t="s">
        <v>36858</v>
      </c>
    </row>
    <row r="7514" spans="1:20">
      <c r="A7514">
        <v>4671437</v>
      </c>
      <c r="B7514" t="s">
        <v>36859</v>
      </c>
      <c r="C7514" t="str">
        <f>"9780802093899"</f>
        <v>9780802093899</v>
      </c>
      <c r="D7514" t="str">
        <f>"9781442674011"</f>
        <v>9781442674011</v>
      </c>
      <c r="E7514" t="s">
        <v>31435</v>
      </c>
      <c r="F7514" t="s">
        <v>31435</v>
      </c>
      <c r="G7514" s="1">
        <v>41773</v>
      </c>
      <c r="J7514" t="s">
        <v>36860</v>
      </c>
      <c r="K7514" t="s">
        <v>263</v>
      </c>
      <c r="L7514" t="s">
        <v>36861</v>
      </c>
      <c r="M7514">
        <v>365.60820969999997</v>
      </c>
      <c r="O7514" t="s">
        <v>26</v>
      </c>
      <c r="Q7514">
        <v>95</v>
      </c>
      <c r="R7514">
        <v>76</v>
      </c>
      <c r="S7514">
        <v>114</v>
      </c>
      <c r="T7514" t="s">
        <v>36862</v>
      </c>
    </row>
    <row r="7515" spans="1:20">
      <c r="A7515">
        <v>4671438</v>
      </c>
      <c r="B7515" t="s">
        <v>36863</v>
      </c>
      <c r="C7515" t="str">
        <f>"9780802027474"</f>
        <v>9780802027474</v>
      </c>
      <c r="D7515" t="str">
        <f>"9781442674028"</f>
        <v>9781442674028</v>
      </c>
      <c r="E7515" t="s">
        <v>31435</v>
      </c>
      <c r="F7515" t="s">
        <v>31435</v>
      </c>
      <c r="G7515" s="1">
        <v>32874</v>
      </c>
      <c r="J7515" t="s">
        <v>36864</v>
      </c>
      <c r="K7515" t="s">
        <v>36865</v>
      </c>
      <c r="L7515" t="s">
        <v>36866</v>
      </c>
      <c r="M7515" t="s">
        <v>36867</v>
      </c>
      <c r="O7515" t="s">
        <v>26</v>
      </c>
      <c r="Q7515">
        <v>143.75</v>
      </c>
      <c r="R7515">
        <v>115</v>
      </c>
      <c r="S7515">
        <v>172.5</v>
      </c>
      <c r="T7515" t="s">
        <v>36868</v>
      </c>
    </row>
    <row r="7516" spans="1:20">
      <c r="A7516">
        <v>4671439</v>
      </c>
      <c r="B7516" t="s">
        <v>36869</v>
      </c>
      <c r="C7516" t="str">
        <f>"9780802089755"</f>
        <v>9780802089755</v>
      </c>
      <c r="D7516" t="str">
        <f>"9781442674042"</f>
        <v>9781442674042</v>
      </c>
      <c r="E7516" t="s">
        <v>31435</v>
      </c>
      <c r="F7516" t="s">
        <v>31435</v>
      </c>
      <c r="G7516" s="1">
        <v>37987</v>
      </c>
      <c r="H7516">
        <v>2</v>
      </c>
      <c r="J7516" t="s">
        <v>36870</v>
      </c>
      <c r="K7516" t="s">
        <v>10860</v>
      </c>
      <c r="L7516" t="s">
        <v>36871</v>
      </c>
      <c r="M7516" t="s">
        <v>36872</v>
      </c>
      <c r="O7516" t="s">
        <v>26</v>
      </c>
      <c r="Q7516">
        <v>95</v>
      </c>
      <c r="R7516">
        <v>76</v>
      </c>
      <c r="S7516">
        <v>114</v>
      </c>
      <c r="T7516" t="s">
        <v>36873</v>
      </c>
    </row>
    <row r="7517" spans="1:20">
      <c r="A7517">
        <v>4671440</v>
      </c>
      <c r="B7517" t="s">
        <v>36874</v>
      </c>
      <c r="C7517" t="str">
        <f>"9780802086686"</f>
        <v>9780802086686</v>
      </c>
      <c r="D7517" t="str">
        <f>"9781442674059"</f>
        <v>9781442674059</v>
      </c>
      <c r="E7517" t="s">
        <v>31435</v>
      </c>
      <c r="F7517" t="s">
        <v>31435</v>
      </c>
      <c r="G7517" s="1">
        <v>41773</v>
      </c>
      <c r="H7517">
        <v>2</v>
      </c>
      <c r="J7517" t="s">
        <v>36875</v>
      </c>
      <c r="K7517" t="s">
        <v>1464</v>
      </c>
      <c r="L7517" t="s">
        <v>36876</v>
      </c>
      <c r="M7517">
        <v>813</v>
      </c>
      <c r="O7517" t="s">
        <v>26</v>
      </c>
      <c r="Q7517">
        <v>110</v>
      </c>
      <c r="R7517">
        <v>88</v>
      </c>
      <c r="S7517">
        <v>132</v>
      </c>
      <c r="T7517" t="s">
        <v>36877</v>
      </c>
    </row>
    <row r="7518" spans="1:20">
      <c r="A7518">
        <v>4671441</v>
      </c>
      <c r="B7518" t="s">
        <v>36878</v>
      </c>
      <c r="C7518" t="str">
        <f>"9780802084781"</f>
        <v>9780802084781</v>
      </c>
      <c r="D7518" t="str">
        <f>"9781442674066"</f>
        <v>9781442674066</v>
      </c>
      <c r="E7518" t="s">
        <v>31435</v>
      </c>
      <c r="F7518" t="s">
        <v>31435</v>
      </c>
      <c r="G7518" s="1">
        <v>36892</v>
      </c>
      <c r="J7518" t="s">
        <v>36879</v>
      </c>
      <c r="K7518" t="s">
        <v>1471</v>
      </c>
      <c r="L7518" t="s">
        <v>36880</v>
      </c>
      <c r="M7518" t="s">
        <v>36881</v>
      </c>
      <c r="O7518" t="s">
        <v>26</v>
      </c>
      <c r="Q7518">
        <v>62.44</v>
      </c>
      <c r="R7518">
        <v>49.95</v>
      </c>
      <c r="S7518">
        <v>74.930000000000007</v>
      </c>
      <c r="T7518" t="s">
        <v>36882</v>
      </c>
    </row>
    <row r="7519" spans="1:20">
      <c r="A7519">
        <v>4671442</v>
      </c>
      <c r="B7519" t="s">
        <v>36883</v>
      </c>
      <c r="C7519" t="str">
        <f>"9780802074720"</f>
        <v>9780802074720</v>
      </c>
      <c r="D7519" t="str">
        <f>"9781442674073"</f>
        <v>9781442674073</v>
      </c>
      <c r="E7519" t="s">
        <v>31435</v>
      </c>
      <c r="F7519" t="s">
        <v>31435</v>
      </c>
      <c r="G7519" s="1">
        <v>34335</v>
      </c>
      <c r="J7519" t="s">
        <v>36884</v>
      </c>
      <c r="K7519" t="s">
        <v>263</v>
      </c>
      <c r="L7519" t="s">
        <v>36885</v>
      </c>
      <c r="M7519" t="s">
        <v>36886</v>
      </c>
      <c r="O7519" t="s">
        <v>26</v>
      </c>
      <c r="Q7519">
        <v>59.94</v>
      </c>
      <c r="R7519">
        <v>47.95</v>
      </c>
      <c r="S7519">
        <v>71.930000000000007</v>
      </c>
      <c r="T7519" t="s">
        <v>36887</v>
      </c>
    </row>
    <row r="7520" spans="1:20">
      <c r="A7520">
        <v>4671443</v>
      </c>
      <c r="B7520" t="s">
        <v>36888</v>
      </c>
      <c r="C7520" t="str">
        <f>"9780802043771"</f>
        <v>9780802043771</v>
      </c>
      <c r="D7520" t="str">
        <f>"9781442674080"</f>
        <v>9781442674080</v>
      </c>
      <c r="E7520" t="s">
        <v>31435</v>
      </c>
      <c r="F7520" t="s">
        <v>31435</v>
      </c>
      <c r="G7520" s="1">
        <v>36526</v>
      </c>
      <c r="H7520">
        <v>6</v>
      </c>
      <c r="I7520" t="s">
        <v>35188</v>
      </c>
      <c r="J7520" t="s">
        <v>36889</v>
      </c>
      <c r="K7520" t="s">
        <v>1471</v>
      </c>
      <c r="L7520" t="s">
        <v>36890</v>
      </c>
      <c r="M7520" t="s">
        <v>36891</v>
      </c>
      <c r="O7520" t="s">
        <v>26</v>
      </c>
      <c r="Q7520">
        <v>206.25</v>
      </c>
      <c r="R7520">
        <v>165</v>
      </c>
      <c r="S7520">
        <v>247.5</v>
      </c>
      <c r="T7520" t="s">
        <v>36892</v>
      </c>
    </row>
    <row r="7521" spans="1:20">
      <c r="A7521">
        <v>4671444</v>
      </c>
      <c r="B7521" t="s">
        <v>36893</v>
      </c>
      <c r="C7521" t="str">
        <f>"9780802055927"</f>
        <v>9780802055927</v>
      </c>
      <c r="D7521" t="str">
        <f>"9781442674097"</f>
        <v>9781442674097</v>
      </c>
      <c r="E7521" t="s">
        <v>31435</v>
      </c>
      <c r="F7521" t="s">
        <v>31435</v>
      </c>
      <c r="G7521" s="1">
        <v>30773</v>
      </c>
      <c r="I7521" t="s">
        <v>35188</v>
      </c>
      <c r="J7521" t="s">
        <v>36894</v>
      </c>
      <c r="K7521" t="s">
        <v>1471</v>
      </c>
      <c r="L7521" t="s">
        <v>36895</v>
      </c>
      <c r="M7521" t="s">
        <v>36896</v>
      </c>
      <c r="O7521" t="s">
        <v>26</v>
      </c>
      <c r="Q7521">
        <v>161.25</v>
      </c>
      <c r="R7521">
        <v>129</v>
      </c>
      <c r="S7521">
        <v>193.5</v>
      </c>
      <c r="T7521" t="s">
        <v>36897</v>
      </c>
    </row>
    <row r="7522" spans="1:20">
      <c r="A7522">
        <v>4671445</v>
      </c>
      <c r="B7522" t="s">
        <v>36898</v>
      </c>
      <c r="C7522" t="str">
        <f>"9780802080738"</f>
        <v>9780802080738</v>
      </c>
      <c r="D7522" t="str">
        <f>"9781442674103"</f>
        <v>9781442674103</v>
      </c>
      <c r="E7522" t="s">
        <v>31435</v>
      </c>
      <c r="F7522" t="s">
        <v>31435</v>
      </c>
      <c r="G7522" s="1">
        <v>35796</v>
      </c>
      <c r="J7522" t="s">
        <v>36899</v>
      </c>
      <c r="K7522" t="s">
        <v>15517</v>
      </c>
      <c r="L7522" t="s">
        <v>36900</v>
      </c>
      <c r="M7522" t="s">
        <v>36901</v>
      </c>
      <c r="O7522" t="s">
        <v>26</v>
      </c>
      <c r="Q7522">
        <v>151.25</v>
      </c>
      <c r="R7522">
        <v>121</v>
      </c>
      <c r="S7522">
        <v>181.5</v>
      </c>
      <c r="T7522" t="s">
        <v>36902</v>
      </c>
    </row>
    <row r="7523" spans="1:20">
      <c r="A7523">
        <v>4671446</v>
      </c>
      <c r="B7523" t="s">
        <v>36903</v>
      </c>
      <c r="C7523" t="str">
        <f>"9780802079015"</f>
        <v>9780802079015</v>
      </c>
      <c r="D7523" t="str">
        <f>"9781442674127"</f>
        <v>9781442674127</v>
      </c>
      <c r="E7523" t="s">
        <v>31435</v>
      </c>
      <c r="F7523" t="s">
        <v>31435</v>
      </c>
      <c r="G7523" s="1">
        <v>36161</v>
      </c>
      <c r="K7523" t="s">
        <v>525</v>
      </c>
      <c r="L7523" t="s">
        <v>36904</v>
      </c>
      <c r="M7523" t="s">
        <v>36905</v>
      </c>
      <c r="O7523" t="s">
        <v>26</v>
      </c>
      <c r="Q7523">
        <v>115</v>
      </c>
      <c r="R7523">
        <v>92</v>
      </c>
      <c r="S7523">
        <v>138</v>
      </c>
      <c r="T7523" t="s">
        <v>36906</v>
      </c>
    </row>
    <row r="7524" spans="1:20">
      <c r="A7524">
        <v>4671447</v>
      </c>
      <c r="B7524" t="s">
        <v>36907</v>
      </c>
      <c r="C7524" t="str">
        <f>"9780802084637"</f>
        <v>9780802084637</v>
      </c>
      <c r="D7524" t="str">
        <f>"9781442674134"</f>
        <v>9781442674134</v>
      </c>
      <c r="E7524" t="s">
        <v>31435</v>
      </c>
      <c r="F7524" t="s">
        <v>31435</v>
      </c>
      <c r="G7524" s="1">
        <v>38119</v>
      </c>
      <c r="H7524">
        <v>2</v>
      </c>
      <c r="J7524" t="s">
        <v>36908</v>
      </c>
      <c r="K7524" t="s">
        <v>6444</v>
      </c>
      <c r="L7524" t="s">
        <v>36909</v>
      </c>
      <c r="M7524" t="s">
        <v>36910</v>
      </c>
      <c r="O7524" t="s">
        <v>26</v>
      </c>
      <c r="Q7524">
        <v>130</v>
      </c>
      <c r="R7524">
        <v>104</v>
      </c>
      <c r="S7524">
        <v>156</v>
      </c>
      <c r="T7524" t="s">
        <v>36911</v>
      </c>
    </row>
    <row r="7525" spans="1:20">
      <c r="A7525">
        <v>4671449</v>
      </c>
      <c r="B7525" t="s">
        <v>36912</v>
      </c>
      <c r="C7525" t="str">
        <f>"9780802057754"</f>
        <v>9780802057754</v>
      </c>
      <c r="D7525" t="str">
        <f>"9781442674165"</f>
        <v>9781442674165</v>
      </c>
      <c r="E7525" t="s">
        <v>31435</v>
      </c>
      <c r="F7525" t="s">
        <v>31435</v>
      </c>
      <c r="G7525" s="1">
        <v>32540</v>
      </c>
      <c r="I7525" t="s">
        <v>36913</v>
      </c>
      <c r="J7525" t="s">
        <v>36914</v>
      </c>
      <c r="K7525" t="s">
        <v>1464</v>
      </c>
      <c r="L7525" t="s">
        <v>36915</v>
      </c>
      <c r="M7525">
        <v>811.52</v>
      </c>
      <c r="O7525" t="s">
        <v>26</v>
      </c>
      <c r="Q7525">
        <v>151.25</v>
      </c>
      <c r="R7525">
        <v>121</v>
      </c>
      <c r="S7525">
        <v>181.5</v>
      </c>
      <c r="T7525" t="s">
        <v>36916</v>
      </c>
    </row>
    <row r="7526" spans="1:20">
      <c r="A7526">
        <v>4671450</v>
      </c>
      <c r="B7526" t="s">
        <v>36917</v>
      </c>
      <c r="C7526" t="str">
        <f>"9780802042187"</f>
        <v>9780802042187</v>
      </c>
      <c r="D7526" t="str">
        <f>"9781442674172"</f>
        <v>9781442674172</v>
      </c>
      <c r="E7526" t="s">
        <v>31435</v>
      </c>
      <c r="F7526" t="s">
        <v>31435</v>
      </c>
      <c r="G7526" s="1">
        <v>36161</v>
      </c>
      <c r="H7526">
        <v>74</v>
      </c>
      <c r="J7526" t="s">
        <v>36918</v>
      </c>
      <c r="K7526" t="s">
        <v>7075</v>
      </c>
      <c r="L7526" t="s">
        <v>36919</v>
      </c>
      <c r="M7526">
        <v>15.71</v>
      </c>
      <c r="O7526" t="s">
        <v>26</v>
      </c>
      <c r="Q7526">
        <v>227.5</v>
      </c>
      <c r="R7526">
        <v>182</v>
      </c>
      <c r="S7526">
        <v>273</v>
      </c>
      <c r="T7526" t="s">
        <v>36920</v>
      </c>
    </row>
    <row r="7527" spans="1:20">
      <c r="A7527">
        <v>4671451</v>
      </c>
      <c r="B7527" t="s">
        <v>36921</v>
      </c>
      <c r="C7527" t="str">
        <f>"9780802035042"</f>
        <v>9780802035042</v>
      </c>
      <c r="D7527" t="str">
        <f>"9781442674189"</f>
        <v>9781442674189</v>
      </c>
      <c r="E7527" t="s">
        <v>31435</v>
      </c>
      <c r="F7527" t="s">
        <v>31435</v>
      </c>
      <c r="G7527" s="1">
        <v>37622</v>
      </c>
      <c r="J7527" t="s">
        <v>36922</v>
      </c>
      <c r="K7527" t="s">
        <v>33377</v>
      </c>
      <c r="L7527" t="s">
        <v>36923</v>
      </c>
      <c r="M7527">
        <v>704.94820000000004</v>
      </c>
      <c r="O7527" t="s">
        <v>26</v>
      </c>
      <c r="Q7527">
        <v>186.25</v>
      </c>
      <c r="R7527">
        <v>149</v>
      </c>
      <c r="S7527">
        <v>223.5</v>
      </c>
      <c r="T7527" t="s">
        <v>36924</v>
      </c>
    </row>
    <row r="7528" spans="1:20">
      <c r="A7528">
        <v>4671452</v>
      </c>
      <c r="B7528" t="s">
        <v>36925</v>
      </c>
      <c r="C7528" t="str">
        <f>"9780802084170"</f>
        <v>9780802084170</v>
      </c>
      <c r="D7528" t="str">
        <f>"9781442674202"</f>
        <v>9781442674202</v>
      </c>
      <c r="E7528" t="s">
        <v>31435</v>
      </c>
      <c r="F7528" t="s">
        <v>31435</v>
      </c>
      <c r="G7528" s="1">
        <v>37247</v>
      </c>
      <c r="J7528" t="s">
        <v>36926</v>
      </c>
      <c r="K7528" t="s">
        <v>1892</v>
      </c>
      <c r="L7528" t="s">
        <v>36927</v>
      </c>
      <c r="M7528" t="s">
        <v>36928</v>
      </c>
      <c r="O7528" t="s">
        <v>26</v>
      </c>
      <c r="Q7528">
        <v>135</v>
      </c>
      <c r="R7528">
        <v>108</v>
      </c>
      <c r="S7528">
        <v>162</v>
      </c>
      <c r="T7528" t="s">
        <v>36929</v>
      </c>
    </row>
    <row r="7529" spans="1:20">
      <c r="A7529">
        <v>4671453</v>
      </c>
      <c r="B7529" t="s">
        <v>36930</v>
      </c>
      <c r="C7529" t="str">
        <f>"9780802085153"</f>
        <v>9780802085153</v>
      </c>
      <c r="D7529" t="str">
        <f>"9781442674219"</f>
        <v>9781442674219</v>
      </c>
      <c r="E7529" t="s">
        <v>31435</v>
      </c>
      <c r="F7529" t="s">
        <v>31435</v>
      </c>
      <c r="G7529" s="1">
        <v>37310</v>
      </c>
      <c r="I7529" t="s">
        <v>36107</v>
      </c>
      <c r="J7529" t="s">
        <v>36931</v>
      </c>
      <c r="K7529" t="s">
        <v>278</v>
      </c>
      <c r="L7529" t="s">
        <v>36932</v>
      </c>
      <c r="M7529">
        <v>338.95</v>
      </c>
      <c r="N7529" t="s">
        <v>36933</v>
      </c>
      <c r="O7529" t="s">
        <v>26</v>
      </c>
      <c r="Q7529">
        <v>100</v>
      </c>
      <c r="R7529">
        <v>80</v>
      </c>
      <c r="S7529">
        <v>120</v>
      </c>
      <c r="T7529" t="s">
        <v>36934</v>
      </c>
    </row>
    <row r="7530" spans="1:20">
      <c r="A7530">
        <v>4671454</v>
      </c>
      <c r="B7530" t="s">
        <v>36935</v>
      </c>
      <c r="C7530" t="str">
        <f>"9780802080585"</f>
        <v>9780802080585</v>
      </c>
      <c r="D7530" t="str">
        <f>"9781442674226"</f>
        <v>9781442674226</v>
      </c>
      <c r="E7530" t="s">
        <v>31435</v>
      </c>
      <c r="F7530" t="s">
        <v>31435</v>
      </c>
      <c r="G7530" s="1">
        <v>35339</v>
      </c>
      <c r="I7530" t="s">
        <v>36107</v>
      </c>
      <c r="J7530" t="s">
        <v>36108</v>
      </c>
      <c r="K7530" t="s">
        <v>278</v>
      </c>
      <c r="L7530" t="s">
        <v>36936</v>
      </c>
      <c r="M7530">
        <v>338.09500000000003</v>
      </c>
      <c r="N7530" t="s">
        <v>36937</v>
      </c>
      <c r="O7530" t="s">
        <v>26</v>
      </c>
      <c r="Q7530">
        <v>91.25</v>
      </c>
      <c r="R7530">
        <v>73</v>
      </c>
      <c r="S7530">
        <v>109.5</v>
      </c>
      <c r="T7530" t="s">
        <v>36938</v>
      </c>
    </row>
    <row r="7531" spans="1:20">
      <c r="A7531">
        <v>4671455</v>
      </c>
      <c r="B7531" t="s">
        <v>36939</v>
      </c>
      <c r="C7531" t="str">
        <f>"9780802084965"</f>
        <v>9780802084965</v>
      </c>
      <c r="D7531" t="str">
        <f>"9781442674233"</f>
        <v>9781442674233</v>
      </c>
      <c r="E7531" t="s">
        <v>31435</v>
      </c>
      <c r="F7531" t="s">
        <v>31435</v>
      </c>
      <c r="G7531" s="1">
        <v>37257</v>
      </c>
      <c r="J7531" t="s">
        <v>36940</v>
      </c>
      <c r="K7531" t="s">
        <v>330</v>
      </c>
      <c r="L7531" t="s">
        <v>36941</v>
      </c>
      <c r="M7531">
        <v>363.7</v>
      </c>
      <c r="O7531" t="s">
        <v>26</v>
      </c>
      <c r="Q7531">
        <v>115</v>
      </c>
      <c r="R7531">
        <v>92</v>
      </c>
      <c r="S7531">
        <v>138</v>
      </c>
      <c r="T7531" t="s">
        <v>36942</v>
      </c>
    </row>
    <row r="7532" spans="1:20">
      <c r="A7532">
        <v>4671456</v>
      </c>
      <c r="B7532" t="s">
        <v>36943</v>
      </c>
      <c r="C7532" t="str">
        <f>"9780802056719"</f>
        <v>9780802056719</v>
      </c>
      <c r="D7532" t="str">
        <f>"9781442674240"</f>
        <v>9781442674240</v>
      </c>
      <c r="E7532" t="s">
        <v>31435</v>
      </c>
      <c r="F7532" t="s">
        <v>31435</v>
      </c>
      <c r="G7532" s="1">
        <v>31048</v>
      </c>
      <c r="J7532" t="s">
        <v>36554</v>
      </c>
      <c r="K7532" t="s">
        <v>278</v>
      </c>
      <c r="L7532" t="s">
        <v>36944</v>
      </c>
      <c r="M7532" t="s">
        <v>36945</v>
      </c>
      <c r="O7532" t="s">
        <v>26</v>
      </c>
      <c r="Q7532">
        <v>172.5</v>
      </c>
      <c r="R7532">
        <v>138</v>
      </c>
      <c r="S7532">
        <v>207</v>
      </c>
      <c r="T7532" t="s">
        <v>36946</v>
      </c>
    </row>
    <row r="7533" spans="1:20">
      <c r="A7533">
        <v>4671457</v>
      </c>
      <c r="B7533" t="s">
        <v>36947</v>
      </c>
      <c r="C7533" t="str">
        <f>"9780802085863"</f>
        <v>9780802085863</v>
      </c>
      <c r="D7533" t="str">
        <f>"9781442674257"</f>
        <v>9781442674257</v>
      </c>
      <c r="E7533" t="s">
        <v>31435</v>
      </c>
      <c r="F7533" t="s">
        <v>31435</v>
      </c>
      <c r="G7533" s="1">
        <v>37622</v>
      </c>
      <c r="H7533">
        <v>2</v>
      </c>
      <c r="I7533" t="s">
        <v>33775</v>
      </c>
      <c r="J7533" t="s">
        <v>36948</v>
      </c>
      <c r="K7533" t="s">
        <v>1464</v>
      </c>
      <c r="L7533" t="s">
        <v>36949</v>
      </c>
      <c r="M7533" t="s">
        <v>36950</v>
      </c>
      <c r="O7533" t="s">
        <v>26</v>
      </c>
      <c r="Q7533">
        <v>100</v>
      </c>
      <c r="R7533">
        <v>80</v>
      </c>
      <c r="S7533">
        <v>120</v>
      </c>
      <c r="T7533" t="s">
        <v>36951</v>
      </c>
    </row>
    <row r="7534" spans="1:20">
      <c r="A7534">
        <v>4671458</v>
      </c>
      <c r="B7534" t="s">
        <v>36952</v>
      </c>
      <c r="C7534" t="str">
        <f>"9781442615076"</f>
        <v>9781442615076</v>
      </c>
      <c r="D7534" t="str">
        <f>"9781442674264"</f>
        <v>9781442674264</v>
      </c>
      <c r="E7534" t="s">
        <v>31435</v>
      </c>
      <c r="F7534" t="s">
        <v>31435</v>
      </c>
      <c r="G7534" s="1">
        <v>34700</v>
      </c>
      <c r="H7534">
        <v>2</v>
      </c>
      <c r="I7534" t="s">
        <v>36953</v>
      </c>
      <c r="J7534" t="s">
        <v>36954</v>
      </c>
      <c r="K7534" t="s">
        <v>3230</v>
      </c>
      <c r="L7534" t="s">
        <v>36955</v>
      </c>
      <c r="M7534" t="s">
        <v>36956</v>
      </c>
      <c r="O7534" t="s">
        <v>26</v>
      </c>
      <c r="Q7534">
        <v>70</v>
      </c>
      <c r="R7534">
        <v>56</v>
      </c>
      <c r="S7534">
        <v>84</v>
      </c>
      <c r="T7534" t="s">
        <v>36957</v>
      </c>
    </row>
    <row r="7535" spans="1:20">
      <c r="A7535">
        <v>4671459</v>
      </c>
      <c r="B7535" t="s">
        <v>36958</v>
      </c>
      <c r="C7535" t="str">
        <f>"9780802088413"</f>
        <v>9780802088413</v>
      </c>
      <c r="D7535" t="str">
        <f>"9781442674271"</f>
        <v>9781442674271</v>
      </c>
      <c r="E7535" t="s">
        <v>31435</v>
      </c>
      <c r="F7535" t="s">
        <v>31435</v>
      </c>
      <c r="G7535" s="1">
        <v>41773</v>
      </c>
      <c r="I7535" t="s">
        <v>36953</v>
      </c>
      <c r="J7535" t="s">
        <v>36959</v>
      </c>
      <c r="K7535" t="s">
        <v>1859</v>
      </c>
      <c r="L7535" t="s">
        <v>36960</v>
      </c>
      <c r="M7535">
        <v>189.4</v>
      </c>
      <c r="O7535" t="s">
        <v>26</v>
      </c>
      <c r="Q7535">
        <v>80</v>
      </c>
      <c r="R7535">
        <v>64</v>
      </c>
      <c r="S7535">
        <v>96</v>
      </c>
      <c r="T7535" t="s">
        <v>36961</v>
      </c>
    </row>
    <row r="7536" spans="1:20">
      <c r="A7536">
        <v>4671460</v>
      </c>
      <c r="B7536" t="s">
        <v>36962</v>
      </c>
      <c r="C7536" t="str">
        <f>"9780802007971"</f>
        <v>9780802007971</v>
      </c>
      <c r="D7536" t="str">
        <f>"9781442674288"</f>
        <v>9781442674288</v>
      </c>
      <c r="E7536" t="s">
        <v>31435</v>
      </c>
      <c r="F7536" t="s">
        <v>31435</v>
      </c>
      <c r="G7536" s="1">
        <v>35065</v>
      </c>
      <c r="I7536" t="s">
        <v>36953</v>
      </c>
      <c r="J7536" t="s">
        <v>36963</v>
      </c>
      <c r="K7536" t="s">
        <v>1464</v>
      </c>
      <c r="L7536" t="s">
        <v>36964</v>
      </c>
      <c r="M7536" t="s">
        <v>36965</v>
      </c>
      <c r="O7536" t="s">
        <v>26</v>
      </c>
      <c r="Q7536">
        <v>71.25</v>
      </c>
      <c r="R7536">
        <v>57</v>
      </c>
      <c r="S7536">
        <v>85.5</v>
      </c>
      <c r="T7536" t="s">
        <v>36966</v>
      </c>
    </row>
    <row r="7537" spans="1:20">
      <c r="A7537">
        <v>4671461</v>
      </c>
      <c r="B7537" t="s">
        <v>36967</v>
      </c>
      <c r="C7537" t="str">
        <f>"9780802088451"</f>
        <v>9780802088451</v>
      </c>
      <c r="D7537" t="str">
        <f>"9781442674295"</f>
        <v>9781442674295</v>
      </c>
      <c r="E7537" t="s">
        <v>31435</v>
      </c>
      <c r="F7537" t="s">
        <v>31435</v>
      </c>
      <c r="G7537" s="1">
        <v>37987</v>
      </c>
      <c r="H7537">
        <v>2</v>
      </c>
      <c r="J7537" t="s">
        <v>36968</v>
      </c>
      <c r="K7537" t="s">
        <v>278</v>
      </c>
      <c r="L7537" t="s">
        <v>36969</v>
      </c>
      <c r="M7537" t="s">
        <v>36970</v>
      </c>
      <c r="O7537" t="s">
        <v>26</v>
      </c>
      <c r="Q7537">
        <v>95</v>
      </c>
      <c r="R7537">
        <v>76</v>
      </c>
      <c r="S7537">
        <v>114</v>
      </c>
      <c r="T7537" t="s">
        <v>36971</v>
      </c>
    </row>
    <row r="7538" spans="1:20">
      <c r="A7538">
        <v>4671462</v>
      </c>
      <c r="B7538" t="s">
        <v>36972</v>
      </c>
      <c r="C7538" t="str">
        <f>"9780802087805"</f>
        <v>9780802087805</v>
      </c>
      <c r="D7538" t="str">
        <f>"9781442674301"</f>
        <v>9781442674301</v>
      </c>
      <c r="E7538" t="s">
        <v>31435</v>
      </c>
      <c r="F7538" t="s">
        <v>31435</v>
      </c>
      <c r="G7538" s="1">
        <v>37622</v>
      </c>
      <c r="H7538">
        <v>2</v>
      </c>
      <c r="I7538" t="s">
        <v>36249</v>
      </c>
      <c r="J7538" t="s">
        <v>36973</v>
      </c>
      <c r="K7538" t="s">
        <v>257</v>
      </c>
      <c r="L7538" t="s">
        <v>36974</v>
      </c>
      <c r="M7538">
        <v>379</v>
      </c>
      <c r="O7538" t="s">
        <v>26</v>
      </c>
      <c r="Q7538">
        <v>143.75</v>
      </c>
      <c r="R7538">
        <v>115</v>
      </c>
      <c r="S7538">
        <v>172.5</v>
      </c>
      <c r="T7538" t="s">
        <v>36975</v>
      </c>
    </row>
    <row r="7539" spans="1:20">
      <c r="A7539">
        <v>4671463</v>
      </c>
      <c r="B7539" t="s">
        <v>36976</v>
      </c>
      <c r="C7539" t="str">
        <f>"9780802038227"</f>
        <v>9780802038227</v>
      </c>
      <c r="D7539" t="str">
        <f>"9781442674325"</f>
        <v>9781442674325</v>
      </c>
      <c r="E7539" t="s">
        <v>31435</v>
      </c>
      <c r="F7539" t="s">
        <v>31435</v>
      </c>
      <c r="G7539" s="1">
        <v>38353</v>
      </c>
      <c r="H7539">
        <v>2</v>
      </c>
      <c r="I7539" t="s">
        <v>34543</v>
      </c>
      <c r="J7539" t="s">
        <v>36977</v>
      </c>
      <c r="K7539" t="s">
        <v>1464</v>
      </c>
      <c r="L7539" t="s">
        <v>36978</v>
      </c>
      <c r="M7539" t="s">
        <v>36979</v>
      </c>
      <c r="O7539" t="s">
        <v>26</v>
      </c>
      <c r="Q7539">
        <v>117.5</v>
      </c>
      <c r="R7539">
        <v>94</v>
      </c>
      <c r="S7539">
        <v>141</v>
      </c>
      <c r="T7539" t="s">
        <v>36980</v>
      </c>
    </row>
    <row r="7540" spans="1:20">
      <c r="A7540">
        <v>4671464</v>
      </c>
      <c r="B7540" t="s">
        <v>36981</v>
      </c>
      <c r="C7540" t="str">
        <f>"9781442612945"</f>
        <v>9781442612945</v>
      </c>
      <c r="D7540" t="str">
        <f>"9781442674332"</f>
        <v>9781442674332</v>
      </c>
      <c r="E7540" t="s">
        <v>31435</v>
      </c>
      <c r="F7540" t="s">
        <v>31435</v>
      </c>
      <c r="G7540" s="1">
        <v>30956</v>
      </c>
      <c r="I7540" t="s">
        <v>31443</v>
      </c>
      <c r="J7540" t="s">
        <v>20439</v>
      </c>
      <c r="K7540" t="s">
        <v>278</v>
      </c>
      <c r="L7540" t="s">
        <v>36982</v>
      </c>
      <c r="M7540" t="s">
        <v>36983</v>
      </c>
      <c r="O7540" t="s">
        <v>26</v>
      </c>
      <c r="Q7540">
        <v>71.25</v>
      </c>
      <c r="R7540">
        <v>57</v>
      </c>
      <c r="S7540">
        <v>85.5</v>
      </c>
      <c r="T7540" t="s">
        <v>36984</v>
      </c>
    </row>
    <row r="7541" spans="1:20">
      <c r="A7541">
        <v>4671465</v>
      </c>
      <c r="B7541" t="s">
        <v>36985</v>
      </c>
      <c r="C7541" t="str">
        <f>"9780802044723"</f>
        <v>9780802044723</v>
      </c>
      <c r="D7541" t="str">
        <f>"9781442674349"</f>
        <v>9781442674349</v>
      </c>
      <c r="E7541" t="s">
        <v>31435</v>
      </c>
      <c r="F7541" t="s">
        <v>31435</v>
      </c>
      <c r="G7541" s="1">
        <v>36533</v>
      </c>
      <c r="J7541" t="s">
        <v>36986</v>
      </c>
      <c r="K7541" t="s">
        <v>1464</v>
      </c>
      <c r="L7541" t="s">
        <v>36987</v>
      </c>
      <c r="M7541" t="s">
        <v>36988</v>
      </c>
      <c r="N7541" t="s">
        <v>36989</v>
      </c>
      <c r="O7541" t="s">
        <v>26</v>
      </c>
      <c r="Q7541">
        <v>151.25</v>
      </c>
      <c r="R7541">
        <v>121</v>
      </c>
      <c r="S7541">
        <v>181.5</v>
      </c>
      <c r="T7541" t="s">
        <v>36990</v>
      </c>
    </row>
    <row r="7542" spans="1:20">
      <c r="A7542">
        <v>4671466</v>
      </c>
      <c r="B7542" t="s">
        <v>36991</v>
      </c>
      <c r="C7542" t="str">
        <f>"9781442628212"</f>
        <v>9781442628212</v>
      </c>
      <c r="D7542" t="str">
        <f>"9781442674356"</f>
        <v>9781442674356</v>
      </c>
      <c r="E7542" t="s">
        <v>31435</v>
      </c>
      <c r="F7542" t="s">
        <v>31435</v>
      </c>
      <c r="G7542" s="1">
        <v>37987</v>
      </c>
      <c r="I7542" t="s">
        <v>35029</v>
      </c>
      <c r="J7542" t="s">
        <v>36501</v>
      </c>
      <c r="K7542" t="s">
        <v>15691</v>
      </c>
      <c r="L7542" t="s">
        <v>36992</v>
      </c>
      <c r="M7542" t="s">
        <v>36993</v>
      </c>
      <c r="O7542" t="s">
        <v>26</v>
      </c>
      <c r="Q7542">
        <v>140</v>
      </c>
      <c r="R7542">
        <v>112</v>
      </c>
      <c r="S7542">
        <v>168</v>
      </c>
      <c r="T7542" t="s">
        <v>36994</v>
      </c>
    </row>
    <row r="7543" spans="1:20">
      <c r="A7543">
        <v>4671467</v>
      </c>
      <c r="B7543" t="s">
        <v>36995</v>
      </c>
      <c r="C7543" t="str">
        <f>"9780802078995"</f>
        <v>9780802078995</v>
      </c>
      <c r="D7543" t="str">
        <f>"9781442674363"</f>
        <v>9781442674363</v>
      </c>
      <c r="E7543" t="s">
        <v>31435</v>
      </c>
      <c r="F7543" t="s">
        <v>31435</v>
      </c>
      <c r="G7543" s="1">
        <v>36161</v>
      </c>
      <c r="J7543" t="s">
        <v>32329</v>
      </c>
      <c r="K7543" t="s">
        <v>263</v>
      </c>
      <c r="L7543" t="s">
        <v>36996</v>
      </c>
      <c r="M7543">
        <v>305.42</v>
      </c>
      <c r="O7543" t="s">
        <v>26</v>
      </c>
      <c r="Q7543">
        <v>115</v>
      </c>
      <c r="R7543">
        <v>92</v>
      </c>
      <c r="S7543">
        <v>138</v>
      </c>
      <c r="T7543" t="s">
        <v>36997</v>
      </c>
    </row>
    <row r="7544" spans="1:20">
      <c r="A7544">
        <v>4671468</v>
      </c>
      <c r="B7544" t="s">
        <v>36998</v>
      </c>
      <c r="C7544" t="str">
        <f>"9780802095237"</f>
        <v>9780802095237</v>
      </c>
      <c r="D7544" t="str">
        <f>"9781442674387"</f>
        <v>9781442674387</v>
      </c>
      <c r="E7544" t="s">
        <v>31435</v>
      </c>
      <c r="F7544" t="s">
        <v>31435</v>
      </c>
      <c r="G7544" s="1">
        <v>38353</v>
      </c>
      <c r="J7544" t="s">
        <v>6717</v>
      </c>
      <c r="K7544" t="s">
        <v>568</v>
      </c>
      <c r="L7544" t="s">
        <v>36999</v>
      </c>
      <c r="M7544" t="s">
        <v>37000</v>
      </c>
      <c r="O7544" t="s">
        <v>26</v>
      </c>
      <c r="Q7544">
        <v>83.75</v>
      </c>
      <c r="R7544">
        <v>67</v>
      </c>
      <c r="S7544">
        <v>100.5</v>
      </c>
      <c r="T7544" t="s">
        <v>37001</v>
      </c>
    </row>
    <row r="7545" spans="1:20">
      <c r="A7545">
        <v>4671469</v>
      </c>
      <c r="B7545" t="s">
        <v>37002</v>
      </c>
      <c r="C7545" t="str">
        <f>"9780802043627"</f>
        <v>9780802043627</v>
      </c>
      <c r="D7545" t="str">
        <f>"9781442674394"</f>
        <v>9781442674394</v>
      </c>
      <c r="E7545" t="s">
        <v>31435</v>
      </c>
      <c r="F7545" t="s">
        <v>31435</v>
      </c>
      <c r="G7545" s="1">
        <v>36161</v>
      </c>
      <c r="J7545" t="s">
        <v>37003</v>
      </c>
      <c r="K7545" t="s">
        <v>1464</v>
      </c>
      <c r="L7545" t="s">
        <v>37004</v>
      </c>
      <c r="M7545">
        <v>823.50992870000005</v>
      </c>
      <c r="O7545" t="s">
        <v>26</v>
      </c>
      <c r="Q7545">
        <v>91.25</v>
      </c>
      <c r="R7545">
        <v>73</v>
      </c>
      <c r="S7545">
        <v>109.5</v>
      </c>
      <c r="T7545" t="s">
        <v>37005</v>
      </c>
    </row>
    <row r="7546" spans="1:20">
      <c r="A7546">
        <v>4671470</v>
      </c>
      <c r="B7546" t="s">
        <v>37006</v>
      </c>
      <c r="C7546" t="str">
        <f>"9780802089403"</f>
        <v>9780802089403</v>
      </c>
      <c r="D7546" t="str">
        <f>"9781442674400"</f>
        <v>9781442674400</v>
      </c>
      <c r="E7546" t="s">
        <v>31435</v>
      </c>
      <c r="F7546" t="s">
        <v>31435</v>
      </c>
      <c r="G7546" s="1">
        <v>37987</v>
      </c>
      <c r="H7546">
        <v>2</v>
      </c>
      <c r="I7546" t="s">
        <v>34779</v>
      </c>
      <c r="J7546" t="s">
        <v>37007</v>
      </c>
      <c r="K7546" t="s">
        <v>1464</v>
      </c>
      <c r="L7546" t="s">
        <v>37008</v>
      </c>
      <c r="M7546" t="s">
        <v>37009</v>
      </c>
      <c r="O7546" t="s">
        <v>26</v>
      </c>
      <c r="Q7546">
        <v>140</v>
      </c>
      <c r="R7546">
        <v>112</v>
      </c>
      <c r="S7546">
        <v>168</v>
      </c>
      <c r="T7546" t="s">
        <v>37010</v>
      </c>
    </row>
    <row r="7547" spans="1:20">
      <c r="A7547">
        <v>4671474</v>
      </c>
      <c r="B7547" t="s">
        <v>37011</v>
      </c>
      <c r="C7547" t="str">
        <f>"9780802082350"</f>
        <v>9780802082350</v>
      </c>
      <c r="D7547" t="str">
        <f>"9781442674462"</f>
        <v>9781442674462</v>
      </c>
      <c r="E7547" t="s">
        <v>31435</v>
      </c>
      <c r="F7547" t="s">
        <v>31435</v>
      </c>
      <c r="G7547" s="1">
        <v>36603</v>
      </c>
      <c r="J7547" t="s">
        <v>37012</v>
      </c>
      <c r="K7547" t="s">
        <v>291</v>
      </c>
      <c r="L7547" t="s">
        <v>37013</v>
      </c>
      <c r="M7547">
        <v>940.54727109712996</v>
      </c>
      <c r="N7547" t="s">
        <v>37014</v>
      </c>
      <c r="O7547" t="s">
        <v>26</v>
      </c>
      <c r="Q7547">
        <v>123.75</v>
      </c>
      <c r="R7547">
        <v>99</v>
      </c>
      <c r="S7547">
        <v>148.5</v>
      </c>
      <c r="T7547" t="s">
        <v>37015</v>
      </c>
    </row>
    <row r="7548" spans="1:20">
      <c r="A7548">
        <v>4671475</v>
      </c>
      <c r="B7548" t="s">
        <v>37016</v>
      </c>
      <c r="C7548" t="str">
        <f>"9780802083210"</f>
        <v>9780802083210</v>
      </c>
      <c r="D7548" t="str">
        <f>"9781442674479"</f>
        <v>9781442674479</v>
      </c>
      <c r="E7548" t="s">
        <v>31435</v>
      </c>
      <c r="F7548" t="s">
        <v>31435</v>
      </c>
      <c r="G7548" s="1">
        <v>36531</v>
      </c>
      <c r="J7548" t="s">
        <v>13355</v>
      </c>
      <c r="K7548" t="s">
        <v>263</v>
      </c>
      <c r="L7548" t="s">
        <v>37017</v>
      </c>
      <c r="M7548">
        <v>361.61097100000001</v>
      </c>
      <c r="N7548" t="s">
        <v>37018</v>
      </c>
      <c r="O7548" t="s">
        <v>26</v>
      </c>
      <c r="Q7548">
        <v>123.75</v>
      </c>
      <c r="R7548">
        <v>99</v>
      </c>
      <c r="S7548">
        <v>148.5</v>
      </c>
      <c r="T7548" t="s">
        <v>37019</v>
      </c>
    </row>
    <row r="7549" spans="1:20">
      <c r="A7549">
        <v>4671476</v>
      </c>
      <c r="B7549" t="s">
        <v>37020</v>
      </c>
      <c r="C7549" t="str">
        <f>"9780802048622"</f>
        <v>9780802048622</v>
      </c>
      <c r="D7549" t="str">
        <f>"9781442674486"</f>
        <v>9781442674486</v>
      </c>
      <c r="E7549" t="s">
        <v>31435</v>
      </c>
      <c r="F7549" t="s">
        <v>31435</v>
      </c>
      <c r="G7549" s="1">
        <v>36892</v>
      </c>
      <c r="J7549" t="s">
        <v>37021</v>
      </c>
      <c r="K7549" t="s">
        <v>291</v>
      </c>
      <c r="L7549" t="s">
        <v>37022</v>
      </c>
      <c r="M7549">
        <v>941.50810000000001</v>
      </c>
      <c r="O7549" t="s">
        <v>26</v>
      </c>
      <c r="Q7549">
        <v>115</v>
      </c>
      <c r="R7549">
        <v>92</v>
      </c>
      <c r="S7549">
        <v>138</v>
      </c>
      <c r="T7549" t="s">
        <v>37023</v>
      </c>
    </row>
    <row r="7550" spans="1:20">
      <c r="A7550">
        <v>4671477</v>
      </c>
      <c r="B7550" t="s">
        <v>37024</v>
      </c>
      <c r="C7550" t="str">
        <f>"9780802057488"</f>
        <v>9780802057488</v>
      </c>
      <c r="D7550" t="str">
        <f>"9781442674509"</f>
        <v>9781442674509</v>
      </c>
      <c r="E7550" t="s">
        <v>31435</v>
      </c>
      <c r="F7550" t="s">
        <v>31435</v>
      </c>
      <c r="G7550" s="1">
        <v>31778</v>
      </c>
      <c r="I7550" t="s">
        <v>37025</v>
      </c>
      <c r="J7550" t="s">
        <v>37026</v>
      </c>
      <c r="K7550" t="s">
        <v>1464</v>
      </c>
      <c r="L7550" t="s">
        <v>37027</v>
      </c>
      <c r="M7550">
        <v>821.00160000000005</v>
      </c>
      <c r="O7550" t="s">
        <v>26</v>
      </c>
      <c r="Q7550">
        <v>172.5</v>
      </c>
      <c r="R7550">
        <v>138</v>
      </c>
      <c r="S7550">
        <v>207</v>
      </c>
      <c r="T7550" t="s">
        <v>37028</v>
      </c>
    </row>
    <row r="7551" spans="1:20">
      <c r="A7551">
        <v>4671478</v>
      </c>
      <c r="B7551" t="s">
        <v>37029</v>
      </c>
      <c r="C7551" t="str">
        <f>"9780802078520"</f>
        <v>9780802078520</v>
      </c>
      <c r="D7551" t="str">
        <f>"9781442674523"</f>
        <v>9781442674523</v>
      </c>
      <c r="E7551" t="s">
        <v>31435</v>
      </c>
      <c r="F7551" t="s">
        <v>31435</v>
      </c>
      <c r="G7551" s="1">
        <v>35796</v>
      </c>
      <c r="H7551">
        <v>2</v>
      </c>
      <c r="J7551" t="s">
        <v>37030</v>
      </c>
      <c r="K7551" t="s">
        <v>1892</v>
      </c>
      <c r="L7551" t="s">
        <v>37031</v>
      </c>
      <c r="M7551" t="s">
        <v>37032</v>
      </c>
      <c r="O7551" t="s">
        <v>26</v>
      </c>
      <c r="Q7551">
        <v>100</v>
      </c>
      <c r="R7551">
        <v>80</v>
      </c>
      <c r="S7551">
        <v>120</v>
      </c>
      <c r="T7551" t="s">
        <v>37033</v>
      </c>
    </row>
    <row r="7552" spans="1:20">
      <c r="A7552">
        <v>4671479</v>
      </c>
      <c r="B7552" t="s">
        <v>37034</v>
      </c>
      <c r="C7552" t="str">
        <f>"9780802056832"</f>
        <v>9780802056832</v>
      </c>
      <c r="D7552" t="str">
        <f>"9781442674530"</f>
        <v>9781442674530</v>
      </c>
      <c r="E7552" t="s">
        <v>31435</v>
      </c>
      <c r="F7552" t="s">
        <v>31435</v>
      </c>
      <c r="G7552" s="1">
        <v>31413</v>
      </c>
      <c r="I7552" t="s">
        <v>34747</v>
      </c>
      <c r="J7552" t="s">
        <v>36963</v>
      </c>
      <c r="K7552" t="s">
        <v>8974</v>
      </c>
      <c r="L7552" t="s">
        <v>37035</v>
      </c>
      <c r="M7552">
        <v>199.491999999999</v>
      </c>
      <c r="O7552" t="s">
        <v>26</v>
      </c>
      <c r="Q7552">
        <v>78.75</v>
      </c>
      <c r="R7552">
        <v>63</v>
      </c>
      <c r="S7552">
        <v>94.5</v>
      </c>
      <c r="T7552" t="s">
        <v>37036</v>
      </c>
    </row>
    <row r="7553" spans="1:20">
      <c r="A7553">
        <v>4671480</v>
      </c>
      <c r="B7553" t="s">
        <v>37037</v>
      </c>
      <c r="C7553" t="str">
        <f>"9781442615144"</f>
        <v>9781442615144</v>
      </c>
      <c r="D7553" t="str">
        <f>"9781442674547"</f>
        <v>9781442674547</v>
      </c>
      <c r="E7553" t="s">
        <v>31435</v>
      </c>
      <c r="F7553" t="s">
        <v>31435</v>
      </c>
      <c r="G7553" s="1">
        <v>31048</v>
      </c>
      <c r="I7553" t="s">
        <v>34747</v>
      </c>
      <c r="J7553" t="s">
        <v>36963</v>
      </c>
      <c r="K7553" t="s">
        <v>8974</v>
      </c>
      <c r="L7553" t="s">
        <v>37038</v>
      </c>
      <c r="M7553" t="s">
        <v>34439</v>
      </c>
      <c r="O7553" t="s">
        <v>26</v>
      </c>
      <c r="Q7553">
        <v>71.25</v>
      </c>
      <c r="R7553">
        <v>57</v>
      </c>
      <c r="S7553">
        <v>85.5</v>
      </c>
      <c r="T7553" t="s">
        <v>37039</v>
      </c>
    </row>
    <row r="7554" spans="1:20">
      <c r="A7554">
        <v>4671481</v>
      </c>
      <c r="B7554" t="s">
        <v>37040</v>
      </c>
      <c r="C7554" t="str">
        <f>"9780802037671"</f>
        <v>9780802037671</v>
      </c>
      <c r="D7554" t="str">
        <f>"9781442674554"</f>
        <v>9781442674554</v>
      </c>
      <c r="E7554" t="s">
        <v>31435</v>
      </c>
      <c r="F7554" t="s">
        <v>31435</v>
      </c>
      <c r="G7554" s="1">
        <v>37622</v>
      </c>
      <c r="I7554" t="s">
        <v>34747</v>
      </c>
      <c r="J7554" t="s">
        <v>37041</v>
      </c>
      <c r="K7554" t="s">
        <v>1464</v>
      </c>
      <c r="L7554" t="s">
        <v>37042</v>
      </c>
      <c r="M7554" t="s">
        <v>37043</v>
      </c>
      <c r="O7554" t="s">
        <v>26</v>
      </c>
      <c r="Q7554">
        <v>135</v>
      </c>
      <c r="R7554">
        <v>108</v>
      </c>
      <c r="S7554">
        <v>162</v>
      </c>
      <c r="T7554" t="s">
        <v>37044</v>
      </c>
    </row>
    <row r="7555" spans="1:20">
      <c r="A7555">
        <v>4671482</v>
      </c>
      <c r="B7555" t="s">
        <v>37045</v>
      </c>
      <c r="C7555" t="str">
        <f>"9780802078087"</f>
        <v>9780802078087</v>
      </c>
      <c r="D7555" t="str">
        <f>"9781442674561"</f>
        <v>9781442674561</v>
      </c>
      <c r="E7555" t="s">
        <v>31435</v>
      </c>
      <c r="F7555" t="s">
        <v>31435</v>
      </c>
      <c r="G7555" s="1">
        <v>35065</v>
      </c>
      <c r="H7555">
        <v>2</v>
      </c>
      <c r="J7555" t="s">
        <v>36963</v>
      </c>
      <c r="K7555" t="s">
        <v>2432</v>
      </c>
      <c r="L7555" t="s">
        <v>37046</v>
      </c>
      <c r="M7555">
        <v>305.39999999999901</v>
      </c>
      <c r="O7555" t="s">
        <v>26</v>
      </c>
      <c r="Q7555">
        <v>59.94</v>
      </c>
      <c r="R7555">
        <v>47.95</v>
      </c>
      <c r="S7555">
        <v>71.930000000000007</v>
      </c>
      <c r="T7555" t="s">
        <v>37047</v>
      </c>
    </row>
    <row r="7556" spans="1:20">
      <c r="A7556">
        <v>4671483</v>
      </c>
      <c r="B7556" t="s">
        <v>37048</v>
      </c>
      <c r="C7556" t="str">
        <f>"9780802071774"</f>
        <v>9780802071774</v>
      </c>
      <c r="D7556" t="str">
        <f>"9781442674578"</f>
        <v>9781442674578</v>
      </c>
      <c r="E7556" t="s">
        <v>31435</v>
      </c>
      <c r="F7556" t="s">
        <v>31435</v>
      </c>
      <c r="G7556" s="1">
        <v>34711</v>
      </c>
      <c r="H7556">
        <v>2</v>
      </c>
      <c r="I7556" t="s">
        <v>34747</v>
      </c>
      <c r="J7556" t="s">
        <v>37049</v>
      </c>
      <c r="K7556" t="s">
        <v>1464</v>
      </c>
      <c r="L7556" t="s">
        <v>37050</v>
      </c>
      <c r="M7556" t="s">
        <v>37043</v>
      </c>
      <c r="O7556" t="s">
        <v>26</v>
      </c>
      <c r="Q7556">
        <v>78.75</v>
      </c>
      <c r="R7556">
        <v>63</v>
      </c>
      <c r="S7556">
        <v>94.5</v>
      </c>
      <c r="T7556" t="s">
        <v>37051</v>
      </c>
    </row>
    <row r="7557" spans="1:20">
      <c r="A7557">
        <v>4671484</v>
      </c>
      <c r="B7557" t="s">
        <v>37052</v>
      </c>
      <c r="C7557" t="str">
        <f>"9780802044877"</f>
        <v>9780802044877</v>
      </c>
      <c r="D7557" t="str">
        <f>"9781442674585"</f>
        <v>9781442674585</v>
      </c>
      <c r="E7557" t="s">
        <v>31435</v>
      </c>
      <c r="F7557" t="s">
        <v>31435</v>
      </c>
      <c r="G7557" s="1">
        <v>36161</v>
      </c>
      <c r="J7557" t="s">
        <v>20787</v>
      </c>
      <c r="K7557" t="s">
        <v>6444</v>
      </c>
      <c r="L7557" t="s">
        <v>37053</v>
      </c>
      <c r="M7557" t="s">
        <v>12933</v>
      </c>
      <c r="O7557" t="s">
        <v>26</v>
      </c>
      <c r="Q7557">
        <v>91.25</v>
      </c>
      <c r="R7557">
        <v>73</v>
      </c>
      <c r="S7557">
        <v>109.5</v>
      </c>
      <c r="T7557" t="s">
        <v>37054</v>
      </c>
    </row>
    <row r="7558" spans="1:20">
      <c r="A7558">
        <v>4671485</v>
      </c>
      <c r="B7558" t="s">
        <v>37055</v>
      </c>
      <c r="C7558" t="str">
        <f>"9780802035752"</f>
        <v>9780802035752</v>
      </c>
      <c r="D7558" t="str">
        <f>"9781442674592"</f>
        <v>9781442674592</v>
      </c>
      <c r="E7558" t="s">
        <v>31435</v>
      </c>
      <c r="F7558" t="s">
        <v>31435</v>
      </c>
      <c r="G7558" s="1">
        <v>37257</v>
      </c>
      <c r="J7558" t="s">
        <v>37056</v>
      </c>
      <c r="K7558" t="s">
        <v>291</v>
      </c>
      <c r="L7558" t="s">
        <v>37057</v>
      </c>
      <c r="M7558" t="s">
        <v>37058</v>
      </c>
      <c r="O7558" t="s">
        <v>26</v>
      </c>
      <c r="Q7558">
        <v>115</v>
      </c>
      <c r="R7558">
        <v>92</v>
      </c>
      <c r="S7558">
        <v>138</v>
      </c>
      <c r="T7558" t="s">
        <v>37059</v>
      </c>
    </row>
    <row r="7559" spans="1:20">
      <c r="A7559">
        <v>4671486</v>
      </c>
      <c r="B7559" t="s">
        <v>37060</v>
      </c>
      <c r="C7559" t="str">
        <f>"9780802067838"</f>
        <v>9780802067838</v>
      </c>
      <c r="D7559" t="str">
        <f>"9781442674615"</f>
        <v>9781442674615</v>
      </c>
      <c r="E7559" t="s">
        <v>31435</v>
      </c>
      <c r="F7559" t="s">
        <v>31435</v>
      </c>
      <c r="G7559" s="1">
        <v>33604</v>
      </c>
      <c r="H7559">
        <v>2</v>
      </c>
      <c r="I7559" t="s">
        <v>35710</v>
      </c>
      <c r="J7559" t="s">
        <v>37061</v>
      </c>
      <c r="K7559" t="s">
        <v>291</v>
      </c>
      <c r="L7559" t="s">
        <v>37062</v>
      </c>
      <c r="M7559">
        <v>920.72</v>
      </c>
      <c r="O7559" t="s">
        <v>26</v>
      </c>
      <c r="Q7559">
        <v>59.94</v>
      </c>
      <c r="R7559">
        <v>47.95</v>
      </c>
      <c r="S7559">
        <v>71.930000000000007</v>
      </c>
      <c r="T7559" t="s">
        <v>37063</v>
      </c>
    </row>
    <row r="7560" spans="1:20">
      <c r="A7560">
        <v>4671487</v>
      </c>
      <c r="B7560" t="s">
        <v>37064</v>
      </c>
      <c r="C7560" t="str">
        <f>"9781442611832"</f>
        <v>9781442611832</v>
      </c>
      <c r="D7560" t="str">
        <f>"9781442674622"</f>
        <v>9781442674622</v>
      </c>
      <c r="E7560" t="s">
        <v>31435</v>
      </c>
      <c r="F7560" t="s">
        <v>31435</v>
      </c>
      <c r="G7560" s="1">
        <v>40435</v>
      </c>
      <c r="J7560" t="s">
        <v>37065</v>
      </c>
      <c r="K7560" t="s">
        <v>1471</v>
      </c>
      <c r="L7560" t="s">
        <v>37066</v>
      </c>
      <c r="M7560" t="s">
        <v>37067</v>
      </c>
      <c r="O7560" t="s">
        <v>26</v>
      </c>
      <c r="Q7560">
        <v>115</v>
      </c>
      <c r="R7560">
        <v>92</v>
      </c>
      <c r="S7560">
        <v>138</v>
      </c>
      <c r="T7560" t="s">
        <v>37068</v>
      </c>
    </row>
    <row r="7561" spans="1:20">
      <c r="A7561">
        <v>4671489</v>
      </c>
      <c r="B7561" t="s">
        <v>37069</v>
      </c>
      <c r="C7561" t="str">
        <f>"9780802087416"</f>
        <v>9780802087416</v>
      </c>
      <c r="D7561" t="str">
        <f>"9781442674646"</f>
        <v>9781442674646</v>
      </c>
      <c r="E7561" t="s">
        <v>31435</v>
      </c>
      <c r="F7561" t="s">
        <v>31435</v>
      </c>
      <c r="G7561" s="1">
        <v>37622</v>
      </c>
      <c r="H7561">
        <v>2</v>
      </c>
      <c r="J7561" t="s">
        <v>27996</v>
      </c>
      <c r="K7561" t="s">
        <v>1464</v>
      </c>
      <c r="L7561" t="s">
        <v>37070</v>
      </c>
      <c r="M7561" t="s">
        <v>3215</v>
      </c>
      <c r="O7561" t="s">
        <v>26</v>
      </c>
      <c r="Q7561">
        <v>95</v>
      </c>
      <c r="R7561">
        <v>76</v>
      </c>
      <c r="S7561">
        <v>114</v>
      </c>
      <c r="T7561" t="s">
        <v>37071</v>
      </c>
    </row>
    <row r="7562" spans="1:20">
      <c r="A7562">
        <v>4671490</v>
      </c>
      <c r="B7562" t="s">
        <v>37072</v>
      </c>
      <c r="C7562" t="str">
        <f>"9780802082732"</f>
        <v>9780802082732</v>
      </c>
      <c r="D7562" t="str">
        <f>"9781442674660"</f>
        <v>9781442674660</v>
      </c>
      <c r="E7562" t="s">
        <v>31435</v>
      </c>
      <c r="F7562" t="s">
        <v>31435</v>
      </c>
      <c r="G7562" s="1">
        <v>36526</v>
      </c>
      <c r="J7562" t="s">
        <v>37073</v>
      </c>
      <c r="K7562" t="s">
        <v>278</v>
      </c>
      <c r="L7562" t="s">
        <v>37074</v>
      </c>
      <c r="M7562">
        <v>330.12200000000001</v>
      </c>
      <c r="O7562" t="s">
        <v>26</v>
      </c>
      <c r="Q7562">
        <v>100</v>
      </c>
      <c r="R7562">
        <v>80</v>
      </c>
      <c r="S7562">
        <v>120</v>
      </c>
      <c r="T7562" t="s">
        <v>37075</v>
      </c>
    </row>
    <row r="7563" spans="1:20">
      <c r="A7563">
        <v>4671491</v>
      </c>
      <c r="B7563" t="s">
        <v>37076</v>
      </c>
      <c r="C7563" t="str">
        <f>"9780802080271"</f>
        <v>9780802080271</v>
      </c>
      <c r="D7563" t="str">
        <f>"9781442674677"</f>
        <v>9781442674677</v>
      </c>
      <c r="E7563" t="s">
        <v>31435</v>
      </c>
      <c r="F7563" t="s">
        <v>31435</v>
      </c>
      <c r="G7563" s="1">
        <v>36204</v>
      </c>
      <c r="J7563" t="s">
        <v>37077</v>
      </c>
      <c r="K7563" t="s">
        <v>1530</v>
      </c>
      <c r="L7563" t="s">
        <v>37078</v>
      </c>
      <c r="M7563" t="s">
        <v>7499</v>
      </c>
      <c r="N7563" t="s">
        <v>37079</v>
      </c>
      <c r="O7563" t="s">
        <v>26</v>
      </c>
      <c r="Q7563">
        <v>59.94</v>
      </c>
      <c r="R7563">
        <v>47.95</v>
      </c>
      <c r="S7563">
        <v>71.930000000000007</v>
      </c>
      <c r="T7563" t="s">
        <v>37080</v>
      </c>
    </row>
    <row r="7564" spans="1:20">
      <c r="A7564">
        <v>4671492</v>
      </c>
      <c r="B7564" t="s">
        <v>37081</v>
      </c>
      <c r="C7564" t="str">
        <f>"9780802047793"</f>
        <v>9780802047793</v>
      </c>
      <c r="D7564" t="str">
        <f>"9781442674684"</f>
        <v>9781442674684</v>
      </c>
      <c r="E7564" t="s">
        <v>31435</v>
      </c>
      <c r="F7564" t="s">
        <v>31435</v>
      </c>
      <c r="G7564" s="1">
        <v>37611</v>
      </c>
      <c r="J7564" t="s">
        <v>37082</v>
      </c>
      <c r="K7564" t="s">
        <v>1464</v>
      </c>
      <c r="L7564" t="s">
        <v>37083</v>
      </c>
      <c r="M7564" t="s">
        <v>37084</v>
      </c>
      <c r="O7564" t="s">
        <v>26</v>
      </c>
      <c r="Q7564">
        <v>123.75</v>
      </c>
      <c r="R7564">
        <v>99</v>
      </c>
      <c r="S7564">
        <v>148.5</v>
      </c>
      <c r="T7564" t="s">
        <v>37085</v>
      </c>
    </row>
    <row r="7565" spans="1:20">
      <c r="A7565">
        <v>4671493</v>
      </c>
      <c r="B7565" t="s">
        <v>37086</v>
      </c>
      <c r="C7565" t="str">
        <f>"9780802068286"</f>
        <v>9780802068286</v>
      </c>
      <c r="D7565" t="str">
        <f>"9781442674691"</f>
        <v>9781442674691</v>
      </c>
      <c r="E7565" t="s">
        <v>31435</v>
      </c>
      <c r="F7565" t="s">
        <v>31435</v>
      </c>
      <c r="G7565" s="1">
        <v>34335</v>
      </c>
      <c r="H7565">
        <v>2</v>
      </c>
      <c r="J7565" t="s">
        <v>37087</v>
      </c>
      <c r="K7565" t="s">
        <v>263</v>
      </c>
      <c r="L7565" t="s">
        <v>37088</v>
      </c>
      <c r="M7565">
        <v>364.3</v>
      </c>
      <c r="O7565" t="s">
        <v>26</v>
      </c>
      <c r="Q7565">
        <v>59.94</v>
      </c>
      <c r="R7565">
        <v>47.95</v>
      </c>
      <c r="S7565">
        <v>71.930000000000007</v>
      </c>
      <c r="T7565" t="s">
        <v>37089</v>
      </c>
    </row>
    <row r="7566" spans="1:20">
      <c r="A7566">
        <v>4671494</v>
      </c>
      <c r="B7566" t="s">
        <v>37090</v>
      </c>
      <c r="C7566" t="str">
        <f>"9780802037855"</f>
        <v>9780802037855</v>
      </c>
      <c r="D7566" t="str">
        <f>"9781442674707"</f>
        <v>9781442674707</v>
      </c>
      <c r="E7566" t="s">
        <v>31435</v>
      </c>
      <c r="F7566" t="s">
        <v>31435</v>
      </c>
      <c r="G7566" s="1">
        <v>38353</v>
      </c>
      <c r="I7566" t="s">
        <v>35251</v>
      </c>
      <c r="J7566" t="s">
        <v>37091</v>
      </c>
      <c r="K7566" t="s">
        <v>467</v>
      </c>
      <c r="L7566" t="s">
        <v>37092</v>
      </c>
      <c r="M7566" t="s">
        <v>37093</v>
      </c>
      <c r="O7566" t="s">
        <v>26</v>
      </c>
      <c r="Q7566">
        <v>117.5</v>
      </c>
      <c r="R7566">
        <v>94</v>
      </c>
      <c r="S7566">
        <v>141</v>
      </c>
      <c r="T7566" t="s">
        <v>37094</v>
      </c>
    </row>
    <row r="7567" spans="1:20">
      <c r="A7567">
        <v>4671495</v>
      </c>
      <c r="B7567" t="s">
        <v>37095</v>
      </c>
      <c r="C7567" t="str">
        <f>"9780802048486"</f>
        <v>9780802048486</v>
      </c>
      <c r="D7567" t="str">
        <f>"9781442674714"</f>
        <v>9781442674714</v>
      </c>
      <c r="E7567" t="s">
        <v>31435</v>
      </c>
      <c r="F7567" t="s">
        <v>31435</v>
      </c>
      <c r="G7567" s="1">
        <v>36892</v>
      </c>
      <c r="J7567" t="s">
        <v>37096</v>
      </c>
      <c r="K7567" t="s">
        <v>1464</v>
      </c>
      <c r="L7567" t="s">
        <v>37097</v>
      </c>
      <c r="M7567" t="s">
        <v>37098</v>
      </c>
      <c r="O7567" t="s">
        <v>26</v>
      </c>
      <c r="Q7567">
        <v>107.5</v>
      </c>
      <c r="R7567">
        <v>86</v>
      </c>
      <c r="S7567">
        <v>129</v>
      </c>
      <c r="T7567" t="s">
        <v>37099</v>
      </c>
    </row>
    <row r="7568" spans="1:20">
      <c r="A7568">
        <v>4671496</v>
      </c>
      <c r="B7568" t="s">
        <v>37100</v>
      </c>
      <c r="C7568" t="str">
        <f>"9780802088178"</f>
        <v>9780802088178</v>
      </c>
      <c r="D7568" t="str">
        <f>"9781442674721"</f>
        <v>9781442674721</v>
      </c>
      <c r="E7568" t="s">
        <v>31435</v>
      </c>
      <c r="F7568" t="s">
        <v>31435</v>
      </c>
      <c r="G7568" s="1">
        <v>41773</v>
      </c>
      <c r="H7568">
        <v>2</v>
      </c>
      <c r="I7568" t="s">
        <v>34035</v>
      </c>
      <c r="J7568" t="s">
        <v>37101</v>
      </c>
      <c r="K7568" t="s">
        <v>1464</v>
      </c>
      <c r="L7568" t="s">
        <v>37102</v>
      </c>
      <c r="M7568">
        <v>809.93370000000004</v>
      </c>
      <c r="O7568" t="s">
        <v>26</v>
      </c>
      <c r="Q7568">
        <v>123.75</v>
      </c>
      <c r="R7568">
        <v>99</v>
      </c>
      <c r="S7568">
        <v>148.5</v>
      </c>
      <c r="T7568" t="s">
        <v>37103</v>
      </c>
    </row>
    <row r="7569" spans="1:20">
      <c r="A7569">
        <v>4671498</v>
      </c>
      <c r="B7569" t="s">
        <v>37104</v>
      </c>
      <c r="C7569" t="str">
        <f>"9780802043085"</f>
        <v>9780802043085</v>
      </c>
      <c r="D7569" t="str">
        <f>"9781442674745"</f>
        <v>9781442674745</v>
      </c>
      <c r="E7569" t="s">
        <v>31435</v>
      </c>
      <c r="F7569" t="s">
        <v>31435</v>
      </c>
      <c r="G7569" s="1">
        <v>35931</v>
      </c>
      <c r="I7569" t="s">
        <v>34561</v>
      </c>
      <c r="J7569" t="s">
        <v>37105</v>
      </c>
      <c r="K7569" t="s">
        <v>1892</v>
      </c>
      <c r="L7569" t="s">
        <v>37106</v>
      </c>
      <c r="M7569">
        <v>223.206999999999</v>
      </c>
      <c r="O7569" t="s">
        <v>26</v>
      </c>
      <c r="Q7569">
        <v>163.75</v>
      </c>
      <c r="R7569">
        <v>131</v>
      </c>
      <c r="S7569">
        <v>196.5</v>
      </c>
      <c r="T7569" t="s">
        <v>37107</v>
      </c>
    </row>
    <row r="7570" spans="1:20">
      <c r="A7570">
        <v>4671500</v>
      </c>
      <c r="B7570" t="s">
        <v>37108</v>
      </c>
      <c r="C7570" t="str">
        <f>"9780802039231"</f>
        <v>9780802039231</v>
      </c>
      <c r="D7570" t="str">
        <f>"9781442674769"</f>
        <v>9781442674769</v>
      </c>
      <c r="E7570" t="s">
        <v>31435</v>
      </c>
      <c r="F7570" t="s">
        <v>31435</v>
      </c>
      <c r="G7570" s="1">
        <v>38353</v>
      </c>
      <c r="H7570">
        <v>2</v>
      </c>
      <c r="I7570" t="s">
        <v>34765</v>
      </c>
      <c r="J7570" t="s">
        <v>37109</v>
      </c>
      <c r="K7570" t="s">
        <v>4093</v>
      </c>
      <c r="L7570" t="s">
        <v>37110</v>
      </c>
      <c r="M7570">
        <v>179.7</v>
      </c>
      <c r="O7570" t="s">
        <v>26</v>
      </c>
      <c r="Q7570">
        <v>155</v>
      </c>
      <c r="R7570">
        <v>124</v>
      </c>
      <c r="S7570">
        <v>186</v>
      </c>
      <c r="T7570" t="s">
        <v>37111</v>
      </c>
    </row>
    <row r="7571" spans="1:20">
      <c r="A7571">
        <v>4671501</v>
      </c>
      <c r="B7571" t="s">
        <v>37112</v>
      </c>
      <c r="C7571" t="str">
        <f>"9781442613119"</f>
        <v>9781442613119</v>
      </c>
      <c r="D7571" t="str">
        <f>"9781442674776"</f>
        <v>9781442674776</v>
      </c>
      <c r="E7571" t="s">
        <v>31435</v>
      </c>
      <c r="F7571" t="s">
        <v>31435</v>
      </c>
      <c r="G7571" s="1">
        <v>41773</v>
      </c>
      <c r="I7571" t="s">
        <v>31443</v>
      </c>
      <c r="J7571" t="s">
        <v>37113</v>
      </c>
      <c r="K7571" t="s">
        <v>1464</v>
      </c>
      <c r="M7571">
        <v>811.52</v>
      </c>
      <c r="O7571" t="s">
        <v>26</v>
      </c>
      <c r="Q7571">
        <v>110</v>
      </c>
      <c r="R7571">
        <v>88</v>
      </c>
      <c r="S7571">
        <v>132</v>
      </c>
      <c r="T7571" t="s">
        <v>37114</v>
      </c>
    </row>
    <row r="7572" spans="1:20">
      <c r="A7572">
        <v>4671502</v>
      </c>
      <c r="B7572" t="s">
        <v>37115</v>
      </c>
      <c r="C7572" t="str">
        <f>"9780802089847"</f>
        <v>9780802089847</v>
      </c>
      <c r="D7572" t="str">
        <f>"9781442674790"</f>
        <v>9781442674790</v>
      </c>
      <c r="E7572" t="s">
        <v>31435</v>
      </c>
      <c r="F7572" t="s">
        <v>31435</v>
      </c>
      <c r="G7572" s="1">
        <v>41773</v>
      </c>
      <c r="H7572">
        <v>2</v>
      </c>
      <c r="I7572" t="s">
        <v>35203</v>
      </c>
      <c r="J7572" t="s">
        <v>37116</v>
      </c>
      <c r="K7572" t="s">
        <v>291</v>
      </c>
      <c r="L7572" t="s">
        <v>37117</v>
      </c>
      <c r="M7572">
        <v>942.01</v>
      </c>
      <c r="O7572" t="s">
        <v>26</v>
      </c>
      <c r="Q7572">
        <v>130</v>
      </c>
      <c r="R7572">
        <v>104</v>
      </c>
      <c r="S7572">
        <v>156</v>
      </c>
      <c r="T7572" t="s">
        <v>37118</v>
      </c>
    </row>
    <row r="7573" spans="1:20">
      <c r="A7573">
        <v>4671503</v>
      </c>
      <c r="B7573" t="s">
        <v>37119</v>
      </c>
      <c r="C7573" t="str">
        <f>"9780802085900"</f>
        <v>9780802085900</v>
      </c>
      <c r="D7573" t="str">
        <f>"9781442674806"</f>
        <v>9781442674806</v>
      </c>
      <c r="E7573" t="s">
        <v>31435</v>
      </c>
      <c r="F7573" t="s">
        <v>31435</v>
      </c>
      <c r="G7573" s="1">
        <v>38289</v>
      </c>
      <c r="H7573">
        <v>2</v>
      </c>
      <c r="J7573" t="s">
        <v>37120</v>
      </c>
      <c r="K7573" t="s">
        <v>263</v>
      </c>
      <c r="L7573" t="s">
        <v>37121</v>
      </c>
      <c r="M7573">
        <v>391.00971090339903</v>
      </c>
      <c r="N7573" t="s">
        <v>37122</v>
      </c>
      <c r="O7573" t="s">
        <v>26</v>
      </c>
      <c r="Q7573">
        <v>140</v>
      </c>
      <c r="R7573">
        <v>112</v>
      </c>
      <c r="S7573">
        <v>168</v>
      </c>
      <c r="T7573" t="s">
        <v>37123</v>
      </c>
    </row>
    <row r="7574" spans="1:20">
      <c r="A7574">
        <v>4671506</v>
      </c>
      <c r="B7574" t="s">
        <v>37124</v>
      </c>
      <c r="C7574" t="str">
        <f>"9780802094117"</f>
        <v>9780802094117</v>
      </c>
      <c r="D7574" t="str">
        <f>"9781442674820"</f>
        <v>9781442674820</v>
      </c>
      <c r="E7574" t="s">
        <v>31435</v>
      </c>
      <c r="F7574" t="s">
        <v>31435</v>
      </c>
      <c r="G7574" s="1">
        <v>41773</v>
      </c>
      <c r="J7574" t="s">
        <v>37125</v>
      </c>
      <c r="K7574" t="s">
        <v>467</v>
      </c>
      <c r="L7574" t="s">
        <v>14114</v>
      </c>
      <c r="M7574">
        <v>320.471</v>
      </c>
      <c r="O7574" t="s">
        <v>26</v>
      </c>
      <c r="Q7574">
        <v>130</v>
      </c>
      <c r="R7574">
        <v>104</v>
      </c>
      <c r="S7574">
        <v>156</v>
      </c>
      <c r="T7574" t="s">
        <v>37126</v>
      </c>
    </row>
    <row r="7575" spans="1:20">
      <c r="A7575">
        <v>4671507</v>
      </c>
      <c r="B7575" t="s">
        <v>37127</v>
      </c>
      <c r="C7575" t="str">
        <f>"9780802076472"</f>
        <v>9780802076472</v>
      </c>
      <c r="D7575" t="str">
        <f>"9781442674837"</f>
        <v>9781442674837</v>
      </c>
      <c r="E7575" t="s">
        <v>31435</v>
      </c>
      <c r="F7575" t="s">
        <v>31435</v>
      </c>
      <c r="G7575" s="1">
        <v>37415</v>
      </c>
      <c r="H7575">
        <v>2</v>
      </c>
      <c r="I7575" t="s">
        <v>33775</v>
      </c>
      <c r="J7575" t="s">
        <v>37128</v>
      </c>
      <c r="K7575" t="s">
        <v>1471</v>
      </c>
      <c r="L7575" t="s">
        <v>37129</v>
      </c>
      <c r="M7575" t="s">
        <v>37130</v>
      </c>
      <c r="O7575" t="s">
        <v>26</v>
      </c>
      <c r="Q7575">
        <v>123.75</v>
      </c>
      <c r="R7575">
        <v>99</v>
      </c>
      <c r="S7575">
        <v>148.5</v>
      </c>
      <c r="T7575" t="s">
        <v>37131</v>
      </c>
    </row>
    <row r="7576" spans="1:20">
      <c r="A7576">
        <v>4671508</v>
      </c>
      <c r="B7576" t="s">
        <v>37132</v>
      </c>
      <c r="C7576" t="str">
        <f>"9780802086723"</f>
        <v>9780802086723</v>
      </c>
      <c r="D7576" t="str">
        <f>"9781442674844"</f>
        <v>9781442674844</v>
      </c>
      <c r="E7576" t="s">
        <v>31435</v>
      </c>
      <c r="F7576" t="s">
        <v>31435</v>
      </c>
      <c r="G7576" s="1">
        <v>41773</v>
      </c>
      <c r="H7576">
        <v>2</v>
      </c>
      <c r="J7576" t="s">
        <v>37133</v>
      </c>
      <c r="K7576" t="s">
        <v>416</v>
      </c>
      <c r="L7576" t="s">
        <v>37134</v>
      </c>
      <c r="M7576">
        <v>338.04082</v>
      </c>
      <c r="O7576" t="s">
        <v>26</v>
      </c>
      <c r="Q7576">
        <v>110</v>
      </c>
      <c r="R7576">
        <v>88</v>
      </c>
      <c r="S7576">
        <v>132</v>
      </c>
      <c r="T7576" t="s">
        <v>37135</v>
      </c>
    </row>
    <row r="7577" spans="1:20">
      <c r="A7577">
        <v>4671509</v>
      </c>
      <c r="B7577" t="s">
        <v>37136</v>
      </c>
      <c r="C7577" t="str">
        <f>"9780802059888"</f>
        <v>9780802059888</v>
      </c>
      <c r="D7577" t="str">
        <f>"9781442674851"</f>
        <v>9781442674851</v>
      </c>
      <c r="E7577" t="s">
        <v>31435</v>
      </c>
      <c r="F7577" t="s">
        <v>31435</v>
      </c>
      <c r="G7577" s="1">
        <v>33604</v>
      </c>
      <c r="J7577" t="s">
        <v>37137</v>
      </c>
      <c r="K7577" t="s">
        <v>291</v>
      </c>
      <c r="L7577" t="s">
        <v>37138</v>
      </c>
      <c r="M7577">
        <v>938</v>
      </c>
      <c r="O7577" t="s">
        <v>26</v>
      </c>
      <c r="Q7577">
        <v>143.75</v>
      </c>
      <c r="R7577">
        <v>115</v>
      </c>
      <c r="S7577">
        <v>172.5</v>
      </c>
      <c r="T7577" t="s">
        <v>37139</v>
      </c>
    </row>
    <row r="7578" spans="1:20">
      <c r="A7578">
        <v>4671513</v>
      </c>
      <c r="B7578" t="s">
        <v>37140</v>
      </c>
      <c r="C7578" t="str">
        <f>"9780802087492"</f>
        <v>9780802087492</v>
      </c>
      <c r="D7578" t="str">
        <f>"9781442674899"</f>
        <v>9781442674899</v>
      </c>
      <c r="E7578" t="s">
        <v>31435</v>
      </c>
      <c r="F7578" t="s">
        <v>31435</v>
      </c>
      <c r="G7578" s="1">
        <v>41773</v>
      </c>
      <c r="H7578">
        <v>2</v>
      </c>
      <c r="I7578" t="s">
        <v>31450</v>
      </c>
      <c r="J7578" t="s">
        <v>37141</v>
      </c>
      <c r="K7578" t="s">
        <v>263</v>
      </c>
      <c r="L7578" t="s">
        <v>37142</v>
      </c>
      <c r="M7578">
        <v>305.8</v>
      </c>
      <c r="O7578" t="s">
        <v>26</v>
      </c>
      <c r="Q7578">
        <v>110</v>
      </c>
      <c r="R7578">
        <v>88</v>
      </c>
      <c r="S7578">
        <v>132</v>
      </c>
      <c r="T7578" t="s">
        <v>37143</v>
      </c>
    </row>
    <row r="7579" spans="1:20">
      <c r="A7579">
        <v>4671514</v>
      </c>
      <c r="B7579" t="s">
        <v>37144</v>
      </c>
      <c r="C7579" t="str">
        <f>"9780802082299"</f>
        <v>9780802082299</v>
      </c>
      <c r="D7579" t="str">
        <f>"9781442674905"</f>
        <v>9781442674905</v>
      </c>
      <c r="E7579" t="s">
        <v>31435</v>
      </c>
      <c r="F7579" t="s">
        <v>31435</v>
      </c>
      <c r="G7579" s="1">
        <v>36113</v>
      </c>
      <c r="I7579" t="s">
        <v>36107</v>
      </c>
      <c r="J7579" t="s">
        <v>37145</v>
      </c>
      <c r="K7579" t="s">
        <v>416</v>
      </c>
      <c r="L7579" t="s">
        <v>37146</v>
      </c>
      <c r="M7579">
        <v>332.04209500000002</v>
      </c>
      <c r="O7579" t="s">
        <v>26</v>
      </c>
      <c r="Q7579">
        <v>91.25</v>
      </c>
      <c r="R7579">
        <v>73</v>
      </c>
      <c r="S7579">
        <v>109.5</v>
      </c>
      <c r="T7579" t="s">
        <v>37147</v>
      </c>
    </row>
    <row r="7580" spans="1:20">
      <c r="A7580">
        <v>4671515</v>
      </c>
      <c r="B7580" t="s">
        <v>37148</v>
      </c>
      <c r="C7580" t="str">
        <f>"9780802084538"</f>
        <v>9780802084538</v>
      </c>
      <c r="D7580" t="str">
        <f>"9781442674912"</f>
        <v>9781442674912</v>
      </c>
      <c r="E7580" t="s">
        <v>31435</v>
      </c>
      <c r="F7580" t="s">
        <v>31435</v>
      </c>
      <c r="G7580" s="1">
        <v>37254</v>
      </c>
      <c r="J7580" t="s">
        <v>30124</v>
      </c>
      <c r="K7580" t="s">
        <v>525</v>
      </c>
      <c r="L7580" t="s">
        <v>37149</v>
      </c>
      <c r="M7580">
        <v>343.73075999999901</v>
      </c>
      <c r="N7580" t="s">
        <v>37150</v>
      </c>
      <c r="O7580" t="s">
        <v>26</v>
      </c>
      <c r="Q7580">
        <v>123.75</v>
      </c>
      <c r="R7580">
        <v>99</v>
      </c>
      <c r="S7580">
        <v>148.5</v>
      </c>
      <c r="T7580" t="s">
        <v>37151</v>
      </c>
    </row>
    <row r="7581" spans="1:20">
      <c r="A7581">
        <v>4671516</v>
      </c>
      <c r="B7581" t="s">
        <v>37152</v>
      </c>
      <c r="C7581" t="str">
        <f>"9780802078537"</f>
        <v>9780802078537</v>
      </c>
      <c r="D7581" t="str">
        <f>"9781442674929"</f>
        <v>9781442674929</v>
      </c>
      <c r="E7581" t="s">
        <v>31435</v>
      </c>
      <c r="F7581" t="s">
        <v>31435</v>
      </c>
      <c r="G7581" s="1">
        <v>35431</v>
      </c>
      <c r="H7581">
        <v>2</v>
      </c>
      <c r="I7581" t="s">
        <v>34886</v>
      </c>
      <c r="J7581" t="s">
        <v>37153</v>
      </c>
      <c r="K7581" t="s">
        <v>30010</v>
      </c>
      <c r="L7581" t="s">
        <v>37154</v>
      </c>
      <c r="M7581">
        <v>799.10940000000005</v>
      </c>
      <c r="O7581" t="s">
        <v>26</v>
      </c>
      <c r="Q7581">
        <v>115</v>
      </c>
      <c r="R7581">
        <v>92</v>
      </c>
      <c r="S7581">
        <v>138</v>
      </c>
      <c r="T7581" t="s">
        <v>37155</v>
      </c>
    </row>
    <row r="7582" spans="1:20">
      <c r="A7582">
        <v>4671517</v>
      </c>
      <c r="B7582" t="s">
        <v>37156</v>
      </c>
      <c r="C7582" t="str">
        <f>"9780802079596"</f>
        <v>9780802079596</v>
      </c>
      <c r="D7582" t="str">
        <f>"9781442674936"</f>
        <v>9781442674936</v>
      </c>
      <c r="E7582" t="s">
        <v>31435</v>
      </c>
      <c r="F7582" t="s">
        <v>31435</v>
      </c>
      <c r="G7582" s="1">
        <v>36130</v>
      </c>
      <c r="J7582" t="s">
        <v>37157</v>
      </c>
      <c r="K7582" t="s">
        <v>34225</v>
      </c>
      <c r="L7582" t="s">
        <v>37158</v>
      </c>
      <c r="M7582" t="s">
        <v>37159</v>
      </c>
      <c r="N7582" t="s">
        <v>37160</v>
      </c>
      <c r="O7582" t="s">
        <v>26</v>
      </c>
      <c r="Q7582">
        <v>115</v>
      </c>
      <c r="R7582">
        <v>92</v>
      </c>
      <c r="S7582">
        <v>138</v>
      </c>
      <c r="T7582" t="s">
        <v>37161</v>
      </c>
    </row>
    <row r="7583" spans="1:20">
      <c r="A7583">
        <v>4671518</v>
      </c>
      <c r="B7583" t="s">
        <v>37162</v>
      </c>
      <c r="C7583" t="str">
        <f>"9780802038333"</f>
        <v>9780802038333</v>
      </c>
      <c r="D7583" t="str">
        <f>"9781442674943"</f>
        <v>9781442674943</v>
      </c>
      <c r="E7583" t="s">
        <v>31435</v>
      </c>
      <c r="F7583" t="s">
        <v>31435</v>
      </c>
      <c r="G7583" s="1">
        <v>38353</v>
      </c>
      <c r="H7583">
        <v>2</v>
      </c>
      <c r="J7583" t="s">
        <v>37163</v>
      </c>
      <c r="K7583" t="s">
        <v>1464</v>
      </c>
      <c r="L7583" t="s">
        <v>37164</v>
      </c>
      <c r="M7583" t="s">
        <v>37165</v>
      </c>
      <c r="O7583" t="s">
        <v>26</v>
      </c>
      <c r="Q7583">
        <v>110</v>
      </c>
      <c r="R7583">
        <v>88</v>
      </c>
      <c r="S7583">
        <v>132</v>
      </c>
      <c r="T7583" t="s">
        <v>37166</v>
      </c>
    </row>
    <row r="7584" spans="1:20">
      <c r="A7584">
        <v>4671519</v>
      </c>
      <c r="B7584" t="s">
        <v>37167</v>
      </c>
      <c r="C7584" t="str">
        <f>"9780802038159"</f>
        <v>9780802038159</v>
      </c>
      <c r="D7584" t="str">
        <f>"9781442674950"</f>
        <v>9781442674950</v>
      </c>
      <c r="E7584" t="s">
        <v>31435</v>
      </c>
      <c r="F7584" t="s">
        <v>31435</v>
      </c>
      <c r="G7584" s="1">
        <v>41773</v>
      </c>
      <c r="H7584">
        <v>2</v>
      </c>
      <c r="J7584" t="s">
        <v>3807</v>
      </c>
      <c r="K7584" t="s">
        <v>1464</v>
      </c>
      <c r="M7584">
        <v>810</v>
      </c>
      <c r="O7584" t="s">
        <v>26</v>
      </c>
      <c r="Q7584">
        <v>123.75</v>
      </c>
      <c r="R7584">
        <v>99</v>
      </c>
      <c r="S7584">
        <v>148.5</v>
      </c>
      <c r="T7584" t="s">
        <v>37168</v>
      </c>
    </row>
    <row r="7585" spans="1:20">
      <c r="A7585">
        <v>4671524</v>
      </c>
      <c r="B7585" t="s">
        <v>37169</v>
      </c>
      <c r="C7585" t="str">
        <f>"9780802009043"</f>
        <v>9780802009043</v>
      </c>
      <c r="D7585" t="str">
        <f>"9781442675018"</f>
        <v>9781442675018</v>
      </c>
      <c r="E7585" t="s">
        <v>31435</v>
      </c>
      <c r="F7585" t="s">
        <v>31435</v>
      </c>
      <c r="G7585" s="1">
        <v>35796</v>
      </c>
      <c r="J7585" t="s">
        <v>37170</v>
      </c>
      <c r="K7585" t="s">
        <v>416</v>
      </c>
      <c r="L7585" t="s">
        <v>37171</v>
      </c>
      <c r="M7585">
        <v>331.09710000000001</v>
      </c>
      <c r="O7585" t="s">
        <v>26</v>
      </c>
      <c r="Q7585">
        <v>123.75</v>
      </c>
      <c r="R7585">
        <v>99</v>
      </c>
      <c r="S7585">
        <v>148.5</v>
      </c>
      <c r="T7585" t="s">
        <v>37172</v>
      </c>
    </row>
    <row r="7586" spans="1:20">
      <c r="A7586">
        <v>4671525</v>
      </c>
      <c r="B7586" t="s">
        <v>37173</v>
      </c>
      <c r="C7586" t="str">
        <f>"9780802084798"</f>
        <v>9780802084798</v>
      </c>
      <c r="D7586" t="str">
        <f>"9781442675025"</f>
        <v>9781442675025</v>
      </c>
      <c r="E7586" t="s">
        <v>31435</v>
      </c>
      <c r="F7586" t="s">
        <v>31435</v>
      </c>
      <c r="G7586" s="1">
        <v>37622</v>
      </c>
      <c r="J7586" t="s">
        <v>17020</v>
      </c>
      <c r="K7586" t="s">
        <v>291</v>
      </c>
      <c r="L7586" t="s">
        <v>37174</v>
      </c>
      <c r="M7586" t="s">
        <v>37175</v>
      </c>
      <c r="O7586" t="s">
        <v>26</v>
      </c>
      <c r="Q7586">
        <v>115</v>
      </c>
      <c r="R7586">
        <v>92</v>
      </c>
      <c r="S7586">
        <v>138</v>
      </c>
      <c r="T7586" t="s">
        <v>37176</v>
      </c>
    </row>
    <row r="7587" spans="1:20">
      <c r="A7587">
        <v>4671526</v>
      </c>
      <c r="B7587" t="s">
        <v>37177</v>
      </c>
      <c r="C7587" t="str">
        <f>"9781442613010"</f>
        <v>9781442613010</v>
      </c>
      <c r="D7587" t="str">
        <f>"9781442675032"</f>
        <v>9781442675032</v>
      </c>
      <c r="E7587" t="s">
        <v>31435</v>
      </c>
      <c r="F7587" t="s">
        <v>31435</v>
      </c>
      <c r="G7587" s="1">
        <v>36892</v>
      </c>
      <c r="I7587" t="s">
        <v>35056</v>
      </c>
      <c r="J7587" t="s">
        <v>37178</v>
      </c>
      <c r="K7587" t="s">
        <v>1859</v>
      </c>
      <c r="L7587" t="s">
        <v>37179</v>
      </c>
      <c r="M7587">
        <v>190</v>
      </c>
      <c r="O7587" t="s">
        <v>26</v>
      </c>
      <c r="Q7587">
        <v>206.25</v>
      </c>
      <c r="R7587">
        <v>165</v>
      </c>
      <c r="S7587">
        <v>247.5</v>
      </c>
      <c r="T7587" t="s">
        <v>37180</v>
      </c>
    </row>
    <row r="7588" spans="1:20">
      <c r="A7588">
        <v>4671528</v>
      </c>
      <c r="B7588" t="s">
        <v>37181</v>
      </c>
      <c r="C7588" t="str">
        <f>"9780802006790"</f>
        <v>9780802006790</v>
      </c>
      <c r="D7588" t="str">
        <f>"9781442675056"</f>
        <v>9781442675056</v>
      </c>
      <c r="E7588" t="s">
        <v>31435</v>
      </c>
      <c r="F7588" t="s">
        <v>31435</v>
      </c>
      <c r="G7588" s="1">
        <v>35431</v>
      </c>
      <c r="J7588" t="s">
        <v>37182</v>
      </c>
      <c r="K7588" t="s">
        <v>7838</v>
      </c>
      <c r="L7588" t="s">
        <v>37183</v>
      </c>
      <c r="M7588">
        <v>720.92200000000003</v>
      </c>
      <c r="O7588" t="s">
        <v>26</v>
      </c>
      <c r="Q7588">
        <v>213.75</v>
      </c>
      <c r="R7588">
        <v>171</v>
      </c>
      <c r="S7588">
        <v>256.5</v>
      </c>
      <c r="T7588" t="s">
        <v>37184</v>
      </c>
    </row>
    <row r="7589" spans="1:20">
      <c r="A7589">
        <v>4671529</v>
      </c>
      <c r="B7589" t="s">
        <v>37185</v>
      </c>
      <c r="C7589" t="str">
        <f>"9780802090799"</f>
        <v>9780802090799</v>
      </c>
      <c r="D7589" t="str">
        <f>"9781442675063"</f>
        <v>9781442675063</v>
      </c>
      <c r="E7589" t="s">
        <v>31435</v>
      </c>
      <c r="F7589" t="s">
        <v>31435</v>
      </c>
      <c r="G7589" s="1">
        <v>38353</v>
      </c>
      <c r="J7589" t="s">
        <v>14397</v>
      </c>
      <c r="K7589" t="s">
        <v>263</v>
      </c>
      <c r="L7589" t="s">
        <v>37186</v>
      </c>
      <c r="M7589" t="s">
        <v>24200</v>
      </c>
      <c r="O7589" t="s">
        <v>26</v>
      </c>
      <c r="Q7589">
        <v>117.5</v>
      </c>
      <c r="R7589">
        <v>94</v>
      </c>
      <c r="S7589">
        <v>141</v>
      </c>
      <c r="T7589" t="s">
        <v>37187</v>
      </c>
    </row>
    <row r="7590" spans="1:20">
      <c r="A7590">
        <v>4671530</v>
      </c>
      <c r="B7590" t="s">
        <v>37188</v>
      </c>
      <c r="C7590" t="str">
        <f>"9780802087683"</f>
        <v>9780802087683</v>
      </c>
      <c r="D7590" t="str">
        <f>"9781442675070"</f>
        <v>9781442675070</v>
      </c>
      <c r="E7590" t="s">
        <v>31435</v>
      </c>
      <c r="F7590" t="s">
        <v>31435</v>
      </c>
      <c r="G7590" s="1">
        <v>41773</v>
      </c>
      <c r="H7590">
        <v>2</v>
      </c>
      <c r="I7590" t="s">
        <v>33775</v>
      </c>
      <c r="J7590" t="s">
        <v>37189</v>
      </c>
      <c r="K7590" t="s">
        <v>6444</v>
      </c>
      <c r="L7590" t="s">
        <v>37190</v>
      </c>
      <c r="M7590">
        <v>324.94499999999999</v>
      </c>
      <c r="O7590" t="s">
        <v>26</v>
      </c>
      <c r="Q7590">
        <v>123.75</v>
      </c>
      <c r="R7590">
        <v>99</v>
      </c>
      <c r="S7590">
        <v>148.5</v>
      </c>
      <c r="T7590" t="s">
        <v>37191</v>
      </c>
    </row>
    <row r="7591" spans="1:20">
      <c r="A7591">
        <v>4671532</v>
      </c>
      <c r="B7591" t="s">
        <v>37192</v>
      </c>
      <c r="C7591" t="str">
        <f>"9780802069078"</f>
        <v>9780802069078</v>
      </c>
      <c r="D7591" t="str">
        <f>"9781442675100"</f>
        <v>9781442675100</v>
      </c>
      <c r="E7591" t="s">
        <v>31435</v>
      </c>
      <c r="F7591" t="s">
        <v>31435</v>
      </c>
      <c r="G7591" s="1">
        <v>33420</v>
      </c>
      <c r="I7591" t="s">
        <v>31443</v>
      </c>
      <c r="J7591" t="s">
        <v>37193</v>
      </c>
      <c r="K7591" t="s">
        <v>263</v>
      </c>
      <c r="L7591" t="s">
        <v>37194</v>
      </c>
      <c r="M7591">
        <v>307.76409710000001</v>
      </c>
      <c r="O7591" t="s">
        <v>26</v>
      </c>
      <c r="Q7591">
        <v>59.94</v>
      </c>
      <c r="R7591">
        <v>47.95</v>
      </c>
      <c r="S7591">
        <v>71.930000000000007</v>
      </c>
      <c r="T7591" t="s">
        <v>37195</v>
      </c>
    </row>
    <row r="7592" spans="1:20">
      <c r="A7592">
        <v>4671533</v>
      </c>
      <c r="B7592" t="s">
        <v>37196</v>
      </c>
      <c r="C7592" t="str">
        <f>"9780802088130"</f>
        <v>9780802088130</v>
      </c>
      <c r="D7592" t="str">
        <f>"9781442675117"</f>
        <v>9781442675117</v>
      </c>
      <c r="E7592" t="s">
        <v>31435</v>
      </c>
      <c r="F7592" t="s">
        <v>31435</v>
      </c>
      <c r="G7592" s="1">
        <v>37622</v>
      </c>
      <c r="H7592">
        <v>2</v>
      </c>
      <c r="I7592" t="s">
        <v>35154</v>
      </c>
      <c r="J7592" t="s">
        <v>37197</v>
      </c>
      <c r="K7592" t="s">
        <v>1464</v>
      </c>
      <c r="L7592" t="s">
        <v>37198</v>
      </c>
      <c r="M7592" t="s">
        <v>35157</v>
      </c>
      <c r="O7592" t="s">
        <v>26</v>
      </c>
      <c r="Q7592">
        <v>143.75</v>
      </c>
      <c r="R7592">
        <v>115</v>
      </c>
      <c r="S7592">
        <v>172.5</v>
      </c>
      <c r="T7592" t="s">
        <v>37199</v>
      </c>
    </row>
    <row r="7593" spans="1:20">
      <c r="A7593">
        <v>4671534</v>
      </c>
      <c r="B7593" t="s">
        <v>37200</v>
      </c>
      <c r="C7593" t="str">
        <f>"9780802037237"</f>
        <v>9780802037237</v>
      </c>
      <c r="D7593" t="str">
        <f>"9781442675124"</f>
        <v>9781442675124</v>
      </c>
      <c r="E7593" t="s">
        <v>31435</v>
      </c>
      <c r="F7593" t="s">
        <v>31435</v>
      </c>
      <c r="G7593" s="1">
        <v>37622</v>
      </c>
      <c r="I7593" t="s">
        <v>35850</v>
      </c>
      <c r="J7593" t="s">
        <v>37201</v>
      </c>
      <c r="K7593" t="s">
        <v>16322</v>
      </c>
      <c r="L7593" t="s">
        <v>37202</v>
      </c>
      <c r="M7593">
        <v>253</v>
      </c>
      <c r="O7593" t="s">
        <v>26</v>
      </c>
      <c r="Q7593">
        <v>100</v>
      </c>
      <c r="R7593">
        <v>80</v>
      </c>
      <c r="S7593">
        <v>120</v>
      </c>
      <c r="T7593" t="s">
        <v>37203</v>
      </c>
    </row>
    <row r="7594" spans="1:20">
      <c r="A7594">
        <v>4671535</v>
      </c>
      <c r="B7594" t="s">
        <v>37204</v>
      </c>
      <c r="C7594" t="str">
        <f>"9780802024824"</f>
        <v>9780802024824</v>
      </c>
      <c r="D7594" t="str">
        <f>"9781442675131"</f>
        <v>9781442675131</v>
      </c>
      <c r="E7594" t="s">
        <v>31435</v>
      </c>
      <c r="F7594" t="s">
        <v>31435</v>
      </c>
      <c r="G7594" s="1">
        <v>30317</v>
      </c>
      <c r="J7594" t="s">
        <v>37205</v>
      </c>
      <c r="K7594" t="s">
        <v>291</v>
      </c>
      <c r="L7594" t="s">
        <v>37206</v>
      </c>
      <c r="M7594" t="s">
        <v>37207</v>
      </c>
      <c r="O7594" t="s">
        <v>26</v>
      </c>
      <c r="Q7594">
        <v>91.25</v>
      </c>
      <c r="R7594">
        <v>73</v>
      </c>
      <c r="S7594">
        <v>109.5</v>
      </c>
      <c r="T7594" t="s">
        <v>37208</v>
      </c>
    </row>
    <row r="7595" spans="1:20">
      <c r="A7595">
        <v>4671538</v>
      </c>
      <c r="B7595" t="s">
        <v>37209</v>
      </c>
      <c r="C7595" t="str">
        <f>"9780802048691"</f>
        <v>9780802048691</v>
      </c>
      <c r="D7595" t="str">
        <f>"9781442675179"</f>
        <v>9781442675179</v>
      </c>
      <c r="E7595" t="s">
        <v>31435</v>
      </c>
      <c r="F7595" t="s">
        <v>31435</v>
      </c>
      <c r="G7595" s="1">
        <v>37254</v>
      </c>
      <c r="J7595" t="s">
        <v>37210</v>
      </c>
      <c r="K7595" t="s">
        <v>1186</v>
      </c>
      <c r="L7595" t="s">
        <v>37211</v>
      </c>
      <c r="M7595">
        <v>346.54013400000002</v>
      </c>
      <c r="N7595" t="s">
        <v>37212</v>
      </c>
      <c r="O7595" t="s">
        <v>26</v>
      </c>
      <c r="Q7595">
        <v>100</v>
      </c>
      <c r="R7595">
        <v>80</v>
      </c>
      <c r="S7595">
        <v>120</v>
      </c>
      <c r="T7595" t="s">
        <v>37213</v>
      </c>
    </row>
    <row r="7596" spans="1:20">
      <c r="A7596">
        <v>4671539</v>
      </c>
      <c r="B7596" t="s">
        <v>37214</v>
      </c>
      <c r="C7596" t="str">
        <f>"9780802067739"</f>
        <v>9780802067739</v>
      </c>
      <c r="D7596" t="str">
        <f>"9781442675186"</f>
        <v>9781442675186</v>
      </c>
      <c r="E7596" t="s">
        <v>31435</v>
      </c>
      <c r="F7596" t="s">
        <v>31435</v>
      </c>
      <c r="G7596" s="1">
        <v>33775</v>
      </c>
      <c r="H7596">
        <v>2</v>
      </c>
      <c r="J7596" t="s">
        <v>37215</v>
      </c>
      <c r="K7596" t="s">
        <v>263</v>
      </c>
      <c r="L7596" t="s">
        <v>37216</v>
      </c>
      <c r="M7596" t="s">
        <v>26852</v>
      </c>
      <c r="N7596" t="s">
        <v>37217</v>
      </c>
      <c r="O7596" t="s">
        <v>26</v>
      </c>
      <c r="Q7596">
        <v>59.94</v>
      </c>
      <c r="R7596">
        <v>47.95</v>
      </c>
      <c r="S7596">
        <v>71.930000000000007</v>
      </c>
      <c r="T7596" t="s">
        <v>37218</v>
      </c>
    </row>
    <row r="7597" spans="1:20">
      <c r="A7597">
        <v>4671540</v>
      </c>
      <c r="B7597" t="s">
        <v>37219</v>
      </c>
      <c r="C7597" t="str">
        <f>"9780802084736"</f>
        <v>9780802084736</v>
      </c>
      <c r="D7597" t="str">
        <f>"9781442675193"</f>
        <v>9781442675193</v>
      </c>
      <c r="E7597" t="s">
        <v>31435</v>
      </c>
      <c r="F7597" t="s">
        <v>31435</v>
      </c>
      <c r="G7597" s="1">
        <v>37262</v>
      </c>
      <c r="J7597" t="s">
        <v>37220</v>
      </c>
      <c r="K7597" t="s">
        <v>263</v>
      </c>
      <c r="L7597" t="s">
        <v>37221</v>
      </c>
      <c r="M7597">
        <v>305.42</v>
      </c>
      <c r="N7597" t="s">
        <v>37222</v>
      </c>
      <c r="O7597" t="s">
        <v>26</v>
      </c>
      <c r="Q7597">
        <v>123.75</v>
      </c>
      <c r="R7597">
        <v>99</v>
      </c>
      <c r="S7597">
        <v>148.5</v>
      </c>
      <c r="T7597" t="s">
        <v>37223</v>
      </c>
    </row>
    <row r="7598" spans="1:20">
      <c r="A7598">
        <v>4671541</v>
      </c>
      <c r="B7598" t="s">
        <v>37224</v>
      </c>
      <c r="C7598" t="str">
        <f>"9780802090652"</f>
        <v>9780802090652</v>
      </c>
      <c r="D7598" t="str">
        <f>"9781442675209"</f>
        <v>9781442675209</v>
      </c>
      <c r="E7598" t="s">
        <v>31435</v>
      </c>
      <c r="F7598" t="s">
        <v>31435</v>
      </c>
      <c r="G7598" s="1">
        <v>41773</v>
      </c>
      <c r="J7598" t="s">
        <v>20168</v>
      </c>
      <c r="K7598" t="s">
        <v>416</v>
      </c>
      <c r="L7598" t="s">
        <v>37225</v>
      </c>
      <c r="M7598">
        <v>330.97104000000002</v>
      </c>
      <c r="O7598" t="s">
        <v>26</v>
      </c>
      <c r="Q7598">
        <v>102.5</v>
      </c>
      <c r="R7598">
        <v>82</v>
      </c>
      <c r="S7598">
        <v>123</v>
      </c>
      <c r="T7598" t="s">
        <v>37226</v>
      </c>
    </row>
    <row r="7599" spans="1:20">
      <c r="A7599">
        <v>4671542</v>
      </c>
      <c r="B7599" t="s">
        <v>37227</v>
      </c>
      <c r="C7599" t="str">
        <f>"9780802084088"</f>
        <v>9780802084088</v>
      </c>
      <c r="D7599" t="str">
        <f>"9781442675216"</f>
        <v>9781442675216</v>
      </c>
      <c r="E7599" t="s">
        <v>31435</v>
      </c>
      <c r="F7599" t="s">
        <v>31435</v>
      </c>
      <c r="G7599" s="1">
        <v>37622</v>
      </c>
      <c r="I7599" t="s">
        <v>36249</v>
      </c>
      <c r="J7599" t="s">
        <v>37228</v>
      </c>
      <c r="K7599" t="s">
        <v>550</v>
      </c>
      <c r="L7599" t="s">
        <v>37229</v>
      </c>
      <c r="M7599" t="s">
        <v>37230</v>
      </c>
      <c r="O7599" t="s">
        <v>26</v>
      </c>
      <c r="Q7599">
        <v>140</v>
      </c>
      <c r="R7599">
        <v>112</v>
      </c>
      <c r="S7599">
        <v>168</v>
      </c>
      <c r="T7599" t="s">
        <v>37231</v>
      </c>
    </row>
    <row r="7600" spans="1:20">
      <c r="A7600">
        <v>4671543</v>
      </c>
      <c r="B7600" t="s">
        <v>37232</v>
      </c>
      <c r="C7600" t="str">
        <f>"9780802079640"</f>
        <v>9780802079640</v>
      </c>
      <c r="D7600" t="str">
        <f>"9781442675223"</f>
        <v>9781442675223</v>
      </c>
      <c r="E7600" t="s">
        <v>31435</v>
      </c>
      <c r="F7600" t="s">
        <v>31435</v>
      </c>
      <c r="G7600" s="1">
        <v>36161</v>
      </c>
      <c r="J7600" t="s">
        <v>37233</v>
      </c>
      <c r="K7600" t="s">
        <v>1471</v>
      </c>
      <c r="L7600" t="s">
        <v>37234</v>
      </c>
      <c r="M7600" t="s">
        <v>37235</v>
      </c>
      <c r="O7600" t="s">
        <v>26</v>
      </c>
      <c r="Q7600">
        <v>135</v>
      </c>
      <c r="R7600">
        <v>108</v>
      </c>
      <c r="S7600">
        <v>162</v>
      </c>
      <c r="T7600" t="s">
        <v>37236</v>
      </c>
    </row>
    <row r="7601" spans="1:20">
      <c r="A7601">
        <v>4671544</v>
      </c>
      <c r="B7601" t="s">
        <v>37237</v>
      </c>
      <c r="C7601" t="str">
        <f>"9780802028853"</f>
        <v>9780802028853</v>
      </c>
      <c r="D7601" t="str">
        <f>"9781442675230"</f>
        <v>9781442675230</v>
      </c>
      <c r="E7601" t="s">
        <v>31435</v>
      </c>
      <c r="F7601" t="s">
        <v>31435</v>
      </c>
      <c r="G7601" s="1">
        <v>33970</v>
      </c>
      <c r="J7601" t="s">
        <v>37238</v>
      </c>
      <c r="K7601" t="s">
        <v>1464</v>
      </c>
      <c r="L7601" t="s">
        <v>37239</v>
      </c>
      <c r="M7601" t="s">
        <v>37240</v>
      </c>
      <c r="O7601" t="s">
        <v>26</v>
      </c>
      <c r="Q7601">
        <v>111.25</v>
      </c>
      <c r="R7601">
        <v>89</v>
      </c>
      <c r="S7601">
        <v>133.5</v>
      </c>
      <c r="T7601" t="s">
        <v>37241</v>
      </c>
    </row>
    <row r="7602" spans="1:20">
      <c r="A7602">
        <v>4671545</v>
      </c>
      <c r="B7602" t="s">
        <v>37242</v>
      </c>
      <c r="C7602" t="str">
        <f>"9780802008879"</f>
        <v>9780802008879</v>
      </c>
      <c r="D7602" t="str">
        <f>"9781442675247"</f>
        <v>9781442675247</v>
      </c>
      <c r="E7602" t="s">
        <v>31435</v>
      </c>
      <c r="F7602" t="s">
        <v>31435</v>
      </c>
      <c r="G7602" s="1">
        <v>35796</v>
      </c>
      <c r="J7602" t="s">
        <v>37243</v>
      </c>
      <c r="K7602" t="s">
        <v>230</v>
      </c>
      <c r="L7602" t="s">
        <v>37244</v>
      </c>
      <c r="M7602" t="s">
        <v>37245</v>
      </c>
      <c r="O7602" t="s">
        <v>26</v>
      </c>
      <c r="Q7602">
        <v>100</v>
      </c>
      <c r="R7602">
        <v>80</v>
      </c>
      <c r="S7602">
        <v>120</v>
      </c>
      <c r="T7602" t="s">
        <v>37246</v>
      </c>
    </row>
    <row r="7603" spans="1:20">
      <c r="A7603">
        <v>4671546</v>
      </c>
      <c r="B7603" t="s">
        <v>37247</v>
      </c>
      <c r="C7603" t="str">
        <f>"9780802007919"</f>
        <v>9780802007919</v>
      </c>
      <c r="D7603" t="str">
        <f>"9781442675254"</f>
        <v>9781442675254</v>
      </c>
      <c r="E7603" t="s">
        <v>31435</v>
      </c>
      <c r="F7603" t="s">
        <v>31435</v>
      </c>
      <c r="G7603" s="1">
        <v>35431</v>
      </c>
      <c r="J7603" t="s">
        <v>37248</v>
      </c>
      <c r="K7603" t="s">
        <v>57</v>
      </c>
      <c r="L7603" t="s">
        <v>37249</v>
      </c>
      <c r="M7603" t="s">
        <v>37250</v>
      </c>
      <c r="O7603" t="s">
        <v>26</v>
      </c>
      <c r="Q7603">
        <v>186.25</v>
      </c>
      <c r="R7603">
        <v>149</v>
      </c>
      <c r="S7603">
        <v>223.5</v>
      </c>
      <c r="T7603" t="s">
        <v>37251</v>
      </c>
    </row>
    <row r="7604" spans="1:20">
      <c r="A7604">
        <v>4671547</v>
      </c>
      <c r="B7604" t="s">
        <v>37252</v>
      </c>
      <c r="C7604" t="str">
        <f>"9780802076229"</f>
        <v>9780802076229</v>
      </c>
      <c r="D7604" t="str">
        <f>"9781442675261"</f>
        <v>9781442675261</v>
      </c>
      <c r="E7604" t="s">
        <v>31435</v>
      </c>
      <c r="F7604" t="s">
        <v>31435</v>
      </c>
      <c r="G7604" s="1">
        <v>35065</v>
      </c>
      <c r="H7604">
        <v>2</v>
      </c>
      <c r="J7604" t="s">
        <v>37253</v>
      </c>
      <c r="K7604" t="s">
        <v>1859</v>
      </c>
      <c r="L7604" t="s">
        <v>37254</v>
      </c>
      <c r="M7604">
        <v>191</v>
      </c>
      <c r="O7604" t="s">
        <v>26</v>
      </c>
      <c r="Q7604">
        <v>111.25</v>
      </c>
      <c r="R7604">
        <v>89</v>
      </c>
      <c r="S7604">
        <v>133.5</v>
      </c>
      <c r="T7604" t="s">
        <v>37255</v>
      </c>
    </row>
    <row r="7605" spans="1:20">
      <c r="A7605">
        <v>4671548</v>
      </c>
      <c r="B7605" t="s">
        <v>37256</v>
      </c>
      <c r="C7605" t="str">
        <f>"9780802048752"</f>
        <v>9780802048752</v>
      </c>
      <c r="D7605" t="str">
        <f>"9781442675278"</f>
        <v>9781442675278</v>
      </c>
      <c r="E7605" t="s">
        <v>31435</v>
      </c>
      <c r="F7605" t="s">
        <v>31435</v>
      </c>
      <c r="G7605" s="1">
        <v>36892</v>
      </c>
      <c r="J7605" t="s">
        <v>37257</v>
      </c>
      <c r="K7605" t="s">
        <v>1859</v>
      </c>
      <c r="L7605" t="s">
        <v>37258</v>
      </c>
      <c r="M7605">
        <v>191</v>
      </c>
      <c r="O7605" t="s">
        <v>26</v>
      </c>
      <c r="Q7605">
        <v>115</v>
      </c>
      <c r="R7605">
        <v>92</v>
      </c>
      <c r="S7605">
        <v>138</v>
      </c>
      <c r="T7605" t="s">
        <v>37259</v>
      </c>
    </row>
    <row r="7606" spans="1:20">
      <c r="A7606">
        <v>4671549</v>
      </c>
      <c r="B7606" t="s">
        <v>37260</v>
      </c>
      <c r="C7606" t="str">
        <f>"9780802078605"</f>
        <v>9780802078605</v>
      </c>
      <c r="D7606" t="str">
        <f>"9781442675285"</f>
        <v>9781442675285</v>
      </c>
      <c r="E7606" t="s">
        <v>31435</v>
      </c>
      <c r="F7606" t="s">
        <v>31435</v>
      </c>
      <c r="G7606" s="1">
        <v>35065</v>
      </c>
      <c r="H7606">
        <v>2</v>
      </c>
      <c r="J7606" t="s">
        <v>37261</v>
      </c>
      <c r="K7606" t="s">
        <v>1859</v>
      </c>
      <c r="L7606" t="s">
        <v>37262</v>
      </c>
      <c r="M7606">
        <v>191</v>
      </c>
      <c r="O7606" t="s">
        <v>26</v>
      </c>
      <c r="Q7606">
        <v>59.94</v>
      </c>
      <c r="R7606">
        <v>47.95</v>
      </c>
      <c r="S7606">
        <v>71.930000000000007</v>
      </c>
      <c r="T7606" t="s">
        <v>37263</v>
      </c>
    </row>
    <row r="7607" spans="1:20">
      <c r="A7607">
        <v>4671550</v>
      </c>
      <c r="B7607" t="s">
        <v>37264</v>
      </c>
      <c r="C7607" t="str">
        <f>"9780802078070"</f>
        <v>9780802078070</v>
      </c>
      <c r="D7607" t="str">
        <f>"9781442675292"</f>
        <v>9781442675292</v>
      </c>
      <c r="E7607" t="s">
        <v>31435</v>
      </c>
      <c r="F7607" t="s">
        <v>31435</v>
      </c>
      <c r="G7607" s="1">
        <v>35213</v>
      </c>
      <c r="H7607">
        <v>2</v>
      </c>
      <c r="J7607" t="s">
        <v>37265</v>
      </c>
      <c r="K7607" t="s">
        <v>1859</v>
      </c>
      <c r="L7607" t="s">
        <v>37254</v>
      </c>
      <c r="M7607">
        <v>191</v>
      </c>
      <c r="O7607" t="s">
        <v>26</v>
      </c>
      <c r="Q7607">
        <v>100</v>
      </c>
      <c r="R7607">
        <v>80</v>
      </c>
      <c r="S7607">
        <v>120</v>
      </c>
      <c r="T7607" t="s">
        <v>37266</v>
      </c>
    </row>
    <row r="7608" spans="1:20">
      <c r="A7608">
        <v>4671551</v>
      </c>
      <c r="B7608" t="s">
        <v>37267</v>
      </c>
      <c r="C7608" t="str">
        <f>"9780802027719"</f>
        <v>9780802027719</v>
      </c>
      <c r="D7608" t="str">
        <f>"9781442675308"</f>
        <v>9781442675308</v>
      </c>
      <c r="E7608" t="s">
        <v>31435</v>
      </c>
      <c r="F7608" t="s">
        <v>31435</v>
      </c>
      <c r="G7608" s="1">
        <v>33239</v>
      </c>
      <c r="J7608" t="s">
        <v>15960</v>
      </c>
      <c r="K7608" t="s">
        <v>1464</v>
      </c>
      <c r="L7608" t="s">
        <v>37268</v>
      </c>
      <c r="M7608" t="s">
        <v>37269</v>
      </c>
      <c r="O7608" t="s">
        <v>26</v>
      </c>
      <c r="Q7608">
        <v>121.25</v>
      </c>
      <c r="R7608">
        <v>97</v>
      </c>
      <c r="S7608">
        <v>145.5</v>
      </c>
      <c r="T7608" t="s">
        <v>37270</v>
      </c>
    </row>
    <row r="7609" spans="1:20">
      <c r="A7609">
        <v>4671552</v>
      </c>
      <c r="B7609" t="s">
        <v>37271</v>
      </c>
      <c r="C7609" t="str">
        <f>"9780802081056"</f>
        <v>9780802081056</v>
      </c>
      <c r="D7609" t="str">
        <f>"9781442675315"</f>
        <v>9781442675315</v>
      </c>
      <c r="E7609" t="s">
        <v>31435</v>
      </c>
      <c r="F7609" t="s">
        <v>31435</v>
      </c>
      <c r="G7609" s="1">
        <v>36491</v>
      </c>
      <c r="J7609" t="s">
        <v>37272</v>
      </c>
      <c r="K7609" t="s">
        <v>467</v>
      </c>
      <c r="L7609" t="s">
        <v>37273</v>
      </c>
      <c r="M7609">
        <v>321.02097099999901</v>
      </c>
      <c r="O7609" t="s">
        <v>26</v>
      </c>
      <c r="Q7609">
        <v>115</v>
      </c>
      <c r="R7609">
        <v>92</v>
      </c>
      <c r="S7609">
        <v>138</v>
      </c>
      <c r="T7609" t="s">
        <v>37274</v>
      </c>
    </row>
    <row r="7610" spans="1:20">
      <c r="A7610">
        <v>4671553</v>
      </c>
      <c r="B7610" t="s">
        <v>37275</v>
      </c>
      <c r="C7610" t="str">
        <f>"9780802083319"</f>
        <v>9780802083319</v>
      </c>
      <c r="D7610" t="str">
        <f>"9781442675322"</f>
        <v>9781442675322</v>
      </c>
      <c r="E7610" t="s">
        <v>31435</v>
      </c>
      <c r="F7610" t="s">
        <v>31435</v>
      </c>
      <c r="G7610" s="1">
        <v>36892</v>
      </c>
      <c r="J7610" t="s">
        <v>37276</v>
      </c>
      <c r="K7610" t="s">
        <v>1550</v>
      </c>
      <c r="L7610" t="s">
        <v>37277</v>
      </c>
      <c r="M7610" t="s">
        <v>37278</v>
      </c>
      <c r="O7610" t="s">
        <v>26</v>
      </c>
      <c r="Q7610">
        <v>107.5</v>
      </c>
      <c r="R7610">
        <v>86</v>
      </c>
      <c r="S7610">
        <v>129</v>
      </c>
      <c r="T7610" t="s">
        <v>37279</v>
      </c>
    </row>
    <row r="7611" spans="1:20">
      <c r="A7611">
        <v>4671554</v>
      </c>
      <c r="B7611" t="s">
        <v>37280</v>
      </c>
      <c r="C7611" t="str">
        <f>"9780802047724"</f>
        <v>9780802047724</v>
      </c>
      <c r="D7611" t="str">
        <f>"9781442675339"</f>
        <v>9781442675339</v>
      </c>
      <c r="E7611" t="s">
        <v>31435</v>
      </c>
      <c r="F7611" t="s">
        <v>31435</v>
      </c>
      <c r="G7611" s="1">
        <v>36526</v>
      </c>
      <c r="I7611" t="s">
        <v>33775</v>
      </c>
      <c r="J7611" t="s">
        <v>37281</v>
      </c>
      <c r="K7611" t="s">
        <v>1464</v>
      </c>
      <c r="L7611" t="s">
        <v>37282</v>
      </c>
      <c r="M7611" t="s">
        <v>36950</v>
      </c>
      <c r="O7611" t="s">
        <v>26</v>
      </c>
      <c r="Q7611">
        <v>115</v>
      </c>
      <c r="R7611">
        <v>92</v>
      </c>
      <c r="S7611">
        <v>138</v>
      </c>
      <c r="T7611" t="s">
        <v>37283</v>
      </c>
    </row>
    <row r="7612" spans="1:20">
      <c r="A7612">
        <v>4671555</v>
      </c>
      <c r="B7612" t="s">
        <v>37284</v>
      </c>
      <c r="C7612" t="str">
        <f>"9780802082176"</f>
        <v>9780802082176</v>
      </c>
      <c r="D7612" t="str">
        <f>"9781442675346"</f>
        <v>9781442675346</v>
      </c>
      <c r="E7612" t="s">
        <v>31435</v>
      </c>
      <c r="F7612" t="s">
        <v>31435</v>
      </c>
      <c r="G7612" s="1">
        <v>36161</v>
      </c>
      <c r="J7612" t="s">
        <v>37285</v>
      </c>
      <c r="K7612" t="s">
        <v>37286</v>
      </c>
      <c r="L7612" t="s">
        <v>37287</v>
      </c>
      <c r="M7612" t="s">
        <v>37288</v>
      </c>
      <c r="O7612" t="s">
        <v>26</v>
      </c>
      <c r="Q7612">
        <v>115</v>
      </c>
      <c r="R7612">
        <v>92</v>
      </c>
      <c r="S7612">
        <v>138</v>
      </c>
      <c r="T7612" t="s">
        <v>37289</v>
      </c>
    </row>
    <row r="7613" spans="1:20">
      <c r="A7613">
        <v>4671556</v>
      </c>
      <c r="B7613" t="s">
        <v>37290</v>
      </c>
      <c r="C7613" t="str">
        <f>"9780802071415"</f>
        <v>9780802071415</v>
      </c>
      <c r="D7613" t="str">
        <f>"9781442675353"</f>
        <v>9781442675353</v>
      </c>
      <c r="E7613" t="s">
        <v>31435</v>
      </c>
      <c r="F7613" t="s">
        <v>31435</v>
      </c>
      <c r="G7613" s="1">
        <v>35065</v>
      </c>
      <c r="H7613">
        <v>2</v>
      </c>
      <c r="J7613" t="s">
        <v>37291</v>
      </c>
      <c r="K7613" t="s">
        <v>1471</v>
      </c>
      <c r="L7613" t="s">
        <v>37292</v>
      </c>
      <c r="M7613" t="s">
        <v>37130</v>
      </c>
      <c r="O7613" t="s">
        <v>26</v>
      </c>
      <c r="Q7613">
        <v>103.75</v>
      </c>
      <c r="R7613">
        <v>83</v>
      </c>
      <c r="S7613">
        <v>124.5</v>
      </c>
      <c r="T7613" t="s">
        <v>37293</v>
      </c>
    </row>
    <row r="7614" spans="1:20">
      <c r="A7614">
        <v>4671558</v>
      </c>
      <c r="B7614" t="s">
        <v>37294</v>
      </c>
      <c r="C7614" t="str">
        <f>"9781442638792"</f>
        <v>9781442638792</v>
      </c>
      <c r="D7614" t="str">
        <f>"9781442675377"</f>
        <v>9781442675377</v>
      </c>
      <c r="E7614" t="s">
        <v>31435</v>
      </c>
      <c r="F7614" t="s">
        <v>31435</v>
      </c>
      <c r="G7614" s="1">
        <v>38353</v>
      </c>
      <c r="J7614" t="s">
        <v>37295</v>
      </c>
      <c r="K7614" t="s">
        <v>525</v>
      </c>
      <c r="L7614" t="s">
        <v>37296</v>
      </c>
      <c r="M7614">
        <v>344.04</v>
      </c>
      <c r="O7614" t="s">
        <v>26</v>
      </c>
      <c r="Q7614">
        <v>113.75</v>
      </c>
      <c r="R7614">
        <v>91</v>
      </c>
      <c r="S7614">
        <v>136.5</v>
      </c>
      <c r="T7614" t="s">
        <v>37297</v>
      </c>
    </row>
    <row r="7615" spans="1:20">
      <c r="A7615">
        <v>4671559</v>
      </c>
      <c r="B7615" t="s">
        <v>37298</v>
      </c>
      <c r="C7615" t="str">
        <f>"9780802083722"</f>
        <v>9780802083722</v>
      </c>
      <c r="D7615" t="str">
        <f>"9781442675384"</f>
        <v>9781442675384</v>
      </c>
      <c r="E7615" t="s">
        <v>31435</v>
      </c>
      <c r="F7615" t="s">
        <v>31435</v>
      </c>
      <c r="G7615" s="1">
        <v>35796</v>
      </c>
      <c r="J7615" t="s">
        <v>37299</v>
      </c>
      <c r="K7615" t="s">
        <v>291</v>
      </c>
      <c r="L7615" t="s">
        <v>37300</v>
      </c>
      <c r="M7615">
        <v>971.06479999999897</v>
      </c>
      <c r="O7615" t="s">
        <v>26</v>
      </c>
      <c r="Q7615">
        <v>59.94</v>
      </c>
      <c r="R7615">
        <v>47.95</v>
      </c>
      <c r="S7615">
        <v>71.930000000000007</v>
      </c>
      <c r="T7615" t="s">
        <v>37301</v>
      </c>
    </row>
    <row r="7616" spans="1:20">
      <c r="A7616">
        <v>4671560</v>
      </c>
      <c r="B7616" t="s">
        <v>37302</v>
      </c>
      <c r="C7616" t="str">
        <f>"9780802037992"</f>
        <v>9780802037992</v>
      </c>
      <c r="D7616" t="str">
        <f>"9781442675391"</f>
        <v>9781442675391</v>
      </c>
      <c r="E7616" t="s">
        <v>31435</v>
      </c>
      <c r="F7616" t="s">
        <v>31435</v>
      </c>
      <c r="G7616" s="1">
        <v>38520</v>
      </c>
      <c r="H7616">
        <v>2</v>
      </c>
      <c r="I7616" t="s">
        <v>36249</v>
      </c>
      <c r="J7616" t="s">
        <v>37303</v>
      </c>
      <c r="K7616" t="s">
        <v>416</v>
      </c>
      <c r="L7616" t="s">
        <v>37304</v>
      </c>
      <c r="M7616">
        <v>330.97107199999903</v>
      </c>
      <c r="N7616" t="s">
        <v>37305</v>
      </c>
      <c r="O7616" t="s">
        <v>26</v>
      </c>
      <c r="Q7616">
        <v>110</v>
      </c>
      <c r="R7616">
        <v>88</v>
      </c>
      <c r="S7616">
        <v>132</v>
      </c>
      <c r="T7616" t="s">
        <v>37306</v>
      </c>
    </row>
    <row r="7617" spans="1:20">
      <c r="A7617">
        <v>4671561</v>
      </c>
      <c r="B7617" t="s">
        <v>37307</v>
      </c>
      <c r="C7617" t="str">
        <f>"9780802078025"</f>
        <v>9780802078025</v>
      </c>
      <c r="D7617" t="str">
        <f>"9781442675414"</f>
        <v>9781442675414</v>
      </c>
      <c r="E7617" t="s">
        <v>31435</v>
      </c>
      <c r="F7617" t="s">
        <v>31435</v>
      </c>
      <c r="G7617" s="1">
        <v>35796</v>
      </c>
      <c r="H7617">
        <v>2</v>
      </c>
      <c r="J7617" t="s">
        <v>37308</v>
      </c>
      <c r="K7617" t="s">
        <v>1394</v>
      </c>
      <c r="L7617" t="s">
        <v>37309</v>
      </c>
      <c r="M7617">
        <v>362.2</v>
      </c>
      <c r="O7617" t="s">
        <v>26</v>
      </c>
      <c r="Q7617">
        <v>59.94</v>
      </c>
      <c r="R7617">
        <v>47.95</v>
      </c>
      <c r="S7617">
        <v>71.930000000000007</v>
      </c>
      <c r="T7617" t="s">
        <v>37310</v>
      </c>
    </row>
    <row r="7618" spans="1:20">
      <c r="A7618">
        <v>4671562</v>
      </c>
      <c r="B7618" t="s">
        <v>37311</v>
      </c>
      <c r="C7618" t="str">
        <f>"9780802038883"</f>
        <v>9780802038883</v>
      </c>
      <c r="D7618" t="str">
        <f>"9781442675421"</f>
        <v>9781442675421</v>
      </c>
      <c r="E7618" t="s">
        <v>31435</v>
      </c>
      <c r="F7618" t="s">
        <v>31435</v>
      </c>
      <c r="G7618" s="1">
        <v>38353</v>
      </c>
      <c r="H7618">
        <v>2</v>
      </c>
      <c r="J7618" t="s">
        <v>37312</v>
      </c>
      <c r="K7618" t="s">
        <v>1464</v>
      </c>
      <c r="L7618" t="s">
        <v>37313</v>
      </c>
      <c r="M7618">
        <v>823.91209355299895</v>
      </c>
      <c r="O7618" t="s">
        <v>26</v>
      </c>
      <c r="Q7618">
        <v>102.5</v>
      </c>
      <c r="R7618">
        <v>82</v>
      </c>
      <c r="S7618">
        <v>123</v>
      </c>
      <c r="T7618" t="s">
        <v>37314</v>
      </c>
    </row>
    <row r="7619" spans="1:20">
      <c r="A7619">
        <v>4671563</v>
      </c>
      <c r="B7619" t="s">
        <v>37315</v>
      </c>
      <c r="C7619" t="str">
        <f>"9780802086228"</f>
        <v>9780802086228</v>
      </c>
      <c r="D7619" t="str">
        <f>"9781442675438"</f>
        <v>9781442675438</v>
      </c>
      <c r="E7619" t="s">
        <v>31435</v>
      </c>
      <c r="F7619" t="s">
        <v>31435</v>
      </c>
      <c r="G7619" s="1">
        <v>41773</v>
      </c>
      <c r="H7619">
        <v>2</v>
      </c>
      <c r="I7619" t="s">
        <v>35251</v>
      </c>
      <c r="J7619" t="s">
        <v>37316</v>
      </c>
      <c r="K7619" t="s">
        <v>257</v>
      </c>
      <c r="L7619" t="s">
        <v>37317</v>
      </c>
      <c r="M7619">
        <v>379.71269999999998</v>
      </c>
      <c r="O7619" t="s">
        <v>26</v>
      </c>
      <c r="Q7619">
        <v>102.5</v>
      </c>
      <c r="R7619">
        <v>82</v>
      </c>
      <c r="S7619">
        <v>123</v>
      </c>
      <c r="T7619" t="s">
        <v>37318</v>
      </c>
    </row>
    <row r="7620" spans="1:20">
      <c r="A7620">
        <v>4671565</v>
      </c>
      <c r="B7620" t="s">
        <v>37319</v>
      </c>
      <c r="C7620" t="str">
        <f>"9780802081988"</f>
        <v>9780802081988</v>
      </c>
      <c r="D7620" t="str">
        <f>"9781442675452"</f>
        <v>9781442675452</v>
      </c>
      <c r="E7620" t="s">
        <v>31435</v>
      </c>
      <c r="F7620" t="s">
        <v>31435</v>
      </c>
      <c r="G7620" s="1">
        <v>36526</v>
      </c>
      <c r="I7620" t="s">
        <v>34952</v>
      </c>
      <c r="J7620" t="s">
        <v>37320</v>
      </c>
      <c r="K7620" t="s">
        <v>467</v>
      </c>
      <c r="L7620" t="s">
        <v>37321</v>
      </c>
      <c r="M7620">
        <v>320</v>
      </c>
      <c r="O7620" t="s">
        <v>26</v>
      </c>
      <c r="Q7620">
        <v>59.94</v>
      </c>
      <c r="R7620">
        <v>47.95</v>
      </c>
      <c r="S7620">
        <v>71.930000000000007</v>
      </c>
      <c r="T7620" t="s">
        <v>37322</v>
      </c>
    </row>
    <row r="7621" spans="1:20">
      <c r="A7621">
        <v>4671566</v>
      </c>
      <c r="B7621" t="s">
        <v>37323</v>
      </c>
      <c r="C7621" t="str">
        <f>"9780802084064"</f>
        <v>9780802084064</v>
      </c>
      <c r="D7621" t="str">
        <f>"9781442675469"</f>
        <v>9781442675469</v>
      </c>
      <c r="E7621" t="s">
        <v>31435</v>
      </c>
      <c r="F7621" t="s">
        <v>31435</v>
      </c>
      <c r="G7621" s="1">
        <v>36892</v>
      </c>
      <c r="I7621" t="s">
        <v>35946</v>
      </c>
      <c r="J7621" t="s">
        <v>37324</v>
      </c>
      <c r="K7621" t="s">
        <v>1063</v>
      </c>
      <c r="L7621" t="s">
        <v>37325</v>
      </c>
      <c r="M7621">
        <v>333.72097100000002</v>
      </c>
      <c r="O7621" t="s">
        <v>26</v>
      </c>
      <c r="Q7621">
        <v>59.94</v>
      </c>
      <c r="R7621">
        <v>47.95</v>
      </c>
      <c r="S7621">
        <v>71.930000000000007</v>
      </c>
      <c r="T7621" t="s">
        <v>37326</v>
      </c>
    </row>
    <row r="7622" spans="1:20">
      <c r="A7622">
        <v>4671567</v>
      </c>
      <c r="B7622" t="s">
        <v>37327</v>
      </c>
      <c r="C7622" t="str">
        <f>"9780802076748"</f>
        <v>9780802076748</v>
      </c>
      <c r="D7622" t="str">
        <f>"9781442675483"</f>
        <v>9781442675483</v>
      </c>
      <c r="E7622" t="s">
        <v>31435</v>
      </c>
      <c r="F7622" t="s">
        <v>31435</v>
      </c>
      <c r="G7622" s="1">
        <v>33604</v>
      </c>
      <c r="H7622">
        <v>2</v>
      </c>
      <c r="J7622" t="s">
        <v>37328</v>
      </c>
      <c r="K7622" t="s">
        <v>467</v>
      </c>
      <c r="L7622" t="s">
        <v>37329</v>
      </c>
      <c r="M7622">
        <v>320.53149999999903</v>
      </c>
      <c r="O7622" t="s">
        <v>26</v>
      </c>
      <c r="Q7622">
        <v>59.94</v>
      </c>
      <c r="R7622">
        <v>47.95</v>
      </c>
      <c r="S7622">
        <v>71.930000000000007</v>
      </c>
      <c r="T7622" t="s">
        <v>37330</v>
      </c>
    </row>
    <row r="7623" spans="1:20">
      <c r="A7623">
        <v>4671569</v>
      </c>
      <c r="B7623" t="s">
        <v>37331</v>
      </c>
      <c r="C7623" t="str">
        <f>"9780802072153"</f>
        <v>9780802072153</v>
      </c>
      <c r="D7623" t="str">
        <f>"9781442675506"</f>
        <v>9781442675506</v>
      </c>
      <c r="E7623" t="s">
        <v>31435</v>
      </c>
      <c r="F7623" t="s">
        <v>31435</v>
      </c>
      <c r="G7623" s="1">
        <v>35567</v>
      </c>
      <c r="H7623">
        <v>2</v>
      </c>
      <c r="J7623" t="s">
        <v>37332</v>
      </c>
      <c r="K7623" t="s">
        <v>291</v>
      </c>
      <c r="L7623" t="s">
        <v>37333</v>
      </c>
      <c r="M7623">
        <v>920.72097099999905</v>
      </c>
      <c r="N7623" t="s">
        <v>37334</v>
      </c>
      <c r="O7623" t="s">
        <v>26</v>
      </c>
      <c r="Q7623">
        <v>100</v>
      </c>
      <c r="R7623">
        <v>80</v>
      </c>
      <c r="S7623">
        <v>120</v>
      </c>
      <c r="T7623" t="s">
        <v>37335</v>
      </c>
    </row>
    <row r="7624" spans="1:20">
      <c r="A7624">
        <v>4671571</v>
      </c>
      <c r="B7624" t="s">
        <v>37336</v>
      </c>
      <c r="C7624" t="str">
        <f>"9780802079831"</f>
        <v>9780802079831</v>
      </c>
      <c r="D7624" t="str">
        <f>"9781442675520"</f>
        <v>9781442675520</v>
      </c>
      <c r="E7624" t="s">
        <v>31435</v>
      </c>
      <c r="F7624" t="s">
        <v>31435</v>
      </c>
      <c r="G7624" s="1">
        <v>35658</v>
      </c>
      <c r="J7624" t="s">
        <v>7485</v>
      </c>
      <c r="K7624" t="s">
        <v>263</v>
      </c>
      <c r="L7624" t="s">
        <v>37337</v>
      </c>
      <c r="M7624">
        <v>305.23097100000001</v>
      </c>
      <c r="O7624" t="s">
        <v>26</v>
      </c>
      <c r="Q7624">
        <v>59.94</v>
      </c>
      <c r="R7624">
        <v>47.95</v>
      </c>
      <c r="S7624">
        <v>71.930000000000007</v>
      </c>
      <c r="T7624" t="s">
        <v>37338</v>
      </c>
    </row>
    <row r="7625" spans="1:20">
      <c r="A7625">
        <v>4671572</v>
      </c>
      <c r="B7625" t="s">
        <v>37339</v>
      </c>
      <c r="C7625" t="str">
        <f>"9780802085450"</f>
        <v>9780802085450</v>
      </c>
      <c r="D7625" t="str">
        <f>"9781442675537"</f>
        <v>9781442675537</v>
      </c>
      <c r="E7625" t="s">
        <v>31435</v>
      </c>
      <c r="F7625" t="s">
        <v>31435</v>
      </c>
      <c r="G7625" s="1">
        <v>41773</v>
      </c>
      <c r="J7625" t="s">
        <v>37340</v>
      </c>
      <c r="K7625" t="s">
        <v>291</v>
      </c>
      <c r="M7625">
        <v>971</v>
      </c>
      <c r="O7625" t="s">
        <v>26</v>
      </c>
      <c r="Q7625">
        <v>59.94</v>
      </c>
      <c r="R7625">
        <v>47.95</v>
      </c>
      <c r="S7625">
        <v>71.930000000000007</v>
      </c>
      <c r="T7625" t="s">
        <v>37341</v>
      </c>
    </row>
    <row r="7626" spans="1:20">
      <c r="A7626">
        <v>4671574</v>
      </c>
      <c r="B7626" t="s">
        <v>37342</v>
      </c>
      <c r="C7626" t="str">
        <f>"9780802041876"</f>
        <v>9780802041876</v>
      </c>
      <c r="D7626" t="str">
        <f>"9781442675551"</f>
        <v>9781442675551</v>
      </c>
      <c r="E7626" t="s">
        <v>31435</v>
      </c>
      <c r="F7626" t="s">
        <v>31435</v>
      </c>
      <c r="G7626" s="1">
        <v>35431</v>
      </c>
      <c r="H7626">
        <v>74</v>
      </c>
      <c r="I7626" t="s">
        <v>35705</v>
      </c>
      <c r="J7626" t="s">
        <v>37343</v>
      </c>
      <c r="K7626" t="s">
        <v>4081</v>
      </c>
      <c r="L7626" t="s">
        <v>37344</v>
      </c>
      <c r="M7626">
        <v>499.9511</v>
      </c>
      <c r="O7626" t="s">
        <v>26</v>
      </c>
      <c r="Q7626">
        <v>277.5</v>
      </c>
      <c r="R7626">
        <v>222</v>
      </c>
      <c r="S7626">
        <v>333</v>
      </c>
      <c r="T7626" t="s">
        <v>37345</v>
      </c>
    </row>
    <row r="7627" spans="1:20">
      <c r="A7627">
        <v>4671575</v>
      </c>
      <c r="B7627" t="s">
        <v>37346</v>
      </c>
      <c r="C7627" t="str">
        <f>"9780802035912"</f>
        <v>9780802035912</v>
      </c>
      <c r="D7627" t="str">
        <f>"9781442675568"</f>
        <v>9781442675568</v>
      </c>
      <c r="E7627" t="s">
        <v>31435</v>
      </c>
      <c r="F7627" t="s">
        <v>31435</v>
      </c>
      <c r="G7627" s="1">
        <v>37257</v>
      </c>
      <c r="I7627" t="s">
        <v>33775</v>
      </c>
      <c r="J7627" t="s">
        <v>37347</v>
      </c>
      <c r="K7627" t="s">
        <v>1464</v>
      </c>
      <c r="L7627" t="s">
        <v>37348</v>
      </c>
      <c r="M7627">
        <v>851.1</v>
      </c>
      <c r="O7627" t="s">
        <v>26</v>
      </c>
      <c r="Q7627">
        <v>107.5</v>
      </c>
      <c r="R7627">
        <v>86</v>
      </c>
      <c r="S7627">
        <v>129</v>
      </c>
      <c r="T7627" t="s">
        <v>37349</v>
      </c>
    </row>
    <row r="7628" spans="1:20">
      <c r="A7628">
        <v>4671576</v>
      </c>
      <c r="B7628" t="s">
        <v>37350</v>
      </c>
      <c r="C7628" t="str">
        <f>"9780802029560"</f>
        <v>9780802029560</v>
      </c>
      <c r="D7628" t="str">
        <f>"9781442675575"</f>
        <v>9781442675575</v>
      </c>
      <c r="E7628" t="s">
        <v>31435</v>
      </c>
      <c r="F7628" t="s">
        <v>31435</v>
      </c>
      <c r="G7628" s="1">
        <v>33970</v>
      </c>
      <c r="J7628" t="s">
        <v>37351</v>
      </c>
      <c r="K7628" t="s">
        <v>1464</v>
      </c>
      <c r="L7628" t="s">
        <v>37352</v>
      </c>
      <c r="M7628">
        <v>820.92700000000002</v>
      </c>
      <c r="O7628" t="s">
        <v>26</v>
      </c>
      <c r="Q7628">
        <v>91.25</v>
      </c>
      <c r="R7628">
        <v>73</v>
      </c>
      <c r="S7628">
        <v>109.5</v>
      </c>
      <c r="T7628" t="s">
        <v>37353</v>
      </c>
    </row>
    <row r="7629" spans="1:20">
      <c r="A7629">
        <v>4671577</v>
      </c>
      <c r="B7629" t="s">
        <v>37354</v>
      </c>
      <c r="C7629" t="str">
        <f>"9780802085344"</f>
        <v>9780802085344</v>
      </c>
      <c r="D7629" t="str">
        <f>"9781442675599"</f>
        <v>9781442675599</v>
      </c>
      <c r="E7629" t="s">
        <v>31435</v>
      </c>
      <c r="F7629" t="s">
        <v>31435</v>
      </c>
      <c r="G7629" s="1">
        <v>38710</v>
      </c>
      <c r="J7629" t="s">
        <v>28016</v>
      </c>
      <c r="K7629" t="s">
        <v>14458</v>
      </c>
      <c r="L7629" t="s">
        <v>37355</v>
      </c>
      <c r="M7629">
        <v>346.71104320899701</v>
      </c>
      <c r="O7629" t="s">
        <v>26</v>
      </c>
      <c r="Q7629">
        <v>147.5</v>
      </c>
      <c r="R7629">
        <v>118</v>
      </c>
      <c r="S7629">
        <v>177</v>
      </c>
      <c r="T7629" t="s">
        <v>37356</v>
      </c>
    </row>
    <row r="7630" spans="1:20">
      <c r="A7630">
        <v>4671579</v>
      </c>
      <c r="B7630" t="s">
        <v>37357</v>
      </c>
      <c r="C7630" t="str">
        <f>"9780802084392"</f>
        <v>9780802084392</v>
      </c>
      <c r="D7630" t="str">
        <f>"9781442675612"</f>
        <v>9781442675612</v>
      </c>
      <c r="E7630" t="s">
        <v>31435</v>
      </c>
      <c r="F7630" t="s">
        <v>31435</v>
      </c>
      <c r="G7630" s="1">
        <v>37415</v>
      </c>
      <c r="J7630" t="s">
        <v>37358</v>
      </c>
      <c r="K7630" t="s">
        <v>278</v>
      </c>
      <c r="L7630" t="s">
        <v>37359</v>
      </c>
      <c r="M7630">
        <v>331.09710904399901</v>
      </c>
      <c r="N7630" t="s">
        <v>37360</v>
      </c>
      <c r="O7630" t="s">
        <v>26</v>
      </c>
      <c r="Q7630">
        <v>123.75</v>
      </c>
      <c r="R7630">
        <v>99</v>
      </c>
      <c r="S7630">
        <v>148.5</v>
      </c>
      <c r="T7630" t="s">
        <v>37361</v>
      </c>
    </row>
    <row r="7631" spans="1:20">
      <c r="A7631">
        <v>4671580</v>
      </c>
      <c r="B7631" t="s">
        <v>37362</v>
      </c>
      <c r="C7631" t="str">
        <f>"9780802038876"</f>
        <v>9780802038876</v>
      </c>
      <c r="D7631" t="str">
        <f>"9781442675629"</f>
        <v>9781442675629</v>
      </c>
      <c r="E7631" t="s">
        <v>31435</v>
      </c>
      <c r="F7631" t="s">
        <v>31435</v>
      </c>
      <c r="G7631" s="1">
        <v>38353</v>
      </c>
      <c r="H7631">
        <v>2</v>
      </c>
      <c r="J7631" t="s">
        <v>37363</v>
      </c>
      <c r="K7631" t="s">
        <v>1464</v>
      </c>
      <c r="L7631" t="s">
        <v>37364</v>
      </c>
      <c r="M7631" t="s">
        <v>22249</v>
      </c>
      <c r="O7631" t="s">
        <v>26</v>
      </c>
      <c r="Q7631">
        <v>102.5</v>
      </c>
      <c r="R7631">
        <v>82</v>
      </c>
      <c r="S7631">
        <v>123</v>
      </c>
      <c r="T7631" t="s">
        <v>37365</v>
      </c>
    </row>
    <row r="7632" spans="1:20">
      <c r="A7632">
        <v>4671581</v>
      </c>
      <c r="B7632" t="s">
        <v>37366</v>
      </c>
      <c r="C7632" t="str">
        <f>"9780802081360"</f>
        <v>9780802081360</v>
      </c>
      <c r="D7632" t="str">
        <f>"9781442675643"</f>
        <v>9781442675643</v>
      </c>
      <c r="E7632" t="s">
        <v>31435</v>
      </c>
      <c r="F7632" t="s">
        <v>31435</v>
      </c>
      <c r="G7632" s="1">
        <v>35700</v>
      </c>
      <c r="I7632" t="s">
        <v>31443</v>
      </c>
      <c r="J7632" t="s">
        <v>37367</v>
      </c>
      <c r="K7632" t="s">
        <v>1471</v>
      </c>
      <c r="L7632" t="s">
        <v>37368</v>
      </c>
      <c r="M7632" t="s">
        <v>34421</v>
      </c>
      <c r="O7632" t="s">
        <v>26</v>
      </c>
      <c r="Q7632">
        <v>59.94</v>
      </c>
      <c r="R7632">
        <v>47.95</v>
      </c>
      <c r="S7632">
        <v>71.930000000000007</v>
      </c>
      <c r="T7632" t="s">
        <v>37369</v>
      </c>
    </row>
    <row r="7633" spans="1:20">
      <c r="A7633">
        <v>4671582</v>
      </c>
      <c r="B7633" t="s">
        <v>37370</v>
      </c>
      <c r="C7633" t="str">
        <f>"9780802082244"</f>
        <v>9780802082244</v>
      </c>
      <c r="D7633" t="str">
        <f>"9781442675650"</f>
        <v>9781442675650</v>
      </c>
      <c r="E7633" t="s">
        <v>31435</v>
      </c>
      <c r="F7633" t="s">
        <v>31435</v>
      </c>
      <c r="G7633" s="1">
        <v>36614</v>
      </c>
      <c r="J7633" t="s">
        <v>37371</v>
      </c>
      <c r="K7633" t="s">
        <v>1082</v>
      </c>
      <c r="L7633" t="s">
        <v>37372</v>
      </c>
      <c r="M7633" t="s">
        <v>37373</v>
      </c>
      <c r="N7633" t="s">
        <v>37374</v>
      </c>
      <c r="O7633" t="s">
        <v>26</v>
      </c>
      <c r="Q7633">
        <v>115</v>
      </c>
      <c r="R7633">
        <v>92</v>
      </c>
      <c r="S7633">
        <v>138</v>
      </c>
      <c r="T7633" t="s">
        <v>37375</v>
      </c>
    </row>
    <row r="7634" spans="1:20">
      <c r="A7634">
        <v>4671583</v>
      </c>
      <c r="B7634" t="s">
        <v>37376</v>
      </c>
      <c r="C7634" t="str">
        <f>"9780802084668"</f>
        <v>9780802084668</v>
      </c>
      <c r="D7634" t="str">
        <f>"9781442675667"</f>
        <v>9781442675667</v>
      </c>
      <c r="E7634" t="s">
        <v>31435</v>
      </c>
      <c r="F7634" t="s">
        <v>31435</v>
      </c>
      <c r="G7634" s="1">
        <v>37548</v>
      </c>
      <c r="I7634" t="s">
        <v>35251</v>
      </c>
      <c r="J7634" t="s">
        <v>37377</v>
      </c>
      <c r="K7634" t="s">
        <v>1082</v>
      </c>
      <c r="L7634" t="s">
        <v>37378</v>
      </c>
      <c r="M7634" t="s">
        <v>28727</v>
      </c>
      <c r="O7634" t="s">
        <v>26</v>
      </c>
      <c r="Q7634">
        <v>91.25</v>
      </c>
      <c r="R7634">
        <v>73</v>
      </c>
      <c r="S7634">
        <v>109.5</v>
      </c>
      <c r="T7634" t="s">
        <v>37379</v>
      </c>
    </row>
    <row r="7635" spans="1:20">
      <c r="A7635">
        <v>4671584</v>
      </c>
      <c r="B7635" t="s">
        <v>37380</v>
      </c>
      <c r="C7635" t="str">
        <f>"9781442614895"</f>
        <v>9781442614895</v>
      </c>
      <c r="D7635" t="str">
        <f>"9781442675674"</f>
        <v>9781442675674</v>
      </c>
      <c r="E7635" t="s">
        <v>31435</v>
      </c>
      <c r="F7635" t="s">
        <v>31435</v>
      </c>
      <c r="G7635" s="1">
        <v>35796</v>
      </c>
      <c r="I7635" t="s">
        <v>35029</v>
      </c>
      <c r="J7635" t="s">
        <v>37381</v>
      </c>
      <c r="K7635" t="s">
        <v>1859</v>
      </c>
      <c r="L7635" t="s">
        <v>37382</v>
      </c>
      <c r="M7635">
        <v>193</v>
      </c>
      <c r="O7635" t="s">
        <v>26</v>
      </c>
      <c r="Q7635">
        <v>115</v>
      </c>
      <c r="R7635">
        <v>92</v>
      </c>
      <c r="S7635">
        <v>138</v>
      </c>
      <c r="T7635" t="s">
        <v>37383</v>
      </c>
    </row>
    <row r="7636" spans="1:20">
      <c r="A7636">
        <v>4671585</v>
      </c>
      <c r="B7636" t="s">
        <v>37384</v>
      </c>
      <c r="C7636" t="str">
        <f>"9780802078421"</f>
        <v>9780802078421</v>
      </c>
      <c r="D7636" t="str">
        <f>"9781442675681"</f>
        <v>9781442675681</v>
      </c>
      <c r="E7636" t="s">
        <v>31435</v>
      </c>
      <c r="F7636" t="s">
        <v>31435</v>
      </c>
      <c r="G7636" s="1">
        <v>35065</v>
      </c>
      <c r="H7636">
        <v>2</v>
      </c>
      <c r="J7636" t="s">
        <v>37385</v>
      </c>
      <c r="K7636" t="s">
        <v>291</v>
      </c>
      <c r="L7636" t="s">
        <v>37386</v>
      </c>
      <c r="M7636">
        <v>941.08100000000002</v>
      </c>
      <c r="O7636" t="s">
        <v>26</v>
      </c>
      <c r="Q7636">
        <v>59.94</v>
      </c>
      <c r="R7636">
        <v>47.95</v>
      </c>
      <c r="S7636">
        <v>71.930000000000007</v>
      </c>
      <c r="T7636" t="s">
        <v>37387</v>
      </c>
    </row>
    <row r="7637" spans="1:20">
      <c r="A7637">
        <v>4671586</v>
      </c>
      <c r="B7637" t="s">
        <v>37388</v>
      </c>
      <c r="C7637" t="str">
        <f>"9780802037121"</f>
        <v>9780802037121</v>
      </c>
      <c r="D7637" t="str">
        <f>"9781442675711"</f>
        <v>9781442675711</v>
      </c>
      <c r="E7637" t="s">
        <v>31435</v>
      </c>
      <c r="F7637" t="s">
        <v>31435</v>
      </c>
      <c r="G7637" s="1">
        <v>37257</v>
      </c>
      <c r="I7637" t="s">
        <v>33775</v>
      </c>
      <c r="J7637" t="s">
        <v>34536</v>
      </c>
      <c r="K7637" t="s">
        <v>1464</v>
      </c>
      <c r="L7637" t="s">
        <v>37389</v>
      </c>
      <c r="M7637">
        <v>851.00900000000001</v>
      </c>
      <c r="O7637" t="s">
        <v>26</v>
      </c>
      <c r="Q7637">
        <v>100</v>
      </c>
      <c r="R7637">
        <v>80</v>
      </c>
      <c r="S7637">
        <v>120</v>
      </c>
      <c r="T7637" t="s">
        <v>37390</v>
      </c>
    </row>
    <row r="7638" spans="1:20">
      <c r="A7638">
        <v>4671588</v>
      </c>
      <c r="B7638" t="s">
        <v>37391</v>
      </c>
      <c r="C7638" t="str">
        <f>"9780802080981"</f>
        <v>9780802080981</v>
      </c>
      <c r="D7638" t="str">
        <f>"9781442675735"</f>
        <v>9781442675735</v>
      </c>
      <c r="E7638" t="s">
        <v>31435</v>
      </c>
      <c r="F7638" t="s">
        <v>31435</v>
      </c>
      <c r="G7638" s="1">
        <v>37386</v>
      </c>
      <c r="J7638" t="s">
        <v>37392</v>
      </c>
      <c r="K7638" t="s">
        <v>257</v>
      </c>
      <c r="L7638" t="s">
        <v>37393</v>
      </c>
      <c r="M7638" t="s">
        <v>37394</v>
      </c>
      <c r="N7638" t="s">
        <v>37395</v>
      </c>
      <c r="O7638" t="s">
        <v>26</v>
      </c>
      <c r="Q7638">
        <v>123.75</v>
      </c>
      <c r="R7638">
        <v>99</v>
      </c>
      <c r="S7638">
        <v>148.5</v>
      </c>
      <c r="T7638" t="s">
        <v>37396</v>
      </c>
    </row>
    <row r="7639" spans="1:20">
      <c r="A7639">
        <v>4671589</v>
      </c>
      <c r="B7639" t="s">
        <v>37397</v>
      </c>
      <c r="C7639" t="str">
        <f>"9780802024954"</f>
        <v>9780802024954</v>
      </c>
      <c r="D7639" t="str">
        <f>"9781442675742"</f>
        <v>9781442675742</v>
      </c>
      <c r="E7639" t="s">
        <v>31435</v>
      </c>
      <c r="F7639" t="s">
        <v>31435</v>
      </c>
      <c r="G7639" s="1">
        <v>32021</v>
      </c>
      <c r="J7639" t="s">
        <v>37398</v>
      </c>
      <c r="K7639" t="s">
        <v>3230</v>
      </c>
      <c r="L7639" t="s">
        <v>37399</v>
      </c>
      <c r="M7639">
        <v>911.71</v>
      </c>
      <c r="N7639" t="s">
        <v>37400</v>
      </c>
      <c r="O7639" t="s">
        <v>26</v>
      </c>
      <c r="Q7639">
        <v>178.75</v>
      </c>
      <c r="R7639">
        <v>143</v>
      </c>
      <c r="S7639">
        <v>214.5</v>
      </c>
      <c r="T7639" t="s">
        <v>37401</v>
      </c>
    </row>
    <row r="7640" spans="1:20">
      <c r="A7640">
        <v>4671590</v>
      </c>
      <c r="B7640" t="s">
        <v>37402</v>
      </c>
      <c r="C7640" t="str">
        <f>"9780802034472"</f>
        <v>9780802034472</v>
      </c>
      <c r="D7640" t="str">
        <f>"9781442675759"</f>
        <v>9781442675759</v>
      </c>
      <c r="E7640" t="s">
        <v>31435</v>
      </c>
      <c r="F7640" t="s">
        <v>31435</v>
      </c>
      <c r="G7640" s="1">
        <v>34261</v>
      </c>
      <c r="J7640" t="s">
        <v>37403</v>
      </c>
      <c r="K7640" t="s">
        <v>3230</v>
      </c>
      <c r="L7640" t="s">
        <v>37404</v>
      </c>
      <c r="M7640">
        <v>911.71</v>
      </c>
      <c r="O7640" t="s">
        <v>26</v>
      </c>
      <c r="Q7640">
        <v>178.75</v>
      </c>
      <c r="R7640">
        <v>143</v>
      </c>
      <c r="S7640">
        <v>214.5</v>
      </c>
      <c r="T7640" t="s">
        <v>37405</v>
      </c>
    </row>
    <row r="7641" spans="1:20">
      <c r="A7641">
        <v>4671591</v>
      </c>
      <c r="B7641" t="s">
        <v>37406</v>
      </c>
      <c r="C7641" t="str">
        <f>"9780802034489"</f>
        <v>9780802034489</v>
      </c>
      <c r="D7641" t="str">
        <f>"9781442675766"</f>
        <v>9781442675766</v>
      </c>
      <c r="E7641" t="s">
        <v>31435</v>
      </c>
      <c r="F7641" t="s">
        <v>31435</v>
      </c>
      <c r="G7641" s="1">
        <v>33117</v>
      </c>
      <c r="J7641" t="s">
        <v>37407</v>
      </c>
      <c r="K7641" t="s">
        <v>3230</v>
      </c>
      <c r="L7641" t="s">
        <v>37408</v>
      </c>
      <c r="M7641">
        <v>911.71</v>
      </c>
      <c r="O7641" t="s">
        <v>26</v>
      </c>
      <c r="Q7641">
        <v>178.75</v>
      </c>
      <c r="R7641">
        <v>143</v>
      </c>
      <c r="S7641">
        <v>214.5</v>
      </c>
      <c r="T7641" t="s">
        <v>37409</v>
      </c>
    </row>
    <row r="7642" spans="1:20">
      <c r="A7642">
        <v>4671592</v>
      </c>
      <c r="B7642" t="s">
        <v>37410</v>
      </c>
      <c r="C7642" t="str">
        <f>"9780802082008"</f>
        <v>9780802082008</v>
      </c>
      <c r="D7642" t="str">
        <f>"9781442675780"</f>
        <v>9781442675780</v>
      </c>
      <c r="E7642" t="s">
        <v>31435</v>
      </c>
      <c r="F7642" t="s">
        <v>31435</v>
      </c>
      <c r="G7642" s="1">
        <v>36572</v>
      </c>
      <c r="I7642" t="s">
        <v>37411</v>
      </c>
      <c r="K7642" t="s">
        <v>291</v>
      </c>
      <c r="L7642" t="s">
        <v>37412</v>
      </c>
      <c r="M7642" t="s">
        <v>37413</v>
      </c>
      <c r="N7642" t="s">
        <v>37414</v>
      </c>
      <c r="O7642" t="s">
        <v>26</v>
      </c>
      <c r="Q7642">
        <v>71.25</v>
      </c>
      <c r="R7642">
        <v>57</v>
      </c>
      <c r="S7642">
        <v>85.5</v>
      </c>
      <c r="T7642" t="s">
        <v>37415</v>
      </c>
    </row>
    <row r="7643" spans="1:20">
      <c r="A7643">
        <v>4671593</v>
      </c>
      <c r="B7643" t="s">
        <v>37416</v>
      </c>
      <c r="C7643" t="str">
        <f>"9780802036018"</f>
        <v>9780802036018</v>
      </c>
      <c r="D7643" t="str">
        <f>"9781442675797"</f>
        <v>9781442675797</v>
      </c>
      <c r="E7643" t="s">
        <v>31435</v>
      </c>
      <c r="F7643" t="s">
        <v>31435</v>
      </c>
      <c r="G7643" s="1">
        <v>37380</v>
      </c>
      <c r="J7643" t="s">
        <v>37417</v>
      </c>
      <c r="K7643" t="s">
        <v>291</v>
      </c>
      <c r="L7643" t="s">
        <v>37418</v>
      </c>
      <c r="M7643">
        <v>941.1</v>
      </c>
      <c r="O7643" t="s">
        <v>26</v>
      </c>
      <c r="Q7643">
        <v>91.25</v>
      </c>
      <c r="R7643">
        <v>73</v>
      </c>
      <c r="S7643">
        <v>109.5</v>
      </c>
      <c r="T7643" t="s">
        <v>37419</v>
      </c>
    </row>
    <row r="7644" spans="1:20">
      <c r="A7644">
        <v>4671594</v>
      </c>
      <c r="B7644" t="s">
        <v>37420</v>
      </c>
      <c r="C7644" t="str">
        <f>"9780802036421"</f>
        <v>9780802036421</v>
      </c>
      <c r="D7644" t="str">
        <f>"9781442675803"</f>
        <v>9781442675803</v>
      </c>
      <c r="E7644" t="s">
        <v>31435</v>
      </c>
      <c r="F7644" t="s">
        <v>31435</v>
      </c>
      <c r="G7644" s="1">
        <v>37527</v>
      </c>
      <c r="I7644" t="s">
        <v>34747</v>
      </c>
      <c r="J7644" t="s">
        <v>37421</v>
      </c>
      <c r="K7644" t="s">
        <v>1892</v>
      </c>
      <c r="L7644" t="s">
        <v>37422</v>
      </c>
      <c r="M7644" t="s">
        <v>37423</v>
      </c>
      <c r="O7644" t="s">
        <v>26</v>
      </c>
      <c r="Q7644">
        <v>151.25</v>
      </c>
      <c r="R7644">
        <v>121</v>
      </c>
      <c r="S7644">
        <v>181.5</v>
      </c>
      <c r="T7644" t="s">
        <v>37424</v>
      </c>
    </row>
    <row r="7645" spans="1:20">
      <c r="A7645">
        <v>4671597</v>
      </c>
      <c r="B7645" t="s">
        <v>37425</v>
      </c>
      <c r="C7645" t="str">
        <f>"9780802081605"</f>
        <v>9780802081605</v>
      </c>
      <c r="D7645" t="str">
        <f>"9781442675834"</f>
        <v>9781442675834</v>
      </c>
      <c r="E7645" t="s">
        <v>31435</v>
      </c>
      <c r="F7645" t="s">
        <v>31435</v>
      </c>
      <c r="G7645" s="1">
        <v>35924</v>
      </c>
      <c r="I7645" t="s">
        <v>31443</v>
      </c>
      <c r="J7645" t="s">
        <v>37426</v>
      </c>
      <c r="K7645" t="s">
        <v>7838</v>
      </c>
      <c r="L7645" t="s">
        <v>37427</v>
      </c>
      <c r="M7645" t="s">
        <v>37428</v>
      </c>
      <c r="N7645" t="s">
        <v>37429</v>
      </c>
      <c r="O7645" t="s">
        <v>26</v>
      </c>
      <c r="Q7645">
        <v>59.94</v>
      </c>
      <c r="R7645">
        <v>47.95</v>
      </c>
      <c r="S7645">
        <v>71.930000000000007</v>
      </c>
      <c r="T7645" t="s">
        <v>37430</v>
      </c>
    </row>
    <row r="7646" spans="1:20">
      <c r="A7646">
        <v>4671598</v>
      </c>
      <c r="B7646" t="s">
        <v>37431</v>
      </c>
      <c r="C7646" t="str">
        <f>"9780802036773"</f>
        <v>9780802036773</v>
      </c>
      <c r="D7646" t="str">
        <f>"9781442675841"</f>
        <v>9781442675841</v>
      </c>
      <c r="E7646" t="s">
        <v>31435</v>
      </c>
      <c r="F7646" t="s">
        <v>31435</v>
      </c>
      <c r="G7646" s="1">
        <v>37401</v>
      </c>
      <c r="J7646" t="s">
        <v>37432</v>
      </c>
      <c r="K7646" t="s">
        <v>1464</v>
      </c>
      <c r="L7646" t="s">
        <v>37433</v>
      </c>
      <c r="M7646" t="s">
        <v>37434</v>
      </c>
      <c r="N7646" t="s">
        <v>37435</v>
      </c>
      <c r="O7646" t="s">
        <v>26</v>
      </c>
      <c r="Q7646">
        <v>115</v>
      </c>
      <c r="R7646">
        <v>92</v>
      </c>
      <c r="S7646">
        <v>138</v>
      </c>
      <c r="T7646" t="s">
        <v>37436</v>
      </c>
    </row>
    <row r="7647" spans="1:20">
      <c r="A7647">
        <v>4671599</v>
      </c>
      <c r="B7647" t="s">
        <v>37437</v>
      </c>
      <c r="C7647" t="str">
        <f>"9780802075680"</f>
        <v>9780802075680</v>
      </c>
      <c r="D7647" t="str">
        <f>"9781442675858"</f>
        <v>9781442675858</v>
      </c>
      <c r="E7647" t="s">
        <v>31435</v>
      </c>
      <c r="F7647" t="s">
        <v>31435</v>
      </c>
      <c r="G7647" s="1">
        <v>34816</v>
      </c>
      <c r="H7647">
        <v>2</v>
      </c>
      <c r="J7647" t="s">
        <v>37438</v>
      </c>
      <c r="K7647" t="s">
        <v>416</v>
      </c>
      <c r="L7647" t="s">
        <v>37439</v>
      </c>
      <c r="M7647" t="s">
        <v>37440</v>
      </c>
      <c r="O7647" t="s">
        <v>26</v>
      </c>
      <c r="Q7647">
        <v>95</v>
      </c>
      <c r="R7647">
        <v>76</v>
      </c>
      <c r="S7647">
        <v>114</v>
      </c>
      <c r="T7647" t="s">
        <v>37441</v>
      </c>
    </row>
    <row r="7648" spans="1:20">
      <c r="A7648">
        <v>4671600</v>
      </c>
      <c r="B7648" t="s">
        <v>37442</v>
      </c>
      <c r="C7648" t="str">
        <f>"9780802091543"</f>
        <v>9780802091543</v>
      </c>
      <c r="D7648" t="str">
        <f>"9781442675865"</f>
        <v>9781442675865</v>
      </c>
      <c r="E7648" t="s">
        <v>31435</v>
      </c>
      <c r="F7648" t="s">
        <v>31435</v>
      </c>
      <c r="G7648" s="1">
        <v>41773</v>
      </c>
      <c r="J7648" t="s">
        <v>36505</v>
      </c>
      <c r="K7648" t="s">
        <v>1464</v>
      </c>
      <c r="L7648" t="s">
        <v>37443</v>
      </c>
      <c r="M7648">
        <v>821.8</v>
      </c>
      <c r="O7648" t="s">
        <v>26</v>
      </c>
      <c r="Q7648">
        <v>83.75</v>
      </c>
      <c r="R7648">
        <v>67</v>
      </c>
      <c r="S7648">
        <v>100.5</v>
      </c>
      <c r="T7648" t="s">
        <v>37444</v>
      </c>
    </row>
    <row r="7649" spans="1:20">
      <c r="A7649">
        <v>4671601</v>
      </c>
      <c r="B7649" t="s">
        <v>37445</v>
      </c>
      <c r="C7649" t="str">
        <f>"9780802067227"</f>
        <v>9780802067227</v>
      </c>
      <c r="D7649" t="str">
        <f>"9781442675889"</f>
        <v>9781442675889</v>
      </c>
      <c r="E7649" t="s">
        <v>31435</v>
      </c>
      <c r="F7649" t="s">
        <v>31435</v>
      </c>
      <c r="G7649" s="1">
        <v>33239</v>
      </c>
      <c r="J7649" t="s">
        <v>37446</v>
      </c>
      <c r="K7649" t="s">
        <v>550</v>
      </c>
      <c r="L7649" t="s">
        <v>37447</v>
      </c>
      <c r="M7649" t="s">
        <v>37448</v>
      </c>
      <c r="O7649" t="s">
        <v>26</v>
      </c>
      <c r="Q7649">
        <v>59.94</v>
      </c>
      <c r="R7649">
        <v>47.95</v>
      </c>
      <c r="S7649">
        <v>71.930000000000007</v>
      </c>
      <c r="T7649" t="s">
        <v>37449</v>
      </c>
    </row>
    <row r="7650" spans="1:20">
      <c r="A7650">
        <v>4671602</v>
      </c>
      <c r="B7650" t="s">
        <v>37450</v>
      </c>
      <c r="C7650" t="str">
        <f>"9780802084019"</f>
        <v>9780802084019</v>
      </c>
      <c r="D7650" t="str">
        <f>"9781442675896"</f>
        <v>9781442675896</v>
      </c>
      <c r="E7650" t="s">
        <v>31435</v>
      </c>
      <c r="F7650" t="s">
        <v>31435</v>
      </c>
      <c r="G7650" s="1">
        <v>36892</v>
      </c>
      <c r="J7650" t="s">
        <v>37451</v>
      </c>
      <c r="K7650" t="s">
        <v>1464</v>
      </c>
      <c r="L7650" t="s">
        <v>37452</v>
      </c>
      <c r="M7650" t="s">
        <v>37453</v>
      </c>
      <c r="O7650" t="s">
        <v>26</v>
      </c>
      <c r="Q7650">
        <v>107.5</v>
      </c>
      <c r="R7650">
        <v>86</v>
      </c>
      <c r="S7650">
        <v>129</v>
      </c>
      <c r="T7650" t="s">
        <v>37454</v>
      </c>
    </row>
    <row r="7651" spans="1:20">
      <c r="A7651">
        <v>4671603</v>
      </c>
      <c r="B7651" t="s">
        <v>37455</v>
      </c>
      <c r="C7651" t="str">
        <f>"9780802089625"</f>
        <v>9780802089625</v>
      </c>
      <c r="D7651" t="str">
        <f>"9781442675902"</f>
        <v>9781442675902</v>
      </c>
      <c r="E7651" t="s">
        <v>31435</v>
      </c>
      <c r="F7651" t="s">
        <v>31435</v>
      </c>
      <c r="G7651" s="1">
        <v>37987</v>
      </c>
      <c r="H7651">
        <v>2</v>
      </c>
      <c r="J7651" t="s">
        <v>37456</v>
      </c>
      <c r="K7651" t="s">
        <v>1464</v>
      </c>
      <c r="L7651" t="s">
        <v>37457</v>
      </c>
      <c r="M7651" t="s">
        <v>37458</v>
      </c>
      <c r="O7651" t="s">
        <v>26</v>
      </c>
      <c r="Q7651">
        <v>110</v>
      </c>
      <c r="R7651">
        <v>88</v>
      </c>
      <c r="S7651">
        <v>132</v>
      </c>
      <c r="T7651" t="s">
        <v>37459</v>
      </c>
    </row>
    <row r="7652" spans="1:20">
      <c r="A7652">
        <v>4671604</v>
      </c>
      <c r="B7652" t="s">
        <v>37460</v>
      </c>
      <c r="C7652" t="str">
        <f>"9780802083043"</f>
        <v>9780802083043</v>
      </c>
      <c r="D7652" t="str">
        <f>"9781442675919"</f>
        <v>9781442675919</v>
      </c>
      <c r="E7652" t="s">
        <v>31435</v>
      </c>
      <c r="F7652" t="s">
        <v>31435</v>
      </c>
      <c r="G7652" s="1">
        <v>36491</v>
      </c>
      <c r="J7652" t="s">
        <v>37461</v>
      </c>
      <c r="K7652" t="s">
        <v>14757</v>
      </c>
      <c r="L7652" t="s">
        <v>37462</v>
      </c>
      <c r="M7652">
        <v>355.03300000000002</v>
      </c>
      <c r="O7652" t="s">
        <v>26</v>
      </c>
      <c r="Q7652">
        <v>91.25</v>
      </c>
      <c r="R7652">
        <v>73</v>
      </c>
      <c r="S7652">
        <v>109.5</v>
      </c>
      <c r="T7652" t="s">
        <v>37463</v>
      </c>
    </row>
    <row r="7653" spans="1:20">
      <c r="A7653">
        <v>4671605</v>
      </c>
      <c r="B7653" t="s">
        <v>37464</v>
      </c>
      <c r="C7653" t="str">
        <f>"9780802085504"</f>
        <v>9780802085504</v>
      </c>
      <c r="D7653" t="str">
        <f>"9781442675926"</f>
        <v>9781442675926</v>
      </c>
      <c r="E7653" t="s">
        <v>31435</v>
      </c>
      <c r="F7653" t="s">
        <v>31435</v>
      </c>
      <c r="G7653" s="1">
        <v>37262</v>
      </c>
      <c r="J7653" t="s">
        <v>37465</v>
      </c>
      <c r="K7653" t="s">
        <v>263</v>
      </c>
      <c r="L7653" t="s">
        <v>37466</v>
      </c>
      <c r="M7653">
        <v>303.48329999999902</v>
      </c>
      <c r="O7653" t="s">
        <v>26</v>
      </c>
      <c r="Q7653">
        <v>123.75</v>
      </c>
      <c r="R7653">
        <v>99</v>
      </c>
      <c r="S7653">
        <v>148.5</v>
      </c>
      <c r="T7653" t="s">
        <v>37467</v>
      </c>
    </row>
    <row r="7654" spans="1:20">
      <c r="A7654">
        <v>4671606</v>
      </c>
      <c r="B7654" t="s">
        <v>37468</v>
      </c>
      <c r="C7654" t="str">
        <f>"9780802087362"</f>
        <v>9780802087362</v>
      </c>
      <c r="D7654" t="str">
        <f>"9781442675933"</f>
        <v>9781442675933</v>
      </c>
      <c r="E7654" t="s">
        <v>31435</v>
      </c>
      <c r="F7654" t="s">
        <v>31435</v>
      </c>
      <c r="G7654" s="1">
        <v>41773</v>
      </c>
      <c r="H7654">
        <v>2</v>
      </c>
      <c r="J7654" t="s">
        <v>37469</v>
      </c>
      <c r="K7654" t="s">
        <v>473</v>
      </c>
      <c r="L7654" t="s">
        <v>37470</v>
      </c>
      <c r="M7654">
        <v>303.48200000000003</v>
      </c>
      <c r="O7654" t="s">
        <v>26</v>
      </c>
      <c r="Q7654">
        <v>100</v>
      </c>
      <c r="R7654">
        <v>80</v>
      </c>
      <c r="S7654">
        <v>120</v>
      </c>
      <c r="T7654" t="s">
        <v>37471</v>
      </c>
    </row>
    <row r="7655" spans="1:20">
      <c r="A7655">
        <v>4671607</v>
      </c>
      <c r="B7655" t="s">
        <v>37472</v>
      </c>
      <c r="C7655" t="str">
        <f>"9780802085696"</f>
        <v>9780802085696</v>
      </c>
      <c r="D7655" t="str">
        <f>"9781442675940"</f>
        <v>9781442675940</v>
      </c>
      <c r="E7655" t="s">
        <v>31435</v>
      </c>
      <c r="F7655" t="s">
        <v>31435</v>
      </c>
      <c r="G7655" s="1">
        <v>37622</v>
      </c>
      <c r="J7655" t="s">
        <v>37473</v>
      </c>
      <c r="K7655" t="s">
        <v>3421</v>
      </c>
      <c r="L7655" t="s">
        <v>37474</v>
      </c>
      <c r="M7655">
        <v>306.43</v>
      </c>
      <c r="O7655" t="s">
        <v>26</v>
      </c>
      <c r="Q7655">
        <v>78.75</v>
      </c>
      <c r="R7655">
        <v>63</v>
      </c>
      <c r="S7655">
        <v>94.5</v>
      </c>
      <c r="T7655" t="s">
        <v>37475</v>
      </c>
    </row>
    <row r="7656" spans="1:20">
      <c r="A7656">
        <v>4671608</v>
      </c>
      <c r="B7656" t="s">
        <v>37476</v>
      </c>
      <c r="C7656" t="str">
        <f>"9781442612914"</f>
        <v>9781442612914</v>
      </c>
      <c r="D7656" t="str">
        <f>"9781442675957"</f>
        <v>9781442675957</v>
      </c>
      <c r="E7656" t="s">
        <v>31435</v>
      </c>
      <c r="F7656" t="s">
        <v>31435</v>
      </c>
      <c r="G7656" s="1">
        <v>36892</v>
      </c>
      <c r="I7656" t="s">
        <v>31443</v>
      </c>
      <c r="J7656" t="s">
        <v>37477</v>
      </c>
      <c r="K7656" t="s">
        <v>7175</v>
      </c>
      <c r="L7656" t="s">
        <v>37478</v>
      </c>
      <c r="M7656">
        <v>181.06</v>
      </c>
      <c r="O7656" t="s">
        <v>26</v>
      </c>
      <c r="Q7656">
        <v>91.25</v>
      </c>
      <c r="R7656">
        <v>73</v>
      </c>
      <c r="S7656">
        <v>109.5</v>
      </c>
      <c r="T7656" t="s">
        <v>37479</v>
      </c>
    </row>
    <row r="7657" spans="1:20">
      <c r="A7657">
        <v>4671609</v>
      </c>
      <c r="B7657" t="s">
        <v>37480</v>
      </c>
      <c r="C7657" t="str">
        <f>"9780802083418"</f>
        <v>9780802083418</v>
      </c>
      <c r="D7657" t="str">
        <f>"9781442675964"</f>
        <v>9781442675964</v>
      </c>
      <c r="E7657" t="s">
        <v>31435</v>
      </c>
      <c r="F7657" t="s">
        <v>31435</v>
      </c>
      <c r="G7657" s="1">
        <v>37604</v>
      </c>
      <c r="J7657" t="s">
        <v>37481</v>
      </c>
      <c r="K7657" t="s">
        <v>525</v>
      </c>
      <c r="L7657" t="s">
        <v>37482</v>
      </c>
      <c r="M7657">
        <v>340.01</v>
      </c>
      <c r="O7657" t="s">
        <v>26</v>
      </c>
      <c r="Q7657">
        <v>123.75</v>
      </c>
      <c r="R7657">
        <v>99</v>
      </c>
      <c r="S7657">
        <v>148.5</v>
      </c>
      <c r="T7657" t="s">
        <v>37483</v>
      </c>
    </row>
    <row r="7658" spans="1:20">
      <c r="A7658">
        <v>4671610</v>
      </c>
      <c r="B7658" t="s">
        <v>37484</v>
      </c>
      <c r="C7658" t="str">
        <f>"9780802079107"</f>
        <v>9780802079107</v>
      </c>
      <c r="D7658" t="str">
        <f>"9781442675971"</f>
        <v>9781442675971</v>
      </c>
      <c r="E7658" t="s">
        <v>31435</v>
      </c>
      <c r="F7658" t="s">
        <v>31435</v>
      </c>
      <c r="G7658" s="1">
        <v>35567</v>
      </c>
      <c r="J7658" t="s">
        <v>37485</v>
      </c>
      <c r="K7658" t="s">
        <v>1150</v>
      </c>
      <c r="L7658" t="s">
        <v>37486</v>
      </c>
      <c r="M7658" t="s">
        <v>37487</v>
      </c>
      <c r="N7658" t="s">
        <v>37488</v>
      </c>
      <c r="O7658" t="s">
        <v>26</v>
      </c>
      <c r="Q7658">
        <v>107.5</v>
      </c>
      <c r="R7658">
        <v>86</v>
      </c>
      <c r="S7658">
        <v>129</v>
      </c>
      <c r="T7658" t="s">
        <v>37489</v>
      </c>
    </row>
    <row r="7659" spans="1:20">
      <c r="A7659">
        <v>4671611</v>
      </c>
      <c r="B7659" t="s">
        <v>37490</v>
      </c>
      <c r="C7659" t="str">
        <f>"9780802007056"</f>
        <v>9780802007056</v>
      </c>
      <c r="D7659" t="str">
        <f>"9781442675988"</f>
        <v>9781442675988</v>
      </c>
      <c r="E7659" t="s">
        <v>31435</v>
      </c>
      <c r="F7659" t="s">
        <v>31435</v>
      </c>
      <c r="G7659" s="1">
        <v>36526</v>
      </c>
      <c r="I7659" t="s">
        <v>33775</v>
      </c>
      <c r="J7659" t="s">
        <v>37491</v>
      </c>
      <c r="K7659" t="s">
        <v>1464</v>
      </c>
      <c r="L7659" t="s">
        <v>37492</v>
      </c>
      <c r="M7659">
        <v>853.91200000000003</v>
      </c>
      <c r="O7659" t="s">
        <v>26</v>
      </c>
      <c r="Q7659">
        <v>93.75</v>
      </c>
      <c r="R7659">
        <v>75</v>
      </c>
      <c r="S7659">
        <v>112.5</v>
      </c>
      <c r="T7659" t="s">
        <v>37493</v>
      </c>
    </row>
    <row r="7660" spans="1:20">
      <c r="A7660">
        <v>4671612</v>
      </c>
      <c r="B7660" t="s">
        <v>37494</v>
      </c>
      <c r="C7660" t="str">
        <f>"9780802043139"</f>
        <v>9780802043139</v>
      </c>
      <c r="D7660" t="str">
        <f>"9781442676008"</f>
        <v>9781442676008</v>
      </c>
      <c r="E7660" t="s">
        <v>31435</v>
      </c>
      <c r="F7660" t="s">
        <v>31435</v>
      </c>
      <c r="G7660" s="1">
        <v>36526</v>
      </c>
      <c r="I7660" t="s">
        <v>33899</v>
      </c>
      <c r="J7660" t="s">
        <v>37495</v>
      </c>
      <c r="K7660" t="s">
        <v>291</v>
      </c>
      <c r="L7660" t="s">
        <v>37496</v>
      </c>
      <c r="M7660" t="s">
        <v>37497</v>
      </c>
      <c r="O7660" t="s">
        <v>26</v>
      </c>
      <c r="Q7660">
        <v>115</v>
      </c>
      <c r="R7660">
        <v>92</v>
      </c>
      <c r="S7660">
        <v>138</v>
      </c>
      <c r="T7660" t="s">
        <v>37498</v>
      </c>
    </row>
    <row r="7661" spans="1:20">
      <c r="A7661">
        <v>4671613</v>
      </c>
      <c r="B7661" t="s">
        <v>37499</v>
      </c>
      <c r="C7661" t="str">
        <f>"9780802094551"</f>
        <v>9780802094551</v>
      </c>
      <c r="D7661" t="str">
        <f>"9781442676015"</f>
        <v>9781442676015</v>
      </c>
      <c r="E7661" t="s">
        <v>31435</v>
      </c>
      <c r="F7661" t="s">
        <v>31435</v>
      </c>
      <c r="G7661" s="1">
        <v>38157</v>
      </c>
      <c r="H7661">
        <v>2</v>
      </c>
      <c r="J7661" t="s">
        <v>37500</v>
      </c>
      <c r="K7661" t="s">
        <v>1464</v>
      </c>
      <c r="L7661" t="s">
        <v>37501</v>
      </c>
      <c r="M7661" t="s">
        <v>37502</v>
      </c>
      <c r="O7661" t="s">
        <v>26</v>
      </c>
      <c r="Q7661">
        <v>83.75</v>
      </c>
      <c r="R7661">
        <v>67</v>
      </c>
      <c r="S7661">
        <v>100.5</v>
      </c>
      <c r="T7661" t="s">
        <v>37503</v>
      </c>
    </row>
    <row r="7662" spans="1:20">
      <c r="A7662">
        <v>4671614</v>
      </c>
      <c r="B7662" t="s">
        <v>37504</v>
      </c>
      <c r="C7662" t="str">
        <f>"9780802081117"</f>
        <v>9780802081117</v>
      </c>
      <c r="D7662" t="str">
        <f>"9781442676022"</f>
        <v>9781442676022</v>
      </c>
      <c r="E7662" t="s">
        <v>31435</v>
      </c>
      <c r="F7662" t="s">
        <v>31435</v>
      </c>
      <c r="G7662" s="1">
        <v>36453</v>
      </c>
      <c r="J7662" t="s">
        <v>37505</v>
      </c>
      <c r="K7662" t="s">
        <v>1550</v>
      </c>
      <c r="L7662" t="s">
        <v>37506</v>
      </c>
      <c r="M7662">
        <v>301.32409710000002</v>
      </c>
      <c r="O7662" t="s">
        <v>26</v>
      </c>
      <c r="Q7662">
        <v>123.75</v>
      </c>
      <c r="R7662">
        <v>99</v>
      </c>
      <c r="S7662">
        <v>148.5</v>
      </c>
      <c r="T7662" t="s">
        <v>37507</v>
      </c>
    </row>
    <row r="7663" spans="1:20">
      <c r="A7663">
        <v>4671615</v>
      </c>
      <c r="B7663" t="s">
        <v>37508</v>
      </c>
      <c r="C7663" t="str">
        <f>"9780802087829"</f>
        <v>9780802087829</v>
      </c>
      <c r="D7663" t="str">
        <f>"9781442676039"</f>
        <v>9781442676039</v>
      </c>
      <c r="E7663" t="s">
        <v>31435</v>
      </c>
      <c r="F7663" t="s">
        <v>31435</v>
      </c>
      <c r="G7663" s="1">
        <v>38353</v>
      </c>
      <c r="H7663">
        <v>2</v>
      </c>
      <c r="J7663" t="s">
        <v>37509</v>
      </c>
      <c r="K7663" t="s">
        <v>263</v>
      </c>
      <c r="L7663" t="s">
        <v>37510</v>
      </c>
      <c r="M7663">
        <v>307.72097123999902</v>
      </c>
      <c r="O7663" t="s">
        <v>26</v>
      </c>
      <c r="Q7663">
        <v>83.75</v>
      </c>
      <c r="R7663">
        <v>67</v>
      </c>
      <c r="S7663">
        <v>100.5</v>
      </c>
      <c r="T7663" t="s">
        <v>37511</v>
      </c>
    </row>
    <row r="7664" spans="1:20">
      <c r="A7664">
        <v>4671616</v>
      </c>
      <c r="B7664" t="s">
        <v>37512</v>
      </c>
      <c r="C7664" t="str">
        <f>"9780802036957"</f>
        <v>9780802036957</v>
      </c>
      <c r="D7664" t="str">
        <f>"9781442676046"</f>
        <v>9781442676046</v>
      </c>
      <c r="E7664" t="s">
        <v>31435</v>
      </c>
      <c r="F7664" t="s">
        <v>31435</v>
      </c>
      <c r="G7664" s="1">
        <v>37622</v>
      </c>
      <c r="I7664" t="s">
        <v>34035</v>
      </c>
      <c r="J7664" t="s">
        <v>37513</v>
      </c>
      <c r="K7664" t="s">
        <v>1464</v>
      </c>
      <c r="L7664" t="s">
        <v>37514</v>
      </c>
      <c r="M7664" t="s">
        <v>34038</v>
      </c>
      <c r="O7664" t="s">
        <v>26</v>
      </c>
      <c r="Q7664">
        <v>115</v>
      </c>
      <c r="R7664">
        <v>92</v>
      </c>
      <c r="S7664">
        <v>138</v>
      </c>
      <c r="T7664" t="s">
        <v>37515</v>
      </c>
    </row>
    <row r="7665" spans="1:20">
      <c r="A7665">
        <v>4671617</v>
      </c>
      <c r="B7665" t="s">
        <v>37516</v>
      </c>
      <c r="C7665" t="str">
        <f>"9780802081148"</f>
        <v>9780802081148</v>
      </c>
      <c r="D7665" t="str">
        <f>"9781442676053"</f>
        <v>9781442676053</v>
      </c>
      <c r="E7665" t="s">
        <v>31435</v>
      </c>
      <c r="F7665" t="s">
        <v>31435</v>
      </c>
      <c r="G7665" s="1">
        <v>35796</v>
      </c>
      <c r="J7665" t="s">
        <v>6062</v>
      </c>
      <c r="K7665" t="s">
        <v>263</v>
      </c>
      <c r="L7665" t="s">
        <v>37517</v>
      </c>
      <c r="M7665" t="s">
        <v>37518</v>
      </c>
      <c r="O7665" t="s">
        <v>26</v>
      </c>
      <c r="Q7665">
        <v>100</v>
      </c>
      <c r="R7665">
        <v>80</v>
      </c>
      <c r="S7665">
        <v>120</v>
      </c>
      <c r="T7665" t="s">
        <v>37519</v>
      </c>
    </row>
    <row r="7666" spans="1:20">
      <c r="A7666">
        <v>4671618</v>
      </c>
      <c r="B7666" t="s">
        <v>37520</v>
      </c>
      <c r="C7666" t="str">
        <f>"9780802058898"</f>
        <v>9780802058898</v>
      </c>
      <c r="D7666" t="str">
        <f>"9781442676060"</f>
        <v>9781442676060</v>
      </c>
      <c r="E7666" t="s">
        <v>31435</v>
      </c>
      <c r="F7666" t="s">
        <v>31435</v>
      </c>
      <c r="G7666" s="1">
        <v>33239</v>
      </c>
      <c r="J7666" t="s">
        <v>37521</v>
      </c>
      <c r="K7666" t="s">
        <v>263</v>
      </c>
      <c r="L7666" t="s">
        <v>37522</v>
      </c>
      <c r="M7666">
        <v>306.89097099999901</v>
      </c>
      <c r="O7666" t="s">
        <v>26</v>
      </c>
      <c r="Q7666">
        <v>85</v>
      </c>
      <c r="R7666">
        <v>68</v>
      </c>
      <c r="S7666">
        <v>102</v>
      </c>
      <c r="T7666" t="s">
        <v>37523</v>
      </c>
    </row>
    <row r="7667" spans="1:20">
      <c r="A7667">
        <v>4671619</v>
      </c>
      <c r="B7667" t="s">
        <v>37524</v>
      </c>
      <c r="C7667" t="str">
        <f>"9780802068330"</f>
        <v>9780802068330</v>
      </c>
      <c r="D7667" t="str">
        <f>"9781442676084"</f>
        <v>9781442676084</v>
      </c>
      <c r="E7667" t="s">
        <v>31435</v>
      </c>
      <c r="F7667" t="s">
        <v>31435</v>
      </c>
      <c r="G7667" s="1">
        <v>33239</v>
      </c>
      <c r="I7667" t="s">
        <v>31443</v>
      </c>
      <c r="K7667" t="s">
        <v>37525</v>
      </c>
      <c r="L7667" t="s">
        <v>37526</v>
      </c>
      <c r="M7667">
        <v>354.71008540000003</v>
      </c>
      <c r="O7667" t="s">
        <v>26</v>
      </c>
      <c r="Q7667">
        <v>156.25</v>
      </c>
      <c r="R7667">
        <v>125</v>
      </c>
      <c r="S7667">
        <v>187.5</v>
      </c>
      <c r="T7667" t="s">
        <v>37527</v>
      </c>
    </row>
    <row r="7668" spans="1:20">
      <c r="A7668">
        <v>4671620</v>
      </c>
      <c r="B7668" t="s">
        <v>37528</v>
      </c>
      <c r="C7668" t="str">
        <f>"9780802036384"</f>
        <v>9780802036384</v>
      </c>
      <c r="D7668" t="str">
        <f>"9781442676107"</f>
        <v>9781442676107</v>
      </c>
      <c r="E7668" t="s">
        <v>31435</v>
      </c>
      <c r="F7668" t="s">
        <v>31435</v>
      </c>
      <c r="G7668" s="1">
        <v>37257</v>
      </c>
      <c r="I7668" t="s">
        <v>33775</v>
      </c>
      <c r="J7668" t="s">
        <v>37529</v>
      </c>
      <c r="K7668" t="s">
        <v>1464</v>
      </c>
      <c r="L7668" t="s">
        <v>37530</v>
      </c>
      <c r="M7668" t="s">
        <v>37531</v>
      </c>
      <c r="O7668" t="s">
        <v>26</v>
      </c>
      <c r="Q7668">
        <v>100</v>
      </c>
      <c r="R7668">
        <v>80</v>
      </c>
      <c r="S7668">
        <v>120</v>
      </c>
      <c r="T7668" t="s">
        <v>37532</v>
      </c>
    </row>
    <row r="7669" spans="1:20">
      <c r="A7669">
        <v>4671623</v>
      </c>
      <c r="B7669" t="s">
        <v>37533</v>
      </c>
      <c r="C7669" t="str">
        <f>"9780802024251"</f>
        <v>9780802024251</v>
      </c>
      <c r="D7669" t="str">
        <f>"9781442676138"</f>
        <v>9781442676138</v>
      </c>
      <c r="E7669" t="s">
        <v>31435</v>
      </c>
      <c r="F7669" t="s">
        <v>31435</v>
      </c>
      <c r="G7669" s="1">
        <v>31048</v>
      </c>
      <c r="I7669" t="s">
        <v>37025</v>
      </c>
      <c r="J7669" t="s">
        <v>12528</v>
      </c>
      <c r="K7669" t="s">
        <v>1471</v>
      </c>
      <c r="L7669" t="s">
        <v>37534</v>
      </c>
      <c r="M7669">
        <v>704.94600000000003</v>
      </c>
      <c r="O7669" t="s">
        <v>26</v>
      </c>
      <c r="Q7669">
        <v>322.5</v>
      </c>
      <c r="R7669">
        <v>258</v>
      </c>
      <c r="S7669">
        <v>387</v>
      </c>
      <c r="T7669" t="s">
        <v>37535</v>
      </c>
    </row>
    <row r="7670" spans="1:20">
      <c r="A7670">
        <v>4671624</v>
      </c>
      <c r="B7670" t="s">
        <v>37536</v>
      </c>
      <c r="C7670" t="str">
        <f>"9780802027696"</f>
        <v>9780802027696</v>
      </c>
      <c r="D7670" t="str">
        <f>"9781442676145"</f>
        <v>9781442676145</v>
      </c>
      <c r="E7670" t="s">
        <v>31435</v>
      </c>
      <c r="F7670" t="s">
        <v>31435</v>
      </c>
      <c r="G7670" s="1">
        <v>33359</v>
      </c>
      <c r="I7670" t="s">
        <v>35648</v>
      </c>
      <c r="J7670" t="s">
        <v>37537</v>
      </c>
      <c r="K7670" t="s">
        <v>1859</v>
      </c>
      <c r="L7670" t="s">
        <v>37538</v>
      </c>
      <c r="M7670">
        <v>100</v>
      </c>
      <c r="O7670" t="s">
        <v>26</v>
      </c>
      <c r="Q7670">
        <v>250</v>
      </c>
      <c r="R7670">
        <v>200</v>
      </c>
      <c r="S7670">
        <v>300</v>
      </c>
      <c r="T7670" t="s">
        <v>37539</v>
      </c>
    </row>
    <row r="7671" spans="1:20">
      <c r="A7671">
        <v>4671626</v>
      </c>
      <c r="B7671" t="s">
        <v>37540</v>
      </c>
      <c r="C7671" t="str">
        <f>"9780802092458"</f>
        <v>9780802092458</v>
      </c>
      <c r="D7671" t="str">
        <f>"9781442676169"</f>
        <v>9781442676169</v>
      </c>
      <c r="E7671" t="s">
        <v>31435</v>
      </c>
      <c r="F7671" t="s">
        <v>31435</v>
      </c>
      <c r="G7671" s="1">
        <v>38718</v>
      </c>
      <c r="J7671" t="s">
        <v>37541</v>
      </c>
      <c r="K7671" t="s">
        <v>525</v>
      </c>
      <c r="L7671" t="s">
        <v>37542</v>
      </c>
      <c r="M7671" t="s">
        <v>37543</v>
      </c>
      <c r="O7671" t="s">
        <v>26</v>
      </c>
      <c r="Q7671">
        <v>117.5</v>
      </c>
      <c r="R7671">
        <v>94</v>
      </c>
      <c r="S7671">
        <v>141</v>
      </c>
      <c r="T7671" t="s">
        <v>37544</v>
      </c>
    </row>
    <row r="7672" spans="1:20">
      <c r="A7672">
        <v>4671627</v>
      </c>
      <c r="B7672" t="s">
        <v>37545</v>
      </c>
      <c r="C7672" t="str">
        <f>"9780802088345"</f>
        <v>9780802088345</v>
      </c>
      <c r="D7672" t="str">
        <f>"9781442676176"</f>
        <v>9781442676176</v>
      </c>
      <c r="E7672" t="s">
        <v>31435</v>
      </c>
      <c r="F7672" t="s">
        <v>31435</v>
      </c>
      <c r="G7672" s="1">
        <v>38718</v>
      </c>
      <c r="H7672">
        <v>2</v>
      </c>
      <c r="J7672" t="s">
        <v>37546</v>
      </c>
      <c r="K7672" t="s">
        <v>568</v>
      </c>
      <c r="L7672" t="s">
        <v>37547</v>
      </c>
      <c r="M7672" t="s">
        <v>37548</v>
      </c>
      <c r="O7672" t="s">
        <v>26</v>
      </c>
      <c r="Q7672">
        <v>102.5</v>
      </c>
      <c r="R7672">
        <v>82</v>
      </c>
      <c r="S7672">
        <v>123</v>
      </c>
      <c r="T7672" t="s">
        <v>37549</v>
      </c>
    </row>
    <row r="7673" spans="1:20">
      <c r="A7673">
        <v>4671628</v>
      </c>
      <c r="B7673" t="s">
        <v>37550</v>
      </c>
      <c r="C7673" t="str">
        <f>"9780802081834"</f>
        <v>9780802081834</v>
      </c>
      <c r="D7673" t="str">
        <f>"9781442676183"</f>
        <v>9781442676183</v>
      </c>
      <c r="E7673" t="s">
        <v>31435</v>
      </c>
      <c r="F7673" t="s">
        <v>31435</v>
      </c>
      <c r="G7673" s="1">
        <v>36232</v>
      </c>
      <c r="J7673" t="s">
        <v>37551</v>
      </c>
      <c r="K7673" t="s">
        <v>10956</v>
      </c>
      <c r="L7673" t="s">
        <v>37552</v>
      </c>
      <c r="M7673" t="s">
        <v>37553</v>
      </c>
      <c r="N7673" t="s">
        <v>37554</v>
      </c>
      <c r="O7673" t="s">
        <v>26</v>
      </c>
      <c r="Q7673">
        <v>78.75</v>
      </c>
      <c r="R7673">
        <v>63</v>
      </c>
      <c r="S7673">
        <v>94.5</v>
      </c>
      <c r="T7673" t="s">
        <v>37555</v>
      </c>
    </row>
    <row r="7674" spans="1:20">
      <c r="A7674">
        <v>4671629</v>
      </c>
      <c r="B7674" t="s">
        <v>37556</v>
      </c>
      <c r="C7674" t="str">
        <f>"9781442615021"</f>
        <v>9781442615021</v>
      </c>
      <c r="D7674" t="str">
        <f>"9781442676190"</f>
        <v>9781442676190</v>
      </c>
      <c r="E7674" t="s">
        <v>31435</v>
      </c>
      <c r="F7674" t="s">
        <v>31435</v>
      </c>
      <c r="G7674" s="1">
        <v>36161</v>
      </c>
      <c r="I7674" t="s">
        <v>35029</v>
      </c>
      <c r="J7674" t="s">
        <v>35660</v>
      </c>
      <c r="K7674" t="s">
        <v>1859</v>
      </c>
      <c r="L7674" t="s">
        <v>37557</v>
      </c>
      <c r="M7674">
        <v>194</v>
      </c>
      <c r="O7674" t="s">
        <v>26</v>
      </c>
      <c r="Q7674">
        <v>222.5</v>
      </c>
      <c r="R7674">
        <v>178</v>
      </c>
      <c r="S7674">
        <v>267</v>
      </c>
      <c r="T7674" t="s">
        <v>37558</v>
      </c>
    </row>
    <row r="7675" spans="1:20">
      <c r="A7675">
        <v>4671630</v>
      </c>
      <c r="B7675" t="s">
        <v>37559</v>
      </c>
      <c r="C7675" t="str">
        <f>"9780802006127"</f>
        <v>9780802006127</v>
      </c>
      <c r="D7675" t="str">
        <f>"9781442676213"</f>
        <v>9781442676213</v>
      </c>
      <c r="E7675" t="s">
        <v>31435</v>
      </c>
      <c r="F7675" t="s">
        <v>31435</v>
      </c>
      <c r="G7675" s="1">
        <v>36161</v>
      </c>
      <c r="J7675" t="s">
        <v>37560</v>
      </c>
      <c r="K7675" t="s">
        <v>467</v>
      </c>
      <c r="L7675" t="s">
        <v>37561</v>
      </c>
      <c r="M7675" t="s">
        <v>37562</v>
      </c>
      <c r="O7675" t="s">
        <v>26</v>
      </c>
      <c r="Q7675">
        <v>100</v>
      </c>
      <c r="R7675">
        <v>80</v>
      </c>
      <c r="S7675">
        <v>120</v>
      </c>
      <c r="T7675" t="s">
        <v>37563</v>
      </c>
    </row>
    <row r="7676" spans="1:20">
      <c r="A7676">
        <v>4671631</v>
      </c>
      <c r="B7676" t="s">
        <v>37564</v>
      </c>
      <c r="C7676" t="str">
        <f>"9780802085740"</f>
        <v>9780802085740</v>
      </c>
      <c r="D7676" t="str">
        <f>"9781442676220"</f>
        <v>9781442676220</v>
      </c>
      <c r="E7676" t="s">
        <v>31435</v>
      </c>
      <c r="F7676" t="s">
        <v>31435</v>
      </c>
      <c r="G7676" s="1">
        <v>37818</v>
      </c>
      <c r="J7676" t="s">
        <v>37565</v>
      </c>
      <c r="K7676" t="s">
        <v>550</v>
      </c>
      <c r="L7676" t="s">
        <v>37566</v>
      </c>
      <c r="M7676">
        <v>306.3</v>
      </c>
      <c r="O7676" t="s">
        <v>26</v>
      </c>
      <c r="Q7676">
        <v>123.75</v>
      </c>
      <c r="R7676">
        <v>99</v>
      </c>
      <c r="S7676">
        <v>148.5</v>
      </c>
      <c r="T7676" t="s">
        <v>37567</v>
      </c>
    </row>
    <row r="7677" spans="1:20">
      <c r="A7677">
        <v>4671632</v>
      </c>
      <c r="B7677" t="s">
        <v>37568</v>
      </c>
      <c r="C7677" t="str">
        <f>"9780802037824"</f>
        <v>9780802037824</v>
      </c>
      <c r="D7677" t="str">
        <f>"9781442676237"</f>
        <v>9781442676237</v>
      </c>
      <c r="E7677" t="s">
        <v>31435</v>
      </c>
      <c r="F7677" t="s">
        <v>31435</v>
      </c>
      <c r="G7677" s="1">
        <v>38718</v>
      </c>
      <c r="J7677" t="s">
        <v>37569</v>
      </c>
      <c r="K7677" t="s">
        <v>257</v>
      </c>
      <c r="L7677" t="s">
        <v>37570</v>
      </c>
      <c r="M7677" t="s">
        <v>37571</v>
      </c>
      <c r="O7677" t="s">
        <v>26</v>
      </c>
      <c r="Q7677">
        <v>140</v>
      </c>
      <c r="R7677">
        <v>112</v>
      </c>
      <c r="S7677">
        <v>168</v>
      </c>
      <c r="T7677" t="s">
        <v>37572</v>
      </c>
    </row>
    <row r="7678" spans="1:20">
      <c r="A7678">
        <v>4671633</v>
      </c>
      <c r="B7678" t="s">
        <v>37573</v>
      </c>
      <c r="C7678" t="str">
        <f>"9781442612181"</f>
        <v>9781442612181</v>
      </c>
      <c r="D7678" t="str">
        <f>"9781442676244"</f>
        <v>9781442676244</v>
      </c>
      <c r="E7678" t="s">
        <v>31435</v>
      </c>
      <c r="F7678" t="s">
        <v>31435</v>
      </c>
      <c r="G7678" s="1">
        <v>38718</v>
      </c>
      <c r="H7678">
        <v>2</v>
      </c>
      <c r="J7678" t="s">
        <v>37574</v>
      </c>
      <c r="K7678" t="s">
        <v>525</v>
      </c>
      <c r="L7678" t="s">
        <v>37575</v>
      </c>
      <c r="M7678" t="s">
        <v>829</v>
      </c>
      <c r="O7678" t="s">
        <v>26</v>
      </c>
      <c r="Q7678">
        <v>117.5</v>
      </c>
      <c r="R7678">
        <v>94</v>
      </c>
      <c r="S7678">
        <v>141</v>
      </c>
      <c r="T7678" t="s">
        <v>37576</v>
      </c>
    </row>
    <row r="7679" spans="1:20">
      <c r="A7679">
        <v>4671634</v>
      </c>
      <c r="B7679" t="s">
        <v>37577</v>
      </c>
      <c r="C7679" t="str">
        <f>"9780802080264"</f>
        <v>9780802080264</v>
      </c>
      <c r="D7679" t="str">
        <f>"9781442676251"</f>
        <v>9781442676251</v>
      </c>
      <c r="E7679" t="s">
        <v>31435</v>
      </c>
      <c r="F7679" t="s">
        <v>31435</v>
      </c>
      <c r="G7679" s="1">
        <v>36161</v>
      </c>
      <c r="J7679" t="s">
        <v>37578</v>
      </c>
      <c r="K7679" t="s">
        <v>5954</v>
      </c>
      <c r="L7679" t="s">
        <v>37579</v>
      </c>
      <c r="M7679" t="s">
        <v>37580</v>
      </c>
      <c r="O7679" t="s">
        <v>26</v>
      </c>
      <c r="Q7679">
        <v>135</v>
      </c>
      <c r="R7679">
        <v>108</v>
      </c>
      <c r="S7679">
        <v>162</v>
      </c>
      <c r="T7679" t="s">
        <v>37581</v>
      </c>
    </row>
    <row r="7680" spans="1:20">
      <c r="A7680">
        <v>4671635</v>
      </c>
      <c r="B7680" t="s">
        <v>37582</v>
      </c>
      <c r="C7680" t="str">
        <f>"9780802087430"</f>
        <v>9780802087430</v>
      </c>
      <c r="D7680" t="str">
        <f>"9781442676268"</f>
        <v>9781442676268</v>
      </c>
      <c r="E7680" t="s">
        <v>31435</v>
      </c>
      <c r="F7680" t="s">
        <v>31435</v>
      </c>
      <c r="G7680" s="1">
        <v>41773</v>
      </c>
      <c r="H7680">
        <v>2</v>
      </c>
      <c r="J7680" t="s">
        <v>37583</v>
      </c>
      <c r="K7680" t="s">
        <v>1464</v>
      </c>
      <c r="L7680" t="s">
        <v>37584</v>
      </c>
      <c r="M7680">
        <v>820.90009999999995</v>
      </c>
      <c r="O7680" t="s">
        <v>26</v>
      </c>
      <c r="Q7680">
        <v>100</v>
      </c>
      <c r="R7680">
        <v>80</v>
      </c>
      <c r="S7680">
        <v>120</v>
      </c>
      <c r="T7680" t="s">
        <v>37585</v>
      </c>
    </row>
    <row r="7681" spans="1:20">
      <c r="A7681">
        <v>4671637</v>
      </c>
      <c r="B7681" t="s">
        <v>37586</v>
      </c>
      <c r="C7681" t="str">
        <f>"9780802079138"</f>
        <v>9780802079138</v>
      </c>
      <c r="D7681" t="str">
        <f>"9781442676299"</f>
        <v>9781442676299</v>
      </c>
      <c r="E7681" t="s">
        <v>31435</v>
      </c>
      <c r="F7681" t="s">
        <v>31435</v>
      </c>
      <c r="G7681" s="1">
        <v>35431</v>
      </c>
      <c r="J7681" t="s">
        <v>37587</v>
      </c>
      <c r="K7681" t="s">
        <v>291</v>
      </c>
      <c r="L7681" t="s">
        <v>37588</v>
      </c>
      <c r="M7681">
        <v>971.3</v>
      </c>
      <c r="O7681" t="s">
        <v>26</v>
      </c>
      <c r="Q7681">
        <v>100</v>
      </c>
      <c r="R7681">
        <v>80</v>
      </c>
      <c r="S7681">
        <v>120</v>
      </c>
      <c r="T7681" t="s">
        <v>37589</v>
      </c>
    </row>
    <row r="7682" spans="1:20">
      <c r="A7682">
        <v>4671638</v>
      </c>
      <c r="B7682" t="s">
        <v>37590</v>
      </c>
      <c r="C7682" t="str">
        <f>"9780802007438"</f>
        <v>9780802007438</v>
      </c>
      <c r="D7682" t="str">
        <f>"9781442676305"</f>
        <v>9781442676305</v>
      </c>
      <c r="E7682" t="s">
        <v>31435</v>
      </c>
      <c r="F7682" t="s">
        <v>31435</v>
      </c>
      <c r="G7682" s="1">
        <v>34700</v>
      </c>
      <c r="J7682" t="s">
        <v>37591</v>
      </c>
      <c r="K7682" t="s">
        <v>778</v>
      </c>
      <c r="L7682" t="s">
        <v>37592</v>
      </c>
      <c r="M7682">
        <v>342.71</v>
      </c>
      <c r="O7682" t="s">
        <v>26</v>
      </c>
      <c r="Q7682">
        <v>103.75</v>
      </c>
      <c r="R7682">
        <v>83</v>
      </c>
      <c r="S7682">
        <v>124.5</v>
      </c>
      <c r="T7682" t="s">
        <v>37593</v>
      </c>
    </row>
    <row r="7683" spans="1:20">
      <c r="A7683">
        <v>4671641</v>
      </c>
      <c r="B7683" t="s">
        <v>37594</v>
      </c>
      <c r="C7683" t="str">
        <f>"9780802085108"</f>
        <v>9780802085108</v>
      </c>
      <c r="D7683" t="str">
        <f>"9781442676329"</f>
        <v>9781442676329</v>
      </c>
      <c r="E7683" t="s">
        <v>31435</v>
      </c>
      <c r="F7683" t="s">
        <v>31435</v>
      </c>
      <c r="G7683" s="1">
        <v>37987</v>
      </c>
      <c r="H7683">
        <v>2</v>
      </c>
      <c r="I7683" t="s">
        <v>35034</v>
      </c>
      <c r="J7683" t="s">
        <v>37595</v>
      </c>
      <c r="K7683" t="s">
        <v>1530</v>
      </c>
      <c r="L7683" t="s">
        <v>37596</v>
      </c>
      <c r="M7683" t="s">
        <v>37597</v>
      </c>
      <c r="O7683" t="s">
        <v>26</v>
      </c>
      <c r="Q7683">
        <v>110</v>
      </c>
      <c r="R7683">
        <v>88</v>
      </c>
      <c r="S7683">
        <v>132</v>
      </c>
      <c r="T7683" t="s">
        <v>37598</v>
      </c>
    </row>
    <row r="7684" spans="1:20">
      <c r="A7684">
        <v>4671642</v>
      </c>
      <c r="B7684" t="s">
        <v>37599</v>
      </c>
      <c r="C7684" t="str">
        <f>"9780802037831"</f>
        <v>9780802037831</v>
      </c>
      <c r="D7684" t="str">
        <f>"9781442676336"</f>
        <v>9781442676336</v>
      </c>
      <c r="E7684" t="s">
        <v>31435</v>
      </c>
      <c r="F7684" t="s">
        <v>31435</v>
      </c>
      <c r="G7684" s="1">
        <v>38504</v>
      </c>
      <c r="I7684" t="s">
        <v>33775</v>
      </c>
      <c r="J7684" t="s">
        <v>37600</v>
      </c>
      <c r="K7684" t="s">
        <v>1464</v>
      </c>
      <c r="L7684" t="s">
        <v>37601</v>
      </c>
      <c r="M7684" t="s">
        <v>37602</v>
      </c>
      <c r="O7684" t="s">
        <v>26</v>
      </c>
      <c r="Q7684">
        <v>110</v>
      </c>
      <c r="R7684">
        <v>88</v>
      </c>
      <c r="S7684">
        <v>132</v>
      </c>
      <c r="T7684" t="s">
        <v>37603</v>
      </c>
    </row>
    <row r="7685" spans="1:20">
      <c r="A7685">
        <v>4671643</v>
      </c>
      <c r="B7685" t="s">
        <v>37604</v>
      </c>
      <c r="C7685" t="str">
        <f>"9780802087638"</f>
        <v>9780802087638</v>
      </c>
      <c r="D7685" t="str">
        <f>"9781442676343"</f>
        <v>9781442676343</v>
      </c>
      <c r="E7685" t="s">
        <v>31435</v>
      </c>
      <c r="F7685" t="s">
        <v>31435</v>
      </c>
      <c r="G7685" s="1">
        <v>41773</v>
      </c>
      <c r="H7685">
        <v>2</v>
      </c>
      <c r="I7685" t="s">
        <v>33775</v>
      </c>
      <c r="J7685" t="s">
        <v>37605</v>
      </c>
      <c r="K7685" t="s">
        <v>1464</v>
      </c>
      <c r="L7685" t="s">
        <v>37606</v>
      </c>
      <c r="M7685">
        <v>853.91399999999999</v>
      </c>
      <c r="O7685" t="s">
        <v>26</v>
      </c>
      <c r="Q7685">
        <v>100</v>
      </c>
      <c r="R7685">
        <v>80</v>
      </c>
      <c r="S7685">
        <v>120</v>
      </c>
      <c r="T7685" t="s">
        <v>37607</v>
      </c>
    </row>
    <row r="7686" spans="1:20">
      <c r="A7686">
        <v>4671644</v>
      </c>
      <c r="B7686" t="s">
        <v>37608</v>
      </c>
      <c r="C7686" t="str">
        <f>"9780802007131"</f>
        <v>9780802007131</v>
      </c>
      <c r="D7686" t="str">
        <f>"9781442676350"</f>
        <v>9781442676350</v>
      </c>
      <c r="E7686" t="s">
        <v>31435</v>
      </c>
      <c r="F7686" t="s">
        <v>31435</v>
      </c>
      <c r="G7686" s="1">
        <v>36130</v>
      </c>
      <c r="J7686" t="s">
        <v>37609</v>
      </c>
      <c r="K7686" t="s">
        <v>291</v>
      </c>
      <c r="L7686" t="s">
        <v>37610</v>
      </c>
      <c r="M7686">
        <v>954.03</v>
      </c>
      <c r="O7686" t="s">
        <v>26</v>
      </c>
      <c r="Q7686">
        <v>115</v>
      </c>
      <c r="R7686">
        <v>92</v>
      </c>
      <c r="S7686">
        <v>138</v>
      </c>
      <c r="T7686" t="s">
        <v>37611</v>
      </c>
    </row>
    <row r="7687" spans="1:20">
      <c r="A7687">
        <v>4671645</v>
      </c>
      <c r="B7687" t="s">
        <v>37612</v>
      </c>
      <c r="C7687" t="str">
        <f>"9780802009685"</f>
        <v>9780802009685</v>
      </c>
      <c r="D7687" t="str">
        <f>"9781442676374"</f>
        <v>9781442676374</v>
      </c>
      <c r="E7687" t="s">
        <v>31435</v>
      </c>
      <c r="F7687" t="s">
        <v>31435</v>
      </c>
      <c r="G7687" s="1">
        <v>35602</v>
      </c>
      <c r="J7687" t="s">
        <v>37613</v>
      </c>
      <c r="K7687" t="s">
        <v>1464</v>
      </c>
      <c r="L7687" t="s">
        <v>37614</v>
      </c>
      <c r="M7687" t="s">
        <v>14359</v>
      </c>
      <c r="O7687" t="s">
        <v>26</v>
      </c>
      <c r="Q7687">
        <v>100</v>
      </c>
      <c r="R7687">
        <v>80</v>
      </c>
      <c r="S7687">
        <v>120</v>
      </c>
      <c r="T7687" t="s">
        <v>37615</v>
      </c>
    </row>
    <row r="7688" spans="1:20">
      <c r="A7688">
        <v>4671646</v>
      </c>
      <c r="B7688" t="s">
        <v>37616</v>
      </c>
      <c r="C7688" t="str">
        <f>"9780802074140"</f>
        <v>9780802074140</v>
      </c>
      <c r="D7688" t="str">
        <f>"9781442676381"</f>
        <v>9781442676381</v>
      </c>
      <c r="E7688" t="s">
        <v>31435</v>
      </c>
      <c r="F7688" t="s">
        <v>31435</v>
      </c>
      <c r="G7688" s="1">
        <v>33970</v>
      </c>
      <c r="H7688">
        <v>2</v>
      </c>
      <c r="J7688" t="s">
        <v>37617</v>
      </c>
      <c r="K7688" t="s">
        <v>2260</v>
      </c>
      <c r="L7688" t="s">
        <v>37618</v>
      </c>
      <c r="M7688" t="s">
        <v>37619</v>
      </c>
      <c r="O7688" t="s">
        <v>26</v>
      </c>
      <c r="Q7688">
        <v>59.94</v>
      </c>
      <c r="R7688">
        <v>47.95</v>
      </c>
      <c r="S7688">
        <v>71.930000000000007</v>
      </c>
      <c r="T7688" t="s">
        <v>37620</v>
      </c>
    </row>
    <row r="7689" spans="1:20">
      <c r="A7689">
        <v>4671647</v>
      </c>
      <c r="B7689" t="s">
        <v>37621</v>
      </c>
      <c r="C7689" t="str">
        <f>"9780802087188"</f>
        <v>9780802087188</v>
      </c>
      <c r="D7689" t="str">
        <f>"9781442676398"</f>
        <v>9781442676398</v>
      </c>
      <c r="E7689" t="s">
        <v>31435</v>
      </c>
      <c r="F7689" t="s">
        <v>31435</v>
      </c>
      <c r="G7689" s="1">
        <v>38353</v>
      </c>
      <c r="H7689">
        <v>2</v>
      </c>
      <c r="I7689" t="s">
        <v>35264</v>
      </c>
      <c r="J7689" t="s">
        <v>37622</v>
      </c>
      <c r="K7689" t="s">
        <v>1892</v>
      </c>
      <c r="L7689" t="s">
        <v>37623</v>
      </c>
      <c r="M7689" t="s">
        <v>37624</v>
      </c>
      <c r="O7689" t="s">
        <v>26</v>
      </c>
      <c r="Q7689">
        <v>155</v>
      </c>
      <c r="R7689">
        <v>124</v>
      </c>
      <c r="S7689">
        <v>186</v>
      </c>
      <c r="T7689" t="s">
        <v>37625</v>
      </c>
    </row>
    <row r="7690" spans="1:20">
      <c r="A7690">
        <v>4671648</v>
      </c>
      <c r="B7690" t="s">
        <v>37626</v>
      </c>
      <c r="C7690" t="str">
        <f>"9780802027214"</f>
        <v>9780802027214</v>
      </c>
      <c r="D7690" t="str">
        <f>"9781442676411"</f>
        <v>9781442676411</v>
      </c>
      <c r="E7690" t="s">
        <v>31435</v>
      </c>
      <c r="F7690" t="s">
        <v>31435</v>
      </c>
      <c r="G7690" s="1">
        <v>32874</v>
      </c>
      <c r="J7690" t="s">
        <v>37627</v>
      </c>
      <c r="K7690" t="s">
        <v>291</v>
      </c>
      <c r="L7690" t="s">
        <v>37628</v>
      </c>
      <c r="M7690" t="s">
        <v>37629</v>
      </c>
      <c r="O7690" t="s">
        <v>26</v>
      </c>
      <c r="Q7690">
        <v>59.94</v>
      </c>
      <c r="R7690">
        <v>47.95</v>
      </c>
      <c r="S7690">
        <v>71.930000000000007</v>
      </c>
      <c r="T7690" t="s">
        <v>37630</v>
      </c>
    </row>
    <row r="7691" spans="1:20">
      <c r="A7691">
        <v>4671649</v>
      </c>
      <c r="B7691" t="s">
        <v>37631</v>
      </c>
      <c r="C7691" t="str">
        <f>"9780802071644"</f>
        <v>9780802071644</v>
      </c>
      <c r="D7691" t="str">
        <f>"9781442676428"</f>
        <v>9781442676428</v>
      </c>
      <c r="E7691" t="s">
        <v>31435</v>
      </c>
      <c r="F7691" t="s">
        <v>31435</v>
      </c>
      <c r="G7691" s="1">
        <v>35889</v>
      </c>
      <c r="H7691">
        <v>2</v>
      </c>
      <c r="I7691" t="s">
        <v>35838</v>
      </c>
      <c r="J7691" t="s">
        <v>37632</v>
      </c>
      <c r="K7691" t="s">
        <v>291</v>
      </c>
      <c r="L7691" t="s">
        <v>37633</v>
      </c>
      <c r="M7691" t="s">
        <v>37634</v>
      </c>
      <c r="O7691" t="s">
        <v>26</v>
      </c>
      <c r="Q7691">
        <v>91.25</v>
      </c>
      <c r="R7691">
        <v>73</v>
      </c>
      <c r="S7691">
        <v>109.5</v>
      </c>
      <c r="T7691" t="s">
        <v>37635</v>
      </c>
    </row>
    <row r="7692" spans="1:20">
      <c r="A7692">
        <v>4671650</v>
      </c>
      <c r="B7692" t="s">
        <v>37636</v>
      </c>
      <c r="C7692" t="str">
        <f>"9780802087768"</f>
        <v>9780802087768</v>
      </c>
      <c r="D7692" t="str">
        <f>"9781442676435"</f>
        <v>9781442676435</v>
      </c>
      <c r="E7692" t="s">
        <v>31435</v>
      </c>
      <c r="F7692" t="s">
        <v>31435</v>
      </c>
      <c r="G7692" s="1">
        <v>37622</v>
      </c>
      <c r="H7692">
        <v>2</v>
      </c>
      <c r="J7692" t="s">
        <v>37637</v>
      </c>
      <c r="K7692" t="s">
        <v>291</v>
      </c>
      <c r="L7692" t="s">
        <v>37638</v>
      </c>
      <c r="M7692" t="s">
        <v>37639</v>
      </c>
      <c r="O7692" t="s">
        <v>26</v>
      </c>
      <c r="Q7692">
        <v>135</v>
      </c>
      <c r="R7692">
        <v>108</v>
      </c>
      <c r="S7692">
        <v>162</v>
      </c>
      <c r="T7692" t="s">
        <v>37640</v>
      </c>
    </row>
    <row r="7693" spans="1:20">
      <c r="A7693">
        <v>4671651</v>
      </c>
      <c r="B7693" t="s">
        <v>37641</v>
      </c>
      <c r="C7693" t="str">
        <f>"9781442612983"</f>
        <v>9781442612983</v>
      </c>
      <c r="D7693" t="str">
        <f>"9781442676442"</f>
        <v>9781442676442</v>
      </c>
      <c r="E7693" t="s">
        <v>31435</v>
      </c>
      <c r="F7693" t="s">
        <v>31435</v>
      </c>
      <c r="G7693" s="1">
        <v>37622</v>
      </c>
      <c r="I7693" t="s">
        <v>31443</v>
      </c>
      <c r="J7693" t="s">
        <v>37642</v>
      </c>
      <c r="K7693" t="s">
        <v>1464</v>
      </c>
      <c r="L7693" t="s">
        <v>37643</v>
      </c>
      <c r="M7693" t="s">
        <v>14359</v>
      </c>
      <c r="O7693" t="s">
        <v>26</v>
      </c>
      <c r="Q7693">
        <v>100</v>
      </c>
      <c r="R7693">
        <v>80</v>
      </c>
      <c r="S7693">
        <v>120</v>
      </c>
      <c r="T7693" t="s">
        <v>37644</v>
      </c>
    </row>
    <row r="7694" spans="1:20">
      <c r="A7694">
        <v>4671652</v>
      </c>
      <c r="B7694" t="s">
        <v>37645</v>
      </c>
      <c r="C7694" t="str">
        <f>"9780802080028"</f>
        <v>9780802080028</v>
      </c>
      <c r="D7694" t="str">
        <f>"9781442676459"</f>
        <v>9781442676459</v>
      </c>
      <c r="E7694" t="s">
        <v>31435</v>
      </c>
      <c r="F7694" t="s">
        <v>31435</v>
      </c>
      <c r="G7694" s="1">
        <v>38836</v>
      </c>
      <c r="H7694">
        <v>74</v>
      </c>
      <c r="J7694" t="s">
        <v>37646</v>
      </c>
      <c r="K7694" t="s">
        <v>525</v>
      </c>
      <c r="L7694" t="s">
        <v>37647</v>
      </c>
      <c r="M7694" t="s">
        <v>37648</v>
      </c>
      <c r="O7694" t="s">
        <v>26</v>
      </c>
      <c r="Q7694">
        <v>117.5</v>
      </c>
      <c r="R7694">
        <v>94</v>
      </c>
      <c r="S7694">
        <v>141</v>
      </c>
      <c r="T7694" t="s">
        <v>37649</v>
      </c>
    </row>
    <row r="7695" spans="1:20">
      <c r="A7695">
        <v>4671653</v>
      </c>
      <c r="B7695" t="s">
        <v>37650</v>
      </c>
      <c r="C7695" t="str">
        <f>"9780802074805"</f>
        <v>9780802074805</v>
      </c>
      <c r="D7695" t="str">
        <f>"9781442676466"</f>
        <v>9781442676466</v>
      </c>
      <c r="E7695" t="s">
        <v>31435</v>
      </c>
      <c r="F7695" t="s">
        <v>31435</v>
      </c>
      <c r="G7695" s="1">
        <v>35431</v>
      </c>
      <c r="H7695">
        <v>2</v>
      </c>
      <c r="J7695" t="s">
        <v>37651</v>
      </c>
      <c r="K7695" t="s">
        <v>525</v>
      </c>
      <c r="L7695" t="s">
        <v>37652</v>
      </c>
      <c r="M7695">
        <v>342.71084999999903</v>
      </c>
      <c r="O7695" t="s">
        <v>26</v>
      </c>
      <c r="Q7695">
        <v>102.5</v>
      </c>
      <c r="R7695">
        <v>82</v>
      </c>
      <c r="S7695">
        <v>123</v>
      </c>
      <c r="T7695" t="s">
        <v>37653</v>
      </c>
    </row>
    <row r="7696" spans="1:20">
      <c r="A7696">
        <v>4671654</v>
      </c>
      <c r="B7696" t="s">
        <v>37654</v>
      </c>
      <c r="C7696" t="str">
        <f>"9780802087669"</f>
        <v>9780802087669</v>
      </c>
      <c r="D7696" t="str">
        <f>"9781442676473"</f>
        <v>9781442676473</v>
      </c>
      <c r="E7696" t="s">
        <v>31435</v>
      </c>
      <c r="F7696" t="s">
        <v>31435</v>
      </c>
      <c r="G7696" s="1">
        <v>41773</v>
      </c>
      <c r="H7696">
        <v>2</v>
      </c>
      <c r="I7696" t="s">
        <v>33899</v>
      </c>
      <c r="J7696" t="s">
        <v>37655</v>
      </c>
      <c r="K7696" t="s">
        <v>3860</v>
      </c>
      <c r="L7696" t="s">
        <v>37656</v>
      </c>
      <c r="M7696">
        <v>938.070922</v>
      </c>
      <c r="O7696" t="s">
        <v>26</v>
      </c>
      <c r="Q7696">
        <v>178.75</v>
      </c>
      <c r="R7696">
        <v>143</v>
      </c>
      <c r="S7696">
        <v>214.5</v>
      </c>
      <c r="T7696" t="s">
        <v>37657</v>
      </c>
    </row>
    <row r="7697" spans="1:20">
      <c r="A7697">
        <v>4671656</v>
      </c>
      <c r="B7697" t="s">
        <v>37658</v>
      </c>
      <c r="C7697" t="str">
        <f>"9780802082237"</f>
        <v>9780802082237</v>
      </c>
      <c r="D7697" t="str">
        <f>"9781442676497"</f>
        <v>9781442676497</v>
      </c>
      <c r="E7697" t="s">
        <v>31435</v>
      </c>
      <c r="F7697" t="s">
        <v>31435</v>
      </c>
      <c r="G7697" s="1">
        <v>36161</v>
      </c>
      <c r="J7697" t="s">
        <v>37659</v>
      </c>
      <c r="K7697" t="s">
        <v>291</v>
      </c>
      <c r="L7697" t="s">
        <v>37660</v>
      </c>
      <c r="M7697">
        <v>971.16200497900002</v>
      </c>
      <c r="O7697" t="s">
        <v>26</v>
      </c>
      <c r="Q7697">
        <v>91.25</v>
      </c>
      <c r="R7697">
        <v>73</v>
      </c>
      <c r="S7697">
        <v>109.5</v>
      </c>
      <c r="T7697" t="s">
        <v>37661</v>
      </c>
    </row>
    <row r="7698" spans="1:20">
      <c r="A7698">
        <v>4671657</v>
      </c>
      <c r="B7698" t="s">
        <v>37662</v>
      </c>
      <c r="C7698" t="str">
        <f>"9780802078322"</f>
        <v>9780802078322</v>
      </c>
      <c r="D7698" t="str">
        <f>"9781442676503"</f>
        <v>9781442676503</v>
      </c>
      <c r="E7698" t="s">
        <v>31435</v>
      </c>
      <c r="F7698" t="s">
        <v>31435</v>
      </c>
      <c r="G7698" s="1">
        <v>36892</v>
      </c>
      <c r="H7698">
        <v>2</v>
      </c>
      <c r="K7698" t="s">
        <v>305</v>
      </c>
      <c r="L7698" t="s">
        <v>37663</v>
      </c>
      <c r="M7698" t="s">
        <v>37664</v>
      </c>
      <c r="O7698" t="s">
        <v>26</v>
      </c>
      <c r="Q7698">
        <v>135</v>
      </c>
      <c r="R7698">
        <v>108</v>
      </c>
      <c r="S7698">
        <v>162</v>
      </c>
      <c r="T7698" t="s">
        <v>37665</v>
      </c>
    </row>
    <row r="7699" spans="1:20">
      <c r="A7699">
        <v>4671658</v>
      </c>
      <c r="B7699" t="s">
        <v>37666</v>
      </c>
      <c r="C7699" t="str">
        <f>"9780802004468"</f>
        <v>9780802004468</v>
      </c>
      <c r="D7699" t="str">
        <f>"9781442676510"</f>
        <v>9781442676510</v>
      </c>
      <c r="E7699" t="s">
        <v>31435</v>
      </c>
      <c r="F7699" t="s">
        <v>31435</v>
      </c>
      <c r="G7699" s="1">
        <v>34335</v>
      </c>
      <c r="J7699" t="s">
        <v>37667</v>
      </c>
      <c r="K7699" t="s">
        <v>1464</v>
      </c>
      <c r="L7699" t="s">
        <v>37668</v>
      </c>
      <c r="M7699" t="s">
        <v>7511</v>
      </c>
      <c r="O7699" t="s">
        <v>26</v>
      </c>
      <c r="Q7699">
        <v>117.5</v>
      </c>
      <c r="R7699">
        <v>94</v>
      </c>
      <c r="S7699">
        <v>141</v>
      </c>
      <c r="T7699" t="s">
        <v>37669</v>
      </c>
    </row>
    <row r="7700" spans="1:20">
      <c r="A7700">
        <v>4671659</v>
      </c>
      <c r="B7700" t="s">
        <v>37670</v>
      </c>
      <c r="C7700" t="str">
        <f>"9780802078865"</f>
        <v>9780802078865</v>
      </c>
      <c r="D7700" t="str">
        <f>"9781442676527"</f>
        <v>9781442676527</v>
      </c>
      <c r="E7700" t="s">
        <v>31435</v>
      </c>
      <c r="F7700" t="s">
        <v>31435</v>
      </c>
      <c r="G7700" s="1">
        <v>37257</v>
      </c>
      <c r="I7700" t="s">
        <v>36249</v>
      </c>
      <c r="J7700" t="s">
        <v>37671</v>
      </c>
      <c r="K7700" t="s">
        <v>416</v>
      </c>
      <c r="L7700" t="s">
        <v>37672</v>
      </c>
      <c r="M7700" t="s">
        <v>37673</v>
      </c>
      <c r="O7700" t="s">
        <v>26</v>
      </c>
      <c r="Q7700">
        <v>123.75</v>
      </c>
      <c r="R7700">
        <v>99</v>
      </c>
      <c r="S7700">
        <v>148.5</v>
      </c>
      <c r="T7700" t="s">
        <v>37674</v>
      </c>
    </row>
    <row r="7701" spans="1:20">
      <c r="A7701">
        <v>4671660</v>
      </c>
      <c r="B7701" t="s">
        <v>37675</v>
      </c>
      <c r="C7701" t="str">
        <f>"9780802077837"</f>
        <v>9780802077837</v>
      </c>
      <c r="D7701" t="str">
        <f>"9781442676534"</f>
        <v>9781442676534</v>
      </c>
      <c r="E7701" t="s">
        <v>31435</v>
      </c>
      <c r="F7701" t="s">
        <v>31435</v>
      </c>
      <c r="G7701" s="1">
        <v>33970</v>
      </c>
      <c r="H7701">
        <v>2</v>
      </c>
      <c r="I7701" t="s">
        <v>31450</v>
      </c>
      <c r="J7701" t="s">
        <v>37676</v>
      </c>
      <c r="K7701" t="s">
        <v>11294</v>
      </c>
      <c r="L7701" t="s">
        <v>37677</v>
      </c>
      <c r="M7701" t="s">
        <v>37678</v>
      </c>
      <c r="O7701" t="s">
        <v>26</v>
      </c>
      <c r="Q7701">
        <v>59.94</v>
      </c>
      <c r="R7701">
        <v>47.95</v>
      </c>
      <c r="S7701">
        <v>71.930000000000007</v>
      </c>
      <c r="T7701" t="s">
        <v>37679</v>
      </c>
    </row>
    <row r="7702" spans="1:20">
      <c r="A7702">
        <v>4671662</v>
      </c>
      <c r="B7702" t="s">
        <v>37680</v>
      </c>
      <c r="C7702" t="str">
        <f>"9780802074034"</f>
        <v>9780802074034</v>
      </c>
      <c r="D7702" t="str">
        <f>"9781442676558"</f>
        <v>9781442676558</v>
      </c>
      <c r="E7702" t="s">
        <v>31435</v>
      </c>
      <c r="F7702" t="s">
        <v>31435</v>
      </c>
      <c r="G7702" s="1">
        <v>34335</v>
      </c>
      <c r="H7702">
        <v>2</v>
      </c>
      <c r="J7702" t="s">
        <v>37681</v>
      </c>
      <c r="K7702" t="s">
        <v>278</v>
      </c>
      <c r="L7702" t="s">
        <v>37682</v>
      </c>
      <c r="M7702" t="s">
        <v>37683</v>
      </c>
      <c r="O7702" t="s">
        <v>26</v>
      </c>
      <c r="Q7702">
        <v>59.94</v>
      </c>
      <c r="R7702">
        <v>47.95</v>
      </c>
      <c r="S7702">
        <v>71.930000000000007</v>
      </c>
      <c r="T7702" t="s">
        <v>37684</v>
      </c>
    </row>
    <row r="7703" spans="1:20">
      <c r="A7703">
        <v>4671663</v>
      </c>
      <c r="B7703" t="s">
        <v>37685</v>
      </c>
      <c r="C7703" t="str">
        <f>"9780802079626"</f>
        <v>9780802079626</v>
      </c>
      <c r="D7703" t="str">
        <f>"9781442676565"</f>
        <v>9781442676565</v>
      </c>
      <c r="E7703" t="s">
        <v>31435</v>
      </c>
      <c r="F7703" t="s">
        <v>31435</v>
      </c>
      <c r="G7703" s="1">
        <v>35521</v>
      </c>
      <c r="J7703" t="s">
        <v>37686</v>
      </c>
      <c r="K7703" t="s">
        <v>1464</v>
      </c>
      <c r="L7703" t="s">
        <v>37687</v>
      </c>
      <c r="M7703" t="s">
        <v>4026</v>
      </c>
      <c r="N7703" t="s">
        <v>37688</v>
      </c>
      <c r="O7703" t="s">
        <v>26</v>
      </c>
      <c r="Q7703">
        <v>59.94</v>
      </c>
      <c r="R7703">
        <v>47.95</v>
      </c>
      <c r="S7703">
        <v>71.930000000000007</v>
      </c>
      <c r="T7703" t="s">
        <v>37689</v>
      </c>
    </row>
    <row r="7704" spans="1:20">
      <c r="A7704">
        <v>4671664</v>
      </c>
      <c r="B7704" t="s">
        <v>37690</v>
      </c>
      <c r="C7704" t="str">
        <f>"9780802089199"</f>
        <v>9780802089199</v>
      </c>
      <c r="D7704" t="str">
        <f>"9781442676589"</f>
        <v>9781442676589</v>
      </c>
      <c r="E7704" t="s">
        <v>31435</v>
      </c>
      <c r="F7704" t="s">
        <v>31435</v>
      </c>
      <c r="G7704" s="1">
        <v>41773</v>
      </c>
      <c r="I7704" t="s">
        <v>35203</v>
      </c>
      <c r="J7704" t="s">
        <v>37691</v>
      </c>
      <c r="K7704" t="s">
        <v>1464</v>
      </c>
      <c r="L7704" t="s">
        <v>37692</v>
      </c>
      <c r="M7704">
        <v>829.09</v>
      </c>
      <c r="O7704" t="s">
        <v>26</v>
      </c>
      <c r="Q7704">
        <v>273.75</v>
      </c>
      <c r="R7704">
        <v>219</v>
      </c>
      <c r="S7704">
        <v>328.5</v>
      </c>
      <c r="T7704" t="s">
        <v>37693</v>
      </c>
    </row>
    <row r="7705" spans="1:20">
      <c r="A7705">
        <v>4671665</v>
      </c>
      <c r="B7705" t="s">
        <v>37694</v>
      </c>
      <c r="C7705" t="str">
        <f>"9780802086433"</f>
        <v>9780802086433</v>
      </c>
      <c r="D7705" t="str">
        <f>"9781442676596"</f>
        <v>9781442676596</v>
      </c>
      <c r="E7705" t="s">
        <v>31435</v>
      </c>
      <c r="F7705" t="s">
        <v>31435</v>
      </c>
      <c r="G7705" s="1">
        <v>41773</v>
      </c>
      <c r="H7705">
        <v>2</v>
      </c>
      <c r="J7705" t="s">
        <v>37695</v>
      </c>
      <c r="K7705" t="s">
        <v>525</v>
      </c>
      <c r="L7705" t="s">
        <v>37696</v>
      </c>
      <c r="M7705">
        <v>344.7304196</v>
      </c>
      <c r="O7705" t="s">
        <v>26</v>
      </c>
      <c r="Q7705">
        <v>117.5</v>
      </c>
      <c r="R7705">
        <v>94</v>
      </c>
      <c r="S7705">
        <v>141</v>
      </c>
      <c r="T7705" t="s">
        <v>37697</v>
      </c>
    </row>
    <row r="7706" spans="1:20">
      <c r="A7706">
        <v>4671666</v>
      </c>
      <c r="B7706" t="s">
        <v>37698</v>
      </c>
      <c r="C7706" t="str">
        <f>"9780802081193"</f>
        <v>9780802081193</v>
      </c>
      <c r="D7706" t="str">
        <f>"9781442676602"</f>
        <v>9781442676602</v>
      </c>
      <c r="E7706" t="s">
        <v>31435</v>
      </c>
      <c r="F7706" t="s">
        <v>31435</v>
      </c>
      <c r="G7706" s="1">
        <v>37583</v>
      </c>
      <c r="J7706" t="s">
        <v>37699</v>
      </c>
      <c r="K7706" t="s">
        <v>7063</v>
      </c>
      <c r="L7706" t="s">
        <v>37700</v>
      </c>
      <c r="M7706">
        <v>971</v>
      </c>
      <c r="N7706" t="s">
        <v>37701</v>
      </c>
      <c r="O7706" t="s">
        <v>26</v>
      </c>
      <c r="Q7706">
        <v>123.75</v>
      </c>
      <c r="R7706">
        <v>99</v>
      </c>
      <c r="S7706">
        <v>148.5</v>
      </c>
      <c r="T7706" t="s">
        <v>37702</v>
      </c>
    </row>
    <row r="7707" spans="1:20">
      <c r="A7707">
        <v>4671667</v>
      </c>
      <c r="B7707" t="s">
        <v>37703</v>
      </c>
      <c r="C7707" t="str">
        <f>"9780802035943"</f>
        <v>9780802035943</v>
      </c>
      <c r="D7707" t="str">
        <f>"9781442676619"</f>
        <v>9781442676619</v>
      </c>
      <c r="E7707" t="s">
        <v>31435</v>
      </c>
      <c r="F7707" t="s">
        <v>31435</v>
      </c>
      <c r="G7707" s="1">
        <v>37499</v>
      </c>
      <c r="J7707" t="s">
        <v>37704</v>
      </c>
      <c r="K7707" t="s">
        <v>1464</v>
      </c>
      <c r="L7707" t="s">
        <v>37705</v>
      </c>
      <c r="M7707" t="s">
        <v>34064</v>
      </c>
      <c r="O7707" t="s">
        <v>26</v>
      </c>
      <c r="Q7707">
        <v>59.94</v>
      </c>
      <c r="R7707">
        <v>47.95</v>
      </c>
      <c r="S7707">
        <v>71.930000000000007</v>
      </c>
      <c r="T7707" t="s">
        <v>37706</v>
      </c>
    </row>
    <row r="7708" spans="1:20">
      <c r="A7708">
        <v>4671668</v>
      </c>
      <c r="B7708" t="s">
        <v>37707</v>
      </c>
      <c r="C7708" t="str">
        <f>"9780802068361"</f>
        <v>9780802068361</v>
      </c>
      <c r="D7708" t="str">
        <f>"9781442676626"</f>
        <v>9781442676626</v>
      </c>
      <c r="E7708" t="s">
        <v>31435</v>
      </c>
      <c r="F7708" t="s">
        <v>31435</v>
      </c>
      <c r="G7708" s="1">
        <v>33604</v>
      </c>
      <c r="J7708" t="s">
        <v>37708</v>
      </c>
      <c r="K7708" t="s">
        <v>263</v>
      </c>
      <c r="L7708" t="s">
        <v>37709</v>
      </c>
      <c r="M7708">
        <v>362.73309710000001</v>
      </c>
      <c r="N7708" t="s">
        <v>37710</v>
      </c>
      <c r="O7708" t="s">
        <v>26</v>
      </c>
      <c r="Q7708">
        <v>59.94</v>
      </c>
      <c r="R7708">
        <v>47.95</v>
      </c>
      <c r="S7708">
        <v>71.930000000000007</v>
      </c>
      <c r="T7708" t="s">
        <v>37711</v>
      </c>
    </row>
    <row r="7709" spans="1:20">
      <c r="A7709">
        <v>4671669</v>
      </c>
      <c r="B7709" t="s">
        <v>37712</v>
      </c>
      <c r="C7709" t="str">
        <f>"9780802081971"</f>
        <v>9780802081971</v>
      </c>
      <c r="D7709" t="str">
        <f>"9781442676633"</f>
        <v>9781442676633</v>
      </c>
      <c r="E7709" t="s">
        <v>31435</v>
      </c>
      <c r="F7709" t="s">
        <v>31435</v>
      </c>
      <c r="G7709" s="1">
        <v>36161</v>
      </c>
      <c r="J7709" t="s">
        <v>37713</v>
      </c>
      <c r="K7709" t="s">
        <v>263</v>
      </c>
      <c r="L7709" t="s">
        <v>37714</v>
      </c>
      <c r="M7709" t="s">
        <v>37715</v>
      </c>
      <c r="O7709" t="s">
        <v>26</v>
      </c>
      <c r="Q7709">
        <v>100</v>
      </c>
      <c r="R7709">
        <v>80</v>
      </c>
      <c r="S7709">
        <v>120</v>
      </c>
      <c r="T7709" t="s">
        <v>37716</v>
      </c>
    </row>
    <row r="7710" spans="1:20">
      <c r="A7710">
        <v>4671670</v>
      </c>
      <c r="B7710" t="s">
        <v>37717</v>
      </c>
      <c r="C7710" t="str">
        <f>"9780802091482"</f>
        <v>9780802091482</v>
      </c>
      <c r="D7710" t="str">
        <f>"9781442676640"</f>
        <v>9781442676640</v>
      </c>
      <c r="E7710" t="s">
        <v>31435</v>
      </c>
      <c r="F7710" t="s">
        <v>31435</v>
      </c>
      <c r="G7710" s="1">
        <v>41773</v>
      </c>
      <c r="J7710" t="s">
        <v>37718</v>
      </c>
      <c r="K7710" t="s">
        <v>1892</v>
      </c>
      <c r="L7710" t="s">
        <v>37719</v>
      </c>
      <c r="M7710">
        <v>281.99470000000002</v>
      </c>
      <c r="O7710" t="s">
        <v>26</v>
      </c>
      <c r="Q7710">
        <v>110</v>
      </c>
      <c r="R7710">
        <v>88</v>
      </c>
      <c r="S7710">
        <v>132</v>
      </c>
      <c r="T7710" t="s">
        <v>37720</v>
      </c>
    </row>
    <row r="7711" spans="1:20">
      <c r="A7711">
        <v>4671671</v>
      </c>
      <c r="B7711" t="s">
        <v>37721</v>
      </c>
      <c r="C7711" t="str">
        <f>"9780802085931"</f>
        <v>9780802085931</v>
      </c>
      <c r="D7711" t="str">
        <f>"9781442676657"</f>
        <v>9781442676657</v>
      </c>
      <c r="E7711" t="s">
        <v>31435</v>
      </c>
      <c r="F7711" t="s">
        <v>31435</v>
      </c>
      <c r="G7711" s="1">
        <v>41773</v>
      </c>
      <c r="H7711">
        <v>2</v>
      </c>
      <c r="I7711" t="s">
        <v>34958</v>
      </c>
      <c r="J7711" t="s">
        <v>37722</v>
      </c>
      <c r="K7711" t="s">
        <v>291</v>
      </c>
      <c r="L7711" t="s">
        <v>37723</v>
      </c>
      <c r="M7711">
        <v>971.06479999999999</v>
      </c>
      <c r="O7711" t="s">
        <v>26</v>
      </c>
      <c r="Q7711">
        <v>59.94</v>
      </c>
      <c r="R7711">
        <v>47.95</v>
      </c>
      <c r="S7711">
        <v>71.930000000000007</v>
      </c>
      <c r="T7711" t="s">
        <v>37724</v>
      </c>
    </row>
    <row r="7712" spans="1:20">
      <c r="A7712">
        <v>4671672</v>
      </c>
      <c r="B7712" t="s">
        <v>37725</v>
      </c>
      <c r="C7712" t="str">
        <f>"9780802064660"</f>
        <v>9780802064660</v>
      </c>
      <c r="D7712" t="str">
        <f>"9781442676664"</f>
        <v>9781442676664</v>
      </c>
      <c r="E7712" t="s">
        <v>31435</v>
      </c>
      <c r="F7712" t="s">
        <v>31435</v>
      </c>
      <c r="G7712" s="1">
        <v>32509</v>
      </c>
      <c r="H7712">
        <v>2</v>
      </c>
      <c r="J7712" t="s">
        <v>37726</v>
      </c>
      <c r="K7712" t="s">
        <v>467</v>
      </c>
      <c r="L7712" t="s">
        <v>37727</v>
      </c>
      <c r="M7712" t="s">
        <v>37728</v>
      </c>
      <c r="O7712" t="s">
        <v>26</v>
      </c>
      <c r="Q7712">
        <v>59.94</v>
      </c>
      <c r="R7712">
        <v>47.95</v>
      </c>
      <c r="S7712">
        <v>71.930000000000007</v>
      </c>
      <c r="T7712" t="s">
        <v>37729</v>
      </c>
    </row>
    <row r="7713" spans="1:20">
      <c r="A7713">
        <v>4671673</v>
      </c>
      <c r="B7713" t="s">
        <v>37730</v>
      </c>
      <c r="C7713" t="str">
        <f>"9780802071620"</f>
        <v>9780802071620</v>
      </c>
      <c r="D7713" t="str">
        <f>"9781442676671"</f>
        <v>9781442676671</v>
      </c>
      <c r="E7713" t="s">
        <v>31435</v>
      </c>
      <c r="F7713" t="s">
        <v>31435</v>
      </c>
      <c r="G7713" s="1">
        <v>35551</v>
      </c>
      <c r="H7713">
        <v>2</v>
      </c>
      <c r="I7713" t="s">
        <v>33775</v>
      </c>
      <c r="J7713" t="s">
        <v>37731</v>
      </c>
      <c r="K7713" t="s">
        <v>4081</v>
      </c>
      <c r="L7713" t="s">
        <v>37732</v>
      </c>
      <c r="M7713" t="s">
        <v>37733</v>
      </c>
      <c r="N7713" t="s">
        <v>37734</v>
      </c>
      <c r="O7713" t="s">
        <v>26</v>
      </c>
      <c r="Q7713">
        <v>59.94</v>
      </c>
      <c r="R7713">
        <v>47.95</v>
      </c>
      <c r="S7713">
        <v>71.930000000000007</v>
      </c>
      <c r="T7713" t="s">
        <v>37735</v>
      </c>
    </row>
    <row r="7714" spans="1:20">
      <c r="A7714">
        <v>4671674</v>
      </c>
      <c r="B7714" t="s">
        <v>37736</v>
      </c>
      <c r="C7714" t="str">
        <f>"9780802058188"</f>
        <v>9780802058188</v>
      </c>
      <c r="D7714" t="str">
        <f>"9781442676688"</f>
        <v>9781442676688</v>
      </c>
      <c r="E7714" t="s">
        <v>31435</v>
      </c>
      <c r="F7714" t="s">
        <v>31435</v>
      </c>
      <c r="G7714" s="1">
        <v>32520</v>
      </c>
      <c r="I7714" t="s">
        <v>34561</v>
      </c>
      <c r="J7714" t="s">
        <v>37737</v>
      </c>
      <c r="K7714" t="s">
        <v>1859</v>
      </c>
      <c r="L7714" t="s">
        <v>37738</v>
      </c>
      <c r="M7714">
        <v>199.491999999999</v>
      </c>
      <c r="O7714" t="s">
        <v>26</v>
      </c>
      <c r="Q7714">
        <v>206.25</v>
      </c>
      <c r="R7714">
        <v>165</v>
      </c>
      <c r="S7714">
        <v>247.5</v>
      </c>
      <c r="T7714" t="s">
        <v>37739</v>
      </c>
    </row>
    <row r="7715" spans="1:20">
      <c r="A7715">
        <v>4671677</v>
      </c>
      <c r="B7715" t="s">
        <v>37740</v>
      </c>
      <c r="C7715" t="str">
        <f>"9780802035776"</f>
        <v>9780802035776</v>
      </c>
      <c r="D7715" t="str">
        <f>"9781442676725"</f>
        <v>9781442676725</v>
      </c>
      <c r="E7715" t="s">
        <v>31435</v>
      </c>
      <c r="F7715" t="s">
        <v>31435</v>
      </c>
      <c r="G7715" s="1">
        <v>37446</v>
      </c>
      <c r="I7715" t="s">
        <v>35056</v>
      </c>
      <c r="J7715" t="s">
        <v>37741</v>
      </c>
      <c r="K7715" t="s">
        <v>11854</v>
      </c>
      <c r="L7715" t="s">
        <v>37742</v>
      </c>
      <c r="M7715" t="s">
        <v>35144</v>
      </c>
      <c r="N7715" t="s">
        <v>37743</v>
      </c>
      <c r="O7715" t="s">
        <v>26</v>
      </c>
      <c r="Q7715">
        <v>123.75</v>
      </c>
      <c r="R7715">
        <v>99</v>
      </c>
      <c r="S7715">
        <v>148.5</v>
      </c>
      <c r="T7715" t="s">
        <v>37744</v>
      </c>
    </row>
    <row r="7716" spans="1:20">
      <c r="A7716">
        <v>4671678</v>
      </c>
      <c r="B7716" t="s">
        <v>37745</v>
      </c>
      <c r="C7716" t="str">
        <f>"9780802078919"</f>
        <v>9780802078919</v>
      </c>
      <c r="D7716" t="str">
        <f>"9781442676732"</f>
        <v>9781442676732</v>
      </c>
      <c r="E7716" t="s">
        <v>31435</v>
      </c>
      <c r="F7716" t="s">
        <v>31435</v>
      </c>
      <c r="G7716" s="1">
        <v>36161</v>
      </c>
      <c r="H7716">
        <v>2</v>
      </c>
      <c r="J7716" t="s">
        <v>12528</v>
      </c>
      <c r="K7716" t="s">
        <v>1464</v>
      </c>
      <c r="L7716" t="s">
        <v>37746</v>
      </c>
      <c r="M7716">
        <v>809.91499999999905</v>
      </c>
      <c r="O7716" t="s">
        <v>26</v>
      </c>
      <c r="Q7716">
        <v>123.75</v>
      </c>
      <c r="R7716">
        <v>99</v>
      </c>
      <c r="S7716">
        <v>148.5</v>
      </c>
      <c r="T7716" t="s">
        <v>37747</v>
      </c>
    </row>
    <row r="7717" spans="1:20">
      <c r="A7717">
        <v>4671679</v>
      </c>
      <c r="B7717" t="s">
        <v>37748</v>
      </c>
      <c r="C7717" t="str">
        <f>"9780802036506"</f>
        <v>9780802036506</v>
      </c>
      <c r="D7717" t="str">
        <f>"9781442676749"</f>
        <v>9781442676749</v>
      </c>
      <c r="E7717" t="s">
        <v>31435</v>
      </c>
      <c r="F7717" t="s">
        <v>31435</v>
      </c>
      <c r="G7717" s="1">
        <v>37257</v>
      </c>
      <c r="J7717" t="s">
        <v>37749</v>
      </c>
      <c r="K7717" t="s">
        <v>1892</v>
      </c>
      <c r="L7717" t="s">
        <v>37750</v>
      </c>
      <c r="M7717" t="s">
        <v>37751</v>
      </c>
      <c r="O7717" t="s">
        <v>26</v>
      </c>
      <c r="Q7717">
        <v>143.75</v>
      </c>
      <c r="R7717">
        <v>115</v>
      </c>
      <c r="S7717">
        <v>172.5</v>
      </c>
      <c r="T7717" t="s">
        <v>37752</v>
      </c>
    </row>
    <row r="7718" spans="1:20">
      <c r="A7718">
        <v>4671680</v>
      </c>
      <c r="B7718" t="s">
        <v>37753</v>
      </c>
      <c r="C7718" t="str">
        <f>"9780802058416"</f>
        <v>9780802058416</v>
      </c>
      <c r="D7718" t="str">
        <f>"9781442676756"</f>
        <v>9781442676756</v>
      </c>
      <c r="E7718" t="s">
        <v>31435</v>
      </c>
      <c r="F7718" t="s">
        <v>31435</v>
      </c>
      <c r="G7718" s="1">
        <v>33047</v>
      </c>
      <c r="I7718" t="s">
        <v>33899</v>
      </c>
      <c r="J7718" t="s">
        <v>37754</v>
      </c>
      <c r="K7718" t="s">
        <v>525</v>
      </c>
      <c r="L7718" t="s">
        <v>37755</v>
      </c>
      <c r="M7718">
        <v>347.37016</v>
      </c>
      <c r="O7718" t="s">
        <v>26</v>
      </c>
      <c r="Q7718">
        <v>108.75</v>
      </c>
      <c r="R7718">
        <v>87</v>
      </c>
      <c r="S7718">
        <v>130.5</v>
      </c>
      <c r="T7718" t="s">
        <v>37756</v>
      </c>
    </row>
    <row r="7719" spans="1:20">
      <c r="A7719">
        <v>4671681</v>
      </c>
      <c r="B7719" t="s">
        <v>37757</v>
      </c>
      <c r="C7719" t="str">
        <f>"9780802041593"</f>
        <v>9780802041593</v>
      </c>
      <c r="D7719" t="str">
        <f>"9781442676763"</f>
        <v>9781442676763</v>
      </c>
      <c r="E7719" t="s">
        <v>31435</v>
      </c>
      <c r="F7719" t="s">
        <v>31435</v>
      </c>
      <c r="G7719" s="1">
        <v>35431</v>
      </c>
      <c r="H7719">
        <v>74</v>
      </c>
      <c r="I7719" t="s">
        <v>33775</v>
      </c>
      <c r="J7719" t="s">
        <v>37758</v>
      </c>
      <c r="K7719" t="s">
        <v>1464</v>
      </c>
      <c r="L7719" t="s">
        <v>37759</v>
      </c>
      <c r="M7719" t="s">
        <v>37760</v>
      </c>
      <c r="O7719" t="s">
        <v>26</v>
      </c>
      <c r="Q7719">
        <v>107.5</v>
      </c>
      <c r="R7719">
        <v>86</v>
      </c>
      <c r="S7719">
        <v>129</v>
      </c>
      <c r="T7719" t="s">
        <v>37761</v>
      </c>
    </row>
    <row r="7720" spans="1:20">
      <c r="A7720">
        <v>4671682</v>
      </c>
      <c r="B7720" t="s">
        <v>37762</v>
      </c>
      <c r="C7720" t="str">
        <f>"9781442613157"</f>
        <v>9781442613157</v>
      </c>
      <c r="D7720" t="str">
        <f>"9781442676794"</f>
        <v>9781442676794</v>
      </c>
      <c r="E7720" t="s">
        <v>31435</v>
      </c>
      <c r="F7720" t="s">
        <v>31435</v>
      </c>
      <c r="G7720" s="1">
        <v>38353</v>
      </c>
      <c r="I7720" t="s">
        <v>34765</v>
      </c>
      <c r="J7720" t="s">
        <v>37763</v>
      </c>
      <c r="K7720" t="s">
        <v>1859</v>
      </c>
      <c r="L7720" t="s">
        <v>37764</v>
      </c>
      <c r="M7720">
        <v>121</v>
      </c>
      <c r="O7720" t="s">
        <v>26</v>
      </c>
      <c r="Q7720">
        <v>181.25</v>
      </c>
      <c r="R7720">
        <v>145</v>
      </c>
      <c r="S7720">
        <v>217.5</v>
      </c>
      <c r="T7720" t="s">
        <v>37765</v>
      </c>
    </row>
    <row r="7721" spans="1:20">
      <c r="A7721">
        <v>4671683</v>
      </c>
      <c r="B7721" t="s">
        <v>37766</v>
      </c>
      <c r="C7721" t="str">
        <f>"9780802081285"</f>
        <v>9780802081285</v>
      </c>
      <c r="D7721" t="str">
        <f>"9781442676800"</f>
        <v>9781442676800</v>
      </c>
      <c r="E7721" t="s">
        <v>31435</v>
      </c>
      <c r="F7721" t="s">
        <v>31435</v>
      </c>
      <c r="G7721" s="1">
        <v>35796</v>
      </c>
      <c r="J7721" t="s">
        <v>35986</v>
      </c>
      <c r="K7721" t="s">
        <v>1464</v>
      </c>
      <c r="L7721" t="s">
        <v>37767</v>
      </c>
      <c r="M7721" t="s">
        <v>35516</v>
      </c>
      <c r="O7721" t="s">
        <v>26</v>
      </c>
      <c r="Q7721">
        <v>110</v>
      </c>
      <c r="R7721">
        <v>88</v>
      </c>
      <c r="S7721">
        <v>132</v>
      </c>
      <c r="T7721" t="s">
        <v>37768</v>
      </c>
    </row>
    <row r="7722" spans="1:20">
      <c r="A7722">
        <v>4671684</v>
      </c>
      <c r="B7722" t="s">
        <v>37769</v>
      </c>
      <c r="C7722" t="str">
        <f>"9780802076588"</f>
        <v>9780802076588</v>
      </c>
      <c r="D7722" t="str">
        <f>"9781442676817"</f>
        <v>9781442676817</v>
      </c>
      <c r="E7722" t="s">
        <v>31435</v>
      </c>
      <c r="F7722" t="s">
        <v>31435</v>
      </c>
      <c r="G7722" s="1">
        <v>35521</v>
      </c>
      <c r="H7722">
        <v>2</v>
      </c>
      <c r="J7722" t="s">
        <v>37770</v>
      </c>
      <c r="K7722" t="s">
        <v>3176</v>
      </c>
      <c r="L7722" t="s">
        <v>37771</v>
      </c>
      <c r="M7722" t="s">
        <v>23372</v>
      </c>
      <c r="O7722" t="s">
        <v>26</v>
      </c>
      <c r="Q7722">
        <v>107.5</v>
      </c>
      <c r="R7722">
        <v>86</v>
      </c>
      <c r="S7722">
        <v>129</v>
      </c>
      <c r="T7722" t="s">
        <v>37772</v>
      </c>
    </row>
    <row r="7723" spans="1:20">
      <c r="A7723">
        <v>4671687</v>
      </c>
      <c r="B7723" t="s">
        <v>37773</v>
      </c>
      <c r="C7723" t="str">
        <f>"9780802092038"</f>
        <v>9780802092038</v>
      </c>
      <c r="D7723" t="str">
        <f>"9781442676848"</f>
        <v>9781442676848</v>
      </c>
      <c r="E7723" t="s">
        <v>31435</v>
      </c>
      <c r="F7723" t="s">
        <v>31435</v>
      </c>
      <c r="G7723" s="1">
        <v>41773</v>
      </c>
      <c r="J7723" t="s">
        <v>37432</v>
      </c>
      <c r="K7723" t="s">
        <v>1464</v>
      </c>
      <c r="L7723" t="s">
        <v>37774</v>
      </c>
      <c r="M7723">
        <v>809.19353000000001</v>
      </c>
      <c r="O7723" t="s">
        <v>26</v>
      </c>
      <c r="Q7723">
        <v>83.75</v>
      </c>
      <c r="R7723">
        <v>67</v>
      </c>
      <c r="S7723">
        <v>100.5</v>
      </c>
      <c r="T7723" t="s">
        <v>37775</v>
      </c>
    </row>
    <row r="7724" spans="1:20">
      <c r="A7724">
        <v>4671688</v>
      </c>
      <c r="B7724" t="s">
        <v>37776</v>
      </c>
      <c r="C7724" t="str">
        <f>"9780802043870"</f>
        <v>9780802043870</v>
      </c>
      <c r="D7724" t="str">
        <f>"9781442676855"</f>
        <v>9781442676855</v>
      </c>
      <c r="E7724" t="s">
        <v>31435</v>
      </c>
      <c r="F7724" t="s">
        <v>31435</v>
      </c>
      <c r="G7724" s="1">
        <v>36211</v>
      </c>
      <c r="I7724" t="s">
        <v>33775</v>
      </c>
      <c r="J7724" t="s">
        <v>37777</v>
      </c>
      <c r="K7724" t="s">
        <v>1464</v>
      </c>
      <c r="L7724" t="s">
        <v>37778</v>
      </c>
      <c r="M7724" t="s">
        <v>37779</v>
      </c>
      <c r="O7724" t="s">
        <v>26</v>
      </c>
      <c r="Q7724">
        <v>91.25</v>
      </c>
      <c r="R7724">
        <v>73</v>
      </c>
      <c r="S7724">
        <v>109.5</v>
      </c>
      <c r="T7724" t="s">
        <v>37780</v>
      </c>
    </row>
    <row r="7725" spans="1:20">
      <c r="A7725">
        <v>4671689</v>
      </c>
      <c r="B7725" t="s">
        <v>37781</v>
      </c>
      <c r="C7725" t="str">
        <f>"9781442615069"</f>
        <v>9781442615069</v>
      </c>
      <c r="D7725" t="str">
        <f>"9781442676862"</f>
        <v>9781442676862</v>
      </c>
      <c r="E7725" t="s">
        <v>31435</v>
      </c>
      <c r="F7725" t="s">
        <v>31435</v>
      </c>
      <c r="G7725" s="1">
        <v>36770</v>
      </c>
      <c r="J7725" t="s">
        <v>37782</v>
      </c>
      <c r="K7725" t="s">
        <v>291</v>
      </c>
      <c r="L7725" t="s">
        <v>37783</v>
      </c>
      <c r="M7725" t="s">
        <v>37784</v>
      </c>
      <c r="O7725" t="s">
        <v>26</v>
      </c>
      <c r="Q7725">
        <v>107.5</v>
      </c>
      <c r="R7725">
        <v>86</v>
      </c>
      <c r="S7725">
        <v>129</v>
      </c>
      <c r="T7725" t="s">
        <v>37785</v>
      </c>
    </row>
    <row r="7726" spans="1:20">
      <c r="A7726">
        <v>4671690</v>
      </c>
      <c r="B7726" t="s">
        <v>37786</v>
      </c>
      <c r="C7726" t="str">
        <f>"9780802080639"</f>
        <v>9780802080639</v>
      </c>
      <c r="D7726" t="str">
        <f>"9781442676886"</f>
        <v>9781442676886</v>
      </c>
      <c r="E7726" t="s">
        <v>31435</v>
      </c>
      <c r="F7726" t="s">
        <v>31435</v>
      </c>
      <c r="G7726" s="1">
        <v>35431</v>
      </c>
      <c r="I7726" t="s">
        <v>31443</v>
      </c>
      <c r="J7726" t="s">
        <v>3241</v>
      </c>
      <c r="K7726" t="s">
        <v>1471</v>
      </c>
      <c r="L7726" t="s">
        <v>37787</v>
      </c>
      <c r="M7726" t="s">
        <v>37788</v>
      </c>
      <c r="O7726" t="s">
        <v>26</v>
      </c>
      <c r="Q7726">
        <v>59.94</v>
      </c>
      <c r="R7726">
        <v>47.95</v>
      </c>
      <c r="S7726">
        <v>71.930000000000007</v>
      </c>
      <c r="T7726" t="s">
        <v>37789</v>
      </c>
    </row>
    <row r="7727" spans="1:20">
      <c r="A7727">
        <v>4671692</v>
      </c>
      <c r="B7727" t="s">
        <v>37790</v>
      </c>
      <c r="C7727" t="str">
        <f>"9780802083487"</f>
        <v>9780802083487</v>
      </c>
      <c r="D7727" t="str">
        <f>"9781442676893"</f>
        <v>9781442676893</v>
      </c>
      <c r="E7727" t="s">
        <v>31435</v>
      </c>
      <c r="F7727" t="s">
        <v>31435</v>
      </c>
      <c r="G7727" s="1">
        <v>36937</v>
      </c>
      <c r="J7727" t="s">
        <v>37791</v>
      </c>
      <c r="K7727" t="s">
        <v>263</v>
      </c>
      <c r="L7727" t="s">
        <v>37792</v>
      </c>
      <c r="M7727">
        <v>364.971</v>
      </c>
      <c r="O7727" t="s">
        <v>26</v>
      </c>
      <c r="Q7727">
        <v>107.5</v>
      </c>
      <c r="R7727">
        <v>86</v>
      </c>
      <c r="S7727">
        <v>129</v>
      </c>
      <c r="T7727" t="s">
        <v>37793</v>
      </c>
    </row>
    <row r="7728" spans="1:20">
      <c r="A7728">
        <v>4671693</v>
      </c>
      <c r="B7728" t="s">
        <v>37794</v>
      </c>
      <c r="C7728" t="str">
        <f>"9780802078698"</f>
        <v>9780802078698</v>
      </c>
      <c r="D7728" t="str">
        <f>"9781442676909"</f>
        <v>9781442676909</v>
      </c>
      <c r="E7728" t="s">
        <v>31435</v>
      </c>
      <c r="F7728" t="s">
        <v>31435</v>
      </c>
      <c r="G7728" s="1">
        <v>35431</v>
      </c>
      <c r="I7728" t="s">
        <v>37795</v>
      </c>
      <c r="J7728" t="s">
        <v>37796</v>
      </c>
      <c r="K7728" t="s">
        <v>525</v>
      </c>
      <c r="L7728" t="s">
        <v>37797</v>
      </c>
      <c r="M7728" t="s">
        <v>37798</v>
      </c>
      <c r="O7728" t="s">
        <v>26</v>
      </c>
      <c r="Q7728">
        <v>91.25</v>
      </c>
      <c r="R7728">
        <v>73</v>
      </c>
      <c r="S7728">
        <v>109.5</v>
      </c>
      <c r="T7728" t="s">
        <v>37799</v>
      </c>
    </row>
    <row r="7729" spans="1:20">
      <c r="A7729">
        <v>4671695</v>
      </c>
      <c r="B7729" t="s">
        <v>37800</v>
      </c>
      <c r="C7729" t="str">
        <f>"9780802076441"</f>
        <v>9780802076441</v>
      </c>
      <c r="D7729" t="str">
        <f>"9781442676923"</f>
        <v>9781442676923</v>
      </c>
      <c r="E7729" t="s">
        <v>31435</v>
      </c>
      <c r="F7729" t="s">
        <v>31435</v>
      </c>
      <c r="G7729" s="1">
        <v>36161</v>
      </c>
      <c r="H7729">
        <v>2</v>
      </c>
      <c r="J7729" t="s">
        <v>37801</v>
      </c>
      <c r="K7729" t="s">
        <v>525</v>
      </c>
      <c r="L7729" t="s">
        <v>37802</v>
      </c>
      <c r="M7729" t="s">
        <v>37803</v>
      </c>
      <c r="O7729" t="s">
        <v>26</v>
      </c>
      <c r="Q7729">
        <v>123.75</v>
      </c>
      <c r="R7729">
        <v>99</v>
      </c>
      <c r="S7729">
        <v>148.5</v>
      </c>
      <c r="T7729" t="s">
        <v>37804</v>
      </c>
    </row>
    <row r="7730" spans="1:20">
      <c r="A7730">
        <v>4671698</v>
      </c>
      <c r="B7730" t="s">
        <v>37805</v>
      </c>
      <c r="C7730" t="str">
        <f>"9780802059505"</f>
        <v>9780802059505</v>
      </c>
      <c r="D7730" t="str">
        <f>"9781442676954"</f>
        <v>9781442676954</v>
      </c>
      <c r="E7730" t="s">
        <v>31435</v>
      </c>
      <c r="F7730" t="s">
        <v>31435</v>
      </c>
      <c r="G7730" s="1">
        <v>33604</v>
      </c>
      <c r="I7730" t="s">
        <v>34747</v>
      </c>
      <c r="J7730" t="s">
        <v>37041</v>
      </c>
      <c r="K7730" t="s">
        <v>8974</v>
      </c>
      <c r="L7730" t="s">
        <v>37806</v>
      </c>
      <c r="M7730" t="s">
        <v>34439</v>
      </c>
      <c r="O7730" t="s">
        <v>26</v>
      </c>
      <c r="Q7730">
        <v>143.75</v>
      </c>
      <c r="R7730">
        <v>115</v>
      </c>
      <c r="S7730">
        <v>172.5</v>
      </c>
      <c r="T7730" t="s">
        <v>37807</v>
      </c>
    </row>
    <row r="7731" spans="1:20">
      <c r="A7731">
        <v>4671699</v>
      </c>
      <c r="B7731" t="s">
        <v>37808</v>
      </c>
      <c r="C7731" t="str">
        <f>"9780802047373"</f>
        <v>9780802047373</v>
      </c>
      <c r="D7731" t="str">
        <f>"9781442676961"</f>
        <v>9781442676961</v>
      </c>
      <c r="E7731" t="s">
        <v>31435</v>
      </c>
      <c r="F7731" t="s">
        <v>31435</v>
      </c>
      <c r="G7731" s="1">
        <v>36526</v>
      </c>
      <c r="J7731" t="s">
        <v>37809</v>
      </c>
      <c r="K7731" t="s">
        <v>1464</v>
      </c>
      <c r="L7731" t="s">
        <v>37810</v>
      </c>
      <c r="M7731" t="s">
        <v>37811</v>
      </c>
      <c r="O7731" t="s">
        <v>26</v>
      </c>
      <c r="Q7731">
        <v>91.25</v>
      </c>
      <c r="R7731">
        <v>73</v>
      </c>
      <c r="S7731">
        <v>109.5</v>
      </c>
      <c r="T7731" t="s">
        <v>37812</v>
      </c>
    </row>
    <row r="7732" spans="1:20">
      <c r="A7732">
        <v>4671702</v>
      </c>
      <c r="B7732" t="s">
        <v>37813</v>
      </c>
      <c r="C7732" t="str">
        <f>"9780802090577"</f>
        <v>9780802090577</v>
      </c>
      <c r="D7732" t="str">
        <f>"9781442676985"</f>
        <v>9781442676985</v>
      </c>
      <c r="E7732" t="s">
        <v>31435</v>
      </c>
      <c r="F7732" t="s">
        <v>31435</v>
      </c>
      <c r="G7732" s="1">
        <v>41773</v>
      </c>
      <c r="J7732" t="s">
        <v>37814</v>
      </c>
      <c r="K7732" t="s">
        <v>1464</v>
      </c>
      <c r="L7732" t="s">
        <v>37815</v>
      </c>
      <c r="M7732">
        <v>863.1</v>
      </c>
      <c r="O7732" t="s">
        <v>26</v>
      </c>
      <c r="Q7732">
        <v>140</v>
      </c>
      <c r="R7732">
        <v>112</v>
      </c>
      <c r="S7732">
        <v>168</v>
      </c>
      <c r="T7732" t="s">
        <v>37816</v>
      </c>
    </row>
    <row r="7733" spans="1:20">
      <c r="A7733">
        <v>4671703</v>
      </c>
      <c r="B7733" t="s">
        <v>37817</v>
      </c>
      <c r="C7733" t="str">
        <f>"9780802082251"</f>
        <v>9780802082251</v>
      </c>
      <c r="D7733" t="str">
        <f>"9781442676992"</f>
        <v>9781442676992</v>
      </c>
      <c r="E7733" t="s">
        <v>31435</v>
      </c>
      <c r="F7733" t="s">
        <v>31435</v>
      </c>
      <c r="G7733" s="1">
        <v>36161</v>
      </c>
      <c r="J7733" t="s">
        <v>37818</v>
      </c>
      <c r="K7733" t="s">
        <v>2963</v>
      </c>
      <c r="L7733" t="s">
        <v>37819</v>
      </c>
      <c r="M7733">
        <v>917.13541043999896</v>
      </c>
      <c r="O7733" t="s">
        <v>26</v>
      </c>
      <c r="Q7733">
        <v>115</v>
      </c>
      <c r="R7733">
        <v>92</v>
      </c>
      <c r="S7733">
        <v>138</v>
      </c>
      <c r="T7733" t="s">
        <v>37820</v>
      </c>
    </row>
    <row r="7734" spans="1:20">
      <c r="A7734">
        <v>4671704</v>
      </c>
      <c r="B7734" t="s">
        <v>37821</v>
      </c>
      <c r="C7734" t="str">
        <f>"9780802084354"</f>
        <v>9780802084354</v>
      </c>
      <c r="D7734" t="str">
        <f>"9781442677005"</f>
        <v>9781442677005</v>
      </c>
      <c r="E7734" t="s">
        <v>31435</v>
      </c>
      <c r="F7734" t="s">
        <v>31435</v>
      </c>
      <c r="G7734" s="1">
        <v>38353</v>
      </c>
      <c r="I7734" t="s">
        <v>31450</v>
      </c>
      <c r="J7734" t="s">
        <v>37822</v>
      </c>
      <c r="K7734" t="s">
        <v>291</v>
      </c>
      <c r="L7734" t="s">
        <v>37823</v>
      </c>
      <c r="M7734">
        <v>971.10049790000005</v>
      </c>
      <c r="O7734" t="s">
        <v>26</v>
      </c>
      <c r="Q7734">
        <v>110</v>
      </c>
      <c r="R7734">
        <v>88</v>
      </c>
      <c r="S7734">
        <v>132</v>
      </c>
      <c r="T7734" t="s">
        <v>37824</v>
      </c>
    </row>
    <row r="7735" spans="1:20">
      <c r="A7735">
        <v>4671705</v>
      </c>
      <c r="B7735" t="s">
        <v>37825</v>
      </c>
      <c r="C7735" t="str">
        <f>"9780802027948"</f>
        <v>9780802027948</v>
      </c>
      <c r="D7735" t="str">
        <f>"9781442677012"</f>
        <v>9781442677012</v>
      </c>
      <c r="E7735" t="s">
        <v>31435</v>
      </c>
      <c r="F7735" t="s">
        <v>31435</v>
      </c>
      <c r="G7735" s="1">
        <v>33239</v>
      </c>
      <c r="J7735" t="s">
        <v>36954</v>
      </c>
      <c r="K7735" t="s">
        <v>7075</v>
      </c>
      <c r="L7735" t="s">
        <v>37826</v>
      </c>
      <c r="M7735">
        <v>16.912713</v>
      </c>
      <c r="O7735" t="s">
        <v>26</v>
      </c>
      <c r="Q7735">
        <v>312.5</v>
      </c>
      <c r="R7735">
        <v>250</v>
      </c>
      <c r="S7735">
        <v>375</v>
      </c>
      <c r="T7735" t="s">
        <v>37827</v>
      </c>
    </row>
    <row r="7736" spans="1:20">
      <c r="A7736">
        <v>4671706</v>
      </c>
      <c r="B7736" t="s">
        <v>37828</v>
      </c>
      <c r="C7736" t="str">
        <f>"9780802038852"</f>
        <v>9780802038852</v>
      </c>
      <c r="D7736" t="str">
        <f>"9781442677043"</f>
        <v>9781442677043</v>
      </c>
      <c r="E7736" t="s">
        <v>31435</v>
      </c>
      <c r="F7736" t="s">
        <v>31435</v>
      </c>
      <c r="G7736" s="1">
        <v>38353</v>
      </c>
      <c r="H7736">
        <v>2</v>
      </c>
      <c r="J7736" t="s">
        <v>37829</v>
      </c>
      <c r="K7736" t="s">
        <v>1464</v>
      </c>
      <c r="L7736" t="s">
        <v>37830</v>
      </c>
      <c r="M7736" t="s">
        <v>37831</v>
      </c>
      <c r="O7736" t="s">
        <v>26</v>
      </c>
      <c r="Q7736">
        <v>110</v>
      </c>
      <c r="R7736">
        <v>88</v>
      </c>
      <c r="S7736">
        <v>132</v>
      </c>
      <c r="T7736" t="s">
        <v>37832</v>
      </c>
    </row>
    <row r="7737" spans="1:20">
      <c r="A7737">
        <v>4671707</v>
      </c>
      <c r="B7737" t="s">
        <v>37833</v>
      </c>
      <c r="C7737" t="str">
        <f>"9780802036872"</f>
        <v>9780802036872</v>
      </c>
      <c r="D7737" t="str">
        <f>"9781442677050"</f>
        <v>9781442677050</v>
      </c>
      <c r="E7737" t="s">
        <v>31435</v>
      </c>
      <c r="F7737" t="s">
        <v>31435</v>
      </c>
      <c r="G7737" s="1">
        <v>37987</v>
      </c>
      <c r="J7737" t="s">
        <v>37834</v>
      </c>
      <c r="K7737" t="s">
        <v>1464</v>
      </c>
      <c r="L7737" t="s">
        <v>37835</v>
      </c>
      <c r="M7737" t="s">
        <v>1460</v>
      </c>
      <c r="O7737" t="s">
        <v>26</v>
      </c>
      <c r="Q7737">
        <v>75</v>
      </c>
      <c r="R7737">
        <v>60</v>
      </c>
      <c r="S7737">
        <v>90</v>
      </c>
      <c r="T7737" t="s">
        <v>37836</v>
      </c>
    </row>
    <row r="7738" spans="1:20">
      <c r="A7738">
        <v>4671708</v>
      </c>
      <c r="B7738" t="s">
        <v>37837</v>
      </c>
      <c r="C7738" t="str">
        <f>"9781442612969"</f>
        <v>9781442612969</v>
      </c>
      <c r="D7738" t="str">
        <f>"9781442677067"</f>
        <v>9781442677067</v>
      </c>
      <c r="E7738" t="s">
        <v>31435</v>
      </c>
      <c r="F7738" t="s">
        <v>31435</v>
      </c>
      <c r="G7738" s="1">
        <v>35765</v>
      </c>
      <c r="I7738" t="s">
        <v>31443</v>
      </c>
      <c r="J7738" t="s">
        <v>37838</v>
      </c>
      <c r="K7738" t="s">
        <v>1464</v>
      </c>
      <c r="L7738" t="s">
        <v>37839</v>
      </c>
      <c r="M7738">
        <v>822.3</v>
      </c>
      <c r="O7738" t="s">
        <v>26</v>
      </c>
      <c r="Q7738">
        <v>111.25</v>
      </c>
      <c r="R7738">
        <v>89</v>
      </c>
      <c r="S7738">
        <v>133.5</v>
      </c>
      <c r="T7738" t="s">
        <v>37840</v>
      </c>
    </row>
    <row r="7739" spans="1:20">
      <c r="A7739">
        <v>4671709</v>
      </c>
      <c r="B7739" t="s">
        <v>37841</v>
      </c>
      <c r="C7739" t="str">
        <f>"9780802079022"</f>
        <v>9780802079022</v>
      </c>
      <c r="D7739" t="str">
        <f>"9781442677074"</f>
        <v>9781442677074</v>
      </c>
      <c r="E7739" t="s">
        <v>31435</v>
      </c>
      <c r="F7739" t="s">
        <v>31435</v>
      </c>
      <c r="G7739" s="1">
        <v>37622</v>
      </c>
      <c r="I7739" t="s">
        <v>34693</v>
      </c>
      <c r="J7739" t="s">
        <v>37842</v>
      </c>
      <c r="K7739" t="s">
        <v>291</v>
      </c>
      <c r="L7739" t="s">
        <v>37843</v>
      </c>
      <c r="M7739" t="s">
        <v>37844</v>
      </c>
      <c r="O7739" t="s">
        <v>26</v>
      </c>
      <c r="Q7739">
        <v>115</v>
      </c>
      <c r="R7739">
        <v>92</v>
      </c>
      <c r="S7739">
        <v>138</v>
      </c>
      <c r="T7739" t="s">
        <v>37845</v>
      </c>
    </row>
    <row r="7740" spans="1:20">
      <c r="A7740">
        <v>4671710</v>
      </c>
      <c r="B7740" t="s">
        <v>37846</v>
      </c>
      <c r="C7740" t="str">
        <f>"9780802077981"</f>
        <v>9780802077981</v>
      </c>
      <c r="D7740" t="str">
        <f>"9781442677081"</f>
        <v>9781442677081</v>
      </c>
      <c r="E7740" t="s">
        <v>31435</v>
      </c>
      <c r="F7740" t="s">
        <v>31435</v>
      </c>
      <c r="G7740" s="1">
        <v>34700</v>
      </c>
      <c r="H7740">
        <v>2</v>
      </c>
      <c r="J7740" t="s">
        <v>16768</v>
      </c>
      <c r="K7740" t="s">
        <v>10956</v>
      </c>
      <c r="L7740" t="s">
        <v>37847</v>
      </c>
      <c r="M7740" t="s">
        <v>37848</v>
      </c>
      <c r="O7740" t="s">
        <v>26</v>
      </c>
      <c r="Q7740">
        <v>67.5</v>
      </c>
      <c r="R7740">
        <v>54</v>
      </c>
      <c r="S7740">
        <v>81</v>
      </c>
      <c r="T7740" t="s">
        <v>37849</v>
      </c>
    </row>
    <row r="7741" spans="1:20">
      <c r="A7741">
        <v>4671711</v>
      </c>
      <c r="B7741" t="s">
        <v>37850</v>
      </c>
      <c r="C7741" t="str">
        <f>"9780802078391"</f>
        <v>9780802078391</v>
      </c>
      <c r="D7741" t="str">
        <f>"9781442677098"</f>
        <v>9781442677098</v>
      </c>
      <c r="E7741" t="s">
        <v>31435</v>
      </c>
      <c r="F7741" t="s">
        <v>31435</v>
      </c>
      <c r="G7741" s="1">
        <v>35431</v>
      </c>
      <c r="H7741">
        <v>2</v>
      </c>
      <c r="I7741" t="s">
        <v>33881</v>
      </c>
      <c r="J7741" t="s">
        <v>37851</v>
      </c>
      <c r="K7741" t="s">
        <v>525</v>
      </c>
      <c r="L7741" t="s">
        <v>37852</v>
      </c>
      <c r="M7741">
        <v>346.42013400000002</v>
      </c>
      <c r="O7741" t="s">
        <v>26</v>
      </c>
      <c r="Q7741">
        <v>107.5</v>
      </c>
      <c r="R7741">
        <v>86</v>
      </c>
      <c r="S7741">
        <v>129</v>
      </c>
      <c r="T7741" t="s">
        <v>37853</v>
      </c>
    </row>
    <row r="7742" spans="1:20">
      <c r="A7742">
        <v>4671712</v>
      </c>
      <c r="B7742" t="s">
        <v>37854</v>
      </c>
      <c r="C7742" t="str">
        <f>"9780802081025"</f>
        <v>9780802081025</v>
      </c>
      <c r="D7742" t="str">
        <f>"9781442677104"</f>
        <v>9781442677104</v>
      </c>
      <c r="E7742" t="s">
        <v>31435</v>
      </c>
      <c r="F7742" t="s">
        <v>31435</v>
      </c>
      <c r="G7742" s="1">
        <v>35796</v>
      </c>
      <c r="I7742" t="s">
        <v>35710</v>
      </c>
      <c r="J7742" t="s">
        <v>37855</v>
      </c>
      <c r="K7742" t="s">
        <v>1464</v>
      </c>
      <c r="L7742" t="s">
        <v>37856</v>
      </c>
      <c r="M7742" t="s">
        <v>37857</v>
      </c>
      <c r="O7742" t="s">
        <v>26</v>
      </c>
      <c r="Q7742">
        <v>78.75</v>
      </c>
      <c r="R7742">
        <v>63</v>
      </c>
      <c r="S7742">
        <v>94.5</v>
      </c>
      <c r="T7742" t="s">
        <v>37858</v>
      </c>
    </row>
    <row r="7743" spans="1:20">
      <c r="A7743">
        <v>4671713</v>
      </c>
      <c r="B7743" t="s">
        <v>37859</v>
      </c>
      <c r="C7743" t="str">
        <f>"9780802084750"</f>
        <v>9780802084750</v>
      </c>
      <c r="D7743" t="str">
        <f>"9781442677111"</f>
        <v>9781442677111</v>
      </c>
      <c r="E7743" t="s">
        <v>31435</v>
      </c>
      <c r="F7743" t="s">
        <v>31435</v>
      </c>
      <c r="G7743" s="1">
        <v>37257</v>
      </c>
      <c r="I7743" t="s">
        <v>33775</v>
      </c>
      <c r="J7743" t="s">
        <v>37860</v>
      </c>
      <c r="K7743" t="s">
        <v>1471</v>
      </c>
      <c r="L7743" t="s">
        <v>37861</v>
      </c>
      <c r="M7743" t="s">
        <v>37862</v>
      </c>
      <c r="O7743" t="s">
        <v>26</v>
      </c>
      <c r="Q7743">
        <v>123.75</v>
      </c>
      <c r="R7743">
        <v>99</v>
      </c>
      <c r="S7743">
        <v>148.5</v>
      </c>
      <c r="T7743" t="s">
        <v>37863</v>
      </c>
    </row>
    <row r="7744" spans="1:20">
      <c r="A7744">
        <v>4671714</v>
      </c>
      <c r="B7744" t="s">
        <v>37864</v>
      </c>
      <c r="C7744" t="str">
        <f>"9780802082671"</f>
        <v>9780802082671</v>
      </c>
      <c r="D7744" t="str">
        <f>"9781442677128"</f>
        <v>9781442677128</v>
      </c>
      <c r="E7744" t="s">
        <v>31435</v>
      </c>
      <c r="F7744" t="s">
        <v>31435</v>
      </c>
      <c r="G7744" s="1">
        <v>36491</v>
      </c>
      <c r="I7744" t="s">
        <v>35056</v>
      </c>
      <c r="J7744" t="s">
        <v>37865</v>
      </c>
      <c r="K7744" t="s">
        <v>1464</v>
      </c>
      <c r="L7744" t="s">
        <v>37866</v>
      </c>
      <c r="M7744" t="s">
        <v>37867</v>
      </c>
      <c r="O7744" t="s">
        <v>26</v>
      </c>
      <c r="Q7744">
        <v>115</v>
      </c>
      <c r="R7744">
        <v>92</v>
      </c>
      <c r="S7744">
        <v>138</v>
      </c>
      <c r="T7744" t="s">
        <v>37868</v>
      </c>
    </row>
    <row r="7745" spans="1:20">
      <c r="A7745">
        <v>4671715</v>
      </c>
      <c r="B7745" t="s">
        <v>37869</v>
      </c>
      <c r="C7745" t="str">
        <f>"9780802086587"</f>
        <v>9780802086587</v>
      </c>
      <c r="D7745" t="str">
        <f>"9781442677135"</f>
        <v>9781442677135</v>
      </c>
      <c r="E7745" t="s">
        <v>31435</v>
      </c>
      <c r="F7745" t="s">
        <v>31435</v>
      </c>
      <c r="G7745" s="1">
        <v>41773</v>
      </c>
      <c r="H7745">
        <v>2</v>
      </c>
      <c r="J7745" t="s">
        <v>37870</v>
      </c>
      <c r="K7745" t="s">
        <v>263</v>
      </c>
      <c r="M7745">
        <v>300</v>
      </c>
      <c r="O7745" t="s">
        <v>26</v>
      </c>
      <c r="Q7745">
        <v>123.75</v>
      </c>
      <c r="R7745">
        <v>99</v>
      </c>
      <c r="S7745">
        <v>148.5</v>
      </c>
      <c r="T7745" t="s">
        <v>37871</v>
      </c>
    </row>
    <row r="7746" spans="1:20">
      <c r="A7746">
        <v>4671716</v>
      </c>
      <c r="B7746" t="s">
        <v>37872</v>
      </c>
      <c r="C7746" t="str">
        <f>"9780802008015"</f>
        <v>9780802008015</v>
      </c>
      <c r="D7746" t="str">
        <f>"9781442677142"</f>
        <v>9781442677142</v>
      </c>
      <c r="E7746" t="s">
        <v>31435</v>
      </c>
      <c r="F7746" t="s">
        <v>31435</v>
      </c>
      <c r="G7746" s="1">
        <v>35065</v>
      </c>
      <c r="I7746" t="s">
        <v>35710</v>
      </c>
      <c r="J7746" t="s">
        <v>13721</v>
      </c>
      <c r="K7746" t="s">
        <v>263</v>
      </c>
      <c r="L7746" t="s">
        <v>37873</v>
      </c>
      <c r="M7746" t="s">
        <v>37874</v>
      </c>
      <c r="O7746" t="s">
        <v>26</v>
      </c>
      <c r="Q7746">
        <v>107.5</v>
      </c>
      <c r="R7746">
        <v>86</v>
      </c>
      <c r="S7746">
        <v>129</v>
      </c>
      <c r="T7746" t="s">
        <v>37875</v>
      </c>
    </row>
    <row r="7747" spans="1:20">
      <c r="A7747">
        <v>4671717</v>
      </c>
      <c r="B7747" t="s">
        <v>37876</v>
      </c>
      <c r="C7747" t="str">
        <f>"9780802069467"</f>
        <v>9780802069467</v>
      </c>
      <c r="D7747" t="str">
        <f>"9781442677159"</f>
        <v>9781442677159</v>
      </c>
      <c r="E7747" t="s">
        <v>31435</v>
      </c>
      <c r="F7747" t="s">
        <v>31435</v>
      </c>
      <c r="G7747" s="1">
        <v>34786</v>
      </c>
      <c r="H7747">
        <v>2</v>
      </c>
      <c r="I7747" t="s">
        <v>35029</v>
      </c>
      <c r="J7747" t="s">
        <v>37877</v>
      </c>
      <c r="K7747" t="s">
        <v>6857</v>
      </c>
      <c r="L7747" t="s">
        <v>37878</v>
      </c>
      <c r="M7747" t="s">
        <v>37879</v>
      </c>
      <c r="O7747" t="s">
        <v>26</v>
      </c>
      <c r="Q7747">
        <v>147.5</v>
      </c>
      <c r="R7747">
        <v>118</v>
      </c>
      <c r="S7747">
        <v>177</v>
      </c>
      <c r="T7747" t="s">
        <v>37880</v>
      </c>
    </row>
    <row r="7748" spans="1:20">
      <c r="A7748">
        <v>4671718</v>
      </c>
      <c r="B7748" t="s">
        <v>37881</v>
      </c>
      <c r="C7748" t="str">
        <f>"9780802065582"</f>
        <v>9780802065582</v>
      </c>
      <c r="D7748" t="str">
        <f>"9781442677173"</f>
        <v>9781442677173</v>
      </c>
      <c r="E7748" t="s">
        <v>31435</v>
      </c>
      <c r="F7748" t="s">
        <v>31435</v>
      </c>
      <c r="G7748" s="1">
        <v>30682</v>
      </c>
      <c r="H7748">
        <v>2</v>
      </c>
      <c r="J7748" t="s">
        <v>37882</v>
      </c>
      <c r="K7748" t="s">
        <v>7075</v>
      </c>
      <c r="L7748" t="s">
        <v>37883</v>
      </c>
      <c r="M7748">
        <v>16.4771</v>
      </c>
      <c r="O7748" t="s">
        <v>26</v>
      </c>
      <c r="Q7748">
        <v>59.94</v>
      </c>
      <c r="R7748">
        <v>47.95</v>
      </c>
      <c r="S7748">
        <v>71.930000000000007</v>
      </c>
      <c r="T7748" t="s">
        <v>37884</v>
      </c>
    </row>
    <row r="7749" spans="1:20">
      <c r="A7749">
        <v>4671720</v>
      </c>
      <c r="B7749" t="s">
        <v>37885</v>
      </c>
      <c r="C7749" t="str">
        <f>"9780802066596"</f>
        <v>9780802066596</v>
      </c>
      <c r="D7749" t="str">
        <f>"9781442677197"</f>
        <v>9781442677197</v>
      </c>
      <c r="E7749" t="s">
        <v>31435</v>
      </c>
      <c r="F7749" t="s">
        <v>31435</v>
      </c>
      <c r="G7749" s="1">
        <v>32509</v>
      </c>
      <c r="H7749">
        <v>2</v>
      </c>
      <c r="J7749" t="s">
        <v>37886</v>
      </c>
      <c r="K7749" t="s">
        <v>21907</v>
      </c>
      <c r="L7749" t="s">
        <v>37887</v>
      </c>
      <c r="M7749">
        <v>16.80800902</v>
      </c>
      <c r="O7749" t="s">
        <v>26</v>
      </c>
      <c r="Q7749">
        <v>59.94</v>
      </c>
      <c r="R7749">
        <v>47.95</v>
      </c>
      <c r="S7749">
        <v>71.930000000000007</v>
      </c>
      <c r="T7749" t="s">
        <v>37888</v>
      </c>
    </row>
    <row r="7750" spans="1:20">
      <c r="A7750">
        <v>4671721</v>
      </c>
      <c r="B7750" t="s">
        <v>37889</v>
      </c>
      <c r="C7750" t="str">
        <f>"9780802044457"</f>
        <v>9780802044457</v>
      </c>
      <c r="D7750" t="str">
        <f>"9781442677203"</f>
        <v>9781442677203</v>
      </c>
      <c r="E7750" t="s">
        <v>31435</v>
      </c>
      <c r="F7750" t="s">
        <v>31435</v>
      </c>
      <c r="G7750" s="1">
        <v>36526</v>
      </c>
      <c r="J7750" t="s">
        <v>37890</v>
      </c>
      <c r="K7750" t="s">
        <v>291</v>
      </c>
      <c r="L7750" t="s">
        <v>37891</v>
      </c>
      <c r="M7750" t="s">
        <v>35412</v>
      </c>
      <c r="O7750" t="s">
        <v>26</v>
      </c>
      <c r="Q7750">
        <v>80</v>
      </c>
      <c r="R7750">
        <v>64</v>
      </c>
      <c r="S7750">
        <v>96</v>
      </c>
      <c r="T7750" t="s">
        <v>37892</v>
      </c>
    </row>
    <row r="7751" spans="1:20">
      <c r="A7751">
        <v>4671722</v>
      </c>
      <c r="B7751" t="s">
        <v>37893</v>
      </c>
      <c r="C7751" t="str">
        <f>"9781442613188"</f>
        <v>9781442613188</v>
      </c>
      <c r="D7751" t="str">
        <f>"9781442677210"</f>
        <v>9781442677210</v>
      </c>
      <c r="E7751" t="s">
        <v>31435</v>
      </c>
      <c r="F7751" t="s">
        <v>31435</v>
      </c>
      <c r="G7751" s="1">
        <v>37622</v>
      </c>
      <c r="J7751" t="s">
        <v>37894</v>
      </c>
      <c r="K7751" t="s">
        <v>291</v>
      </c>
      <c r="L7751" t="s">
        <v>37895</v>
      </c>
      <c r="M7751">
        <v>947.70839999999896</v>
      </c>
      <c r="O7751" t="s">
        <v>26</v>
      </c>
      <c r="Q7751">
        <v>135</v>
      </c>
      <c r="R7751">
        <v>108</v>
      </c>
      <c r="S7751">
        <v>162</v>
      </c>
      <c r="T7751" t="s">
        <v>37896</v>
      </c>
    </row>
    <row r="7752" spans="1:20">
      <c r="A7752">
        <v>4671723</v>
      </c>
      <c r="B7752" t="s">
        <v>37897</v>
      </c>
      <c r="C7752" t="str">
        <f>"9781442615038"</f>
        <v>9781442615038</v>
      </c>
      <c r="D7752" t="str">
        <f>"9781442677227"</f>
        <v>9781442677227</v>
      </c>
      <c r="E7752" t="s">
        <v>31435</v>
      </c>
      <c r="F7752" t="s">
        <v>31435</v>
      </c>
      <c r="G7752" s="1">
        <v>35156</v>
      </c>
      <c r="H7752">
        <v>3</v>
      </c>
      <c r="I7752" t="s">
        <v>37898</v>
      </c>
      <c r="J7752" t="s">
        <v>37899</v>
      </c>
      <c r="K7752" t="s">
        <v>291</v>
      </c>
      <c r="L7752" t="s">
        <v>37900</v>
      </c>
      <c r="M7752">
        <v>971.00882869999896</v>
      </c>
      <c r="O7752" t="s">
        <v>26</v>
      </c>
      <c r="Q7752">
        <v>67.5</v>
      </c>
      <c r="R7752">
        <v>54</v>
      </c>
      <c r="S7752">
        <v>81</v>
      </c>
      <c r="T7752" t="s">
        <v>37901</v>
      </c>
    </row>
    <row r="7753" spans="1:20">
      <c r="A7753">
        <v>4671724</v>
      </c>
      <c r="B7753" t="s">
        <v>37902</v>
      </c>
      <c r="C7753" t="str">
        <f>"9780802080448"</f>
        <v>9780802080448</v>
      </c>
      <c r="D7753" t="str">
        <f>"9781442677234"</f>
        <v>9781442677234</v>
      </c>
      <c r="E7753" t="s">
        <v>31435</v>
      </c>
      <c r="F7753" t="s">
        <v>31435</v>
      </c>
      <c r="G7753" s="1">
        <v>36526</v>
      </c>
      <c r="J7753" t="s">
        <v>37903</v>
      </c>
      <c r="K7753" t="s">
        <v>6813</v>
      </c>
      <c r="L7753" t="s">
        <v>37904</v>
      </c>
      <c r="M7753" t="s">
        <v>37905</v>
      </c>
      <c r="O7753" t="s">
        <v>26</v>
      </c>
      <c r="Q7753">
        <v>121.25</v>
      </c>
      <c r="R7753">
        <v>97</v>
      </c>
      <c r="S7753">
        <v>145.5</v>
      </c>
      <c r="T7753" t="s">
        <v>37906</v>
      </c>
    </row>
    <row r="7754" spans="1:20">
      <c r="A7754">
        <v>4671725</v>
      </c>
      <c r="B7754" t="s">
        <v>37907</v>
      </c>
      <c r="C7754" t="str">
        <f>"9780802074126"</f>
        <v>9780802074126</v>
      </c>
      <c r="D7754" t="str">
        <f>"9781442677241"</f>
        <v>9781442677241</v>
      </c>
      <c r="E7754" t="s">
        <v>31435</v>
      </c>
      <c r="F7754" t="s">
        <v>31435</v>
      </c>
      <c r="G7754" s="1">
        <v>35180</v>
      </c>
      <c r="H7754">
        <v>2</v>
      </c>
      <c r="J7754" t="s">
        <v>37908</v>
      </c>
      <c r="K7754" t="s">
        <v>1322</v>
      </c>
      <c r="L7754" t="s">
        <v>37909</v>
      </c>
      <c r="M7754" t="s">
        <v>37910</v>
      </c>
      <c r="O7754" t="s">
        <v>26</v>
      </c>
      <c r="Q7754">
        <v>59.94</v>
      </c>
      <c r="R7754">
        <v>47.95</v>
      </c>
      <c r="S7754">
        <v>71.930000000000007</v>
      </c>
      <c r="T7754" t="s">
        <v>37911</v>
      </c>
    </row>
    <row r="7755" spans="1:20">
      <c r="A7755">
        <v>4671726</v>
      </c>
      <c r="B7755" t="s">
        <v>37912</v>
      </c>
      <c r="C7755" t="str">
        <f>"9780802035257"</f>
        <v>9780802035257</v>
      </c>
      <c r="D7755" t="str">
        <f>"9781442677258"</f>
        <v>9781442677258</v>
      </c>
      <c r="E7755" t="s">
        <v>31435</v>
      </c>
      <c r="F7755" t="s">
        <v>31435</v>
      </c>
      <c r="G7755" s="1">
        <v>37254</v>
      </c>
      <c r="J7755" t="s">
        <v>37913</v>
      </c>
      <c r="K7755" t="s">
        <v>257</v>
      </c>
      <c r="L7755" t="s">
        <v>37914</v>
      </c>
      <c r="M7755">
        <v>378.1</v>
      </c>
      <c r="N7755" t="s">
        <v>37915</v>
      </c>
      <c r="O7755" t="s">
        <v>26</v>
      </c>
      <c r="Q7755">
        <v>143.75</v>
      </c>
      <c r="R7755">
        <v>115</v>
      </c>
      <c r="S7755">
        <v>172.5</v>
      </c>
      <c r="T7755" t="s">
        <v>37916</v>
      </c>
    </row>
    <row r="7756" spans="1:20">
      <c r="A7756">
        <v>4671727</v>
      </c>
      <c r="B7756" t="s">
        <v>37917</v>
      </c>
      <c r="C7756" t="str">
        <f>"9781442626720"</f>
        <v>9781442626720</v>
      </c>
      <c r="D7756" t="str">
        <f>"9781442677265"</f>
        <v>9781442677265</v>
      </c>
      <c r="E7756" t="s">
        <v>31435</v>
      </c>
      <c r="F7756" t="s">
        <v>31435</v>
      </c>
      <c r="G7756" s="1">
        <v>38353</v>
      </c>
      <c r="I7756" t="s">
        <v>33775</v>
      </c>
      <c r="J7756" t="s">
        <v>37918</v>
      </c>
      <c r="K7756" t="s">
        <v>1464</v>
      </c>
      <c r="L7756" t="s">
        <v>37919</v>
      </c>
      <c r="M7756" t="s">
        <v>37920</v>
      </c>
      <c r="O7756" t="s">
        <v>26</v>
      </c>
      <c r="Q7756">
        <v>98.75</v>
      </c>
      <c r="R7756">
        <v>79</v>
      </c>
      <c r="S7756">
        <v>118.5</v>
      </c>
      <c r="T7756" t="s">
        <v>37921</v>
      </c>
    </row>
    <row r="7757" spans="1:20">
      <c r="A7757">
        <v>4671728</v>
      </c>
      <c r="B7757" t="s">
        <v>37922</v>
      </c>
      <c r="C7757" t="str">
        <f>"9780802038708"</f>
        <v>9780802038708</v>
      </c>
      <c r="D7757" t="str">
        <f>"9781442677272"</f>
        <v>9781442677272</v>
      </c>
      <c r="E7757" t="s">
        <v>31435</v>
      </c>
      <c r="F7757" t="s">
        <v>31435</v>
      </c>
      <c r="G7757" s="1">
        <v>38353</v>
      </c>
      <c r="H7757">
        <v>2</v>
      </c>
      <c r="J7757" t="s">
        <v>37923</v>
      </c>
      <c r="K7757" t="s">
        <v>1859</v>
      </c>
      <c r="L7757" t="s">
        <v>37924</v>
      </c>
      <c r="M7757" t="s">
        <v>37925</v>
      </c>
      <c r="O7757" t="s">
        <v>26</v>
      </c>
      <c r="Q7757">
        <v>140</v>
      </c>
      <c r="R7757">
        <v>112</v>
      </c>
      <c r="S7757">
        <v>168</v>
      </c>
      <c r="T7757" t="s">
        <v>37926</v>
      </c>
    </row>
    <row r="7758" spans="1:20">
      <c r="A7758">
        <v>4671729</v>
      </c>
      <c r="B7758" t="s">
        <v>37927</v>
      </c>
      <c r="C7758" t="str">
        <f>"9780802083654"</f>
        <v>9780802083654</v>
      </c>
      <c r="D7758" t="str">
        <f>"9781442677289"</f>
        <v>9781442677289</v>
      </c>
      <c r="E7758" t="s">
        <v>31435</v>
      </c>
      <c r="F7758" t="s">
        <v>31435</v>
      </c>
      <c r="G7758" s="1">
        <v>36892</v>
      </c>
      <c r="I7758" t="s">
        <v>34035</v>
      </c>
      <c r="J7758" t="s">
        <v>35383</v>
      </c>
      <c r="K7758" t="s">
        <v>1464</v>
      </c>
      <c r="L7758" t="s">
        <v>37928</v>
      </c>
      <c r="M7758" t="s">
        <v>37929</v>
      </c>
      <c r="O7758" t="s">
        <v>26</v>
      </c>
      <c r="Q7758">
        <v>123.75</v>
      </c>
      <c r="R7758">
        <v>99</v>
      </c>
      <c r="S7758">
        <v>148.5</v>
      </c>
      <c r="T7758" t="s">
        <v>37930</v>
      </c>
    </row>
    <row r="7759" spans="1:20">
      <c r="A7759">
        <v>4671730</v>
      </c>
      <c r="B7759" t="s">
        <v>37931</v>
      </c>
      <c r="C7759" t="str">
        <f>"9780802038661"</f>
        <v>9780802038661</v>
      </c>
      <c r="D7759" t="str">
        <f>"9781442677296"</f>
        <v>9781442677296</v>
      </c>
      <c r="E7759" t="s">
        <v>31435</v>
      </c>
      <c r="F7759" t="s">
        <v>31435</v>
      </c>
      <c r="G7759" s="1">
        <v>38353</v>
      </c>
      <c r="H7759">
        <v>2</v>
      </c>
      <c r="J7759" t="s">
        <v>37932</v>
      </c>
      <c r="K7759" t="s">
        <v>1859</v>
      </c>
      <c r="L7759" t="s">
        <v>37933</v>
      </c>
      <c r="M7759">
        <v>191</v>
      </c>
      <c r="O7759" t="s">
        <v>26</v>
      </c>
      <c r="Q7759">
        <v>155</v>
      </c>
      <c r="R7759">
        <v>124</v>
      </c>
      <c r="S7759">
        <v>186</v>
      </c>
      <c r="T7759" t="s">
        <v>37934</v>
      </c>
    </row>
    <row r="7760" spans="1:20">
      <c r="A7760">
        <v>4671731</v>
      </c>
      <c r="B7760" t="s">
        <v>37935</v>
      </c>
      <c r="C7760" t="str">
        <f>"9780802081889"</f>
        <v>9780802081889</v>
      </c>
      <c r="D7760" t="str">
        <f>"9781442677302"</f>
        <v>9781442677302</v>
      </c>
      <c r="E7760" t="s">
        <v>31435</v>
      </c>
      <c r="F7760" t="s">
        <v>31435</v>
      </c>
      <c r="G7760" s="1">
        <v>37226</v>
      </c>
      <c r="J7760" t="s">
        <v>37936</v>
      </c>
      <c r="K7760" t="s">
        <v>6813</v>
      </c>
      <c r="L7760" t="s">
        <v>37937</v>
      </c>
      <c r="M7760">
        <v>306.60000000000002</v>
      </c>
      <c r="O7760" t="s">
        <v>26</v>
      </c>
      <c r="Q7760">
        <v>161.25</v>
      </c>
      <c r="R7760">
        <v>129</v>
      </c>
      <c r="S7760">
        <v>193.5</v>
      </c>
      <c r="T7760" t="s">
        <v>37938</v>
      </c>
    </row>
    <row r="7761" spans="1:20">
      <c r="A7761">
        <v>4671732</v>
      </c>
      <c r="B7761" t="s">
        <v>37939</v>
      </c>
      <c r="C7761" t="str">
        <f>"9780802082060"</f>
        <v>9780802082060</v>
      </c>
      <c r="D7761" t="str">
        <f>"9781442677319"</f>
        <v>9781442677319</v>
      </c>
      <c r="E7761" t="s">
        <v>31435</v>
      </c>
      <c r="F7761" t="s">
        <v>31435</v>
      </c>
      <c r="G7761" s="1">
        <v>35927</v>
      </c>
      <c r="J7761" t="s">
        <v>37940</v>
      </c>
      <c r="K7761" t="s">
        <v>13493</v>
      </c>
      <c r="L7761" t="s">
        <v>37941</v>
      </c>
      <c r="M7761" t="s">
        <v>37942</v>
      </c>
      <c r="N7761" t="s">
        <v>37943</v>
      </c>
      <c r="O7761" t="s">
        <v>26</v>
      </c>
      <c r="Q7761">
        <v>107.5</v>
      </c>
      <c r="R7761">
        <v>86</v>
      </c>
      <c r="S7761">
        <v>129</v>
      </c>
      <c r="T7761" t="s">
        <v>37944</v>
      </c>
    </row>
    <row r="7762" spans="1:20">
      <c r="A7762">
        <v>4671733</v>
      </c>
      <c r="B7762" t="s">
        <v>37945</v>
      </c>
      <c r="C7762" t="str">
        <f>"9780802085443"</f>
        <v>9780802085443</v>
      </c>
      <c r="D7762" t="str">
        <f>"9781442677326"</f>
        <v>9781442677326</v>
      </c>
      <c r="E7762" t="s">
        <v>31435</v>
      </c>
      <c r="F7762" t="s">
        <v>31435</v>
      </c>
      <c r="G7762" s="1">
        <v>41773</v>
      </c>
      <c r="H7762">
        <v>2</v>
      </c>
      <c r="I7762" t="s">
        <v>36249</v>
      </c>
      <c r="J7762" t="s">
        <v>37946</v>
      </c>
      <c r="K7762" t="s">
        <v>263</v>
      </c>
      <c r="L7762" t="s">
        <v>37947</v>
      </c>
      <c r="M7762">
        <v>362.83097099999998</v>
      </c>
      <c r="O7762" t="s">
        <v>26</v>
      </c>
      <c r="Q7762">
        <v>59.94</v>
      </c>
      <c r="R7762">
        <v>47.95</v>
      </c>
      <c r="S7762">
        <v>71.930000000000007</v>
      </c>
      <c r="T7762" t="s">
        <v>37948</v>
      </c>
    </row>
    <row r="7763" spans="1:20">
      <c r="A7763">
        <v>4671735</v>
      </c>
      <c r="B7763" t="s">
        <v>37949</v>
      </c>
      <c r="C7763" t="str">
        <f>"9780802047496"</f>
        <v>9780802047496</v>
      </c>
      <c r="D7763" t="str">
        <f>"9781442677333"</f>
        <v>9781442677333</v>
      </c>
      <c r="E7763" t="s">
        <v>31435</v>
      </c>
      <c r="F7763" t="s">
        <v>31435</v>
      </c>
      <c r="G7763" s="1">
        <v>36800</v>
      </c>
      <c r="J7763" t="s">
        <v>37950</v>
      </c>
      <c r="K7763" t="s">
        <v>1464</v>
      </c>
      <c r="L7763" t="s">
        <v>37951</v>
      </c>
      <c r="M7763" t="s">
        <v>37952</v>
      </c>
      <c r="O7763" t="s">
        <v>26</v>
      </c>
      <c r="Q7763">
        <v>115</v>
      </c>
      <c r="R7763">
        <v>92</v>
      </c>
      <c r="S7763">
        <v>138</v>
      </c>
      <c r="T7763" t="s">
        <v>37953</v>
      </c>
    </row>
    <row r="7764" spans="1:20">
      <c r="A7764">
        <v>4671736</v>
      </c>
      <c r="B7764" t="s">
        <v>37954</v>
      </c>
      <c r="C7764" t="str">
        <f>"9780802026941"</f>
        <v>9780802026941</v>
      </c>
      <c r="D7764" t="str">
        <f>"9781442677340"</f>
        <v>9781442677340</v>
      </c>
      <c r="E7764" t="s">
        <v>31435</v>
      </c>
      <c r="F7764" t="s">
        <v>31435</v>
      </c>
      <c r="G7764" s="1">
        <v>32874</v>
      </c>
      <c r="J7764" t="s">
        <v>37955</v>
      </c>
      <c r="K7764" t="s">
        <v>7838</v>
      </c>
      <c r="L7764" t="s">
        <v>37956</v>
      </c>
      <c r="M7764" t="s">
        <v>37957</v>
      </c>
      <c r="O7764" t="s">
        <v>26</v>
      </c>
      <c r="Q7764">
        <v>172.5</v>
      </c>
      <c r="R7764">
        <v>138</v>
      </c>
      <c r="S7764">
        <v>207</v>
      </c>
      <c r="T7764" t="s">
        <v>37958</v>
      </c>
    </row>
    <row r="7765" spans="1:20">
      <c r="A7765">
        <v>4671737</v>
      </c>
      <c r="B7765" t="s">
        <v>37959</v>
      </c>
      <c r="C7765" t="str">
        <f>"9780802080318"</f>
        <v>9780802080318</v>
      </c>
      <c r="D7765" t="str">
        <f>"9781442677364"</f>
        <v>9781442677364</v>
      </c>
      <c r="E7765" t="s">
        <v>31435</v>
      </c>
      <c r="F7765" t="s">
        <v>31435</v>
      </c>
      <c r="G7765" s="1">
        <v>35796</v>
      </c>
      <c r="I7765" t="s">
        <v>35029</v>
      </c>
      <c r="J7765" t="s">
        <v>37960</v>
      </c>
      <c r="K7765" t="s">
        <v>1859</v>
      </c>
      <c r="L7765" t="s">
        <v>37961</v>
      </c>
      <c r="M7765">
        <v>170</v>
      </c>
      <c r="O7765" t="s">
        <v>26</v>
      </c>
      <c r="Q7765">
        <v>59.94</v>
      </c>
      <c r="R7765">
        <v>47.95</v>
      </c>
      <c r="S7765">
        <v>71.930000000000007</v>
      </c>
      <c r="T7765" t="s">
        <v>37962</v>
      </c>
    </row>
    <row r="7766" spans="1:20">
      <c r="A7766">
        <v>4671738</v>
      </c>
      <c r="B7766" t="s">
        <v>37963</v>
      </c>
      <c r="C7766" t="str">
        <f>"9780802047366"</f>
        <v>9780802047366</v>
      </c>
      <c r="D7766" t="str">
        <f>"9781442677371"</f>
        <v>9781442677371</v>
      </c>
      <c r="E7766" t="s">
        <v>31435</v>
      </c>
      <c r="F7766" t="s">
        <v>31435</v>
      </c>
      <c r="G7766" s="1">
        <v>36580</v>
      </c>
      <c r="I7766" t="s">
        <v>35029</v>
      </c>
      <c r="J7766" t="s">
        <v>37964</v>
      </c>
      <c r="K7766" t="s">
        <v>467</v>
      </c>
      <c r="L7766" t="s">
        <v>37965</v>
      </c>
      <c r="M7766">
        <v>320.51</v>
      </c>
      <c r="N7766" t="s">
        <v>37966</v>
      </c>
      <c r="O7766" t="s">
        <v>26</v>
      </c>
      <c r="Q7766">
        <v>115</v>
      </c>
      <c r="R7766">
        <v>92</v>
      </c>
      <c r="S7766">
        <v>138</v>
      </c>
      <c r="T7766" t="s">
        <v>37967</v>
      </c>
    </row>
    <row r="7767" spans="1:20">
      <c r="A7767">
        <v>4671739</v>
      </c>
      <c r="B7767" t="s">
        <v>37968</v>
      </c>
      <c r="C7767" t="str">
        <f>"9780802081780"</f>
        <v>9780802081780</v>
      </c>
      <c r="D7767" t="str">
        <f>"9781442677388"</f>
        <v>9781442677388</v>
      </c>
      <c r="E7767" t="s">
        <v>31435</v>
      </c>
      <c r="F7767" t="s">
        <v>31435</v>
      </c>
      <c r="G7767" s="1">
        <v>36161</v>
      </c>
      <c r="I7767" t="s">
        <v>36249</v>
      </c>
      <c r="J7767" t="s">
        <v>37969</v>
      </c>
      <c r="K7767" t="s">
        <v>416</v>
      </c>
      <c r="L7767" t="s">
        <v>37970</v>
      </c>
      <c r="M7767">
        <v>331.042236360971</v>
      </c>
      <c r="O7767" t="s">
        <v>26</v>
      </c>
      <c r="Q7767">
        <v>107.5</v>
      </c>
      <c r="R7767">
        <v>86</v>
      </c>
      <c r="S7767">
        <v>129</v>
      </c>
      <c r="T7767" t="s">
        <v>37971</v>
      </c>
    </row>
    <row r="7768" spans="1:20">
      <c r="A7768">
        <v>4671740</v>
      </c>
      <c r="B7768" t="s">
        <v>37972</v>
      </c>
      <c r="C7768" t="str">
        <f>"9780802037299"</f>
        <v>9780802037299</v>
      </c>
      <c r="D7768" t="str">
        <f>"9781442677401"</f>
        <v>9781442677401</v>
      </c>
      <c r="E7768" t="s">
        <v>31435</v>
      </c>
      <c r="F7768" t="s">
        <v>31435</v>
      </c>
      <c r="G7768" s="1">
        <v>37618</v>
      </c>
      <c r="I7768" t="s">
        <v>33775</v>
      </c>
      <c r="J7768" t="s">
        <v>37973</v>
      </c>
      <c r="K7768" t="s">
        <v>4081</v>
      </c>
      <c r="L7768" t="s">
        <v>37974</v>
      </c>
      <c r="M7768">
        <v>450</v>
      </c>
      <c r="N7768" t="s">
        <v>37975</v>
      </c>
      <c r="O7768" t="s">
        <v>26</v>
      </c>
      <c r="Q7768">
        <v>63.75</v>
      </c>
      <c r="R7768">
        <v>51</v>
      </c>
      <c r="S7768">
        <v>76.5</v>
      </c>
      <c r="T7768" t="s">
        <v>37976</v>
      </c>
    </row>
    <row r="7769" spans="1:20">
      <c r="A7769">
        <v>4671742</v>
      </c>
      <c r="B7769" t="s">
        <v>37977</v>
      </c>
      <c r="C7769" t="str">
        <f>"9780802089311"</f>
        <v>9780802089311</v>
      </c>
      <c r="D7769" t="str">
        <f>"9781442677456"</f>
        <v>9781442677456</v>
      </c>
      <c r="E7769" t="s">
        <v>31435</v>
      </c>
      <c r="F7769" t="s">
        <v>31435</v>
      </c>
      <c r="G7769" s="1">
        <v>37987</v>
      </c>
      <c r="H7769">
        <v>2</v>
      </c>
      <c r="I7769" t="s">
        <v>37978</v>
      </c>
      <c r="J7769" t="s">
        <v>37979</v>
      </c>
      <c r="K7769" t="s">
        <v>263</v>
      </c>
      <c r="L7769" t="s">
        <v>37980</v>
      </c>
      <c r="M7769">
        <v>305.23</v>
      </c>
      <c r="O7769" t="s">
        <v>26</v>
      </c>
      <c r="Q7769">
        <v>95</v>
      </c>
      <c r="R7769">
        <v>76</v>
      </c>
      <c r="S7769">
        <v>114</v>
      </c>
      <c r="T7769" t="s">
        <v>37981</v>
      </c>
    </row>
    <row r="7770" spans="1:20">
      <c r="A7770">
        <v>4671743</v>
      </c>
      <c r="B7770" t="s">
        <v>37982</v>
      </c>
      <c r="C7770" t="str">
        <f>"9780802009722"</f>
        <v>9780802009722</v>
      </c>
      <c r="D7770" t="str">
        <f>"9781442677463"</f>
        <v>9781442677463</v>
      </c>
      <c r="E7770" t="s">
        <v>31435</v>
      </c>
      <c r="F7770" t="s">
        <v>31435</v>
      </c>
      <c r="G7770" s="1">
        <v>35431</v>
      </c>
      <c r="I7770" t="s">
        <v>36953</v>
      </c>
      <c r="J7770" t="s">
        <v>37983</v>
      </c>
      <c r="K7770" t="s">
        <v>37984</v>
      </c>
      <c r="L7770" t="s">
        <v>37985</v>
      </c>
      <c r="M7770">
        <v>418.02</v>
      </c>
      <c r="O7770" t="s">
        <v>26</v>
      </c>
      <c r="Q7770">
        <v>78.75</v>
      </c>
      <c r="R7770">
        <v>63</v>
      </c>
      <c r="S7770">
        <v>94.5</v>
      </c>
      <c r="T7770" t="s">
        <v>37986</v>
      </c>
    </row>
    <row r="7771" spans="1:20">
      <c r="A7771">
        <v>4671744</v>
      </c>
      <c r="B7771" t="s">
        <v>37987</v>
      </c>
      <c r="C7771" t="str">
        <f>"9780802082817"</f>
        <v>9780802082817</v>
      </c>
      <c r="D7771" t="str">
        <f>"9781442677470"</f>
        <v>9781442677470</v>
      </c>
      <c r="E7771" t="s">
        <v>31435</v>
      </c>
      <c r="F7771" t="s">
        <v>31435</v>
      </c>
      <c r="G7771" s="1">
        <v>36161</v>
      </c>
      <c r="J7771" t="s">
        <v>37988</v>
      </c>
      <c r="K7771" t="s">
        <v>4562</v>
      </c>
      <c r="L7771" t="s">
        <v>37989</v>
      </c>
      <c r="M7771">
        <v>301.15730000000002</v>
      </c>
      <c r="O7771" t="s">
        <v>26</v>
      </c>
      <c r="Q7771">
        <v>111.25</v>
      </c>
      <c r="R7771">
        <v>89</v>
      </c>
      <c r="S7771">
        <v>133.5</v>
      </c>
      <c r="T7771" t="s">
        <v>37990</v>
      </c>
    </row>
    <row r="7772" spans="1:20">
      <c r="A7772">
        <v>4671745</v>
      </c>
      <c r="B7772" t="s">
        <v>37991</v>
      </c>
      <c r="C7772" t="str">
        <f>"9780802057372"</f>
        <v>9780802057372</v>
      </c>
      <c r="D7772" t="str">
        <f>"9781442677487"</f>
        <v>9781442677487</v>
      </c>
      <c r="E7772" t="s">
        <v>31435</v>
      </c>
      <c r="F7772" t="s">
        <v>31435</v>
      </c>
      <c r="G7772" s="1">
        <v>31778</v>
      </c>
      <c r="J7772" t="s">
        <v>37992</v>
      </c>
      <c r="K7772" t="s">
        <v>291</v>
      </c>
      <c r="L7772" t="s">
        <v>37993</v>
      </c>
      <c r="M7772">
        <v>947.71084092399894</v>
      </c>
      <c r="O7772" t="s">
        <v>26</v>
      </c>
      <c r="Q7772">
        <v>77.5</v>
      </c>
      <c r="R7772">
        <v>62</v>
      </c>
      <c r="S7772">
        <v>93</v>
      </c>
      <c r="T7772" t="s">
        <v>37994</v>
      </c>
    </row>
    <row r="7773" spans="1:20">
      <c r="A7773">
        <v>4671746</v>
      </c>
      <c r="B7773" t="s">
        <v>37995</v>
      </c>
      <c r="C7773" t="str">
        <f>"9780802077455"</f>
        <v>9780802077455</v>
      </c>
      <c r="D7773" t="str">
        <f>"9781442677494"</f>
        <v>9781442677494</v>
      </c>
      <c r="E7773" t="s">
        <v>31435</v>
      </c>
      <c r="F7773" t="s">
        <v>31435</v>
      </c>
      <c r="G7773" s="1">
        <v>33970</v>
      </c>
      <c r="H7773">
        <v>2</v>
      </c>
      <c r="J7773" t="s">
        <v>37996</v>
      </c>
      <c r="K7773" t="s">
        <v>18145</v>
      </c>
      <c r="L7773" t="s">
        <v>37997</v>
      </c>
      <c r="M7773">
        <v>155.63300000000001</v>
      </c>
      <c r="O7773" t="s">
        <v>26</v>
      </c>
      <c r="Q7773">
        <v>59.94</v>
      </c>
      <c r="R7773">
        <v>47.95</v>
      </c>
      <c r="S7773">
        <v>71.930000000000007</v>
      </c>
      <c r="T7773" t="s">
        <v>37998</v>
      </c>
    </row>
    <row r="7774" spans="1:20">
      <c r="A7774">
        <v>4671747</v>
      </c>
      <c r="B7774" t="s">
        <v>37999</v>
      </c>
      <c r="C7774" t="str">
        <f>"9780802058386"</f>
        <v>9780802058386</v>
      </c>
      <c r="D7774" t="str">
        <f>"9781442677531"</f>
        <v>9781442677531</v>
      </c>
      <c r="E7774" t="s">
        <v>31435</v>
      </c>
      <c r="F7774" t="s">
        <v>31435</v>
      </c>
      <c r="G7774" s="1">
        <v>32874</v>
      </c>
      <c r="I7774" t="s">
        <v>34565</v>
      </c>
      <c r="J7774" t="s">
        <v>38000</v>
      </c>
      <c r="K7774" t="s">
        <v>1464</v>
      </c>
      <c r="L7774" t="s">
        <v>38001</v>
      </c>
      <c r="M7774">
        <v>809.923</v>
      </c>
      <c r="O7774" t="s">
        <v>26</v>
      </c>
      <c r="Q7774">
        <v>91.25</v>
      </c>
      <c r="R7774">
        <v>73</v>
      </c>
      <c r="S7774">
        <v>109.5</v>
      </c>
      <c r="T7774" t="s">
        <v>38002</v>
      </c>
    </row>
    <row r="7775" spans="1:20">
      <c r="A7775">
        <v>4671748</v>
      </c>
      <c r="B7775" t="s">
        <v>38003</v>
      </c>
      <c r="C7775" t="str">
        <f>"9780802089861"</f>
        <v>9780802089861</v>
      </c>
      <c r="D7775" t="str">
        <f>"9781442677548"</f>
        <v>9781442677548</v>
      </c>
      <c r="E7775" t="s">
        <v>31435</v>
      </c>
      <c r="F7775" t="s">
        <v>31435</v>
      </c>
      <c r="G7775" s="1">
        <v>41773</v>
      </c>
      <c r="J7775" t="s">
        <v>38004</v>
      </c>
      <c r="K7775" t="s">
        <v>1464</v>
      </c>
      <c r="L7775" t="s">
        <v>38005</v>
      </c>
      <c r="M7775">
        <v>823.91209219999996</v>
      </c>
      <c r="O7775" t="s">
        <v>26</v>
      </c>
      <c r="Q7775">
        <v>83.75</v>
      </c>
      <c r="R7775">
        <v>67</v>
      </c>
      <c r="S7775">
        <v>100.5</v>
      </c>
      <c r="T7775" t="s">
        <v>38006</v>
      </c>
    </row>
    <row r="7776" spans="1:20">
      <c r="A7776">
        <v>4671749</v>
      </c>
      <c r="B7776" t="s">
        <v>38007</v>
      </c>
      <c r="C7776" t="str">
        <f>"9780802085337"</f>
        <v>9780802085337</v>
      </c>
      <c r="D7776" t="str">
        <f>"9781442677555"</f>
        <v>9781442677555</v>
      </c>
      <c r="E7776" t="s">
        <v>31435</v>
      </c>
      <c r="F7776" t="s">
        <v>31435</v>
      </c>
      <c r="G7776" s="1">
        <v>37987</v>
      </c>
      <c r="H7776">
        <v>2</v>
      </c>
      <c r="J7776" t="s">
        <v>38008</v>
      </c>
      <c r="K7776" t="s">
        <v>257</v>
      </c>
      <c r="L7776" t="s">
        <v>38009</v>
      </c>
      <c r="M7776">
        <v>373.71354100000002</v>
      </c>
      <c r="O7776" t="s">
        <v>26</v>
      </c>
      <c r="Q7776">
        <v>91.25</v>
      </c>
      <c r="R7776">
        <v>73</v>
      </c>
      <c r="S7776">
        <v>109.5</v>
      </c>
      <c r="T7776" t="s">
        <v>38010</v>
      </c>
    </row>
    <row r="7777" spans="1:20">
      <c r="A7777">
        <v>4671750</v>
      </c>
      <c r="B7777" t="s">
        <v>38011</v>
      </c>
      <c r="C7777" t="str">
        <f>"9780802036889"</f>
        <v>9780802036889</v>
      </c>
      <c r="D7777" t="str">
        <f>"9781442677562"</f>
        <v>9781442677562</v>
      </c>
      <c r="E7777" t="s">
        <v>31435</v>
      </c>
      <c r="F7777" t="s">
        <v>31435</v>
      </c>
      <c r="G7777" s="1">
        <v>37622</v>
      </c>
      <c r="I7777" t="s">
        <v>35056</v>
      </c>
      <c r="J7777" t="s">
        <v>38012</v>
      </c>
      <c r="K7777" t="s">
        <v>1464</v>
      </c>
      <c r="L7777" t="s">
        <v>38013</v>
      </c>
      <c r="M7777">
        <v>843.00935800000002</v>
      </c>
      <c r="O7777" t="s">
        <v>26</v>
      </c>
      <c r="Q7777">
        <v>115</v>
      </c>
      <c r="R7777">
        <v>92</v>
      </c>
      <c r="S7777">
        <v>138</v>
      </c>
      <c r="T7777" t="s">
        <v>38014</v>
      </c>
    </row>
    <row r="7778" spans="1:20">
      <c r="A7778">
        <v>4671751</v>
      </c>
      <c r="B7778" t="s">
        <v>38015</v>
      </c>
      <c r="C7778" t="str">
        <f>"9780802047229"</f>
        <v>9780802047229</v>
      </c>
      <c r="D7778" t="str">
        <f>"9781442677579"</f>
        <v>9781442677579</v>
      </c>
      <c r="E7778" t="s">
        <v>31435</v>
      </c>
      <c r="F7778" t="s">
        <v>31435</v>
      </c>
      <c r="G7778" s="1">
        <v>36677</v>
      </c>
      <c r="I7778" t="s">
        <v>33775</v>
      </c>
      <c r="J7778" t="s">
        <v>38016</v>
      </c>
      <c r="K7778" t="s">
        <v>1464</v>
      </c>
      <c r="L7778" t="s">
        <v>38017</v>
      </c>
      <c r="M7778">
        <v>853.91200000000003</v>
      </c>
      <c r="O7778" t="s">
        <v>26</v>
      </c>
      <c r="Q7778">
        <v>107.5</v>
      </c>
      <c r="R7778">
        <v>86</v>
      </c>
      <c r="S7778">
        <v>129</v>
      </c>
      <c r="T7778" t="s">
        <v>38018</v>
      </c>
    </row>
    <row r="7779" spans="1:20">
      <c r="A7779">
        <v>4671752</v>
      </c>
      <c r="B7779" t="s">
        <v>38019</v>
      </c>
      <c r="C7779" t="str">
        <f>"9780802086440"</f>
        <v>9780802086440</v>
      </c>
      <c r="D7779" t="str">
        <f>"9781442677586"</f>
        <v>9781442677586</v>
      </c>
      <c r="E7779" t="s">
        <v>31435</v>
      </c>
      <c r="F7779" t="s">
        <v>31435</v>
      </c>
      <c r="G7779" s="1">
        <v>36892</v>
      </c>
      <c r="H7779">
        <v>2</v>
      </c>
      <c r="I7779" t="s">
        <v>35029</v>
      </c>
      <c r="J7779" t="s">
        <v>37960</v>
      </c>
      <c r="K7779" t="s">
        <v>525</v>
      </c>
      <c r="L7779" t="s">
        <v>38020</v>
      </c>
      <c r="M7779">
        <v>340.11200000000002</v>
      </c>
      <c r="O7779" t="s">
        <v>26</v>
      </c>
      <c r="Q7779">
        <v>130</v>
      </c>
      <c r="R7779">
        <v>104</v>
      </c>
      <c r="S7779">
        <v>156</v>
      </c>
      <c r="T7779" t="s">
        <v>38021</v>
      </c>
    </row>
    <row r="7780" spans="1:20">
      <c r="A7780">
        <v>4671753</v>
      </c>
      <c r="B7780" t="s">
        <v>38022</v>
      </c>
      <c r="C7780" t="str">
        <f>"9780802026828"</f>
        <v>9780802026828</v>
      </c>
      <c r="D7780" t="str">
        <f>"9781442677593"</f>
        <v>9781442677593</v>
      </c>
      <c r="E7780" t="s">
        <v>31435</v>
      </c>
      <c r="F7780" t="s">
        <v>31435</v>
      </c>
      <c r="G7780" s="1">
        <v>32964</v>
      </c>
      <c r="I7780" t="s">
        <v>38023</v>
      </c>
      <c r="J7780" t="s">
        <v>38024</v>
      </c>
      <c r="K7780" t="s">
        <v>291</v>
      </c>
      <c r="L7780" t="s">
        <v>38025</v>
      </c>
      <c r="M7780">
        <v>939.4</v>
      </c>
      <c r="O7780" t="s">
        <v>26</v>
      </c>
      <c r="Q7780">
        <v>232.5</v>
      </c>
      <c r="R7780">
        <v>186</v>
      </c>
      <c r="S7780">
        <v>279</v>
      </c>
      <c r="T7780" t="s">
        <v>38026</v>
      </c>
    </row>
    <row r="7781" spans="1:20">
      <c r="A7781">
        <v>4671754</v>
      </c>
      <c r="B7781" t="s">
        <v>38027</v>
      </c>
      <c r="C7781" t="str">
        <f>"9780802083715"</f>
        <v>9780802083715</v>
      </c>
      <c r="D7781" t="str">
        <f>"9781442677616"</f>
        <v>9781442677616</v>
      </c>
      <c r="E7781" t="s">
        <v>31435</v>
      </c>
      <c r="F7781" t="s">
        <v>31435</v>
      </c>
      <c r="G7781" s="1">
        <v>36900</v>
      </c>
      <c r="I7781" t="s">
        <v>35251</v>
      </c>
      <c r="J7781" t="s">
        <v>38028</v>
      </c>
      <c r="K7781" t="s">
        <v>649</v>
      </c>
      <c r="L7781" t="s">
        <v>38029</v>
      </c>
      <c r="M7781">
        <v>4.6520000000000001</v>
      </c>
      <c r="O7781" t="s">
        <v>26</v>
      </c>
      <c r="Q7781">
        <v>100</v>
      </c>
      <c r="R7781">
        <v>80</v>
      </c>
      <c r="S7781">
        <v>120</v>
      </c>
      <c r="T7781" t="s">
        <v>38030</v>
      </c>
    </row>
    <row r="7782" spans="1:20">
      <c r="A7782">
        <v>4671755</v>
      </c>
      <c r="B7782" t="s">
        <v>38031</v>
      </c>
      <c r="C7782" t="str">
        <f>"9780802048813"</f>
        <v>9780802048813</v>
      </c>
      <c r="D7782" t="str">
        <f>"9781442677630"</f>
        <v>9781442677630</v>
      </c>
      <c r="E7782" t="s">
        <v>31435</v>
      </c>
      <c r="F7782" t="s">
        <v>31435</v>
      </c>
      <c r="G7782" s="1">
        <v>38523</v>
      </c>
      <c r="I7782" t="s">
        <v>36249</v>
      </c>
      <c r="J7782" t="s">
        <v>38032</v>
      </c>
      <c r="K7782" t="s">
        <v>568</v>
      </c>
      <c r="L7782" t="s">
        <v>38033</v>
      </c>
      <c r="M7782">
        <v>306.2</v>
      </c>
      <c r="N7782" t="s">
        <v>38034</v>
      </c>
      <c r="O7782" t="s">
        <v>26</v>
      </c>
      <c r="Q7782">
        <v>117.5</v>
      </c>
      <c r="R7782">
        <v>94</v>
      </c>
      <c r="S7782">
        <v>141</v>
      </c>
      <c r="T7782" t="s">
        <v>38035</v>
      </c>
    </row>
    <row r="7783" spans="1:20">
      <c r="A7783">
        <v>4671761</v>
      </c>
      <c r="B7783" t="s">
        <v>38036</v>
      </c>
      <c r="C7783" t="str">
        <f>"9780802048073"</f>
        <v>9780802048073</v>
      </c>
      <c r="D7783" t="str">
        <f>"9781442677739"</f>
        <v>9781442677739</v>
      </c>
      <c r="E7783" t="s">
        <v>31435</v>
      </c>
      <c r="F7783" t="s">
        <v>31435</v>
      </c>
      <c r="G7783" s="1">
        <v>37622</v>
      </c>
      <c r="J7783" t="s">
        <v>38037</v>
      </c>
      <c r="K7783" t="s">
        <v>1471</v>
      </c>
      <c r="L7783" t="s">
        <v>38038</v>
      </c>
      <c r="M7783">
        <v>782.10919999999896</v>
      </c>
      <c r="O7783" t="s">
        <v>26</v>
      </c>
      <c r="Q7783">
        <v>100</v>
      </c>
      <c r="R7783">
        <v>80</v>
      </c>
      <c r="S7783">
        <v>120</v>
      </c>
      <c r="T7783" t="s">
        <v>38039</v>
      </c>
    </row>
    <row r="7784" spans="1:20">
      <c r="A7784">
        <v>4671763</v>
      </c>
      <c r="B7784" t="s">
        <v>38040</v>
      </c>
      <c r="C7784" t="str">
        <f>"9780802044372"</f>
        <v>9780802044372</v>
      </c>
      <c r="D7784" t="str">
        <f>"9781442677753"</f>
        <v>9781442677753</v>
      </c>
      <c r="E7784" t="s">
        <v>31435</v>
      </c>
      <c r="F7784" t="s">
        <v>31435</v>
      </c>
      <c r="G7784" s="1">
        <v>36526</v>
      </c>
      <c r="J7784" t="s">
        <v>38041</v>
      </c>
      <c r="K7784" t="s">
        <v>416</v>
      </c>
      <c r="L7784" t="s">
        <v>38042</v>
      </c>
      <c r="M7784">
        <v>330.07107139999903</v>
      </c>
      <c r="O7784" t="s">
        <v>26</v>
      </c>
      <c r="Q7784">
        <v>91.25</v>
      </c>
      <c r="R7784">
        <v>73</v>
      </c>
      <c r="S7784">
        <v>109.5</v>
      </c>
      <c r="T7784" t="s">
        <v>38043</v>
      </c>
    </row>
    <row r="7785" spans="1:20">
      <c r="A7785">
        <v>4671764</v>
      </c>
      <c r="B7785" t="s">
        <v>38044</v>
      </c>
      <c r="C7785" t="str">
        <f>"9780802082596"</f>
        <v>9780802082596</v>
      </c>
      <c r="D7785" t="str">
        <f>"9781442677760"</f>
        <v>9781442677760</v>
      </c>
      <c r="E7785" t="s">
        <v>31435</v>
      </c>
      <c r="F7785" t="s">
        <v>31435</v>
      </c>
      <c r="G7785" s="1">
        <v>36491</v>
      </c>
      <c r="I7785" t="s">
        <v>34693</v>
      </c>
      <c r="J7785" t="s">
        <v>23151</v>
      </c>
      <c r="K7785" t="s">
        <v>263</v>
      </c>
      <c r="L7785" t="s">
        <v>38045</v>
      </c>
      <c r="M7785">
        <v>306.85097100000002</v>
      </c>
      <c r="O7785" t="s">
        <v>26</v>
      </c>
      <c r="Q7785">
        <v>100</v>
      </c>
      <c r="R7785">
        <v>80</v>
      </c>
      <c r="S7785">
        <v>120</v>
      </c>
      <c r="T7785" t="s">
        <v>38046</v>
      </c>
    </row>
    <row r="7786" spans="1:20">
      <c r="A7786">
        <v>4671765</v>
      </c>
      <c r="B7786" t="s">
        <v>38047</v>
      </c>
      <c r="C7786" t="str">
        <f>"9780802083166"</f>
        <v>9780802083166</v>
      </c>
      <c r="D7786" t="str">
        <f>"9781442677777"</f>
        <v>9781442677777</v>
      </c>
      <c r="E7786" t="s">
        <v>31435</v>
      </c>
      <c r="F7786" t="s">
        <v>31435</v>
      </c>
      <c r="G7786" s="1">
        <v>36484</v>
      </c>
      <c r="I7786" t="s">
        <v>36107</v>
      </c>
      <c r="J7786" t="s">
        <v>38048</v>
      </c>
      <c r="K7786" t="s">
        <v>416</v>
      </c>
      <c r="L7786" t="s">
        <v>38049</v>
      </c>
      <c r="M7786">
        <v>338.88970999999901</v>
      </c>
      <c r="O7786" t="s">
        <v>26</v>
      </c>
      <c r="Q7786">
        <v>91.25</v>
      </c>
      <c r="R7786">
        <v>73</v>
      </c>
      <c r="S7786">
        <v>109.5</v>
      </c>
      <c r="T7786" t="s">
        <v>38050</v>
      </c>
    </row>
    <row r="7787" spans="1:20">
      <c r="A7787">
        <v>4671766</v>
      </c>
      <c r="B7787" t="s">
        <v>38051</v>
      </c>
      <c r="C7787" t="str">
        <f>"9780802069429"</f>
        <v>9780802069429</v>
      </c>
      <c r="D7787" t="str">
        <f>"9781442677784"</f>
        <v>9781442677784</v>
      </c>
      <c r="E7787" t="s">
        <v>31435</v>
      </c>
      <c r="F7787" t="s">
        <v>31435</v>
      </c>
      <c r="G7787" s="1">
        <v>34700</v>
      </c>
      <c r="H7787">
        <v>2</v>
      </c>
      <c r="J7787" t="s">
        <v>38052</v>
      </c>
      <c r="K7787" t="s">
        <v>1150</v>
      </c>
      <c r="L7787" t="s">
        <v>38053</v>
      </c>
      <c r="M7787">
        <v>796.35709714999905</v>
      </c>
      <c r="O7787" t="s">
        <v>26</v>
      </c>
      <c r="Q7787">
        <v>100</v>
      </c>
      <c r="R7787">
        <v>80</v>
      </c>
      <c r="S7787">
        <v>120</v>
      </c>
      <c r="T7787" t="s">
        <v>38054</v>
      </c>
    </row>
    <row r="7788" spans="1:20">
      <c r="A7788">
        <v>4671768</v>
      </c>
      <c r="B7788" t="s">
        <v>38055</v>
      </c>
      <c r="C7788" t="str">
        <f>"9780802037107"</f>
        <v>9780802037107</v>
      </c>
      <c r="D7788" t="str">
        <f>"9781442677807"</f>
        <v>9781442677807</v>
      </c>
      <c r="E7788" t="s">
        <v>31435</v>
      </c>
      <c r="F7788" t="s">
        <v>31435</v>
      </c>
      <c r="G7788" s="1">
        <v>37716</v>
      </c>
      <c r="I7788" t="s">
        <v>34756</v>
      </c>
      <c r="J7788" t="s">
        <v>38056</v>
      </c>
      <c r="K7788" t="s">
        <v>3860</v>
      </c>
      <c r="L7788" t="s">
        <v>38057</v>
      </c>
      <c r="M7788">
        <v>810.90049999999906</v>
      </c>
      <c r="O7788" t="s">
        <v>26</v>
      </c>
      <c r="Q7788">
        <v>227.5</v>
      </c>
      <c r="R7788">
        <v>182</v>
      </c>
      <c r="S7788">
        <v>273</v>
      </c>
      <c r="T7788" t="s">
        <v>38058</v>
      </c>
    </row>
    <row r="7789" spans="1:20">
      <c r="A7789">
        <v>4671769</v>
      </c>
      <c r="B7789" t="s">
        <v>38059</v>
      </c>
      <c r="C7789" t="str">
        <f>"9780802036025"</f>
        <v>9780802036025</v>
      </c>
      <c r="D7789" t="str">
        <f>"9781442677814"</f>
        <v>9781442677814</v>
      </c>
      <c r="E7789" t="s">
        <v>31435</v>
      </c>
      <c r="F7789" t="s">
        <v>31435</v>
      </c>
      <c r="G7789" s="1">
        <v>37257</v>
      </c>
      <c r="I7789" t="s">
        <v>34756</v>
      </c>
      <c r="J7789" t="s">
        <v>34548</v>
      </c>
      <c r="K7789" t="s">
        <v>1464</v>
      </c>
      <c r="L7789" t="s">
        <v>38060</v>
      </c>
      <c r="M7789">
        <v>809.93354999999895</v>
      </c>
      <c r="O7789" t="s">
        <v>26</v>
      </c>
      <c r="Q7789">
        <v>165</v>
      </c>
      <c r="R7789">
        <v>132</v>
      </c>
      <c r="S7789">
        <v>198</v>
      </c>
      <c r="T7789" t="s">
        <v>38061</v>
      </c>
    </row>
    <row r="7790" spans="1:20">
      <c r="A7790">
        <v>4671770</v>
      </c>
      <c r="B7790" t="s">
        <v>38062</v>
      </c>
      <c r="C7790" t="str">
        <f>"9780802039194"</f>
        <v>9780802039194</v>
      </c>
      <c r="D7790" t="str">
        <f>"9781442677821"</f>
        <v>9781442677821</v>
      </c>
      <c r="E7790" t="s">
        <v>31435</v>
      </c>
      <c r="F7790" t="s">
        <v>31435</v>
      </c>
      <c r="G7790" s="1">
        <v>38353</v>
      </c>
      <c r="H7790">
        <v>2</v>
      </c>
      <c r="I7790" t="s">
        <v>34756</v>
      </c>
      <c r="J7790" t="s">
        <v>38063</v>
      </c>
      <c r="K7790" t="s">
        <v>1464</v>
      </c>
      <c r="L7790" t="s">
        <v>38064</v>
      </c>
      <c r="M7790">
        <v>821.4</v>
      </c>
      <c r="O7790" t="s">
        <v>26</v>
      </c>
      <c r="Q7790">
        <v>155</v>
      </c>
      <c r="R7790">
        <v>124</v>
      </c>
      <c r="S7790">
        <v>186</v>
      </c>
      <c r="T7790" t="s">
        <v>38065</v>
      </c>
    </row>
    <row r="7791" spans="1:20">
      <c r="A7791">
        <v>4671771</v>
      </c>
      <c r="B7791" t="s">
        <v>38066</v>
      </c>
      <c r="C7791" t="str">
        <f>"9780802036964"</f>
        <v>9780802036964</v>
      </c>
      <c r="D7791" t="str">
        <f>"9781442677838"</f>
        <v>9781442677838</v>
      </c>
      <c r="E7791" t="s">
        <v>31435</v>
      </c>
      <c r="F7791" t="s">
        <v>31435</v>
      </c>
      <c r="G7791" s="1">
        <v>37711</v>
      </c>
      <c r="I7791" t="s">
        <v>34756</v>
      </c>
      <c r="J7791" t="s">
        <v>38067</v>
      </c>
      <c r="K7791" t="s">
        <v>3219</v>
      </c>
      <c r="L7791" t="s">
        <v>38068</v>
      </c>
      <c r="M7791">
        <v>909.82</v>
      </c>
      <c r="O7791" t="s">
        <v>26</v>
      </c>
      <c r="Q7791">
        <v>165</v>
      </c>
      <c r="R7791">
        <v>132</v>
      </c>
      <c r="S7791">
        <v>198</v>
      </c>
      <c r="T7791" t="s">
        <v>38069</v>
      </c>
    </row>
    <row r="7792" spans="1:20">
      <c r="A7792">
        <v>4671773</v>
      </c>
      <c r="B7792" t="s">
        <v>38070</v>
      </c>
      <c r="C7792" t="str">
        <f>"9780802079206"</f>
        <v>9780802079206</v>
      </c>
      <c r="D7792" t="str">
        <f>"9781442677845"</f>
        <v>9781442677845</v>
      </c>
      <c r="E7792" t="s">
        <v>31435</v>
      </c>
      <c r="F7792" t="s">
        <v>31435</v>
      </c>
      <c r="G7792" s="1">
        <v>36601</v>
      </c>
      <c r="I7792" t="s">
        <v>34756</v>
      </c>
      <c r="J7792" t="s">
        <v>38071</v>
      </c>
      <c r="K7792" t="s">
        <v>1892</v>
      </c>
      <c r="L7792" t="s">
        <v>38072</v>
      </c>
      <c r="M7792">
        <v>230</v>
      </c>
      <c r="O7792" t="s">
        <v>26</v>
      </c>
      <c r="Q7792">
        <v>147.5</v>
      </c>
      <c r="R7792">
        <v>118</v>
      </c>
      <c r="S7792">
        <v>177</v>
      </c>
      <c r="T7792" t="s">
        <v>38073</v>
      </c>
    </row>
    <row r="7793" spans="1:20">
      <c r="A7793">
        <v>4671774</v>
      </c>
      <c r="B7793" t="s">
        <v>38074</v>
      </c>
      <c r="C7793" t="str">
        <f>"9780802037206"</f>
        <v>9780802037206</v>
      </c>
      <c r="D7793" t="str">
        <f>"9781442677852"</f>
        <v>9781442677852</v>
      </c>
      <c r="E7793" t="s">
        <v>31435</v>
      </c>
      <c r="F7793" t="s">
        <v>31435</v>
      </c>
      <c r="G7793" s="1">
        <v>37667</v>
      </c>
      <c r="I7793" t="s">
        <v>35154</v>
      </c>
      <c r="J7793" t="s">
        <v>38075</v>
      </c>
      <c r="K7793" t="s">
        <v>1464</v>
      </c>
      <c r="L7793" t="s">
        <v>38076</v>
      </c>
      <c r="M7793">
        <v>801.95092</v>
      </c>
      <c r="O7793" t="s">
        <v>26</v>
      </c>
      <c r="Q7793">
        <v>100</v>
      </c>
      <c r="R7793">
        <v>80</v>
      </c>
      <c r="S7793">
        <v>120</v>
      </c>
      <c r="T7793" t="s">
        <v>38077</v>
      </c>
    </row>
    <row r="7794" spans="1:20">
      <c r="A7794">
        <v>4671775</v>
      </c>
      <c r="B7794" t="s">
        <v>38078</v>
      </c>
      <c r="C7794" t="str">
        <f>"9780802047526"</f>
        <v>9780802047526</v>
      </c>
      <c r="D7794" t="str">
        <f>"9781442677876"</f>
        <v>9781442677876</v>
      </c>
      <c r="E7794" t="s">
        <v>31435</v>
      </c>
      <c r="F7794" t="s">
        <v>31435</v>
      </c>
      <c r="G7794" s="1">
        <v>36526</v>
      </c>
      <c r="I7794" t="s">
        <v>34756</v>
      </c>
      <c r="J7794" t="s">
        <v>34548</v>
      </c>
      <c r="K7794" t="s">
        <v>1464</v>
      </c>
      <c r="L7794" t="s">
        <v>38079</v>
      </c>
      <c r="M7794">
        <v>801.95092</v>
      </c>
      <c r="O7794" t="s">
        <v>26</v>
      </c>
      <c r="Q7794">
        <v>143.75</v>
      </c>
      <c r="R7794">
        <v>115</v>
      </c>
      <c r="S7794">
        <v>172.5</v>
      </c>
      <c r="T7794" t="s">
        <v>38080</v>
      </c>
    </row>
    <row r="7795" spans="1:20">
      <c r="A7795">
        <v>4671776</v>
      </c>
      <c r="B7795" t="s">
        <v>38081</v>
      </c>
      <c r="C7795" t="str">
        <f>"9780802037664"</f>
        <v>9780802037664</v>
      </c>
      <c r="D7795" t="str">
        <f>"9781442677883"</f>
        <v>9781442677883</v>
      </c>
      <c r="E7795" t="s">
        <v>31435</v>
      </c>
      <c r="F7795" t="s">
        <v>31435</v>
      </c>
      <c r="G7795" s="1">
        <v>37850</v>
      </c>
      <c r="I7795" t="s">
        <v>34756</v>
      </c>
      <c r="J7795" t="s">
        <v>38082</v>
      </c>
      <c r="K7795" t="s">
        <v>1464</v>
      </c>
      <c r="L7795" t="s">
        <v>38083</v>
      </c>
      <c r="M7795">
        <v>801</v>
      </c>
      <c r="O7795" t="s">
        <v>26</v>
      </c>
      <c r="Q7795">
        <v>227.5</v>
      </c>
      <c r="R7795">
        <v>182</v>
      </c>
      <c r="S7795">
        <v>273</v>
      </c>
      <c r="T7795" t="s">
        <v>38084</v>
      </c>
    </row>
    <row r="7796" spans="1:20">
      <c r="A7796">
        <v>4671777</v>
      </c>
      <c r="B7796" t="s">
        <v>38085</v>
      </c>
      <c r="C7796" t="str">
        <f>"9780802039477"</f>
        <v>9780802039477</v>
      </c>
      <c r="D7796" t="str">
        <f>"9781442677890"</f>
        <v>9781442677890</v>
      </c>
      <c r="E7796" t="s">
        <v>31435</v>
      </c>
      <c r="F7796" t="s">
        <v>31435</v>
      </c>
      <c r="G7796" s="1">
        <v>38326</v>
      </c>
      <c r="H7796">
        <v>2</v>
      </c>
      <c r="I7796" t="s">
        <v>34756</v>
      </c>
      <c r="J7796" t="s">
        <v>38086</v>
      </c>
      <c r="K7796" t="s">
        <v>1464</v>
      </c>
      <c r="L7796" t="s">
        <v>38087</v>
      </c>
      <c r="M7796">
        <v>809</v>
      </c>
      <c r="N7796" t="s">
        <v>38088</v>
      </c>
      <c r="O7796" t="s">
        <v>26</v>
      </c>
      <c r="Q7796">
        <v>172.5</v>
      </c>
      <c r="R7796">
        <v>138</v>
      </c>
      <c r="S7796">
        <v>207</v>
      </c>
      <c r="T7796" t="s">
        <v>38089</v>
      </c>
    </row>
    <row r="7797" spans="1:20">
      <c r="A7797">
        <v>4671778</v>
      </c>
      <c r="B7797" t="s">
        <v>38090</v>
      </c>
      <c r="C7797" t="str">
        <f>"9781442626867"</f>
        <v>9781442626867</v>
      </c>
      <c r="D7797" t="str">
        <f>"9781442677906"</f>
        <v>9781442677906</v>
      </c>
      <c r="E7797" t="s">
        <v>31435</v>
      </c>
      <c r="F7797" t="s">
        <v>31435</v>
      </c>
      <c r="G7797" s="1">
        <v>35431</v>
      </c>
      <c r="I7797" t="s">
        <v>34756</v>
      </c>
      <c r="J7797" t="s">
        <v>34548</v>
      </c>
      <c r="K7797" t="s">
        <v>1892</v>
      </c>
      <c r="L7797" t="s">
        <v>38091</v>
      </c>
      <c r="M7797">
        <v>270</v>
      </c>
      <c r="O7797" t="s">
        <v>26</v>
      </c>
      <c r="Q7797">
        <v>178.75</v>
      </c>
      <c r="R7797">
        <v>143</v>
      </c>
      <c r="S7797">
        <v>214.5</v>
      </c>
      <c r="T7797" t="s">
        <v>38092</v>
      </c>
    </row>
    <row r="7798" spans="1:20">
      <c r="A7798">
        <v>4671779</v>
      </c>
      <c r="B7798" t="s">
        <v>38093</v>
      </c>
      <c r="C7798" t="str">
        <f>"9780802048271"</f>
        <v>9780802048271</v>
      </c>
      <c r="D7798" t="str">
        <f>"9781442677913"</f>
        <v>9781442677913</v>
      </c>
      <c r="E7798" t="s">
        <v>31435</v>
      </c>
      <c r="F7798" t="s">
        <v>31435</v>
      </c>
      <c r="G7798" s="1">
        <v>36557</v>
      </c>
      <c r="I7798" t="s">
        <v>34756</v>
      </c>
      <c r="J7798" t="s">
        <v>38094</v>
      </c>
      <c r="K7798" t="s">
        <v>1464</v>
      </c>
      <c r="L7798" t="s">
        <v>38079</v>
      </c>
      <c r="M7798">
        <v>801.95092</v>
      </c>
      <c r="O7798" t="s">
        <v>26</v>
      </c>
      <c r="Q7798">
        <v>186.25</v>
      </c>
      <c r="R7798">
        <v>149</v>
      </c>
      <c r="S7798">
        <v>223.5</v>
      </c>
      <c r="T7798" t="s">
        <v>38095</v>
      </c>
    </row>
    <row r="7799" spans="1:20">
      <c r="A7799">
        <v>4671780</v>
      </c>
      <c r="B7799" t="s">
        <v>38096</v>
      </c>
      <c r="C7799" t="str">
        <f>"9780802038241"</f>
        <v>9780802038241</v>
      </c>
      <c r="D7799" t="str">
        <f>"9781442677920"</f>
        <v>9781442677920</v>
      </c>
      <c r="E7799" t="s">
        <v>31435</v>
      </c>
      <c r="F7799" t="s">
        <v>31435</v>
      </c>
      <c r="G7799" s="1">
        <v>38353</v>
      </c>
      <c r="H7799">
        <v>2</v>
      </c>
      <c r="I7799" t="s">
        <v>34756</v>
      </c>
      <c r="J7799" t="s">
        <v>38097</v>
      </c>
      <c r="K7799" t="s">
        <v>1464</v>
      </c>
      <c r="L7799" t="s">
        <v>38098</v>
      </c>
      <c r="M7799">
        <v>820.9008</v>
      </c>
      <c r="O7799" t="s">
        <v>26</v>
      </c>
      <c r="Q7799">
        <v>155</v>
      </c>
      <c r="R7799">
        <v>124</v>
      </c>
      <c r="S7799">
        <v>186</v>
      </c>
      <c r="T7799" t="s">
        <v>38099</v>
      </c>
    </row>
    <row r="7800" spans="1:20">
      <c r="A7800">
        <v>4671781</v>
      </c>
      <c r="B7800" t="s">
        <v>38100</v>
      </c>
      <c r="C7800" t="str">
        <f>"9780802068859"</f>
        <v>9780802068859</v>
      </c>
      <c r="D7800" t="str">
        <f>"9781442677937"</f>
        <v>9781442677937</v>
      </c>
      <c r="E7800" t="s">
        <v>31435</v>
      </c>
      <c r="F7800" t="s">
        <v>31435</v>
      </c>
      <c r="G7800" s="1">
        <v>33970</v>
      </c>
      <c r="J7800" t="s">
        <v>38101</v>
      </c>
      <c r="K7800" t="s">
        <v>330</v>
      </c>
      <c r="L7800" t="s">
        <v>38102</v>
      </c>
      <c r="M7800">
        <v>363.70526000000001</v>
      </c>
      <c r="O7800" t="s">
        <v>26</v>
      </c>
      <c r="Q7800">
        <v>85</v>
      </c>
      <c r="R7800">
        <v>68</v>
      </c>
      <c r="S7800">
        <v>102</v>
      </c>
      <c r="T7800" t="s">
        <v>38103</v>
      </c>
    </row>
    <row r="7801" spans="1:20">
      <c r="A7801">
        <v>4671782</v>
      </c>
      <c r="B7801" t="s">
        <v>38104</v>
      </c>
      <c r="C7801" t="str">
        <f>"9780802075956"</f>
        <v>9780802075956</v>
      </c>
      <c r="D7801" t="str">
        <f>"9781442677944"</f>
        <v>9781442677944</v>
      </c>
      <c r="E7801" t="s">
        <v>31435</v>
      </c>
      <c r="F7801" t="s">
        <v>31435</v>
      </c>
      <c r="G7801" s="1">
        <v>35431</v>
      </c>
      <c r="H7801">
        <v>2</v>
      </c>
      <c r="J7801" t="s">
        <v>38105</v>
      </c>
      <c r="K7801" t="s">
        <v>2312</v>
      </c>
      <c r="L7801" t="s">
        <v>38106</v>
      </c>
      <c r="M7801">
        <v>323.32240000000002</v>
      </c>
      <c r="O7801" t="s">
        <v>26</v>
      </c>
      <c r="Q7801">
        <v>91.25</v>
      </c>
      <c r="R7801">
        <v>73</v>
      </c>
      <c r="S7801">
        <v>109.5</v>
      </c>
      <c r="T7801" t="s">
        <v>38107</v>
      </c>
    </row>
    <row r="7802" spans="1:20">
      <c r="A7802">
        <v>4671783</v>
      </c>
      <c r="B7802" t="s">
        <v>38108</v>
      </c>
      <c r="C7802" t="str">
        <f>"9780802037473"</f>
        <v>9780802037473</v>
      </c>
      <c r="D7802" t="str">
        <f>"9781442677951"</f>
        <v>9781442677951</v>
      </c>
      <c r="E7802" t="s">
        <v>31435</v>
      </c>
      <c r="F7802" t="s">
        <v>31435</v>
      </c>
      <c r="G7802" s="1">
        <v>37833</v>
      </c>
      <c r="I7802" t="s">
        <v>34035</v>
      </c>
      <c r="J7802" t="s">
        <v>38109</v>
      </c>
      <c r="K7802" t="s">
        <v>1464</v>
      </c>
      <c r="L7802" t="s">
        <v>38110</v>
      </c>
      <c r="M7802">
        <v>843.8</v>
      </c>
      <c r="N7802" t="s">
        <v>38111</v>
      </c>
      <c r="O7802" t="s">
        <v>26</v>
      </c>
      <c r="Q7802">
        <v>59.94</v>
      </c>
      <c r="R7802">
        <v>47.95</v>
      </c>
      <c r="S7802">
        <v>71.930000000000007</v>
      </c>
      <c r="T7802" t="s">
        <v>38112</v>
      </c>
    </row>
    <row r="7803" spans="1:20">
      <c r="A7803">
        <v>4671784</v>
      </c>
      <c r="B7803" t="s">
        <v>38113</v>
      </c>
      <c r="C7803" t="str">
        <f>"9780802044716"</f>
        <v>9780802044716</v>
      </c>
      <c r="D7803" t="str">
        <f>"9781442677968"</f>
        <v>9781442677968</v>
      </c>
      <c r="E7803" t="s">
        <v>31435</v>
      </c>
      <c r="F7803" t="s">
        <v>31435</v>
      </c>
      <c r="G7803" s="1">
        <v>36739</v>
      </c>
      <c r="J7803" t="s">
        <v>38114</v>
      </c>
      <c r="K7803" t="s">
        <v>291</v>
      </c>
      <c r="L7803" t="s">
        <v>38115</v>
      </c>
      <c r="M7803">
        <v>941.06092000000001</v>
      </c>
      <c r="O7803" t="s">
        <v>26</v>
      </c>
      <c r="Q7803">
        <v>123.75</v>
      </c>
      <c r="R7803">
        <v>99</v>
      </c>
      <c r="S7803">
        <v>148.5</v>
      </c>
      <c r="T7803" t="s">
        <v>38116</v>
      </c>
    </row>
    <row r="7804" spans="1:20">
      <c r="A7804">
        <v>4671786</v>
      </c>
      <c r="B7804" t="s">
        <v>38117</v>
      </c>
      <c r="C7804" t="str">
        <f>"9780802081315"</f>
        <v>9780802081315</v>
      </c>
      <c r="D7804" t="str">
        <f>"9781442677982"</f>
        <v>9781442677982</v>
      </c>
      <c r="E7804" t="s">
        <v>31435</v>
      </c>
      <c r="F7804" t="s">
        <v>31435</v>
      </c>
      <c r="G7804" s="1">
        <v>35431</v>
      </c>
      <c r="I7804" t="s">
        <v>31443</v>
      </c>
      <c r="J7804" t="s">
        <v>38118</v>
      </c>
      <c r="K7804" t="s">
        <v>291</v>
      </c>
      <c r="L7804" t="s">
        <v>38119</v>
      </c>
      <c r="M7804">
        <v>940.54494099999897</v>
      </c>
      <c r="O7804" t="s">
        <v>26</v>
      </c>
      <c r="Q7804">
        <v>59.94</v>
      </c>
      <c r="R7804">
        <v>47.95</v>
      </c>
      <c r="S7804">
        <v>71.930000000000007</v>
      </c>
      <c r="T7804" t="s">
        <v>38120</v>
      </c>
    </row>
    <row r="7805" spans="1:20">
      <c r="A7805">
        <v>4671787</v>
      </c>
      <c r="B7805" t="s">
        <v>38121</v>
      </c>
      <c r="C7805" t="str">
        <f>"9780802086051"</f>
        <v>9780802086051</v>
      </c>
      <c r="D7805" t="str">
        <f>"9781442677999"</f>
        <v>9781442677999</v>
      </c>
      <c r="E7805" t="s">
        <v>31435</v>
      </c>
      <c r="F7805" t="s">
        <v>31435</v>
      </c>
      <c r="G7805" s="1">
        <v>37771</v>
      </c>
      <c r="H7805">
        <v>2</v>
      </c>
      <c r="J7805" t="s">
        <v>38122</v>
      </c>
      <c r="K7805" t="s">
        <v>1464</v>
      </c>
      <c r="L7805" t="s">
        <v>38123</v>
      </c>
      <c r="M7805">
        <v>822.33</v>
      </c>
      <c r="O7805" t="s">
        <v>26</v>
      </c>
      <c r="Q7805">
        <v>135</v>
      </c>
      <c r="R7805">
        <v>108</v>
      </c>
      <c r="S7805">
        <v>162</v>
      </c>
      <c r="T7805" t="s">
        <v>38124</v>
      </c>
    </row>
    <row r="7806" spans="1:20">
      <c r="A7806">
        <v>4671788</v>
      </c>
      <c r="B7806" t="s">
        <v>38125</v>
      </c>
      <c r="C7806" t="str">
        <f>"9780802081926"</f>
        <v>9780802081926</v>
      </c>
      <c r="D7806" t="str">
        <f>"9781442678002"</f>
        <v>9781442678002</v>
      </c>
      <c r="E7806" t="s">
        <v>31435</v>
      </c>
      <c r="F7806" t="s">
        <v>31435</v>
      </c>
      <c r="G7806" s="1">
        <v>36892</v>
      </c>
      <c r="I7806" t="s">
        <v>31450</v>
      </c>
      <c r="J7806" t="s">
        <v>38126</v>
      </c>
      <c r="K7806" t="s">
        <v>263</v>
      </c>
      <c r="L7806" t="s">
        <v>38127</v>
      </c>
      <c r="M7806">
        <v>305.42</v>
      </c>
      <c r="O7806" t="s">
        <v>26</v>
      </c>
      <c r="Q7806">
        <v>115</v>
      </c>
      <c r="R7806">
        <v>92</v>
      </c>
      <c r="S7806">
        <v>138</v>
      </c>
      <c r="T7806" t="s">
        <v>38128</v>
      </c>
    </row>
    <row r="7807" spans="1:20">
      <c r="A7807">
        <v>4671789</v>
      </c>
      <c r="B7807" t="s">
        <v>38129</v>
      </c>
      <c r="C7807" t="str">
        <f>"9780802076625"</f>
        <v>9780802076625</v>
      </c>
      <c r="D7807" t="str">
        <f>"9781442678019"</f>
        <v>9781442678019</v>
      </c>
      <c r="E7807" t="s">
        <v>31435</v>
      </c>
      <c r="F7807" t="s">
        <v>31435</v>
      </c>
      <c r="G7807" s="1">
        <v>35431</v>
      </c>
      <c r="H7807">
        <v>2</v>
      </c>
      <c r="I7807" t="s">
        <v>36249</v>
      </c>
      <c r="J7807" t="s">
        <v>38130</v>
      </c>
      <c r="K7807" t="s">
        <v>416</v>
      </c>
      <c r="L7807" t="s">
        <v>38131</v>
      </c>
      <c r="M7807">
        <v>338.76223382097101</v>
      </c>
      <c r="O7807" t="s">
        <v>26</v>
      </c>
      <c r="Q7807">
        <v>115</v>
      </c>
      <c r="R7807">
        <v>92</v>
      </c>
      <c r="S7807">
        <v>138</v>
      </c>
      <c r="T7807" t="s">
        <v>38132</v>
      </c>
    </row>
    <row r="7808" spans="1:20">
      <c r="A7808">
        <v>4671791</v>
      </c>
      <c r="B7808" t="s">
        <v>38133</v>
      </c>
      <c r="C7808" t="str">
        <f>"9780802058737"</f>
        <v>9780802058737</v>
      </c>
      <c r="D7808" t="str">
        <f>"9781442678033"</f>
        <v>9781442678033</v>
      </c>
      <c r="E7808" t="s">
        <v>31435</v>
      </c>
      <c r="F7808" t="s">
        <v>31435</v>
      </c>
      <c r="G7808" s="1">
        <v>32874</v>
      </c>
      <c r="I7808" t="s">
        <v>35705</v>
      </c>
      <c r="J7808" t="s">
        <v>35714</v>
      </c>
      <c r="K7808" t="s">
        <v>4081</v>
      </c>
      <c r="L7808" t="s">
        <v>38134</v>
      </c>
      <c r="M7808">
        <v>499.9511</v>
      </c>
      <c r="O7808" t="s">
        <v>26</v>
      </c>
      <c r="Q7808">
        <v>358.75</v>
      </c>
      <c r="R7808">
        <v>287</v>
      </c>
      <c r="S7808">
        <v>430.5</v>
      </c>
      <c r="T7808" t="s">
        <v>38135</v>
      </c>
    </row>
    <row r="7809" spans="1:20">
      <c r="A7809">
        <v>4671792</v>
      </c>
      <c r="B7809" t="s">
        <v>38136</v>
      </c>
      <c r="C7809" t="str">
        <f>"9780802044709"</f>
        <v>9780802044709</v>
      </c>
      <c r="D7809" t="str">
        <f>"9781442678040"</f>
        <v>9781442678040</v>
      </c>
      <c r="E7809" t="s">
        <v>31435</v>
      </c>
      <c r="F7809" t="s">
        <v>31435</v>
      </c>
      <c r="G7809" s="1">
        <v>36903</v>
      </c>
      <c r="I7809" t="s">
        <v>35203</v>
      </c>
      <c r="J7809" t="s">
        <v>38137</v>
      </c>
      <c r="K7809" t="s">
        <v>1892</v>
      </c>
      <c r="L7809" t="s">
        <v>38138</v>
      </c>
      <c r="M7809">
        <v>223.205289999999</v>
      </c>
      <c r="N7809" t="s">
        <v>38139</v>
      </c>
      <c r="O7809" t="s">
        <v>26</v>
      </c>
      <c r="Q7809">
        <v>186.25</v>
      </c>
      <c r="R7809">
        <v>149</v>
      </c>
      <c r="S7809">
        <v>223.5</v>
      </c>
      <c r="T7809" t="s">
        <v>38140</v>
      </c>
    </row>
    <row r="7810" spans="1:20">
      <c r="A7810">
        <v>4671793</v>
      </c>
      <c r="B7810" t="s">
        <v>38141</v>
      </c>
      <c r="C7810" t="str">
        <f>"9780802025692"</f>
        <v>9780802025692</v>
      </c>
      <c r="D7810" t="str">
        <f>"9781442678057"</f>
        <v>9781442678057</v>
      </c>
      <c r="E7810" t="s">
        <v>31435</v>
      </c>
      <c r="F7810" t="s">
        <v>31435</v>
      </c>
      <c r="G7810" s="1">
        <v>31352</v>
      </c>
      <c r="J7810" t="s">
        <v>38142</v>
      </c>
      <c r="K7810" t="s">
        <v>1464</v>
      </c>
      <c r="L7810" t="s">
        <v>38143</v>
      </c>
      <c r="M7810">
        <v>829.1</v>
      </c>
      <c r="O7810" t="s">
        <v>26</v>
      </c>
      <c r="Q7810">
        <v>67.5</v>
      </c>
      <c r="R7810">
        <v>54</v>
      </c>
      <c r="S7810">
        <v>81</v>
      </c>
      <c r="T7810" t="s">
        <v>38144</v>
      </c>
    </row>
    <row r="7811" spans="1:20">
      <c r="A7811">
        <v>4671794</v>
      </c>
      <c r="B7811" t="s">
        <v>38145</v>
      </c>
      <c r="C7811" t="str">
        <f>"9780802041388"</f>
        <v>9780802041388</v>
      </c>
      <c r="D7811" t="str">
        <f>"9781442678064"</f>
        <v>9781442678064</v>
      </c>
      <c r="E7811" t="s">
        <v>31435</v>
      </c>
      <c r="F7811" t="s">
        <v>31435</v>
      </c>
      <c r="G7811" s="1">
        <v>35522</v>
      </c>
      <c r="H7811">
        <v>74</v>
      </c>
      <c r="J7811" t="s">
        <v>35275</v>
      </c>
      <c r="K7811" t="s">
        <v>1464</v>
      </c>
      <c r="L7811" t="s">
        <v>38146</v>
      </c>
      <c r="M7811">
        <v>809.93350999999905</v>
      </c>
      <c r="O7811" t="s">
        <v>26</v>
      </c>
      <c r="Q7811">
        <v>96.25</v>
      </c>
      <c r="R7811">
        <v>77</v>
      </c>
      <c r="S7811">
        <v>115.5</v>
      </c>
      <c r="T7811" t="s">
        <v>38147</v>
      </c>
    </row>
    <row r="7812" spans="1:20">
      <c r="A7812">
        <v>4671795</v>
      </c>
      <c r="B7812" t="s">
        <v>38148</v>
      </c>
      <c r="C7812" t="str">
        <f>"9780802081292"</f>
        <v>9780802081292</v>
      </c>
      <c r="D7812" t="str">
        <f>"9781442678071"</f>
        <v>9781442678071</v>
      </c>
      <c r="E7812" t="s">
        <v>31435</v>
      </c>
      <c r="F7812" t="s">
        <v>31435</v>
      </c>
      <c r="G7812" s="1">
        <v>35957</v>
      </c>
      <c r="I7812" t="s">
        <v>31443</v>
      </c>
      <c r="J7812" t="s">
        <v>38149</v>
      </c>
      <c r="K7812" t="s">
        <v>263</v>
      </c>
      <c r="L7812" t="s">
        <v>38150</v>
      </c>
      <c r="M7812">
        <v>301.07220000000001</v>
      </c>
      <c r="N7812" t="s">
        <v>38151</v>
      </c>
      <c r="O7812" t="s">
        <v>26</v>
      </c>
      <c r="Q7812">
        <v>115</v>
      </c>
      <c r="R7812">
        <v>92</v>
      </c>
      <c r="S7812">
        <v>138</v>
      </c>
      <c r="T7812" t="s">
        <v>38152</v>
      </c>
    </row>
    <row r="7813" spans="1:20">
      <c r="A7813">
        <v>4671796</v>
      </c>
      <c r="B7813" t="s">
        <v>38153</v>
      </c>
      <c r="C7813" t="str">
        <f>"9780802048660"</f>
        <v>9780802048660</v>
      </c>
      <c r="D7813" t="str">
        <f>"9781442678095"</f>
        <v>9781442678095</v>
      </c>
      <c r="E7813" t="s">
        <v>31435</v>
      </c>
      <c r="F7813" t="s">
        <v>31435</v>
      </c>
      <c r="G7813" s="1">
        <v>37009</v>
      </c>
      <c r="J7813" t="s">
        <v>38154</v>
      </c>
      <c r="K7813" t="s">
        <v>76</v>
      </c>
      <c r="L7813" t="s">
        <v>38155</v>
      </c>
      <c r="M7813">
        <v>636.20097129999897</v>
      </c>
      <c r="O7813" t="s">
        <v>26</v>
      </c>
      <c r="Q7813">
        <v>100</v>
      </c>
      <c r="R7813">
        <v>80</v>
      </c>
      <c r="S7813">
        <v>120</v>
      </c>
      <c r="T7813" t="s">
        <v>38156</v>
      </c>
    </row>
    <row r="7814" spans="1:20">
      <c r="A7814">
        <v>4671797</v>
      </c>
      <c r="B7814" t="s">
        <v>38157</v>
      </c>
      <c r="C7814" t="str">
        <f>"9780802083647"</f>
        <v>9780802083647</v>
      </c>
      <c r="D7814" t="str">
        <f>"9781442678101"</f>
        <v>9781442678101</v>
      </c>
      <c r="E7814" t="s">
        <v>31435</v>
      </c>
      <c r="F7814" t="s">
        <v>31435</v>
      </c>
      <c r="G7814" s="1">
        <v>36526</v>
      </c>
      <c r="J7814" t="s">
        <v>38158</v>
      </c>
      <c r="K7814" t="s">
        <v>257</v>
      </c>
      <c r="L7814" t="s">
        <v>38159</v>
      </c>
      <c r="M7814">
        <v>373.12912097129902</v>
      </c>
      <c r="O7814" t="s">
        <v>26</v>
      </c>
      <c r="Q7814">
        <v>121.25</v>
      </c>
      <c r="R7814">
        <v>97</v>
      </c>
      <c r="S7814">
        <v>145.5</v>
      </c>
      <c r="T7814" t="s">
        <v>38160</v>
      </c>
    </row>
    <row r="7815" spans="1:20">
      <c r="A7815">
        <v>4671798</v>
      </c>
      <c r="B7815" t="s">
        <v>38161</v>
      </c>
      <c r="C7815" t="str">
        <f>"9780802064639"</f>
        <v>9780802064639</v>
      </c>
      <c r="D7815" t="str">
        <f>"9781442678118"</f>
        <v>9781442678118</v>
      </c>
      <c r="E7815" t="s">
        <v>31435</v>
      </c>
      <c r="F7815" t="s">
        <v>31435</v>
      </c>
      <c r="G7815" s="1">
        <v>29952</v>
      </c>
      <c r="H7815">
        <v>2</v>
      </c>
      <c r="J7815" t="s">
        <v>38162</v>
      </c>
      <c r="K7815" t="s">
        <v>525</v>
      </c>
      <c r="L7815" t="s">
        <v>38163</v>
      </c>
      <c r="M7815">
        <v>345.71050000000002</v>
      </c>
      <c r="O7815" t="s">
        <v>26</v>
      </c>
      <c r="Q7815">
        <v>59.94</v>
      </c>
      <c r="R7815">
        <v>47.95</v>
      </c>
      <c r="S7815">
        <v>71.930000000000007</v>
      </c>
      <c r="T7815" t="s">
        <v>38164</v>
      </c>
    </row>
    <row r="7816" spans="1:20">
      <c r="A7816">
        <v>4671799</v>
      </c>
      <c r="B7816" t="s">
        <v>38165</v>
      </c>
      <c r="C7816" t="str">
        <f>"9780802028655"</f>
        <v>9780802028655</v>
      </c>
      <c r="D7816" t="str">
        <f>"9781442678132"</f>
        <v>9781442678132</v>
      </c>
      <c r="E7816" t="s">
        <v>31435</v>
      </c>
      <c r="F7816" t="s">
        <v>31435</v>
      </c>
      <c r="G7816" s="1">
        <v>34335</v>
      </c>
      <c r="H7816">
        <v>17</v>
      </c>
      <c r="J7816" t="s">
        <v>38166</v>
      </c>
      <c r="K7816" t="s">
        <v>1859</v>
      </c>
      <c r="L7816" t="s">
        <v>38167</v>
      </c>
      <c r="M7816">
        <v>121</v>
      </c>
      <c r="O7816" t="s">
        <v>26</v>
      </c>
      <c r="Q7816">
        <v>123.75</v>
      </c>
      <c r="R7816">
        <v>99</v>
      </c>
      <c r="S7816">
        <v>148.5</v>
      </c>
      <c r="T7816" t="s">
        <v>38168</v>
      </c>
    </row>
    <row r="7817" spans="1:20">
      <c r="A7817">
        <v>4671800</v>
      </c>
      <c r="B7817" t="s">
        <v>38169</v>
      </c>
      <c r="C7817" t="str">
        <f>"9780802088123"</f>
        <v>9780802088123</v>
      </c>
      <c r="D7817" t="str">
        <f>"9781442678149"</f>
        <v>9781442678149</v>
      </c>
      <c r="E7817" t="s">
        <v>31435</v>
      </c>
      <c r="F7817" t="s">
        <v>31435</v>
      </c>
      <c r="G7817" s="1">
        <v>37987</v>
      </c>
      <c r="H7817">
        <v>2</v>
      </c>
      <c r="J7817" t="s">
        <v>38170</v>
      </c>
      <c r="K7817" t="s">
        <v>467</v>
      </c>
      <c r="L7817" t="s">
        <v>38171</v>
      </c>
      <c r="M7817">
        <v>320.01</v>
      </c>
      <c r="O7817" t="s">
        <v>26</v>
      </c>
      <c r="Q7817">
        <v>95</v>
      </c>
      <c r="R7817">
        <v>76</v>
      </c>
      <c r="S7817">
        <v>114</v>
      </c>
      <c r="T7817" t="s">
        <v>38172</v>
      </c>
    </row>
    <row r="7818" spans="1:20">
      <c r="A7818">
        <v>4671801</v>
      </c>
      <c r="B7818" t="s">
        <v>38173</v>
      </c>
      <c r="C7818" t="str">
        <f>"9780802082756"</f>
        <v>9780802082756</v>
      </c>
      <c r="D7818" t="str">
        <f>"9781442678163"</f>
        <v>9781442678163</v>
      </c>
      <c r="E7818" t="s">
        <v>31435</v>
      </c>
      <c r="F7818" t="s">
        <v>31435</v>
      </c>
      <c r="G7818" s="1">
        <v>36946</v>
      </c>
      <c r="J7818" t="s">
        <v>38174</v>
      </c>
      <c r="K7818" t="s">
        <v>263</v>
      </c>
      <c r="L7818" t="s">
        <v>38175</v>
      </c>
      <c r="M7818">
        <v>362.71209709999903</v>
      </c>
      <c r="N7818" t="s">
        <v>38176</v>
      </c>
      <c r="O7818" t="s">
        <v>26</v>
      </c>
      <c r="Q7818">
        <v>143.75</v>
      </c>
      <c r="R7818">
        <v>115</v>
      </c>
      <c r="S7818">
        <v>172.5</v>
      </c>
      <c r="T7818" t="s">
        <v>38177</v>
      </c>
    </row>
    <row r="7819" spans="1:20">
      <c r="A7819">
        <v>4671802</v>
      </c>
      <c r="B7819" t="s">
        <v>38178</v>
      </c>
      <c r="C7819" t="str">
        <f>"9780802035929"</f>
        <v>9780802035929</v>
      </c>
      <c r="D7819" t="str">
        <f>"9781442678170"</f>
        <v>9781442678170</v>
      </c>
      <c r="E7819" t="s">
        <v>31435</v>
      </c>
      <c r="F7819" t="s">
        <v>31435</v>
      </c>
      <c r="G7819" s="1">
        <v>37257</v>
      </c>
      <c r="J7819" t="s">
        <v>38179</v>
      </c>
      <c r="K7819" t="s">
        <v>291</v>
      </c>
      <c r="L7819" t="s">
        <v>38180</v>
      </c>
      <c r="M7819">
        <v>940.37135409999905</v>
      </c>
      <c r="O7819" t="s">
        <v>26</v>
      </c>
      <c r="Q7819">
        <v>91.25</v>
      </c>
      <c r="R7819">
        <v>73</v>
      </c>
      <c r="S7819">
        <v>109.5</v>
      </c>
      <c r="T7819" t="s">
        <v>38181</v>
      </c>
    </row>
    <row r="7820" spans="1:20">
      <c r="A7820">
        <v>4671803</v>
      </c>
      <c r="B7820" t="s">
        <v>38182</v>
      </c>
      <c r="C7820" t="str">
        <f>"9780802073976"</f>
        <v>9780802073976</v>
      </c>
      <c r="D7820" t="str">
        <f>"9781442678187"</f>
        <v>9781442678187</v>
      </c>
      <c r="E7820" t="s">
        <v>31435</v>
      </c>
      <c r="F7820" t="s">
        <v>31435</v>
      </c>
      <c r="G7820" s="1">
        <v>33970</v>
      </c>
      <c r="H7820">
        <v>2</v>
      </c>
      <c r="I7820" t="s">
        <v>31443</v>
      </c>
      <c r="J7820" t="s">
        <v>38183</v>
      </c>
      <c r="K7820" t="s">
        <v>3230</v>
      </c>
      <c r="L7820" t="s">
        <v>38184</v>
      </c>
      <c r="M7820">
        <v>910.91632000000004</v>
      </c>
      <c r="O7820" t="s">
        <v>26</v>
      </c>
      <c r="Q7820">
        <v>59.94</v>
      </c>
      <c r="R7820">
        <v>47.95</v>
      </c>
      <c r="S7820">
        <v>71.930000000000007</v>
      </c>
      <c r="T7820" t="s">
        <v>38185</v>
      </c>
    </row>
    <row r="7821" spans="1:20">
      <c r="A7821">
        <v>4671804</v>
      </c>
      <c r="B7821" t="s">
        <v>38186</v>
      </c>
      <c r="C7821" t="str">
        <f>"9780802035158"</f>
        <v>9780802035158</v>
      </c>
      <c r="D7821" t="str">
        <f>"9781442678194"</f>
        <v>9781442678194</v>
      </c>
      <c r="E7821" t="s">
        <v>31435</v>
      </c>
      <c r="F7821" t="s">
        <v>31435</v>
      </c>
      <c r="G7821" s="1">
        <v>37191</v>
      </c>
      <c r="J7821" t="s">
        <v>38187</v>
      </c>
      <c r="K7821" t="s">
        <v>1464</v>
      </c>
      <c r="L7821" t="s">
        <v>38188</v>
      </c>
      <c r="M7821">
        <v>809.93349999999896</v>
      </c>
      <c r="N7821" t="s">
        <v>38189</v>
      </c>
      <c r="O7821" t="s">
        <v>26</v>
      </c>
      <c r="Q7821">
        <v>123.75</v>
      </c>
      <c r="R7821">
        <v>99</v>
      </c>
      <c r="S7821">
        <v>148.5</v>
      </c>
      <c r="T7821" t="s">
        <v>38190</v>
      </c>
    </row>
    <row r="7822" spans="1:20">
      <c r="A7822">
        <v>4671805</v>
      </c>
      <c r="B7822" t="s">
        <v>38191</v>
      </c>
      <c r="C7822" t="str">
        <f>"9780802080240"</f>
        <v>9780802080240</v>
      </c>
      <c r="D7822" t="str">
        <f>"9781442678200"</f>
        <v>9781442678200</v>
      </c>
      <c r="E7822" t="s">
        <v>31435</v>
      </c>
      <c r="F7822" t="s">
        <v>31435</v>
      </c>
      <c r="G7822" s="1">
        <v>36531</v>
      </c>
      <c r="I7822" t="s">
        <v>34693</v>
      </c>
      <c r="J7822" t="s">
        <v>38192</v>
      </c>
      <c r="K7822" t="s">
        <v>1464</v>
      </c>
      <c r="L7822" t="s">
        <v>38193</v>
      </c>
      <c r="M7822">
        <v>818.40899999999897</v>
      </c>
      <c r="N7822" t="s">
        <v>36209</v>
      </c>
      <c r="O7822" t="s">
        <v>26</v>
      </c>
      <c r="Q7822">
        <v>123.75</v>
      </c>
      <c r="R7822">
        <v>99</v>
      </c>
      <c r="S7822">
        <v>148.5</v>
      </c>
      <c r="T7822" t="s">
        <v>38194</v>
      </c>
    </row>
    <row r="7823" spans="1:20">
      <c r="A7823">
        <v>4671806</v>
      </c>
      <c r="B7823" t="s">
        <v>38195</v>
      </c>
      <c r="C7823" t="str">
        <f>"9780802009463"</f>
        <v>9780802009463</v>
      </c>
      <c r="D7823" t="str">
        <f>"9781442678217"</f>
        <v>9781442678217</v>
      </c>
      <c r="E7823" t="s">
        <v>31435</v>
      </c>
      <c r="F7823" t="s">
        <v>31435</v>
      </c>
      <c r="G7823" s="1">
        <v>35796</v>
      </c>
      <c r="I7823" t="s">
        <v>33775</v>
      </c>
      <c r="J7823" t="s">
        <v>38196</v>
      </c>
      <c r="K7823" t="s">
        <v>257</v>
      </c>
      <c r="L7823" t="s">
        <v>38197</v>
      </c>
      <c r="M7823">
        <v>378.45319999999901</v>
      </c>
      <c r="O7823" t="s">
        <v>26</v>
      </c>
      <c r="Q7823">
        <v>115</v>
      </c>
      <c r="R7823">
        <v>92</v>
      </c>
      <c r="S7823">
        <v>138</v>
      </c>
      <c r="T7823" t="s">
        <v>38198</v>
      </c>
    </row>
    <row r="7824" spans="1:20">
      <c r="A7824">
        <v>4671808</v>
      </c>
      <c r="B7824" t="s">
        <v>38199</v>
      </c>
      <c r="C7824" t="str">
        <f>"9780802035073"</f>
        <v>9780802035073</v>
      </c>
      <c r="D7824" t="str">
        <f>"9781442678231"</f>
        <v>9781442678231</v>
      </c>
      <c r="E7824" t="s">
        <v>31435</v>
      </c>
      <c r="F7824" t="s">
        <v>31435</v>
      </c>
      <c r="G7824" s="1">
        <v>36892</v>
      </c>
      <c r="I7824" t="s">
        <v>33775</v>
      </c>
      <c r="J7824" t="s">
        <v>7237</v>
      </c>
      <c r="K7824" t="s">
        <v>1464</v>
      </c>
      <c r="L7824" t="s">
        <v>38200</v>
      </c>
      <c r="M7824">
        <v>853.91399999999896</v>
      </c>
      <c r="O7824" t="s">
        <v>26</v>
      </c>
      <c r="Q7824">
        <v>123.75</v>
      </c>
      <c r="R7824">
        <v>99</v>
      </c>
      <c r="S7824">
        <v>148.5</v>
      </c>
      <c r="T7824" t="s">
        <v>38201</v>
      </c>
    </row>
    <row r="7825" spans="1:20">
      <c r="A7825">
        <v>4671809</v>
      </c>
      <c r="B7825" t="s">
        <v>38202</v>
      </c>
      <c r="C7825" t="str">
        <f>"9780802038845"</f>
        <v>9780802038845</v>
      </c>
      <c r="D7825" t="str">
        <f>"9781442678248"</f>
        <v>9781442678248</v>
      </c>
      <c r="E7825" t="s">
        <v>31435</v>
      </c>
      <c r="F7825" t="s">
        <v>31435</v>
      </c>
      <c r="G7825" s="1">
        <v>38353</v>
      </c>
      <c r="H7825">
        <v>2</v>
      </c>
      <c r="I7825" t="s">
        <v>35264</v>
      </c>
      <c r="J7825" t="s">
        <v>14087</v>
      </c>
      <c r="K7825" t="s">
        <v>1464</v>
      </c>
      <c r="L7825" t="s">
        <v>38203</v>
      </c>
      <c r="M7825">
        <v>820.93550000000005</v>
      </c>
      <c r="O7825" t="s">
        <v>26</v>
      </c>
      <c r="Q7825">
        <v>102.5</v>
      </c>
      <c r="R7825">
        <v>82</v>
      </c>
      <c r="S7825">
        <v>123</v>
      </c>
      <c r="T7825" t="s">
        <v>38204</v>
      </c>
    </row>
    <row r="7826" spans="1:20">
      <c r="A7826">
        <v>4671811</v>
      </c>
      <c r="B7826" t="s">
        <v>38205</v>
      </c>
      <c r="C7826" t="str">
        <f>"9780802066510"</f>
        <v>9780802066510</v>
      </c>
      <c r="D7826" t="str">
        <f>"9781442678262"</f>
        <v>9781442678262</v>
      </c>
      <c r="E7826" t="s">
        <v>31435</v>
      </c>
      <c r="F7826" t="s">
        <v>31435</v>
      </c>
      <c r="G7826" s="1">
        <v>32051</v>
      </c>
      <c r="H7826">
        <v>2</v>
      </c>
      <c r="J7826" t="s">
        <v>38206</v>
      </c>
      <c r="K7826" t="s">
        <v>467</v>
      </c>
      <c r="L7826" t="s">
        <v>38207</v>
      </c>
      <c r="M7826">
        <v>328.71</v>
      </c>
      <c r="N7826" t="s">
        <v>38208</v>
      </c>
      <c r="O7826" t="s">
        <v>26</v>
      </c>
      <c r="Q7826">
        <v>59.94</v>
      </c>
      <c r="R7826">
        <v>47.95</v>
      </c>
      <c r="S7826">
        <v>71.930000000000007</v>
      </c>
      <c r="T7826" t="s">
        <v>38209</v>
      </c>
    </row>
    <row r="7827" spans="1:20">
      <c r="A7827">
        <v>4671812</v>
      </c>
      <c r="B7827" t="s">
        <v>38210</v>
      </c>
      <c r="C7827" t="str">
        <f>"9780802090904"</f>
        <v>9780802090904</v>
      </c>
      <c r="D7827" t="str">
        <f>"9781442678279"</f>
        <v>9781442678279</v>
      </c>
      <c r="E7827" t="s">
        <v>31435</v>
      </c>
      <c r="F7827" t="s">
        <v>31435</v>
      </c>
      <c r="G7827" s="1">
        <v>41773</v>
      </c>
      <c r="I7827" t="s">
        <v>36249</v>
      </c>
      <c r="J7827" t="s">
        <v>38211</v>
      </c>
      <c r="K7827" t="s">
        <v>278</v>
      </c>
      <c r="L7827" t="s">
        <v>38212</v>
      </c>
      <c r="M7827">
        <v>331.120971</v>
      </c>
      <c r="O7827" t="s">
        <v>26</v>
      </c>
      <c r="Q7827">
        <v>130</v>
      </c>
      <c r="R7827">
        <v>104</v>
      </c>
      <c r="S7827">
        <v>156</v>
      </c>
      <c r="T7827" t="s">
        <v>38213</v>
      </c>
    </row>
    <row r="7828" spans="1:20">
      <c r="A7828">
        <v>4671813</v>
      </c>
      <c r="B7828" t="s">
        <v>38214</v>
      </c>
      <c r="C7828" t="str">
        <f>"9780802035035"</f>
        <v>9780802035035</v>
      </c>
      <c r="D7828" t="str">
        <f>"9781442678293"</f>
        <v>9781442678293</v>
      </c>
      <c r="E7828" t="s">
        <v>31435</v>
      </c>
      <c r="F7828" t="s">
        <v>31435</v>
      </c>
      <c r="G7828" s="1">
        <v>36892</v>
      </c>
      <c r="J7828" t="s">
        <v>38215</v>
      </c>
      <c r="K7828" t="s">
        <v>1464</v>
      </c>
      <c r="L7828" t="s">
        <v>38216</v>
      </c>
      <c r="M7828">
        <v>823.6</v>
      </c>
      <c r="O7828" t="s">
        <v>26</v>
      </c>
      <c r="Q7828">
        <v>107.5</v>
      </c>
      <c r="R7828">
        <v>86</v>
      </c>
      <c r="S7828">
        <v>129</v>
      </c>
      <c r="T7828" t="s">
        <v>38217</v>
      </c>
    </row>
    <row r="7829" spans="1:20">
      <c r="A7829">
        <v>4671814</v>
      </c>
      <c r="B7829" t="s">
        <v>38218</v>
      </c>
      <c r="C7829" t="str">
        <f>"9780802090645"</f>
        <v>9780802090645</v>
      </c>
      <c r="D7829" t="str">
        <f>"9781442678316"</f>
        <v>9781442678316</v>
      </c>
      <c r="E7829" t="s">
        <v>31435</v>
      </c>
      <c r="F7829" t="s">
        <v>31435</v>
      </c>
      <c r="G7829" s="1">
        <v>38718</v>
      </c>
      <c r="J7829" t="s">
        <v>36626</v>
      </c>
      <c r="K7829" t="s">
        <v>1859</v>
      </c>
      <c r="L7829" t="s">
        <v>38219</v>
      </c>
      <c r="M7829">
        <v>190.9033</v>
      </c>
      <c r="O7829" t="s">
        <v>26</v>
      </c>
      <c r="Q7829">
        <v>102.5</v>
      </c>
      <c r="R7829">
        <v>82</v>
      </c>
      <c r="S7829">
        <v>123</v>
      </c>
      <c r="T7829" t="s">
        <v>38220</v>
      </c>
    </row>
    <row r="7830" spans="1:20">
      <c r="A7830">
        <v>4671815</v>
      </c>
      <c r="B7830" t="s">
        <v>38221</v>
      </c>
      <c r="C7830" t="str">
        <f>"9780802048257"</f>
        <v>9780802048257</v>
      </c>
      <c r="D7830" t="str">
        <f>"9781442678323"</f>
        <v>9781442678323</v>
      </c>
      <c r="E7830" t="s">
        <v>31435</v>
      </c>
      <c r="F7830" t="s">
        <v>31435</v>
      </c>
      <c r="G7830" s="1">
        <v>37716</v>
      </c>
      <c r="H7830">
        <v>3</v>
      </c>
      <c r="J7830" t="s">
        <v>38222</v>
      </c>
      <c r="K7830" t="s">
        <v>7075</v>
      </c>
      <c r="L7830" t="s">
        <v>38223</v>
      </c>
      <c r="M7830">
        <v>16.9712</v>
      </c>
      <c r="O7830" t="s">
        <v>26</v>
      </c>
      <c r="Q7830">
        <v>232.5</v>
      </c>
      <c r="R7830">
        <v>186</v>
      </c>
      <c r="S7830">
        <v>279</v>
      </c>
      <c r="T7830" t="s">
        <v>38224</v>
      </c>
    </row>
    <row r="7831" spans="1:20">
      <c r="A7831">
        <v>4671816</v>
      </c>
      <c r="B7831" t="s">
        <v>38225</v>
      </c>
      <c r="C7831" t="str">
        <f>"9780802079824"</f>
        <v>9780802079824</v>
      </c>
      <c r="D7831" t="str">
        <f>"9781442678330"</f>
        <v>9781442678330</v>
      </c>
      <c r="E7831" t="s">
        <v>31435</v>
      </c>
      <c r="F7831" t="s">
        <v>31435</v>
      </c>
      <c r="G7831" s="1">
        <v>35431</v>
      </c>
      <c r="I7831" t="s">
        <v>35056</v>
      </c>
      <c r="J7831" t="s">
        <v>38226</v>
      </c>
      <c r="K7831" t="s">
        <v>1859</v>
      </c>
      <c r="L7831" t="s">
        <v>38227</v>
      </c>
      <c r="M7831">
        <v>121.68</v>
      </c>
      <c r="O7831" t="s">
        <v>26</v>
      </c>
      <c r="Q7831">
        <v>59.94</v>
      </c>
      <c r="R7831">
        <v>47.95</v>
      </c>
      <c r="S7831">
        <v>71.930000000000007</v>
      </c>
      <c r="T7831" t="s">
        <v>38228</v>
      </c>
    </row>
    <row r="7832" spans="1:20">
      <c r="A7832">
        <v>4671817</v>
      </c>
      <c r="B7832" t="s">
        <v>38229</v>
      </c>
      <c r="C7832" t="str">
        <f>"9780802036476"</f>
        <v>9780802036476</v>
      </c>
      <c r="D7832" t="str">
        <f>"9781442678347"</f>
        <v>9781442678347</v>
      </c>
      <c r="E7832" t="s">
        <v>31435</v>
      </c>
      <c r="F7832" t="s">
        <v>31435</v>
      </c>
      <c r="G7832" s="1">
        <v>38353</v>
      </c>
      <c r="J7832" t="s">
        <v>38230</v>
      </c>
      <c r="K7832" t="s">
        <v>278</v>
      </c>
      <c r="L7832" t="s">
        <v>38231</v>
      </c>
      <c r="M7832">
        <v>332.67254097099902</v>
      </c>
      <c r="O7832" t="s">
        <v>26</v>
      </c>
      <c r="Q7832">
        <v>95</v>
      </c>
      <c r="R7832">
        <v>76</v>
      </c>
      <c r="S7832">
        <v>114</v>
      </c>
      <c r="T7832" t="s">
        <v>38232</v>
      </c>
    </row>
    <row r="7833" spans="1:20">
      <c r="A7833">
        <v>4671818</v>
      </c>
      <c r="B7833" t="s">
        <v>38233</v>
      </c>
      <c r="C7833" t="str">
        <f>"9780802093875"</f>
        <v>9780802093875</v>
      </c>
      <c r="D7833" t="str">
        <f>"9781442678354"</f>
        <v>9781442678354</v>
      </c>
      <c r="E7833" t="s">
        <v>31435</v>
      </c>
      <c r="F7833" t="s">
        <v>31435</v>
      </c>
      <c r="G7833" s="1">
        <v>38718</v>
      </c>
      <c r="J7833" t="s">
        <v>38234</v>
      </c>
      <c r="K7833" t="s">
        <v>1471</v>
      </c>
      <c r="L7833" t="s">
        <v>38235</v>
      </c>
      <c r="M7833">
        <v>791</v>
      </c>
      <c r="O7833" t="s">
        <v>26</v>
      </c>
      <c r="Q7833">
        <v>117.5</v>
      </c>
      <c r="R7833">
        <v>94</v>
      </c>
      <c r="S7833">
        <v>141</v>
      </c>
      <c r="T7833" t="s">
        <v>38236</v>
      </c>
    </row>
    <row r="7834" spans="1:20">
      <c r="A7834">
        <v>4671819</v>
      </c>
      <c r="B7834" t="s">
        <v>38237</v>
      </c>
      <c r="C7834" t="str">
        <f>"9780802008107"</f>
        <v>9780802008107</v>
      </c>
      <c r="D7834" t="str">
        <f>"9781442678361"</f>
        <v>9781442678361</v>
      </c>
      <c r="E7834" t="s">
        <v>31435</v>
      </c>
      <c r="F7834" t="s">
        <v>31435</v>
      </c>
      <c r="G7834" s="1">
        <v>35339</v>
      </c>
      <c r="J7834" t="s">
        <v>38238</v>
      </c>
      <c r="K7834" t="s">
        <v>37286</v>
      </c>
      <c r="L7834" t="s">
        <v>38239</v>
      </c>
      <c r="M7834">
        <v>52.090339999999898</v>
      </c>
      <c r="O7834" t="s">
        <v>26</v>
      </c>
      <c r="Q7834">
        <v>151.25</v>
      </c>
      <c r="R7834">
        <v>121</v>
      </c>
      <c r="S7834">
        <v>181.5</v>
      </c>
      <c r="T7834" t="s">
        <v>38240</v>
      </c>
    </row>
    <row r="7835" spans="1:20">
      <c r="A7835">
        <v>4671820</v>
      </c>
      <c r="B7835" t="s">
        <v>38241</v>
      </c>
      <c r="C7835" t="str">
        <f>"9780802090058"</f>
        <v>9780802090058</v>
      </c>
      <c r="D7835" t="str">
        <f>"9781442678378"</f>
        <v>9781442678378</v>
      </c>
      <c r="E7835" t="s">
        <v>31435</v>
      </c>
      <c r="F7835" t="s">
        <v>31435</v>
      </c>
      <c r="G7835" s="1">
        <v>41773</v>
      </c>
      <c r="J7835" t="s">
        <v>38242</v>
      </c>
      <c r="K7835" t="s">
        <v>467</v>
      </c>
      <c r="L7835" t="s">
        <v>38243</v>
      </c>
      <c r="M7835">
        <v>323.44</v>
      </c>
      <c r="O7835" t="s">
        <v>26</v>
      </c>
      <c r="Q7835">
        <v>102.5</v>
      </c>
      <c r="R7835">
        <v>82</v>
      </c>
      <c r="S7835">
        <v>123</v>
      </c>
      <c r="T7835" t="s">
        <v>38244</v>
      </c>
    </row>
    <row r="7836" spans="1:20">
      <c r="A7836">
        <v>4671821</v>
      </c>
      <c r="B7836" t="s">
        <v>38245</v>
      </c>
      <c r="C7836" t="str">
        <f>"9780802077790"</f>
        <v>9780802077790</v>
      </c>
      <c r="D7836" t="str">
        <f>"9781442678385"</f>
        <v>9781442678385</v>
      </c>
      <c r="E7836" t="s">
        <v>31435</v>
      </c>
      <c r="F7836" t="s">
        <v>31435</v>
      </c>
      <c r="G7836" s="1">
        <v>35103</v>
      </c>
      <c r="H7836">
        <v>2</v>
      </c>
      <c r="J7836" t="s">
        <v>38246</v>
      </c>
      <c r="K7836" t="s">
        <v>263</v>
      </c>
      <c r="L7836" t="s">
        <v>38247</v>
      </c>
      <c r="M7836">
        <v>362.84009730000002</v>
      </c>
      <c r="O7836" t="s">
        <v>26</v>
      </c>
      <c r="Q7836">
        <v>100</v>
      </c>
      <c r="R7836">
        <v>80</v>
      </c>
      <c r="S7836">
        <v>120</v>
      </c>
      <c r="T7836" t="s">
        <v>38248</v>
      </c>
    </row>
    <row r="7837" spans="1:20">
      <c r="A7837">
        <v>4671824</v>
      </c>
      <c r="B7837" t="s">
        <v>38249</v>
      </c>
      <c r="C7837" t="str">
        <f>"9780802048844"</f>
        <v>9780802048844</v>
      </c>
      <c r="D7837" t="str">
        <f>"9781442678422"</f>
        <v>9781442678422</v>
      </c>
      <c r="E7837" t="s">
        <v>31435</v>
      </c>
      <c r="F7837" t="s">
        <v>31435</v>
      </c>
      <c r="G7837" s="1">
        <v>38353</v>
      </c>
      <c r="J7837" t="s">
        <v>38250</v>
      </c>
      <c r="K7837" t="s">
        <v>1859</v>
      </c>
      <c r="L7837" t="s">
        <v>38251</v>
      </c>
      <c r="M7837">
        <v>191</v>
      </c>
      <c r="O7837" t="s">
        <v>26</v>
      </c>
      <c r="Q7837">
        <v>117.5</v>
      </c>
      <c r="R7837">
        <v>94</v>
      </c>
      <c r="S7837">
        <v>141</v>
      </c>
      <c r="T7837" t="s">
        <v>38252</v>
      </c>
    </row>
    <row r="7838" spans="1:20">
      <c r="A7838">
        <v>4671825</v>
      </c>
      <c r="B7838" t="s">
        <v>38253</v>
      </c>
      <c r="C7838" t="str">
        <f>"9780802036988"</f>
        <v>9780802036988</v>
      </c>
      <c r="D7838" t="str">
        <f>"9781442678439"</f>
        <v>9781442678439</v>
      </c>
      <c r="E7838" t="s">
        <v>31435</v>
      </c>
      <c r="F7838" t="s">
        <v>31435</v>
      </c>
      <c r="G7838" s="1">
        <v>37802</v>
      </c>
      <c r="I7838" t="s">
        <v>35029</v>
      </c>
      <c r="J7838" t="s">
        <v>38254</v>
      </c>
      <c r="K7838" t="s">
        <v>38255</v>
      </c>
      <c r="L7838" t="s">
        <v>38256</v>
      </c>
      <c r="M7838">
        <v>23.5</v>
      </c>
      <c r="N7838" t="s">
        <v>38257</v>
      </c>
      <c r="O7838" t="s">
        <v>26</v>
      </c>
      <c r="Q7838">
        <v>213.75</v>
      </c>
      <c r="R7838">
        <v>171</v>
      </c>
      <c r="S7838">
        <v>256.5</v>
      </c>
      <c r="T7838" t="s">
        <v>38258</v>
      </c>
    </row>
    <row r="7839" spans="1:20">
      <c r="A7839">
        <v>4671826</v>
      </c>
      <c r="B7839" t="s">
        <v>38259</v>
      </c>
      <c r="C7839" t="str">
        <f>"9780802080677"</f>
        <v>9780802080677</v>
      </c>
      <c r="D7839" t="str">
        <f>"9781442678446"</f>
        <v>9781442678446</v>
      </c>
      <c r="E7839" t="s">
        <v>31435</v>
      </c>
      <c r="F7839" t="s">
        <v>31435</v>
      </c>
      <c r="G7839" s="1">
        <v>35431</v>
      </c>
      <c r="J7839" t="s">
        <v>38260</v>
      </c>
      <c r="K7839" t="s">
        <v>467</v>
      </c>
      <c r="L7839" t="s">
        <v>38261</v>
      </c>
      <c r="M7839">
        <v>320.51</v>
      </c>
      <c r="O7839" t="s">
        <v>26</v>
      </c>
      <c r="Q7839">
        <v>107.5</v>
      </c>
      <c r="R7839">
        <v>86</v>
      </c>
      <c r="S7839">
        <v>129</v>
      </c>
      <c r="T7839" t="s">
        <v>38262</v>
      </c>
    </row>
    <row r="7840" spans="1:20">
      <c r="A7840">
        <v>4671828</v>
      </c>
      <c r="B7840" t="s">
        <v>38263</v>
      </c>
      <c r="C7840" t="str">
        <f>"9780802041616"</f>
        <v>9780802041616</v>
      </c>
      <c r="D7840" t="str">
        <f>"9781442678460"</f>
        <v>9781442678460</v>
      </c>
      <c r="E7840" t="s">
        <v>31435</v>
      </c>
      <c r="F7840" t="s">
        <v>31435</v>
      </c>
      <c r="G7840" s="1">
        <v>35551</v>
      </c>
      <c r="H7840">
        <v>74</v>
      </c>
      <c r="J7840" t="s">
        <v>38264</v>
      </c>
      <c r="K7840" t="s">
        <v>305</v>
      </c>
      <c r="L7840" t="s">
        <v>38265</v>
      </c>
      <c r="M7840">
        <v>385.09710000000001</v>
      </c>
      <c r="O7840" t="s">
        <v>26</v>
      </c>
      <c r="Q7840">
        <v>72.5</v>
      </c>
      <c r="R7840">
        <v>58</v>
      </c>
      <c r="S7840">
        <v>87</v>
      </c>
      <c r="T7840" t="s">
        <v>38266</v>
      </c>
    </row>
    <row r="7841" spans="1:20">
      <c r="A7841">
        <v>4671829</v>
      </c>
      <c r="B7841" t="s">
        <v>38267</v>
      </c>
      <c r="C7841" t="str">
        <f>"9780802074393"</f>
        <v>9780802074393</v>
      </c>
      <c r="D7841" t="str">
        <f>"9781442678477"</f>
        <v>9781442678477</v>
      </c>
      <c r="E7841" t="s">
        <v>31435</v>
      </c>
      <c r="F7841" t="s">
        <v>31435</v>
      </c>
      <c r="G7841" s="1">
        <v>35065</v>
      </c>
      <c r="H7841">
        <v>2</v>
      </c>
      <c r="I7841" t="s">
        <v>35029</v>
      </c>
      <c r="J7841" t="s">
        <v>38268</v>
      </c>
      <c r="K7841" t="s">
        <v>11437</v>
      </c>
      <c r="L7841" t="s">
        <v>38269</v>
      </c>
      <c r="M7841">
        <v>502.2</v>
      </c>
      <c r="O7841" t="s">
        <v>26</v>
      </c>
      <c r="Q7841">
        <v>151.25</v>
      </c>
      <c r="R7841">
        <v>121</v>
      </c>
      <c r="S7841">
        <v>181.5</v>
      </c>
      <c r="T7841" t="s">
        <v>38270</v>
      </c>
    </row>
    <row r="7842" spans="1:20">
      <c r="A7842">
        <v>4671830</v>
      </c>
      <c r="B7842" t="s">
        <v>38271</v>
      </c>
      <c r="C7842" t="str">
        <f>"9780802077370"</f>
        <v>9780802077370</v>
      </c>
      <c r="D7842" t="str">
        <f>"9781442678484"</f>
        <v>9781442678484</v>
      </c>
      <c r="E7842" t="s">
        <v>31435</v>
      </c>
      <c r="F7842" t="s">
        <v>31435</v>
      </c>
      <c r="G7842" s="1">
        <v>34683</v>
      </c>
      <c r="I7842" t="s">
        <v>33775</v>
      </c>
      <c r="J7842" t="s">
        <v>38272</v>
      </c>
      <c r="K7842" t="s">
        <v>1464</v>
      </c>
      <c r="L7842" t="s">
        <v>38273</v>
      </c>
      <c r="M7842" t="s">
        <v>38274</v>
      </c>
      <c r="N7842" t="s">
        <v>38275</v>
      </c>
      <c r="O7842" t="s">
        <v>26</v>
      </c>
      <c r="Q7842">
        <v>96.25</v>
      </c>
      <c r="R7842">
        <v>77</v>
      </c>
      <c r="S7842">
        <v>115.5</v>
      </c>
      <c r="T7842" t="s">
        <v>38276</v>
      </c>
    </row>
    <row r="7843" spans="1:20">
      <c r="A7843">
        <v>4671831</v>
      </c>
      <c r="B7843" t="s">
        <v>38277</v>
      </c>
      <c r="C7843" t="str">
        <f>"9780802085702"</f>
        <v>9780802085702</v>
      </c>
      <c r="D7843" t="str">
        <f>"9781442678491"</f>
        <v>9781442678491</v>
      </c>
      <c r="E7843" t="s">
        <v>31435</v>
      </c>
      <c r="F7843" t="s">
        <v>31435</v>
      </c>
      <c r="G7843" s="1">
        <v>41773</v>
      </c>
      <c r="J7843" t="s">
        <v>38278</v>
      </c>
      <c r="K7843" t="s">
        <v>263</v>
      </c>
      <c r="L7843" t="s">
        <v>38279</v>
      </c>
      <c r="M7843">
        <v>362.8808664</v>
      </c>
      <c r="O7843" t="s">
        <v>26</v>
      </c>
      <c r="Q7843">
        <v>130</v>
      </c>
      <c r="R7843">
        <v>104</v>
      </c>
      <c r="S7843">
        <v>156</v>
      </c>
      <c r="T7843" t="s">
        <v>38280</v>
      </c>
    </row>
    <row r="7844" spans="1:20">
      <c r="A7844">
        <v>4671832</v>
      </c>
      <c r="B7844" t="s">
        <v>38281</v>
      </c>
      <c r="C7844" t="str">
        <f>"9780802075703"</f>
        <v>9780802075703</v>
      </c>
      <c r="D7844" t="str">
        <f>"9781442678507"</f>
        <v>9781442678507</v>
      </c>
      <c r="E7844" t="s">
        <v>31435</v>
      </c>
      <c r="F7844" t="s">
        <v>31435</v>
      </c>
      <c r="G7844" s="1">
        <v>35065</v>
      </c>
      <c r="H7844">
        <v>2</v>
      </c>
      <c r="J7844" t="s">
        <v>38282</v>
      </c>
      <c r="K7844" t="s">
        <v>2963</v>
      </c>
      <c r="L7844" t="s">
        <v>38283</v>
      </c>
      <c r="M7844" t="s">
        <v>38284</v>
      </c>
      <c r="O7844" t="s">
        <v>26</v>
      </c>
      <c r="Q7844">
        <v>117.5</v>
      </c>
      <c r="R7844">
        <v>94</v>
      </c>
      <c r="S7844">
        <v>141</v>
      </c>
      <c r="T7844" t="s">
        <v>38285</v>
      </c>
    </row>
    <row r="7845" spans="1:20">
      <c r="A7845">
        <v>4671833</v>
      </c>
      <c r="B7845" t="s">
        <v>38286</v>
      </c>
      <c r="C7845" t="str">
        <f>"9781442614840"</f>
        <v>9781442614840</v>
      </c>
      <c r="D7845" t="str">
        <f>"9781442678514"</f>
        <v>9781442678514</v>
      </c>
      <c r="E7845" t="s">
        <v>31435</v>
      </c>
      <c r="F7845" t="s">
        <v>31435</v>
      </c>
      <c r="G7845" s="1">
        <v>32143</v>
      </c>
      <c r="J7845" t="s">
        <v>38287</v>
      </c>
      <c r="K7845" t="s">
        <v>1464</v>
      </c>
      <c r="L7845" t="s">
        <v>38288</v>
      </c>
      <c r="M7845" t="s">
        <v>14551</v>
      </c>
      <c r="O7845" t="s">
        <v>26</v>
      </c>
      <c r="Q7845">
        <v>91.25</v>
      </c>
      <c r="R7845">
        <v>73</v>
      </c>
      <c r="S7845">
        <v>109.5</v>
      </c>
      <c r="T7845" t="s">
        <v>38289</v>
      </c>
    </row>
    <row r="7846" spans="1:20">
      <c r="A7846">
        <v>4671834</v>
      </c>
      <c r="B7846" t="s">
        <v>38290</v>
      </c>
      <c r="C7846" t="str">
        <f>"9780802047045"</f>
        <v>9780802047045</v>
      </c>
      <c r="D7846" t="str">
        <f>"9781442678521"</f>
        <v>9781442678521</v>
      </c>
      <c r="E7846" t="s">
        <v>31435</v>
      </c>
      <c r="F7846" t="s">
        <v>31435</v>
      </c>
      <c r="G7846" s="1">
        <v>36161</v>
      </c>
      <c r="I7846" t="s">
        <v>34035</v>
      </c>
      <c r="J7846" t="s">
        <v>13991</v>
      </c>
      <c r="K7846" t="s">
        <v>1464</v>
      </c>
      <c r="L7846" t="s">
        <v>38291</v>
      </c>
      <c r="M7846">
        <v>863.08708999999897</v>
      </c>
      <c r="O7846" t="s">
        <v>26</v>
      </c>
      <c r="Q7846">
        <v>107.5</v>
      </c>
      <c r="R7846">
        <v>86</v>
      </c>
      <c r="S7846">
        <v>129</v>
      </c>
      <c r="T7846" t="s">
        <v>38292</v>
      </c>
    </row>
    <row r="7847" spans="1:20">
      <c r="A7847">
        <v>4671835</v>
      </c>
      <c r="B7847" t="s">
        <v>38293</v>
      </c>
      <c r="C7847" t="str">
        <f>"9780802043559"</f>
        <v>9780802043559</v>
      </c>
      <c r="D7847" t="str">
        <f>"9781442678545"</f>
        <v>9781442678545</v>
      </c>
      <c r="E7847" t="s">
        <v>31435</v>
      </c>
      <c r="F7847" t="s">
        <v>31435</v>
      </c>
      <c r="G7847" s="1">
        <v>35796</v>
      </c>
      <c r="J7847" t="s">
        <v>38294</v>
      </c>
      <c r="K7847" t="s">
        <v>1464</v>
      </c>
      <c r="L7847" t="s">
        <v>38295</v>
      </c>
      <c r="M7847" t="s">
        <v>35394</v>
      </c>
      <c r="O7847" t="s">
        <v>26</v>
      </c>
      <c r="Q7847">
        <v>100</v>
      </c>
      <c r="R7847">
        <v>80</v>
      </c>
      <c r="S7847">
        <v>120</v>
      </c>
      <c r="T7847" t="s">
        <v>38296</v>
      </c>
    </row>
    <row r="7848" spans="1:20">
      <c r="A7848">
        <v>4671838</v>
      </c>
      <c r="B7848" t="s">
        <v>38297</v>
      </c>
      <c r="C7848" t="str">
        <f>"9780802036414"</f>
        <v>9780802036414</v>
      </c>
      <c r="D7848" t="str">
        <f>"9781442678576"</f>
        <v>9781442678576</v>
      </c>
      <c r="E7848" t="s">
        <v>31435</v>
      </c>
      <c r="F7848" t="s">
        <v>31435</v>
      </c>
      <c r="G7848" s="1">
        <v>37987</v>
      </c>
      <c r="H7848">
        <v>2</v>
      </c>
      <c r="J7848" t="s">
        <v>38298</v>
      </c>
      <c r="K7848" t="s">
        <v>1464</v>
      </c>
      <c r="L7848" t="s">
        <v>38299</v>
      </c>
      <c r="M7848">
        <v>801</v>
      </c>
      <c r="O7848" t="s">
        <v>26</v>
      </c>
      <c r="Q7848">
        <v>95</v>
      </c>
      <c r="R7848">
        <v>76</v>
      </c>
      <c r="S7848">
        <v>114</v>
      </c>
      <c r="T7848" t="s">
        <v>38300</v>
      </c>
    </row>
    <row r="7849" spans="1:20">
      <c r="A7849">
        <v>4671839</v>
      </c>
      <c r="B7849" t="s">
        <v>38301</v>
      </c>
      <c r="C7849" t="str">
        <f>"9780802073624"</f>
        <v>9780802073624</v>
      </c>
      <c r="D7849" t="str">
        <f>"9781442678583"</f>
        <v>9781442678583</v>
      </c>
      <c r="E7849" t="s">
        <v>31435</v>
      </c>
      <c r="F7849" t="s">
        <v>31435</v>
      </c>
      <c r="G7849" s="1">
        <v>34568</v>
      </c>
      <c r="H7849">
        <v>2</v>
      </c>
      <c r="J7849" t="s">
        <v>38302</v>
      </c>
      <c r="K7849" t="s">
        <v>263</v>
      </c>
      <c r="L7849" t="s">
        <v>38303</v>
      </c>
      <c r="M7849" t="s">
        <v>35442</v>
      </c>
      <c r="O7849" t="s">
        <v>26</v>
      </c>
      <c r="Q7849">
        <v>100</v>
      </c>
      <c r="R7849">
        <v>80</v>
      </c>
      <c r="S7849">
        <v>120</v>
      </c>
      <c r="T7849" t="s">
        <v>38304</v>
      </c>
    </row>
    <row r="7850" spans="1:20">
      <c r="A7850">
        <v>4671842</v>
      </c>
      <c r="B7850" t="s">
        <v>38305</v>
      </c>
      <c r="C7850" t="str">
        <f>"9780802042248"</f>
        <v>9780802042248</v>
      </c>
      <c r="D7850" t="str">
        <f>"9781442678613"</f>
        <v>9781442678613</v>
      </c>
      <c r="E7850" t="s">
        <v>31435</v>
      </c>
      <c r="F7850" t="s">
        <v>31435</v>
      </c>
      <c r="G7850" s="1">
        <v>36892</v>
      </c>
      <c r="H7850">
        <v>74</v>
      </c>
      <c r="J7850" t="s">
        <v>38306</v>
      </c>
      <c r="K7850" t="s">
        <v>6444</v>
      </c>
      <c r="L7850" t="s">
        <v>38307</v>
      </c>
      <c r="M7850" t="s">
        <v>38308</v>
      </c>
      <c r="O7850" t="s">
        <v>26</v>
      </c>
      <c r="Q7850">
        <v>140</v>
      </c>
      <c r="R7850">
        <v>112</v>
      </c>
      <c r="S7850">
        <v>168</v>
      </c>
      <c r="T7850" t="s">
        <v>38309</v>
      </c>
    </row>
    <row r="7851" spans="1:20">
      <c r="A7851">
        <v>4671843</v>
      </c>
      <c r="B7851" t="s">
        <v>38310</v>
      </c>
      <c r="C7851" t="str">
        <f>"9780802038975"</f>
        <v>9780802038975</v>
      </c>
      <c r="D7851" t="str">
        <f>"9781442678620"</f>
        <v>9781442678620</v>
      </c>
      <c r="E7851" t="s">
        <v>31435</v>
      </c>
      <c r="F7851" t="s">
        <v>31435</v>
      </c>
      <c r="G7851" s="1">
        <v>38353</v>
      </c>
      <c r="H7851">
        <v>2</v>
      </c>
      <c r="J7851" t="s">
        <v>35921</v>
      </c>
      <c r="K7851" t="s">
        <v>1464</v>
      </c>
      <c r="L7851" t="s">
        <v>38311</v>
      </c>
      <c r="M7851" t="s">
        <v>14359</v>
      </c>
      <c r="O7851" t="s">
        <v>26</v>
      </c>
      <c r="Q7851">
        <v>102.5</v>
      </c>
      <c r="R7851">
        <v>82</v>
      </c>
      <c r="S7851">
        <v>123</v>
      </c>
      <c r="T7851" t="s">
        <v>38312</v>
      </c>
    </row>
    <row r="7852" spans="1:20">
      <c r="A7852">
        <v>4671844</v>
      </c>
      <c r="B7852" t="s">
        <v>38313</v>
      </c>
      <c r="C7852" t="str">
        <f>"9781442614956"</f>
        <v>9781442614956</v>
      </c>
      <c r="D7852" t="str">
        <f>"9781442678644"</f>
        <v>9781442678644</v>
      </c>
      <c r="E7852" t="s">
        <v>31435</v>
      </c>
      <c r="F7852" t="s">
        <v>31435</v>
      </c>
      <c r="G7852" s="1">
        <v>37257</v>
      </c>
      <c r="J7852" t="s">
        <v>38314</v>
      </c>
      <c r="K7852" t="s">
        <v>263</v>
      </c>
      <c r="L7852" t="s">
        <v>38315</v>
      </c>
      <c r="M7852" t="s">
        <v>38316</v>
      </c>
      <c r="O7852" t="s">
        <v>26</v>
      </c>
      <c r="Q7852">
        <v>78.75</v>
      </c>
      <c r="R7852">
        <v>63</v>
      </c>
      <c r="S7852">
        <v>94.5</v>
      </c>
      <c r="T7852" t="s">
        <v>38317</v>
      </c>
    </row>
    <row r="7853" spans="1:20">
      <c r="A7853">
        <v>4671845</v>
      </c>
      <c r="B7853" t="s">
        <v>38318</v>
      </c>
      <c r="C7853" t="str">
        <f>"9780802079763"</f>
        <v>9780802079763</v>
      </c>
      <c r="D7853" t="str">
        <f>"9781442678651"</f>
        <v>9781442678651</v>
      </c>
      <c r="E7853" t="s">
        <v>31435</v>
      </c>
      <c r="F7853" t="s">
        <v>31435</v>
      </c>
      <c r="G7853" s="1">
        <v>35431</v>
      </c>
      <c r="J7853" t="s">
        <v>38319</v>
      </c>
      <c r="K7853" t="s">
        <v>1892</v>
      </c>
      <c r="L7853" t="s">
        <v>38320</v>
      </c>
      <c r="M7853" t="s">
        <v>38321</v>
      </c>
      <c r="O7853" t="s">
        <v>26</v>
      </c>
      <c r="Q7853">
        <v>59.94</v>
      </c>
      <c r="R7853">
        <v>47.95</v>
      </c>
      <c r="S7853">
        <v>71.930000000000007</v>
      </c>
      <c r="T7853" t="s">
        <v>38322</v>
      </c>
    </row>
    <row r="7854" spans="1:20">
      <c r="A7854">
        <v>4671846</v>
      </c>
      <c r="B7854" t="s">
        <v>38323</v>
      </c>
      <c r="C7854" t="str">
        <f>"9780802081803"</f>
        <v>9780802081803</v>
      </c>
      <c r="D7854" t="str">
        <f>"9781442678668"</f>
        <v>9781442678668</v>
      </c>
      <c r="E7854" t="s">
        <v>31435</v>
      </c>
      <c r="F7854" t="s">
        <v>31435</v>
      </c>
      <c r="G7854" s="1">
        <v>36519</v>
      </c>
      <c r="I7854" t="s">
        <v>36249</v>
      </c>
      <c r="J7854" t="s">
        <v>38324</v>
      </c>
      <c r="K7854" t="s">
        <v>263</v>
      </c>
      <c r="L7854" t="s">
        <v>38325</v>
      </c>
      <c r="M7854" t="s">
        <v>38326</v>
      </c>
      <c r="O7854" t="s">
        <v>26</v>
      </c>
      <c r="Q7854">
        <v>115</v>
      </c>
      <c r="R7854">
        <v>92</v>
      </c>
      <c r="S7854">
        <v>138</v>
      </c>
      <c r="T7854" t="s">
        <v>38327</v>
      </c>
    </row>
    <row r="7855" spans="1:20">
      <c r="A7855">
        <v>4671848</v>
      </c>
      <c r="B7855" t="s">
        <v>38328</v>
      </c>
      <c r="C7855" t="str">
        <f>"9780802085368"</f>
        <v>9780802085368</v>
      </c>
      <c r="D7855" t="str">
        <f>"9781442678682"</f>
        <v>9781442678682</v>
      </c>
      <c r="E7855" t="s">
        <v>31435</v>
      </c>
      <c r="F7855" t="s">
        <v>31435</v>
      </c>
      <c r="G7855" s="1">
        <v>37976</v>
      </c>
      <c r="H7855">
        <v>2</v>
      </c>
      <c r="J7855" t="s">
        <v>38329</v>
      </c>
      <c r="K7855" t="s">
        <v>1056</v>
      </c>
      <c r="L7855" t="s">
        <v>38330</v>
      </c>
      <c r="M7855" t="s">
        <v>38331</v>
      </c>
      <c r="N7855" t="s">
        <v>38332</v>
      </c>
      <c r="O7855" t="s">
        <v>26</v>
      </c>
      <c r="Q7855">
        <v>83.75</v>
      </c>
      <c r="R7855">
        <v>67</v>
      </c>
      <c r="S7855">
        <v>100.5</v>
      </c>
      <c r="T7855" t="s">
        <v>38333</v>
      </c>
    </row>
    <row r="7856" spans="1:20">
      <c r="A7856">
        <v>4671849</v>
      </c>
      <c r="B7856" t="s">
        <v>38334</v>
      </c>
      <c r="C7856" t="str">
        <f>"9780802038012"</f>
        <v>9780802038012</v>
      </c>
      <c r="D7856" t="str">
        <f>"9781442678699"</f>
        <v>9781442678699</v>
      </c>
      <c r="E7856" t="s">
        <v>31435</v>
      </c>
      <c r="F7856" t="s">
        <v>31435</v>
      </c>
      <c r="G7856" s="1">
        <v>37257</v>
      </c>
      <c r="H7856">
        <v>2</v>
      </c>
      <c r="J7856" t="s">
        <v>38335</v>
      </c>
      <c r="K7856" t="s">
        <v>38336</v>
      </c>
      <c r="L7856" t="s">
        <v>38337</v>
      </c>
      <c r="M7856">
        <v>81</v>
      </c>
      <c r="O7856" t="s">
        <v>26</v>
      </c>
      <c r="Q7856">
        <v>63.75</v>
      </c>
      <c r="R7856">
        <v>51</v>
      </c>
      <c r="S7856">
        <v>76.5</v>
      </c>
      <c r="T7856" t="s">
        <v>38338</v>
      </c>
    </row>
    <row r="7857" spans="1:20">
      <c r="A7857">
        <v>4671850</v>
      </c>
      <c r="B7857" t="s">
        <v>38339</v>
      </c>
      <c r="C7857" t="str">
        <f>"9780802081384"</f>
        <v>9780802081384</v>
      </c>
      <c r="D7857" t="str">
        <f>"9781442678712"</f>
        <v>9781442678712</v>
      </c>
      <c r="E7857" t="s">
        <v>31435</v>
      </c>
      <c r="F7857" t="s">
        <v>31435</v>
      </c>
      <c r="G7857" s="1">
        <v>35796</v>
      </c>
      <c r="I7857" t="s">
        <v>35710</v>
      </c>
      <c r="J7857" t="s">
        <v>15593</v>
      </c>
      <c r="K7857" t="s">
        <v>1464</v>
      </c>
      <c r="L7857" t="s">
        <v>38340</v>
      </c>
      <c r="M7857" t="s">
        <v>38341</v>
      </c>
      <c r="O7857" t="s">
        <v>26</v>
      </c>
      <c r="Q7857">
        <v>59.94</v>
      </c>
      <c r="R7857">
        <v>47.95</v>
      </c>
      <c r="S7857">
        <v>71.930000000000007</v>
      </c>
      <c r="T7857" t="s">
        <v>38342</v>
      </c>
    </row>
    <row r="7858" spans="1:20">
      <c r="A7858">
        <v>4671852</v>
      </c>
      <c r="B7858" t="s">
        <v>38343</v>
      </c>
      <c r="C7858" t="str">
        <f>"9780802048141"</f>
        <v>9780802048141</v>
      </c>
      <c r="D7858" t="str">
        <f>"9781442678736"</f>
        <v>9781442678736</v>
      </c>
      <c r="E7858" t="s">
        <v>31435</v>
      </c>
      <c r="F7858" t="s">
        <v>31435</v>
      </c>
      <c r="G7858" s="1">
        <v>36892</v>
      </c>
      <c r="J7858" t="s">
        <v>38344</v>
      </c>
      <c r="K7858" t="s">
        <v>1464</v>
      </c>
      <c r="L7858" t="s">
        <v>38345</v>
      </c>
      <c r="M7858">
        <v>808</v>
      </c>
      <c r="O7858" t="s">
        <v>26</v>
      </c>
      <c r="Q7858">
        <v>115</v>
      </c>
      <c r="R7858">
        <v>92</v>
      </c>
      <c r="S7858">
        <v>138</v>
      </c>
      <c r="T7858" t="s">
        <v>38346</v>
      </c>
    </row>
    <row r="7859" spans="1:20">
      <c r="A7859">
        <v>4671853</v>
      </c>
      <c r="B7859" t="s">
        <v>38347</v>
      </c>
      <c r="C7859" t="str">
        <f>"9780802087065"</f>
        <v>9780802087065</v>
      </c>
      <c r="D7859" t="str">
        <f>"9781442678743"</f>
        <v>9781442678743</v>
      </c>
      <c r="E7859" t="s">
        <v>31435</v>
      </c>
      <c r="F7859" t="s">
        <v>31435</v>
      </c>
      <c r="G7859" s="1">
        <v>41773</v>
      </c>
      <c r="H7859">
        <v>2</v>
      </c>
      <c r="J7859" t="s">
        <v>38348</v>
      </c>
      <c r="K7859" t="s">
        <v>1464</v>
      </c>
      <c r="L7859" t="s">
        <v>38349</v>
      </c>
      <c r="M7859">
        <v>809.92609024000001</v>
      </c>
      <c r="O7859" t="s">
        <v>26</v>
      </c>
      <c r="Q7859">
        <v>117.5</v>
      </c>
      <c r="R7859">
        <v>94</v>
      </c>
      <c r="S7859">
        <v>141</v>
      </c>
      <c r="T7859" t="s">
        <v>38350</v>
      </c>
    </row>
    <row r="7860" spans="1:20">
      <c r="A7860">
        <v>4671854</v>
      </c>
      <c r="B7860" t="s">
        <v>38351</v>
      </c>
      <c r="C7860" t="str">
        <f>"9780802035080"</f>
        <v>9780802035080</v>
      </c>
      <c r="D7860" t="str">
        <f>"9781442678750"</f>
        <v>9781442678750</v>
      </c>
      <c r="E7860" t="s">
        <v>31435</v>
      </c>
      <c r="F7860" t="s">
        <v>31435</v>
      </c>
      <c r="G7860" s="1">
        <v>36892</v>
      </c>
      <c r="I7860" t="s">
        <v>33775</v>
      </c>
      <c r="J7860" t="s">
        <v>38352</v>
      </c>
      <c r="K7860" t="s">
        <v>1464</v>
      </c>
      <c r="L7860" t="s">
        <v>38353</v>
      </c>
      <c r="M7860" t="s">
        <v>38354</v>
      </c>
      <c r="O7860" t="s">
        <v>26</v>
      </c>
      <c r="Q7860">
        <v>91.25</v>
      </c>
      <c r="R7860">
        <v>73</v>
      </c>
      <c r="S7860">
        <v>109.5</v>
      </c>
      <c r="T7860" t="s">
        <v>38355</v>
      </c>
    </row>
    <row r="7861" spans="1:20">
      <c r="A7861">
        <v>4671855</v>
      </c>
      <c r="B7861" t="s">
        <v>38356</v>
      </c>
      <c r="C7861" t="str">
        <f>"9780802035264"</f>
        <v>9780802035264</v>
      </c>
      <c r="D7861" t="str">
        <f>"9781442678767"</f>
        <v>9781442678767</v>
      </c>
      <c r="E7861" t="s">
        <v>31435</v>
      </c>
      <c r="F7861" t="s">
        <v>31435</v>
      </c>
      <c r="G7861" s="1">
        <v>36892</v>
      </c>
      <c r="J7861" t="s">
        <v>38357</v>
      </c>
      <c r="K7861" t="s">
        <v>1464</v>
      </c>
      <c r="L7861" t="s">
        <v>38358</v>
      </c>
      <c r="M7861" t="s">
        <v>38359</v>
      </c>
      <c r="O7861" t="s">
        <v>26</v>
      </c>
      <c r="Q7861">
        <v>123.75</v>
      </c>
      <c r="R7861">
        <v>99</v>
      </c>
      <c r="S7861">
        <v>148.5</v>
      </c>
      <c r="T7861" t="s">
        <v>38360</v>
      </c>
    </row>
    <row r="7862" spans="1:20">
      <c r="A7862">
        <v>4671856</v>
      </c>
      <c r="B7862" t="s">
        <v>38361</v>
      </c>
      <c r="C7862" t="str">
        <f>"9780802085092"</f>
        <v>9780802085092</v>
      </c>
      <c r="D7862" t="str">
        <f>"9781442678774"</f>
        <v>9781442678774</v>
      </c>
      <c r="E7862" t="s">
        <v>31435</v>
      </c>
      <c r="F7862" t="s">
        <v>31435</v>
      </c>
      <c r="G7862" s="1">
        <v>37257</v>
      </c>
      <c r="J7862" t="s">
        <v>38362</v>
      </c>
      <c r="K7862" t="s">
        <v>263</v>
      </c>
      <c r="L7862" t="s">
        <v>38363</v>
      </c>
      <c r="M7862" t="s">
        <v>38364</v>
      </c>
      <c r="O7862" t="s">
        <v>26</v>
      </c>
      <c r="Q7862">
        <v>143.75</v>
      </c>
      <c r="R7862">
        <v>115</v>
      </c>
      <c r="S7862">
        <v>172.5</v>
      </c>
      <c r="T7862" t="s">
        <v>38365</v>
      </c>
    </row>
    <row r="7863" spans="1:20">
      <c r="A7863">
        <v>4671857</v>
      </c>
      <c r="B7863" t="s">
        <v>38366</v>
      </c>
      <c r="C7863" t="str">
        <f>"9780802008077"</f>
        <v>9780802008077</v>
      </c>
      <c r="D7863" t="str">
        <f>"9781442678781"</f>
        <v>9781442678781</v>
      </c>
      <c r="E7863" t="s">
        <v>31435</v>
      </c>
      <c r="F7863" t="s">
        <v>31435</v>
      </c>
      <c r="G7863" s="1">
        <v>36161</v>
      </c>
      <c r="I7863" t="s">
        <v>35029</v>
      </c>
      <c r="J7863" t="s">
        <v>38367</v>
      </c>
      <c r="K7863" t="s">
        <v>1859</v>
      </c>
      <c r="L7863" t="s">
        <v>38368</v>
      </c>
      <c r="M7863" t="s">
        <v>38369</v>
      </c>
      <c r="O7863" t="s">
        <v>26</v>
      </c>
      <c r="Q7863">
        <v>123.75</v>
      </c>
      <c r="R7863">
        <v>99</v>
      </c>
      <c r="S7863">
        <v>148.5</v>
      </c>
      <c r="T7863" t="s">
        <v>38370</v>
      </c>
    </row>
    <row r="7864" spans="1:20">
      <c r="A7864">
        <v>4671858</v>
      </c>
      <c r="B7864" t="s">
        <v>38371</v>
      </c>
      <c r="C7864" t="str">
        <f>"9780802047700"</f>
        <v>9780802047700</v>
      </c>
      <c r="D7864" t="str">
        <f>"9781442678798"</f>
        <v>9781442678798</v>
      </c>
      <c r="E7864" t="s">
        <v>31435</v>
      </c>
      <c r="F7864" t="s">
        <v>31435</v>
      </c>
      <c r="G7864" s="1">
        <v>37387</v>
      </c>
      <c r="J7864" t="s">
        <v>16729</v>
      </c>
      <c r="K7864" t="s">
        <v>11854</v>
      </c>
      <c r="L7864" t="s">
        <v>38372</v>
      </c>
      <c r="M7864" t="s">
        <v>38373</v>
      </c>
      <c r="N7864" t="s">
        <v>38374</v>
      </c>
      <c r="O7864" t="s">
        <v>26</v>
      </c>
      <c r="Q7864">
        <v>107.5</v>
      </c>
      <c r="R7864">
        <v>86</v>
      </c>
      <c r="S7864">
        <v>129</v>
      </c>
      <c r="T7864" t="s">
        <v>38375</v>
      </c>
    </row>
    <row r="7865" spans="1:20">
      <c r="A7865">
        <v>4671859</v>
      </c>
      <c r="B7865" t="s">
        <v>38376</v>
      </c>
      <c r="C7865" t="str">
        <f>"9780802007407"</f>
        <v>9780802007407</v>
      </c>
      <c r="D7865" t="str">
        <f>"9781442678804"</f>
        <v>9781442678804</v>
      </c>
      <c r="E7865" t="s">
        <v>31435</v>
      </c>
      <c r="F7865" t="s">
        <v>31435</v>
      </c>
      <c r="G7865" s="1">
        <v>35065</v>
      </c>
      <c r="J7865" t="s">
        <v>38377</v>
      </c>
      <c r="K7865" t="s">
        <v>278</v>
      </c>
      <c r="L7865" t="s">
        <v>38378</v>
      </c>
      <c r="M7865">
        <v>338.83095100000003</v>
      </c>
      <c r="O7865" t="s">
        <v>26</v>
      </c>
      <c r="Q7865">
        <v>59.94</v>
      </c>
      <c r="R7865">
        <v>47.95</v>
      </c>
      <c r="S7865">
        <v>71.930000000000007</v>
      </c>
      <c r="T7865" t="s">
        <v>38379</v>
      </c>
    </row>
    <row r="7866" spans="1:20">
      <c r="A7866">
        <v>4671860</v>
      </c>
      <c r="B7866" t="s">
        <v>38380</v>
      </c>
      <c r="C7866" t="str">
        <f>"9780802073907"</f>
        <v>9780802073907</v>
      </c>
      <c r="D7866" t="str">
        <f>"9781442678811"</f>
        <v>9781442678811</v>
      </c>
      <c r="E7866" t="s">
        <v>31435</v>
      </c>
      <c r="F7866" t="s">
        <v>31435</v>
      </c>
      <c r="G7866" s="1">
        <v>33604</v>
      </c>
      <c r="H7866">
        <v>2</v>
      </c>
      <c r="J7866" t="s">
        <v>38381</v>
      </c>
      <c r="K7866" t="s">
        <v>291</v>
      </c>
      <c r="L7866" t="s">
        <v>38382</v>
      </c>
      <c r="M7866" t="s">
        <v>29665</v>
      </c>
      <c r="O7866" t="s">
        <v>26</v>
      </c>
      <c r="Q7866">
        <v>59.94</v>
      </c>
      <c r="R7866">
        <v>47.95</v>
      </c>
      <c r="S7866">
        <v>71.930000000000007</v>
      </c>
      <c r="T7866" t="s">
        <v>38383</v>
      </c>
    </row>
    <row r="7867" spans="1:20">
      <c r="A7867">
        <v>4671861</v>
      </c>
      <c r="B7867" t="s">
        <v>38384</v>
      </c>
      <c r="C7867" t="str">
        <f>"9780802067166"</f>
        <v>9780802067166</v>
      </c>
      <c r="D7867" t="str">
        <f>"9781442678828"</f>
        <v>9781442678828</v>
      </c>
      <c r="E7867" t="s">
        <v>31435</v>
      </c>
      <c r="F7867" t="s">
        <v>31435</v>
      </c>
      <c r="G7867" s="1">
        <v>32518</v>
      </c>
      <c r="J7867" t="s">
        <v>38385</v>
      </c>
      <c r="K7867" t="s">
        <v>291</v>
      </c>
      <c r="L7867" t="s">
        <v>38386</v>
      </c>
      <c r="M7867" t="s">
        <v>38387</v>
      </c>
      <c r="N7867" t="s">
        <v>38388</v>
      </c>
      <c r="O7867" t="s">
        <v>26</v>
      </c>
      <c r="Q7867">
        <v>59.94</v>
      </c>
      <c r="R7867">
        <v>47.95</v>
      </c>
      <c r="S7867">
        <v>71.930000000000007</v>
      </c>
      <c r="T7867" t="s">
        <v>38389</v>
      </c>
    </row>
    <row r="7868" spans="1:20">
      <c r="A7868">
        <v>4671863</v>
      </c>
      <c r="B7868" t="s">
        <v>38390</v>
      </c>
      <c r="C7868" t="str">
        <f>"9780802007353"</f>
        <v>9780802007353</v>
      </c>
      <c r="D7868" t="str">
        <f>"9781442678842"</f>
        <v>9781442678842</v>
      </c>
      <c r="E7868" t="s">
        <v>31435</v>
      </c>
      <c r="F7868" t="s">
        <v>31435</v>
      </c>
      <c r="G7868" s="1">
        <v>35065</v>
      </c>
      <c r="J7868" t="s">
        <v>35963</v>
      </c>
      <c r="K7868" t="s">
        <v>1892</v>
      </c>
      <c r="L7868" t="s">
        <v>38391</v>
      </c>
      <c r="M7868">
        <v>270.60000000000002</v>
      </c>
      <c r="O7868" t="s">
        <v>26</v>
      </c>
      <c r="Q7868">
        <v>107.5</v>
      </c>
      <c r="R7868">
        <v>86</v>
      </c>
      <c r="S7868">
        <v>129</v>
      </c>
      <c r="T7868" t="s">
        <v>38392</v>
      </c>
    </row>
    <row r="7869" spans="1:20">
      <c r="A7869">
        <v>4671864</v>
      </c>
      <c r="B7869" t="s">
        <v>38393</v>
      </c>
      <c r="C7869" t="str">
        <f>"9780802074102"</f>
        <v>9780802074102</v>
      </c>
      <c r="D7869" t="str">
        <f>"9781442678859"</f>
        <v>9781442678859</v>
      </c>
      <c r="E7869" t="s">
        <v>31435</v>
      </c>
      <c r="F7869" t="s">
        <v>31435</v>
      </c>
      <c r="G7869" s="1">
        <v>34411</v>
      </c>
      <c r="J7869" t="s">
        <v>38394</v>
      </c>
      <c r="K7869" t="s">
        <v>778</v>
      </c>
      <c r="L7869" t="s">
        <v>38395</v>
      </c>
      <c r="M7869" t="s">
        <v>38396</v>
      </c>
      <c r="N7869" t="s">
        <v>38397</v>
      </c>
      <c r="O7869" t="s">
        <v>26</v>
      </c>
      <c r="Q7869">
        <v>59.94</v>
      </c>
      <c r="R7869">
        <v>47.95</v>
      </c>
      <c r="S7869">
        <v>71.930000000000007</v>
      </c>
      <c r="T7869" t="s">
        <v>38398</v>
      </c>
    </row>
    <row r="7870" spans="1:20">
      <c r="A7870">
        <v>4671865</v>
      </c>
      <c r="B7870" t="s">
        <v>38399</v>
      </c>
      <c r="C7870" t="str">
        <f>"9780802087270"</f>
        <v>9780802087270</v>
      </c>
      <c r="D7870" t="str">
        <f>"9781442678866"</f>
        <v>9781442678866</v>
      </c>
      <c r="E7870" t="s">
        <v>31435</v>
      </c>
      <c r="F7870" t="s">
        <v>31435</v>
      </c>
      <c r="G7870" s="1">
        <v>41773</v>
      </c>
      <c r="H7870">
        <v>2</v>
      </c>
      <c r="I7870" t="s">
        <v>34035</v>
      </c>
      <c r="J7870" t="s">
        <v>38400</v>
      </c>
      <c r="K7870" t="s">
        <v>1464</v>
      </c>
      <c r="L7870" t="s">
        <v>38401</v>
      </c>
      <c r="M7870">
        <v>843.91200000000003</v>
      </c>
      <c r="O7870" t="s">
        <v>26</v>
      </c>
      <c r="Q7870">
        <v>107.5</v>
      </c>
      <c r="R7870">
        <v>86</v>
      </c>
      <c r="S7870">
        <v>129</v>
      </c>
      <c r="T7870" t="s">
        <v>38402</v>
      </c>
    </row>
    <row r="7871" spans="1:20">
      <c r="A7871">
        <v>4671866</v>
      </c>
      <c r="B7871" t="s">
        <v>38403</v>
      </c>
      <c r="C7871" t="str">
        <f>"9780802067340"</f>
        <v>9780802067340</v>
      </c>
      <c r="D7871" t="str">
        <f>"9781442678873"</f>
        <v>9781442678873</v>
      </c>
      <c r="E7871" t="s">
        <v>31435</v>
      </c>
      <c r="F7871" t="s">
        <v>31435</v>
      </c>
      <c r="G7871" s="1">
        <v>32509</v>
      </c>
      <c r="H7871">
        <v>2</v>
      </c>
      <c r="J7871" t="s">
        <v>38404</v>
      </c>
      <c r="K7871" t="s">
        <v>467</v>
      </c>
      <c r="L7871" t="s">
        <v>38405</v>
      </c>
      <c r="M7871">
        <v>328.71</v>
      </c>
      <c r="O7871" t="s">
        <v>26</v>
      </c>
      <c r="Q7871">
        <v>59.94</v>
      </c>
      <c r="R7871">
        <v>47.95</v>
      </c>
      <c r="S7871">
        <v>71.930000000000007</v>
      </c>
      <c r="T7871" t="s">
        <v>38406</v>
      </c>
    </row>
    <row r="7872" spans="1:20">
      <c r="A7872">
        <v>4671867</v>
      </c>
      <c r="B7872" t="s">
        <v>38407</v>
      </c>
      <c r="C7872" t="str">
        <f>"9780802074041"</f>
        <v>9780802074041</v>
      </c>
      <c r="D7872" t="str">
        <f>"9781442678880"</f>
        <v>9781442678880</v>
      </c>
      <c r="E7872" t="s">
        <v>31435</v>
      </c>
      <c r="F7872" t="s">
        <v>31435</v>
      </c>
      <c r="G7872" s="1">
        <v>33604</v>
      </c>
      <c r="H7872">
        <v>2</v>
      </c>
      <c r="I7872" t="s">
        <v>33881</v>
      </c>
      <c r="J7872" t="s">
        <v>38408</v>
      </c>
      <c r="K7872" t="s">
        <v>525</v>
      </c>
      <c r="L7872" t="s">
        <v>38409</v>
      </c>
      <c r="M7872" t="s">
        <v>38410</v>
      </c>
      <c r="O7872" t="s">
        <v>26</v>
      </c>
      <c r="Q7872">
        <v>123.75</v>
      </c>
      <c r="R7872">
        <v>99</v>
      </c>
      <c r="S7872">
        <v>148.5</v>
      </c>
      <c r="T7872" t="s">
        <v>38411</v>
      </c>
    </row>
    <row r="7873" spans="1:20">
      <c r="A7873">
        <v>4671868</v>
      </c>
      <c r="B7873" t="s">
        <v>38412</v>
      </c>
      <c r="C7873" t="str">
        <f>"9780802080059"</f>
        <v>9780802080059</v>
      </c>
      <c r="D7873" t="str">
        <f>"9781442678897"</f>
        <v>9781442678897</v>
      </c>
      <c r="E7873" t="s">
        <v>31435</v>
      </c>
      <c r="F7873" t="s">
        <v>31435</v>
      </c>
      <c r="G7873" s="1">
        <v>38353</v>
      </c>
      <c r="J7873" t="s">
        <v>38413</v>
      </c>
      <c r="K7873" t="s">
        <v>15517</v>
      </c>
      <c r="L7873" t="s">
        <v>38414</v>
      </c>
      <c r="M7873" t="s">
        <v>38415</v>
      </c>
      <c r="O7873" t="s">
        <v>26</v>
      </c>
      <c r="Q7873">
        <v>102.5</v>
      </c>
      <c r="R7873">
        <v>82</v>
      </c>
      <c r="S7873">
        <v>123</v>
      </c>
      <c r="T7873" t="s">
        <v>38416</v>
      </c>
    </row>
    <row r="7874" spans="1:20">
      <c r="A7874">
        <v>4671869</v>
      </c>
      <c r="B7874" t="s">
        <v>38417</v>
      </c>
      <c r="C7874" t="str">
        <f>"9780802082749"</f>
        <v>9780802082749</v>
      </c>
      <c r="D7874" t="str">
        <f>"9781442678903"</f>
        <v>9781442678903</v>
      </c>
      <c r="E7874" t="s">
        <v>31435</v>
      </c>
      <c r="F7874" t="s">
        <v>31435</v>
      </c>
      <c r="G7874" s="1">
        <v>36892</v>
      </c>
      <c r="J7874" t="s">
        <v>38418</v>
      </c>
      <c r="K7874" t="s">
        <v>263</v>
      </c>
      <c r="L7874" t="s">
        <v>38419</v>
      </c>
      <c r="M7874">
        <v>365.971</v>
      </c>
      <c r="O7874" t="s">
        <v>26</v>
      </c>
      <c r="Q7874">
        <v>100</v>
      </c>
      <c r="R7874">
        <v>80</v>
      </c>
      <c r="S7874">
        <v>120</v>
      </c>
      <c r="T7874" t="s">
        <v>38420</v>
      </c>
    </row>
    <row r="7875" spans="1:20">
      <c r="A7875">
        <v>4671870</v>
      </c>
      <c r="B7875" t="s">
        <v>38421</v>
      </c>
      <c r="C7875" t="str">
        <f>"9780802080646"</f>
        <v>9780802080646</v>
      </c>
      <c r="D7875" t="str">
        <f>"9781442678910"</f>
        <v>9781442678910</v>
      </c>
      <c r="E7875" t="s">
        <v>31435</v>
      </c>
      <c r="F7875" t="s">
        <v>31435</v>
      </c>
      <c r="G7875" s="1">
        <v>36161</v>
      </c>
      <c r="J7875" t="s">
        <v>38422</v>
      </c>
      <c r="K7875" t="s">
        <v>263</v>
      </c>
      <c r="L7875" t="s">
        <v>38423</v>
      </c>
      <c r="M7875">
        <v>306.89</v>
      </c>
      <c r="O7875" t="s">
        <v>26</v>
      </c>
      <c r="Q7875">
        <v>83.75</v>
      </c>
      <c r="R7875">
        <v>67</v>
      </c>
      <c r="S7875">
        <v>100.5</v>
      </c>
      <c r="T7875" t="s">
        <v>38424</v>
      </c>
    </row>
    <row r="7876" spans="1:20">
      <c r="A7876">
        <v>4671871</v>
      </c>
      <c r="B7876" t="s">
        <v>38425</v>
      </c>
      <c r="C7876" t="str">
        <f>"9780802043269"</f>
        <v>9780802043269</v>
      </c>
      <c r="D7876" t="str">
        <f>"9781442678927"</f>
        <v>9781442678927</v>
      </c>
      <c r="E7876" t="s">
        <v>31435</v>
      </c>
      <c r="F7876" t="s">
        <v>31435</v>
      </c>
      <c r="G7876" s="1">
        <v>35796</v>
      </c>
      <c r="I7876" t="s">
        <v>35029</v>
      </c>
      <c r="J7876" t="s">
        <v>38426</v>
      </c>
      <c r="K7876" t="s">
        <v>1859</v>
      </c>
      <c r="L7876" t="s">
        <v>38427</v>
      </c>
      <c r="M7876">
        <v>123</v>
      </c>
      <c r="O7876" t="s">
        <v>26</v>
      </c>
      <c r="Q7876">
        <v>107.5</v>
      </c>
      <c r="R7876">
        <v>86</v>
      </c>
      <c r="S7876">
        <v>129</v>
      </c>
      <c r="T7876" t="s">
        <v>38428</v>
      </c>
    </row>
    <row r="7877" spans="1:20">
      <c r="A7877">
        <v>4671873</v>
      </c>
      <c r="B7877" t="s">
        <v>38429</v>
      </c>
      <c r="C7877" t="str">
        <f>"9780802079527"</f>
        <v>9780802079527</v>
      </c>
      <c r="D7877" t="str">
        <f>"9781442678934"</f>
        <v>9781442678934</v>
      </c>
      <c r="E7877" t="s">
        <v>31435</v>
      </c>
      <c r="F7877" t="s">
        <v>31435</v>
      </c>
      <c r="G7877" s="1">
        <v>35431</v>
      </c>
      <c r="J7877" t="s">
        <v>21559</v>
      </c>
      <c r="K7877" t="s">
        <v>1550</v>
      </c>
      <c r="L7877" t="s">
        <v>38430</v>
      </c>
      <c r="M7877" t="s">
        <v>38431</v>
      </c>
      <c r="O7877" t="s">
        <v>26</v>
      </c>
      <c r="Q7877">
        <v>86.25</v>
      </c>
      <c r="R7877">
        <v>69</v>
      </c>
      <c r="S7877">
        <v>103.5</v>
      </c>
      <c r="T7877" t="s">
        <v>38432</v>
      </c>
    </row>
    <row r="7878" spans="1:20">
      <c r="A7878">
        <v>4671874</v>
      </c>
      <c r="B7878" t="s">
        <v>38433</v>
      </c>
      <c r="C7878" t="str">
        <f>"9780802079145"</f>
        <v>9780802079145</v>
      </c>
      <c r="D7878" t="str">
        <f>"9781442678941"</f>
        <v>9781442678941</v>
      </c>
      <c r="E7878" t="s">
        <v>31435</v>
      </c>
      <c r="F7878" t="s">
        <v>31435</v>
      </c>
      <c r="G7878" s="1">
        <v>36542</v>
      </c>
      <c r="K7878" t="s">
        <v>525</v>
      </c>
      <c r="L7878" t="s">
        <v>38434</v>
      </c>
      <c r="M7878" t="s">
        <v>38435</v>
      </c>
      <c r="N7878" t="s">
        <v>38436</v>
      </c>
      <c r="O7878" t="s">
        <v>26</v>
      </c>
      <c r="Q7878">
        <v>115</v>
      </c>
      <c r="R7878">
        <v>92</v>
      </c>
      <c r="S7878">
        <v>138</v>
      </c>
      <c r="T7878" t="s">
        <v>38437</v>
      </c>
    </row>
    <row r="7879" spans="1:20">
      <c r="A7879">
        <v>4671875</v>
      </c>
      <c r="B7879" t="s">
        <v>38438</v>
      </c>
      <c r="C7879" t="str">
        <f>"9780802082725"</f>
        <v>9780802082725</v>
      </c>
      <c r="D7879" t="str">
        <f>"9781442678958"</f>
        <v>9781442678958</v>
      </c>
      <c r="E7879" t="s">
        <v>31435</v>
      </c>
      <c r="F7879" t="s">
        <v>31435</v>
      </c>
      <c r="G7879" s="1">
        <v>37987</v>
      </c>
      <c r="H7879">
        <v>2</v>
      </c>
      <c r="J7879" t="s">
        <v>38439</v>
      </c>
      <c r="K7879" t="s">
        <v>1859</v>
      </c>
      <c r="L7879" t="s">
        <v>38440</v>
      </c>
      <c r="M7879">
        <v>148</v>
      </c>
      <c r="O7879" t="s">
        <v>26</v>
      </c>
      <c r="Q7879">
        <v>117.5</v>
      </c>
      <c r="R7879">
        <v>94</v>
      </c>
      <c r="S7879">
        <v>141</v>
      </c>
      <c r="T7879" t="s">
        <v>38441</v>
      </c>
    </row>
    <row r="7880" spans="1:20">
      <c r="A7880">
        <v>4671876</v>
      </c>
      <c r="B7880" t="s">
        <v>38442</v>
      </c>
      <c r="C7880" t="str">
        <f>"9780802086662"</f>
        <v>9780802086662</v>
      </c>
      <c r="D7880" t="str">
        <f>"9781442678972"</f>
        <v>9781442678972</v>
      </c>
      <c r="E7880" t="s">
        <v>31435</v>
      </c>
      <c r="F7880" t="s">
        <v>31435</v>
      </c>
      <c r="G7880" s="1">
        <v>41773</v>
      </c>
      <c r="H7880">
        <v>2</v>
      </c>
      <c r="J7880" t="s">
        <v>38443</v>
      </c>
      <c r="K7880" t="s">
        <v>263</v>
      </c>
      <c r="L7880" t="s">
        <v>38444</v>
      </c>
      <c r="M7880">
        <v>305.800971</v>
      </c>
      <c r="O7880" t="s">
        <v>26</v>
      </c>
      <c r="Q7880">
        <v>140</v>
      </c>
      <c r="R7880">
        <v>112</v>
      </c>
      <c r="S7880">
        <v>168</v>
      </c>
      <c r="T7880" t="s">
        <v>38445</v>
      </c>
    </row>
    <row r="7881" spans="1:20">
      <c r="A7881">
        <v>4671877</v>
      </c>
      <c r="B7881" t="s">
        <v>38446</v>
      </c>
      <c r="C7881" t="str">
        <f>"9780802085436"</f>
        <v>9780802085436</v>
      </c>
      <c r="D7881" t="str">
        <f>"9781442678989"</f>
        <v>9781442678989</v>
      </c>
      <c r="E7881" t="s">
        <v>31435</v>
      </c>
      <c r="F7881" t="s">
        <v>31435</v>
      </c>
      <c r="G7881" s="1">
        <v>37622</v>
      </c>
      <c r="J7881" t="s">
        <v>31677</v>
      </c>
      <c r="K7881" t="s">
        <v>1464</v>
      </c>
      <c r="L7881" t="s">
        <v>38447</v>
      </c>
      <c r="M7881" t="s">
        <v>1497</v>
      </c>
      <c r="O7881" t="s">
        <v>26</v>
      </c>
      <c r="Q7881">
        <v>115</v>
      </c>
      <c r="R7881">
        <v>92</v>
      </c>
      <c r="S7881">
        <v>138</v>
      </c>
      <c r="T7881" t="s">
        <v>38448</v>
      </c>
    </row>
    <row r="7882" spans="1:20">
      <c r="A7882">
        <v>4671878</v>
      </c>
      <c r="B7882" t="s">
        <v>38449</v>
      </c>
      <c r="C7882" t="str">
        <f>"9780802086853"</f>
        <v>9780802086853</v>
      </c>
      <c r="D7882" t="str">
        <f>"9781442678996"</f>
        <v>9781442678996</v>
      </c>
      <c r="E7882" t="s">
        <v>31435</v>
      </c>
      <c r="F7882" t="s">
        <v>31435</v>
      </c>
      <c r="G7882" s="1">
        <v>41773</v>
      </c>
      <c r="H7882">
        <v>2</v>
      </c>
      <c r="J7882" t="s">
        <v>38450</v>
      </c>
      <c r="K7882" t="s">
        <v>1464</v>
      </c>
      <c r="L7882" t="s">
        <v>38451</v>
      </c>
      <c r="M7882">
        <v>810.9</v>
      </c>
      <c r="O7882" t="s">
        <v>26</v>
      </c>
      <c r="Q7882">
        <v>83.75</v>
      </c>
      <c r="R7882">
        <v>67</v>
      </c>
      <c r="S7882">
        <v>100.5</v>
      </c>
      <c r="T7882" t="s">
        <v>38452</v>
      </c>
    </row>
    <row r="7883" spans="1:20">
      <c r="A7883">
        <v>4671879</v>
      </c>
      <c r="B7883" t="s">
        <v>38453</v>
      </c>
      <c r="C7883" t="str">
        <f>"9780802028662"</f>
        <v>9780802028662</v>
      </c>
      <c r="D7883" t="str">
        <f>"9781442679009"</f>
        <v>9781442679009</v>
      </c>
      <c r="E7883" t="s">
        <v>31435</v>
      </c>
      <c r="F7883" t="s">
        <v>31435</v>
      </c>
      <c r="G7883" s="1">
        <v>34222</v>
      </c>
      <c r="J7883" t="s">
        <v>38454</v>
      </c>
      <c r="K7883" t="s">
        <v>1464</v>
      </c>
      <c r="L7883" t="s">
        <v>38455</v>
      </c>
      <c r="M7883" t="s">
        <v>38456</v>
      </c>
      <c r="N7883" t="s">
        <v>38457</v>
      </c>
      <c r="O7883" t="s">
        <v>26</v>
      </c>
      <c r="Q7883">
        <v>115</v>
      </c>
      <c r="R7883">
        <v>92</v>
      </c>
      <c r="S7883">
        <v>138</v>
      </c>
      <c r="T7883" t="s">
        <v>38458</v>
      </c>
    </row>
    <row r="7884" spans="1:20">
      <c r="A7884">
        <v>4671880</v>
      </c>
      <c r="B7884" t="s">
        <v>38459</v>
      </c>
      <c r="C7884" t="str">
        <f>"9780802082664"</f>
        <v>9780802082664</v>
      </c>
      <c r="D7884" t="str">
        <f>"9781442679016"</f>
        <v>9781442679016</v>
      </c>
      <c r="E7884" t="s">
        <v>31435</v>
      </c>
      <c r="F7884" t="s">
        <v>31435</v>
      </c>
      <c r="G7884" s="1">
        <v>36161</v>
      </c>
      <c r="I7884" t="s">
        <v>35029</v>
      </c>
      <c r="J7884" t="s">
        <v>38460</v>
      </c>
      <c r="K7884" t="s">
        <v>1859</v>
      </c>
      <c r="L7884" t="s">
        <v>38461</v>
      </c>
      <c r="M7884">
        <v>194</v>
      </c>
      <c r="O7884" t="s">
        <v>26</v>
      </c>
      <c r="Q7884">
        <v>115</v>
      </c>
      <c r="R7884">
        <v>92</v>
      </c>
      <c r="S7884">
        <v>138</v>
      </c>
      <c r="T7884" t="s">
        <v>38462</v>
      </c>
    </row>
    <row r="7885" spans="1:20">
      <c r="A7885">
        <v>4671881</v>
      </c>
      <c r="B7885" t="s">
        <v>38463</v>
      </c>
      <c r="C7885" t="str">
        <f>"9780802082404"</f>
        <v>9780802082404</v>
      </c>
      <c r="D7885" t="str">
        <f>"9781442679023"</f>
        <v>9781442679023</v>
      </c>
      <c r="E7885" t="s">
        <v>31435</v>
      </c>
      <c r="F7885" t="s">
        <v>31435</v>
      </c>
      <c r="G7885" s="1">
        <v>36259</v>
      </c>
      <c r="I7885" t="s">
        <v>35056</v>
      </c>
      <c r="J7885" t="s">
        <v>38464</v>
      </c>
      <c r="K7885" t="s">
        <v>1471</v>
      </c>
      <c r="L7885" t="s">
        <v>38465</v>
      </c>
      <c r="M7885" t="s">
        <v>38466</v>
      </c>
      <c r="N7885" t="s">
        <v>38467</v>
      </c>
      <c r="O7885" t="s">
        <v>26</v>
      </c>
      <c r="Q7885">
        <v>107.5</v>
      </c>
      <c r="R7885">
        <v>86</v>
      </c>
      <c r="S7885">
        <v>129</v>
      </c>
      <c r="T7885" t="s">
        <v>38468</v>
      </c>
    </row>
    <row r="7886" spans="1:20">
      <c r="A7886">
        <v>4671882</v>
      </c>
      <c r="B7886" t="s">
        <v>38469</v>
      </c>
      <c r="C7886" t="str">
        <f>"9780802048165"</f>
        <v>9780802048165</v>
      </c>
      <c r="D7886" t="str">
        <f>"9781442679047"</f>
        <v>9781442679047</v>
      </c>
      <c r="E7886" t="s">
        <v>31435</v>
      </c>
      <c r="F7886" t="s">
        <v>31435</v>
      </c>
      <c r="G7886" s="1">
        <v>37023</v>
      </c>
      <c r="I7886" t="s">
        <v>35029</v>
      </c>
      <c r="J7886" t="s">
        <v>38470</v>
      </c>
      <c r="K7886" t="s">
        <v>1859</v>
      </c>
      <c r="L7886" t="s">
        <v>38471</v>
      </c>
      <c r="M7886">
        <v>110</v>
      </c>
      <c r="N7886" t="s">
        <v>38472</v>
      </c>
      <c r="O7886" t="s">
        <v>26</v>
      </c>
      <c r="Q7886">
        <v>123.75</v>
      </c>
      <c r="R7886">
        <v>99</v>
      </c>
      <c r="S7886">
        <v>148.5</v>
      </c>
      <c r="T7886" t="s">
        <v>38473</v>
      </c>
    </row>
    <row r="7887" spans="1:20">
      <c r="A7887">
        <v>4671883</v>
      </c>
      <c r="B7887" t="s">
        <v>38474</v>
      </c>
      <c r="C7887" t="str">
        <f>"9780802083951"</f>
        <v>9780802083951</v>
      </c>
      <c r="D7887" t="str">
        <f>"9781442679054"</f>
        <v>9781442679054</v>
      </c>
      <c r="E7887" t="s">
        <v>31435</v>
      </c>
      <c r="F7887" t="s">
        <v>31435</v>
      </c>
      <c r="G7887" s="1">
        <v>36526</v>
      </c>
      <c r="J7887" t="s">
        <v>38475</v>
      </c>
      <c r="K7887" t="s">
        <v>416</v>
      </c>
      <c r="L7887" t="s">
        <v>38476</v>
      </c>
      <c r="M7887">
        <v>337.93</v>
      </c>
      <c r="O7887" t="s">
        <v>26</v>
      </c>
      <c r="Q7887">
        <v>59.94</v>
      </c>
      <c r="R7887">
        <v>47.95</v>
      </c>
      <c r="S7887">
        <v>71.930000000000007</v>
      </c>
      <c r="T7887" t="s">
        <v>38477</v>
      </c>
    </row>
    <row r="7888" spans="1:20">
      <c r="A7888">
        <v>4671884</v>
      </c>
      <c r="B7888" t="s">
        <v>38478</v>
      </c>
      <c r="C7888" t="str">
        <f>"9780802075840"</f>
        <v>9780802075840</v>
      </c>
      <c r="D7888" t="str">
        <f>"9781442679061"</f>
        <v>9781442679061</v>
      </c>
      <c r="E7888" t="s">
        <v>31435</v>
      </c>
      <c r="F7888" t="s">
        <v>31435</v>
      </c>
      <c r="G7888" s="1">
        <v>34700</v>
      </c>
      <c r="H7888">
        <v>2</v>
      </c>
      <c r="J7888" t="s">
        <v>38479</v>
      </c>
      <c r="K7888" t="s">
        <v>7838</v>
      </c>
      <c r="L7888" t="s">
        <v>38480</v>
      </c>
      <c r="M7888">
        <v>720</v>
      </c>
      <c r="O7888" t="s">
        <v>26</v>
      </c>
      <c r="Q7888">
        <v>59.94</v>
      </c>
      <c r="R7888">
        <v>47.95</v>
      </c>
      <c r="S7888">
        <v>71.930000000000007</v>
      </c>
      <c r="T7888" t="s">
        <v>38481</v>
      </c>
    </row>
    <row r="7889" spans="1:20">
      <c r="A7889">
        <v>4671885</v>
      </c>
      <c r="B7889" t="s">
        <v>38482</v>
      </c>
      <c r="C7889" t="str">
        <f>"9780802080608"</f>
        <v>9780802080608</v>
      </c>
      <c r="D7889" t="str">
        <f>"9781442679078"</f>
        <v>9781442679078</v>
      </c>
      <c r="E7889" t="s">
        <v>31435</v>
      </c>
      <c r="F7889" t="s">
        <v>31435</v>
      </c>
      <c r="G7889" s="1">
        <v>35791</v>
      </c>
      <c r="J7889" t="s">
        <v>38483</v>
      </c>
      <c r="K7889" t="s">
        <v>257</v>
      </c>
      <c r="L7889" t="s">
        <v>38484</v>
      </c>
      <c r="M7889" t="s">
        <v>38485</v>
      </c>
      <c r="O7889" t="s">
        <v>26</v>
      </c>
      <c r="Q7889">
        <v>100</v>
      </c>
      <c r="R7889">
        <v>80</v>
      </c>
      <c r="S7889">
        <v>120</v>
      </c>
      <c r="T7889" t="s">
        <v>38486</v>
      </c>
    </row>
    <row r="7890" spans="1:20">
      <c r="A7890">
        <v>4671886</v>
      </c>
      <c r="B7890" t="s">
        <v>38487</v>
      </c>
      <c r="C7890" t="str">
        <f>"9780802040961"</f>
        <v>9780802040961</v>
      </c>
      <c r="D7890" t="str">
        <f>"9781442679085"</f>
        <v>9781442679085</v>
      </c>
      <c r="E7890" t="s">
        <v>31435</v>
      </c>
      <c r="F7890" t="s">
        <v>31435</v>
      </c>
      <c r="G7890" s="1">
        <v>35796</v>
      </c>
      <c r="H7890">
        <v>74</v>
      </c>
      <c r="I7890" t="s">
        <v>35188</v>
      </c>
      <c r="J7890" t="s">
        <v>14204</v>
      </c>
      <c r="K7890" t="s">
        <v>1464</v>
      </c>
      <c r="L7890" t="s">
        <v>38488</v>
      </c>
      <c r="M7890">
        <v>822.05160899999896</v>
      </c>
      <c r="O7890" t="s">
        <v>26</v>
      </c>
      <c r="Q7890">
        <v>63.75</v>
      </c>
      <c r="R7890">
        <v>51</v>
      </c>
      <c r="S7890">
        <v>76.5</v>
      </c>
      <c r="T7890" t="s">
        <v>38489</v>
      </c>
    </row>
    <row r="7891" spans="1:20">
      <c r="A7891">
        <v>4671888</v>
      </c>
      <c r="B7891" t="s">
        <v>38490</v>
      </c>
      <c r="C7891" t="str">
        <f>"9780802081407"</f>
        <v>9780802081407</v>
      </c>
      <c r="D7891" t="str">
        <f>"9781442679108"</f>
        <v>9781442679108</v>
      </c>
      <c r="E7891" t="s">
        <v>31435</v>
      </c>
      <c r="F7891" t="s">
        <v>31435</v>
      </c>
      <c r="G7891" s="1">
        <v>35796</v>
      </c>
      <c r="J7891" t="s">
        <v>38491</v>
      </c>
      <c r="K7891" t="s">
        <v>1859</v>
      </c>
      <c r="L7891" t="s">
        <v>38492</v>
      </c>
      <c r="M7891">
        <v>121</v>
      </c>
      <c r="O7891" t="s">
        <v>26</v>
      </c>
      <c r="Q7891">
        <v>59.94</v>
      </c>
      <c r="R7891">
        <v>47.95</v>
      </c>
      <c r="S7891">
        <v>71.930000000000007</v>
      </c>
      <c r="T7891" t="s">
        <v>38493</v>
      </c>
    </row>
    <row r="7892" spans="1:20">
      <c r="A7892">
        <v>4671889</v>
      </c>
      <c r="B7892" t="s">
        <v>38494</v>
      </c>
      <c r="C7892" t="str">
        <f>"9780802044570"</f>
        <v>9780802044570</v>
      </c>
      <c r="D7892" t="str">
        <f>"9781442679139"</f>
        <v>9781442679139</v>
      </c>
      <c r="E7892" t="s">
        <v>31435</v>
      </c>
      <c r="F7892" t="s">
        <v>31435</v>
      </c>
      <c r="G7892" s="1">
        <v>36770</v>
      </c>
      <c r="J7892" t="s">
        <v>38495</v>
      </c>
      <c r="K7892" t="s">
        <v>1464</v>
      </c>
      <c r="L7892" t="s">
        <v>38496</v>
      </c>
      <c r="M7892" t="s">
        <v>38497</v>
      </c>
      <c r="O7892" t="s">
        <v>26</v>
      </c>
      <c r="Q7892">
        <v>143.75</v>
      </c>
      <c r="R7892">
        <v>115</v>
      </c>
      <c r="S7892">
        <v>172.5</v>
      </c>
      <c r="T7892" t="s">
        <v>38498</v>
      </c>
    </row>
    <row r="7893" spans="1:20">
      <c r="A7893">
        <v>4671890</v>
      </c>
      <c r="B7893" t="s">
        <v>38499</v>
      </c>
      <c r="C7893" t="str">
        <f>"9780802076823"</f>
        <v>9780802076823</v>
      </c>
      <c r="D7893" t="str">
        <f>"9781442679146"</f>
        <v>9781442679146</v>
      </c>
      <c r="E7893" t="s">
        <v>31435</v>
      </c>
      <c r="F7893" t="s">
        <v>31435</v>
      </c>
      <c r="G7893" s="1">
        <v>33521</v>
      </c>
      <c r="J7893" t="s">
        <v>38500</v>
      </c>
      <c r="K7893" t="s">
        <v>568</v>
      </c>
      <c r="L7893" t="s">
        <v>38501</v>
      </c>
      <c r="M7893" t="s">
        <v>38502</v>
      </c>
      <c r="O7893" t="s">
        <v>26</v>
      </c>
      <c r="Q7893">
        <v>59.94</v>
      </c>
      <c r="R7893">
        <v>47.95</v>
      </c>
      <c r="S7893">
        <v>71.930000000000007</v>
      </c>
      <c r="T7893" t="s">
        <v>38503</v>
      </c>
    </row>
    <row r="7894" spans="1:20">
      <c r="A7894">
        <v>4671891</v>
      </c>
      <c r="B7894" t="s">
        <v>38504</v>
      </c>
      <c r="C7894" t="str">
        <f>"9780802058164"</f>
        <v>9780802058164</v>
      </c>
      <c r="D7894" t="str">
        <f>"9781442679153"</f>
        <v>9781442679153</v>
      </c>
      <c r="E7894" t="s">
        <v>31435</v>
      </c>
      <c r="F7894" t="s">
        <v>31435</v>
      </c>
      <c r="G7894" s="1">
        <v>32813</v>
      </c>
      <c r="J7894" t="s">
        <v>13129</v>
      </c>
      <c r="K7894" t="s">
        <v>1464</v>
      </c>
      <c r="L7894" t="s">
        <v>38505</v>
      </c>
      <c r="M7894">
        <v>812.50900000000001</v>
      </c>
      <c r="O7894" t="s">
        <v>26</v>
      </c>
      <c r="Q7894">
        <v>86.25</v>
      </c>
      <c r="R7894">
        <v>69</v>
      </c>
      <c r="S7894">
        <v>103.5</v>
      </c>
      <c r="T7894" t="s">
        <v>38506</v>
      </c>
    </row>
    <row r="7895" spans="1:20">
      <c r="A7895">
        <v>4671892</v>
      </c>
      <c r="B7895" t="s">
        <v>38507</v>
      </c>
      <c r="C7895" t="str">
        <f>"9780802081827"</f>
        <v>9780802081827</v>
      </c>
      <c r="D7895" t="str">
        <f>"9781442679160"</f>
        <v>9781442679160</v>
      </c>
      <c r="E7895" t="s">
        <v>31435</v>
      </c>
      <c r="F7895" t="s">
        <v>31435</v>
      </c>
      <c r="G7895" s="1">
        <v>37298</v>
      </c>
      <c r="J7895" t="s">
        <v>38508</v>
      </c>
      <c r="K7895" t="s">
        <v>525</v>
      </c>
      <c r="L7895" t="s">
        <v>38509</v>
      </c>
      <c r="M7895" t="s">
        <v>38510</v>
      </c>
      <c r="N7895" t="s">
        <v>38511</v>
      </c>
      <c r="O7895" t="s">
        <v>26</v>
      </c>
      <c r="Q7895">
        <v>91.25</v>
      </c>
      <c r="R7895">
        <v>73</v>
      </c>
      <c r="S7895">
        <v>109.5</v>
      </c>
      <c r="T7895" t="s">
        <v>38512</v>
      </c>
    </row>
    <row r="7896" spans="1:20">
      <c r="A7896">
        <v>4671893</v>
      </c>
      <c r="B7896" t="s">
        <v>38513</v>
      </c>
      <c r="C7896" t="str">
        <f>"9780802067647"</f>
        <v>9780802067647</v>
      </c>
      <c r="D7896" t="str">
        <f>"9781442679177"</f>
        <v>9781442679177</v>
      </c>
      <c r="E7896" t="s">
        <v>31435</v>
      </c>
      <c r="F7896" t="s">
        <v>31435</v>
      </c>
      <c r="G7896" s="1">
        <v>33086</v>
      </c>
      <c r="J7896" t="s">
        <v>38514</v>
      </c>
      <c r="K7896" t="s">
        <v>15794</v>
      </c>
      <c r="L7896" t="s">
        <v>38515</v>
      </c>
      <c r="M7896">
        <v>629.28</v>
      </c>
      <c r="N7896" t="s">
        <v>38516</v>
      </c>
      <c r="O7896" t="s">
        <v>26</v>
      </c>
      <c r="Q7896">
        <v>59.94</v>
      </c>
      <c r="R7896">
        <v>47.95</v>
      </c>
      <c r="S7896">
        <v>71.930000000000007</v>
      </c>
      <c r="T7896" t="s">
        <v>38517</v>
      </c>
    </row>
    <row r="7897" spans="1:20">
      <c r="A7897">
        <v>4671894</v>
      </c>
      <c r="B7897" t="s">
        <v>38518</v>
      </c>
      <c r="C7897" t="str">
        <f>"9780802081001"</f>
        <v>9780802081001</v>
      </c>
      <c r="D7897" t="str">
        <f>"9781442679184"</f>
        <v>9781442679184</v>
      </c>
      <c r="E7897" t="s">
        <v>31435</v>
      </c>
      <c r="F7897" t="s">
        <v>31435</v>
      </c>
      <c r="G7897" s="1">
        <v>36139</v>
      </c>
      <c r="J7897" t="s">
        <v>38519</v>
      </c>
      <c r="K7897" t="s">
        <v>278</v>
      </c>
      <c r="L7897" t="s">
        <v>38520</v>
      </c>
      <c r="M7897">
        <v>338.94099999999901</v>
      </c>
      <c r="O7897" t="s">
        <v>26</v>
      </c>
      <c r="Q7897">
        <v>116.25</v>
      </c>
      <c r="R7897">
        <v>93</v>
      </c>
      <c r="S7897">
        <v>139.5</v>
      </c>
      <c r="T7897" t="s">
        <v>38521</v>
      </c>
    </row>
    <row r="7898" spans="1:20">
      <c r="A7898">
        <v>4671895</v>
      </c>
      <c r="B7898" t="s">
        <v>38522</v>
      </c>
      <c r="C7898" t="str">
        <f>"9780802082459"</f>
        <v>9780802082459</v>
      </c>
      <c r="D7898" t="str">
        <f>"9781442679191"</f>
        <v>9781442679191</v>
      </c>
      <c r="E7898" t="s">
        <v>31435</v>
      </c>
      <c r="F7898" t="s">
        <v>31435</v>
      </c>
      <c r="G7898" s="1">
        <v>37057</v>
      </c>
      <c r="J7898" t="s">
        <v>14714</v>
      </c>
      <c r="K7898" t="s">
        <v>1892</v>
      </c>
      <c r="L7898" t="s">
        <v>38523</v>
      </c>
      <c r="M7898" t="s">
        <v>4326</v>
      </c>
      <c r="N7898" t="s">
        <v>38524</v>
      </c>
      <c r="O7898" t="s">
        <v>26</v>
      </c>
      <c r="Q7898">
        <v>100</v>
      </c>
      <c r="R7898">
        <v>80</v>
      </c>
      <c r="S7898">
        <v>120</v>
      </c>
      <c r="T7898" t="s">
        <v>38525</v>
      </c>
    </row>
    <row r="7899" spans="1:20">
      <c r="A7899">
        <v>4671896</v>
      </c>
      <c r="B7899" t="s">
        <v>38526</v>
      </c>
      <c r="C7899" t="str">
        <f>"9780802082701"</f>
        <v>9780802082701</v>
      </c>
      <c r="D7899" t="str">
        <f>"9781442679207"</f>
        <v>9781442679207</v>
      </c>
      <c r="E7899" t="s">
        <v>31435</v>
      </c>
      <c r="F7899" t="s">
        <v>31435</v>
      </c>
      <c r="G7899" s="1">
        <v>37072</v>
      </c>
      <c r="J7899" t="s">
        <v>38527</v>
      </c>
      <c r="K7899" t="s">
        <v>263</v>
      </c>
      <c r="L7899" t="s">
        <v>38528</v>
      </c>
      <c r="M7899" t="s">
        <v>38529</v>
      </c>
      <c r="N7899" t="s">
        <v>38530</v>
      </c>
      <c r="O7899" t="s">
        <v>26</v>
      </c>
      <c r="Q7899">
        <v>123.75</v>
      </c>
      <c r="R7899">
        <v>99</v>
      </c>
      <c r="S7899">
        <v>148.5</v>
      </c>
      <c r="T7899" t="s">
        <v>38531</v>
      </c>
    </row>
    <row r="7900" spans="1:20">
      <c r="A7900">
        <v>4671897</v>
      </c>
      <c r="B7900" t="s">
        <v>38532</v>
      </c>
      <c r="C7900" t="str">
        <f>"9780802085603"</f>
        <v>9780802085603</v>
      </c>
      <c r="D7900" t="str">
        <f>"9781442679214"</f>
        <v>9781442679214</v>
      </c>
      <c r="E7900" t="s">
        <v>31435</v>
      </c>
      <c r="F7900" t="s">
        <v>31435</v>
      </c>
      <c r="G7900" s="1">
        <v>41773</v>
      </c>
      <c r="I7900" t="s">
        <v>33881</v>
      </c>
      <c r="J7900" t="s">
        <v>30761</v>
      </c>
      <c r="K7900" t="s">
        <v>525</v>
      </c>
      <c r="M7900">
        <v>340</v>
      </c>
      <c r="O7900" t="s">
        <v>26</v>
      </c>
      <c r="Q7900">
        <v>115</v>
      </c>
      <c r="R7900">
        <v>92</v>
      </c>
      <c r="S7900">
        <v>138</v>
      </c>
      <c r="T7900" t="s">
        <v>38533</v>
      </c>
    </row>
    <row r="7901" spans="1:20">
      <c r="A7901">
        <v>4671898</v>
      </c>
      <c r="B7901" t="s">
        <v>38534</v>
      </c>
      <c r="C7901" t="str">
        <f>"9780802083616"</f>
        <v>9780802083616</v>
      </c>
      <c r="D7901" t="str">
        <f>"9781442679221"</f>
        <v>9781442679221</v>
      </c>
      <c r="E7901" t="s">
        <v>31435</v>
      </c>
      <c r="F7901" t="s">
        <v>31435</v>
      </c>
      <c r="G7901" s="1">
        <v>36937</v>
      </c>
      <c r="J7901" t="s">
        <v>38535</v>
      </c>
      <c r="K7901" t="s">
        <v>26685</v>
      </c>
      <c r="L7901" t="s">
        <v>38536</v>
      </c>
      <c r="M7901" t="s">
        <v>38537</v>
      </c>
      <c r="O7901" t="s">
        <v>26</v>
      </c>
      <c r="Q7901">
        <v>107.5</v>
      </c>
      <c r="R7901">
        <v>86</v>
      </c>
      <c r="S7901">
        <v>129</v>
      </c>
      <c r="T7901" t="s">
        <v>38538</v>
      </c>
    </row>
    <row r="7902" spans="1:20">
      <c r="A7902">
        <v>4671899</v>
      </c>
      <c r="B7902" t="s">
        <v>38539</v>
      </c>
      <c r="C7902" t="str">
        <f>"9780802089212"</f>
        <v>9780802089212</v>
      </c>
      <c r="D7902" t="str">
        <f>"9781442679238"</f>
        <v>9781442679238</v>
      </c>
      <c r="E7902" t="s">
        <v>31435</v>
      </c>
      <c r="F7902" t="s">
        <v>31435</v>
      </c>
      <c r="G7902" s="1">
        <v>37987</v>
      </c>
      <c r="H7902">
        <v>2</v>
      </c>
      <c r="J7902" t="s">
        <v>38540</v>
      </c>
      <c r="K7902" t="s">
        <v>467</v>
      </c>
      <c r="L7902" t="s">
        <v>38541</v>
      </c>
      <c r="M7902" t="s">
        <v>38542</v>
      </c>
      <c r="O7902" t="s">
        <v>26</v>
      </c>
      <c r="Q7902">
        <v>140</v>
      </c>
      <c r="R7902">
        <v>112</v>
      </c>
      <c r="S7902">
        <v>168</v>
      </c>
      <c r="T7902" t="s">
        <v>38543</v>
      </c>
    </row>
    <row r="7903" spans="1:20">
      <c r="A7903">
        <v>4671900</v>
      </c>
      <c r="B7903" t="s">
        <v>38544</v>
      </c>
      <c r="C7903" t="str">
        <f>"9780802064752"</f>
        <v>9780802064752</v>
      </c>
      <c r="D7903" t="str">
        <f>"9781442679245"</f>
        <v>9781442679245</v>
      </c>
      <c r="E7903" t="s">
        <v>31435</v>
      </c>
      <c r="F7903" t="s">
        <v>31435</v>
      </c>
      <c r="G7903" s="1">
        <v>29952</v>
      </c>
      <c r="H7903">
        <v>2</v>
      </c>
      <c r="J7903" t="s">
        <v>38545</v>
      </c>
      <c r="K7903" t="s">
        <v>263</v>
      </c>
      <c r="L7903" t="s">
        <v>38546</v>
      </c>
      <c r="M7903" t="s">
        <v>38547</v>
      </c>
      <c r="O7903" t="s">
        <v>26</v>
      </c>
      <c r="Q7903">
        <v>59.94</v>
      </c>
      <c r="R7903">
        <v>47.95</v>
      </c>
      <c r="S7903">
        <v>71.930000000000007</v>
      </c>
      <c r="T7903" t="s">
        <v>38548</v>
      </c>
    </row>
    <row r="7904" spans="1:20">
      <c r="A7904">
        <v>4671901</v>
      </c>
      <c r="B7904" t="s">
        <v>38549</v>
      </c>
      <c r="C7904" t="str">
        <f>"9780802080943"</f>
        <v>9780802080943</v>
      </c>
      <c r="D7904" t="str">
        <f>"9781442679252"</f>
        <v>9781442679252</v>
      </c>
      <c r="E7904" t="s">
        <v>31435</v>
      </c>
      <c r="F7904" t="s">
        <v>31435</v>
      </c>
      <c r="G7904" s="1">
        <v>36161</v>
      </c>
      <c r="I7904" t="s">
        <v>35154</v>
      </c>
      <c r="J7904" t="s">
        <v>38550</v>
      </c>
      <c r="K7904" t="s">
        <v>1464</v>
      </c>
      <c r="L7904" t="s">
        <v>38551</v>
      </c>
      <c r="M7904" t="s">
        <v>35157</v>
      </c>
      <c r="O7904" t="s">
        <v>26</v>
      </c>
      <c r="Q7904">
        <v>91.25</v>
      </c>
      <c r="R7904">
        <v>73</v>
      </c>
      <c r="S7904">
        <v>109.5</v>
      </c>
      <c r="T7904" t="s">
        <v>38552</v>
      </c>
    </row>
    <row r="7905" spans="1:20">
      <c r="A7905">
        <v>4671902</v>
      </c>
      <c r="B7905" t="s">
        <v>38553</v>
      </c>
      <c r="C7905" t="str">
        <f>"9780802083159"</f>
        <v>9780802083159</v>
      </c>
      <c r="D7905" t="str">
        <f>"9781442679269"</f>
        <v>9781442679269</v>
      </c>
      <c r="E7905" t="s">
        <v>31435</v>
      </c>
      <c r="F7905" t="s">
        <v>31435</v>
      </c>
      <c r="G7905" s="1">
        <v>36526</v>
      </c>
      <c r="J7905" t="s">
        <v>38554</v>
      </c>
      <c r="K7905" t="s">
        <v>467</v>
      </c>
      <c r="L7905" t="s">
        <v>38555</v>
      </c>
      <c r="M7905">
        <v>323.44</v>
      </c>
      <c r="O7905" t="s">
        <v>26</v>
      </c>
      <c r="Q7905">
        <v>123.75</v>
      </c>
      <c r="R7905">
        <v>99</v>
      </c>
      <c r="S7905">
        <v>148.5</v>
      </c>
      <c r="T7905" t="s">
        <v>38556</v>
      </c>
    </row>
    <row r="7906" spans="1:20">
      <c r="A7906">
        <v>4671903</v>
      </c>
      <c r="B7906" t="s">
        <v>38557</v>
      </c>
      <c r="C7906" t="str">
        <f>"9780802082633"</f>
        <v>9780802082633</v>
      </c>
      <c r="D7906" t="str">
        <f>"9781442679276"</f>
        <v>9781442679276</v>
      </c>
      <c r="E7906" t="s">
        <v>31435</v>
      </c>
      <c r="F7906" t="s">
        <v>31435</v>
      </c>
      <c r="G7906" s="1">
        <v>36526</v>
      </c>
      <c r="J7906" t="s">
        <v>38558</v>
      </c>
      <c r="K7906" t="s">
        <v>467</v>
      </c>
      <c r="L7906" t="s">
        <v>38559</v>
      </c>
      <c r="M7906" t="s">
        <v>38560</v>
      </c>
      <c r="O7906" t="s">
        <v>26</v>
      </c>
      <c r="Q7906">
        <v>91.25</v>
      </c>
      <c r="R7906">
        <v>73</v>
      </c>
      <c r="S7906">
        <v>109.5</v>
      </c>
      <c r="T7906" t="s">
        <v>38561</v>
      </c>
    </row>
    <row r="7907" spans="1:20">
      <c r="A7907">
        <v>4671904</v>
      </c>
      <c r="B7907" t="s">
        <v>38562</v>
      </c>
      <c r="C7907" t="str">
        <f>"9780802085719"</f>
        <v>9780802085719</v>
      </c>
      <c r="D7907" t="str">
        <f>"9781442679283"</f>
        <v>9781442679283</v>
      </c>
      <c r="E7907" t="s">
        <v>31435</v>
      </c>
      <c r="F7907" t="s">
        <v>31435</v>
      </c>
      <c r="G7907" s="1">
        <v>38787</v>
      </c>
      <c r="J7907" t="s">
        <v>30749</v>
      </c>
      <c r="K7907" t="s">
        <v>263</v>
      </c>
      <c r="L7907" t="s">
        <v>38563</v>
      </c>
      <c r="M7907">
        <v>306.85000000000002</v>
      </c>
      <c r="O7907" t="s">
        <v>26</v>
      </c>
      <c r="Q7907">
        <v>117.5</v>
      </c>
      <c r="R7907">
        <v>94</v>
      </c>
      <c r="S7907">
        <v>141</v>
      </c>
      <c r="T7907" t="s">
        <v>38564</v>
      </c>
    </row>
    <row r="7908" spans="1:20">
      <c r="A7908">
        <v>4671905</v>
      </c>
      <c r="B7908" t="s">
        <v>38565</v>
      </c>
      <c r="C7908" t="str">
        <f>"9780802082428"</f>
        <v>9780802082428</v>
      </c>
      <c r="D7908" t="str">
        <f>"9781442679290"</f>
        <v>9781442679290</v>
      </c>
      <c r="E7908" t="s">
        <v>31435</v>
      </c>
      <c r="F7908" t="s">
        <v>31435</v>
      </c>
      <c r="G7908" s="1">
        <v>36892</v>
      </c>
      <c r="J7908" t="s">
        <v>38566</v>
      </c>
      <c r="K7908" t="s">
        <v>550</v>
      </c>
      <c r="L7908" t="s">
        <v>38567</v>
      </c>
      <c r="M7908" t="s">
        <v>17001</v>
      </c>
      <c r="O7908" t="s">
        <v>26</v>
      </c>
      <c r="Q7908">
        <v>161.25</v>
      </c>
      <c r="R7908">
        <v>129</v>
      </c>
      <c r="S7908">
        <v>193.5</v>
      </c>
      <c r="T7908" t="s">
        <v>38568</v>
      </c>
    </row>
    <row r="7909" spans="1:20">
      <c r="A7909">
        <v>4671906</v>
      </c>
      <c r="B7909" t="s">
        <v>38569</v>
      </c>
      <c r="C7909" t="str">
        <f>"9780802082138"</f>
        <v>9780802082138</v>
      </c>
      <c r="D7909" t="str">
        <f>"9781442679306"</f>
        <v>9781442679306</v>
      </c>
      <c r="E7909" t="s">
        <v>31435</v>
      </c>
      <c r="F7909" t="s">
        <v>31435</v>
      </c>
      <c r="G7909" s="1">
        <v>36535</v>
      </c>
      <c r="J7909" t="s">
        <v>38570</v>
      </c>
      <c r="K7909" t="s">
        <v>6359</v>
      </c>
      <c r="L7909" t="s">
        <v>38571</v>
      </c>
      <c r="M7909" t="s">
        <v>38572</v>
      </c>
      <c r="N7909" t="s">
        <v>38573</v>
      </c>
      <c r="O7909" t="s">
        <v>26</v>
      </c>
      <c r="Q7909">
        <v>107.5</v>
      </c>
      <c r="R7909">
        <v>86</v>
      </c>
      <c r="S7909">
        <v>129</v>
      </c>
      <c r="T7909" t="s">
        <v>38574</v>
      </c>
    </row>
    <row r="7910" spans="1:20">
      <c r="A7910">
        <v>4671907</v>
      </c>
      <c r="B7910" t="s">
        <v>38575</v>
      </c>
      <c r="C7910" t="str">
        <f>"9780802084651"</f>
        <v>9780802084651</v>
      </c>
      <c r="D7910" t="str">
        <f>"9781442679313"</f>
        <v>9781442679313</v>
      </c>
      <c r="E7910" t="s">
        <v>31435</v>
      </c>
      <c r="F7910" t="s">
        <v>31435</v>
      </c>
      <c r="G7910" s="1">
        <v>37401</v>
      </c>
      <c r="J7910" t="s">
        <v>38576</v>
      </c>
      <c r="K7910" t="s">
        <v>1464</v>
      </c>
      <c r="L7910" t="s">
        <v>38577</v>
      </c>
      <c r="M7910" t="s">
        <v>38578</v>
      </c>
      <c r="N7910" t="s">
        <v>38579</v>
      </c>
      <c r="O7910" t="s">
        <v>26</v>
      </c>
      <c r="Q7910">
        <v>100</v>
      </c>
      <c r="R7910">
        <v>80</v>
      </c>
      <c r="S7910">
        <v>120</v>
      </c>
      <c r="T7910" t="s">
        <v>38580</v>
      </c>
    </row>
    <row r="7911" spans="1:20">
      <c r="A7911">
        <v>4671908</v>
      </c>
      <c r="B7911" t="s">
        <v>38581</v>
      </c>
      <c r="C7911" t="str">
        <f>"9780802084132"</f>
        <v>9780802084132</v>
      </c>
      <c r="D7911" t="str">
        <f>"9781442679320"</f>
        <v>9781442679320</v>
      </c>
      <c r="E7911" t="s">
        <v>31435</v>
      </c>
      <c r="F7911" t="s">
        <v>31435</v>
      </c>
      <c r="G7911" s="1">
        <v>37622</v>
      </c>
      <c r="J7911" t="s">
        <v>38582</v>
      </c>
      <c r="K7911" t="s">
        <v>263</v>
      </c>
      <c r="L7911" t="s">
        <v>38583</v>
      </c>
      <c r="M7911" t="s">
        <v>38584</v>
      </c>
      <c r="O7911" t="s">
        <v>26</v>
      </c>
      <c r="Q7911">
        <v>107.5</v>
      </c>
      <c r="R7911">
        <v>86</v>
      </c>
      <c r="S7911">
        <v>129</v>
      </c>
      <c r="T7911" t="s">
        <v>38585</v>
      </c>
    </row>
    <row r="7912" spans="1:20">
      <c r="A7912">
        <v>4671909</v>
      </c>
      <c r="B7912" t="s">
        <v>38586</v>
      </c>
      <c r="C7912" t="str">
        <f>"9780802078001"</f>
        <v>9780802078001</v>
      </c>
      <c r="D7912" t="str">
        <f>"9781442679344"</f>
        <v>9781442679344</v>
      </c>
      <c r="E7912" t="s">
        <v>31435</v>
      </c>
      <c r="F7912" t="s">
        <v>31435</v>
      </c>
      <c r="G7912" s="1">
        <v>35431</v>
      </c>
      <c r="H7912">
        <v>2</v>
      </c>
      <c r="I7912" t="s">
        <v>34693</v>
      </c>
      <c r="J7912" t="s">
        <v>38587</v>
      </c>
      <c r="K7912" t="s">
        <v>2963</v>
      </c>
      <c r="L7912" t="s">
        <v>38588</v>
      </c>
      <c r="M7912">
        <v>917.13044000000002</v>
      </c>
      <c r="O7912" t="s">
        <v>26</v>
      </c>
      <c r="Q7912">
        <v>59.94</v>
      </c>
      <c r="R7912">
        <v>47.95</v>
      </c>
      <c r="S7912">
        <v>71.930000000000007</v>
      </c>
      <c r="T7912" t="s">
        <v>38589</v>
      </c>
    </row>
    <row r="7913" spans="1:20">
      <c r="A7913">
        <v>4671910</v>
      </c>
      <c r="B7913" t="s">
        <v>38590</v>
      </c>
      <c r="C7913" t="str">
        <f>"9780802082053"</f>
        <v>9780802082053</v>
      </c>
      <c r="D7913" t="str">
        <f>"9781442679351"</f>
        <v>9781442679351</v>
      </c>
      <c r="E7913" t="s">
        <v>31435</v>
      </c>
      <c r="F7913" t="s">
        <v>31435</v>
      </c>
      <c r="G7913" s="1">
        <v>36892</v>
      </c>
      <c r="J7913" t="s">
        <v>38591</v>
      </c>
      <c r="K7913" t="s">
        <v>1150</v>
      </c>
      <c r="L7913" t="s">
        <v>38592</v>
      </c>
      <c r="M7913" t="s">
        <v>38593</v>
      </c>
      <c r="O7913" t="s">
        <v>26</v>
      </c>
      <c r="Q7913">
        <v>115</v>
      </c>
      <c r="R7913">
        <v>92</v>
      </c>
      <c r="S7913">
        <v>138</v>
      </c>
      <c r="T7913" t="s">
        <v>38594</v>
      </c>
    </row>
    <row r="7914" spans="1:20">
      <c r="A7914">
        <v>4671911</v>
      </c>
      <c r="B7914" t="s">
        <v>38595</v>
      </c>
      <c r="C7914" t="str">
        <f>"9780802083456"</f>
        <v>9780802083456</v>
      </c>
      <c r="D7914" t="str">
        <f>"9781442679375"</f>
        <v>9781442679375</v>
      </c>
      <c r="E7914" t="s">
        <v>31435</v>
      </c>
      <c r="F7914" t="s">
        <v>31435</v>
      </c>
      <c r="G7914" s="1">
        <v>36421</v>
      </c>
      <c r="J7914" t="s">
        <v>38596</v>
      </c>
      <c r="K7914" t="s">
        <v>467</v>
      </c>
      <c r="L7914" t="s">
        <v>38597</v>
      </c>
      <c r="M7914" t="s">
        <v>4541</v>
      </c>
      <c r="O7914" t="s">
        <v>26</v>
      </c>
      <c r="Q7914">
        <v>59.94</v>
      </c>
      <c r="R7914">
        <v>47.95</v>
      </c>
      <c r="S7914">
        <v>71.930000000000007</v>
      </c>
      <c r="T7914" t="s">
        <v>38598</v>
      </c>
    </row>
    <row r="7915" spans="1:20">
      <c r="A7915">
        <v>4671913</v>
      </c>
      <c r="B7915" t="s">
        <v>38599</v>
      </c>
      <c r="C7915" t="str">
        <f>"9780802082626"</f>
        <v>9780802082626</v>
      </c>
      <c r="D7915" t="str">
        <f>"9781442679399"</f>
        <v>9781442679399</v>
      </c>
      <c r="E7915" t="s">
        <v>31435</v>
      </c>
      <c r="F7915" t="s">
        <v>31435</v>
      </c>
      <c r="G7915" s="1">
        <v>36534</v>
      </c>
      <c r="I7915" t="s">
        <v>36249</v>
      </c>
      <c r="J7915" t="s">
        <v>38600</v>
      </c>
      <c r="K7915" t="s">
        <v>38601</v>
      </c>
      <c r="L7915" t="s">
        <v>38602</v>
      </c>
      <c r="M7915" t="s">
        <v>38603</v>
      </c>
      <c r="N7915" t="s">
        <v>38604</v>
      </c>
      <c r="O7915" t="s">
        <v>26</v>
      </c>
      <c r="Q7915">
        <v>143.75</v>
      </c>
      <c r="R7915">
        <v>115</v>
      </c>
      <c r="S7915">
        <v>172.5</v>
      </c>
      <c r="T7915" t="s">
        <v>38605</v>
      </c>
    </row>
    <row r="7916" spans="1:20">
      <c r="A7916">
        <v>4671914</v>
      </c>
      <c r="B7916" t="s">
        <v>38606</v>
      </c>
      <c r="C7916" t="str">
        <f>"9780802090300"</f>
        <v>9780802090300</v>
      </c>
      <c r="D7916" t="str">
        <f>"9781442679405"</f>
        <v>9781442679405</v>
      </c>
      <c r="E7916" t="s">
        <v>31435</v>
      </c>
      <c r="F7916" t="s">
        <v>31435</v>
      </c>
      <c r="G7916" s="1">
        <v>38718</v>
      </c>
      <c r="I7916" t="s">
        <v>34779</v>
      </c>
      <c r="J7916" t="s">
        <v>38607</v>
      </c>
      <c r="K7916" t="s">
        <v>36061</v>
      </c>
      <c r="L7916" t="s">
        <v>38608</v>
      </c>
      <c r="M7916" t="s">
        <v>38609</v>
      </c>
      <c r="O7916" t="s">
        <v>26</v>
      </c>
      <c r="Q7916">
        <v>110</v>
      </c>
      <c r="R7916">
        <v>88</v>
      </c>
      <c r="S7916">
        <v>132</v>
      </c>
      <c r="T7916" t="s">
        <v>38610</v>
      </c>
    </row>
    <row r="7917" spans="1:20">
      <c r="A7917">
        <v>4671915</v>
      </c>
      <c r="B7917" t="s">
        <v>38611</v>
      </c>
      <c r="C7917" t="str">
        <f>"9780802044341"</f>
        <v>9780802044341</v>
      </c>
      <c r="D7917" t="str">
        <f>"9781442679412"</f>
        <v>9781442679412</v>
      </c>
      <c r="E7917" t="s">
        <v>31435</v>
      </c>
      <c r="F7917" t="s">
        <v>31435</v>
      </c>
      <c r="G7917" s="1">
        <v>36161</v>
      </c>
      <c r="J7917" t="s">
        <v>31391</v>
      </c>
      <c r="K7917" t="s">
        <v>1464</v>
      </c>
      <c r="L7917" t="s">
        <v>38612</v>
      </c>
      <c r="M7917" t="s">
        <v>6931</v>
      </c>
      <c r="O7917" t="s">
        <v>26</v>
      </c>
      <c r="Q7917">
        <v>107.5</v>
      </c>
      <c r="R7917">
        <v>86</v>
      </c>
      <c r="S7917">
        <v>129</v>
      </c>
      <c r="T7917" t="s">
        <v>38613</v>
      </c>
    </row>
    <row r="7918" spans="1:20">
      <c r="A7918">
        <v>4671916</v>
      </c>
      <c r="B7918" t="s">
        <v>38614</v>
      </c>
      <c r="C7918" t="str">
        <f>"9780802057969"</f>
        <v>9780802057969</v>
      </c>
      <c r="D7918" t="str">
        <f>"9781442679429"</f>
        <v>9781442679429</v>
      </c>
      <c r="E7918" t="s">
        <v>31435</v>
      </c>
      <c r="F7918" t="s">
        <v>31435</v>
      </c>
      <c r="G7918" s="1">
        <v>34256</v>
      </c>
      <c r="J7918" t="s">
        <v>38615</v>
      </c>
      <c r="K7918" t="s">
        <v>38616</v>
      </c>
      <c r="L7918" t="s">
        <v>38617</v>
      </c>
      <c r="M7918">
        <v>725.96093699999903</v>
      </c>
      <c r="O7918" t="s">
        <v>26</v>
      </c>
      <c r="Q7918">
        <v>115</v>
      </c>
      <c r="R7918">
        <v>92</v>
      </c>
      <c r="S7918">
        <v>138</v>
      </c>
      <c r="T7918" t="s">
        <v>38618</v>
      </c>
    </row>
    <row r="7919" spans="1:20">
      <c r="A7919">
        <v>4671917</v>
      </c>
      <c r="B7919" t="s">
        <v>38619</v>
      </c>
      <c r="C7919" t="str">
        <f>"9780802042224"</f>
        <v>9780802042224</v>
      </c>
      <c r="D7919" t="str">
        <f>"9781442679436"</f>
        <v>9781442679436</v>
      </c>
      <c r="E7919" t="s">
        <v>31435</v>
      </c>
      <c r="F7919" t="s">
        <v>31435</v>
      </c>
      <c r="G7919" s="1">
        <v>36161</v>
      </c>
      <c r="H7919">
        <v>74</v>
      </c>
      <c r="J7919" t="s">
        <v>38620</v>
      </c>
      <c r="K7919" t="s">
        <v>1892</v>
      </c>
      <c r="L7919" t="s">
        <v>38621</v>
      </c>
      <c r="M7919">
        <v>283.42232300000001</v>
      </c>
      <c r="O7919" t="s">
        <v>26</v>
      </c>
      <c r="Q7919">
        <v>130</v>
      </c>
      <c r="R7919">
        <v>104</v>
      </c>
      <c r="S7919">
        <v>156</v>
      </c>
      <c r="T7919" t="s">
        <v>38622</v>
      </c>
    </row>
    <row r="7920" spans="1:20">
      <c r="A7920">
        <v>4671918</v>
      </c>
      <c r="B7920" t="s">
        <v>38623</v>
      </c>
      <c r="C7920" t="str">
        <f>"9780802083173"</f>
        <v>9780802083173</v>
      </c>
      <c r="D7920" t="str">
        <f>"9781442679443"</f>
        <v>9781442679443</v>
      </c>
      <c r="E7920" t="s">
        <v>31435</v>
      </c>
      <c r="F7920" t="s">
        <v>31435</v>
      </c>
      <c r="G7920" s="1">
        <v>36770</v>
      </c>
      <c r="I7920" t="s">
        <v>31450</v>
      </c>
      <c r="J7920" t="s">
        <v>38624</v>
      </c>
      <c r="K7920" t="s">
        <v>263</v>
      </c>
      <c r="L7920" t="s">
        <v>38625</v>
      </c>
      <c r="M7920" t="s">
        <v>38626</v>
      </c>
      <c r="O7920" t="s">
        <v>26</v>
      </c>
      <c r="Q7920">
        <v>96.25</v>
      </c>
      <c r="R7920">
        <v>77</v>
      </c>
      <c r="S7920">
        <v>115.5</v>
      </c>
      <c r="T7920" t="s">
        <v>38627</v>
      </c>
    </row>
    <row r="7921" spans="1:20">
      <c r="A7921">
        <v>4671919</v>
      </c>
      <c r="B7921" t="s">
        <v>38628</v>
      </c>
      <c r="C7921" t="str">
        <f>"9780802086846"</f>
        <v>9780802086846</v>
      </c>
      <c r="D7921" t="str">
        <f>"9781442679450"</f>
        <v>9781442679450</v>
      </c>
      <c r="E7921" t="s">
        <v>31435</v>
      </c>
      <c r="F7921" t="s">
        <v>31435</v>
      </c>
      <c r="G7921" s="1">
        <v>36892</v>
      </c>
      <c r="H7921">
        <v>2</v>
      </c>
      <c r="J7921" t="s">
        <v>38629</v>
      </c>
      <c r="K7921" t="s">
        <v>1464</v>
      </c>
      <c r="L7921" t="s">
        <v>38630</v>
      </c>
      <c r="M7921" t="s">
        <v>38631</v>
      </c>
      <c r="O7921" t="s">
        <v>26</v>
      </c>
      <c r="Q7921">
        <v>115</v>
      </c>
      <c r="R7921">
        <v>92</v>
      </c>
      <c r="S7921">
        <v>138</v>
      </c>
      <c r="T7921" t="s">
        <v>38632</v>
      </c>
    </row>
    <row r="7922" spans="1:20">
      <c r="A7922">
        <v>4671920</v>
      </c>
      <c r="B7922" t="s">
        <v>38633</v>
      </c>
      <c r="C7922" t="str">
        <f>"9780802086976"</f>
        <v>9780802086976</v>
      </c>
      <c r="D7922" t="str">
        <f>"9781442679467"</f>
        <v>9781442679467</v>
      </c>
      <c r="E7922" t="s">
        <v>31435</v>
      </c>
      <c r="F7922" t="s">
        <v>31435</v>
      </c>
      <c r="G7922" s="1">
        <v>37257</v>
      </c>
      <c r="H7922">
        <v>2</v>
      </c>
      <c r="I7922" t="s">
        <v>31443</v>
      </c>
      <c r="J7922" t="s">
        <v>38634</v>
      </c>
      <c r="K7922" t="s">
        <v>1464</v>
      </c>
      <c r="L7922" t="s">
        <v>38635</v>
      </c>
      <c r="M7922" t="s">
        <v>38636</v>
      </c>
      <c r="O7922" t="s">
        <v>26</v>
      </c>
      <c r="Q7922">
        <v>118.75</v>
      </c>
      <c r="R7922">
        <v>95</v>
      </c>
      <c r="S7922">
        <v>142.5</v>
      </c>
      <c r="T7922" t="s">
        <v>38637</v>
      </c>
    </row>
    <row r="7923" spans="1:20">
      <c r="A7923">
        <v>4671921</v>
      </c>
      <c r="B7923" t="s">
        <v>38638</v>
      </c>
      <c r="C7923" t="str">
        <f>"9780802067623"</f>
        <v>9780802067623</v>
      </c>
      <c r="D7923" t="str">
        <f>"9781442679474"</f>
        <v>9781442679474</v>
      </c>
      <c r="E7923" t="s">
        <v>31435</v>
      </c>
      <c r="F7923" t="s">
        <v>31435</v>
      </c>
      <c r="G7923" s="1">
        <v>32874</v>
      </c>
      <c r="H7923">
        <v>2</v>
      </c>
      <c r="J7923" t="s">
        <v>38639</v>
      </c>
      <c r="K7923" t="s">
        <v>6359</v>
      </c>
      <c r="L7923" t="s">
        <v>38640</v>
      </c>
      <c r="M7923">
        <v>327.45634000000001</v>
      </c>
      <c r="O7923" t="s">
        <v>26</v>
      </c>
      <c r="Q7923">
        <v>59.94</v>
      </c>
      <c r="R7923">
        <v>47.95</v>
      </c>
      <c r="S7923">
        <v>71.930000000000007</v>
      </c>
      <c r="T7923" t="s">
        <v>38641</v>
      </c>
    </row>
    <row r="7924" spans="1:20">
      <c r="A7924">
        <v>4671922</v>
      </c>
      <c r="B7924" t="s">
        <v>38642</v>
      </c>
      <c r="C7924" t="str">
        <f>"9781442631229"</f>
        <v>9781442631229</v>
      </c>
      <c r="D7924" t="str">
        <f>"9781442679481"</f>
        <v>9781442679481</v>
      </c>
      <c r="E7924" t="s">
        <v>31435</v>
      </c>
      <c r="F7924" t="s">
        <v>31435</v>
      </c>
      <c r="G7924" s="1">
        <v>31017</v>
      </c>
      <c r="I7924" t="s">
        <v>35705</v>
      </c>
      <c r="J7924" t="s">
        <v>38643</v>
      </c>
      <c r="K7924" t="s">
        <v>4081</v>
      </c>
      <c r="L7924" t="s">
        <v>38644</v>
      </c>
      <c r="M7924" t="s">
        <v>36043</v>
      </c>
      <c r="O7924" t="s">
        <v>26</v>
      </c>
      <c r="Q7924">
        <v>96.25</v>
      </c>
      <c r="R7924">
        <v>77</v>
      </c>
      <c r="S7924">
        <v>115.5</v>
      </c>
      <c r="T7924" t="s">
        <v>38645</v>
      </c>
    </row>
    <row r="7925" spans="1:20">
      <c r="A7925">
        <v>4671924</v>
      </c>
      <c r="B7925" t="s">
        <v>38646</v>
      </c>
      <c r="C7925" t="str">
        <f>"9780802038586"</f>
        <v>9780802038586</v>
      </c>
      <c r="D7925" t="str">
        <f>"9781442679504"</f>
        <v>9781442679504</v>
      </c>
      <c r="E7925" t="s">
        <v>31435</v>
      </c>
      <c r="F7925" t="s">
        <v>31435</v>
      </c>
      <c r="G7925" s="1">
        <v>38960</v>
      </c>
      <c r="H7925">
        <v>2</v>
      </c>
      <c r="I7925" t="s">
        <v>36249</v>
      </c>
      <c r="J7925" t="s">
        <v>38647</v>
      </c>
      <c r="K7925" t="s">
        <v>525</v>
      </c>
      <c r="L7925" t="s">
        <v>38648</v>
      </c>
      <c r="M7925" t="s">
        <v>23627</v>
      </c>
      <c r="O7925" t="s">
        <v>26</v>
      </c>
      <c r="Q7925">
        <v>110</v>
      </c>
      <c r="R7925">
        <v>88</v>
      </c>
      <c r="S7925">
        <v>132</v>
      </c>
      <c r="T7925" t="s">
        <v>38649</v>
      </c>
    </row>
    <row r="7926" spans="1:20">
      <c r="A7926">
        <v>4671925</v>
      </c>
      <c r="B7926" t="s">
        <v>38650</v>
      </c>
      <c r="C7926" t="str">
        <f>"9780802091253"</f>
        <v>9780802091253</v>
      </c>
      <c r="D7926" t="str">
        <f>"9781442679511"</f>
        <v>9781442679511</v>
      </c>
      <c r="E7926" t="s">
        <v>31435</v>
      </c>
      <c r="F7926" t="s">
        <v>31435</v>
      </c>
      <c r="G7926" s="1">
        <v>41773</v>
      </c>
      <c r="J7926" t="s">
        <v>38651</v>
      </c>
      <c r="K7926" t="s">
        <v>263</v>
      </c>
      <c r="L7926" t="s">
        <v>38652</v>
      </c>
      <c r="M7926">
        <v>305.43320970000002</v>
      </c>
      <c r="O7926" t="s">
        <v>26</v>
      </c>
      <c r="Q7926">
        <v>83.75</v>
      </c>
      <c r="R7926">
        <v>67</v>
      </c>
      <c r="S7926">
        <v>100.5</v>
      </c>
      <c r="T7926" t="s">
        <v>38653</v>
      </c>
    </row>
    <row r="7927" spans="1:20">
      <c r="A7927">
        <v>4671926</v>
      </c>
      <c r="B7927" t="s">
        <v>38654</v>
      </c>
      <c r="C7927" t="str">
        <f>"9780802080844"</f>
        <v>9780802080844</v>
      </c>
      <c r="D7927" t="str">
        <f>"9781442679535"</f>
        <v>9781442679535</v>
      </c>
      <c r="E7927" t="s">
        <v>31435</v>
      </c>
      <c r="F7927" t="s">
        <v>31435</v>
      </c>
      <c r="G7927" s="1">
        <v>37622</v>
      </c>
      <c r="J7927" t="s">
        <v>38655</v>
      </c>
      <c r="K7927" t="s">
        <v>263</v>
      </c>
      <c r="L7927" t="s">
        <v>38656</v>
      </c>
      <c r="M7927" t="s">
        <v>38657</v>
      </c>
      <c r="O7927" t="s">
        <v>26</v>
      </c>
      <c r="Q7927">
        <v>91.25</v>
      </c>
      <c r="R7927">
        <v>73</v>
      </c>
      <c r="S7927">
        <v>109.5</v>
      </c>
      <c r="T7927" t="s">
        <v>38658</v>
      </c>
    </row>
    <row r="7928" spans="1:20">
      <c r="A7928">
        <v>4671927</v>
      </c>
      <c r="B7928" t="s">
        <v>38659</v>
      </c>
      <c r="C7928" t="str">
        <f>"9780802089441"</f>
        <v>9780802089441</v>
      </c>
      <c r="D7928" t="str">
        <f>"9781442679542"</f>
        <v>9781442679542</v>
      </c>
      <c r="E7928" t="s">
        <v>31435</v>
      </c>
      <c r="F7928" t="s">
        <v>31435</v>
      </c>
      <c r="G7928" s="1">
        <v>41773</v>
      </c>
      <c r="H7928">
        <v>2</v>
      </c>
      <c r="J7928" t="s">
        <v>38660</v>
      </c>
      <c r="K7928" t="s">
        <v>1464</v>
      </c>
      <c r="L7928" t="s">
        <v>38661</v>
      </c>
      <c r="M7928">
        <v>822.05160900999999</v>
      </c>
      <c r="O7928" t="s">
        <v>26</v>
      </c>
      <c r="Q7928">
        <v>95</v>
      </c>
      <c r="R7928">
        <v>76</v>
      </c>
      <c r="S7928">
        <v>114</v>
      </c>
      <c r="T7928" t="s">
        <v>38662</v>
      </c>
    </row>
    <row r="7929" spans="1:20">
      <c r="A7929">
        <v>4671928</v>
      </c>
      <c r="B7929" t="s">
        <v>38663</v>
      </c>
      <c r="C7929" t="str">
        <f>"9780802057778"</f>
        <v>9780802057778</v>
      </c>
      <c r="D7929" t="str">
        <f>"9781442679559"</f>
        <v>9781442679559</v>
      </c>
      <c r="E7929" t="s">
        <v>31435</v>
      </c>
      <c r="F7929" t="s">
        <v>31435</v>
      </c>
      <c r="G7929" s="1">
        <v>32568</v>
      </c>
      <c r="J7929" t="s">
        <v>36477</v>
      </c>
      <c r="K7929" t="s">
        <v>525</v>
      </c>
      <c r="L7929" t="s">
        <v>38664</v>
      </c>
      <c r="M7929" t="s">
        <v>38665</v>
      </c>
      <c r="N7929" t="s">
        <v>38666</v>
      </c>
      <c r="O7929" t="s">
        <v>26</v>
      </c>
      <c r="Q7929">
        <v>61.19</v>
      </c>
      <c r="R7929">
        <v>48.95</v>
      </c>
      <c r="S7929">
        <v>73.430000000000007</v>
      </c>
      <c r="T7929" t="s">
        <v>38667</v>
      </c>
    </row>
    <row r="7930" spans="1:20">
      <c r="A7930">
        <v>4671931</v>
      </c>
      <c r="B7930" t="s">
        <v>38668</v>
      </c>
      <c r="C7930" t="str">
        <f>"9780802064929"</f>
        <v>9780802064929</v>
      </c>
      <c r="D7930" t="str">
        <f>"9781442679603"</f>
        <v>9781442679603</v>
      </c>
      <c r="E7930" t="s">
        <v>31435</v>
      </c>
      <c r="F7930" t="s">
        <v>31435</v>
      </c>
      <c r="G7930" s="1">
        <v>31413</v>
      </c>
      <c r="H7930">
        <v>2</v>
      </c>
      <c r="J7930" t="s">
        <v>12902</v>
      </c>
      <c r="K7930" t="s">
        <v>257</v>
      </c>
      <c r="L7930" t="s">
        <v>38669</v>
      </c>
      <c r="M7930">
        <v>378.71300000000002</v>
      </c>
      <c r="O7930" t="s">
        <v>26</v>
      </c>
      <c r="Q7930">
        <v>59.94</v>
      </c>
      <c r="R7930">
        <v>47.95</v>
      </c>
      <c r="S7930">
        <v>71.930000000000007</v>
      </c>
      <c r="T7930" t="s">
        <v>38670</v>
      </c>
    </row>
    <row r="7931" spans="1:20">
      <c r="A7931">
        <v>4671932</v>
      </c>
      <c r="B7931" t="s">
        <v>38671</v>
      </c>
      <c r="C7931" t="str">
        <f>"9780802048943"</f>
        <v>9780802048943</v>
      </c>
      <c r="D7931" t="str">
        <f>"9781442679610"</f>
        <v>9781442679610</v>
      </c>
      <c r="E7931" t="s">
        <v>31435</v>
      </c>
      <c r="F7931" t="s">
        <v>31435</v>
      </c>
      <c r="G7931" s="1">
        <v>39025</v>
      </c>
      <c r="J7931" t="s">
        <v>38672</v>
      </c>
      <c r="K7931" t="s">
        <v>3421</v>
      </c>
      <c r="L7931" t="s">
        <v>38673</v>
      </c>
      <c r="M7931" t="s">
        <v>38674</v>
      </c>
      <c r="O7931" t="s">
        <v>26</v>
      </c>
      <c r="Q7931">
        <v>155</v>
      </c>
      <c r="R7931">
        <v>124</v>
      </c>
      <c r="S7931">
        <v>186</v>
      </c>
      <c r="T7931" t="s">
        <v>38675</v>
      </c>
    </row>
    <row r="7932" spans="1:20">
      <c r="A7932">
        <v>4671933</v>
      </c>
      <c r="B7932" t="s">
        <v>38676</v>
      </c>
      <c r="C7932" t="str">
        <f>"9780802067173"</f>
        <v>9780802067173</v>
      </c>
      <c r="D7932" t="str">
        <f>"9781442679627"</f>
        <v>9781442679627</v>
      </c>
      <c r="E7932" t="s">
        <v>31435</v>
      </c>
      <c r="F7932" t="s">
        <v>31435</v>
      </c>
      <c r="G7932" s="1">
        <v>32143</v>
      </c>
      <c r="H7932">
        <v>2</v>
      </c>
      <c r="J7932" t="s">
        <v>38677</v>
      </c>
      <c r="K7932" t="s">
        <v>257</v>
      </c>
      <c r="L7932" t="s">
        <v>38678</v>
      </c>
      <c r="M7932">
        <v>370.971</v>
      </c>
      <c r="O7932" t="s">
        <v>26</v>
      </c>
      <c r="Q7932">
        <v>78.75</v>
      </c>
      <c r="R7932">
        <v>63</v>
      </c>
      <c r="S7932">
        <v>94.5</v>
      </c>
      <c r="T7932" t="s">
        <v>38679</v>
      </c>
    </row>
    <row r="7933" spans="1:20">
      <c r="A7933">
        <v>4671934</v>
      </c>
      <c r="B7933" t="s">
        <v>38680</v>
      </c>
      <c r="C7933" t="str">
        <f>"9780802059970"</f>
        <v>9780802059970</v>
      </c>
      <c r="D7933" t="str">
        <f>"9781442679634"</f>
        <v>9781442679634</v>
      </c>
      <c r="E7933" t="s">
        <v>31435</v>
      </c>
      <c r="F7933" t="s">
        <v>31435</v>
      </c>
      <c r="G7933" s="1">
        <v>33239</v>
      </c>
      <c r="J7933" t="s">
        <v>38681</v>
      </c>
      <c r="K7933" t="s">
        <v>38682</v>
      </c>
      <c r="L7933" t="s">
        <v>38683</v>
      </c>
      <c r="M7933" t="s">
        <v>38684</v>
      </c>
      <c r="O7933" t="s">
        <v>26</v>
      </c>
      <c r="Q7933">
        <v>78.75</v>
      </c>
      <c r="R7933">
        <v>63</v>
      </c>
      <c r="S7933">
        <v>94.5</v>
      </c>
      <c r="T7933" t="s">
        <v>38685</v>
      </c>
    </row>
    <row r="7934" spans="1:20">
      <c r="A7934">
        <v>4671936</v>
      </c>
      <c r="B7934" t="s">
        <v>38686</v>
      </c>
      <c r="C7934" t="str">
        <f>"9780802044754"</f>
        <v>9780802044754</v>
      </c>
      <c r="D7934" t="str">
        <f>"9781442679658"</f>
        <v>9781442679658</v>
      </c>
      <c r="E7934" t="s">
        <v>31435</v>
      </c>
      <c r="F7934" t="s">
        <v>31435</v>
      </c>
      <c r="G7934" s="1">
        <v>41773</v>
      </c>
      <c r="J7934" t="s">
        <v>38687</v>
      </c>
      <c r="K7934" t="s">
        <v>1471</v>
      </c>
      <c r="L7934" t="s">
        <v>38688</v>
      </c>
      <c r="M7934">
        <v>791.43656999999996</v>
      </c>
      <c r="O7934" t="s">
        <v>26</v>
      </c>
      <c r="Q7934">
        <v>78.75</v>
      </c>
      <c r="R7934">
        <v>63</v>
      </c>
      <c r="S7934">
        <v>94.5</v>
      </c>
      <c r="T7934" t="s">
        <v>38689</v>
      </c>
    </row>
    <row r="7935" spans="1:20">
      <c r="A7935">
        <v>4671937</v>
      </c>
      <c r="B7935" t="s">
        <v>38690</v>
      </c>
      <c r="C7935" t="str">
        <f>"9780802090515"</f>
        <v>9780802090515</v>
      </c>
      <c r="D7935" t="str">
        <f>"9781442679665"</f>
        <v>9781442679665</v>
      </c>
      <c r="E7935" t="s">
        <v>31435</v>
      </c>
      <c r="F7935" t="s">
        <v>31435</v>
      </c>
      <c r="G7935" s="1">
        <v>41773</v>
      </c>
      <c r="I7935" t="s">
        <v>33881</v>
      </c>
      <c r="J7935" t="s">
        <v>38691</v>
      </c>
      <c r="K7935" t="s">
        <v>525</v>
      </c>
      <c r="L7935" t="s">
        <v>38692</v>
      </c>
      <c r="M7935">
        <v>347.714</v>
      </c>
      <c r="O7935" t="s">
        <v>26</v>
      </c>
      <c r="Q7935">
        <v>117.5</v>
      </c>
      <c r="R7935">
        <v>94</v>
      </c>
      <c r="S7935">
        <v>141</v>
      </c>
      <c r="T7935" t="s">
        <v>38693</v>
      </c>
    </row>
    <row r="7936" spans="1:20">
      <c r="A7936">
        <v>4671938</v>
      </c>
      <c r="B7936" t="s">
        <v>38694</v>
      </c>
      <c r="C7936" t="str">
        <f>"9780802080882"</f>
        <v>9780802080882</v>
      </c>
      <c r="D7936" t="str">
        <f>"9781442679672"</f>
        <v>9781442679672</v>
      </c>
      <c r="E7936" t="s">
        <v>31435</v>
      </c>
      <c r="F7936" t="s">
        <v>31435</v>
      </c>
      <c r="G7936" s="1">
        <v>36526</v>
      </c>
      <c r="J7936" t="s">
        <v>38695</v>
      </c>
      <c r="K7936" t="s">
        <v>291</v>
      </c>
      <c r="L7936" t="s">
        <v>38696</v>
      </c>
      <c r="M7936" t="s">
        <v>36277</v>
      </c>
      <c r="O7936" t="s">
        <v>26</v>
      </c>
      <c r="Q7936">
        <v>135</v>
      </c>
      <c r="R7936">
        <v>108</v>
      </c>
      <c r="S7936">
        <v>162</v>
      </c>
      <c r="T7936" t="s">
        <v>38697</v>
      </c>
    </row>
    <row r="7937" spans="1:20">
      <c r="A7937">
        <v>4671939</v>
      </c>
      <c r="B7937" t="s">
        <v>38698</v>
      </c>
      <c r="C7937" t="str">
        <f>"9780802087782"</f>
        <v>9780802087782</v>
      </c>
      <c r="D7937" t="str">
        <f>"9781442679689"</f>
        <v>9781442679689</v>
      </c>
      <c r="E7937" t="s">
        <v>31435</v>
      </c>
      <c r="F7937" t="s">
        <v>31435</v>
      </c>
      <c r="G7937" s="1">
        <v>41773</v>
      </c>
      <c r="H7937">
        <v>2</v>
      </c>
      <c r="J7937" t="s">
        <v>38699</v>
      </c>
      <c r="K7937" t="s">
        <v>1464</v>
      </c>
      <c r="L7937" t="s">
        <v>38700</v>
      </c>
      <c r="M7937">
        <v>822.33</v>
      </c>
      <c r="O7937" t="s">
        <v>26</v>
      </c>
      <c r="Q7937">
        <v>100</v>
      </c>
      <c r="R7937">
        <v>80</v>
      </c>
      <c r="S7937">
        <v>120</v>
      </c>
      <c r="T7937" t="s">
        <v>38701</v>
      </c>
    </row>
    <row r="7938" spans="1:20">
      <c r="A7938">
        <v>4671940</v>
      </c>
      <c r="B7938" t="s">
        <v>38702</v>
      </c>
      <c r="C7938" t="str">
        <f>"9780802027108"</f>
        <v>9780802027108</v>
      </c>
      <c r="D7938" t="str">
        <f>"9781442679696"</f>
        <v>9781442679696</v>
      </c>
      <c r="E7938" t="s">
        <v>31435</v>
      </c>
      <c r="F7938" t="s">
        <v>31435</v>
      </c>
      <c r="G7938" s="1">
        <v>33055</v>
      </c>
      <c r="J7938" t="s">
        <v>36477</v>
      </c>
      <c r="K7938" t="s">
        <v>525</v>
      </c>
      <c r="L7938" t="s">
        <v>38703</v>
      </c>
      <c r="M7938">
        <v>340.1</v>
      </c>
      <c r="O7938" t="s">
        <v>26</v>
      </c>
      <c r="Q7938">
        <v>115</v>
      </c>
      <c r="R7938">
        <v>92</v>
      </c>
      <c r="S7938">
        <v>138</v>
      </c>
      <c r="T7938" t="s">
        <v>38704</v>
      </c>
    </row>
    <row r="7939" spans="1:20">
      <c r="A7939">
        <v>4671941</v>
      </c>
      <c r="B7939" t="s">
        <v>38705</v>
      </c>
      <c r="C7939" t="str">
        <f>"9780802043351"</f>
        <v>9780802043351</v>
      </c>
      <c r="D7939" t="str">
        <f>"9781442679719"</f>
        <v>9781442679719</v>
      </c>
      <c r="E7939" t="s">
        <v>31435</v>
      </c>
      <c r="F7939" t="s">
        <v>31435</v>
      </c>
      <c r="G7939" s="1">
        <v>36745</v>
      </c>
      <c r="I7939" t="s">
        <v>36913</v>
      </c>
      <c r="J7939" t="s">
        <v>38706</v>
      </c>
      <c r="K7939" t="s">
        <v>1464</v>
      </c>
      <c r="L7939" t="s">
        <v>38707</v>
      </c>
      <c r="M7939" t="s">
        <v>7511</v>
      </c>
      <c r="O7939" t="s">
        <v>26</v>
      </c>
      <c r="Q7939">
        <v>59.94</v>
      </c>
      <c r="R7939">
        <v>47.95</v>
      </c>
      <c r="S7939">
        <v>71.930000000000007</v>
      </c>
      <c r="T7939" t="s">
        <v>38708</v>
      </c>
    </row>
    <row r="7940" spans="1:20">
      <c r="A7940">
        <v>4671942</v>
      </c>
      <c r="B7940" t="s">
        <v>38709</v>
      </c>
      <c r="C7940" t="str">
        <f>"9781442613072"</f>
        <v>9781442613072</v>
      </c>
      <c r="D7940" t="str">
        <f>"9781442679733"</f>
        <v>9781442679733</v>
      </c>
      <c r="E7940" t="s">
        <v>31435</v>
      </c>
      <c r="F7940" t="s">
        <v>31435</v>
      </c>
      <c r="G7940" s="1">
        <v>36892</v>
      </c>
      <c r="I7940" t="s">
        <v>31443</v>
      </c>
      <c r="J7940" t="s">
        <v>38710</v>
      </c>
      <c r="K7940" t="s">
        <v>305</v>
      </c>
      <c r="L7940" t="s">
        <v>38711</v>
      </c>
      <c r="M7940">
        <v>659.1</v>
      </c>
      <c r="O7940" t="s">
        <v>26</v>
      </c>
      <c r="Q7940">
        <v>107.5</v>
      </c>
      <c r="R7940">
        <v>86</v>
      </c>
      <c r="S7940">
        <v>129</v>
      </c>
      <c r="T7940" t="s">
        <v>38712</v>
      </c>
    </row>
    <row r="7941" spans="1:20">
      <c r="A7941">
        <v>4671943</v>
      </c>
      <c r="B7941" t="s">
        <v>38713</v>
      </c>
      <c r="C7941" t="str">
        <f>"9780802047717"</f>
        <v>9780802047717</v>
      </c>
      <c r="D7941" t="str">
        <f>"9781442679740"</f>
        <v>9781442679740</v>
      </c>
      <c r="E7941" t="s">
        <v>31435</v>
      </c>
      <c r="F7941" t="s">
        <v>31435</v>
      </c>
      <c r="G7941" s="1">
        <v>36526</v>
      </c>
      <c r="I7941" t="s">
        <v>35029</v>
      </c>
      <c r="J7941" t="s">
        <v>38714</v>
      </c>
      <c r="K7941" t="s">
        <v>1859</v>
      </c>
      <c r="L7941" t="s">
        <v>38715</v>
      </c>
      <c r="M7941" t="s">
        <v>38716</v>
      </c>
      <c r="O7941" t="s">
        <v>26</v>
      </c>
      <c r="Q7941">
        <v>161.25</v>
      </c>
      <c r="R7941">
        <v>129</v>
      </c>
      <c r="S7941">
        <v>193.5</v>
      </c>
      <c r="T7941" t="s">
        <v>38717</v>
      </c>
    </row>
    <row r="7942" spans="1:20">
      <c r="A7942">
        <v>4671944</v>
      </c>
      <c r="B7942" t="s">
        <v>38718</v>
      </c>
      <c r="C7942" t="str">
        <f>"9780802047052"</f>
        <v>9780802047052</v>
      </c>
      <c r="D7942" t="str">
        <f>"9781442679764"</f>
        <v>9781442679764</v>
      </c>
      <c r="E7942" t="s">
        <v>31435</v>
      </c>
      <c r="F7942" t="s">
        <v>31435</v>
      </c>
      <c r="G7942" s="1">
        <v>36161</v>
      </c>
      <c r="I7942" t="s">
        <v>35056</v>
      </c>
      <c r="J7942" t="s">
        <v>38719</v>
      </c>
      <c r="K7942" t="s">
        <v>6304</v>
      </c>
      <c r="L7942" t="s">
        <v>38720</v>
      </c>
      <c r="M7942" t="s">
        <v>38721</v>
      </c>
      <c r="O7942" t="s">
        <v>26</v>
      </c>
      <c r="Q7942">
        <v>91.25</v>
      </c>
      <c r="R7942">
        <v>73</v>
      </c>
      <c r="S7942">
        <v>109.5</v>
      </c>
      <c r="T7942" t="s">
        <v>38722</v>
      </c>
    </row>
    <row r="7943" spans="1:20">
      <c r="A7943">
        <v>4671945</v>
      </c>
      <c r="B7943" t="s">
        <v>38723</v>
      </c>
      <c r="C7943" t="str">
        <f>"9780802037046"</f>
        <v>9780802037046</v>
      </c>
      <c r="D7943" t="str">
        <f>"9781442679771"</f>
        <v>9781442679771</v>
      </c>
      <c r="E7943" t="s">
        <v>31435</v>
      </c>
      <c r="F7943" t="s">
        <v>31435</v>
      </c>
      <c r="G7943" s="1">
        <v>37622</v>
      </c>
      <c r="I7943" t="s">
        <v>35056</v>
      </c>
      <c r="J7943" t="s">
        <v>38226</v>
      </c>
      <c r="K7943" t="s">
        <v>2432</v>
      </c>
      <c r="L7943" t="s">
        <v>38724</v>
      </c>
      <c r="M7943" t="s">
        <v>38725</v>
      </c>
      <c r="O7943" t="s">
        <v>26</v>
      </c>
      <c r="Q7943">
        <v>123.75</v>
      </c>
      <c r="R7943">
        <v>99</v>
      </c>
      <c r="S7943">
        <v>148.5</v>
      </c>
      <c r="T7943" t="s">
        <v>38726</v>
      </c>
    </row>
    <row r="7944" spans="1:20">
      <c r="A7944">
        <v>4671946</v>
      </c>
      <c r="B7944" t="s">
        <v>38727</v>
      </c>
      <c r="C7944" t="str">
        <f>"9780802044563"</f>
        <v>9780802044563</v>
      </c>
      <c r="D7944" t="str">
        <f>"9781442679788"</f>
        <v>9781442679788</v>
      </c>
      <c r="E7944" t="s">
        <v>31435</v>
      </c>
      <c r="F7944" t="s">
        <v>31435</v>
      </c>
      <c r="G7944" s="1">
        <v>36161</v>
      </c>
      <c r="I7944" t="s">
        <v>33775</v>
      </c>
      <c r="J7944" t="s">
        <v>38728</v>
      </c>
      <c r="K7944" t="s">
        <v>1464</v>
      </c>
      <c r="L7944" t="s">
        <v>38729</v>
      </c>
      <c r="M7944" t="s">
        <v>38730</v>
      </c>
      <c r="O7944" t="s">
        <v>26</v>
      </c>
      <c r="Q7944">
        <v>107.5</v>
      </c>
      <c r="R7944">
        <v>86</v>
      </c>
      <c r="S7944">
        <v>129</v>
      </c>
      <c r="T7944" t="s">
        <v>38731</v>
      </c>
    </row>
    <row r="7945" spans="1:20">
      <c r="A7945">
        <v>4671947</v>
      </c>
      <c r="B7945" t="s">
        <v>38732</v>
      </c>
      <c r="C7945" t="str">
        <f>"9780802083517"</f>
        <v>9780802083517</v>
      </c>
      <c r="D7945" t="str">
        <f>"9781442679795"</f>
        <v>9781442679795</v>
      </c>
      <c r="E7945" t="s">
        <v>31435</v>
      </c>
      <c r="F7945" t="s">
        <v>31435</v>
      </c>
      <c r="G7945" s="1">
        <v>37604</v>
      </c>
      <c r="J7945" t="s">
        <v>15934</v>
      </c>
      <c r="K7945" t="s">
        <v>550</v>
      </c>
      <c r="L7945" t="s">
        <v>38733</v>
      </c>
      <c r="M7945" t="s">
        <v>38734</v>
      </c>
      <c r="N7945" t="s">
        <v>38735</v>
      </c>
      <c r="O7945" t="s">
        <v>26</v>
      </c>
      <c r="Q7945">
        <v>123.75</v>
      </c>
      <c r="R7945">
        <v>99</v>
      </c>
      <c r="S7945">
        <v>148.5</v>
      </c>
      <c r="T7945" t="s">
        <v>38736</v>
      </c>
    </row>
    <row r="7946" spans="1:20">
      <c r="A7946">
        <v>4671948</v>
      </c>
      <c r="B7946" t="s">
        <v>38737</v>
      </c>
      <c r="C7946" t="str">
        <f>"9780802036711"</f>
        <v>9780802036711</v>
      </c>
      <c r="D7946" t="str">
        <f>"9781442679801"</f>
        <v>9781442679801</v>
      </c>
      <c r="E7946" t="s">
        <v>31435</v>
      </c>
      <c r="F7946" t="s">
        <v>31435</v>
      </c>
      <c r="G7946" s="1">
        <v>37257</v>
      </c>
      <c r="I7946" t="s">
        <v>34693</v>
      </c>
      <c r="J7946" t="s">
        <v>38738</v>
      </c>
      <c r="K7946" t="s">
        <v>257</v>
      </c>
      <c r="L7946" t="s">
        <v>38739</v>
      </c>
      <c r="M7946" t="s">
        <v>38740</v>
      </c>
      <c r="O7946" t="s">
        <v>26</v>
      </c>
      <c r="Q7946">
        <v>91.25</v>
      </c>
      <c r="R7946">
        <v>73</v>
      </c>
      <c r="S7946">
        <v>109.5</v>
      </c>
      <c r="T7946" t="s">
        <v>38741</v>
      </c>
    </row>
    <row r="7947" spans="1:20">
      <c r="A7947">
        <v>4671949</v>
      </c>
      <c r="B7947" t="s">
        <v>38742</v>
      </c>
      <c r="C7947" t="str">
        <f>"9780802037039"</f>
        <v>9780802037039</v>
      </c>
      <c r="D7947" t="str">
        <f>"9781442679818"</f>
        <v>9781442679818</v>
      </c>
      <c r="E7947" t="s">
        <v>31435</v>
      </c>
      <c r="F7947" t="s">
        <v>31435</v>
      </c>
      <c r="G7947" s="1">
        <v>37622</v>
      </c>
      <c r="J7947" t="s">
        <v>38743</v>
      </c>
      <c r="K7947" t="s">
        <v>1550</v>
      </c>
      <c r="L7947" t="s">
        <v>38744</v>
      </c>
      <c r="M7947" t="s">
        <v>38745</v>
      </c>
      <c r="O7947" t="s">
        <v>26</v>
      </c>
      <c r="Q7947">
        <v>115</v>
      </c>
      <c r="R7947">
        <v>92</v>
      </c>
      <c r="S7947">
        <v>138</v>
      </c>
      <c r="T7947" t="s">
        <v>38746</v>
      </c>
    </row>
    <row r="7948" spans="1:20">
      <c r="A7948">
        <v>4671950</v>
      </c>
      <c r="B7948" t="s">
        <v>38747</v>
      </c>
      <c r="C7948" t="str">
        <f>"9780802036940"</f>
        <v>9780802036940</v>
      </c>
      <c r="D7948" t="str">
        <f>"9781442679825"</f>
        <v>9781442679825</v>
      </c>
      <c r="E7948" t="s">
        <v>31435</v>
      </c>
      <c r="F7948" t="s">
        <v>31435</v>
      </c>
      <c r="G7948" s="1">
        <v>37622</v>
      </c>
      <c r="J7948" t="s">
        <v>38748</v>
      </c>
      <c r="K7948" t="s">
        <v>525</v>
      </c>
      <c r="L7948" t="s">
        <v>38749</v>
      </c>
      <c r="M7948" t="s">
        <v>38750</v>
      </c>
      <c r="O7948" t="s">
        <v>26</v>
      </c>
      <c r="Q7948">
        <v>115</v>
      </c>
      <c r="R7948">
        <v>92</v>
      </c>
      <c r="S7948">
        <v>138</v>
      </c>
      <c r="T7948" t="s">
        <v>38751</v>
      </c>
    </row>
    <row r="7949" spans="1:20">
      <c r="A7949">
        <v>4671952</v>
      </c>
      <c r="B7949" t="s">
        <v>38752</v>
      </c>
      <c r="C7949" t="str">
        <f>"9780802069498"</f>
        <v>9780802069498</v>
      </c>
      <c r="D7949" t="str">
        <f>"9781442679849"</f>
        <v>9781442679849</v>
      </c>
      <c r="E7949" t="s">
        <v>31435</v>
      </c>
      <c r="F7949" t="s">
        <v>31435</v>
      </c>
      <c r="G7949" s="1">
        <v>34335</v>
      </c>
      <c r="H7949">
        <v>2</v>
      </c>
      <c r="J7949" t="s">
        <v>38753</v>
      </c>
      <c r="K7949" t="s">
        <v>263</v>
      </c>
      <c r="L7949" t="s">
        <v>38754</v>
      </c>
      <c r="M7949" t="s">
        <v>38755</v>
      </c>
      <c r="O7949" t="s">
        <v>26</v>
      </c>
      <c r="Q7949">
        <v>59.94</v>
      </c>
      <c r="R7949">
        <v>47.95</v>
      </c>
      <c r="S7949">
        <v>71.930000000000007</v>
      </c>
      <c r="T7949" t="s">
        <v>38756</v>
      </c>
    </row>
    <row r="7950" spans="1:20">
      <c r="A7950">
        <v>4671953</v>
      </c>
      <c r="B7950" t="s">
        <v>38757</v>
      </c>
      <c r="C7950" t="str">
        <f>"9780802047502"</f>
        <v>9780802047502</v>
      </c>
      <c r="D7950" t="str">
        <f>"9781442679856"</f>
        <v>9781442679856</v>
      </c>
      <c r="E7950" t="s">
        <v>31435</v>
      </c>
      <c r="F7950" t="s">
        <v>31435</v>
      </c>
      <c r="G7950" s="1">
        <v>36526</v>
      </c>
      <c r="J7950" t="s">
        <v>38758</v>
      </c>
      <c r="K7950" t="s">
        <v>38759</v>
      </c>
      <c r="L7950" t="s">
        <v>38760</v>
      </c>
      <c r="M7950" t="s">
        <v>38761</v>
      </c>
      <c r="O7950" t="s">
        <v>26</v>
      </c>
      <c r="Q7950">
        <v>143.75</v>
      </c>
      <c r="R7950">
        <v>115</v>
      </c>
      <c r="S7950">
        <v>172.5</v>
      </c>
      <c r="T7950" t="s">
        <v>38762</v>
      </c>
    </row>
    <row r="7951" spans="1:20">
      <c r="A7951">
        <v>4671954</v>
      </c>
      <c r="B7951" t="s">
        <v>38763</v>
      </c>
      <c r="C7951" t="str">
        <f>"9780802036551"</f>
        <v>9780802036551</v>
      </c>
      <c r="D7951" t="str">
        <f>"9781442679870"</f>
        <v>9781442679870</v>
      </c>
      <c r="E7951" t="s">
        <v>31435</v>
      </c>
      <c r="F7951" t="s">
        <v>31435</v>
      </c>
      <c r="G7951" s="1">
        <v>37449</v>
      </c>
      <c r="J7951" t="s">
        <v>38764</v>
      </c>
      <c r="K7951" t="s">
        <v>1464</v>
      </c>
      <c r="L7951" t="s">
        <v>38765</v>
      </c>
      <c r="M7951" t="s">
        <v>24386</v>
      </c>
      <c r="N7951" t="s">
        <v>38766</v>
      </c>
      <c r="O7951" t="s">
        <v>26</v>
      </c>
      <c r="Q7951">
        <v>135</v>
      </c>
      <c r="R7951">
        <v>108</v>
      </c>
      <c r="S7951">
        <v>162</v>
      </c>
      <c r="T7951" t="s">
        <v>38767</v>
      </c>
    </row>
    <row r="7952" spans="1:20">
      <c r="A7952">
        <v>4671955</v>
      </c>
      <c r="B7952" t="s">
        <v>38768</v>
      </c>
      <c r="C7952" t="str">
        <f>"9780802088499"</f>
        <v>9780802088499</v>
      </c>
      <c r="D7952" t="str">
        <f>"9781442679887"</f>
        <v>9781442679887</v>
      </c>
      <c r="E7952" t="s">
        <v>31435</v>
      </c>
      <c r="F7952" t="s">
        <v>31435</v>
      </c>
      <c r="G7952" s="1">
        <v>41773</v>
      </c>
      <c r="H7952">
        <v>2</v>
      </c>
      <c r="J7952" t="s">
        <v>38769</v>
      </c>
      <c r="K7952" t="s">
        <v>1471</v>
      </c>
      <c r="L7952" t="s">
        <v>38770</v>
      </c>
      <c r="M7952">
        <v>792.09</v>
      </c>
      <c r="O7952" t="s">
        <v>26</v>
      </c>
      <c r="Q7952">
        <v>107.5</v>
      </c>
      <c r="R7952">
        <v>86</v>
      </c>
      <c r="S7952">
        <v>129</v>
      </c>
      <c r="T7952" t="s">
        <v>38771</v>
      </c>
    </row>
    <row r="7953" spans="1:20">
      <c r="A7953">
        <v>4671956</v>
      </c>
      <c r="B7953" t="s">
        <v>38772</v>
      </c>
      <c r="C7953" t="str">
        <f>"9781442615045"</f>
        <v>9781442615045</v>
      </c>
      <c r="D7953" t="str">
        <f>"9781442679894"</f>
        <v>9781442679894</v>
      </c>
      <c r="E7953" t="s">
        <v>31435</v>
      </c>
      <c r="F7953" t="s">
        <v>31435</v>
      </c>
      <c r="G7953" s="1">
        <v>33970</v>
      </c>
      <c r="J7953" t="s">
        <v>38773</v>
      </c>
      <c r="K7953" t="s">
        <v>1464</v>
      </c>
      <c r="L7953" t="s">
        <v>38774</v>
      </c>
      <c r="M7953" t="s">
        <v>24386</v>
      </c>
      <c r="O7953" t="s">
        <v>26</v>
      </c>
      <c r="Q7953">
        <v>91.25</v>
      </c>
      <c r="R7953">
        <v>73</v>
      </c>
      <c r="S7953">
        <v>109.5</v>
      </c>
      <c r="T7953" t="s">
        <v>38775</v>
      </c>
    </row>
    <row r="7954" spans="1:20">
      <c r="A7954">
        <v>4671957</v>
      </c>
      <c r="B7954" t="s">
        <v>38776</v>
      </c>
      <c r="C7954" t="str">
        <f>"9780802083555"</f>
        <v>9780802083555</v>
      </c>
      <c r="D7954" t="str">
        <f>"9781442679900"</f>
        <v>9781442679900</v>
      </c>
      <c r="E7954" t="s">
        <v>31435</v>
      </c>
      <c r="F7954" t="s">
        <v>31435</v>
      </c>
      <c r="G7954" s="1">
        <v>36892</v>
      </c>
      <c r="J7954" t="s">
        <v>38777</v>
      </c>
      <c r="K7954" t="s">
        <v>1082</v>
      </c>
      <c r="L7954" t="s">
        <v>38778</v>
      </c>
      <c r="M7954" t="s">
        <v>38779</v>
      </c>
      <c r="O7954" t="s">
        <v>26</v>
      </c>
      <c r="Q7954">
        <v>123.75</v>
      </c>
      <c r="R7954">
        <v>99</v>
      </c>
      <c r="S7954">
        <v>148.5</v>
      </c>
      <c r="T7954" t="s">
        <v>38780</v>
      </c>
    </row>
    <row r="7955" spans="1:20">
      <c r="A7955">
        <v>4671958</v>
      </c>
      <c r="B7955" t="s">
        <v>38781</v>
      </c>
      <c r="C7955" t="str">
        <f>"9780802089304"</f>
        <v>9780802089304</v>
      </c>
      <c r="D7955" t="str">
        <f>"9781442679917"</f>
        <v>9781442679917</v>
      </c>
      <c r="E7955" t="s">
        <v>31435</v>
      </c>
      <c r="F7955" t="s">
        <v>31435</v>
      </c>
      <c r="G7955" s="1">
        <v>41773</v>
      </c>
      <c r="H7955">
        <v>2</v>
      </c>
      <c r="J7955" t="s">
        <v>15820</v>
      </c>
      <c r="K7955" t="s">
        <v>278</v>
      </c>
      <c r="L7955" t="s">
        <v>38782</v>
      </c>
      <c r="M7955">
        <v>331.252094</v>
      </c>
      <c r="O7955" t="s">
        <v>26</v>
      </c>
      <c r="Q7955">
        <v>110</v>
      </c>
      <c r="R7955">
        <v>88</v>
      </c>
      <c r="S7955">
        <v>132</v>
      </c>
      <c r="T7955" t="s">
        <v>38783</v>
      </c>
    </row>
    <row r="7956" spans="1:20">
      <c r="A7956">
        <v>4671959</v>
      </c>
      <c r="B7956" t="s">
        <v>38784</v>
      </c>
      <c r="C7956" t="str">
        <f>"9780802087461"</f>
        <v>9780802087461</v>
      </c>
      <c r="D7956" t="str">
        <f>"9781442679924"</f>
        <v>9781442679924</v>
      </c>
      <c r="E7956" t="s">
        <v>31435</v>
      </c>
      <c r="F7956" t="s">
        <v>31435</v>
      </c>
      <c r="G7956" s="1">
        <v>41773</v>
      </c>
      <c r="H7956">
        <v>2</v>
      </c>
      <c r="I7956" t="s">
        <v>34303</v>
      </c>
      <c r="J7956" t="s">
        <v>32402</v>
      </c>
      <c r="K7956" t="s">
        <v>263</v>
      </c>
      <c r="L7956" t="s">
        <v>38785</v>
      </c>
      <c r="M7956">
        <v>306</v>
      </c>
      <c r="O7956" t="s">
        <v>26</v>
      </c>
      <c r="Q7956">
        <v>78.75</v>
      </c>
      <c r="R7956">
        <v>63</v>
      </c>
      <c r="S7956">
        <v>94.5</v>
      </c>
      <c r="T7956" t="s">
        <v>38786</v>
      </c>
    </row>
    <row r="7957" spans="1:20">
      <c r="A7957">
        <v>4671960</v>
      </c>
      <c r="B7957" t="s">
        <v>38787</v>
      </c>
      <c r="C7957" t="str">
        <f>"9780802071422"</f>
        <v>9780802071422</v>
      </c>
      <c r="D7957" t="str">
        <f>"9781442679931"</f>
        <v>9781442679931</v>
      </c>
      <c r="E7957" t="s">
        <v>31435</v>
      </c>
      <c r="F7957" t="s">
        <v>31435</v>
      </c>
      <c r="G7957" s="1">
        <v>35065</v>
      </c>
      <c r="H7957">
        <v>2</v>
      </c>
      <c r="I7957" t="s">
        <v>35056</v>
      </c>
      <c r="J7957" t="s">
        <v>38226</v>
      </c>
      <c r="K7957" t="s">
        <v>1859</v>
      </c>
      <c r="L7957" t="s">
        <v>38788</v>
      </c>
      <c r="M7957" t="s">
        <v>38725</v>
      </c>
      <c r="O7957" t="s">
        <v>26</v>
      </c>
      <c r="Q7957">
        <v>121.25</v>
      </c>
      <c r="R7957">
        <v>97</v>
      </c>
      <c r="S7957">
        <v>145.5</v>
      </c>
      <c r="T7957" t="s">
        <v>38789</v>
      </c>
    </row>
    <row r="7958" spans="1:20">
      <c r="A7958">
        <v>4671961</v>
      </c>
      <c r="B7958" t="s">
        <v>38790</v>
      </c>
      <c r="C7958" t="str">
        <f>"9780802068354"</f>
        <v>9780802068354</v>
      </c>
      <c r="D7958" t="str">
        <f>"9781442679955"</f>
        <v>9781442679955</v>
      </c>
      <c r="E7958" t="s">
        <v>31435</v>
      </c>
      <c r="F7958" t="s">
        <v>31435</v>
      </c>
      <c r="G7958" s="1">
        <v>33239</v>
      </c>
      <c r="H7958">
        <v>2</v>
      </c>
      <c r="J7958" t="s">
        <v>27996</v>
      </c>
      <c r="K7958" t="s">
        <v>1464</v>
      </c>
      <c r="L7958" t="s">
        <v>38791</v>
      </c>
      <c r="M7958" t="s">
        <v>3215</v>
      </c>
      <c r="O7958" t="s">
        <v>26</v>
      </c>
      <c r="Q7958">
        <v>59.94</v>
      </c>
      <c r="R7958">
        <v>47.95</v>
      </c>
      <c r="S7958">
        <v>71.930000000000007</v>
      </c>
      <c r="T7958" t="s">
        <v>38792</v>
      </c>
    </row>
    <row r="7959" spans="1:20">
      <c r="A7959">
        <v>4671962</v>
      </c>
      <c r="B7959" t="s">
        <v>38793</v>
      </c>
      <c r="C7959" t="str">
        <f>"9780802028495"</f>
        <v>9780802028495</v>
      </c>
      <c r="D7959" t="str">
        <f>"9781442679962"</f>
        <v>9781442679962</v>
      </c>
      <c r="E7959" t="s">
        <v>31435</v>
      </c>
      <c r="F7959" t="s">
        <v>31435</v>
      </c>
      <c r="G7959" s="1">
        <v>34600</v>
      </c>
      <c r="J7959" t="s">
        <v>38794</v>
      </c>
      <c r="K7959" t="s">
        <v>1471</v>
      </c>
      <c r="L7959" t="s">
        <v>38795</v>
      </c>
      <c r="M7959" t="s">
        <v>38796</v>
      </c>
      <c r="O7959" t="s">
        <v>26</v>
      </c>
      <c r="Q7959">
        <v>71.25</v>
      </c>
      <c r="R7959">
        <v>57</v>
      </c>
      <c r="S7959">
        <v>85.5</v>
      </c>
      <c r="T7959" t="s">
        <v>38797</v>
      </c>
    </row>
    <row r="7960" spans="1:20">
      <c r="A7960">
        <v>4671963</v>
      </c>
      <c r="B7960" t="s">
        <v>38798</v>
      </c>
      <c r="C7960" t="str">
        <f>"9780802026552"</f>
        <v>9780802026552</v>
      </c>
      <c r="D7960" t="str">
        <f>"9781442679979"</f>
        <v>9781442679979</v>
      </c>
      <c r="E7960" t="s">
        <v>31435</v>
      </c>
      <c r="F7960" t="s">
        <v>31435</v>
      </c>
      <c r="G7960" s="1">
        <v>32143</v>
      </c>
      <c r="I7960" t="s">
        <v>33881</v>
      </c>
      <c r="J7960" t="s">
        <v>24529</v>
      </c>
      <c r="K7960" t="s">
        <v>257</v>
      </c>
      <c r="L7960" t="s">
        <v>38799</v>
      </c>
      <c r="M7960" t="s">
        <v>38800</v>
      </c>
      <c r="O7960" t="s">
        <v>26</v>
      </c>
      <c r="Q7960">
        <v>77.5</v>
      </c>
      <c r="R7960">
        <v>62</v>
      </c>
      <c r="S7960">
        <v>93</v>
      </c>
      <c r="T7960" t="s">
        <v>38801</v>
      </c>
    </row>
    <row r="7961" spans="1:20">
      <c r="A7961">
        <v>4671964</v>
      </c>
      <c r="B7961" t="s">
        <v>38802</v>
      </c>
      <c r="C7961" t="str">
        <f>"9780802083777"</f>
        <v>9780802083777</v>
      </c>
      <c r="D7961" t="str">
        <f>"9781442679986"</f>
        <v>9781442679986</v>
      </c>
      <c r="E7961" t="s">
        <v>31435</v>
      </c>
      <c r="F7961" t="s">
        <v>31435</v>
      </c>
      <c r="G7961" s="1">
        <v>36892</v>
      </c>
      <c r="I7961" t="s">
        <v>34693</v>
      </c>
      <c r="J7961" t="s">
        <v>23902</v>
      </c>
      <c r="K7961" t="s">
        <v>263</v>
      </c>
      <c r="L7961" t="s">
        <v>38803</v>
      </c>
      <c r="M7961" t="s">
        <v>38804</v>
      </c>
      <c r="O7961" t="s">
        <v>26</v>
      </c>
      <c r="Q7961">
        <v>100</v>
      </c>
      <c r="R7961">
        <v>80</v>
      </c>
      <c r="S7961">
        <v>120</v>
      </c>
      <c r="T7961" t="s">
        <v>38805</v>
      </c>
    </row>
    <row r="7962" spans="1:20">
      <c r="A7962">
        <v>4671965</v>
      </c>
      <c r="B7962" t="s">
        <v>38806</v>
      </c>
      <c r="C7962" t="str">
        <f>"9780802076465"</f>
        <v>9780802076465</v>
      </c>
      <c r="D7962" t="str">
        <f>"9781442679993"</f>
        <v>9781442679993</v>
      </c>
      <c r="E7962" t="s">
        <v>31435</v>
      </c>
      <c r="F7962" t="s">
        <v>31435</v>
      </c>
      <c r="G7962" s="1">
        <v>35431</v>
      </c>
      <c r="H7962">
        <v>2</v>
      </c>
      <c r="J7962" t="s">
        <v>38807</v>
      </c>
      <c r="K7962" t="s">
        <v>291</v>
      </c>
      <c r="L7962" t="s">
        <v>38808</v>
      </c>
      <c r="M7962" t="s">
        <v>38809</v>
      </c>
      <c r="O7962" t="s">
        <v>26</v>
      </c>
      <c r="Q7962">
        <v>107.5</v>
      </c>
      <c r="R7962">
        <v>86</v>
      </c>
      <c r="S7962">
        <v>129</v>
      </c>
      <c r="T7962" t="s">
        <v>38810</v>
      </c>
    </row>
    <row r="7963" spans="1:20">
      <c r="A7963">
        <v>4671966</v>
      </c>
      <c r="B7963" t="s">
        <v>38811</v>
      </c>
      <c r="C7963" t="str">
        <f>"9780802080431"</f>
        <v>9780802080431</v>
      </c>
      <c r="D7963" t="str">
        <f>"9781442680012"</f>
        <v>9781442680012</v>
      </c>
      <c r="E7963" t="s">
        <v>31435</v>
      </c>
      <c r="F7963" t="s">
        <v>31435</v>
      </c>
      <c r="G7963" s="1">
        <v>35966</v>
      </c>
      <c r="I7963" t="s">
        <v>31443</v>
      </c>
      <c r="J7963" t="s">
        <v>38812</v>
      </c>
      <c r="K7963" t="s">
        <v>1471</v>
      </c>
      <c r="L7963" t="s">
        <v>38813</v>
      </c>
      <c r="M7963" t="s">
        <v>6494</v>
      </c>
      <c r="N7963" t="s">
        <v>38814</v>
      </c>
      <c r="O7963" t="s">
        <v>26</v>
      </c>
      <c r="Q7963">
        <v>59.94</v>
      </c>
      <c r="R7963">
        <v>47.95</v>
      </c>
      <c r="S7963">
        <v>71.930000000000007</v>
      </c>
      <c r="T7963" t="s">
        <v>38815</v>
      </c>
    </row>
    <row r="7964" spans="1:20">
      <c r="A7964">
        <v>4671967</v>
      </c>
      <c r="B7964" t="s">
        <v>38816</v>
      </c>
      <c r="C7964" t="str">
        <f>"9780802084040"</f>
        <v>9780802084040</v>
      </c>
      <c r="D7964" t="str">
        <f>"9781442680029"</f>
        <v>9781442680029</v>
      </c>
      <c r="E7964" t="s">
        <v>31435</v>
      </c>
      <c r="F7964" t="s">
        <v>31435</v>
      </c>
      <c r="G7964" s="1">
        <v>37622</v>
      </c>
      <c r="I7964" t="s">
        <v>35946</v>
      </c>
      <c r="J7964" t="s">
        <v>38817</v>
      </c>
      <c r="K7964" t="s">
        <v>263</v>
      </c>
      <c r="L7964" t="s">
        <v>38818</v>
      </c>
      <c r="M7964">
        <v>305</v>
      </c>
      <c r="O7964" t="s">
        <v>26</v>
      </c>
      <c r="Q7964">
        <v>59.94</v>
      </c>
      <c r="R7964">
        <v>47.95</v>
      </c>
      <c r="S7964">
        <v>71.930000000000007</v>
      </c>
      <c r="T7964" t="s">
        <v>38819</v>
      </c>
    </row>
    <row r="7965" spans="1:20">
      <c r="A7965">
        <v>4671968</v>
      </c>
      <c r="B7965" t="s">
        <v>38820</v>
      </c>
      <c r="C7965" t="str">
        <f>"9780802083579"</f>
        <v>9780802083579</v>
      </c>
      <c r="D7965" t="str">
        <f>"9781442680036"</f>
        <v>9781442680036</v>
      </c>
      <c r="E7965" t="s">
        <v>31435</v>
      </c>
      <c r="F7965" t="s">
        <v>31435</v>
      </c>
      <c r="G7965" s="1">
        <v>36480</v>
      </c>
      <c r="J7965" t="s">
        <v>38821</v>
      </c>
      <c r="K7965" t="s">
        <v>263</v>
      </c>
      <c r="L7965" t="s">
        <v>38822</v>
      </c>
      <c r="M7965">
        <v>300.18</v>
      </c>
      <c r="N7965" t="s">
        <v>38823</v>
      </c>
      <c r="O7965" t="s">
        <v>26</v>
      </c>
      <c r="Q7965">
        <v>161.25</v>
      </c>
      <c r="R7965">
        <v>129</v>
      </c>
      <c r="S7965">
        <v>193.5</v>
      </c>
      <c r="T7965" t="s">
        <v>38824</v>
      </c>
    </row>
    <row r="7966" spans="1:20">
      <c r="A7966">
        <v>4671969</v>
      </c>
      <c r="B7966" t="s">
        <v>38825</v>
      </c>
      <c r="C7966" t="str">
        <f>"9781487520663"</f>
        <v>9781487520663</v>
      </c>
      <c r="D7966" t="str">
        <f>"9781442680050"</f>
        <v>9781442680050</v>
      </c>
      <c r="E7966" t="s">
        <v>31435</v>
      </c>
      <c r="F7966" t="s">
        <v>31435</v>
      </c>
      <c r="G7966" s="1">
        <v>38492</v>
      </c>
      <c r="J7966" t="s">
        <v>38826</v>
      </c>
      <c r="K7966" t="s">
        <v>2432</v>
      </c>
      <c r="L7966" t="s">
        <v>38827</v>
      </c>
      <c r="M7966">
        <v>301.09199999999902</v>
      </c>
      <c r="O7966" t="s">
        <v>26</v>
      </c>
      <c r="Q7966">
        <v>95</v>
      </c>
      <c r="R7966">
        <v>76</v>
      </c>
      <c r="S7966">
        <v>114</v>
      </c>
      <c r="T7966" t="s">
        <v>38828</v>
      </c>
    </row>
    <row r="7967" spans="1:20">
      <c r="A7967">
        <v>4671970</v>
      </c>
      <c r="B7967" t="s">
        <v>38829</v>
      </c>
      <c r="C7967" t="str">
        <f>"9780802072405"</f>
        <v>9780802072405</v>
      </c>
      <c r="D7967" t="str">
        <f>"9781442680067"</f>
        <v>9781442680067</v>
      </c>
      <c r="E7967" t="s">
        <v>31435</v>
      </c>
      <c r="F7967" t="s">
        <v>31435</v>
      </c>
      <c r="G7967" s="1">
        <v>34700</v>
      </c>
      <c r="H7967">
        <v>2</v>
      </c>
      <c r="J7967" t="s">
        <v>38830</v>
      </c>
      <c r="K7967" t="s">
        <v>1550</v>
      </c>
      <c r="L7967" t="s">
        <v>38831</v>
      </c>
      <c r="M7967" t="s">
        <v>38832</v>
      </c>
      <c r="O7967" t="s">
        <v>26</v>
      </c>
      <c r="Q7967">
        <v>59.94</v>
      </c>
      <c r="R7967">
        <v>47.95</v>
      </c>
      <c r="S7967">
        <v>71.930000000000007</v>
      </c>
      <c r="T7967" t="s">
        <v>38833</v>
      </c>
    </row>
    <row r="7968" spans="1:20">
      <c r="A7968">
        <v>4671972</v>
      </c>
      <c r="B7968" t="s">
        <v>38834</v>
      </c>
      <c r="C7968" t="str">
        <f>"9780802048776"</f>
        <v>9780802048776</v>
      </c>
      <c r="D7968" t="str">
        <f>"9781442680074"</f>
        <v>9781442680074</v>
      </c>
      <c r="E7968" t="s">
        <v>31435</v>
      </c>
      <c r="F7968" t="s">
        <v>31435</v>
      </c>
      <c r="G7968" s="1">
        <v>37135</v>
      </c>
      <c r="J7968" t="s">
        <v>29901</v>
      </c>
      <c r="K7968" t="s">
        <v>291</v>
      </c>
      <c r="L7968" t="s">
        <v>38835</v>
      </c>
      <c r="M7968" t="s">
        <v>38836</v>
      </c>
      <c r="O7968" t="s">
        <v>26</v>
      </c>
      <c r="Q7968">
        <v>100</v>
      </c>
      <c r="R7968">
        <v>80</v>
      </c>
      <c r="S7968">
        <v>120</v>
      </c>
      <c r="T7968" t="s">
        <v>38837</v>
      </c>
    </row>
    <row r="7969" spans="1:20">
      <c r="A7969">
        <v>4671973</v>
      </c>
      <c r="B7969" t="s">
        <v>38838</v>
      </c>
      <c r="C7969" t="str">
        <f>"9780802008992"</f>
        <v>9780802008992</v>
      </c>
      <c r="D7969" t="str">
        <f>"9781442680081"</f>
        <v>9781442680081</v>
      </c>
      <c r="E7969" t="s">
        <v>31435</v>
      </c>
      <c r="F7969" t="s">
        <v>31435</v>
      </c>
      <c r="G7969" s="1">
        <v>35796</v>
      </c>
      <c r="J7969" t="s">
        <v>38839</v>
      </c>
      <c r="K7969" t="s">
        <v>1214</v>
      </c>
      <c r="L7969" t="s">
        <v>38840</v>
      </c>
      <c r="M7969" t="s">
        <v>38841</v>
      </c>
      <c r="O7969" t="s">
        <v>26</v>
      </c>
      <c r="Q7969">
        <v>71.25</v>
      </c>
      <c r="R7969">
        <v>57</v>
      </c>
      <c r="S7969">
        <v>85.5</v>
      </c>
      <c r="T7969" t="s">
        <v>38842</v>
      </c>
    </row>
    <row r="7970" spans="1:20">
      <c r="A7970">
        <v>4671974</v>
      </c>
      <c r="B7970" t="s">
        <v>38843</v>
      </c>
      <c r="C7970" t="str">
        <f>"9781442613133"</f>
        <v>9781442613133</v>
      </c>
      <c r="D7970" t="str">
        <f>"9781442680098"</f>
        <v>9781442680098</v>
      </c>
      <c r="E7970" t="s">
        <v>31435</v>
      </c>
      <c r="F7970" t="s">
        <v>31435</v>
      </c>
      <c r="G7970" s="1">
        <v>33970</v>
      </c>
      <c r="I7970" t="s">
        <v>31443</v>
      </c>
      <c r="J7970" t="s">
        <v>38844</v>
      </c>
      <c r="K7970" t="s">
        <v>263</v>
      </c>
      <c r="L7970" t="s">
        <v>38845</v>
      </c>
      <c r="M7970" t="s">
        <v>38846</v>
      </c>
      <c r="O7970" t="s">
        <v>26</v>
      </c>
      <c r="Q7970">
        <v>71.25</v>
      </c>
      <c r="R7970">
        <v>57</v>
      </c>
      <c r="S7970">
        <v>85.5</v>
      </c>
      <c r="T7970" t="s">
        <v>38847</v>
      </c>
    </row>
    <row r="7971" spans="1:20">
      <c r="A7971">
        <v>4671975</v>
      </c>
      <c r="B7971" t="s">
        <v>38848</v>
      </c>
      <c r="C7971" t="str">
        <f>"9780802026767"</f>
        <v>9780802026767</v>
      </c>
      <c r="D7971" t="str">
        <f>"9781442680104"</f>
        <v>9781442680104</v>
      </c>
      <c r="E7971" t="s">
        <v>31435</v>
      </c>
      <c r="F7971" t="s">
        <v>31435</v>
      </c>
      <c r="G7971" s="1">
        <v>41773</v>
      </c>
      <c r="J7971" t="s">
        <v>38849</v>
      </c>
      <c r="K7971" t="s">
        <v>1464</v>
      </c>
      <c r="L7971" t="s">
        <v>15663</v>
      </c>
      <c r="M7971">
        <v>821.3</v>
      </c>
      <c r="O7971" t="s">
        <v>26</v>
      </c>
      <c r="Q7971">
        <v>456.25</v>
      </c>
      <c r="R7971">
        <v>365</v>
      </c>
      <c r="S7971">
        <v>547.5</v>
      </c>
      <c r="T7971" t="s">
        <v>38850</v>
      </c>
    </row>
    <row r="7972" spans="1:20">
      <c r="A7972">
        <v>4671976</v>
      </c>
      <c r="B7972" t="s">
        <v>38851</v>
      </c>
      <c r="C7972" t="str">
        <f>"9780802035059"</f>
        <v>9780802035059</v>
      </c>
      <c r="D7972" t="str">
        <f>"9781442680111"</f>
        <v>9781442680111</v>
      </c>
      <c r="E7972" t="s">
        <v>31435</v>
      </c>
      <c r="F7972" t="s">
        <v>31435</v>
      </c>
      <c r="G7972" s="1">
        <v>36892</v>
      </c>
      <c r="J7972" t="s">
        <v>38852</v>
      </c>
      <c r="K7972" t="s">
        <v>1464</v>
      </c>
      <c r="L7972" t="s">
        <v>38853</v>
      </c>
      <c r="M7972" t="s">
        <v>14551</v>
      </c>
      <c r="O7972" t="s">
        <v>26</v>
      </c>
      <c r="Q7972">
        <v>135</v>
      </c>
      <c r="R7972">
        <v>108</v>
      </c>
      <c r="S7972">
        <v>162</v>
      </c>
      <c r="T7972" t="s">
        <v>38854</v>
      </c>
    </row>
    <row r="7973" spans="1:20">
      <c r="A7973">
        <v>4671977</v>
      </c>
      <c r="B7973" t="s">
        <v>38855</v>
      </c>
      <c r="C7973" t="str">
        <f>"9780802041494"</f>
        <v>9780802041494</v>
      </c>
      <c r="D7973" t="str">
        <f>"9781442680159"</f>
        <v>9781442680159</v>
      </c>
      <c r="E7973" t="s">
        <v>31435</v>
      </c>
      <c r="F7973" t="s">
        <v>31435</v>
      </c>
      <c r="G7973" s="1">
        <v>37257</v>
      </c>
      <c r="H7973">
        <v>74</v>
      </c>
      <c r="J7973" t="s">
        <v>38856</v>
      </c>
      <c r="K7973" t="s">
        <v>473</v>
      </c>
      <c r="L7973" t="s">
        <v>38857</v>
      </c>
      <c r="M7973" t="s">
        <v>38858</v>
      </c>
      <c r="O7973" t="s">
        <v>26</v>
      </c>
      <c r="Q7973">
        <v>71.25</v>
      </c>
      <c r="R7973">
        <v>57</v>
      </c>
      <c r="S7973">
        <v>85.5</v>
      </c>
      <c r="T7973" t="s">
        <v>38859</v>
      </c>
    </row>
    <row r="7974" spans="1:20">
      <c r="A7974">
        <v>4671978</v>
      </c>
      <c r="B7974" t="s">
        <v>38860</v>
      </c>
      <c r="C7974" t="str">
        <f>"9781442628465"</f>
        <v>9781442628465</v>
      </c>
      <c r="D7974" t="str">
        <f>"9781442680166"</f>
        <v>9781442680166</v>
      </c>
      <c r="E7974" t="s">
        <v>31435</v>
      </c>
      <c r="F7974" t="s">
        <v>31435</v>
      </c>
      <c r="G7974" s="1">
        <v>37987</v>
      </c>
      <c r="J7974" t="s">
        <v>38861</v>
      </c>
      <c r="K7974" t="s">
        <v>291</v>
      </c>
      <c r="L7974" t="s">
        <v>38862</v>
      </c>
      <c r="M7974" t="s">
        <v>38863</v>
      </c>
      <c r="O7974" t="s">
        <v>26</v>
      </c>
      <c r="Q7974">
        <v>100</v>
      </c>
      <c r="R7974">
        <v>80</v>
      </c>
      <c r="S7974">
        <v>120</v>
      </c>
      <c r="T7974" t="s">
        <v>38864</v>
      </c>
    </row>
    <row r="7975" spans="1:20">
      <c r="A7975">
        <v>4671979</v>
      </c>
      <c r="B7975" t="s">
        <v>38865</v>
      </c>
      <c r="C7975" t="str">
        <f>"9780802071668"</f>
        <v>9780802071668</v>
      </c>
      <c r="D7975" t="str">
        <f>"9781442680173"</f>
        <v>9781442680173</v>
      </c>
      <c r="E7975" t="s">
        <v>31435</v>
      </c>
      <c r="F7975" t="s">
        <v>31435</v>
      </c>
      <c r="G7975" s="1">
        <v>35796</v>
      </c>
      <c r="H7975">
        <v>2</v>
      </c>
      <c r="J7975" t="s">
        <v>38866</v>
      </c>
      <c r="K7975" t="s">
        <v>2260</v>
      </c>
      <c r="L7975" t="s">
        <v>38867</v>
      </c>
      <c r="M7975" t="s">
        <v>7555</v>
      </c>
      <c r="O7975" t="s">
        <v>26</v>
      </c>
      <c r="Q7975">
        <v>143.75</v>
      </c>
      <c r="R7975">
        <v>115</v>
      </c>
      <c r="S7975">
        <v>172.5</v>
      </c>
      <c r="T7975" t="s">
        <v>38868</v>
      </c>
    </row>
    <row r="7976" spans="1:20">
      <c r="A7976">
        <v>4671980</v>
      </c>
      <c r="B7976" t="s">
        <v>38869</v>
      </c>
      <c r="C7976" t="str">
        <f>"9780802089373"</f>
        <v>9780802089373</v>
      </c>
      <c r="D7976" t="str">
        <f>"9781442680180"</f>
        <v>9781442680180</v>
      </c>
      <c r="E7976" t="s">
        <v>31435</v>
      </c>
      <c r="F7976" t="s">
        <v>31435</v>
      </c>
      <c r="G7976" s="1">
        <v>41773</v>
      </c>
      <c r="H7976">
        <v>2</v>
      </c>
      <c r="J7976" t="s">
        <v>38870</v>
      </c>
      <c r="K7976" t="s">
        <v>1464</v>
      </c>
      <c r="L7976" t="s">
        <v>38871</v>
      </c>
      <c r="M7976">
        <v>821.8</v>
      </c>
      <c r="O7976" t="s">
        <v>26</v>
      </c>
      <c r="Q7976">
        <v>102.5</v>
      </c>
      <c r="R7976">
        <v>82</v>
      </c>
      <c r="S7976">
        <v>123</v>
      </c>
      <c r="T7976" t="s">
        <v>38872</v>
      </c>
    </row>
    <row r="7977" spans="1:20">
      <c r="A7977">
        <v>4671981</v>
      </c>
      <c r="B7977" t="s">
        <v>38873</v>
      </c>
      <c r="C7977" t="str">
        <f>"9780802067364"</f>
        <v>9780802067364</v>
      </c>
      <c r="D7977" t="str">
        <f>"9781442680197"</f>
        <v>9781442680197</v>
      </c>
      <c r="E7977" t="s">
        <v>31435</v>
      </c>
      <c r="F7977" t="s">
        <v>31435</v>
      </c>
      <c r="G7977" s="1">
        <v>32143</v>
      </c>
      <c r="H7977">
        <v>2</v>
      </c>
      <c r="K7977" t="s">
        <v>278</v>
      </c>
      <c r="L7977" t="s">
        <v>38874</v>
      </c>
      <c r="M7977" t="s">
        <v>38875</v>
      </c>
      <c r="O7977" t="s">
        <v>26</v>
      </c>
      <c r="Q7977">
        <v>59.94</v>
      </c>
      <c r="R7977">
        <v>47.95</v>
      </c>
      <c r="S7977">
        <v>71.930000000000007</v>
      </c>
      <c r="T7977" t="s">
        <v>38876</v>
      </c>
    </row>
    <row r="7978" spans="1:20">
      <c r="A7978">
        <v>4671982</v>
      </c>
      <c r="B7978" t="s">
        <v>38877</v>
      </c>
      <c r="C7978" t="str">
        <f>"9780802082947"</f>
        <v>9780802082947</v>
      </c>
      <c r="D7978" t="str">
        <f>"9781442680203"</f>
        <v>9781442680203</v>
      </c>
      <c r="E7978" t="s">
        <v>31435</v>
      </c>
      <c r="F7978" t="s">
        <v>31435</v>
      </c>
      <c r="G7978" s="1">
        <v>36526</v>
      </c>
      <c r="J7978" t="s">
        <v>38878</v>
      </c>
      <c r="K7978" t="s">
        <v>291</v>
      </c>
      <c r="L7978" t="s">
        <v>38879</v>
      </c>
      <c r="M7978" t="s">
        <v>38880</v>
      </c>
      <c r="O7978" t="s">
        <v>26</v>
      </c>
      <c r="Q7978">
        <v>115</v>
      </c>
      <c r="R7978">
        <v>92</v>
      </c>
      <c r="S7978">
        <v>138</v>
      </c>
      <c r="T7978" t="s">
        <v>38881</v>
      </c>
    </row>
    <row r="7979" spans="1:20">
      <c r="A7979">
        <v>4671983</v>
      </c>
      <c r="B7979" t="s">
        <v>38882</v>
      </c>
      <c r="C7979" t="str">
        <f>"9780802069863"</f>
        <v>9780802069863</v>
      </c>
      <c r="D7979" t="str">
        <f>"9781442680210"</f>
        <v>9781442680210</v>
      </c>
      <c r="E7979" t="s">
        <v>31435</v>
      </c>
      <c r="F7979" t="s">
        <v>31435</v>
      </c>
      <c r="G7979" s="1">
        <v>34843</v>
      </c>
      <c r="H7979">
        <v>2</v>
      </c>
      <c r="J7979" t="s">
        <v>38883</v>
      </c>
      <c r="K7979" t="s">
        <v>1464</v>
      </c>
      <c r="L7979" t="s">
        <v>38884</v>
      </c>
      <c r="M7979" t="s">
        <v>38885</v>
      </c>
      <c r="O7979" t="s">
        <v>26</v>
      </c>
      <c r="Q7979">
        <v>59.94</v>
      </c>
      <c r="R7979">
        <v>47.95</v>
      </c>
      <c r="S7979">
        <v>71.930000000000007</v>
      </c>
      <c r="T7979" t="s">
        <v>38886</v>
      </c>
    </row>
    <row r="7980" spans="1:20">
      <c r="A7980">
        <v>4671984</v>
      </c>
      <c r="B7980" t="s">
        <v>38887</v>
      </c>
      <c r="C7980" t="str">
        <f>"9780802037114"</f>
        <v>9780802037114</v>
      </c>
      <c r="D7980" t="str">
        <f>"9781442680227"</f>
        <v>9781442680227</v>
      </c>
      <c r="E7980" t="s">
        <v>31435</v>
      </c>
      <c r="F7980" t="s">
        <v>31435</v>
      </c>
      <c r="G7980" s="1">
        <v>37622</v>
      </c>
      <c r="J7980" t="s">
        <v>38888</v>
      </c>
      <c r="K7980" t="s">
        <v>4081</v>
      </c>
      <c r="L7980" t="s">
        <v>38889</v>
      </c>
      <c r="M7980">
        <v>491.7</v>
      </c>
      <c r="O7980" t="s">
        <v>26</v>
      </c>
      <c r="Q7980">
        <v>232.5</v>
      </c>
      <c r="R7980">
        <v>186</v>
      </c>
      <c r="S7980">
        <v>279</v>
      </c>
      <c r="T7980" t="s">
        <v>38890</v>
      </c>
    </row>
    <row r="7981" spans="1:20">
      <c r="A7981">
        <v>4671985</v>
      </c>
      <c r="B7981" t="s">
        <v>38891</v>
      </c>
      <c r="C7981" t="str">
        <f>"9780802081179"</f>
        <v>9780802081179</v>
      </c>
      <c r="D7981" t="str">
        <f>"9781442680234"</f>
        <v>9781442680234</v>
      </c>
      <c r="E7981" t="s">
        <v>31435</v>
      </c>
      <c r="F7981" t="s">
        <v>31435</v>
      </c>
      <c r="G7981" s="1">
        <v>36161</v>
      </c>
      <c r="J7981" t="s">
        <v>38892</v>
      </c>
      <c r="K7981" t="s">
        <v>291</v>
      </c>
      <c r="L7981" t="s">
        <v>38893</v>
      </c>
      <c r="M7981" t="s">
        <v>38894</v>
      </c>
      <c r="O7981" t="s">
        <v>26</v>
      </c>
      <c r="Q7981">
        <v>100</v>
      </c>
      <c r="R7981">
        <v>80</v>
      </c>
      <c r="S7981">
        <v>120</v>
      </c>
      <c r="T7981" t="s">
        <v>38895</v>
      </c>
    </row>
    <row r="7982" spans="1:20">
      <c r="A7982">
        <v>4671986</v>
      </c>
      <c r="B7982" t="s">
        <v>38896</v>
      </c>
      <c r="C7982" t="str">
        <f>"9780802059475"</f>
        <v>9780802059475</v>
      </c>
      <c r="D7982" t="str">
        <f>"9781442680241"</f>
        <v>9781442680241</v>
      </c>
      <c r="E7982" t="s">
        <v>31435</v>
      </c>
      <c r="F7982" t="s">
        <v>31435</v>
      </c>
      <c r="G7982" s="1">
        <v>33239</v>
      </c>
      <c r="I7982" t="s">
        <v>34565</v>
      </c>
      <c r="J7982" t="s">
        <v>38897</v>
      </c>
      <c r="K7982" t="s">
        <v>1464</v>
      </c>
      <c r="L7982" t="s">
        <v>38898</v>
      </c>
      <c r="M7982" t="s">
        <v>38899</v>
      </c>
      <c r="O7982" t="s">
        <v>26</v>
      </c>
      <c r="Q7982">
        <v>107.5</v>
      </c>
      <c r="R7982">
        <v>86</v>
      </c>
      <c r="S7982">
        <v>129</v>
      </c>
      <c r="T7982" t="s">
        <v>38900</v>
      </c>
    </row>
    <row r="7983" spans="1:20">
      <c r="A7983">
        <v>4671987</v>
      </c>
      <c r="B7983" t="s">
        <v>38901</v>
      </c>
      <c r="C7983" t="str">
        <f>"9780802077912"</f>
        <v>9780802077912</v>
      </c>
      <c r="D7983" t="str">
        <f>"9781442680258"</f>
        <v>9781442680258</v>
      </c>
      <c r="E7983" t="s">
        <v>31435</v>
      </c>
      <c r="F7983" t="s">
        <v>31435</v>
      </c>
      <c r="G7983" s="1">
        <v>35827</v>
      </c>
      <c r="H7983">
        <v>2</v>
      </c>
      <c r="J7983" t="s">
        <v>38902</v>
      </c>
      <c r="K7983" t="s">
        <v>376</v>
      </c>
      <c r="L7983" t="s">
        <v>38903</v>
      </c>
      <c r="M7983" t="s">
        <v>38904</v>
      </c>
      <c r="N7983" t="s">
        <v>38905</v>
      </c>
      <c r="O7983" t="s">
        <v>26</v>
      </c>
      <c r="Q7983">
        <v>115</v>
      </c>
      <c r="R7983">
        <v>92</v>
      </c>
      <c r="S7983">
        <v>138</v>
      </c>
      <c r="T7983" t="s">
        <v>38906</v>
      </c>
    </row>
    <row r="7984" spans="1:20">
      <c r="A7984">
        <v>4671988</v>
      </c>
      <c r="B7984" t="s">
        <v>38907</v>
      </c>
      <c r="C7984" t="str">
        <f>"9780802037398"</f>
        <v>9780802037398</v>
      </c>
      <c r="D7984" t="str">
        <f>"9781442680265"</f>
        <v>9781442680265</v>
      </c>
      <c r="E7984" t="s">
        <v>31435</v>
      </c>
      <c r="F7984" t="s">
        <v>31435</v>
      </c>
      <c r="G7984" s="1">
        <v>37622</v>
      </c>
      <c r="J7984" t="s">
        <v>38908</v>
      </c>
      <c r="K7984" t="s">
        <v>2260</v>
      </c>
      <c r="L7984" t="s">
        <v>38909</v>
      </c>
      <c r="M7984" t="s">
        <v>38910</v>
      </c>
      <c r="O7984" t="s">
        <v>26</v>
      </c>
      <c r="Q7984">
        <v>91.25</v>
      </c>
      <c r="R7984">
        <v>73</v>
      </c>
      <c r="S7984">
        <v>109.5</v>
      </c>
      <c r="T7984" t="s">
        <v>38911</v>
      </c>
    </row>
    <row r="7985" spans="1:20">
      <c r="A7985">
        <v>4671990</v>
      </c>
      <c r="B7985" t="s">
        <v>38912</v>
      </c>
      <c r="C7985" t="str">
        <f>"9780802071996"</f>
        <v>9780802071996</v>
      </c>
      <c r="D7985" t="str">
        <f>"9781442680302"</f>
        <v>9781442680302</v>
      </c>
      <c r="E7985" t="s">
        <v>31435</v>
      </c>
      <c r="F7985" t="s">
        <v>31435</v>
      </c>
      <c r="G7985" s="1">
        <v>34136</v>
      </c>
      <c r="H7985">
        <v>2</v>
      </c>
      <c r="J7985" t="s">
        <v>38913</v>
      </c>
      <c r="K7985" t="s">
        <v>1464</v>
      </c>
      <c r="L7985" t="s">
        <v>38914</v>
      </c>
      <c r="M7985" t="s">
        <v>4189</v>
      </c>
      <c r="O7985" t="s">
        <v>26</v>
      </c>
      <c r="Q7985">
        <v>59.94</v>
      </c>
      <c r="R7985">
        <v>47.95</v>
      </c>
      <c r="S7985">
        <v>71.930000000000007</v>
      </c>
      <c r="T7985" t="s">
        <v>38915</v>
      </c>
    </row>
    <row r="7986" spans="1:20">
      <c r="A7986">
        <v>4671991</v>
      </c>
      <c r="B7986" t="s">
        <v>38916</v>
      </c>
      <c r="C7986" t="str">
        <f>"9780802068958"</f>
        <v>9780802068958</v>
      </c>
      <c r="D7986" t="str">
        <f>"9781442680319"</f>
        <v>9781442680319</v>
      </c>
      <c r="E7986" t="s">
        <v>31435</v>
      </c>
      <c r="F7986" t="s">
        <v>31435</v>
      </c>
      <c r="G7986" s="1">
        <v>33604</v>
      </c>
      <c r="H7986">
        <v>2</v>
      </c>
      <c r="J7986" t="s">
        <v>38917</v>
      </c>
      <c r="K7986" t="s">
        <v>416</v>
      </c>
      <c r="L7986" t="s">
        <v>38918</v>
      </c>
      <c r="M7986" t="s">
        <v>38919</v>
      </c>
      <c r="O7986" t="s">
        <v>26</v>
      </c>
      <c r="Q7986">
        <v>59.94</v>
      </c>
      <c r="R7986">
        <v>47.95</v>
      </c>
      <c r="S7986">
        <v>71.930000000000007</v>
      </c>
      <c r="T7986" t="s">
        <v>38920</v>
      </c>
    </row>
    <row r="7987" spans="1:20">
      <c r="A7987">
        <v>4671992</v>
      </c>
      <c r="B7987" t="s">
        <v>38921</v>
      </c>
      <c r="C7987" t="str">
        <f>"9780802071798"</f>
        <v>9780802071798</v>
      </c>
      <c r="D7987" t="str">
        <f>"9781442680326"</f>
        <v>9781442680326</v>
      </c>
      <c r="E7987" t="s">
        <v>31435</v>
      </c>
      <c r="F7987" t="s">
        <v>31435</v>
      </c>
      <c r="G7987" s="1">
        <v>35181</v>
      </c>
      <c r="H7987">
        <v>2</v>
      </c>
      <c r="I7987" t="s">
        <v>35029</v>
      </c>
      <c r="J7987" t="s">
        <v>37877</v>
      </c>
      <c r="K7987" t="s">
        <v>1859</v>
      </c>
      <c r="L7987" t="s">
        <v>38922</v>
      </c>
      <c r="M7987" t="s">
        <v>38923</v>
      </c>
      <c r="O7987" t="s">
        <v>26</v>
      </c>
      <c r="Q7987">
        <v>59.94</v>
      </c>
      <c r="R7987">
        <v>47.95</v>
      </c>
      <c r="S7987">
        <v>71.930000000000007</v>
      </c>
      <c r="T7987" t="s">
        <v>38924</v>
      </c>
    </row>
    <row r="7988" spans="1:20">
      <c r="A7988">
        <v>4671993</v>
      </c>
      <c r="B7988" t="s">
        <v>38925</v>
      </c>
      <c r="C7988" t="str">
        <f>"9780802093769"</f>
        <v>9780802093769</v>
      </c>
      <c r="D7988" t="str">
        <f>"9781442680333"</f>
        <v>9781442680333</v>
      </c>
      <c r="E7988" t="s">
        <v>31435</v>
      </c>
      <c r="F7988" t="s">
        <v>31435</v>
      </c>
      <c r="G7988" s="1">
        <v>38353</v>
      </c>
      <c r="J7988" t="s">
        <v>38926</v>
      </c>
      <c r="K7988" t="s">
        <v>257</v>
      </c>
      <c r="L7988" t="s">
        <v>38927</v>
      </c>
      <c r="M7988" t="s">
        <v>38928</v>
      </c>
      <c r="O7988" t="s">
        <v>26</v>
      </c>
      <c r="Q7988">
        <v>102.5</v>
      </c>
      <c r="R7988">
        <v>82</v>
      </c>
      <c r="S7988">
        <v>123</v>
      </c>
      <c r="T7988" t="s">
        <v>38929</v>
      </c>
    </row>
    <row r="7989" spans="1:20">
      <c r="A7989">
        <v>4671994</v>
      </c>
      <c r="B7989" t="s">
        <v>38930</v>
      </c>
      <c r="C7989" t="str">
        <f>"9780802082305"</f>
        <v>9780802082305</v>
      </c>
      <c r="D7989" t="str">
        <f>"9781442680340"</f>
        <v>9781442680340</v>
      </c>
      <c r="E7989" t="s">
        <v>31435</v>
      </c>
      <c r="F7989" t="s">
        <v>31435</v>
      </c>
      <c r="G7989" s="1">
        <v>36312</v>
      </c>
      <c r="I7989" t="s">
        <v>36953</v>
      </c>
      <c r="J7989" t="s">
        <v>38931</v>
      </c>
      <c r="K7989" t="s">
        <v>12816</v>
      </c>
      <c r="L7989" t="s">
        <v>38932</v>
      </c>
      <c r="M7989" t="s">
        <v>38933</v>
      </c>
      <c r="N7989" t="s">
        <v>38934</v>
      </c>
      <c r="O7989" t="s">
        <v>26</v>
      </c>
      <c r="Q7989">
        <v>78.75</v>
      </c>
      <c r="R7989">
        <v>63</v>
      </c>
      <c r="S7989">
        <v>94.5</v>
      </c>
      <c r="T7989" t="s">
        <v>38935</v>
      </c>
    </row>
    <row r="7990" spans="1:20">
      <c r="A7990">
        <v>4671995</v>
      </c>
      <c r="B7990" t="s">
        <v>38936</v>
      </c>
      <c r="C7990" t="str">
        <f>"9780802077462"</f>
        <v>9780802077462</v>
      </c>
      <c r="D7990" t="str">
        <f>"9781442680357"</f>
        <v>9781442680357</v>
      </c>
      <c r="E7990" t="s">
        <v>31435</v>
      </c>
      <c r="F7990" t="s">
        <v>31435</v>
      </c>
      <c r="G7990" s="1">
        <v>33970</v>
      </c>
      <c r="J7990" t="s">
        <v>29557</v>
      </c>
      <c r="K7990" t="s">
        <v>525</v>
      </c>
      <c r="L7990" t="s">
        <v>38937</v>
      </c>
      <c r="M7990">
        <v>347.11037692000002</v>
      </c>
      <c r="O7990" t="s">
        <v>26</v>
      </c>
      <c r="Q7990">
        <v>59.94</v>
      </c>
      <c r="R7990">
        <v>47.95</v>
      </c>
      <c r="S7990">
        <v>71.930000000000007</v>
      </c>
      <c r="T7990" t="s">
        <v>38938</v>
      </c>
    </row>
    <row r="7991" spans="1:20">
      <c r="A7991">
        <v>4671997</v>
      </c>
      <c r="B7991" t="s">
        <v>38939</v>
      </c>
      <c r="C7991" t="str">
        <f>"9780802007766"</f>
        <v>9780802007766</v>
      </c>
      <c r="D7991" t="str">
        <f>"9781442680371"</f>
        <v>9781442680371</v>
      </c>
      <c r="E7991" t="s">
        <v>31435</v>
      </c>
      <c r="F7991" t="s">
        <v>31435</v>
      </c>
      <c r="G7991" s="1">
        <v>35855</v>
      </c>
      <c r="J7991" t="s">
        <v>38940</v>
      </c>
      <c r="K7991" t="s">
        <v>416</v>
      </c>
      <c r="L7991" t="s">
        <v>38941</v>
      </c>
      <c r="M7991">
        <v>336.20097294999903</v>
      </c>
      <c r="N7991" t="s">
        <v>38942</v>
      </c>
      <c r="O7991" t="s">
        <v>26</v>
      </c>
      <c r="Q7991">
        <v>277.5</v>
      </c>
      <c r="R7991">
        <v>222</v>
      </c>
      <c r="S7991">
        <v>333</v>
      </c>
      <c r="T7991" t="s">
        <v>38943</v>
      </c>
    </row>
    <row r="7992" spans="1:20">
      <c r="A7992">
        <v>4671998</v>
      </c>
      <c r="B7992" t="s">
        <v>38944</v>
      </c>
      <c r="C7992" t="str">
        <f>"9780802074362"</f>
        <v>9780802074362</v>
      </c>
      <c r="D7992" t="str">
        <f>"9781442680388"</f>
        <v>9781442680388</v>
      </c>
      <c r="E7992" t="s">
        <v>31435</v>
      </c>
      <c r="F7992" t="s">
        <v>31435</v>
      </c>
      <c r="G7992" s="1">
        <v>35791</v>
      </c>
      <c r="H7992">
        <v>2</v>
      </c>
      <c r="I7992" t="s">
        <v>31443</v>
      </c>
      <c r="J7992" t="s">
        <v>38945</v>
      </c>
      <c r="K7992" t="s">
        <v>33366</v>
      </c>
      <c r="L7992" t="s">
        <v>38946</v>
      </c>
      <c r="M7992">
        <v>174.937199999999</v>
      </c>
      <c r="O7992" t="s">
        <v>26</v>
      </c>
      <c r="Q7992">
        <v>100</v>
      </c>
      <c r="R7992">
        <v>80</v>
      </c>
      <c r="S7992">
        <v>120</v>
      </c>
      <c r="T7992" t="s">
        <v>38947</v>
      </c>
    </row>
    <row r="7993" spans="1:20">
      <c r="A7993">
        <v>4671999</v>
      </c>
      <c r="B7993" t="s">
        <v>38948</v>
      </c>
      <c r="C7993" t="str">
        <f>"9780802080301"</f>
        <v>9780802080301</v>
      </c>
      <c r="D7993" t="str">
        <f>"9781442680395"</f>
        <v>9781442680395</v>
      </c>
      <c r="E7993" t="s">
        <v>31435</v>
      </c>
      <c r="F7993" t="s">
        <v>31435</v>
      </c>
      <c r="G7993" s="1">
        <v>36113</v>
      </c>
      <c r="J7993" t="s">
        <v>38949</v>
      </c>
      <c r="K7993" t="s">
        <v>2982</v>
      </c>
      <c r="L7993" t="s">
        <v>38950</v>
      </c>
      <c r="M7993" t="s">
        <v>38951</v>
      </c>
      <c r="O7993" t="s">
        <v>26</v>
      </c>
      <c r="Q7993">
        <v>107.5</v>
      </c>
      <c r="R7993">
        <v>86</v>
      </c>
      <c r="S7993">
        <v>129</v>
      </c>
      <c r="T7993" t="s">
        <v>38952</v>
      </c>
    </row>
    <row r="7994" spans="1:20">
      <c r="A7994">
        <v>4672000</v>
      </c>
      <c r="B7994" t="s">
        <v>38953</v>
      </c>
      <c r="C7994" t="str">
        <f>"9780802080707"</f>
        <v>9780802080707</v>
      </c>
      <c r="D7994" t="str">
        <f>"9781442680418"</f>
        <v>9781442680418</v>
      </c>
      <c r="E7994" t="s">
        <v>31435</v>
      </c>
      <c r="F7994" t="s">
        <v>31435</v>
      </c>
      <c r="G7994" s="1">
        <v>36512</v>
      </c>
      <c r="J7994" t="s">
        <v>38954</v>
      </c>
      <c r="K7994" t="s">
        <v>263</v>
      </c>
      <c r="L7994" t="s">
        <v>38955</v>
      </c>
      <c r="M7994" t="s">
        <v>20936</v>
      </c>
      <c r="N7994" t="s">
        <v>38956</v>
      </c>
      <c r="O7994" t="s">
        <v>26</v>
      </c>
      <c r="Q7994">
        <v>83.75</v>
      </c>
      <c r="R7994">
        <v>67</v>
      </c>
      <c r="S7994">
        <v>100.5</v>
      </c>
      <c r="T7994" t="s">
        <v>38957</v>
      </c>
    </row>
    <row r="7995" spans="1:20">
      <c r="A7995">
        <v>4672001</v>
      </c>
      <c r="B7995" t="s">
        <v>38958</v>
      </c>
      <c r="C7995" t="str">
        <f>"9780802067388"</f>
        <v>9780802067388</v>
      </c>
      <c r="D7995" t="str">
        <f>"9781442680425"</f>
        <v>9781442680425</v>
      </c>
      <c r="E7995" t="s">
        <v>31435</v>
      </c>
      <c r="F7995" t="s">
        <v>31435</v>
      </c>
      <c r="G7995" s="1">
        <v>32874</v>
      </c>
      <c r="H7995">
        <v>2</v>
      </c>
      <c r="J7995" t="s">
        <v>38959</v>
      </c>
      <c r="K7995" t="s">
        <v>305</v>
      </c>
      <c r="L7995" t="s">
        <v>38960</v>
      </c>
      <c r="M7995" t="s">
        <v>38961</v>
      </c>
      <c r="O7995" t="s">
        <v>26</v>
      </c>
      <c r="Q7995">
        <v>59.94</v>
      </c>
      <c r="R7995">
        <v>47.95</v>
      </c>
      <c r="S7995">
        <v>71.930000000000007</v>
      </c>
      <c r="T7995" t="s">
        <v>38962</v>
      </c>
    </row>
    <row r="7996" spans="1:20">
      <c r="A7996">
        <v>4672002</v>
      </c>
      <c r="B7996" t="s">
        <v>38963</v>
      </c>
      <c r="C7996" t="str">
        <f>"9780802083340"</f>
        <v>9780802083340</v>
      </c>
      <c r="D7996" t="str">
        <f>"9781442680432"</f>
        <v>9781442680432</v>
      </c>
      <c r="E7996" t="s">
        <v>31435</v>
      </c>
      <c r="F7996" t="s">
        <v>31435</v>
      </c>
      <c r="G7996" s="1">
        <v>36534</v>
      </c>
      <c r="I7996" t="s">
        <v>36249</v>
      </c>
      <c r="J7996" t="s">
        <v>38964</v>
      </c>
      <c r="K7996" t="s">
        <v>416</v>
      </c>
      <c r="L7996" t="s">
        <v>38965</v>
      </c>
      <c r="M7996" t="s">
        <v>38966</v>
      </c>
      <c r="N7996" t="s">
        <v>38967</v>
      </c>
      <c r="O7996" t="s">
        <v>26</v>
      </c>
      <c r="Q7996">
        <v>123.75</v>
      </c>
      <c r="R7996">
        <v>99</v>
      </c>
      <c r="S7996">
        <v>148.5</v>
      </c>
      <c r="T7996" t="s">
        <v>38968</v>
      </c>
    </row>
    <row r="7997" spans="1:20">
      <c r="A7997">
        <v>4672003</v>
      </c>
      <c r="B7997" t="s">
        <v>38969</v>
      </c>
      <c r="C7997" t="str">
        <f>"9780802036575"</f>
        <v>9780802036575</v>
      </c>
      <c r="D7997" t="str">
        <f>"9781442680449"</f>
        <v>9781442680449</v>
      </c>
      <c r="E7997" t="s">
        <v>31435</v>
      </c>
      <c r="F7997" t="s">
        <v>31435</v>
      </c>
      <c r="G7997" s="1">
        <v>37257</v>
      </c>
      <c r="J7997" t="s">
        <v>38970</v>
      </c>
      <c r="K7997" t="s">
        <v>467</v>
      </c>
      <c r="L7997" t="s">
        <v>38971</v>
      </c>
      <c r="M7997" t="s">
        <v>38972</v>
      </c>
      <c r="O7997" t="s">
        <v>26</v>
      </c>
      <c r="Q7997">
        <v>107.5</v>
      </c>
      <c r="R7997">
        <v>86</v>
      </c>
      <c r="S7997">
        <v>129</v>
      </c>
      <c r="T7997" t="s">
        <v>38973</v>
      </c>
    </row>
    <row r="7998" spans="1:20">
      <c r="A7998">
        <v>4672004</v>
      </c>
      <c r="B7998" t="s">
        <v>38974</v>
      </c>
      <c r="C7998" t="str">
        <f>"9780802039132"</f>
        <v>9780802039132</v>
      </c>
      <c r="D7998" t="str">
        <f>"9781442680456"</f>
        <v>9781442680456</v>
      </c>
      <c r="E7998" t="s">
        <v>31435</v>
      </c>
      <c r="F7998" t="s">
        <v>31435</v>
      </c>
      <c r="G7998" s="1">
        <v>38353</v>
      </c>
      <c r="H7998">
        <v>2</v>
      </c>
      <c r="J7998" t="s">
        <v>38975</v>
      </c>
      <c r="K7998" t="s">
        <v>263</v>
      </c>
      <c r="L7998" t="s">
        <v>38976</v>
      </c>
      <c r="M7998" t="s">
        <v>38977</v>
      </c>
      <c r="O7998" t="s">
        <v>26</v>
      </c>
      <c r="Q7998">
        <v>95</v>
      </c>
      <c r="R7998">
        <v>76</v>
      </c>
      <c r="S7998">
        <v>114</v>
      </c>
      <c r="T7998" t="s">
        <v>38978</v>
      </c>
    </row>
    <row r="7999" spans="1:20">
      <c r="A7999">
        <v>4672005</v>
      </c>
      <c r="B7999" t="s">
        <v>38979</v>
      </c>
      <c r="C7999" t="str">
        <f>"9780802048509"</f>
        <v>9780802048509</v>
      </c>
      <c r="D7999" t="str">
        <f>"9781442680463"</f>
        <v>9781442680463</v>
      </c>
      <c r="E7999" t="s">
        <v>31435</v>
      </c>
      <c r="F7999" t="s">
        <v>31435</v>
      </c>
      <c r="G7999" s="1">
        <v>36892</v>
      </c>
      <c r="J7999" t="s">
        <v>35204</v>
      </c>
      <c r="K7999" t="s">
        <v>291</v>
      </c>
      <c r="L7999" t="s">
        <v>38980</v>
      </c>
      <c r="M7999">
        <v>942.01</v>
      </c>
      <c r="O7999" t="s">
        <v>26</v>
      </c>
      <c r="Q7999">
        <v>135</v>
      </c>
      <c r="R7999">
        <v>108</v>
      </c>
      <c r="S7999">
        <v>162</v>
      </c>
      <c r="T7999" t="s">
        <v>38981</v>
      </c>
    </row>
    <row r="8000" spans="1:20">
      <c r="A8000">
        <v>4672007</v>
      </c>
      <c r="B8000" t="s">
        <v>38982</v>
      </c>
      <c r="C8000" t="str">
        <f>"9781442613096"</f>
        <v>9781442613096</v>
      </c>
      <c r="D8000" t="str">
        <f>"9781442680487"</f>
        <v>9781442680487</v>
      </c>
      <c r="E8000" t="s">
        <v>31435</v>
      </c>
      <c r="F8000" t="s">
        <v>31435</v>
      </c>
      <c r="G8000" s="1">
        <v>35916</v>
      </c>
      <c r="I8000" t="s">
        <v>31443</v>
      </c>
      <c r="J8000" t="s">
        <v>38983</v>
      </c>
      <c r="K8000" t="s">
        <v>38984</v>
      </c>
      <c r="L8000" t="s">
        <v>38985</v>
      </c>
      <c r="M8000" t="s">
        <v>38986</v>
      </c>
      <c r="O8000" t="s">
        <v>26</v>
      </c>
      <c r="Q8000">
        <v>143.75</v>
      </c>
      <c r="R8000">
        <v>115</v>
      </c>
      <c r="S8000">
        <v>172.5</v>
      </c>
      <c r="T8000" t="s">
        <v>38987</v>
      </c>
    </row>
    <row r="8001" spans="1:20">
      <c r="A8001">
        <v>4672008</v>
      </c>
      <c r="B8001" t="s">
        <v>38988</v>
      </c>
      <c r="C8001" t="str">
        <f>"9780802082039"</f>
        <v>9780802082039</v>
      </c>
      <c r="D8001" t="str">
        <f>"9781442680494"</f>
        <v>9781442680494</v>
      </c>
      <c r="E8001" t="s">
        <v>31435</v>
      </c>
      <c r="F8001" t="s">
        <v>31435</v>
      </c>
      <c r="G8001" s="1">
        <v>35878</v>
      </c>
      <c r="J8001" t="s">
        <v>38989</v>
      </c>
      <c r="K8001" t="s">
        <v>305</v>
      </c>
      <c r="L8001" t="s">
        <v>38990</v>
      </c>
      <c r="M8001">
        <v>658.40200000000004</v>
      </c>
      <c r="O8001" t="s">
        <v>26</v>
      </c>
      <c r="Q8001">
        <v>59.94</v>
      </c>
      <c r="R8001">
        <v>47.95</v>
      </c>
      <c r="S8001">
        <v>71.930000000000007</v>
      </c>
      <c r="T8001" t="s">
        <v>38991</v>
      </c>
    </row>
    <row r="8002" spans="1:20">
      <c r="A8002">
        <v>4672009</v>
      </c>
      <c r="B8002" t="s">
        <v>38992</v>
      </c>
      <c r="C8002" t="str">
        <f>"9780802035370"</f>
        <v>9780802035370</v>
      </c>
      <c r="D8002" t="str">
        <f>"9781442680500"</f>
        <v>9781442680500</v>
      </c>
      <c r="E8002" t="s">
        <v>31435</v>
      </c>
      <c r="F8002" t="s">
        <v>31435</v>
      </c>
      <c r="G8002" s="1">
        <v>36892</v>
      </c>
      <c r="J8002" t="s">
        <v>38993</v>
      </c>
      <c r="K8002" t="s">
        <v>1464</v>
      </c>
      <c r="L8002" t="s">
        <v>38994</v>
      </c>
      <c r="M8002" t="s">
        <v>38995</v>
      </c>
      <c r="O8002" t="s">
        <v>26</v>
      </c>
      <c r="Q8002">
        <v>147.5</v>
      </c>
      <c r="R8002">
        <v>118</v>
      </c>
      <c r="S8002">
        <v>177</v>
      </c>
      <c r="T8002" t="s">
        <v>38996</v>
      </c>
    </row>
    <row r="8003" spans="1:20">
      <c r="A8003">
        <v>4672010</v>
      </c>
      <c r="B8003" t="s">
        <v>38997</v>
      </c>
      <c r="C8003" t="str">
        <f>"9780802093936"</f>
        <v>9780802093936</v>
      </c>
      <c r="D8003" t="str">
        <f>"9781442680517"</f>
        <v>9781442680517</v>
      </c>
      <c r="E8003" t="s">
        <v>31435</v>
      </c>
      <c r="F8003" t="s">
        <v>31435</v>
      </c>
      <c r="G8003" s="1">
        <v>41773</v>
      </c>
      <c r="J8003" t="s">
        <v>38998</v>
      </c>
      <c r="K8003" t="s">
        <v>30010</v>
      </c>
      <c r="L8003" t="s">
        <v>38999</v>
      </c>
      <c r="M8003">
        <v>799.10919999999999</v>
      </c>
      <c r="O8003" t="s">
        <v>26</v>
      </c>
      <c r="Q8003">
        <v>59.94</v>
      </c>
      <c r="R8003">
        <v>47.95</v>
      </c>
      <c r="S8003">
        <v>71.930000000000007</v>
      </c>
      <c r="T8003" t="s">
        <v>39000</v>
      </c>
    </row>
    <row r="8004" spans="1:20">
      <c r="A8004">
        <v>4672011</v>
      </c>
      <c r="B8004" t="s">
        <v>39001</v>
      </c>
      <c r="C8004" t="str">
        <f>"9780802078292"</f>
        <v>9780802078292</v>
      </c>
      <c r="D8004" t="str">
        <f>"9781442680524"</f>
        <v>9781442680524</v>
      </c>
      <c r="E8004" t="s">
        <v>31435</v>
      </c>
      <c r="F8004" t="s">
        <v>31435</v>
      </c>
      <c r="G8004" s="1">
        <v>35129</v>
      </c>
      <c r="H8004">
        <v>2</v>
      </c>
      <c r="J8004" t="s">
        <v>14164</v>
      </c>
      <c r="K8004" t="s">
        <v>11807</v>
      </c>
      <c r="L8004" t="s">
        <v>39002</v>
      </c>
      <c r="M8004" t="s">
        <v>39003</v>
      </c>
      <c r="O8004" t="s">
        <v>26</v>
      </c>
      <c r="Q8004">
        <v>59.94</v>
      </c>
      <c r="R8004">
        <v>47.95</v>
      </c>
      <c r="S8004">
        <v>71.930000000000007</v>
      </c>
      <c r="T8004" t="s">
        <v>39004</v>
      </c>
    </row>
    <row r="8005" spans="1:20">
      <c r="A8005">
        <v>4672013</v>
      </c>
      <c r="B8005" t="s">
        <v>39005</v>
      </c>
      <c r="C8005" t="str">
        <f>"9780802080547"</f>
        <v>9780802080547</v>
      </c>
      <c r="D8005" t="str">
        <f>"9781442680555"</f>
        <v>9781442680555</v>
      </c>
      <c r="E8005" t="s">
        <v>31435</v>
      </c>
      <c r="F8005" t="s">
        <v>31435</v>
      </c>
      <c r="G8005" s="1">
        <v>35833</v>
      </c>
      <c r="I8005" t="s">
        <v>34303</v>
      </c>
      <c r="J8005" t="s">
        <v>39006</v>
      </c>
      <c r="K8005" t="s">
        <v>291</v>
      </c>
      <c r="L8005" t="s">
        <v>39007</v>
      </c>
      <c r="M8005" t="s">
        <v>39008</v>
      </c>
      <c r="N8005" t="s">
        <v>39009</v>
      </c>
      <c r="O8005" t="s">
        <v>26</v>
      </c>
      <c r="Q8005">
        <v>62.44</v>
      </c>
      <c r="R8005">
        <v>49.95</v>
      </c>
      <c r="S8005">
        <v>74.930000000000007</v>
      </c>
      <c r="T8005" t="s">
        <v>39010</v>
      </c>
    </row>
    <row r="8006" spans="1:20">
      <c r="A8006">
        <v>4672014</v>
      </c>
      <c r="B8006" t="s">
        <v>39011</v>
      </c>
      <c r="C8006" t="str">
        <f>"9780802078148"</f>
        <v>9780802078148</v>
      </c>
      <c r="D8006" t="str">
        <f>"9781442680562"</f>
        <v>9781442680562</v>
      </c>
      <c r="E8006" t="s">
        <v>31435</v>
      </c>
      <c r="F8006" t="s">
        <v>31435</v>
      </c>
      <c r="G8006" s="1">
        <v>35065</v>
      </c>
      <c r="H8006">
        <v>2</v>
      </c>
      <c r="K8006" t="s">
        <v>1464</v>
      </c>
      <c r="L8006" t="s">
        <v>39012</v>
      </c>
      <c r="M8006" t="s">
        <v>39013</v>
      </c>
      <c r="O8006" t="s">
        <v>26</v>
      </c>
      <c r="Q8006">
        <v>121.25</v>
      </c>
      <c r="R8006">
        <v>97</v>
      </c>
      <c r="S8006">
        <v>145.5</v>
      </c>
      <c r="T8006" t="s">
        <v>39014</v>
      </c>
    </row>
    <row r="8007" spans="1:20">
      <c r="A8007">
        <v>4672015</v>
      </c>
      <c r="B8007" t="s">
        <v>39015</v>
      </c>
      <c r="C8007" t="str">
        <f>"9780802084545"</f>
        <v>9780802084545</v>
      </c>
      <c r="D8007" t="str">
        <f>"9781442680579"</f>
        <v>9781442680579</v>
      </c>
      <c r="E8007" t="s">
        <v>31435</v>
      </c>
      <c r="F8007" t="s">
        <v>31435</v>
      </c>
      <c r="G8007" s="1">
        <v>41773</v>
      </c>
      <c r="I8007" t="s">
        <v>34958</v>
      </c>
      <c r="J8007" t="s">
        <v>39016</v>
      </c>
      <c r="K8007" t="s">
        <v>467</v>
      </c>
      <c r="L8007" t="s">
        <v>39017</v>
      </c>
      <c r="M8007">
        <v>324</v>
      </c>
      <c r="O8007" t="s">
        <v>26</v>
      </c>
      <c r="Q8007">
        <v>59.94</v>
      </c>
      <c r="R8007">
        <v>47.95</v>
      </c>
      <c r="S8007">
        <v>71.930000000000007</v>
      </c>
      <c r="T8007" t="s">
        <v>39018</v>
      </c>
    </row>
    <row r="8008" spans="1:20">
      <c r="A8008">
        <v>4672017</v>
      </c>
      <c r="B8008" t="s">
        <v>39019</v>
      </c>
      <c r="C8008" t="str">
        <f>"9780802087881"</f>
        <v>9780802087881</v>
      </c>
      <c r="D8008" t="str">
        <f>"9781442680609"</f>
        <v>9781442680609</v>
      </c>
      <c r="E8008" t="s">
        <v>31435</v>
      </c>
      <c r="F8008" t="s">
        <v>31435</v>
      </c>
      <c r="G8008" s="1">
        <v>37622</v>
      </c>
      <c r="H8008">
        <v>2</v>
      </c>
      <c r="J8008" t="s">
        <v>37591</v>
      </c>
      <c r="K8008" t="s">
        <v>467</v>
      </c>
      <c r="L8008" t="s">
        <v>39020</v>
      </c>
      <c r="M8008" t="s">
        <v>15067</v>
      </c>
      <c r="O8008" t="s">
        <v>26</v>
      </c>
      <c r="Q8008">
        <v>102.5</v>
      </c>
      <c r="R8008">
        <v>82</v>
      </c>
      <c r="S8008">
        <v>123</v>
      </c>
      <c r="T8008" t="s">
        <v>39021</v>
      </c>
    </row>
    <row r="8009" spans="1:20">
      <c r="A8009">
        <v>4672018</v>
      </c>
      <c r="B8009" t="s">
        <v>39022</v>
      </c>
      <c r="C8009" t="str">
        <f>"9780802088154"</f>
        <v>9780802088154</v>
      </c>
      <c r="D8009" t="str">
        <f>"9781442680616"</f>
        <v>9781442680616</v>
      </c>
      <c r="E8009" t="s">
        <v>31435</v>
      </c>
      <c r="F8009" t="s">
        <v>31435</v>
      </c>
      <c r="G8009" s="1">
        <v>41773</v>
      </c>
      <c r="H8009">
        <v>2</v>
      </c>
      <c r="J8009" t="s">
        <v>39023</v>
      </c>
      <c r="K8009" t="s">
        <v>291</v>
      </c>
      <c r="L8009" t="s">
        <v>39024</v>
      </c>
      <c r="M8009">
        <v>971.06439999999998</v>
      </c>
      <c r="O8009" t="s">
        <v>26</v>
      </c>
      <c r="Q8009">
        <v>117.5</v>
      </c>
      <c r="R8009">
        <v>94</v>
      </c>
      <c r="S8009">
        <v>141</v>
      </c>
      <c r="T8009" t="s">
        <v>39025</v>
      </c>
    </row>
    <row r="8010" spans="1:20">
      <c r="A8010">
        <v>4672020</v>
      </c>
      <c r="B8010" t="s">
        <v>39026</v>
      </c>
      <c r="C8010" t="str">
        <f>"9780802077424"</f>
        <v>9780802077424</v>
      </c>
      <c r="D8010" t="str">
        <f>"9781442680630"</f>
        <v>9781442680630</v>
      </c>
      <c r="E8010" t="s">
        <v>31435</v>
      </c>
      <c r="F8010" t="s">
        <v>31435</v>
      </c>
      <c r="G8010" s="1">
        <v>34335</v>
      </c>
      <c r="I8010" t="s">
        <v>31443</v>
      </c>
      <c r="J8010" t="s">
        <v>39027</v>
      </c>
      <c r="K8010" t="s">
        <v>1550</v>
      </c>
      <c r="L8010" t="s">
        <v>39028</v>
      </c>
      <c r="M8010" t="s">
        <v>39029</v>
      </c>
      <c r="O8010" t="s">
        <v>26</v>
      </c>
      <c r="Q8010">
        <v>59.94</v>
      </c>
      <c r="R8010">
        <v>47.95</v>
      </c>
      <c r="S8010">
        <v>71.930000000000007</v>
      </c>
      <c r="T8010" t="s">
        <v>39030</v>
      </c>
    </row>
    <row r="8011" spans="1:20">
      <c r="A8011">
        <v>4672021</v>
      </c>
      <c r="B8011" t="s">
        <v>39031</v>
      </c>
      <c r="C8011" t="str">
        <f>"9780802088079"</f>
        <v>9780802088079</v>
      </c>
      <c r="D8011" t="str">
        <f>"9781442680647"</f>
        <v>9781442680647</v>
      </c>
      <c r="E8011" t="s">
        <v>31435</v>
      </c>
      <c r="F8011" t="s">
        <v>31435</v>
      </c>
      <c r="G8011" s="1">
        <v>41773</v>
      </c>
      <c r="H8011">
        <v>2</v>
      </c>
      <c r="I8011" t="s">
        <v>34797</v>
      </c>
      <c r="J8011" t="s">
        <v>39032</v>
      </c>
      <c r="K8011" t="s">
        <v>1892</v>
      </c>
      <c r="L8011" t="s">
        <v>39033</v>
      </c>
      <c r="M8011">
        <v>271.10443320000002</v>
      </c>
      <c r="O8011" t="s">
        <v>26</v>
      </c>
      <c r="Q8011">
        <v>143.75</v>
      </c>
      <c r="R8011">
        <v>115</v>
      </c>
      <c r="S8011">
        <v>172.5</v>
      </c>
      <c r="T8011" t="s">
        <v>39034</v>
      </c>
    </row>
    <row r="8012" spans="1:20">
      <c r="A8012">
        <v>4672023</v>
      </c>
      <c r="B8012" t="s">
        <v>39035</v>
      </c>
      <c r="C8012" t="str">
        <f>"9780802036520"</f>
        <v>9780802036520</v>
      </c>
      <c r="D8012" t="str">
        <f>"9781442680661"</f>
        <v>9781442680661</v>
      </c>
      <c r="E8012" t="s">
        <v>31435</v>
      </c>
      <c r="F8012" t="s">
        <v>31435</v>
      </c>
      <c r="G8012" s="1">
        <v>37257</v>
      </c>
      <c r="I8012" t="s">
        <v>33775</v>
      </c>
      <c r="J8012" t="s">
        <v>39036</v>
      </c>
      <c r="K8012" t="s">
        <v>263</v>
      </c>
      <c r="L8012" t="s">
        <v>39037</v>
      </c>
      <c r="M8012" t="s">
        <v>39038</v>
      </c>
      <c r="O8012" t="s">
        <v>26</v>
      </c>
      <c r="Q8012">
        <v>91.25</v>
      </c>
      <c r="R8012">
        <v>73</v>
      </c>
      <c r="S8012">
        <v>109.5</v>
      </c>
      <c r="T8012" t="s">
        <v>39039</v>
      </c>
    </row>
    <row r="8013" spans="1:20">
      <c r="A8013">
        <v>4672024</v>
      </c>
      <c r="B8013" t="s">
        <v>39040</v>
      </c>
      <c r="C8013" t="str">
        <f>"9781442631465"</f>
        <v>9781442631465</v>
      </c>
      <c r="D8013" t="str">
        <f>"9781442680784"</f>
        <v>9781442680784</v>
      </c>
      <c r="E8013" t="s">
        <v>31435</v>
      </c>
      <c r="F8013" t="s">
        <v>31435</v>
      </c>
      <c r="G8013" s="1">
        <v>31048</v>
      </c>
      <c r="I8013" t="s">
        <v>35648</v>
      </c>
      <c r="J8013" t="s">
        <v>35668</v>
      </c>
      <c r="K8013" t="s">
        <v>291</v>
      </c>
      <c r="L8013" t="s">
        <v>39041</v>
      </c>
      <c r="M8013">
        <v>944.04</v>
      </c>
      <c r="O8013" t="s">
        <v>26</v>
      </c>
      <c r="Q8013">
        <v>143.75</v>
      </c>
      <c r="R8013">
        <v>115</v>
      </c>
      <c r="S8013">
        <v>172.5</v>
      </c>
      <c r="T8013" t="s">
        <v>39042</v>
      </c>
    </row>
    <row r="8014" spans="1:20">
      <c r="A8014">
        <v>4672025</v>
      </c>
      <c r="B8014" t="s">
        <v>39043</v>
      </c>
      <c r="C8014" t="str">
        <f>"9781442631502"</f>
        <v>9781442631502</v>
      </c>
      <c r="D8014" t="str">
        <f>"9781442680807"</f>
        <v>9781442680807</v>
      </c>
      <c r="E8014" t="s">
        <v>31435</v>
      </c>
      <c r="F8014" t="s">
        <v>31435</v>
      </c>
      <c r="G8014" s="1">
        <v>31413</v>
      </c>
      <c r="I8014" t="s">
        <v>35648</v>
      </c>
      <c r="J8014" t="s">
        <v>39044</v>
      </c>
      <c r="K8014" t="s">
        <v>1859</v>
      </c>
      <c r="L8014" t="s">
        <v>39045</v>
      </c>
      <c r="M8014">
        <v>100</v>
      </c>
      <c r="O8014" t="s">
        <v>26</v>
      </c>
      <c r="Q8014">
        <v>358.75</v>
      </c>
      <c r="R8014">
        <v>287</v>
      </c>
      <c r="S8014">
        <v>430.5</v>
      </c>
      <c r="T8014" t="s">
        <v>39046</v>
      </c>
    </row>
    <row r="8015" spans="1:20">
      <c r="A8015">
        <v>4672026</v>
      </c>
      <c r="B8015" t="s">
        <v>39047</v>
      </c>
      <c r="C8015" t="str">
        <f>"9781442631496"</f>
        <v>9781442631496</v>
      </c>
      <c r="D8015" t="str">
        <f>"9781442680814"</f>
        <v>9781442680814</v>
      </c>
      <c r="E8015" t="s">
        <v>31435</v>
      </c>
      <c r="F8015" t="s">
        <v>31435</v>
      </c>
      <c r="G8015" s="1">
        <v>32143</v>
      </c>
      <c r="I8015" t="s">
        <v>35648</v>
      </c>
      <c r="J8015" t="s">
        <v>39048</v>
      </c>
      <c r="K8015" t="s">
        <v>1859</v>
      </c>
      <c r="L8015" t="s">
        <v>39049</v>
      </c>
      <c r="M8015">
        <v>192</v>
      </c>
      <c r="O8015" t="s">
        <v>26</v>
      </c>
      <c r="Q8015">
        <v>250</v>
      </c>
      <c r="R8015">
        <v>200</v>
      </c>
      <c r="S8015">
        <v>300</v>
      </c>
      <c r="T8015" t="s">
        <v>39050</v>
      </c>
    </row>
    <row r="8016" spans="1:20">
      <c r="A8016">
        <v>4672027</v>
      </c>
      <c r="B8016" t="s">
        <v>39051</v>
      </c>
      <c r="C8016" t="str">
        <f>"9780802026934"</f>
        <v>9780802026934</v>
      </c>
      <c r="D8016" t="str">
        <f>"9781442680821"</f>
        <v>9781442680821</v>
      </c>
      <c r="E8016" t="s">
        <v>31435</v>
      </c>
      <c r="F8016" t="s">
        <v>31435</v>
      </c>
      <c r="G8016" s="1">
        <v>32143</v>
      </c>
      <c r="I8016" t="s">
        <v>35648</v>
      </c>
      <c r="J8016" t="s">
        <v>39052</v>
      </c>
      <c r="K8016" t="s">
        <v>291</v>
      </c>
      <c r="L8016" t="s">
        <v>39053</v>
      </c>
      <c r="M8016">
        <v>941.08100000000002</v>
      </c>
      <c r="O8016" t="s">
        <v>26</v>
      </c>
      <c r="Q8016">
        <v>250</v>
      </c>
      <c r="R8016">
        <v>200</v>
      </c>
      <c r="S8016">
        <v>300</v>
      </c>
      <c r="T8016" t="s">
        <v>39054</v>
      </c>
    </row>
    <row r="8017" spans="1:20">
      <c r="A8017">
        <v>4672028</v>
      </c>
      <c r="B8017" t="s">
        <v>39055</v>
      </c>
      <c r="C8017" t="str">
        <f>"9780802027177"</f>
        <v>9780802027177</v>
      </c>
      <c r="D8017" t="str">
        <f>"9781442680838"</f>
        <v>9781442680838</v>
      </c>
      <c r="E8017" t="s">
        <v>31435</v>
      </c>
      <c r="F8017" t="s">
        <v>31435</v>
      </c>
      <c r="G8017" s="1">
        <v>33025</v>
      </c>
      <c r="I8017" t="s">
        <v>35648</v>
      </c>
      <c r="J8017" t="s">
        <v>39056</v>
      </c>
      <c r="K8017" t="s">
        <v>1859</v>
      </c>
      <c r="L8017" t="s">
        <v>39057</v>
      </c>
      <c r="M8017">
        <v>192</v>
      </c>
      <c r="O8017" t="s">
        <v>26</v>
      </c>
      <c r="Q8017">
        <v>170</v>
      </c>
      <c r="R8017">
        <v>136</v>
      </c>
      <c r="S8017">
        <v>204</v>
      </c>
      <c r="T8017" t="s">
        <v>39058</v>
      </c>
    </row>
    <row r="8018" spans="1:20">
      <c r="A8018">
        <v>4672029</v>
      </c>
      <c r="B8018" t="s">
        <v>39059</v>
      </c>
      <c r="C8018" t="str">
        <f>"9780802027689"</f>
        <v>9780802027689</v>
      </c>
      <c r="D8018" t="str">
        <f>"9781442680852"</f>
        <v>9781442680852</v>
      </c>
      <c r="E8018" t="s">
        <v>31435</v>
      </c>
      <c r="F8018" t="s">
        <v>31435</v>
      </c>
      <c r="G8018" s="1">
        <v>33239</v>
      </c>
      <c r="I8018" t="s">
        <v>35648</v>
      </c>
      <c r="J8018" t="s">
        <v>39060</v>
      </c>
      <c r="K8018" t="s">
        <v>1859</v>
      </c>
      <c r="L8018" t="s">
        <v>39061</v>
      </c>
      <c r="M8018">
        <v>192</v>
      </c>
      <c r="O8018" t="s">
        <v>26</v>
      </c>
      <c r="Q8018">
        <v>206.25</v>
      </c>
      <c r="R8018">
        <v>165</v>
      </c>
      <c r="S8018">
        <v>247.5</v>
      </c>
      <c r="T8018" t="s">
        <v>39062</v>
      </c>
    </row>
    <row r="8019" spans="1:20">
      <c r="A8019">
        <v>4672030</v>
      </c>
      <c r="B8019" t="s">
        <v>39063</v>
      </c>
      <c r="C8019" t="str">
        <f>"9780802079053"</f>
        <v>9780802079053</v>
      </c>
      <c r="D8019" t="str">
        <f>"9781442680869"</f>
        <v>9781442680869</v>
      </c>
      <c r="E8019" t="s">
        <v>31435</v>
      </c>
      <c r="F8019" t="s">
        <v>31435</v>
      </c>
      <c r="G8019" s="1">
        <v>36251</v>
      </c>
      <c r="J8019" t="s">
        <v>39064</v>
      </c>
      <c r="K8019" t="s">
        <v>263</v>
      </c>
      <c r="L8019" t="s">
        <v>39065</v>
      </c>
      <c r="M8019">
        <v>307.14</v>
      </c>
      <c r="N8019" t="s">
        <v>39066</v>
      </c>
      <c r="O8019" t="s">
        <v>26</v>
      </c>
      <c r="Q8019">
        <v>78.75</v>
      </c>
      <c r="R8019">
        <v>63</v>
      </c>
      <c r="S8019">
        <v>94.5</v>
      </c>
      <c r="T8019" t="s">
        <v>39067</v>
      </c>
    </row>
    <row r="8020" spans="1:20">
      <c r="A8020">
        <v>4672031</v>
      </c>
      <c r="B8020" t="s">
        <v>39068</v>
      </c>
      <c r="C8020" t="str">
        <f>"9781442626393"</f>
        <v>9781442626393</v>
      </c>
      <c r="D8020" t="str">
        <f>"9781442680876"</f>
        <v>9781442680876</v>
      </c>
      <c r="E8020" t="s">
        <v>31435</v>
      </c>
      <c r="F8020" t="s">
        <v>31435</v>
      </c>
      <c r="G8020" s="1">
        <v>41773</v>
      </c>
      <c r="J8020" t="s">
        <v>3963</v>
      </c>
      <c r="K8020" t="s">
        <v>1464</v>
      </c>
      <c r="M8020">
        <v>811.40899999999999</v>
      </c>
      <c r="O8020" t="s">
        <v>26</v>
      </c>
      <c r="Q8020">
        <v>117.5</v>
      </c>
      <c r="R8020">
        <v>94</v>
      </c>
      <c r="S8020">
        <v>141</v>
      </c>
      <c r="T8020" t="s">
        <v>39069</v>
      </c>
    </row>
    <row r="8021" spans="1:20">
      <c r="A8021">
        <v>4672032</v>
      </c>
      <c r="B8021" t="s">
        <v>39070</v>
      </c>
      <c r="C8021" t="str">
        <f>"9780802085382"</f>
        <v>9780802085382</v>
      </c>
      <c r="D8021" t="str">
        <f>"9781442680883"</f>
        <v>9781442680883</v>
      </c>
      <c r="E8021" t="s">
        <v>31435</v>
      </c>
      <c r="F8021" t="s">
        <v>31435</v>
      </c>
      <c r="G8021" s="1">
        <v>37802</v>
      </c>
      <c r="J8021" t="s">
        <v>39071</v>
      </c>
      <c r="K8021" t="s">
        <v>291</v>
      </c>
      <c r="L8021" t="s">
        <v>39072</v>
      </c>
      <c r="M8021" t="s">
        <v>21991</v>
      </c>
      <c r="N8021" t="s">
        <v>39073</v>
      </c>
      <c r="O8021" t="s">
        <v>26</v>
      </c>
      <c r="Q8021">
        <v>115</v>
      </c>
      <c r="R8021">
        <v>92</v>
      </c>
      <c r="S8021">
        <v>138</v>
      </c>
      <c r="T8021" t="s">
        <v>39074</v>
      </c>
    </row>
    <row r="8022" spans="1:20">
      <c r="A8022">
        <v>4672034</v>
      </c>
      <c r="B8022" t="s">
        <v>39075</v>
      </c>
      <c r="C8022" t="str">
        <f>"9780802081339"</f>
        <v>9780802081339</v>
      </c>
      <c r="D8022" t="str">
        <f>"9781442680906"</f>
        <v>9781442680906</v>
      </c>
      <c r="E8022" t="s">
        <v>31435</v>
      </c>
      <c r="F8022" t="s">
        <v>31435</v>
      </c>
      <c r="G8022" s="1">
        <v>37257</v>
      </c>
      <c r="J8022" t="s">
        <v>39076</v>
      </c>
      <c r="K8022" t="s">
        <v>291</v>
      </c>
      <c r="L8022" t="s">
        <v>39077</v>
      </c>
      <c r="M8022">
        <v>971</v>
      </c>
      <c r="O8022" t="s">
        <v>26</v>
      </c>
      <c r="Q8022">
        <v>115</v>
      </c>
      <c r="R8022">
        <v>92</v>
      </c>
      <c r="S8022">
        <v>138</v>
      </c>
      <c r="T8022" t="s">
        <v>39078</v>
      </c>
    </row>
    <row r="8023" spans="1:20">
      <c r="A8023">
        <v>4672035</v>
      </c>
      <c r="B8023" t="s">
        <v>39079</v>
      </c>
      <c r="C8023" t="str">
        <f>"9780802088420"</f>
        <v>9780802088420</v>
      </c>
      <c r="D8023" t="str">
        <f>"9781442680913"</f>
        <v>9781442680913</v>
      </c>
      <c r="E8023" t="s">
        <v>31435</v>
      </c>
      <c r="F8023" t="s">
        <v>31435</v>
      </c>
      <c r="G8023" s="1">
        <v>41773</v>
      </c>
      <c r="I8023" t="s">
        <v>33881</v>
      </c>
      <c r="J8023" t="s">
        <v>39080</v>
      </c>
      <c r="K8023" t="s">
        <v>525</v>
      </c>
      <c r="L8023" t="s">
        <v>39081</v>
      </c>
      <c r="M8023">
        <v>347.71303533999998</v>
      </c>
      <c r="O8023" t="s">
        <v>26</v>
      </c>
      <c r="Q8023">
        <v>140</v>
      </c>
      <c r="R8023">
        <v>112</v>
      </c>
      <c r="S8023">
        <v>168</v>
      </c>
      <c r="T8023" t="s">
        <v>39082</v>
      </c>
    </row>
    <row r="8024" spans="1:20">
      <c r="A8024">
        <v>4672036</v>
      </c>
      <c r="B8024" t="s">
        <v>39083</v>
      </c>
      <c r="C8024" t="str">
        <f>"9780802026040"</f>
        <v>9780802026040</v>
      </c>
      <c r="D8024" t="str">
        <f>"9781442680944"</f>
        <v>9781442680944</v>
      </c>
      <c r="E8024" t="s">
        <v>31435</v>
      </c>
      <c r="F8024" t="s">
        <v>31435</v>
      </c>
      <c r="G8024" s="1">
        <v>32519</v>
      </c>
      <c r="I8024" t="s">
        <v>34561</v>
      </c>
      <c r="J8024" t="s">
        <v>39084</v>
      </c>
      <c r="K8024" t="s">
        <v>8974</v>
      </c>
      <c r="L8024" t="s">
        <v>39085</v>
      </c>
      <c r="M8024">
        <v>199.491999999999</v>
      </c>
      <c r="O8024" t="s">
        <v>26</v>
      </c>
      <c r="Q8024">
        <v>170</v>
      </c>
      <c r="R8024">
        <v>136</v>
      </c>
      <c r="S8024">
        <v>204</v>
      </c>
      <c r="T8024" t="s">
        <v>39086</v>
      </c>
    </row>
    <row r="8025" spans="1:20">
      <c r="A8025">
        <v>4672039</v>
      </c>
      <c r="B8025" t="s">
        <v>39087</v>
      </c>
      <c r="C8025" t="str">
        <f>"9780802007735"</f>
        <v>9780802007735</v>
      </c>
      <c r="D8025" t="str">
        <f>"9781442681040"</f>
        <v>9781442681040</v>
      </c>
      <c r="E8025" t="s">
        <v>31435</v>
      </c>
      <c r="F8025" t="s">
        <v>31435</v>
      </c>
      <c r="G8025" s="1">
        <v>35065</v>
      </c>
      <c r="I8025" t="s">
        <v>34756</v>
      </c>
      <c r="J8025" t="s">
        <v>39088</v>
      </c>
      <c r="K8025" t="s">
        <v>1464</v>
      </c>
      <c r="L8025" t="s">
        <v>39089</v>
      </c>
      <c r="M8025" t="s">
        <v>35157</v>
      </c>
      <c r="O8025" t="s">
        <v>26</v>
      </c>
      <c r="Q8025">
        <v>135</v>
      </c>
      <c r="R8025">
        <v>108</v>
      </c>
      <c r="S8025">
        <v>162</v>
      </c>
      <c r="T8025" t="s">
        <v>39090</v>
      </c>
    </row>
    <row r="8026" spans="1:20">
      <c r="A8026">
        <v>4672040</v>
      </c>
      <c r="B8026" t="s">
        <v>39091</v>
      </c>
      <c r="C8026" t="str">
        <f>"9780802007728"</f>
        <v>9780802007728</v>
      </c>
      <c r="D8026" t="str">
        <f>"9781442681057"</f>
        <v>9781442681057</v>
      </c>
      <c r="E8026" t="s">
        <v>31435</v>
      </c>
      <c r="F8026" t="s">
        <v>31435</v>
      </c>
      <c r="G8026" s="1">
        <v>35065</v>
      </c>
      <c r="I8026" t="s">
        <v>34756</v>
      </c>
      <c r="J8026" t="s">
        <v>39092</v>
      </c>
      <c r="K8026" t="s">
        <v>1464</v>
      </c>
      <c r="L8026" t="s">
        <v>39093</v>
      </c>
      <c r="M8026">
        <v>801.95092</v>
      </c>
      <c r="O8026" t="s">
        <v>26</v>
      </c>
      <c r="Q8026">
        <v>135</v>
      </c>
      <c r="R8026">
        <v>108</v>
      </c>
      <c r="S8026">
        <v>162</v>
      </c>
      <c r="T8026" t="s">
        <v>39094</v>
      </c>
    </row>
    <row r="8027" spans="1:20">
      <c r="A8027">
        <v>4672042</v>
      </c>
      <c r="B8027" t="s">
        <v>39095</v>
      </c>
      <c r="C8027" t="str">
        <f>"9780802089700"</f>
        <v>9780802089700</v>
      </c>
      <c r="D8027" t="str">
        <f>"9781442681071"</f>
        <v>9781442681071</v>
      </c>
      <c r="E8027" t="s">
        <v>31435</v>
      </c>
      <c r="F8027" t="s">
        <v>31435</v>
      </c>
      <c r="G8027" s="1">
        <v>37987</v>
      </c>
      <c r="J8027" t="s">
        <v>39096</v>
      </c>
      <c r="K8027" t="s">
        <v>1530</v>
      </c>
      <c r="L8027" t="s">
        <v>39097</v>
      </c>
      <c r="M8027" t="s">
        <v>39098</v>
      </c>
      <c r="O8027" t="s">
        <v>26</v>
      </c>
      <c r="Q8027">
        <v>117.5</v>
      </c>
      <c r="R8027">
        <v>94</v>
      </c>
      <c r="S8027">
        <v>141</v>
      </c>
      <c r="T8027" t="s">
        <v>39099</v>
      </c>
    </row>
    <row r="8028" spans="1:20">
      <c r="A8028">
        <v>4672043</v>
      </c>
      <c r="B8028" t="s">
        <v>39100</v>
      </c>
      <c r="C8028" t="str">
        <f>"9780802079664"</f>
        <v>9780802079664</v>
      </c>
      <c r="D8028" t="str">
        <f>"9781442681088"</f>
        <v>9781442681088</v>
      </c>
      <c r="E8028" t="s">
        <v>31435</v>
      </c>
      <c r="F8028" t="s">
        <v>31435</v>
      </c>
      <c r="G8028" s="1">
        <v>35284</v>
      </c>
      <c r="J8028" t="s">
        <v>36477</v>
      </c>
      <c r="K8028" t="s">
        <v>263</v>
      </c>
      <c r="L8028" t="s">
        <v>39101</v>
      </c>
      <c r="M8028" t="s">
        <v>39102</v>
      </c>
      <c r="O8028" t="s">
        <v>26</v>
      </c>
      <c r="Q8028">
        <v>76.25</v>
      </c>
      <c r="R8028">
        <v>61</v>
      </c>
      <c r="S8028">
        <v>91.5</v>
      </c>
      <c r="T8028" t="s">
        <v>39103</v>
      </c>
    </row>
    <row r="8029" spans="1:20">
      <c r="A8029">
        <v>4672044</v>
      </c>
      <c r="B8029" t="s">
        <v>39104</v>
      </c>
      <c r="C8029" t="str">
        <f>"9780802085894"</f>
        <v>9780802085894</v>
      </c>
      <c r="D8029" t="str">
        <f>"9781442681095"</f>
        <v>9781442681095</v>
      </c>
      <c r="E8029" t="s">
        <v>31435</v>
      </c>
      <c r="F8029" t="s">
        <v>31435</v>
      </c>
      <c r="G8029" s="1">
        <v>37987</v>
      </c>
      <c r="H8029">
        <v>2</v>
      </c>
      <c r="I8029" t="s">
        <v>33775</v>
      </c>
      <c r="J8029" t="s">
        <v>39105</v>
      </c>
      <c r="K8029" t="s">
        <v>1464</v>
      </c>
      <c r="L8029" t="s">
        <v>39106</v>
      </c>
      <c r="M8029" t="s">
        <v>35873</v>
      </c>
      <c r="O8029" t="s">
        <v>26</v>
      </c>
      <c r="Q8029">
        <v>115</v>
      </c>
      <c r="R8029">
        <v>92</v>
      </c>
      <c r="S8029">
        <v>138</v>
      </c>
      <c r="T8029" t="s">
        <v>39107</v>
      </c>
    </row>
    <row r="8030" spans="1:20">
      <c r="A8030">
        <v>4672045</v>
      </c>
      <c r="B8030" t="s">
        <v>39108</v>
      </c>
      <c r="C8030" t="str">
        <f>"9780802079039"</f>
        <v>9780802079039</v>
      </c>
      <c r="D8030" t="str">
        <f>"9781442681101"</f>
        <v>9781442681101</v>
      </c>
      <c r="E8030" t="s">
        <v>31435</v>
      </c>
      <c r="F8030" t="s">
        <v>31435</v>
      </c>
      <c r="G8030" s="1">
        <v>35431</v>
      </c>
      <c r="J8030" t="s">
        <v>39109</v>
      </c>
      <c r="K8030" t="s">
        <v>1150</v>
      </c>
      <c r="L8030" t="s">
        <v>39110</v>
      </c>
      <c r="M8030">
        <v>796.35764097743402</v>
      </c>
      <c r="O8030" t="s">
        <v>26</v>
      </c>
      <c r="Q8030">
        <v>59.94</v>
      </c>
      <c r="R8030">
        <v>47.95</v>
      </c>
      <c r="S8030">
        <v>71.930000000000007</v>
      </c>
      <c r="T8030" t="s">
        <v>39111</v>
      </c>
    </row>
    <row r="8031" spans="1:20">
      <c r="A8031">
        <v>4672046</v>
      </c>
      <c r="B8031" t="s">
        <v>39112</v>
      </c>
      <c r="C8031" t="str">
        <f>"9780802035387"</f>
        <v>9780802035387</v>
      </c>
      <c r="D8031" t="str">
        <f>"9781442681118"</f>
        <v>9781442681118</v>
      </c>
      <c r="E8031" t="s">
        <v>31435</v>
      </c>
      <c r="F8031" t="s">
        <v>31435</v>
      </c>
      <c r="G8031" s="1">
        <v>36892</v>
      </c>
      <c r="H8031">
        <v>8</v>
      </c>
      <c r="I8031" t="s">
        <v>34756</v>
      </c>
      <c r="J8031" t="s">
        <v>39113</v>
      </c>
      <c r="K8031" t="s">
        <v>1464</v>
      </c>
      <c r="L8031" t="s">
        <v>39114</v>
      </c>
      <c r="M8031" t="s">
        <v>39115</v>
      </c>
      <c r="O8031" t="s">
        <v>26</v>
      </c>
      <c r="Q8031">
        <v>232.5</v>
      </c>
      <c r="R8031">
        <v>186</v>
      </c>
      <c r="S8031">
        <v>279</v>
      </c>
      <c r="T8031" t="s">
        <v>39116</v>
      </c>
    </row>
    <row r="8032" spans="1:20">
      <c r="A8032">
        <v>4672047</v>
      </c>
      <c r="B8032" t="s">
        <v>39117</v>
      </c>
      <c r="C8032" t="str">
        <f>"9780802035240"</f>
        <v>9780802035240</v>
      </c>
      <c r="D8032" t="str">
        <f>"9781442681125"</f>
        <v>9781442681125</v>
      </c>
      <c r="E8032" t="s">
        <v>31435</v>
      </c>
      <c r="F8032" t="s">
        <v>31435</v>
      </c>
      <c r="G8032" s="1">
        <v>36892</v>
      </c>
      <c r="I8032" t="s">
        <v>31450</v>
      </c>
      <c r="J8032" t="s">
        <v>39118</v>
      </c>
      <c r="K8032" t="s">
        <v>263</v>
      </c>
      <c r="L8032" t="s">
        <v>39119</v>
      </c>
      <c r="M8032">
        <v>301</v>
      </c>
      <c r="O8032" t="s">
        <v>26</v>
      </c>
      <c r="Q8032">
        <v>123.75</v>
      </c>
      <c r="R8032">
        <v>99</v>
      </c>
      <c r="S8032">
        <v>148.5</v>
      </c>
      <c r="T8032" t="s">
        <v>39120</v>
      </c>
    </row>
    <row r="8033" spans="1:20">
      <c r="A8033">
        <v>4672049</v>
      </c>
      <c r="B8033" t="s">
        <v>39121</v>
      </c>
      <c r="C8033" t="str">
        <f>"9780802037367"</f>
        <v>9780802037367</v>
      </c>
      <c r="D8033" t="str">
        <f>"9781442681149"</f>
        <v>9781442681149</v>
      </c>
      <c r="E8033" t="s">
        <v>31435</v>
      </c>
      <c r="F8033" t="s">
        <v>31435</v>
      </c>
      <c r="G8033" s="1">
        <v>37622</v>
      </c>
      <c r="I8033" t="s">
        <v>36249</v>
      </c>
      <c r="J8033" t="s">
        <v>39122</v>
      </c>
      <c r="K8033" t="s">
        <v>263</v>
      </c>
      <c r="L8033" t="s">
        <v>39123</v>
      </c>
      <c r="M8033">
        <v>306.3</v>
      </c>
      <c r="O8033" t="s">
        <v>26</v>
      </c>
      <c r="Q8033">
        <v>123.75</v>
      </c>
      <c r="R8033">
        <v>99</v>
      </c>
      <c r="S8033">
        <v>148.5</v>
      </c>
      <c r="T8033" t="s">
        <v>39124</v>
      </c>
    </row>
    <row r="8034" spans="1:20">
      <c r="A8034">
        <v>4672050</v>
      </c>
      <c r="B8034" t="s">
        <v>39125</v>
      </c>
      <c r="C8034" t="str">
        <f>"9780802007902"</f>
        <v>9780802007902</v>
      </c>
      <c r="D8034" t="str">
        <f>"9781442681156"</f>
        <v>9781442681156</v>
      </c>
      <c r="E8034" t="s">
        <v>31435</v>
      </c>
      <c r="F8034" t="s">
        <v>31435</v>
      </c>
      <c r="G8034" s="1">
        <v>35431</v>
      </c>
      <c r="I8034" t="s">
        <v>36249</v>
      </c>
      <c r="J8034" t="s">
        <v>36554</v>
      </c>
      <c r="K8034" t="s">
        <v>416</v>
      </c>
      <c r="L8034" t="s">
        <v>39126</v>
      </c>
      <c r="M8034" t="s">
        <v>36945</v>
      </c>
      <c r="O8034" t="s">
        <v>26</v>
      </c>
      <c r="Q8034">
        <v>250</v>
      </c>
      <c r="R8034">
        <v>200</v>
      </c>
      <c r="S8034">
        <v>300</v>
      </c>
      <c r="T8034" t="s">
        <v>39127</v>
      </c>
    </row>
    <row r="8035" spans="1:20">
      <c r="A8035">
        <v>4672051</v>
      </c>
      <c r="B8035" t="s">
        <v>39128</v>
      </c>
      <c r="C8035" t="str">
        <f>"9780802029225"</f>
        <v>9780802029225</v>
      </c>
      <c r="D8035" t="str">
        <f>"9781442681163"</f>
        <v>9781442681163</v>
      </c>
      <c r="E8035" t="s">
        <v>31435</v>
      </c>
      <c r="F8035" t="s">
        <v>31435</v>
      </c>
      <c r="G8035" s="1">
        <v>34267</v>
      </c>
      <c r="I8035" t="s">
        <v>37025</v>
      </c>
      <c r="J8035" t="s">
        <v>39129</v>
      </c>
      <c r="K8035" t="s">
        <v>1464</v>
      </c>
      <c r="L8035" t="s">
        <v>39130</v>
      </c>
      <c r="M8035">
        <v>821.00160000000005</v>
      </c>
      <c r="O8035" t="s">
        <v>26</v>
      </c>
      <c r="Q8035">
        <v>206.25</v>
      </c>
      <c r="R8035">
        <v>165</v>
      </c>
      <c r="S8035">
        <v>247.5</v>
      </c>
      <c r="T8035" t="s">
        <v>39131</v>
      </c>
    </row>
    <row r="8036" spans="1:20">
      <c r="A8036">
        <v>4672052</v>
      </c>
      <c r="B8036" t="s">
        <v>39132</v>
      </c>
      <c r="C8036" t="str">
        <f>"9780802057396"</f>
        <v>9780802057396</v>
      </c>
      <c r="D8036" t="str">
        <f>"9781442681170"</f>
        <v>9781442681170</v>
      </c>
      <c r="E8036" t="s">
        <v>31435</v>
      </c>
      <c r="F8036" t="s">
        <v>31435</v>
      </c>
      <c r="G8036" s="1">
        <v>34817</v>
      </c>
      <c r="I8036" t="s">
        <v>37025</v>
      </c>
      <c r="J8036" t="s">
        <v>39133</v>
      </c>
      <c r="K8036" t="s">
        <v>1464</v>
      </c>
      <c r="L8036" t="s">
        <v>39134</v>
      </c>
      <c r="M8036">
        <v>821.00160000000005</v>
      </c>
      <c r="O8036" t="s">
        <v>26</v>
      </c>
      <c r="Q8036">
        <v>178.75</v>
      </c>
      <c r="R8036">
        <v>143</v>
      </c>
      <c r="S8036">
        <v>214.5</v>
      </c>
      <c r="T8036" t="s">
        <v>39135</v>
      </c>
    </row>
    <row r="8037" spans="1:20">
      <c r="A8037">
        <v>4672053</v>
      </c>
      <c r="B8037" t="s">
        <v>39136</v>
      </c>
      <c r="C8037" t="str">
        <f>"9780802043672"</f>
        <v>9780802043672</v>
      </c>
      <c r="D8037" t="str">
        <f>"9781442681187"</f>
        <v>9781442681187</v>
      </c>
      <c r="E8037" t="s">
        <v>31435</v>
      </c>
      <c r="F8037" t="s">
        <v>31435</v>
      </c>
      <c r="G8037" s="1">
        <v>36155</v>
      </c>
      <c r="I8037" t="s">
        <v>37025</v>
      </c>
      <c r="J8037" t="s">
        <v>39137</v>
      </c>
      <c r="K8037" t="s">
        <v>1464</v>
      </c>
      <c r="L8037" t="s">
        <v>39138</v>
      </c>
      <c r="M8037">
        <v>821.4</v>
      </c>
      <c r="O8037" t="s">
        <v>26</v>
      </c>
      <c r="Q8037">
        <v>206.25</v>
      </c>
      <c r="R8037">
        <v>165</v>
      </c>
      <c r="S8037">
        <v>247.5</v>
      </c>
      <c r="T8037" t="s">
        <v>39139</v>
      </c>
    </row>
    <row r="8038" spans="1:20">
      <c r="A8038">
        <v>4672054</v>
      </c>
      <c r="B8038" t="s">
        <v>39140</v>
      </c>
      <c r="C8038" t="str">
        <f>"9780802009876"</f>
        <v>9780802009876</v>
      </c>
      <c r="D8038" t="str">
        <f>"9781442681194"</f>
        <v>9781442681194</v>
      </c>
      <c r="E8038" t="s">
        <v>31435</v>
      </c>
      <c r="F8038" t="s">
        <v>31435</v>
      </c>
      <c r="G8038" s="1">
        <v>35947</v>
      </c>
      <c r="I8038" t="s">
        <v>37025</v>
      </c>
      <c r="J8038" t="s">
        <v>39141</v>
      </c>
      <c r="K8038" t="s">
        <v>1464</v>
      </c>
      <c r="L8038" t="s">
        <v>39142</v>
      </c>
      <c r="M8038">
        <v>821.00160000000005</v>
      </c>
      <c r="O8038" t="s">
        <v>26</v>
      </c>
      <c r="Q8038">
        <v>222.5</v>
      </c>
      <c r="R8038">
        <v>178</v>
      </c>
      <c r="S8038">
        <v>267</v>
      </c>
      <c r="T8038" t="s">
        <v>39143</v>
      </c>
    </row>
    <row r="8039" spans="1:20">
      <c r="A8039">
        <v>4672055</v>
      </c>
      <c r="B8039" t="s">
        <v>39144</v>
      </c>
      <c r="C8039" t="str">
        <f>"9780802059482"</f>
        <v>9780802059482</v>
      </c>
      <c r="D8039" t="str">
        <f>"9781442681217"</f>
        <v>9781442681217</v>
      </c>
      <c r="E8039" t="s">
        <v>31435</v>
      </c>
      <c r="F8039" t="s">
        <v>31435</v>
      </c>
      <c r="G8039" s="1">
        <v>34368</v>
      </c>
      <c r="J8039" t="s">
        <v>39145</v>
      </c>
      <c r="K8039" t="s">
        <v>291</v>
      </c>
      <c r="L8039" t="s">
        <v>39146</v>
      </c>
      <c r="M8039">
        <v>937.7</v>
      </c>
      <c r="O8039" t="s">
        <v>26</v>
      </c>
      <c r="Q8039">
        <v>232.5</v>
      </c>
      <c r="R8039">
        <v>186</v>
      </c>
      <c r="S8039">
        <v>279</v>
      </c>
      <c r="T8039" t="s">
        <v>39147</v>
      </c>
    </row>
    <row r="8040" spans="1:20">
      <c r="A8040">
        <v>4672056</v>
      </c>
      <c r="B8040" t="s">
        <v>39148</v>
      </c>
      <c r="C8040" t="str">
        <f>"9780802006318"</f>
        <v>9780802006318</v>
      </c>
      <c r="D8040" t="str">
        <f>"9781442681224"</f>
        <v>9781442681224</v>
      </c>
      <c r="E8040" t="s">
        <v>31435</v>
      </c>
      <c r="F8040" t="s">
        <v>31435</v>
      </c>
      <c r="G8040" s="1">
        <v>35593</v>
      </c>
      <c r="H8040">
        <v>2</v>
      </c>
      <c r="I8040" t="s">
        <v>33899</v>
      </c>
      <c r="J8040" t="s">
        <v>39149</v>
      </c>
      <c r="K8040" t="s">
        <v>291</v>
      </c>
      <c r="L8040" t="s">
        <v>39150</v>
      </c>
      <c r="M8040">
        <v>937</v>
      </c>
      <c r="O8040" t="s">
        <v>26</v>
      </c>
      <c r="Q8040">
        <v>178.75</v>
      </c>
      <c r="R8040">
        <v>143</v>
      </c>
      <c r="S8040">
        <v>214.5</v>
      </c>
      <c r="T8040" t="s">
        <v>39151</v>
      </c>
    </row>
    <row r="8041" spans="1:20">
      <c r="A8041">
        <v>4672057</v>
      </c>
      <c r="B8041" t="s">
        <v>39152</v>
      </c>
      <c r="C8041" t="str">
        <f>"9780802048653"</f>
        <v>9780802048653</v>
      </c>
      <c r="D8041" t="str">
        <f>"9781442681231"</f>
        <v>9781442681231</v>
      </c>
      <c r="E8041" t="s">
        <v>31435</v>
      </c>
      <c r="F8041" t="s">
        <v>31435</v>
      </c>
      <c r="G8041" s="1">
        <v>37262</v>
      </c>
      <c r="H8041">
        <v>3</v>
      </c>
      <c r="I8041" t="s">
        <v>33899</v>
      </c>
      <c r="J8041" t="s">
        <v>39153</v>
      </c>
      <c r="K8041" t="s">
        <v>291</v>
      </c>
      <c r="L8041" t="s">
        <v>39154</v>
      </c>
      <c r="M8041">
        <v>937.7</v>
      </c>
      <c r="N8041" t="s">
        <v>39155</v>
      </c>
      <c r="O8041" t="s">
        <v>26</v>
      </c>
      <c r="Q8041">
        <v>277.5</v>
      </c>
      <c r="R8041">
        <v>222</v>
      </c>
      <c r="S8041">
        <v>333</v>
      </c>
      <c r="T8041" t="s">
        <v>39156</v>
      </c>
    </row>
    <row r="8042" spans="1:20">
      <c r="A8042">
        <v>4672059</v>
      </c>
      <c r="B8042" t="s">
        <v>39157</v>
      </c>
      <c r="C8042" t="str">
        <f>"9780802042071"</f>
        <v>9780802042071</v>
      </c>
      <c r="D8042" t="str">
        <f>"9781442681262"</f>
        <v>9781442681262</v>
      </c>
      <c r="E8042" t="s">
        <v>31435</v>
      </c>
      <c r="F8042" t="s">
        <v>31435</v>
      </c>
      <c r="G8042" s="1">
        <v>35735</v>
      </c>
      <c r="H8042">
        <v>74</v>
      </c>
      <c r="I8042" t="s">
        <v>33881</v>
      </c>
      <c r="J8042" t="s">
        <v>15166</v>
      </c>
      <c r="K8042" t="s">
        <v>525</v>
      </c>
      <c r="L8042" t="s">
        <v>39158</v>
      </c>
      <c r="M8042" t="s">
        <v>39159</v>
      </c>
      <c r="N8042" t="s">
        <v>39160</v>
      </c>
      <c r="O8042" t="s">
        <v>26</v>
      </c>
      <c r="Q8042">
        <v>143.75</v>
      </c>
      <c r="R8042">
        <v>115</v>
      </c>
      <c r="S8042">
        <v>172.5</v>
      </c>
      <c r="T8042" t="s">
        <v>39161</v>
      </c>
    </row>
    <row r="8043" spans="1:20">
      <c r="A8043">
        <v>4672060</v>
      </c>
      <c r="B8043" t="s">
        <v>39162</v>
      </c>
      <c r="C8043" t="str">
        <f>"9780802084460"</f>
        <v>9780802084460</v>
      </c>
      <c r="D8043" t="str">
        <f>"9781442681279"</f>
        <v>9781442681279</v>
      </c>
      <c r="E8043" t="s">
        <v>31435</v>
      </c>
      <c r="F8043" t="s">
        <v>31435</v>
      </c>
      <c r="G8043" s="1">
        <v>36892</v>
      </c>
      <c r="I8043" t="s">
        <v>33775</v>
      </c>
      <c r="J8043" t="s">
        <v>39163</v>
      </c>
      <c r="K8043" t="s">
        <v>1471</v>
      </c>
      <c r="L8043" t="s">
        <v>39164</v>
      </c>
      <c r="M8043">
        <v>750</v>
      </c>
      <c r="O8043" t="s">
        <v>26</v>
      </c>
      <c r="Q8043">
        <v>100</v>
      </c>
      <c r="R8043">
        <v>80</v>
      </c>
      <c r="S8043">
        <v>120</v>
      </c>
      <c r="T8043" t="s">
        <v>39165</v>
      </c>
    </row>
    <row r="8044" spans="1:20">
      <c r="A8044">
        <v>4672061</v>
      </c>
      <c r="B8044" t="s">
        <v>39166</v>
      </c>
      <c r="C8044" t="str">
        <f>"9780802086174"</f>
        <v>9780802086174</v>
      </c>
      <c r="D8044" t="str">
        <f>"9781442681286"</f>
        <v>9781442681286</v>
      </c>
      <c r="E8044" t="s">
        <v>31435</v>
      </c>
      <c r="F8044" t="s">
        <v>31435</v>
      </c>
      <c r="G8044" s="1">
        <v>37987</v>
      </c>
      <c r="H8044">
        <v>2</v>
      </c>
      <c r="J8044" t="s">
        <v>36497</v>
      </c>
      <c r="K8044" t="s">
        <v>1082</v>
      </c>
      <c r="L8044" t="s">
        <v>39167</v>
      </c>
      <c r="M8044">
        <v>362.10971000000001</v>
      </c>
      <c r="O8044" t="s">
        <v>26</v>
      </c>
      <c r="Q8044">
        <v>59.94</v>
      </c>
      <c r="R8044">
        <v>47.95</v>
      </c>
      <c r="S8044">
        <v>71.930000000000007</v>
      </c>
      <c r="T8044" t="s">
        <v>39168</v>
      </c>
    </row>
    <row r="8045" spans="1:20">
      <c r="A8045">
        <v>4672063</v>
      </c>
      <c r="B8045" t="s">
        <v>39169</v>
      </c>
      <c r="C8045" t="str">
        <f>"9780802044266"</f>
        <v>9780802044266</v>
      </c>
      <c r="D8045" t="str">
        <f>"9781442681316"</f>
        <v>9781442681316</v>
      </c>
      <c r="E8045" t="s">
        <v>31435</v>
      </c>
      <c r="F8045" t="s">
        <v>31435</v>
      </c>
      <c r="G8045" s="1">
        <v>36099</v>
      </c>
      <c r="I8045" t="s">
        <v>35029</v>
      </c>
      <c r="J8045" t="s">
        <v>37877</v>
      </c>
      <c r="K8045" t="s">
        <v>1859</v>
      </c>
      <c r="L8045" t="s">
        <v>39170</v>
      </c>
      <c r="M8045" t="s">
        <v>39171</v>
      </c>
      <c r="N8045" t="s">
        <v>39172</v>
      </c>
      <c r="O8045" t="s">
        <v>26</v>
      </c>
      <c r="Q8045">
        <v>71.25</v>
      </c>
      <c r="R8045">
        <v>57</v>
      </c>
      <c r="S8045">
        <v>85.5</v>
      </c>
      <c r="T8045" t="s">
        <v>39173</v>
      </c>
    </row>
    <row r="8046" spans="1:20">
      <c r="A8046">
        <v>4672066</v>
      </c>
      <c r="B8046" t="s">
        <v>39174</v>
      </c>
      <c r="C8046" t="str">
        <f>"9780802085726"</f>
        <v>9780802085726</v>
      </c>
      <c r="D8046" t="str">
        <f>"9781442681354"</f>
        <v>9781442681354</v>
      </c>
      <c r="E8046" t="s">
        <v>31435</v>
      </c>
      <c r="F8046" t="s">
        <v>31435</v>
      </c>
      <c r="G8046" s="1">
        <v>37987</v>
      </c>
      <c r="I8046" t="s">
        <v>35178</v>
      </c>
      <c r="J8046" t="s">
        <v>39175</v>
      </c>
      <c r="K8046" t="s">
        <v>2818</v>
      </c>
      <c r="L8046" t="s">
        <v>39176</v>
      </c>
      <c r="M8046" t="s">
        <v>39177</v>
      </c>
      <c r="O8046" t="s">
        <v>26</v>
      </c>
      <c r="Q8046">
        <v>117.5</v>
      </c>
      <c r="R8046">
        <v>94</v>
      </c>
      <c r="S8046">
        <v>141</v>
      </c>
      <c r="T8046" t="s">
        <v>39178</v>
      </c>
    </row>
    <row r="8047" spans="1:20">
      <c r="A8047">
        <v>4672068</v>
      </c>
      <c r="B8047" t="s">
        <v>39179</v>
      </c>
      <c r="C8047" t="str">
        <f>"9780802085429"</f>
        <v>9780802085429</v>
      </c>
      <c r="D8047" t="str">
        <f>"9781442681378"</f>
        <v>9781442681378</v>
      </c>
      <c r="E8047" t="s">
        <v>31435</v>
      </c>
      <c r="F8047" t="s">
        <v>31435</v>
      </c>
      <c r="G8047" s="1">
        <v>37622</v>
      </c>
      <c r="J8047" t="s">
        <v>39180</v>
      </c>
      <c r="K8047" t="s">
        <v>1471</v>
      </c>
      <c r="L8047" t="s">
        <v>39181</v>
      </c>
      <c r="M8047" t="s">
        <v>13692</v>
      </c>
      <c r="O8047" t="s">
        <v>26</v>
      </c>
      <c r="Q8047">
        <v>115</v>
      </c>
      <c r="R8047">
        <v>92</v>
      </c>
      <c r="S8047">
        <v>138</v>
      </c>
      <c r="T8047" t="s">
        <v>39182</v>
      </c>
    </row>
    <row r="8048" spans="1:20">
      <c r="A8048">
        <v>4672070</v>
      </c>
      <c r="B8048" t="s">
        <v>39183</v>
      </c>
      <c r="C8048" t="str">
        <f>"9780802086198"</f>
        <v>9780802086198</v>
      </c>
      <c r="D8048" t="str">
        <f>"9781442681392"</f>
        <v>9781442681392</v>
      </c>
      <c r="E8048" t="s">
        <v>31435</v>
      </c>
      <c r="F8048" t="s">
        <v>31435</v>
      </c>
      <c r="G8048" s="1">
        <v>37987</v>
      </c>
      <c r="H8048">
        <v>2</v>
      </c>
      <c r="J8048" t="s">
        <v>36497</v>
      </c>
      <c r="K8048" t="s">
        <v>376</v>
      </c>
      <c r="L8048" t="s">
        <v>39184</v>
      </c>
      <c r="M8048" t="s">
        <v>28727</v>
      </c>
      <c r="O8048" t="s">
        <v>26</v>
      </c>
      <c r="Q8048">
        <v>59.94</v>
      </c>
      <c r="R8048">
        <v>47.95</v>
      </c>
      <c r="S8048">
        <v>71.930000000000007</v>
      </c>
      <c r="T8048" t="s">
        <v>39185</v>
      </c>
    </row>
    <row r="8049" spans="1:20">
      <c r="A8049">
        <v>4672071</v>
      </c>
      <c r="B8049" t="s">
        <v>39186</v>
      </c>
      <c r="C8049" t="str">
        <f>"9780802088185"</f>
        <v>9780802088185</v>
      </c>
      <c r="D8049" t="str">
        <f>"9781442681415"</f>
        <v>9781442681415</v>
      </c>
      <c r="E8049" t="s">
        <v>31435</v>
      </c>
      <c r="F8049" t="s">
        <v>31435</v>
      </c>
      <c r="G8049" s="1">
        <v>37987</v>
      </c>
      <c r="H8049">
        <v>2</v>
      </c>
      <c r="I8049" t="s">
        <v>34035</v>
      </c>
      <c r="J8049" t="s">
        <v>39187</v>
      </c>
      <c r="K8049" t="s">
        <v>1464</v>
      </c>
      <c r="L8049" t="s">
        <v>39188</v>
      </c>
      <c r="M8049" t="s">
        <v>14437</v>
      </c>
      <c r="O8049" t="s">
        <v>26</v>
      </c>
      <c r="Q8049">
        <v>236.25</v>
      </c>
      <c r="R8049">
        <v>189</v>
      </c>
      <c r="S8049">
        <v>283.5</v>
      </c>
      <c r="T8049" t="s">
        <v>39189</v>
      </c>
    </row>
    <row r="8050" spans="1:20">
      <c r="A8050">
        <v>4672072</v>
      </c>
      <c r="B8050" t="s">
        <v>39190</v>
      </c>
      <c r="C8050" t="str">
        <f>"9780802036353"</f>
        <v>9780802036353</v>
      </c>
      <c r="D8050" t="str">
        <f>"9781442681422"</f>
        <v>9781442681422</v>
      </c>
      <c r="E8050" t="s">
        <v>31435</v>
      </c>
      <c r="F8050" t="s">
        <v>31435</v>
      </c>
      <c r="G8050" s="1">
        <v>38353</v>
      </c>
      <c r="J8050" t="s">
        <v>39191</v>
      </c>
      <c r="K8050" t="s">
        <v>1464</v>
      </c>
      <c r="L8050" t="s">
        <v>39192</v>
      </c>
      <c r="M8050" t="s">
        <v>1497</v>
      </c>
      <c r="O8050" t="s">
        <v>26</v>
      </c>
      <c r="Q8050">
        <v>117.5</v>
      </c>
      <c r="R8050">
        <v>94</v>
      </c>
      <c r="S8050">
        <v>141</v>
      </c>
      <c r="T8050" t="s">
        <v>39193</v>
      </c>
    </row>
    <row r="8051" spans="1:20">
      <c r="A8051">
        <v>4672073</v>
      </c>
      <c r="B8051" t="s">
        <v>39194</v>
      </c>
      <c r="C8051" t="str">
        <f>"9780802087645"</f>
        <v>9780802087645</v>
      </c>
      <c r="D8051" t="str">
        <f>"9781442681446"</f>
        <v>9781442681446</v>
      </c>
      <c r="E8051" t="s">
        <v>31435</v>
      </c>
      <c r="F8051" t="s">
        <v>31435</v>
      </c>
      <c r="G8051" s="1">
        <v>41773</v>
      </c>
      <c r="H8051">
        <v>2</v>
      </c>
      <c r="I8051" t="s">
        <v>33775</v>
      </c>
      <c r="J8051" t="s">
        <v>39195</v>
      </c>
      <c r="K8051" t="s">
        <v>291</v>
      </c>
      <c r="L8051" t="s">
        <v>39196</v>
      </c>
      <c r="M8051">
        <v>945.09100000000001</v>
      </c>
      <c r="O8051" t="s">
        <v>26</v>
      </c>
      <c r="Q8051">
        <v>115</v>
      </c>
      <c r="R8051">
        <v>92</v>
      </c>
      <c r="S8051">
        <v>138</v>
      </c>
      <c r="T8051" t="s">
        <v>39197</v>
      </c>
    </row>
    <row r="8052" spans="1:20">
      <c r="A8052">
        <v>4672074</v>
      </c>
      <c r="B8052" t="s">
        <v>39198</v>
      </c>
      <c r="C8052" t="str">
        <f>"9780802009210"</f>
        <v>9780802009210</v>
      </c>
      <c r="D8052" t="str">
        <f>"9781442681453"</f>
        <v>9781442681453</v>
      </c>
      <c r="E8052" t="s">
        <v>31435</v>
      </c>
      <c r="F8052" t="s">
        <v>31435</v>
      </c>
      <c r="G8052" s="1">
        <v>36161</v>
      </c>
      <c r="I8052" t="s">
        <v>35188</v>
      </c>
      <c r="J8052" t="s">
        <v>39199</v>
      </c>
      <c r="K8052" t="s">
        <v>1150</v>
      </c>
      <c r="L8052" t="s">
        <v>39200</v>
      </c>
      <c r="M8052" t="s">
        <v>39201</v>
      </c>
      <c r="O8052" t="s">
        <v>26</v>
      </c>
      <c r="Q8052">
        <v>123.75</v>
      </c>
      <c r="R8052">
        <v>99</v>
      </c>
      <c r="S8052">
        <v>148.5</v>
      </c>
      <c r="T8052" t="s">
        <v>39202</v>
      </c>
    </row>
    <row r="8053" spans="1:20">
      <c r="A8053">
        <v>4672075</v>
      </c>
      <c r="B8053" t="s">
        <v>39203</v>
      </c>
      <c r="C8053" t="str">
        <f>"9780802036919"</f>
        <v>9780802036919</v>
      </c>
      <c r="D8053" t="str">
        <f>"9781442681460"</f>
        <v>9781442681460</v>
      </c>
      <c r="E8053" t="s">
        <v>31435</v>
      </c>
      <c r="F8053" t="s">
        <v>31435</v>
      </c>
      <c r="G8053" s="1">
        <v>37730</v>
      </c>
      <c r="I8053" t="s">
        <v>31450</v>
      </c>
      <c r="J8053" t="s">
        <v>39204</v>
      </c>
      <c r="K8053" t="s">
        <v>1550</v>
      </c>
      <c r="L8053" t="s">
        <v>39205</v>
      </c>
      <c r="M8053" t="s">
        <v>39206</v>
      </c>
      <c r="N8053" t="s">
        <v>76</v>
      </c>
      <c r="O8053" t="s">
        <v>26</v>
      </c>
      <c r="Q8053">
        <v>143.75</v>
      </c>
      <c r="R8053">
        <v>115</v>
      </c>
      <c r="S8053">
        <v>172.5</v>
      </c>
      <c r="T8053" t="s">
        <v>39207</v>
      </c>
    </row>
    <row r="8054" spans="1:20">
      <c r="A8054">
        <v>4672076</v>
      </c>
      <c r="B8054" t="s">
        <v>39208</v>
      </c>
      <c r="C8054" t="str">
        <f>"9780802091802"</f>
        <v>9780802091802</v>
      </c>
      <c r="D8054" t="str">
        <f>"9781442681484"</f>
        <v>9781442681484</v>
      </c>
      <c r="E8054" t="s">
        <v>31435</v>
      </c>
      <c r="F8054" t="s">
        <v>31435</v>
      </c>
      <c r="G8054" s="1">
        <v>38718</v>
      </c>
      <c r="I8054" t="s">
        <v>36249</v>
      </c>
      <c r="J8054" t="s">
        <v>39209</v>
      </c>
      <c r="K8054" t="s">
        <v>416</v>
      </c>
      <c r="L8054" t="s">
        <v>39210</v>
      </c>
      <c r="M8054" t="s">
        <v>39211</v>
      </c>
      <c r="O8054" t="s">
        <v>26</v>
      </c>
      <c r="Q8054">
        <v>95</v>
      </c>
      <c r="R8054">
        <v>76</v>
      </c>
      <c r="S8054">
        <v>114</v>
      </c>
      <c r="T8054" t="s">
        <v>39212</v>
      </c>
    </row>
    <row r="8055" spans="1:20">
      <c r="A8055">
        <v>4672078</v>
      </c>
      <c r="B8055" t="s">
        <v>39213</v>
      </c>
      <c r="C8055" t="str">
        <f>"9780802042729"</f>
        <v>9780802042729</v>
      </c>
      <c r="D8055" t="str">
        <f>"9781442681507"</f>
        <v>9781442681507</v>
      </c>
      <c r="E8055" t="s">
        <v>31435</v>
      </c>
      <c r="F8055" t="s">
        <v>31435</v>
      </c>
      <c r="G8055" s="1">
        <v>36225</v>
      </c>
      <c r="H8055">
        <v>74</v>
      </c>
      <c r="J8055" t="s">
        <v>39214</v>
      </c>
      <c r="K8055" t="s">
        <v>39215</v>
      </c>
      <c r="L8055" t="s">
        <v>39216</v>
      </c>
      <c r="M8055" t="s">
        <v>39217</v>
      </c>
      <c r="O8055" t="s">
        <v>26</v>
      </c>
      <c r="Q8055">
        <v>100</v>
      </c>
      <c r="R8055">
        <v>80</v>
      </c>
      <c r="S8055">
        <v>120</v>
      </c>
      <c r="T8055" t="s">
        <v>39218</v>
      </c>
    </row>
    <row r="8056" spans="1:20">
      <c r="A8056">
        <v>4672080</v>
      </c>
      <c r="B8056" t="s">
        <v>39219</v>
      </c>
      <c r="C8056" t="str">
        <f>"9780802038531"</f>
        <v>9780802038531</v>
      </c>
      <c r="D8056" t="str">
        <f>"9781442681521"</f>
        <v>9781442681521</v>
      </c>
      <c r="E8056" t="s">
        <v>31435</v>
      </c>
      <c r="F8056" t="s">
        <v>31435</v>
      </c>
      <c r="G8056" s="1">
        <v>38292</v>
      </c>
      <c r="H8056">
        <v>2</v>
      </c>
      <c r="J8056" t="s">
        <v>39220</v>
      </c>
      <c r="K8056" t="s">
        <v>39221</v>
      </c>
      <c r="L8056" t="s">
        <v>39222</v>
      </c>
      <c r="M8056">
        <v>16.271529999999899</v>
      </c>
      <c r="N8056" t="s">
        <v>39223</v>
      </c>
      <c r="O8056" t="s">
        <v>26</v>
      </c>
      <c r="Q8056">
        <v>245</v>
      </c>
      <c r="R8056">
        <v>196</v>
      </c>
      <c r="S8056">
        <v>294</v>
      </c>
      <c r="T8056" t="s">
        <v>39224</v>
      </c>
    </row>
    <row r="8057" spans="1:20">
      <c r="A8057">
        <v>4672081</v>
      </c>
      <c r="B8057" t="s">
        <v>39225</v>
      </c>
      <c r="C8057" t="str">
        <f>"9780802035707"</f>
        <v>9780802035707</v>
      </c>
      <c r="D8057" t="str">
        <f>"9781442681538"</f>
        <v>9781442681538</v>
      </c>
      <c r="E8057" t="s">
        <v>31435</v>
      </c>
      <c r="F8057" t="s">
        <v>31435</v>
      </c>
      <c r="G8057" s="1">
        <v>37485</v>
      </c>
      <c r="J8057" t="s">
        <v>39226</v>
      </c>
      <c r="K8057" t="s">
        <v>39227</v>
      </c>
      <c r="L8057" t="s">
        <v>39228</v>
      </c>
      <c r="M8057">
        <v>704.94600000000003</v>
      </c>
      <c r="N8057" t="s">
        <v>39223</v>
      </c>
      <c r="O8057" t="s">
        <v>26</v>
      </c>
      <c r="Q8057">
        <v>232.5</v>
      </c>
      <c r="R8057">
        <v>186</v>
      </c>
      <c r="S8057">
        <v>279</v>
      </c>
      <c r="T8057" t="s">
        <v>39229</v>
      </c>
    </row>
    <row r="8058" spans="1:20">
      <c r="A8058">
        <v>4672082</v>
      </c>
      <c r="B8058" t="s">
        <v>39230</v>
      </c>
      <c r="C8058" t="str">
        <f>"9780802047489"</f>
        <v>9780802047489</v>
      </c>
      <c r="D8058" t="str">
        <f>"9781442681545"</f>
        <v>9781442681545</v>
      </c>
      <c r="E8058" t="s">
        <v>31435</v>
      </c>
      <c r="F8058" t="s">
        <v>31435</v>
      </c>
      <c r="G8058" s="1">
        <v>36530</v>
      </c>
      <c r="J8058" t="s">
        <v>39231</v>
      </c>
      <c r="K8058" t="s">
        <v>36028</v>
      </c>
      <c r="L8058" t="s">
        <v>39232</v>
      </c>
      <c r="M8058">
        <v>704.94600000000003</v>
      </c>
      <c r="N8058" t="s">
        <v>39223</v>
      </c>
      <c r="O8058" t="s">
        <v>26</v>
      </c>
      <c r="Q8058">
        <v>232.5</v>
      </c>
      <c r="R8058">
        <v>186</v>
      </c>
      <c r="S8058">
        <v>279</v>
      </c>
      <c r="T8058" t="s">
        <v>39233</v>
      </c>
    </row>
    <row r="8059" spans="1:20">
      <c r="A8059">
        <v>4672084</v>
      </c>
      <c r="B8059" t="s">
        <v>39234</v>
      </c>
      <c r="C8059" t="str">
        <f>"9780802048806"</f>
        <v>9780802048806</v>
      </c>
      <c r="D8059" t="str">
        <f>"9781442681576"</f>
        <v>9781442681576</v>
      </c>
      <c r="E8059" t="s">
        <v>31435</v>
      </c>
      <c r="F8059" t="s">
        <v>31435</v>
      </c>
      <c r="G8059" s="1">
        <v>38353</v>
      </c>
      <c r="J8059" t="s">
        <v>39235</v>
      </c>
      <c r="K8059" t="s">
        <v>1859</v>
      </c>
      <c r="L8059" t="s">
        <v>39236</v>
      </c>
      <c r="M8059">
        <v>170.92</v>
      </c>
      <c r="O8059" t="s">
        <v>26</v>
      </c>
      <c r="Q8059">
        <v>140</v>
      </c>
      <c r="R8059">
        <v>112</v>
      </c>
      <c r="S8059">
        <v>168</v>
      </c>
      <c r="T8059" t="s">
        <v>39237</v>
      </c>
    </row>
    <row r="8060" spans="1:20">
      <c r="A8060">
        <v>4672085</v>
      </c>
      <c r="B8060" t="s">
        <v>39238</v>
      </c>
      <c r="C8060" t="str">
        <f>"9780802039583"</f>
        <v>9780802039583</v>
      </c>
      <c r="D8060" t="str">
        <f>"9781442681583"</f>
        <v>9781442681583</v>
      </c>
      <c r="E8060" t="s">
        <v>31435</v>
      </c>
      <c r="F8060" t="s">
        <v>31435</v>
      </c>
      <c r="G8060" s="1">
        <v>37987</v>
      </c>
      <c r="H8060">
        <v>2</v>
      </c>
      <c r="J8060" t="s">
        <v>39239</v>
      </c>
      <c r="K8060" t="s">
        <v>291</v>
      </c>
      <c r="L8060" t="s">
        <v>39240</v>
      </c>
      <c r="M8060" t="s">
        <v>39241</v>
      </c>
      <c r="O8060" t="s">
        <v>26</v>
      </c>
      <c r="Q8060">
        <v>75</v>
      </c>
      <c r="R8060">
        <v>60</v>
      </c>
      <c r="S8060">
        <v>90</v>
      </c>
      <c r="T8060" t="s">
        <v>39242</v>
      </c>
    </row>
    <row r="8061" spans="1:20">
      <c r="A8061">
        <v>4672086</v>
      </c>
      <c r="B8061" t="s">
        <v>39243</v>
      </c>
      <c r="C8061" t="str">
        <f>"9780802047151"</f>
        <v>9780802047151</v>
      </c>
      <c r="D8061" t="str">
        <f>"9781442681590"</f>
        <v>9781442681590</v>
      </c>
      <c r="E8061" t="s">
        <v>31435</v>
      </c>
      <c r="F8061" t="s">
        <v>31435</v>
      </c>
      <c r="G8061" s="1">
        <v>36161</v>
      </c>
      <c r="J8061" t="s">
        <v>31677</v>
      </c>
      <c r="K8061" t="s">
        <v>1464</v>
      </c>
      <c r="L8061" t="s">
        <v>39244</v>
      </c>
      <c r="M8061" t="s">
        <v>1497</v>
      </c>
      <c r="O8061" t="s">
        <v>26</v>
      </c>
      <c r="Q8061">
        <v>100</v>
      </c>
      <c r="R8061">
        <v>80</v>
      </c>
      <c r="S8061">
        <v>120</v>
      </c>
      <c r="T8061" t="s">
        <v>39245</v>
      </c>
    </row>
    <row r="8062" spans="1:20">
      <c r="A8062">
        <v>4672087</v>
      </c>
      <c r="B8062" t="s">
        <v>39246</v>
      </c>
      <c r="C8062" t="str">
        <f>"9780802086129"</f>
        <v>9780802086129</v>
      </c>
      <c r="D8062" t="str">
        <f>"9781442681606"</f>
        <v>9781442681606</v>
      </c>
      <c r="E8062" t="s">
        <v>31435</v>
      </c>
      <c r="F8062" t="s">
        <v>31435</v>
      </c>
      <c r="G8062" s="1">
        <v>41773</v>
      </c>
      <c r="H8062">
        <v>2</v>
      </c>
      <c r="J8062" t="s">
        <v>39247</v>
      </c>
      <c r="K8062" t="s">
        <v>525</v>
      </c>
      <c r="M8062">
        <v>343.71072099999998</v>
      </c>
      <c r="O8062" t="s">
        <v>26</v>
      </c>
      <c r="Q8062">
        <v>170</v>
      </c>
      <c r="R8062">
        <v>136</v>
      </c>
      <c r="S8062">
        <v>204</v>
      </c>
      <c r="T8062" t="s">
        <v>39248</v>
      </c>
    </row>
    <row r="8063" spans="1:20">
      <c r="A8063">
        <v>4672088</v>
      </c>
      <c r="B8063" t="s">
        <v>39249</v>
      </c>
      <c r="C8063" t="str">
        <f>"9780802086563"</f>
        <v>9780802086563</v>
      </c>
      <c r="D8063" t="str">
        <f>"9781442681613"</f>
        <v>9781442681613</v>
      </c>
      <c r="E8063" t="s">
        <v>31435</v>
      </c>
      <c r="F8063" t="s">
        <v>31435</v>
      </c>
      <c r="G8063" s="1">
        <v>41773</v>
      </c>
      <c r="H8063">
        <v>2</v>
      </c>
      <c r="I8063" t="s">
        <v>33881</v>
      </c>
      <c r="J8063" t="s">
        <v>39250</v>
      </c>
      <c r="K8063" t="s">
        <v>525</v>
      </c>
      <c r="M8063">
        <v>347.71012000000002</v>
      </c>
      <c r="O8063" t="s">
        <v>26</v>
      </c>
      <c r="Q8063">
        <v>77.5</v>
      </c>
      <c r="R8063">
        <v>62</v>
      </c>
      <c r="S8063">
        <v>93</v>
      </c>
      <c r="T8063" t="s">
        <v>39251</v>
      </c>
    </row>
    <row r="8064" spans="1:20">
      <c r="A8064">
        <v>4672089</v>
      </c>
      <c r="B8064" t="s">
        <v>39252</v>
      </c>
      <c r="C8064" t="str">
        <f>"9780802044846"</f>
        <v>9780802044846</v>
      </c>
      <c r="D8064" t="str">
        <f>"9781442681620"</f>
        <v>9781442681620</v>
      </c>
      <c r="E8064" t="s">
        <v>31435</v>
      </c>
      <c r="F8064" t="s">
        <v>31435</v>
      </c>
      <c r="G8064" s="1">
        <v>36161</v>
      </c>
      <c r="I8064" t="s">
        <v>33775</v>
      </c>
      <c r="J8064" t="s">
        <v>39253</v>
      </c>
      <c r="K8064" t="s">
        <v>1859</v>
      </c>
      <c r="L8064" t="s">
        <v>39254</v>
      </c>
      <c r="M8064">
        <v>195</v>
      </c>
      <c r="O8064" t="s">
        <v>26</v>
      </c>
      <c r="Q8064">
        <v>115</v>
      </c>
      <c r="R8064">
        <v>92</v>
      </c>
      <c r="S8064">
        <v>138</v>
      </c>
      <c r="T8064" t="s">
        <v>39255</v>
      </c>
    </row>
    <row r="8065" spans="1:20">
      <c r="A8065">
        <v>4672091</v>
      </c>
      <c r="B8065" t="s">
        <v>39256</v>
      </c>
      <c r="C8065" t="str">
        <f>"9780802083470"</f>
        <v>9780802083470</v>
      </c>
      <c r="D8065" t="str">
        <f>"9781442681644"</f>
        <v>9781442681644</v>
      </c>
      <c r="E8065" t="s">
        <v>31435</v>
      </c>
      <c r="F8065" t="s">
        <v>31435</v>
      </c>
      <c r="G8065" s="1">
        <v>36946</v>
      </c>
      <c r="J8065" t="s">
        <v>39257</v>
      </c>
      <c r="K8065" t="s">
        <v>291</v>
      </c>
      <c r="L8065" t="s">
        <v>39258</v>
      </c>
      <c r="M8065" t="s">
        <v>39259</v>
      </c>
      <c r="N8065" t="s">
        <v>39260</v>
      </c>
      <c r="O8065" t="s">
        <v>26</v>
      </c>
      <c r="Q8065">
        <v>115</v>
      </c>
      <c r="R8065">
        <v>92</v>
      </c>
      <c r="S8065">
        <v>138</v>
      </c>
      <c r="T8065" t="s">
        <v>39261</v>
      </c>
    </row>
    <row r="8066" spans="1:20">
      <c r="A8066">
        <v>4672092</v>
      </c>
      <c r="B8066" t="s">
        <v>39262</v>
      </c>
      <c r="C8066" t="str">
        <f>"9780802043566"</f>
        <v>9780802043566</v>
      </c>
      <c r="D8066" t="str">
        <f>"9781442681651"</f>
        <v>9781442681651</v>
      </c>
      <c r="E8066" t="s">
        <v>31435</v>
      </c>
      <c r="F8066" t="s">
        <v>31435</v>
      </c>
      <c r="G8066" s="1">
        <v>36161</v>
      </c>
      <c r="I8066" t="s">
        <v>35029</v>
      </c>
      <c r="J8066" t="s">
        <v>39263</v>
      </c>
      <c r="K8066" t="s">
        <v>11437</v>
      </c>
      <c r="L8066" t="s">
        <v>39264</v>
      </c>
      <c r="M8066">
        <v>501</v>
      </c>
      <c r="O8066" t="s">
        <v>26</v>
      </c>
      <c r="Q8066">
        <v>178.75</v>
      </c>
      <c r="R8066">
        <v>143</v>
      </c>
      <c r="S8066">
        <v>214.5</v>
      </c>
      <c r="T8066" t="s">
        <v>39265</v>
      </c>
    </row>
    <row r="8067" spans="1:20">
      <c r="A8067">
        <v>4672093</v>
      </c>
      <c r="B8067" t="s">
        <v>39266</v>
      </c>
      <c r="C8067" t="str">
        <f>"9780802068613"</f>
        <v>9780802068613</v>
      </c>
      <c r="D8067" t="str">
        <f>"9781442681668"</f>
        <v>9781442681668</v>
      </c>
      <c r="E8067" t="s">
        <v>31435</v>
      </c>
      <c r="F8067" t="s">
        <v>31435</v>
      </c>
      <c r="G8067" s="1">
        <v>33604</v>
      </c>
      <c r="I8067" t="s">
        <v>31443</v>
      </c>
      <c r="J8067" t="s">
        <v>39267</v>
      </c>
      <c r="K8067" t="s">
        <v>1471</v>
      </c>
      <c r="L8067" t="s">
        <v>39268</v>
      </c>
      <c r="M8067" t="s">
        <v>39269</v>
      </c>
      <c r="O8067" t="s">
        <v>26</v>
      </c>
      <c r="Q8067">
        <v>59.94</v>
      </c>
      <c r="R8067">
        <v>47.95</v>
      </c>
      <c r="S8067">
        <v>71.930000000000007</v>
      </c>
      <c r="T8067" t="s">
        <v>39270</v>
      </c>
    </row>
    <row r="8068" spans="1:20">
      <c r="A8068">
        <v>4672096</v>
      </c>
      <c r="B8068" t="s">
        <v>39271</v>
      </c>
      <c r="C8068" t="str">
        <f>"9780802071507"</f>
        <v>9780802071507</v>
      </c>
      <c r="D8068" t="str">
        <f>"9781442681699"</f>
        <v>9781442681699</v>
      </c>
      <c r="E8068" t="s">
        <v>31435</v>
      </c>
      <c r="F8068" t="s">
        <v>31435</v>
      </c>
      <c r="G8068" s="1">
        <v>35441</v>
      </c>
      <c r="J8068" t="s">
        <v>39272</v>
      </c>
      <c r="K8068" t="s">
        <v>291</v>
      </c>
      <c r="L8068" t="s">
        <v>39273</v>
      </c>
      <c r="M8068" t="s">
        <v>39274</v>
      </c>
      <c r="O8068" t="s">
        <v>26</v>
      </c>
      <c r="Q8068">
        <v>100</v>
      </c>
      <c r="R8068">
        <v>80</v>
      </c>
      <c r="S8068">
        <v>120</v>
      </c>
      <c r="T8068" t="s">
        <v>39275</v>
      </c>
    </row>
    <row r="8069" spans="1:20">
      <c r="A8069">
        <v>4672097</v>
      </c>
      <c r="B8069" t="s">
        <v>39276</v>
      </c>
      <c r="C8069" t="str">
        <f>"9780802087225"</f>
        <v>9780802087225</v>
      </c>
      <c r="D8069" t="str">
        <f>"9781442681705"</f>
        <v>9781442681705</v>
      </c>
      <c r="E8069" t="s">
        <v>31435</v>
      </c>
      <c r="F8069" t="s">
        <v>31435</v>
      </c>
      <c r="G8069" s="1">
        <v>41773</v>
      </c>
      <c r="H8069">
        <v>2</v>
      </c>
      <c r="I8069" t="s">
        <v>34035</v>
      </c>
      <c r="J8069" t="s">
        <v>39277</v>
      </c>
      <c r="K8069" t="s">
        <v>1464</v>
      </c>
      <c r="L8069" t="s">
        <v>39278</v>
      </c>
      <c r="M8069">
        <v>841.91091119999999</v>
      </c>
      <c r="O8069" t="s">
        <v>26</v>
      </c>
      <c r="Q8069">
        <v>102.5</v>
      </c>
      <c r="R8069">
        <v>82</v>
      </c>
      <c r="S8069">
        <v>123</v>
      </c>
      <c r="T8069" t="s">
        <v>39279</v>
      </c>
    </row>
    <row r="8070" spans="1:20">
      <c r="A8070">
        <v>4672098</v>
      </c>
      <c r="B8070" t="s">
        <v>39280</v>
      </c>
      <c r="C8070" t="str">
        <f>"9780802042743"</f>
        <v>9780802042743</v>
      </c>
      <c r="D8070" t="str">
        <f>"9781442681712"</f>
        <v>9781442681712</v>
      </c>
      <c r="E8070" t="s">
        <v>31435</v>
      </c>
      <c r="F8070" t="s">
        <v>31435</v>
      </c>
      <c r="G8070" s="1">
        <v>36161</v>
      </c>
      <c r="H8070">
        <v>74</v>
      </c>
      <c r="J8070" t="s">
        <v>39281</v>
      </c>
      <c r="K8070" t="s">
        <v>263</v>
      </c>
      <c r="L8070" t="s">
        <v>39282</v>
      </c>
      <c r="M8070" t="s">
        <v>39283</v>
      </c>
      <c r="O8070" t="s">
        <v>26</v>
      </c>
      <c r="Q8070">
        <v>107.5</v>
      </c>
      <c r="R8070">
        <v>86</v>
      </c>
      <c r="S8070">
        <v>129</v>
      </c>
      <c r="T8070" t="s">
        <v>39284</v>
      </c>
    </row>
    <row r="8071" spans="1:20">
      <c r="A8071">
        <v>4672099</v>
      </c>
      <c r="B8071" t="s">
        <v>39285</v>
      </c>
      <c r="C8071" t="str">
        <f>"9781442613232"</f>
        <v>9781442613232</v>
      </c>
      <c r="D8071" t="str">
        <f>"9781442681729"</f>
        <v>9781442681729</v>
      </c>
      <c r="E8071" t="s">
        <v>31435</v>
      </c>
      <c r="F8071" t="s">
        <v>31435</v>
      </c>
      <c r="G8071" s="1">
        <v>36161</v>
      </c>
      <c r="J8071" t="s">
        <v>14973</v>
      </c>
      <c r="K8071" t="s">
        <v>1464</v>
      </c>
      <c r="L8071" t="s">
        <v>39286</v>
      </c>
      <c r="M8071" t="s">
        <v>39287</v>
      </c>
      <c r="O8071" t="s">
        <v>26</v>
      </c>
      <c r="Q8071">
        <v>115</v>
      </c>
      <c r="R8071">
        <v>92</v>
      </c>
      <c r="S8071">
        <v>138</v>
      </c>
      <c r="T8071" t="s">
        <v>39288</v>
      </c>
    </row>
    <row r="8072" spans="1:20">
      <c r="A8072">
        <v>4672100</v>
      </c>
      <c r="B8072" t="s">
        <v>39289</v>
      </c>
      <c r="C8072" t="str">
        <f>"9780802046949"</f>
        <v>9780802046949</v>
      </c>
      <c r="D8072" t="str">
        <f>"9781442681743"</f>
        <v>9781442681743</v>
      </c>
      <c r="E8072" t="s">
        <v>31435</v>
      </c>
      <c r="F8072" t="s">
        <v>31435</v>
      </c>
      <c r="G8072" s="1">
        <v>36665</v>
      </c>
      <c r="J8072" t="s">
        <v>39290</v>
      </c>
      <c r="K8072" t="s">
        <v>1892</v>
      </c>
      <c r="L8072" t="s">
        <v>39291</v>
      </c>
      <c r="M8072" t="s">
        <v>39292</v>
      </c>
      <c r="O8072" t="s">
        <v>26</v>
      </c>
      <c r="Q8072">
        <v>91.25</v>
      </c>
      <c r="R8072">
        <v>73</v>
      </c>
      <c r="S8072">
        <v>109.5</v>
      </c>
      <c r="T8072" t="s">
        <v>39293</v>
      </c>
    </row>
    <row r="8073" spans="1:20">
      <c r="A8073">
        <v>4672101</v>
      </c>
      <c r="B8073" t="s">
        <v>39294</v>
      </c>
      <c r="C8073" t="str">
        <f>"9780802074416"</f>
        <v>9780802074416</v>
      </c>
      <c r="D8073" t="str">
        <f>"9781442681750"</f>
        <v>9781442681750</v>
      </c>
      <c r="E8073" t="s">
        <v>31435</v>
      </c>
      <c r="F8073" t="s">
        <v>31435</v>
      </c>
      <c r="G8073" s="1">
        <v>33970</v>
      </c>
      <c r="J8073" t="s">
        <v>39295</v>
      </c>
      <c r="K8073" t="s">
        <v>24615</v>
      </c>
      <c r="L8073" t="s">
        <v>39296</v>
      </c>
      <c r="M8073" t="s">
        <v>39297</v>
      </c>
      <c r="O8073" t="s">
        <v>26</v>
      </c>
      <c r="Q8073">
        <v>59.94</v>
      </c>
      <c r="R8073">
        <v>47.95</v>
      </c>
      <c r="S8073">
        <v>71.930000000000007</v>
      </c>
      <c r="T8073" t="s">
        <v>39298</v>
      </c>
    </row>
    <row r="8074" spans="1:20">
      <c r="A8074">
        <v>4672102</v>
      </c>
      <c r="B8074" t="s">
        <v>39299</v>
      </c>
      <c r="C8074" t="str">
        <f>"9780802089649"</f>
        <v>9780802089649</v>
      </c>
      <c r="D8074" t="str">
        <f>"9781442681767"</f>
        <v>9781442681767</v>
      </c>
      <c r="E8074" t="s">
        <v>31435</v>
      </c>
      <c r="F8074" t="s">
        <v>31435</v>
      </c>
      <c r="G8074" s="1">
        <v>41773</v>
      </c>
      <c r="J8074" t="s">
        <v>39300</v>
      </c>
      <c r="K8074" t="s">
        <v>1471</v>
      </c>
      <c r="L8074" t="s">
        <v>39301</v>
      </c>
      <c r="M8074">
        <v>780</v>
      </c>
      <c r="O8074" t="s">
        <v>26</v>
      </c>
      <c r="Q8074">
        <v>83.75</v>
      </c>
      <c r="R8074">
        <v>67</v>
      </c>
      <c r="S8074">
        <v>100.5</v>
      </c>
      <c r="T8074" t="s">
        <v>39302</v>
      </c>
    </row>
    <row r="8075" spans="1:20">
      <c r="A8075">
        <v>4672103</v>
      </c>
      <c r="B8075" t="s">
        <v>39303</v>
      </c>
      <c r="C8075" t="str">
        <f>"9780802047069"</f>
        <v>9780802047069</v>
      </c>
      <c r="D8075" t="str">
        <f>"9781442681774"</f>
        <v>9781442681774</v>
      </c>
      <c r="E8075" t="s">
        <v>31435</v>
      </c>
      <c r="F8075" t="s">
        <v>31435</v>
      </c>
      <c r="G8075" s="1">
        <v>36161</v>
      </c>
      <c r="I8075" t="s">
        <v>35056</v>
      </c>
      <c r="J8075" t="s">
        <v>39304</v>
      </c>
      <c r="K8075" t="s">
        <v>4081</v>
      </c>
      <c r="L8075" t="s">
        <v>39305</v>
      </c>
      <c r="M8075">
        <v>401</v>
      </c>
      <c r="O8075" t="s">
        <v>26</v>
      </c>
      <c r="Q8075">
        <v>91.25</v>
      </c>
      <c r="R8075">
        <v>73</v>
      </c>
      <c r="S8075">
        <v>109.5</v>
      </c>
      <c r="T8075" t="s">
        <v>39306</v>
      </c>
    </row>
    <row r="8076" spans="1:20">
      <c r="A8076">
        <v>4672104</v>
      </c>
      <c r="B8076" t="s">
        <v>39307</v>
      </c>
      <c r="C8076" t="str">
        <f>"9780802080936"</f>
        <v>9780802080936</v>
      </c>
      <c r="D8076" t="str">
        <f>"9781442681781"</f>
        <v>9781442681781</v>
      </c>
      <c r="E8076" t="s">
        <v>31435</v>
      </c>
      <c r="F8076" t="s">
        <v>31435</v>
      </c>
      <c r="G8076" s="1">
        <v>35798</v>
      </c>
      <c r="J8076" t="s">
        <v>39308</v>
      </c>
      <c r="K8076" t="s">
        <v>263</v>
      </c>
      <c r="L8076" t="s">
        <v>39309</v>
      </c>
      <c r="M8076" t="s">
        <v>39310</v>
      </c>
      <c r="N8076" t="s">
        <v>39311</v>
      </c>
      <c r="O8076" t="s">
        <v>26</v>
      </c>
      <c r="Q8076">
        <v>91.25</v>
      </c>
      <c r="R8076">
        <v>73</v>
      </c>
      <c r="S8076">
        <v>109.5</v>
      </c>
      <c r="T8076" t="s">
        <v>39312</v>
      </c>
    </row>
    <row r="8077" spans="1:20">
      <c r="A8077">
        <v>4672105</v>
      </c>
      <c r="B8077" t="s">
        <v>39313</v>
      </c>
      <c r="C8077" t="str">
        <f>"9780802087751"</f>
        <v>9780802087751</v>
      </c>
      <c r="D8077" t="str">
        <f>"9781442681798"</f>
        <v>9781442681798</v>
      </c>
      <c r="E8077" t="s">
        <v>31435</v>
      </c>
      <c r="F8077" t="s">
        <v>31435</v>
      </c>
      <c r="G8077" s="1">
        <v>41773</v>
      </c>
      <c r="H8077">
        <v>2</v>
      </c>
      <c r="I8077" t="s">
        <v>35264</v>
      </c>
      <c r="J8077" t="s">
        <v>39314</v>
      </c>
      <c r="K8077" t="s">
        <v>7075</v>
      </c>
      <c r="L8077" t="s">
        <v>39315</v>
      </c>
      <c r="M8077">
        <v>2.09</v>
      </c>
      <c r="O8077" t="s">
        <v>26</v>
      </c>
      <c r="Q8077">
        <v>115</v>
      </c>
      <c r="R8077">
        <v>92</v>
      </c>
      <c r="S8077">
        <v>138</v>
      </c>
      <c r="T8077" t="s">
        <v>39316</v>
      </c>
    </row>
    <row r="8078" spans="1:20">
      <c r="A8078">
        <v>4672106</v>
      </c>
      <c r="B8078" t="s">
        <v>39317</v>
      </c>
      <c r="C8078" t="str">
        <f>"9780802035363"</f>
        <v>9780802035363</v>
      </c>
      <c r="D8078" t="str">
        <f>"9781442681804"</f>
        <v>9781442681804</v>
      </c>
      <c r="E8078" t="s">
        <v>31435</v>
      </c>
      <c r="F8078" t="s">
        <v>31435</v>
      </c>
      <c r="G8078" s="1">
        <v>37401</v>
      </c>
      <c r="I8078" t="s">
        <v>35251</v>
      </c>
      <c r="J8078" t="s">
        <v>39318</v>
      </c>
      <c r="K8078" t="s">
        <v>39319</v>
      </c>
      <c r="L8078" t="s">
        <v>39320</v>
      </c>
      <c r="M8078" t="s">
        <v>39321</v>
      </c>
      <c r="O8078" t="s">
        <v>26</v>
      </c>
      <c r="Q8078">
        <v>78.75</v>
      </c>
      <c r="R8078">
        <v>63</v>
      </c>
      <c r="S8078">
        <v>94.5</v>
      </c>
      <c r="T8078" t="s">
        <v>39322</v>
      </c>
    </row>
    <row r="8079" spans="1:20">
      <c r="A8079">
        <v>4672107</v>
      </c>
      <c r="B8079" t="s">
        <v>39323</v>
      </c>
      <c r="C8079" t="str">
        <f>"9780802068408"</f>
        <v>9780802068408</v>
      </c>
      <c r="D8079" t="str">
        <f>"9781442681811"</f>
        <v>9781442681811</v>
      </c>
      <c r="E8079" t="s">
        <v>31435</v>
      </c>
      <c r="F8079" t="s">
        <v>31435</v>
      </c>
      <c r="G8079" s="1">
        <v>33239</v>
      </c>
      <c r="J8079" t="s">
        <v>39324</v>
      </c>
      <c r="K8079" t="s">
        <v>2260</v>
      </c>
      <c r="L8079" t="s">
        <v>39325</v>
      </c>
      <c r="M8079" t="s">
        <v>39326</v>
      </c>
      <c r="O8079" t="s">
        <v>26</v>
      </c>
      <c r="Q8079">
        <v>115</v>
      </c>
      <c r="R8079">
        <v>92</v>
      </c>
      <c r="S8079">
        <v>138</v>
      </c>
      <c r="T8079" t="s">
        <v>39327</v>
      </c>
    </row>
    <row r="8080" spans="1:20">
      <c r="A8080">
        <v>4672108</v>
      </c>
      <c r="B8080" t="s">
        <v>39328</v>
      </c>
      <c r="C8080" t="str">
        <f>"9780802091116"</f>
        <v>9780802091116</v>
      </c>
      <c r="D8080" t="str">
        <f>"9781442681828"</f>
        <v>9781442681828</v>
      </c>
      <c r="E8080" t="s">
        <v>31435</v>
      </c>
      <c r="F8080" t="s">
        <v>31435</v>
      </c>
      <c r="G8080" s="1">
        <v>41773</v>
      </c>
      <c r="J8080" t="s">
        <v>39329</v>
      </c>
      <c r="K8080" t="s">
        <v>1550</v>
      </c>
      <c r="L8080" t="s">
        <v>39330</v>
      </c>
      <c r="M8080">
        <v>306</v>
      </c>
      <c r="O8080" t="s">
        <v>26</v>
      </c>
      <c r="Q8080">
        <v>95</v>
      </c>
      <c r="R8080">
        <v>76</v>
      </c>
      <c r="S8080">
        <v>114</v>
      </c>
      <c r="T8080" t="s">
        <v>39331</v>
      </c>
    </row>
    <row r="8081" spans="1:20">
      <c r="A8081">
        <v>4672109</v>
      </c>
      <c r="B8081" t="s">
        <v>39332</v>
      </c>
      <c r="C8081" t="str">
        <f>"9780802089946"</f>
        <v>9780802089946</v>
      </c>
      <c r="D8081" t="str">
        <f>"9781442681835"</f>
        <v>9781442681835</v>
      </c>
      <c r="E8081" t="s">
        <v>31435</v>
      </c>
      <c r="F8081" t="s">
        <v>31435</v>
      </c>
      <c r="G8081" s="1">
        <v>41773</v>
      </c>
      <c r="I8081" t="s">
        <v>33775</v>
      </c>
      <c r="J8081" t="s">
        <v>39333</v>
      </c>
      <c r="K8081" t="s">
        <v>1464</v>
      </c>
      <c r="L8081" t="s">
        <v>39334</v>
      </c>
      <c r="M8081">
        <v>851.91408999999999</v>
      </c>
      <c r="O8081" t="s">
        <v>26</v>
      </c>
      <c r="Q8081">
        <v>95</v>
      </c>
      <c r="R8081">
        <v>76</v>
      </c>
      <c r="S8081">
        <v>114</v>
      </c>
      <c r="T8081" t="s">
        <v>39335</v>
      </c>
    </row>
    <row r="8082" spans="1:20">
      <c r="A8082">
        <v>4672110</v>
      </c>
      <c r="B8082" t="s">
        <v>39336</v>
      </c>
      <c r="C8082" t="str">
        <f>"9780802068866"</f>
        <v>9780802068866</v>
      </c>
      <c r="D8082" t="str">
        <f>"9781442681842"</f>
        <v>9781442681842</v>
      </c>
      <c r="E8082" t="s">
        <v>31435</v>
      </c>
      <c r="F8082" t="s">
        <v>31435</v>
      </c>
      <c r="G8082" s="1">
        <v>33359</v>
      </c>
      <c r="H8082">
        <v>2</v>
      </c>
      <c r="J8082" t="s">
        <v>39337</v>
      </c>
      <c r="K8082" t="s">
        <v>550</v>
      </c>
      <c r="L8082" t="s">
        <v>39338</v>
      </c>
      <c r="M8082">
        <v>305.56200000000001</v>
      </c>
      <c r="O8082" t="s">
        <v>26</v>
      </c>
      <c r="Q8082">
        <v>107.5</v>
      </c>
      <c r="R8082">
        <v>86</v>
      </c>
      <c r="S8082">
        <v>129</v>
      </c>
      <c r="T8082" t="s">
        <v>39339</v>
      </c>
    </row>
    <row r="8083" spans="1:20">
      <c r="A8083">
        <v>4672112</v>
      </c>
      <c r="B8083" t="s">
        <v>39340</v>
      </c>
      <c r="C8083" t="str">
        <f>"9780802074287"</f>
        <v>9780802074287</v>
      </c>
      <c r="D8083" t="str">
        <f>"9781442681866"</f>
        <v>9781442681866</v>
      </c>
      <c r="E8083" t="s">
        <v>31435</v>
      </c>
      <c r="F8083" t="s">
        <v>31435</v>
      </c>
      <c r="G8083" s="1">
        <v>34337</v>
      </c>
      <c r="H8083">
        <v>2</v>
      </c>
      <c r="J8083" t="s">
        <v>35374</v>
      </c>
      <c r="K8083" t="s">
        <v>305</v>
      </c>
      <c r="L8083" t="s">
        <v>39341</v>
      </c>
      <c r="M8083" t="s">
        <v>39342</v>
      </c>
      <c r="N8083" t="s">
        <v>39343</v>
      </c>
      <c r="O8083" t="s">
        <v>26</v>
      </c>
      <c r="Q8083">
        <v>59.94</v>
      </c>
      <c r="R8083">
        <v>47.95</v>
      </c>
      <c r="S8083">
        <v>71.930000000000007</v>
      </c>
      <c r="T8083" t="s">
        <v>39344</v>
      </c>
    </row>
    <row r="8084" spans="1:20">
      <c r="A8084">
        <v>4672113</v>
      </c>
      <c r="B8084" t="s">
        <v>39345</v>
      </c>
      <c r="C8084" t="str">
        <f>"9780802084385"</f>
        <v>9780802084385</v>
      </c>
      <c r="D8084" t="str">
        <f>"9781442681873"</f>
        <v>9781442681873</v>
      </c>
      <c r="E8084" t="s">
        <v>31435</v>
      </c>
      <c r="F8084" t="s">
        <v>31435</v>
      </c>
      <c r="G8084" s="1">
        <v>37257</v>
      </c>
      <c r="J8084" t="s">
        <v>39346</v>
      </c>
      <c r="K8084" t="s">
        <v>263</v>
      </c>
      <c r="L8084" t="s">
        <v>39347</v>
      </c>
      <c r="M8084" t="s">
        <v>39348</v>
      </c>
      <c r="O8084" t="s">
        <v>26</v>
      </c>
      <c r="Q8084">
        <v>123.75</v>
      </c>
      <c r="R8084">
        <v>99</v>
      </c>
      <c r="S8084">
        <v>148.5</v>
      </c>
      <c r="T8084" t="s">
        <v>39349</v>
      </c>
    </row>
    <row r="8085" spans="1:20">
      <c r="A8085">
        <v>4672114</v>
      </c>
      <c r="B8085" t="s">
        <v>39350</v>
      </c>
      <c r="C8085" t="str">
        <f>"9780802086037"</f>
        <v>9780802086037</v>
      </c>
      <c r="D8085" t="str">
        <f>"9781442681897"</f>
        <v>9781442681897</v>
      </c>
      <c r="E8085" t="s">
        <v>31435</v>
      </c>
      <c r="F8085" t="s">
        <v>31435</v>
      </c>
      <c r="G8085" s="1">
        <v>41773</v>
      </c>
      <c r="H8085">
        <v>2</v>
      </c>
      <c r="J8085" t="s">
        <v>39351</v>
      </c>
      <c r="K8085" t="s">
        <v>330</v>
      </c>
      <c r="L8085" t="s">
        <v>39352</v>
      </c>
      <c r="M8085">
        <v>363.7</v>
      </c>
      <c r="O8085" t="s">
        <v>26</v>
      </c>
      <c r="Q8085">
        <v>110</v>
      </c>
      <c r="R8085">
        <v>88</v>
      </c>
      <c r="S8085">
        <v>132</v>
      </c>
      <c r="T8085" t="s">
        <v>39353</v>
      </c>
    </row>
    <row r="8086" spans="1:20">
      <c r="A8086">
        <v>4672115</v>
      </c>
      <c r="B8086" t="s">
        <v>39354</v>
      </c>
      <c r="C8086" t="str">
        <f>"9780802080653"</f>
        <v>9780802080653</v>
      </c>
      <c r="D8086" t="str">
        <f>"9781442681903"</f>
        <v>9781442681903</v>
      </c>
      <c r="E8086" t="s">
        <v>31435</v>
      </c>
      <c r="F8086" t="s">
        <v>31435</v>
      </c>
      <c r="G8086" s="1">
        <v>35977</v>
      </c>
      <c r="J8086" t="s">
        <v>39355</v>
      </c>
      <c r="K8086" t="s">
        <v>467</v>
      </c>
      <c r="L8086" t="s">
        <v>39356</v>
      </c>
      <c r="M8086" t="s">
        <v>39357</v>
      </c>
      <c r="N8086" t="s">
        <v>39358</v>
      </c>
      <c r="O8086" t="s">
        <v>26</v>
      </c>
      <c r="Q8086">
        <v>115</v>
      </c>
      <c r="R8086">
        <v>92</v>
      </c>
      <c r="S8086">
        <v>138</v>
      </c>
      <c r="T8086" t="s">
        <v>39359</v>
      </c>
    </row>
    <row r="8087" spans="1:20">
      <c r="A8087">
        <v>4672116</v>
      </c>
      <c r="B8087" t="s">
        <v>39360</v>
      </c>
      <c r="C8087" t="str">
        <f>"9780802091147"</f>
        <v>9780802091147</v>
      </c>
      <c r="D8087" t="str">
        <f>"9781442681910"</f>
        <v>9781442681910</v>
      </c>
      <c r="E8087" t="s">
        <v>31435</v>
      </c>
      <c r="F8087" t="s">
        <v>31435</v>
      </c>
      <c r="G8087" s="1">
        <v>41773</v>
      </c>
      <c r="I8087" t="s">
        <v>33775</v>
      </c>
      <c r="J8087" t="s">
        <v>39361</v>
      </c>
      <c r="K8087" t="s">
        <v>1464</v>
      </c>
      <c r="L8087" t="s">
        <v>39362</v>
      </c>
      <c r="M8087">
        <v>853.0872091</v>
      </c>
      <c r="O8087" t="s">
        <v>26</v>
      </c>
      <c r="Q8087">
        <v>95</v>
      </c>
      <c r="R8087">
        <v>76</v>
      </c>
      <c r="S8087">
        <v>114</v>
      </c>
      <c r="T8087" t="s">
        <v>39363</v>
      </c>
    </row>
    <row r="8088" spans="1:20">
      <c r="A8088">
        <v>4672117</v>
      </c>
      <c r="B8088" t="s">
        <v>39364</v>
      </c>
      <c r="C8088" t="str">
        <f>"9780802067487"</f>
        <v>9780802067487</v>
      </c>
      <c r="D8088" t="str">
        <f>"9781442681927"</f>
        <v>9781442681927</v>
      </c>
      <c r="E8088" t="s">
        <v>31435</v>
      </c>
      <c r="F8088" t="s">
        <v>31435</v>
      </c>
      <c r="G8088" s="1">
        <v>32813</v>
      </c>
      <c r="J8088" t="s">
        <v>33962</v>
      </c>
      <c r="K8088" t="s">
        <v>1214</v>
      </c>
      <c r="L8088" t="s">
        <v>39365</v>
      </c>
      <c r="M8088">
        <v>326.0924</v>
      </c>
      <c r="O8088" t="s">
        <v>26</v>
      </c>
      <c r="Q8088">
        <v>59.94</v>
      </c>
      <c r="R8088">
        <v>47.95</v>
      </c>
      <c r="S8088">
        <v>71.930000000000007</v>
      </c>
      <c r="T8088" t="s">
        <v>39366</v>
      </c>
    </row>
    <row r="8089" spans="1:20">
      <c r="A8089">
        <v>4672119</v>
      </c>
      <c r="B8089" t="s">
        <v>39367</v>
      </c>
      <c r="C8089" t="str">
        <f>"9780802083975"</f>
        <v>9780802083975</v>
      </c>
      <c r="D8089" t="str">
        <f>"9781442681941"</f>
        <v>9781442681941</v>
      </c>
      <c r="E8089" t="s">
        <v>31435</v>
      </c>
      <c r="F8089" t="s">
        <v>31435</v>
      </c>
      <c r="G8089" s="1">
        <v>36892</v>
      </c>
      <c r="J8089" t="s">
        <v>4133</v>
      </c>
      <c r="K8089" t="s">
        <v>1464</v>
      </c>
      <c r="L8089" t="s">
        <v>39368</v>
      </c>
      <c r="M8089" t="s">
        <v>39369</v>
      </c>
      <c r="O8089" t="s">
        <v>26</v>
      </c>
      <c r="Q8089">
        <v>100</v>
      </c>
      <c r="R8089">
        <v>80</v>
      </c>
      <c r="S8089">
        <v>120</v>
      </c>
      <c r="T8089" t="s">
        <v>39370</v>
      </c>
    </row>
    <row r="8090" spans="1:20">
      <c r="A8090">
        <v>4672122</v>
      </c>
      <c r="B8090" t="s">
        <v>39371</v>
      </c>
      <c r="C8090" t="str">
        <f>"9780802088161"</f>
        <v>9780802088161</v>
      </c>
      <c r="D8090" t="str">
        <f>"9781442681989"</f>
        <v>9781442681989</v>
      </c>
      <c r="E8090" t="s">
        <v>31435</v>
      </c>
      <c r="F8090" t="s">
        <v>31435</v>
      </c>
      <c r="G8090" s="1">
        <v>38018</v>
      </c>
      <c r="H8090">
        <v>2</v>
      </c>
      <c r="I8090" t="s">
        <v>33775</v>
      </c>
      <c r="J8090" t="s">
        <v>37600</v>
      </c>
      <c r="K8090" t="s">
        <v>1471</v>
      </c>
      <c r="L8090" t="s">
        <v>39372</v>
      </c>
      <c r="M8090" t="s">
        <v>39373</v>
      </c>
      <c r="O8090" t="s">
        <v>26</v>
      </c>
      <c r="Q8090">
        <v>95</v>
      </c>
      <c r="R8090">
        <v>76</v>
      </c>
      <c r="S8090">
        <v>114</v>
      </c>
      <c r="T8090" t="s">
        <v>39374</v>
      </c>
    </row>
    <row r="8091" spans="1:20">
      <c r="A8091">
        <v>4672124</v>
      </c>
      <c r="B8091" t="s">
        <v>39375</v>
      </c>
      <c r="C8091" t="str">
        <f>"9780802044242"</f>
        <v>9780802044242</v>
      </c>
      <c r="D8091" t="str">
        <f>"9781442681996"</f>
        <v>9781442681996</v>
      </c>
      <c r="E8091" t="s">
        <v>31435</v>
      </c>
      <c r="F8091" t="s">
        <v>31435</v>
      </c>
      <c r="G8091" s="1">
        <v>36161</v>
      </c>
      <c r="I8091" t="s">
        <v>33775</v>
      </c>
      <c r="J8091" t="s">
        <v>39376</v>
      </c>
      <c r="K8091" t="s">
        <v>1464</v>
      </c>
      <c r="L8091" t="s">
        <v>39377</v>
      </c>
      <c r="M8091" t="s">
        <v>39378</v>
      </c>
      <c r="O8091" t="s">
        <v>26</v>
      </c>
      <c r="Q8091">
        <v>143.75</v>
      </c>
      <c r="R8091">
        <v>115</v>
      </c>
      <c r="S8091">
        <v>172.5</v>
      </c>
      <c r="T8091" t="s">
        <v>39379</v>
      </c>
    </row>
    <row r="8092" spans="1:20">
      <c r="A8092">
        <v>4672125</v>
      </c>
      <c r="B8092" t="s">
        <v>39380</v>
      </c>
      <c r="C8092" t="str">
        <f>"9780802007773"</f>
        <v>9780802007773</v>
      </c>
      <c r="D8092" t="str">
        <f>"9781442682009"</f>
        <v>9781442682009</v>
      </c>
      <c r="E8092" t="s">
        <v>31435</v>
      </c>
      <c r="F8092" t="s">
        <v>31435</v>
      </c>
      <c r="G8092" s="1">
        <v>35065</v>
      </c>
      <c r="J8092" t="s">
        <v>39381</v>
      </c>
      <c r="K8092" t="s">
        <v>473</v>
      </c>
      <c r="L8092" t="s">
        <v>39382</v>
      </c>
      <c r="M8092" t="s">
        <v>39383</v>
      </c>
      <c r="O8092" t="s">
        <v>26</v>
      </c>
      <c r="Q8092">
        <v>135</v>
      </c>
      <c r="R8092">
        <v>108</v>
      </c>
      <c r="S8092">
        <v>162</v>
      </c>
      <c r="T8092" t="s">
        <v>39384</v>
      </c>
    </row>
    <row r="8093" spans="1:20">
      <c r="A8093">
        <v>4672126</v>
      </c>
      <c r="B8093" t="s">
        <v>39385</v>
      </c>
      <c r="C8093" t="str">
        <f>"9780802042361"</f>
        <v>9780802042361</v>
      </c>
      <c r="D8093" t="str">
        <f>"9781442682016"</f>
        <v>9781442682016</v>
      </c>
      <c r="E8093" t="s">
        <v>31435</v>
      </c>
      <c r="F8093" t="s">
        <v>31435</v>
      </c>
      <c r="G8093" s="1">
        <v>35796</v>
      </c>
      <c r="H8093">
        <v>74</v>
      </c>
      <c r="I8093" t="s">
        <v>35029</v>
      </c>
      <c r="J8093" t="s">
        <v>39386</v>
      </c>
      <c r="K8093" t="s">
        <v>1859</v>
      </c>
      <c r="L8093" t="s">
        <v>39387</v>
      </c>
      <c r="M8093">
        <v>184</v>
      </c>
      <c r="O8093" t="s">
        <v>26</v>
      </c>
      <c r="Q8093">
        <v>100</v>
      </c>
      <c r="R8093">
        <v>80</v>
      </c>
      <c r="S8093">
        <v>120</v>
      </c>
      <c r="T8093" t="s">
        <v>39388</v>
      </c>
    </row>
    <row r="8094" spans="1:20">
      <c r="A8094">
        <v>4672128</v>
      </c>
      <c r="B8094" t="s">
        <v>39389</v>
      </c>
      <c r="C8094" t="str">
        <f>"9780802004314"</f>
        <v>9780802004314</v>
      </c>
      <c r="D8094" t="str">
        <f>"9781442682030"</f>
        <v>9781442682030</v>
      </c>
      <c r="E8094" t="s">
        <v>31435</v>
      </c>
      <c r="F8094" t="s">
        <v>31435</v>
      </c>
      <c r="G8094" s="1">
        <v>35065</v>
      </c>
      <c r="J8094" t="s">
        <v>39390</v>
      </c>
      <c r="K8094" t="s">
        <v>7075</v>
      </c>
      <c r="L8094" t="s">
        <v>39391</v>
      </c>
      <c r="M8094" t="s">
        <v>39392</v>
      </c>
      <c r="O8094" t="s">
        <v>26</v>
      </c>
      <c r="Q8094">
        <v>277.5</v>
      </c>
      <c r="R8094">
        <v>222</v>
      </c>
      <c r="S8094">
        <v>333</v>
      </c>
      <c r="T8094" t="s">
        <v>39393</v>
      </c>
    </row>
    <row r="8095" spans="1:20">
      <c r="A8095">
        <v>4672130</v>
      </c>
      <c r="B8095" t="s">
        <v>39394</v>
      </c>
      <c r="C8095" t="str">
        <f>"9780802036599"</f>
        <v>9780802036599</v>
      </c>
      <c r="D8095" t="str">
        <f>"9781442682054"</f>
        <v>9781442682054</v>
      </c>
      <c r="E8095" t="s">
        <v>31435</v>
      </c>
      <c r="F8095" t="s">
        <v>31435</v>
      </c>
      <c r="G8095" s="1">
        <v>37618</v>
      </c>
      <c r="J8095" t="s">
        <v>39395</v>
      </c>
      <c r="K8095" t="s">
        <v>1464</v>
      </c>
      <c r="L8095" t="s">
        <v>39396</v>
      </c>
      <c r="M8095" t="s">
        <v>39397</v>
      </c>
      <c r="O8095" t="s">
        <v>26</v>
      </c>
      <c r="Q8095">
        <v>91.25</v>
      </c>
      <c r="R8095">
        <v>73</v>
      </c>
      <c r="S8095">
        <v>109.5</v>
      </c>
      <c r="T8095" t="s">
        <v>39398</v>
      </c>
    </row>
    <row r="8096" spans="1:20">
      <c r="A8096">
        <v>4672131</v>
      </c>
      <c r="B8096" t="s">
        <v>39399</v>
      </c>
      <c r="C8096" t="str">
        <f>"9780802065179"</f>
        <v>9780802065179</v>
      </c>
      <c r="D8096" t="str">
        <f>"9781442682061"</f>
        <v>9781442682061</v>
      </c>
      <c r="E8096" t="s">
        <v>31435</v>
      </c>
      <c r="F8096" t="s">
        <v>31435</v>
      </c>
      <c r="G8096" s="1">
        <v>30437</v>
      </c>
      <c r="H8096">
        <v>2</v>
      </c>
      <c r="J8096" t="s">
        <v>39400</v>
      </c>
      <c r="K8096" t="s">
        <v>473</v>
      </c>
      <c r="L8096" t="s">
        <v>39401</v>
      </c>
      <c r="M8096" t="s">
        <v>1371</v>
      </c>
      <c r="O8096" t="s">
        <v>26</v>
      </c>
      <c r="Q8096">
        <v>59.94</v>
      </c>
      <c r="R8096">
        <v>47.95</v>
      </c>
      <c r="S8096">
        <v>71.930000000000007</v>
      </c>
      <c r="T8096" t="s">
        <v>39402</v>
      </c>
    </row>
    <row r="8097" spans="1:20">
      <c r="A8097">
        <v>4672133</v>
      </c>
      <c r="B8097" t="s">
        <v>39403</v>
      </c>
      <c r="C8097" t="str">
        <f>"9780802090911"</f>
        <v>9780802090911</v>
      </c>
      <c r="D8097" t="str">
        <f>"9781442682078"</f>
        <v>9781442682078</v>
      </c>
      <c r="E8097" t="s">
        <v>31435</v>
      </c>
      <c r="F8097" t="s">
        <v>31435</v>
      </c>
      <c r="G8097" s="1">
        <v>38718</v>
      </c>
      <c r="I8097" t="s">
        <v>35251</v>
      </c>
      <c r="J8097" t="s">
        <v>22946</v>
      </c>
      <c r="K8097" t="s">
        <v>305</v>
      </c>
      <c r="L8097" t="s">
        <v>39404</v>
      </c>
      <c r="M8097" t="s">
        <v>39405</v>
      </c>
      <c r="O8097" t="s">
        <v>26</v>
      </c>
      <c r="Q8097">
        <v>110</v>
      </c>
      <c r="R8097">
        <v>88</v>
      </c>
      <c r="S8097">
        <v>132</v>
      </c>
      <c r="T8097" t="s">
        <v>39406</v>
      </c>
    </row>
    <row r="8098" spans="1:20">
      <c r="A8098">
        <v>4672134</v>
      </c>
      <c r="B8098" t="s">
        <v>39407</v>
      </c>
      <c r="C8098" t="str">
        <f>"9780802083524"</f>
        <v>9780802083524</v>
      </c>
      <c r="D8098" t="str">
        <f>"9781442682085"</f>
        <v>9781442682085</v>
      </c>
      <c r="E8098" t="s">
        <v>31435</v>
      </c>
      <c r="F8098" t="s">
        <v>31435</v>
      </c>
      <c r="G8098" s="1">
        <v>36892</v>
      </c>
      <c r="J8098" t="s">
        <v>39408</v>
      </c>
      <c r="K8098" t="s">
        <v>257</v>
      </c>
      <c r="L8098" t="s">
        <v>39409</v>
      </c>
      <c r="M8098">
        <v>371.20699999999903</v>
      </c>
      <c r="O8098" t="s">
        <v>26</v>
      </c>
      <c r="Q8098">
        <v>143.75</v>
      </c>
      <c r="R8098">
        <v>115</v>
      </c>
      <c r="S8098">
        <v>172.5</v>
      </c>
      <c r="T8098" t="s">
        <v>39410</v>
      </c>
    </row>
    <row r="8099" spans="1:20">
      <c r="A8099">
        <v>4672135</v>
      </c>
      <c r="B8099" t="s">
        <v>39411</v>
      </c>
      <c r="C8099" t="str">
        <f>"9780802009074"</f>
        <v>9780802009074</v>
      </c>
      <c r="D8099" t="str">
        <f>"9781442682092"</f>
        <v>9781442682092</v>
      </c>
      <c r="E8099" t="s">
        <v>31435</v>
      </c>
      <c r="F8099" t="s">
        <v>31435</v>
      </c>
      <c r="G8099" s="1">
        <v>35796</v>
      </c>
      <c r="J8099" t="s">
        <v>39412</v>
      </c>
      <c r="K8099" t="s">
        <v>2260</v>
      </c>
      <c r="L8099" t="s">
        <v>39413</v>
      </c>
      <c r="M8099" t="s">
        <v>38910</v>
      </c>
      <c r="O8099" t="s">
        <v>26</v>
      </c>
      <c r="Q8099">
        <v>91.25</v>
      </c>
      <c r="R8099">
        <v>73</v>
      </c>
      <c r="S8099">
        <v>109.5</v>
      </c>
      <c r="T8099" t="s">
        <v>39414</v>
      </c>
    </row>
    <row r="8100" spans="1:20">
      <c r="A8100">
        <v>4672137</v>
      </c>
      <c r="B8100" t="s">
        <v>39415</v>
      </c>
      <c r="C8100" t="str">
        <f>"9780802096357"</f>
        <v>9780802096357</v>
      </c>
      <c r="D8100" t="str">
        <f>"9781442682115"</f>
        <v>9781442682115</v>
      </c>
      <c r="E8100" t="s">
        <v>31435</v>
      </c>
      <c r="F8100" t="s">
        <v>31435</v>
      </c>
      <c r="G8100" s="1">
        <v>41773</v>
      </c>
      <c r="I8100" t="s">
        <v>31450</v>
      </c>
      <c r="J8100" t="s">
        <v>39416</v>
      </c>
      <c r="K8100" t="s">
        <v>263</v>
      </c>
      <c r="M8100">
        <v>306.09821099999999</v>
      </c>
      <c r="O8100" t="s">
        <v>26</v>
      </c>
      <c r="Q8100">
        <v>59.94</v>
      </c>
      <c r="R8100">
        <v>47.95</v>
      </c>
      <c r="S8100">
        <v>71.930000000000007</v>
      </c>
      <c r="T8100" t="s">
        <v>39417</v>
      </c>
    </row>
    <row r="8101" spans="1:20">
      <c r="A8101">
        <v>4672138</v>
      </c>
      <c r="B8101" t="s">
        <v>39418</v>
      </c>
      <c r="C8101" t="str">
        <f>"9780802086044"</f>
        <v>9780802086044</v>
      </c>
      <c r="D8101" t="str">
        <f>"9781442682122"</f>
        <v>9781442682122</v>
      </c>
      <c r="E8101" t="s">
        <v>31435</v>
      </c>
      <c r="F8101" t="s">
        <v>31435</v>
      </c>
      <c r="G8101" s="1">
        <v>37987</v>
      </c>
      <c r="H8101">
        <v>2</v>
      </c>
      <c r="J8101" t="s">
        <v>37003</v>
      </c>
      <c r="K8101" t="s">
        <v>1464</v>
      </c>
      <c r="L8101" t="s">
        <v>39419</v>
      </c>
      <c r="M8101" t="s">
        <v>39420</v>
      </c>
      <c r="O8101" t="s">
        <v>26</v>
      </c>
      <c r="Q8101">
        <v>83.75</v>
      </c>
      <c r="R8101">
        <v>67</v>
      </c>
      <c r="S8101">
        <v>100.5</v>
      </c>
      <c r="T8101" t="s">
        <v>39421</v>
      </c>
    </row>
    <row r="8102" spans="1:20">
      <c r="A8102">
        <v>4672139</v>
      </c>
      <c r="B8102" t="s">
        <v>39422</v>
      </c>
      <c r="C8102" t="str">
        <f>"9781442626980"</f>
        <v>9781442626980</v>
      </c>
      <c r="D8102" t="str">
        <f>"9781442682139"</f>
        <v>9781442682139</v>
      </c>
      <c r="E8102" t="s">
        <v>31435</v>
      </c>
      <c r="F8102" t="s">
        <v>31435</v>
      </c>
      <c r="G8102" s="1">
        <v>41773</v>
      </c>
      <c r="I8102" t="s">
        <v>35056</v>
      </c>
      <c r="J8102" t="s">
        <v>39423</v>
      </c>
      <c r="K8102" t="s">
        <v>1859</v>
      </c>
      <c r="M8102">
        <v>121.68</v>
      </c>
      <c r="O8102" t="s">
        <v>26</v>
      </c>
      <c r="Q8102">
        <v>95</v>
      </c>
      <c r="R8102">
        <v>76</v>
      </c>
      <c r="S8102">
        <v>114</v>
      </c>
      <c r="T8102" t="s">
        <v>39424</v>
      </c>
    </row>
    <row r="8103" spans="1:20">
      <c r="A8103">
        <v>4672140</v>
      </c>
      <c r="B8103" t="s">
        <v>39425</v>
      </c>
      <c r="C8103" t="str">
        <f>"9780802035523"</f>
        <v>9780802035523</v>
      </c>
      <c r="D8103" t="str">
        <f>"9781442682146"</f>
        <v>9781442682146</v>
      </c>
      <c r="E8103" t="s">
        <v>31435</v>
      </c>
      <c r="F8103" t="s">
        <v>31435</v>
      </c>
      <c r="G8103" s="1">
        <v>36903</v>
      </c>
      <c r="I8103" t="s">
        <v>35029</v>
      </c>
      <c r="J8103" t="s">
        <v>39426</v>
      </c>
      <c r="K8103" t="s">
        <v>1859</v>
      </c>
      <c r="L8103" t="s">
        <v>39427</v>
      </c>
      <c r="M8103" t="s">
        <v>39428</v>
      </c>
      <c r="N8103" t="s">
        <v>39429</v>
      </c>
      <c r="O8103" t="s">
        <v>26</v>
      </c>
      <c r="Q8103">
        <v>115</v>
      </c>
      <c r="R8103">
        <v>92</v>
      </c>
      <c r="S8103">
        <v>138</v>
      </c>
      <c r="T8103" t="s">
        <v>39430</v>
      </c>
    </row>
    <row r="8104" spans="1:20">
      <c r="A8104">
        <v>4672142</v>
      </c>
      <c r="B8104" t="s">
        <v>39431</v>
      </c>
      <c r="C8104" t="str">
        <f>"9780802093738"</f>
        <v>9780802093738</v>
      </c>
      <c r="D8104" t="str">
        <f>"9781442682160"</f>
        <v>9781442682160</v>
      </c>
      <c r="E8104" t="s">
        <v>31435</v>
      </c>
      <c r="F8104" t="s">
        <v>31435</v>
      </c>
      <c r="G8104" s="1">
        <v>38718</v>
      </c>
      <c r="I8104" t="s">
        <v>33775</v>
      </c>
      <c r="J8104" t="s">
        <v>39432</v>
      </c>
      <c r="K8104" t="s">
        <v>1464</v>
      </c>
      <c r="L8104" t="s">
        <v>39433</v>
      </c>
      <c r="M8104" t="s">
        <v>39434</v>
      </c>
      <c r="O8104" t="s">
        <v>26</v>
      </c>
      <c r="Q8104">
        <v>147.5</v>
      </c>
      <c r="R8104">
        <v>118</v>
      </c>
      <c r="S8104">
        <v>177</v>
      </c>
      <c r="T8104" t="s">
        <v>39435</v>
      </c>
    </row>
    <row r="8105" spans="1:20">
      <c r="A8105">
        <v>4672143</v>
      </c>
      <c r="B8105" t="s">
        <v>39436</v>
      </c>
      <c r="C8105" t="str">
        <f>"9780802067180"</f>
        <v>9780802067180</v>
      </c>
      <c r="D8105" t="str">
        <f>"9781442682177"</f>
        <v>9781442682177</v>
      </c>
      <c r="E8105" t="s">
        <v>31435</v>
      </c>
      <c r="F8105" t="s">
        <v>31435</v>
      </c>
      <c r="G8105" s="1">
        <v>32347</v>
      </c>
      <c r="H8105">
        <v>2</v>
      </c>
      <c r="I8105" t="s">
        <v>31443</v>
      </c>
      <c r="J8105" t="s">
        <v>39437</v>
      </c>
      <c r="K8105" t="s">
        <v>263</v>
      </c>
      <c r="L8105" t="s">
        <v>39438</v>
      </c>
      <c r="M8105">
        <v>305.80009999999902</v>
      </c>
      <c r="N8105" t="s">
        <v>1859</v>
      </c>
      <c r="O8105" t="s">
        <v>26</v>
      </c>
      <c r="Q8105">
        <v>77.5</v>
      </c>
      <c r="R8105">
        <v>62</v>
      </c>
      <c r="S8105">
        <v>93</v>
      </c>
      <c r="T8105" t="s">
        <v>39439</v>
      </c>
    </row>
    <row r="8106" spans="1:20">
      <c r="A8106">
        <v>4672144</v>
      </c>
      <c r="B8106" t="s">
        <v>39440</v>
      </c>
      <c r="C8106" t="str">
        <f>"9780802087676"</f>
        <v>9780802087676</v>
      </c>
      <c r="D8106" t="str">
        <f>"9781442682184"</f>
        <v>9781442682184</v>
      </c>
      <c r="E8106" t="s">
        <v>31435</v>
      </c>
      <c r="F8106" t="s">
        <v>31435</v>
      </c>
      <c r="G8106" s="1">
        <v>37622</v>
      </c>
      <c r="H8106">
        <v>2</v>
      </c>
      <c r="I8106" t="s">
        <v>33775</v>
      </c>
      <c r="J8106" t="s">
        <v>34636</v>
      </c>
      <c r="K8106" t="s">
        <v>1464</v>
      </c>
      <c r="L8106" t="s">
        <v>39441</v>
      </c>
      <c r="M8106" t="s">
        <v>36724</v>
      </c>
      <c r="O8106" t="s">
        <v>26</v>
      </c>
      <c r="Q8106">
        <v>100</v>
      </c>
      <c r="R8106">
        <v>80</v>
      </c>
      <c r="S8106">
        <v>120</v>
      </c>
      <c r="T8106" t="s">
        <v>39442</v>
      </c>
    </row>
    <row r="8107" spans="1:20">
      <c r="A8107">
        <v>4672145</v>
      </c>
      <c r="B8107" t="s">
        <v>39443</v>
      </c>
      <c r="C8107" t="str">
        <f>"9780802044693"</f>
        <v>9780802044693</v>
      </c>
      <c r="D8107" t="str">
        <f>"9781442682191"</f>
        <v>9781442682191</v>
      </c>
      <c r="E8107" t="s">
        <v>31435</v>
      </c>
      <c r="F8107" t="s">
        <v>31435</v>
      </c>
      <c r="G8107" s="1">
        <v>36161</v>
      </c>
      <c r="J8107" t="s">
        <v>37591</v>
      </c>
      <c r="K8107" t="s">
        <v>467</v>
      </c>
      <c r="L8107" t="s">
        <v>39444</v>
      </c>
      <c r="M8107">
        <v>320.971</v>
      </c>
      <c r="O8107" t="s">
        <v>26</v>
      </c>
      <c r="Q8107">
        <v>95</v>
      </c>
      <c r="R8107">
        <v>76</v>
      </c>
      <c r="S8107">
        <v>114</v>
      </c>
      <c r="T8107" t="s">
        <v>39445</v>
      </c>
    </row>
    <row r="8108" spans="1:20">
      <c r="A8108">
        <v>4672147</v>
      </c>
      <c r="B8108" t="s">
        <v>39446</v>
      </c>
      <c r="C8108" t="str">
        <f>"9780802077257"</f>
        <v>9780802077257</v>
      </c>
      <c r="D8108" t="str">
        <f>"9781442682214"</f>
        <v>9781442682214</v>
      </c>
      <c r="E8108" t="s">
        <v>31435</v>
      </c>
      <c r="F8108" t="s">
        <v>31435</v>
      </c>
      <c r="G8108" s="1">
        <v>36161</v>
      </c>
      <c r="H8108">
        <v>2</v>
      </c>
      <c r="J8108" t="s">
        <v>39447</v>
      </c>
      <c r="K8108" t="s">
        <v>9858</v>
      </c>
      <c r="L8108" t="s">
        <v>39448</v>
      </c>
      <c r="M8108" t="s">
        <v>39449</v>
      </c>
      <c r="O8108" t="s">
        <v>26</v>
      </c>
      <c r="Q8108">
        <v>115</v>
      </c>
      <c r="R8108">
        <v>92</v>
      </c>
      <c r="S8108">
        <v>138</v>
      </c>
      <c r="T8108" t="s">
        <v>39450</v>
      </c>
    </row>
    <row r="8109" spans="1:20">
      <c r="A8109">
        <v>4672148</v>
      </c>
      <c r="B8109" t="s">
        <v>39451</v>
      </c>
      <c r="C8109" t="str">
        <f>"9780802009234"</f>
        <v>9780802009234</v>
      </c>
      <c r="D8109" t="str">
        <f>"9781442682221"</f>
        <v>9781442682221</v>
      </c>
      <c r="E8109" t="s">
        <v>31435</v>
      </c>
      <c r="F8109" t="s">
        <v>31435</v>
      </c>
      <c r="G8109" s="1">
        <v>35431</v>
      </c>
      <c r="J8109" t="s">
        <v>39452</v>
      </c>
      <c r="K8109" t="s">
        <v>1464</v>
      </c>
      <c r="L8109" t="s">
        <v>39453</v>
      </c>
      <c r="M8109" t="s">
        <v>14359</v>
      </c>
      <c r="O8109" t="s">
        <v>26</v>
      </c>
      <c r="Q8109">
        <v>91.25</v>
      </c>
      <c r="R8109">
        <v>73</v>
      </c>
      <c r="S8109">
        <v>109.5</v>
      </c>
      <c r="T8109" t="s">
        <v>39454</v>
      </c>
    </row>
    <row r="8110" spans="1:20">
      <c r="A8110">
        <v>4672149</v>
      </c>
      <c r="B8110" t="s">
        <v>39455</v>
      </c>
      <c r="C8110" t="str">
        <f>"9780802093776"</f>
        <v>9780802093776</v>
      </c>
      <c r="D8110" t="str">
        <f>"9781442682238"</f>
        <v>9781442682238</v>
      </c>
      <c r="E8110" t="s">
        <v>31435</v>
      </c>
      <c r="F8110" t="s">
        <v>31435</v>
      </c>
      <c r="G8110" s="1">
        <v>38718</v>
      </c>
      <c r="I8110" t="s">
        <v>35251</v>
      </c>
      <c r="J8110" t="s">
        <v>39456</v>
      </c>
      <c r="K8110" t="s">
        <v>467</v>
      </c>
      <c r="L8110" t="s">
        <v>39457</v>
      </c>
      <c r="M8110">
        <v>320.60971000000001</v>
      </c>
      <c r="O8110" t="s">
        <v>26</v>
      </c>
      <c r="Q8110">
        <v>110</v>
      </c>
      <c r="R8110">
        <v>88</v>
      </c>
      <c r="S8110">
        <v>132</v>
      </c>
      <c r="T8110" t="s">
        <v>39458</v>
      </c>
    </row>
    <row r="8111" spans="1:20">
      <c r="A8111">
        <v>4672150</v>
      </c>
      <c r="B8111" t="s">
        <v>39459</v>
      </c>
      <c r="C8111" t="str">
        <f>"9780802089151"</f>
        <v>9780802089151</v>
      </c>
      <c r="D8111" t="str">
        <f>"9781442682245"</f>
        <v>9781442682245</v>
      </c>
      <c r="E8111" t="s">
        <v>31435</v>
      </c>
      <c r="F8111" t="s">
        <v>31435</v>
      </c>
      <c r="G8111" s="1">
        <v>37987</v>
      </c>
      <c r="I8111" t="s">
        <v>33775</v>
      </c>
      <c r="J8111" t="s">
        <v>39460</v>
      </c>
      <c r="K8111" t="s">
        <v>1464</v>
      </c>
      <c r="L8111" t="s">
        <v>39461</v>
      </c>
      <c r="M8111">
        <v>851.03209000000004</v>
      </c>
      <c r="O8111" t="s">
        <v>26</v>
      </c>
      <c r="Q8111">
        <v>130</v>
      </c>
      <c r="R8111">
        <v>104</v>
      </c>
      <c r="S8111">
        <v>156</v>
      </c>
      <c r="T8111" t="s">
        <v>39462</v>
      </c>
    </row>
    <row r="8112" spans="1:20">
      <c r="A8112">
        <v>4672151</v>
      </c>
      <c r="B8112" t="s">
        <v>39463</v>
      </c>
      <c r="C8112" t="str">
        <f>"9781442613140"</f>
        <v>9781442613140</v>
      </c>
      <c r="D8112" t="str">
        <f>"9781442682252"</f>
        <v>9781442682252</v>
      </c>
      <c r="E8112" t="s">
        <v>31435</v>
      </c>
      <c r="F8112" t="s">
        <v>31435</v>
      </c>
      <c r="G8112" s="1">
        <v>37257</v>
      </c>
      <c r="J8112" t="s">
        <v>37205</v>
      </c>
      <c r="K8112" t="s">
        <v>291</v>
      </c>
      <c r="L8112" t="s">
        <v>39464</v>
      </c>
      <c r="M8112">
        <v>947.79</v>
      </c>
      <c r="O8112" t="s">
        <v>26</v>
      </c>
      <c r="Q8112">
        <v>100</v>
      </c>
      <c r="R8112">
        <v>80</v>
      </c>
      <c r="S8112">
        <v>120</v>
      </c>
      <c r="T8112" t="s">
        <v>39465</v>
      </c>
    </row>
    <row r="8113" spans="1:20">
      <c r="A8113">
        <v>4672153</v>
      </c>
      <c r="B8113" t="s">
        <v>39466</v>
      </c>
      <c r="C8113" t="str">
        <f>"9780802078193"</f>
        <v>9780802078193</v>
      </c>
      <c r="D8113" t="str">
        <f>"9781442682276"</f>
        <v>9781442682276</v>
      </c>
      <c r="E8113" t="s">
        <v>31435</v>
      </c>
      <c r="F8113" t="s">
        <v>31435</v>
      </c>
      <c r="G8113" s="1">
        <v>35431</v>
      </c>
      <c r="H8113">
        <v>2</v>
      </c>
      <c r="I8113" t="s">
        <v>35029</v>
      </c>
      <c r="J8113" t="s">
        <v>39467</v>
      </c>
      <c r="K8113" t="s">
        <v>1859</v>
      </c>
      <c r="L8113" t="s">
        <v>39468</v>
      </c>
      <c r="M8113">
        <v>191</v>
      </c>
      <c r="O8113" t="s">
        <v>26</v>
      </c>
      <c r="Q8113">
        <v>59.94</v>
      </c>
      <c r="R8113">
        <v>47.95</v>
      </c>
      <c r="S8113">
        <v>71.930000000000007</v>
      </c>
      <c r="T8113" t="s">
        <v>39469</v>
      </c>
    </row>
    <row r="8114" spans="1:20">
      <c r="A8114">
        <v>4672154</v>
      </c>
      <c r="B8114" t="s">
        <v>39470</v>
      </c>
      <c r="C8114" t="str">
        <f>"9780802086136"</f>
        <v>9780802086136</v>
      </c>
      <c r="D8114" t="str">
        <f>"9781442682283"</f>
        <v>9781442682283</v>
      </c>
      <c r="E8114" t="s">
        <v>31435</v>
      </c>
      <c r="F8114" t="s">
        <v>31435</v>
      </c>
      <c r="G8114" s="1">
        <v>41773</v>
      </c>
      <c r="H8114">
        <v>2</v>
      </c>
      <c r="I8114" t="s">
        <v>33881</v>
      </c>
      <c r="J8114" t="s">
        <v>39471</v>
      </c>
      <c r="K8114" t="s">
        <v>14458</v>
      </c>
      <c r="L8114" t="s">
        <v>15260</v>
      </c>
      <c r="M8114">
        <v>347.71800000000002</v>
      </c>
      <c r="O8114" t="s">
        <v>26</v>
      </c>
      <c r="Q8114">
        <v>130</v>
      </c>
      <c r="R8114">
        <v>104</v>
      </c>
      <c r="S8114">
        <v>156</v>
      </c>
      <c r="T8114" t="s">
        <v>39472</v>
      </c>
    </row>
    <row r="8115" spans="1:20">
      <c r="A8115">
        <v>4672155</v>
      </c>
      <c r="B8115" t="s">
        <v>39473</v>
      </c>
      <c r="C8115" t="str">
        <f>"9780802083920"</f>
        <v>9780802083920</v>
      </c>
      <c r="D8115" t="str">
        <f>"9781442682290"</f>
        <v>9781442682290</v>
      </c>
      <c r="E8115" t="s">
        <v>31435</v>
      </c>
      <c r="F8115" t="s">
        <v>31435</v>
      </c>
      <c r="G8115" s="1">
        <v>41773</v>
      </c>
      <c r="J8115" t="s">
        <v>39474</v>
      </c>
      <c r="K8115" t="s">
        <v>525</v>
      </c>
      <c r="L8115" t="s">
        <v>39475</v>
      </c>
      <c r="M8115">
        <v>340</v>
      </c>
      <c r="O8115" t="s">
        <v>26</v>
      </c>
      <c r="Q8115">
        <v>96.25</v>
      </c>
      <c r="R8115">
        <v>77</v>
      </c>
      <c r="S8115">
        <v>115.5</v>
      </c>
      <c r="T8115" t="s">
        <v>39476</v>
      </c>
    </row>
    <row r="8116" spans="1:20">
      <c r="A8116">
        <v>4672157</v>
      </c>
      <c r="B8116" t="s">
        <v>39477</v>
      </c>
      <c r="C8116" t="str">
        <f>"9780802059963"</f>
        <v>9780802059963</v>
      </c>
      <c r="D8116" t="str">
        <f>"9781442682313"</f>
        <v>9781442682313</v>
      </c>
      <c r="E8116" t="s">
        <v>31435</v>
      </c>
      <c r="F8116" t="s">
        <v>31435</v>
      </c>
      <c r="G8116" s="1">
        <v>35796</v>
      </c>
      <c r="J8116" t="s">
        <v>39478</v>
      </c>
      <c r="K8116" t="s">
        <v>291</v>
      </c>
      <c r="L8116" t="s">
        <v>39479</v>
      </c>
      <c r="M8116">
        <v>940.548</v>
      </c>
      <c r="O8116" t="s">
        <v>26</v>
      </c>
      <c r="Q8116">
        <v>78.75</v>
      </c>
      <c r="R8116">
        <v>63</v>
      </c>
      <c r="S8116">
        <v>94.5</v>
      </c>
      <c r="T8116" t="s">
        <v>39480</v>
      </c>
    </row>
    <row r="8117" spans="1:20">
      <c r="A8117">
        <v>4672158</v>
      </c>
      <c r="B8117" t="s">
        <v>39481</v>
      </c>
      <c r="C8117" t="str">
        <f>"9781442614970"</f>
        <v>9781442614970</v>
      </c>
      <c r="D8117" t="str">
        <f>"9781442682320"</f>
        <v>9781442682320</v>
      </c>
      <c r="E8117" t="s">
        <v>31435</v>
      </c>
      <c r="F8117" t="s">
        <v>31435</v>
      </c>
      <c r="G8117" s="1">
        <v>36580</v>
      </c>
      <c r="J8117" t="s">
        <v>39482</v>
      </c>
      <c r="K8117" t="s">
        <v>1464</v>
      </c>
      <c r="L8117" t="s">
        <v>39483</v>
      </c>
      <c r="M8117">
        <v>813.52</v>
      </c>
      <c r="O8117" t="s">
        <v>26</v>
      </c>
      <c r="Q8117">
        <v>100</v>
      </c>
      <c r="R8117">
        <v>80</v>
      </c>
      <c r="S8117">
        <v>120</v>
      </c>
      <c r="T8117" t="s">
        <v>39484</v>
      </c>
    </row>
    <row r="8118" spans="1:20">
      <c r="A8118">
        <v>4672159</v>
      </c>
      <c r="B8118" t="s">
        <v>39485</v>
      </c>
      <c r="C8118" t="str">
        <f>"9780802085191"</f>
        <v>9780802085191</v>
      </c>
      <c r="D8118" t="str">
        <f>"9781442682337"</f>
        <v>9781442682337</v>
      </c>
      <c r="E8118" t="s">
        <v>31435</v>
      </c>
      <c r="F8118" t="s">
        <v>31435</v>
      </c>
      <c r="G8118" s="1">
        <v>36892</v>
      </c>
      <c r="J8118" t="s">
        <v>39486</v>
      </c>
      <c r="K8118" t="s">
        <v>525</v>
      </c>
      <c r="L8118" t="s">
        <v>39487</v>
      </c>
      <c r="M8118">
        <v>344.710532</v>
      </c>
      <c r="O8118" t="s">
        <v>26</v>
      </c>
      <c r="Q8118">
        <v>59.94</v>
      </c>
      <c r="R8118">
        <v>47.95</v>
      </c>
      <c r="S8118">
        <v>71.930000000000007</v>
      </c>
      <c r="T8118" t="s">
        <v>39488</v>
      </c>
    </row>
    <row r="8119" spans="1:20">
      <c r="A8119">
        <v>4672160</v>
      </c>
      <c r="B8119" t="s">
        <v>39489</v>
      </c>
      <c r="C8119" t="str">
        <f>"9780802084828"</f>
        <v>9780802084828</v>
      </c>
      <c r="D8119" t="str">
        <f>"9781442682344"</f>
        <v>9781442682344</v>
      </c>
      <c r="E8119" t="s">
        <v>31435</v>
      </c>
      <c r="F8119" t="s">
        <v>31435</v>
      </c>
      <c r="G8119" s="1">
        <v>35431</v>
      </c>
      <c r="I8119" t="s">
        <v>35029</v>
      </c>
      <c r="J8119" t="s">
        <v>39490</v>
      </c>
      <c r="K8119" t="s">
        <v>1859</v>
      </c>
      <c r="L8119" t="s">
        <v>39491</v>
      </c>
      <c r="M8119">
        <v>193</v>
      </c>
      <c r="O8119" t="s">
        <v>26</v>
      </c>
      <c r="Q8119">
        <v>123.75</v>
      </c>
      <c r="R8119">
        <v>99</v>
      </c>
      <c r="S8119">
        <v>148.5</v>
      </c>
      <c r="T8119" t="s">
        <v>39492</v>
      </c>
    </row>
    <row r="8120" spans="1:20">
      <c r="A8120">
        <v>4672161</v>
      </c>
      <c r="B8120" t="s">
        <v>39493</v>
      </c>
      <c r="C8120" t="str">
        <f>"9780802083944"</f>
        <v>9780802083944</v>
      </c>
      <c r="D8120" t="str">
        <f>"9781442682351"</f>
        <v>9781442682351</v>
      </c>
      <c r="E8120" t="s">
        <v>31435</v>
      </c>
      <c r="F8120" t="s">
        <v>31435</v>
      </c>
      <c r="G8120" s="1">
        <v>38104</v>
      </c>
      <c r="I8120" t="s">
        <v>37978</v>
      </c>
      <c r="J8120" t="s">
        <v>39494</v>
      </c>
      <c r="K8120" t="s">
        <v>467</v>
      </c>
      <c r="L8120" t="s">
        <v>39495</v>
      </c>
      <c r="M8120">
        <v>320.10000000000002</v>
      </c>
      <c r="N8120" t="s">
        <v>39496</v>
      </c>
      <c r="O8120" t="s">
        <v>26</v>
      </c>
      <c r="Q8120">
        <v>83.75</v>
      </c>
      <c r="R8120">
        <v>67</v>
      </c>
      <c r="S8120">
        <v>100.5</v>
      </c>
      <c r="T8120" t="s">
        <v>39497</v>
      </c>
    </row>
    <row r="8121" spans="1:20">
      <c r="A8121">
        <v>4672163</v>
      </c>
      <c r="B8121" t="s">
        <v>39498</v>
      </c>
      <c r="C8121" t="str">
        <f>"9780802081599"</f>
        <v>9780802081599</v>
      </c>
      <c r="D8121" t="str">
        <f>"9781442682375"</f>
        <v>9781442682375</v>
      </c>
      <c r="E8121" t="s">
        <v>31435</v>
      </c>
      <c r="F8121" t="s">
        <v>31435</v>
      </c>
      <c r="G8121" s="1">
        <v>37257</v>
      </c>
      <c r="J8121" t="s">
        <v>39499</v>
      </c>
      <c r="K8121" t="s">
        <v>291</v>
      </c>
      <c r="L8121" t="s">
        <v>39500</v>
      </c>
      <c r="M8121">
        <v>920.07100000000003</v>
      </c>
      <c r="O8121" t="s">
        <v>26</v>
      </c>
      <c r="Q8121">
        <v>123.75</v>
      </c>
      <c r="R8121">
        <v>99</v>
      </c>
      <c r="S8121">
        <v>148.5</v>
      </c>
      <c r="T8121" t="s">
        <v>39501</v>
      </c>
    </row>
    <row r="8122" spans="1:20">
      <c r="A8122">
        <v>4672164</v>
      </c>
      <c r="B8122" t="s">
        <v>39502</v>
      </c>
      <c r="C8122" t="str">
        <f>"9780802067319"</f>
        <v>9780802067319</v>
      </c>
      <c r="D8122" t="str">
        <f>"9781442682382"</f>
        <v>9781442682382</v>
      </c>
      <c r="E8122" t="s">
        <v>31435</v>
      </c>
      <c r="F8122" t="s">
        <v>31435</v>
      </c>
      <c r="G8122" s="1">
        <v>32509</v>
      </c>
      <c r="H8122">
        <v>2</v>
      </c>
      <c r="J8122" t="s">
        <v>11918</v>
      </c>
      <c r="K8122" t="s">
        <v>467</v>
      </c>
      <c r="L8122" t="s">
        <v>39503</v>
      </c>
      <c r="M8122">
        <v>324.27105097123001</v>
      </c>
      <c r="O8122" t="s">
        <v>26</v>
      </c>
      <c r="Q8122">
        <v>78.75</v>
      </c>
      <c r="R8122">
        <v>63</v>
      </c>
      <c r="S8122">
        <v>94.5</v>
      </c>
      <c r="T8122" t="s">
        <v>39504</v>
      </c>
    </row>
    <row r="8123" spans="1:20">
      <c r="A8123">
        <v>4672167</v>
      </c>
      <c r="B8123" t="s">
        <v>39505</v>
      </c>
      <c r="C8123" t="str">
        <f>"9781442615014"</f>
        <v>9781442615014</v>
      </c>
      <c r="D8123" t="str">
        <f>"9781442682412"</f>
        <v>9781442682412</v>
      </c>
      <c r="E8123" t="s">
        <v>31435</v>
      </c>
      <c r="F8123" t="s">
        <v>31435</v>
      </c>
      <c r="G8123" s="1">
        <v>35431</v>
      </c>
      <c r="I8123" t="s">
        <v>35029</v>
      </c>
      <c r="J8123" t="s">
        <v>39506</v>
      </c>
      <c r="K8123" t="s">
        <v>467</v>
      </c>
      <c r="L8123" t="s">
        <v>39507</v>
      </c>
      <c r="M8123">
        <v>320.09199999999902</v>
      </c>
      <c r="O8123" t="s">
        <v>26</v>
      </c>
      <c r="Q8123">
        <v>115</v>
      </c>
      <c r="R8123">
        <v>92</v>
      </c>
      <c r="S8123">
        <v>138</v>
      </c>
      <c r="T8123" t="s">
        <v>39508</v>
      </c>
    </row>
    <row r="8124" spans="1:20">
      <c r="A8124">
        <v>4672168</v>
      </c>
      <c r="B8124" t="s">
        <v>39509</v>
      </c>
      <c r="C8124" t="str">
        <f>"9780802071804"</f>
        <v>9780802071804</v>
      </c>
      <c r="D8124" t="str">
        <f>"9781442682429"</f>
        <v>9781442682429</v>
      </c>
      <c r="E8124" t="s">
        <v>31435</v>
      </c>
      <c r="F8124" t="s">
        <v>31435</v>
      </c>
      <c r="G8124" s="1">
        <v>35431</v>
      </c>
      <c r="H8124">
        <v>2</v>
      </c>
      <c r="I8124" t="s">
        <v>35056</v>
      </c>
      <c r="J8124" t="s">
        <v>39510</v>
      </c>
      <c r="K8124" t="s">
        <v>2161</v>
      </c>
      <c r="L8124" t="s">
        <v>39511</v>
      </c>
      <c r="M8124">
        <v>301.01</v>
      </c>
      <c r="O8124" t="s">
        <v>26</v>
      </c>
      <c r="Q8124">
        <v>100</v>
      </c>
      <c r="R8124">
        <v>80</v>
      </c>
      <c r="S8124">
        <v>120</v>
      </c>
      <c r="T8124" t="s">
        <v>39512</v>
      </c>
    </row>
    <row r="8125" spans="1:20">
      <c r="A8125">
        <v>4672169</v>
      </c>
      <c r="B8125" t="s">
        <v>39513</v>
      </c>
      <c r="C8125" t="str">
        <f>"9780802035424"</f>
        <v>9780802035424</v>
      </c>
      <c r="D8125" t="str">
        <f>"9781442682436"</f>
        <v>9781442682436</v>
      </c>
      <c r="E8125" t="s">
        <v>31435</v>
      </c>
      <c r="F8125" t="s">
        <v>31435</v>
      </c>
      <c r="G8125" s="1">
        <v>37257</v>
      </c>
      <c r="I8125" t="s">
        <v>34756</v>
      </c>
      <c r="J8125" t="s">
        <v>39514</v>
      </c>
      <c r="K8125" t="s">
        <v>1464</v>
      </c>
      <c r="L8125" t="s">
        <v>39515</v>
      </c>
      <c r="M8125">
        <v>801.95092</v>
      </c>
      <c r="O8125" t="s">
        <v>26</v>
      </c>
      <c r="Q8125">
        <v>151.25</v>
      </c>
      <c r="R8125">
        <v>121</v>
      </c>
      <c r="S8125">
        <v>181.5</v>
      </c>
      <c r="T8125" t="s">
        <v>39516</v>
      </c>
    </row>
    <row r="8126" spans="1:20">
      <c r="A8126">
        <v>4672170</v>
      </c>
      <c r="B8126" t="s">
        <v>39517</v>
      </c>
      <c r="C8126" t="str">
        <f>"9781442614925"</f>
        <v>9781442614925</v>
      </c>
      <c r="D8126" t="str">
        <f>"9781442682443"</f>
        <v>9781442682443</v>
      </c>
      <c r="E8126" t="s">
        <v>31435</v>
      </c>
      <c r="F8126" t="s">
        <v>31435</v>
      </c>
      <c r="G8126" s="1">
        <v>33604</v>
      </c>
      <c r="J8126" t="s">
        <v>39518</v>
      </c>
      <c r="K8126" t="s">
        <v>1464</v>
      </c>
      <c r="L8126" t="s">
        <v>39519</v>
      </c>
      <c r="M8126">
        <v>811.54</v>
      </c>
      <c r="O8126" t="s">
        <v>26</v>
      </c>
      <c r="Q8126">
        <v>80</v>
      </c>
      <c r="R8126">
        <v>64</v>
      </c>
      <c r="S8126">
        <v>96</v>
      </c>
      <c r="T8126" t="s">
        <v>39520</v>
      </c>
    </row>
    <row r="8127" spans="1:20">
      <c r="A8127">
        <v>4672171</v>
      </c>
      <c r="B8127" t="s">
        <v>39521</v>
      </c>
      <c r="C8127" t="str">
        <f>"9780802089694"</f>
        <v>9780802089694</v>
      </c>
      <c r="D8127" t="str">
        <f>"9781442682450"</f>
        <v>9781442682450</v>
      </c>
      <c r="E8127" t="s">
        <v>31435</v>
      </c>
      <c r="F8127" t="s">
        <v>31435</v>
      </c>
      <c r="G8127" s="1">
        <v>41773</v>
      </c>
      <c r="I8127" t="s">
        <v>34035</v>
      </c>
      <c r="J8127" t="s">
        <v>34566</v>
      </c>
      <c r="K8127" t="s">
        <v>1835</v>
      </c>
      <c r="L8127" t="s">
        <v>39522</v>
      </c>
      <c r="M8127">
        <v>792.02809200000002</v>
      </c>
      <c r="O8127" t="s">
        <v>26</v>
      </c>
      <c r="Q8127">
        <v>86.25</v>
      </c>
      <c r="R8127">
        <v>69</v>
      </c>
      <c r="S8127">
        <v>103.5</v>
      </c>
      <c r="T8127" t="s">
        <v>39523</v>
      </c>
    </row>
    <row r="8128" spans="1:20">
      <c r="A8128">
        <v>4672173</v>
      </c>
      <c r="B8128" t="s">
        <v>39524</v>
      </c>
      <c r="C8128" t="str">
        <f>"9781442613065"</f>
        <v>9781442613065</v>
      </c>
      <c r="D8128" t="str">
        <f>"9781442682474"</f>
        <v>9781442682474</v>
      </c>
      <c r="E8128" t="s">
        <v>31435</v>
      </c>
      <c r="F8128" t="s">
        <v>31435</v>
      </c>
      <c r="G8128" s="1">
        <v>34335</v>
      </c>
      <c r="I8128" t="s">
        <v>31443</v>
      </c>
      <c r="J8128" t="s">
        <v>39525</v>
      </c>
      <c r="K8128" t="s">
        <v>1464</v>
      </c>
      <c r="L8128" t="s">
        <v>39526</v>
      </c>
      <c r="M8128">
        <v>813.54</v>
      </c>
      <c r="O8128" t="s">
        <v>26</v>
      </c>
      <c r="Q8128">
        <v>71.25</v>
      </c>
      <c r="R8128">
        <v>57</v>
      </c>
      <c r="S8128">
        <v>85.5</v>
      </c>
      <c r="T8128" t="s">
        <v>39527</v>
      </c>
    </row>
    <row r="8129" spans="1:20">
      <c r="A8129">
        <v>4672174</v>
      </c>
      <c r="B8129" t="s">
        <v>39528</v>
      </c>
      <c r="C8129" t="str">
        <f>"9780802039262"</f>
        <v>9780802039262</v>
      </c>
      <c r="D8129" t="str">
        <f>"9781442682481"</f>
        <v>9781442682481</v>
      </c>
      <c r="E8129" t="s">
        <v>31435</v>
      </c>
      <c r="F8129" t="s">
        <v>31435</v>
      </c>
      <c r="G8129" s="1">
        <v>38353</v>
      </c>
      <c r="H8129">
        <v>2</v>
      </c>
      <c r="I8129" t="s">
        <v>33775</v>
      </c>
      <c r="J8129" t="s">
        <v>39529</v>
      </c>
      <c r="K8129" t="s">
        <v>1464</v>
      </c>
      <c r="L8129" t="s">
        <v>39530</v>
      </c>
      <c r="M8129">
        <v>851.00935219999894</v>
      </c>
      <c r="O8129" t="s">
        <v>26</v>
      </c>
      <c r="Q8129">
        <v>110</v>
      </c>
      <c r="R8129">
        <v>88</v>
      </c>
      <c r="S8129">
        <v>132</v>
      </c>
      <c r="T8129" t="s">
        <v>39531</v>
      </c>
    </row>
    <row r="8130" spans="1:20">
      <c r="A8130">
        <v>4672176</v>
      </c>
      <c r="B8130" t="s">
        <v>39532</v>
      </c>
      <c r="C8130" t="str">
        <f>"9780802089786"</f>
        <v>9780802089786</v>
      </c>
      <c r="D8130" t="str">
        <f>"9781442682511"</f>
        <v>9781442682511</v>
      </c>
      <c r="E8130" t="s">
        <v>31435</v>
      </c>
      <c r="F8130" t="s">
        <v>31435</v>
      </c>
      <c r="G8130" s="1">
        <v>41773</v>
      </c>
      <c r="J8130" t="s">
        <v>39533</v>
      </c>
      <c r="K8130" t="s">
        <v>31452</v>
      </c>
      <c r="L8130" t="s">
        <v>39534</v>
      </c>
      <c r="M8130">
        <v>150.1952</v>
      </c>
      <c r="O8130" t="s">
        <v>26</v>
      </c>
      <c r="Q8130">
        <v>83.75</v>
      </c>
      <c r="R8130">
        <v>67</v>
      </c>
      <c r="S8130">
        <v>100.5</v>
      </c>
      <c r="T8130" t="s">
        <v>39535</v>
      </c>
    </row>
    <row r="8131" spans="1:20">
      <c r="A8131">
        <v>4672178</v>
      </c>
      <c r="B8131" t="s">
        <v>39536</v>
      </c>
      <c r="C8131" t="str">
        <f>"9780802009333"</f>
        <v>9780802009333</v>
      </c>
      <c r="D8131" t="str">
        <f>"9781442682542"</f>
        <v>9781442682542</v>
      </c>
      <c r="E8131" t="s">
        <v>31435</v>
      </c>
      <c r="F8131" t="s">
        <v>31435</v>
      </c>
      <c r="G8131" s="1">
        <v>35431</v>
      </c>
      <c r="J8131" t="s">
        <v>39537</v>
      </c>
      <c r="K8131" t="s">
        <v>305</v>
      </c>
      <c r="L8131" t="s">
        <v>39538</v>
      </c>
      <c r="M8131">
        <v>386.47097133800003</v>
      </c>
      <c r="O8131" t="s">
        <v>26</v>
      </c>
      <c r="Q8131">
        <v>135</v>
      </c>
      <c r="R8131">
        <v>108</v>
      </c>
      <c r="S8131">
        <v>162</v>
      </c>
      <c r="T8131" t="s">
        <v>39539</v>
      </c>
    </row>
    <row r="8132" spans="1:20">
      <c r="A8132">
        <v>4672179</v>
      </c>
      <c r="B8132" t="s">
        <v>39540</v>
      </c>
      <c r="C8132" t="str">
        <f>"9780802035967"</f>
        <v>9780802035967</v>
      </c>
      <c r="D8132" t="str">
        <f>"9781442682559"</f>
        <v>9781442682559</v>
      </c>
      <c r="E8132" t="s">
        <v>31435</v>
      </c>
      <c r="F8132" t="s">
        <v>31435</v>
      </c>
      <c r="G8132" s="1">
        <v>37257</v>
      </c>
      <c r="J8132" t="s">
        <v>39541</v>
      </c>
      <c r="K8132" t="s">
        <v>1464</v>
      </c>
      <c r="L8132" t="s">
        <v>39542</v>
      </c>
      <c r="M8132">
        <v>823.8</v>
      </c>
      <c r="O8132" t="s">
        <v>26</v>
      </c>
      <c r="Q8132">
        <v>100</v>
      </c>
      <c r="R8132">
        <v>80</v>
      </c>
      <c r="S8132">
        <v>120</v>
      </c>
      <c r="T8132" t="s">
        <v>39543</v>
      </c>
    </row>
    <row r="8133" spans="1:20">
      <c r="A8133">
        <v>4672180</v>
      </c>
      <c r="B8133" t="s">
        <v>39544</v>
      </c>
      <c r="C8133" t="str">
        <f>"9780802080820"</f>
        <v>9780802080820</v>
      </c>
      <c r="D8133" t="str">
        <f>"9781442682566"</f>
        <v>9781442682566</v>
      </c>
      <c r="E8133" t="s">
        <v>31435</v>
      </c>
      <c r="F8133" t="s">
        <v>31435</v>
      </c>
      <c r="G8133" s="1">
        <v>35796</v>
      </c>
      <c r="J8133" t="s">
        <v>39545</v>
      </c>
      <c r="K8133" t="s">
        <v>278</v>
      </c>
      <c r="L8133" t="s">
        <v>39546</v>
      </c>
      <c r="M8133">
        <v>331.89297109041001</v>
      </c>
      <c r="O8133" t="s">
        <v>26</v>
      </c>
      <c r="Q8133">
        <v>123.75</v>
      </c>
      <c r="R8133">
        <v>99</v>
      </c>
      <c r="S8133">
        <v>148.5</v>
      </c>
      <c r="T8133" t="s">
        <v>39547</v>
      </c>
    </row>
    <row r="8134" spans="1:20">
      <c r="A8134">
        <v>4672182</v>
      </c>
      <c r="B8134" t="s">
        <v>39548</v>
      </c>
      <c r="C8134" t="str">
        <f>"9780802090683"</f>
        <v>9780802090683</v>
      </c>
      <c r="D8134" t="str">
        <f>"9781442682580"</f>
        <v>9781442682580</v>
      </c>
      <c r="E8134" t="s">
        <v>31435</v>
      </c>
      <c r="F8134" t="s">
        <v>31435</v>
      </c>
      <c r="G8134" s="1">
        <v>39081</v>
      </c>
      <c r="I8134" t="s">
        <v>33831</v>
      </c>
      <c r="J8134" t="s">
        <v>39549</v>
      </c>
      <c r="K8134" t="s">
        <v>1471</v>
      </c>
      <c r="L8134" t="s">
        <v>39550</v>
      </c>
      <c r="M8134">
        <v>792.02200000000005</v>
      </c>
      <c r="O8134" t="s">
        <v>26</v>
      </c>
      <c r="Q8134">
        <v>102.5</v>
      </c>
      <c r="R8134">
        <v>82</v>
      </c>
      <c r="S8134">
        <v>123</v>
      </c>
      <c r="T8134" t="s">
        <v>39551</v>
      </c>
    </row>
    <row r="8135" spans="1:20">
      <c r="A8135">
        <v>4672183</v>
      </c>
      <c r="B8135" t="s">
        <v>39552</v>
      </c>
      <c r="C8135" t="str">
        <f>"9780802075895"</f>
        <v>9780802075895</v>
      </c>
      <c r="D8135" t="str">
        <f>"9781442682597"</f>
        <v>9781442682597</v>
      </c>
      <c r="E8135" t="s">
        <v>31435</v>
      </c>
      <c r="F8135" t="s">
        <v>31435</v>
      </c>
      <c r="G8135" s="1">
        <v>34759</v>
      </c>
      <c r="H8135">
        <v>2</v>
      </c>
      <c r="I8135" t="s">
        <v>35056</v>
      </c>
      <c r="J8135" t="s">
        <v>39553</v>
      </c>
      <c r="K8135" t="s">
        <v>1471</v>
      </c>
      <c r="L8135" t="s">
        <v>39554</v>
      </c>
      <c r="M8135">
        <v>792.01400000000001</v>
      </c>
      <c r="O8135" t="s">
        <v>26</v>
      </c>
      <c r="Q8135">
        <v>115</v>
      </c>
      <c r="R8135">
        <v>92</v>
      </c>
      <c r="S8135">
        <v>138</v>
      </c>
      <c r="T8135" t="s">
        <v>39555</v>
      </c>
    </row>
    <row r="8136" spans="1:20">
      <c r="A8136">
        <v>4672185</v>
      </c>
      <c r="B8136" t="s">
        <v>39556</v>
      </c>
      <c r="C8136" t="str">
        <f>"9780802044860"</f>
        <v>9780802044860</v>
      </c>
      <c r="D8136" t="str">
        <f>"9781442682627"</f>
        <v>9781442682627</v>
      </c>
      <c r="E8136" t="s">
        <v>31435</v>
      </c>
      <c r="F8136" t="s">
        <v>31435</v>
      </c>
      <c r="G8136" s="1">
        <v>36330</v>
      </c>
      <c r="J8136" t="s">
        <v>39557</v>
      </c>
      <c r="K8136" t="s">
        <v>263</v>
      </c>
      <c r="L8136" t="s">
        <v>39558</v>
      </c>
      <c r="M8136">
        <v>364.15230971325002</v>
      </c>
      <c r="O8136" t="s">
        <v>26</v>
      </c>
      <c r="Q8136">
        <v>78.75</v>
      </c>
      <c r="R8136">
        <v>63</v>
      </c>
      <c r="S8136">
        <v>94.5</v>
      </c>
      <c r="T8136" t="s">
        <v>39559</v>
      </c>
    </row>
    <row r="8137" spans="1:20">
      <c r="A8137">
        <v>4672186</v>
      </c>
      <c r="B8137" t="s">
        <v>39560</v>
      </c>
      <c r="C8137" t="str">
        <f>"9780802048646"</f>
        <v>9780802048646</v>
      </c>
      <c r="D8137" t="str">
        <f>"9781442682634"</f>
        <v>9781442682634</v>
      </c>
      <c r="E8137" t="s">
        <v>31435</v>
      </c>
      <c r="F8137" t="s">
        <v>31435</v>
      </c>
      <c r="G8137" s="1">
        <v>37464</v>
      </c>
      <c r="J8137" t="s">
        <v>39561</v>
      </c>
      <c r="K8137" t="s">
        <v>1464</v>
      </c>
      <c r="L8137" t="s">
        <v>39562</v>
      </c>
      <c r="M8137">
        <v>822.8</v>
      </c>
      <c r="O8137" t="s">
        <v>26</v>
      </c>
      <c r="Q8137">
        <v>115</v>
      </c>
      <c r="R8137">
        <v>92</v>
      </c>
      <c r="S8137">
        <v>138</v>
      </c>
      <c r="T8137" t="s">
        <v>39563</v>
      </c>
    </row>
    <row r="8138" spans="1:20">
      <c r="A8138">
        <v>4672187</v>
      </c>
      <c r="B8138" t="s">
        <v>39564</v>
      </c>
      <c r="C8138" t="str">
        <f>"9780802054715"</f>
        <v>9780802054715</v>
      </c>
      <c r="D8138" t="str">
        <f>"9781442682641"</f>
        <v>9781442682641</v>
      </c>
      <c r="E8138" t="s">
        <v>31435</v>
      </c>
      <c r="F8138" t="s">
        <v>31435</v>
      </c>
      <c r="G8138" s="1">
        <v>37471</v>
      </c>
      <c r="I8138" t="s">
        <v>34886</v>
      </c>
      <c r="J8138" t="s">
        <v>39565</v>
      </c>
      <c r="K8138" t="s">
        <v>1464</v>
      </c>
      <c r="L8138" t="s">
        <v>39566</v>
      </c>
      <c r="M8138">
        <v>821.1</v>
      </c>
      <c r="O8138" t="s">
        <v>26</v>
      </c>
      <c r="Q8138">
        <v>232.5</v>
      </c>
      <c r="R8138">
        <v>186</v>
      </c>
      <c r="S8138">
        <v>279</v>
      </c>
      <c r="T8138" t="s">
        <v>39567</v>
      </c>
    </row>
    <row r="8139" spans="1:20">
      <c r="A8139">
        <v>4672189</v>
      </c>
      <c r="B8139" t="s">
        <v>39568</v>
      </c>
      <c r="C8139" t="str">
        <f>"9780802047892"</f>
        <v>9780802047892</v>
      </c>
      <c r="D8139" t="str">
        <f>"9781442682665"</f>
        <v>9781442682665</v>
      </c>
      <c r="E8139" t="s">
        <v>31435</v>
      </c>
      <c r="F8139" t="s">
        <v>31435</v>
      </c>
      <c r="G8139" s="1">
        <v>36945</v>
      </c>
      <c r="J8139" t="s">
        <v>39569</v>
      </c>
      <c r="K8139" t="s">
        <v>1464</v>
      </c>
      <c r="L8139" t="s">
        <v>39570</v>
      </c>
      <c r="M8139">
        <v>839.61009000000001</v>
      </c>
      <c r="O8139" t="s">
        <v>26</v>
      </c>
      <c r="Q8139">
        <v>151.25</v>
      </c>
      <c r="R8139">
        <v>121</v>
      </c>
      <c r="S8139">
        <v>181.5</v>
      </c>
      <c r="T8139" t="s">
        <v>39571</v>
      </c>
    </row>
    <row r="8140" spans="1:20">
      <c r="A8140">
        <v>4672190</v>
      </c>
      <c r="B8140" t="s">
        <v>39572</v>
      </c>
      <c r="C8140" t="str">
        <f>"9780802068835"</f>
        <v>9780802068835</v>
      </c>
      <c r="D8140" t="str">
        <f>"9781442682689"</f>
        <v>9781442682689</v>
      </c>
      <c r="E8140" t="s">
        <v>31435</v>
      </c>
      <c r="F8140" t="s">
        <v>31435</v>
      </c>
      <c r="G8140" s="1">
        <v>33359</v>
      </c>
      <c r="I8140" t="s">
        <v>39573</v>
      </c>
      <c r="J8140" t="s">
        <v>17344</v>
      </c>
      <c r="K8140" t="s">
        <v>278</v>
      </c>
      <c r="L8140" t="s">
        <v>39574</v>
      </c>
      <c r="M8140">
        <v>331.09713541000002</v>
      </c>
      <c r="O8140" t="s">
        <v>26</v>
      </c>
      <c r="Q8140">
        <v>59.94</v>
      </c>
      <c r="R8140">
        <v>47.95</v>
      </c>
      <c r="S8140">
        <v>71.930000000000007</v>
      </c>
      <c r="T8140" t="s">
        <v>39575</v>
      </c>
    </row>
    <row r="8141" spans="1:20">
      <c r="A8141">
        <v>4672191</v>
      </c>
      <c r="B8141" t="s">
        <v>39576</v>
      </c>
      <c r="C8141" t="str">
        <f>"9780802072030"</f>
        <v>9780802072030</v>
      </c>
      <c r="D8141" t="str">
        <f>"9781442682696"</f>
        <v>9781442682696</v>
      </c>
      <c r="E8141" t="s">
        <v>31435</v>
      </c>
      <c r="F8141" t="s">
        <v>31435</v>
      </c>
      <c r="G8141" s="1">
        <v>34700</v>
      </c>
      <c r="H8141">
        <v>2</v>
      </c>
      <c r="I8141" t="s">
        <v>34693</v>
      </c>
      <c r="J8141" t="s">
        <v>28383</v>
      </c>
      <c r="K8141" t="s">
        <v>550</v>
      </c>
      <c r="L8141" t="s">
        <v>39577</v>
      </c>
      <c r="M8141">
        <v>305.48906520971201</v>
      </c>
      <c r="O8141" t="s">
        <v>26</v>
      </c>
      <c r="Q8141">
        <v>100</v>
      </c>
      <c r="R8141">
        <v>80</v>
      </c>
      <c r="S8141">
        <v>120</v>
      </c>
      <c r="T8141" t="s">
        <v>39578</v>
      </c>
    </row>
    <row r="8142" spans="1:20">
      <c r="A8142">
        <v>4672192</v>
      </c>
      <c r="B8142" t="s">
        <v>39579</v>
      </c>
      <c r="C8142" t="str">
        <f>"9780802029836"</f>
        <v>9780802029836</v>
      </c>
      <c r="D8142" t="str">
        <f>"9781442682702"</f>
        <v>9781442682702</v>
      </c>
      <c r="E8142" t="s">
        <v>31435</v>
      </c>
      <c r="F8142" t="s">
        <v>31435</v>
      </c>
      <c r="G8142" s="1">
        <v>34335</v>
      </c>
      <c r="I8142" t="s">
        <v>35710</v>
      </c>
      <c r="J8142" t="s">
        <v>39580</v>
      </c>
      <c r="K8142" t="s">
        <v>1464</v>
      </c>
      <c r="L8142" t="s">
        <v>39581</v>
      </c>
      <c r="M8142">
        <v>821.07</v>
      </c>
      <c r="O8142" t="s">
        <v>26</v>
      </c>
      <c r="Q8142">
        <v>96.25</v>
      </c>
      <c r="R8142">
        <v>77</v>
      </c>
      <c r="S8142">
        <v>115.5</v>
      </c>
      <c r="T8142" t="s">
        <v>39582</v>
      </c>
    </row>
    <row r="8143" spans="1:20">
      <c r="A8143">
        <v>4672193</v>
      </c>
      <c r="B8143" t="s">
        <v>39583</v>
      </c>
      <c r="C8143" t="str">
        <f>"9780802078308"</f>
        <v>9780802078308</v>
      </c>
      <c r="D8143" t="str">
        <f>"9781442682719"</f>
        <v>9781442682719</v>
      </c>
      <c r="E8143" t="s">
        <v>31435</v>
      </c>
      <c r="F8143" t="s">
        <v>31435</v>
      </c>
      <c r="G8143" s="1">
        <v>35181</v>
      </c>
      <c r="H8143">
        <v>2</v>
      </c>
      <c r="J8143" t="s">
        <v>39584</v>
      </c>
      <c r="K8143" t="s">
        <v>2260</v>
      </c>
      <c r="L8143" t="s">
        <v>39585</v>
      </c>
      <c r="M8143">
        <v>616.89819999999895</v>
      </c>
      <c r="O8143" t="s">
        <v>26</v>
      </c>
      <c r="Q8143">
        <v>62.44</v>
      </c>
      <c r="R8143">
        <v>49.95</v>
      </c>
      <c r="S8143">
        <v>74.930000000000007</v>
      </c>
      <c r="T8143" t="s">
        <v>39586</v>
      </c>
    </row>
    <row r="8144" spans="1:20">
      <c r="A8144">
        <v>4672194</v>
      </c>
      <c r="B8144" t="s">
        <v>39587</v>
      </c>
      <c r="C8144" t="str">
        <f>"9780802035349"</f>
        <v>9780802035349</v>
      </c>
      <c r="D8144" t="str">
        <f>"9781442682733"</f>
        <v>9781442682733</v>
      </c>
      <c r="E8144" t="s">
        <v>31435</v>
      </c>
      <c r="F8144" t="s">
        <v>31435</v>
      </c>
      <c r="G8144" s="1">
        <v>37086</v>
      </c>
      <c r="J8144" t="s">
        <v>39588</v>
      </c>
      <c r="K8144" t="s">
        <v>1892</v>
      </c>
      <c r="L8144" t="s">
        <v>39589</v>
      </c>
      <c r="M8144">
        <v>291.42</v>
      </c>
      <c r="N8144" t="s">
        <v>39590</v>
      </c>
      <c r="O8144" t="s">
        <v>26</v>
      </c>
      <c r="Q8144">
        <v>115</v>
      </c>
      <c r="R8144">
        <v>92</v>
      </c>
      <c r="S8144">
        <v>138</v>
      </c>
      <c r="T8144" t="s">
        <v>39591</v>
      </c>
    </row>
    <row r="8145" spans="1:20">
      <c r="A8145">
        <v>4672195</v>
      </c>
      <c r="B8145" t="s">
        <v>39592</v>
      </c>
      <c r="C8145" t="str">
        <f>"9780802080516"</f>
        <v>9780802080516</v>
      </c>
      <c r="D8145" t="str">
        <f>"9781442682740"</f>
        <v>9781442682740</v>
      </c>
      <c r="E8145" t="s">
        <v>31435</v>
      </c>
      <c r="F8145" t="s">
        <v>31435</v>
      </c>
      <c r="G8145" s="1">
        <v>36526</v>
      </c>
      <c r="J8145" t="s">
        <v>39593</v>
      </c>
      <c r="K8145" t="s">
        <v>416</v>
      </c>
      <c r="L8145" t="s">
        <v>39594</v>
      </c>
      <c r="M8145">
        <v>338.91091724</v>
      </c>
      <c r="O8145" t="s">
        <v>26</v>
      </c>
      <c r="Q8145">
        <v>107.5</v>
      </c>
      <c r="R8145">
        <v>86</v>
      </c>
      <c r="S8145">
        <v>129</v>
      </c>
      <c r="T8145" t="s">
        <v>39595</v>
      </c>
    </row>
    <row r="8146" spans="1:20">
      <c r="A8146">
        <v>4672196</v>
      </c>
      <c r="B8146" t="s">
        <v>39596</v>
      </c>
      <c r="C8146" t="str">
        <f>"9780802089588"</f>
        <v>9780802089588</v>
      </c>
      <c r="D8146" t="str">
        <f>"9781442682757"</f>
        <v>9781442682757</v>
      </c>
      <c r="E8146" t="s">
        <v>31435</v>
      </c>
      <c r="F8146" t="s">
        <v>31435</v>
      </c>
      <c r="G8146" s="1">
        <v>41773</v>
      </c>
      <c r="J8146" t="s">
        <v>39597</v>
      </c>
      <c r="K8146" t="s">
        <v>1464</v>
      </c>
      <c r="L8146" t="s">
        <v>39598</v>
      </c>
      <c r="M8146">
        <v>809</v>
      </c>
      <c r="O8146" t="s">
        <v>26</v>
      </c>
      <c r="Q8146">
        <v>110</v>
      </c>
      <c r="R8146">
        <v>88</v>
      </c>
      <c r="S8146">
        <v>132</v>
      </c>
      <c r="T8146" t="s">
        <v>39599</v>
      </c>
    </row>
    <row r="8147" spans="1:20">
      <c r="A8147">
        <v>4672198</v>
      </c>
      <c r="B8147" t="s">
        <v>39600</v>
      </c>
      <c r="C8147" t="str">
        <f>"9780802036858"</f>
        <v>9780802036858</v>
      </c>
      <c r="D8147" t="str">
        <f>"9781442682771"</f>
        <v>9781442682771</v>
      </c>
      <c r="E8147" t="s">
        <v>31435</v>
      </c>
      <c r="F8147" t="s">
        <v>31435</v>
      </c>
      <c r="G8147" s="1">
        <v>37618</v>
      </c>
      <c r="I8147" t="s">
        <v>35056</v>
      </c>
      <c r="J8147" t="s">
        <v>39601</v>
      </c>
      <c r="K8147" t="s">
        <v>257</v>
      </c>
      <c r="L8147" t="s">
        <v>39602</v>
      </c>
      <c r="M8147">
        <v>370.71</v>
      </c>
      <c r="N8147" t="s">
        <v>39603</v>
      </c>
      <c r="O8147" t="s">
        <v>26</v>
      </c>
      <c r="Q8147">
        <v>71.25</v>
      </c>
      <c r="R8147">
        <v>57</v>
      </c>
      <c r="S8147">
        <v>85.5</v>
      </c>
      <c r="T8147" t="s">
        <v>39604</v>
      </c>
    </row>
    <row r="8148" spans="1:20">
      <c r="A8148">
        <v>4672200</v>
      </c>
      <c r="B8148" t="s">
        <v>39605</v>
      </c>
      <c r="C8148" t="str">
        <f>"9780802008008"</f>
        <v>9780802008008</v>
      </c>
      <c r="D8148" t="str">
        <f>"9781442682795"</f>
        <v>9781442682795</v>
      </c>
      <c r="E8148" t="s">
        <v>31435</v>
      </c>
      <c r="F8148" t="s">
        <v>31435</v>
      </c>
      <c r="G8148" s="1">
        <v>35796</v>
      </c>
      <c r="I8148" t="s">
        <v>33775</v>
      </c>
      <c r="J8148" t="s">
        <v>39606</v>
      </c>
      <c r="K8148" t="s">
        <v>22702</v>
      </c>
      <c r="L8148" t="s">
        <v>39607</v>
      </c>
      <c r="M8148">
        <v>16.85080091</v>
      </c>
      <c r="O8148" t="s">
        <v>26</v>
      </c>
      <c r="Q8148">
        <v>178.75</v>
      </c>
      <c r="R8148">
        <v>143</v>
      </c>
      <c r="S8148">
        <v>214.5</v>
      </c>
      <c r="T8148" t="s">
        <v>39608</v>
      </c>
    </row>
    <row r="8149" spans="1:20">
      <c r="A8149">
        <v>4672202</v>
      </c>
      <c r="B8149" t="s">
        <v>39609</v>
      </c>
      <c r="C8149" t="str">
        <f>"9780802074201"</f>
        <v>9780802074201</v>
      </c>
      <c r="D8149" t="str">
        <f>"9781442682818"</f>
        <v>9781442682818</v>
      </c>
      <c r="E8149" t="s">
        <v>31435</v>
      </c>
      <c r="F8149" t="s">
        <v>31435</v>
      </c>
      <c r="G8149" s="1">
        <v>35796</v>
      </c>
      <c r="H8149">
        <v>2</v>
      </c>
      <c r="J8149" t="s">
        <v>39610</v>
      </c>
      <c r="K8149" t="s">
        <v>6486</v>
      </c>
      <c r="L8149" t="s">
        <v>39611</v>
      </c>
      <c r="M8149">
        <v>70.449364152308206</v>
      </c>
      <c r="O8149" t="s">
        <v>26</v>
      </c>
      <c r="Q8149">
        <v>100</v>
      </c>
      <c r="R8149">
        <v>80</v>
      </c>
      <c r="S8149">
        <v>120</v>
      </c>
      <c r="T8149" t="s">
        <v>39612</v>
      </c>
    </row>
    <row r="8150" spans="1:20">
      <c r="A8150">
        <v>4672204</v>
      </c>
      <c r="B8150" t="s">
        <v>39613</v>
      </c>
      <c r="C8150" t="str">
        <f>"9780802084293"</f>
        <v>9780802084293</v>
      </c>
      <c r="D8150" t="str">
        <f>"9781442682832"</f>
        <v>9781442682832</v>
      </c>
      <c r="E8150" t="s">
        <v>31435</v>
      </c>
      <c r="F8150" t="s">
        <v>31435</v>
      </c>
      <c r="G8150" s="1">
        <v>36526</v>
      </c>
      <c r="J8150" t="s">
        <v>39614</v>
      </c>
      <c r="K8150" t="s">
        <v>1550</v>
      </c>
      <c r="L8150" t="s">
        <v>39615</v>
      </c>
      <c r="M8150">
        <v>364.13809709999902</v>
      </c>
      <c r="O8150" t="s">
        <v>26</v>
      </c>
      <c r="Q8150">
        <v>80</v>
      </c>
      <c r="R8150">
        <v>64</v>
      </c>
      <c r="S8150">
        <v>96</v>
      </c>
      <c r="T8150" t="s">
        <v>39616</v>
      </c>
    </row>
    <row r="8151" spans="1:20">
      <c r="A8151">
        <v>4672205</v>
      </c>
      <c r="B8151" t="s">
        <v>39617</v>
      </c>
      <c r="C8151" t="str">
        <f>"9780802087980"</f>
        <v>9780802087980</v>
      </c>
      <c r="D8151" t="str">
        <f>"9781442682856"</f>
        <v>9781442682856</v>
      </c>
      <c r="E8151" t="s">
        <v>31435</v>
      </c>
      <c r="F8151" t="s">
        <v>31435</v>
      </c>
      <c r="G8151" s="1">
        <v>37622</v>
      </c>
      <c r="H8151">
        <v>2</v>
      </c>
      <c r="I8151" t="s">
        <v>35264</v>
      </c>
      <c r="J8151" t="s">
        <v>39618</v>
      </c>
      <c r="K8151" t="s">
        <v>1464</v>
      </c>
      <c r="L8151" t="s">
        <v>39619</v>
      </c>
      <c r="M8151">
        <v>801.95092199999897</v>
      </c>
      <c r="O8151" t="s">
        <v>26</v>
      </c>
      <c r="Q8151">
        <v>100</v>
      </c>
      <c r="R8151">
        <v>80</v>
      </c>
      <c r="S8151">
        <v>120</v>
      </c>
      <c r="T8151" t="s">
        <v>39620</v>
      </c>
    </row>
    <row r="8152" spans="1:20">
      <c r="A8152">
        <v>4672206</v>
      </c>
      <c r="B8152" t="s">
        <v>39621</v>
      </c>
      <c r="C8152" t="str">
        <f>"9780802047243"</f>
        <v>9780802047243</v>
      </c>
      <c r="D8152" t="str">
        <f>"9781442682863"</f>
        <v>9781442682863</v>
      </c>
      <c r="E8152" t="s">
        <v>31435</v>
      </c>
      <c r="F8152" t="s">
        <v>31435</v>
      </c>
      <c r="G8152" s="1">
        <v>36526</v>
      </c>
      <c r="I8152" t="s">
        <v>33775</v>
      </c>
      <c r="J8152" t="s">
        <v>39622</v>
      </c>
      <c r="K8152" t="s">
        <v>1464</v>
      </c>
      <c r="L8152" t="s">
        <v>39623</v>
      </c>
      <c r="M8152">
        <v>853.91399999999896</v>
      </c>
      <c r="O8152" t="s">
        <v>26</v>
      </c>
      <c r="Q8152">
        <v>91.25</v>
      </c>
      <c r="R8152">
        <v>73</v>
      </c>
      <c r="S8152">
        <v>109.5</v>
      </c>
      <c r="T8152" t="s">
        <v>39624</v>
      </c>
    </row>
    <row r="8153" spans="1:20">
      <c r="A8153">
        <v>4672207</v>
      </c>
      <c r="B8153" t="s">
        <v>39625</v>
      </c>
      <c r="C8153" t="str">
        <f>"9780802085061"</f>
        <v>9780802085061</v>
      </c>
      <c r="D8153" t="str">
        <f>"9781442682870"</f>
        <v>9781442682870</v>
      </c>
      <c r="E8153" t="s">
        <v>31435</v>
      </c>
      <c r="F8153" t="s">
        <v>31435</v>
      </c>
      <c r="G8153" s="1">
        <v>37989</v>
      </c>
      <c r="J8153" t="s">
        <v>39626</v>
      </c>
      <c r="K8153" t="s">
        <v>263</v>
      </c>
      <c r="L8153" t="s">
        <v>39627</v>
      </c>
      <c r="M8153">
        <v>362.88082097099903</v>
      </c>
      <c r="O8153" t="s">
        <v>26</v>
      </c>
      <c r="Q8153">
        <v>95</v>
      </c>
      <c r="R8153">
        <v>76</v>
      </c>
      <c r="S8153">
        <v>114</v>
      </c>
      <c r="T8153" t="s">
        <v>39628</v>
      </c>
    </row>
    <row r="8154" spans="1:20">
      <c r="A8154">
        <v>4672208</v>
      </c>
      <c r="B8154" t="s">
        <v>39629</v>
      </c>
      <c r="C8154" t="str">
        <f>"9780802063625"</f>
        <v>9780802063625</v>
      </c>
      <c r="D8154" t="str">
        <f>"9781442682894"</f>
        <v>9781442682894</v>
      </c>
      <c r="E8154" t="s">
        <v>31435</v>
      </c>
      <c r="F8154" t="s">
        <v>31435</v>
      </c>
      <c r="G8154" s="1">
        <v>29221</v>
      </c>
      <c r="H8154">
        <v>2</v>
      </c>
      <c r="J8154" t="s">
        <v>39630</v>
      </c>
      <c r="K8154" t="s">
        <v>574</v>
      </c>
      <c r="L8154" t="s">
        <v>39631</v>
      </c>
      <c r="M8154">
        <v>338.109713</v>
      </c>
      <c r="O8154" t="s">
        <v>26</v>
      </c>
      <c r="Q8154">
        <v>59.94</v>
      </c>
      <c r="R8154">
        <v>47.95</v>
      </c>
      <c r="S8154">
        <v>71.930000000000007</v>
      </c>
      <c r="T8154" t="s">
        <v>39632</v>
      </c>
    </row>
    <row r="8155" spans="1:20">
      <c r="A8155">
        <v>4672212</v>
      </c>
      <c r="B8155" t="s">
        <v>39633</v>
      </c>
      <c r="C8155" t="str">
        <f>"9780802083685"</f>
        <v>9780802083685</v>
      </c>
      <c r="D8155" t="str">
        <f>"9781442682917"</f>
        <v>9781442682917</v>
      </c>
      <c r="E8155" t="s">
        <v>31435</v>
      </c>
      <c r="F8155" t="s">
        <v>31435</v>
      </c>
      <c r="G8155" s="1">
        <v>36526</v>
      </c>
      <c r="I8155" t="s">
        <v>33881</v>
      </c>
      <c r="J8155" t="s">
        <v>39634</v>
      </c>
      <c r="K8155" t="s">
        <v>525</v>
      </c>
      <c r="L8155" t="s">
        <v>39635</v>
      </c>
      <c r="M8155">
        <v>344.71307949999903</v>
      </c>
      <c r="O8155" t="s">
        <v>26</v>
      </c>
      <c r="Q8155">
        <v>140</v>
      </c>
      <c r="R8155">
        <v>112</v>
      </c>
      <c r="S8155">
        <v>168</v>
      </c>
      <c r="T8155" t="s">
        <v>39636</v>
      </c>
    </row>
    <row r="8156" spans="1:20">
      <c r="A8156">
        <v>4672213</v>
      </c>
      <c r="B8156" t="s">
        <v>39637</v>
      </c>
      <c r="C8156" t="str">
        <f>"9780802087539"</f>
        <v>9780802087539</v>
      </c>
      <c r="D8156" t="str">
        <f>"9781442682924"</f>
        <v>9781442682924</v>
      </c>
      <c r="E8156" t="s">
        <v>31435</v>
      </c>
      <c r="F8156" t="s">
        <v>31435</v>
      </c>
      <c r="G8156" s="1">
        <v>41773</v>
      </c>
      <c r="H8156">
        <v>2</v>
      </c>
      <c r="J8156" t="s">
        <v>39638</v>
      </c>
      <c r="K8156" t="s">
        <v>278</v>
      </c>
      <c r="L8156" t="s">
        <v>39639</v>
      </c>
      <c r="M8156">
        <v>331.04135171000001</v>
      </c>
      <c r="O8156" t="s">
        <v>26</v>
      </c>
      <c r="Q8156">
        <v>115</v>
      </c>
      <c r="R8156">
        <v>92</v>
      </c>
      <c r="S8156">
        <v>138</v>
      </c>
      <c r="T8156" t="s">
        <v>39640</v>
      </c>
    </row>
    <row r="8157" spans="1:20">
      <c r="A8157">
        <v>4672215</v>
      </c>
      <c r="B8157" t="s">
        <v>39641</v>
      </c>
      <c r="C8157" t="str">
        <f>"9780802048226"</f>
        <v>9780802048226</v>
      </c>
      <c r="D8157" t="str">
        <f>"9781442682931"</f>
        <v>9781442682931</v>
      </c>
      <c r="E8157" t="s">
        <v>31435</v>
      </c>
      <c r="F8157" t="s">
        <v>31435</v>
      </c>
      <c r="G8157" s="1">
        <v>37737</v>
      </c>
      <c r="J8157" t="s">
        <v>39642</v>
      </c>
      <c r="K8157" t="s">
        <v>11854</v>
      </c>
      <c r="L8157" t="s">
        <v>39643</v>
      </c>
      <c r="M8157">
        <v>829.09</v>
      </c>
      <c r="N8157" t="s">
        <v>39644</v>
      </c>
      <c r="O8157" t="s">
        <v>26</v>
      </c>
      <c r="Q8157">
        <v>143.75</v>
      </c>
      <c r="R8157">
        <v>115</v>
      </c>
      <c r="S8157">
        <v>172.5</v>
      </c>
      <c r="T8157" t="s">
        <v>39645</v>
      </c>
    </row>
    <row r="8158" spans="1:20">
      <c r="A8158">
        <v>4672216</v>
      </c>
      <c r="B8158" t="s">
        <v>39646</v>
      </c>
      <c r="C8158" t="str">
        <f>"9781442628441"</f>
        <v>9781442628441</v>
      </c>
      <c r="D8158" t="str">
        <f>"9781442682948"</f>
        <v>9781442682948</v>
      </c>
      <c r="E8158" t="s">
        <v>31435</v>
      </c>
      <c r="F8158" t="s">
        <v>31435</v>
      </c>
      <c r="G8158" s="1">
        <v>41873</v>
      </c>
      <c r="J8158" t="s">
        <v>39647</v>
      </c>
      <c r="K8158" t="s">
        <v>291</v>
      </c>
      <c r="M8158">
        <v>947.7</v>
      </c>
      <c r="O8158" t="s">
        <v>26</v>
      </c>
      <c r="Q8158">
        <v>172.5</v>
      </c>
      <c r="R8158">
        <v>138</v>
      </c>
      <c r="S8158">
        <v>207</v>
      </c>
      <c r="T8158" t="s">
        <v>39648</v>
      </c>
    </row>
    <row r="8159" spans="1:20">
      <c r="A8159">
        <v>4672217</v>
      </c>
      <c r="B8159" t="s">
        <v>39649</v>
      </c>
      <c r="C8159" t="str">
        <f>"9780802077745"</f>
        <v>9780802077745</v>
      </c>
      <c r="D8159" t="str">
        <f>"9781442682962"</f>
        <v>9781442682962</v>
      </c>
      <c r="E8159" t="s">
        <v>31435</v>
      </c>
      <c r="F8159" t="s">
        <v>31435</v>
      </c>
      <c r="G8159" s="1">
        <v>33970</v>
      </c>
      <c r="H8159">
        <v>2</v>
      </c>
      <c r="I8159" t="s">
        <v>35710</v>
      </c>
      <c r="J8159" t="s">
        <v>37003</v>
      </c>
      <c r="K8159" t="s">
        <v>1464</v>
      </c>
      <c r="L8159" t="s">
        <v>39650</v>
      </c>
      <c r="M8159">
        <v>823.60992869999905</v>
      </c>
      <c r="O8159" t="s">
        <v>26</v>
      </c>
      <c r="Q8159">
        <v>59.94</v>
      </c>
      <c r="R8159">
        <v>47.95</v>
      </c>
      <c r="S8159">
        <v>71.930000000000007</v>
      </c>
      <c r="T8159" t="s">
        <v>39651</v>
      </c>
    </row>
    <row r="8160" spans="1:20">
      <c r="A8160">
        <v>4672218</v>
      </c>
      <c r="B8160" t="s">
        <v>39652</v>
      </c>
      <c r="C8160" t="str">
        <f>"9780802096364"</f>
        <v>9780802096364</v>
      </c>
      <c r="D8160" t="str">
        <f>"9781442682979"</f>
        <v>9781442682979</v>
      </c>
      <c r="E8160" t="s">
        <v>31435</v>
      </c>
      <c r="F8160" t="s">
        <v>31435</v>
      </c>
      <c r="G8160" s="1">
        <v>41773</v>
      </c>
      <c r="J8160" t="s">
        <v>39653</v>
      </c>
      <c r="K8160" t="s">
        <v>1322</v>
      </c>
      <c r="L8160" t="s">
        <v>39654</v>
      </c>
      <c r="M8160">
        <v>362.1</v>
      </c>
      <c r="O8160" t="s">
        <v>26</v>
      </c>
      <c r="Q8160">
        <v>113.75</v>
      </c>
      <c r="R8160">
        <v>91</v>
      </c>
      <c r="S8160">
        <v>136.5</v>
      </c>
      <c r="T8160" t="s">
        <v>39655</v>
      </c>
    </row>
    <row r="8161" spans="1:20">
      <c r="A8161">
        <v>4672219</v>
      </c>
      <c r="B8161" t="s">
        <v>39656</v>
      </c>
      <c r="C8161" t="str">
        <f>"9780802087324"</f>
        <v>9780802087324</v>
      </c>
      <c r="D8161" t="str">
        <f>"9781442682986"</f>
        <v>9781442682986</v>
      </c>
      <c r="E8161" t="s">
        <v>31435</v>
      </c>
      <c r="F8161" t="s">
        <v>31435</v>
      </c>
      <c r="G8161" s="1">
        <v>41773</v>
      </c>
      <c r="H8161">
        <v>2</v>
      </c>
      <c r="I8161" t="s">
        <v>35029</v>
      </c>
      <c r="J8161" t="s">
        <v>37960</v>
      </c>
      <c r="K8161" t="s">
        <v>1859</v>
      </c>
      <c r="L8161" t="s">
        <v>39657</v>
      </c>
      <c r="M8161">
        <v>144.6</v>
      </c>
      <c r="O8161" t="s">
        <v>26</v>
      </c>
      <c r="Q8161">
        <v>102.5</v>
      </c>
      <c r="R8161">
        <v>82</v>
      </c>
      <c r="S8161">
        <v>123</v>
      </c>
      <c r="T8161" t="s">
        <v>39658</v>
      </c>
    </row>
    <row r="8162" spans="1:20">
      <c r="A8162">
        <v>4672220</v>
      </c>
      <c r="B8162" t="s">
        <v>39659</v>
      </c>
      <c r="C8162" t="str">
        <f>"9780802089366"</f>
        <v>9780802089366</v>
      </c>
      <c r="D8162" t="str">
        <f>"9781442682993"</f>
        <v>9781442682993</v>
      </c>
      <c r="E8162" t="s">
        <v>31435</v>
      </c>
      <c r="F8162" t="s">
        <v>31435</v>
      </c>
      <c r="G8162" s="1">
        <v>41773</v>
      </c>
      <c r="J8162" t="s">
        <v>39660</v>
      </c>
      <c r="K8162" t="s">
        <v>1464</v>
      </c>
      <c r="L8162" t="s">
        <v>39661</v>
      </c>
      <c r="M8162">
        <v>820.93719999999996</v>
      </c>
      <c r="O8162" t="s">
        <v>26</v>
      </c>
      <c r="Q8162">
        <v>155</v>
      </c>
      <c r="R8162">
        <v>124</v>
      </c>
      <c r="S8162">
        <v>186</v>
      </c>
      <c r="T8162" t="s">
        <v>39662</v>
      </c>
    </row>
    <row r="8163" spans="1:20">
      <c r="A8163">
        <v>4672221</v>
      </c>
      <c r="B8163" t="s">
        <v>39663</v>
      </c>
      <c r="C8163" t="str">
        <f>"9780802084057"</f>
        <v>9780802084057</v>
      </c>
      <c r="D8163" t="str">
        <f>"9781442683006"</f>
        <v>9781442683006</v>
      </c>
      <c r="E8163" t="s">
        <v>31435</v>
      </c>
      <c r="F8163" t="s">
        <v>31435</v>
      </c>
      <c r="G8163" s="1">
        <v>41773</v>
      </c>
      <c r="I8163" t="s">
        <v>35946</v>
      </c>
      <c r="J8163" t="s">
        <v>39664</v>
      </c>
      <c r="K8163" t="s">
        <v>467</v>
      </c>
      <c r="L8163" t="s">
        <v>39665</v>
      </c>
      <c r="M8163">
        <v>320</v>
      </c>
      <c r="O8163" t="s">
        <v>26</v>
      </c>
      <c r="Q8163">
        <v>59.94</v>
      </c>
      <c r="R8163">
        <v>47.95</v>
      </c>
      <c r="S8163">
        <v>71.930000000000007</v>
      </c>
      <c r="T8163" t="s">
        <v>39666</v>
      </c>
    </row>
    <row r="8164" spans="1:20">
      <c r="A8164">
        <v>4672222</v>
      </c>
      <c r="B8164" t="s">
        <v>39667</v>
      </c>
      <c r="C8164" t="str">
        <f>"9780802004239"</f>
        <v>9780802004239</v>
      </c>
      <c r="D8164" t="str">
        <f>"9781442683013"</f>
        <v>9781442683013</v>
      </c>
      <c r="E8164" t="s">
        <v>31435</v>
      </c>
      <c r="F8164" t="s">
        <v>31435</v>
      </c>
      <c r="G8164" s="1">
        <v>34700</v>
      </c>
      <c r="J8164" t="s">
        <v>16894</v>
      </c>
      <c r="K8164" t="s">
        <v>257</v>
      </c>
      <c r="L8164" t="s">
        <v>39668</v>
      </c>
      <c r="M8164">
        <v>370.11399999999901</v>
      </c>
      <c r="O8164" t="s">
        <v>26</v>
      </c>
      <c r="Q8164">
        <v>147.5</v>
      </c>
      <c r="R8164">
        <v>118</v>
      </c>
      <c r="S8164">
        <v>177</v>
      </c>
      <c r="T8164" t="s">
        <v>39669</v>
      </c>
    </row>
    <row r="8165" spans="1:20">
      <c r="A8165">
        <v>4672223</v>
      </c>
      <c r="B8165" t="s">
        <v>39670</v>
      </c>
      <c r="C8165" t="str">
        <f>"9780802080110"</f>
        <v>9780802080110</v>
      </c>
      <c r="D8165" t="str">
        <f>"9781442683020"</f>
        <v>9781442683020</v>
      </c>
      <c r="E8165" t="s">
        <v>31435</v>
      </c>
      <c r="F8165" t="s">
        <v>31435</v>
      </c>
      <c r="G8165" s="1">
        <v>38353</v>
      </c>
      <c r="J8165" t="s">
        <v>39671</v>
      </c>
      <c r="K8165" t="s">
        <v>4081</v>
      </c>
      <c r="L8165" t="s">
        <v>39672</v>
      </c>
      <c r="M8165">
        <v>429</v>
      </c>
      <c r="O8165" t="s">
        <v>26</v>
      </c>
      <c r="Q8165">
        <v>140</v>
      </c>
      <c r="R8165">
        <v>112</v>
      </c>
      <c r="S8165">
        <v>168</v>
      </c>
      <c r="T8165" t="s">
        <v>39673</v>
      </c>
    </row>
    <row r="8166" spans="1:20">
      <c r="A8166">
        <v>4672224</v>
      </c>
      <c r="B8166" t="s">
        <v>39674</v>
      </c>
      <c r="C8166" t="str">
        <f>"9780802060556"</f>
        <v>9780802060556</v>
      </c>
      <c r="D8166" t="str">
        <f>"9781442683044"</f>
        <v>9781442683044</v>
      </c>
      <c r="E8166" t="s">
        <v>31435</v>
      </c>
      <c r="F8166" t="s">
        <v>31435</v>
      </c>
      <c r="G8166" s="1">
        <v>23743</v>
      </c>
      <c r="J8166" t="s">
        <v>31942</v>
      </c>
      <c r="K8166" t="s">
        <v>263</v>
      </c>
      <c r="L8166" t="s">
        <v>39675</v>
      </c>
      <c r="M8166">
        <v>301.44097099999902</v>
      </c>
      <c r="O8166" t="s">
        <v>26</v>
      </c>
      <c r="Q8166">
        <v>59.94</v>
      </c>
      <c r="R8166">
        <v>47.95</v>
      </c>
      <c r="S8166">
        <v>71.930000000000007</v>
      </c>
      <c r="T8166" t="s">
        <v>39676</v>
      </c>
    </row>
    <row r="8167" spans="1:20">
      <c r="A8167">
        <v>4672226</v>
      </c>
      <c r="B8167" t="s">
        <v>39677</v>
      </c>
      <c r="C8167" t="str">
        <f>"9780802043221"</f>
        <v>9780802043221</v>
      </c>
      <c r="D8167" t="str">
        <f>"9781442683068"</f>
        <v>9781442683068</v>
      </c>
      <c r="E8167" t="s">
        <v>31435</v>
      </c>
      <c r="F8167" t="s">
        <v>31435</v>
      </c>
      <c r="G8167" s="1">
        <v>35796</v>
      </c>
      <c r="I8167" t="s">
        <v>34035</v>
      </c>
      <c r="J8167" t="s">
        <v>39678</v>
      </c>
      <c r="K8167" t="s">
        <v>1464</v>
      </c>
      <c r="L8167" t="s">
        <v>39679</v>
      </c>
      <c r="M8167">
        <v>842.7</v>
      </c>
      <c r="O8167" t="s">
        <v>26</v>
      </c>
      <c r="Q8167">
        <v>115</v>
      </c>
      <c r="R8167">
        <v>92</v>
      </c>
      <c r="S8167">
        <v>138</v>
      </c>
      <c r="T8167" t="s">
        <v>39680</v>
      </c>
    </row>
    <row r="8168" spans="1:20">
      <c r="A8168">
        <v>4672227</v>
      </c>
      <c r="B8168" t="s">
        <v>39681</v>
      </c>
      <c r="C8168" t="str">
        <f>"9780802071743"</f>
        <v>9780802071743</v>
      </c>
      <c r="D8168" t="str">
        <f>"9781442683075"</f>
        <v>9781442683075</v>
      </c>
      <c r="E8168" t="s">
        <v>31435</v>
      </c>
      <c r="F8168" t="s">
        <v>31435</v>
      </c>
      <c r="G8168" s="1">
        <v>34998</v>
      </c>
      <c r="J8168" t="s">
        <v>38238</v>
      </c>
      <c r="K8168" t="s">
        <v>39682</v>
      </c>
      <c r="L8168" t="s">
        <v>39683</v>
      </c>
      <c r="M8168">
        <v>52.090339999999898</v>
      </c>
      <c r="N8168" t="s">
        <v>39684</v>
      </c>
      <c r="O8168" t="s">
        <v>26</v>
      </c>
      <c r="Q8168">
        <v>71.25</v>
      </c>
      <c r="R8168">
        <v>57</v>
      </c>
      <c r="S8168">
        <v>85.5</v>
      </c>
      <c r="T8168" t="s">
        <v>39685</v>
      </c>
    </row>
    <row r="8169" spans="1:20">
      <c r="A8169">
        <v>4672228</v>
      </c>
      <c r="B8169" t="s">
        <v>39686</v>
      </c>
      <c r="C8169" t="str">
        <f>"9780802067890"</f>
        <v>9780802067890</v>
      </c>
      <c r="D8169" t="str">
        <f>"9781442683082"</f>
        <v>9781442683082</v>
      </c>
      <c r="E8169" t="s">
        <v>31435</v>
      </c>
      <c r="F8169" t="s">
        <v>31435</v>
      </c>
      <c r="G8169" s="1">
        <v>33239</v>
      </c>
      <c r="H8169">
        <v>2</v>
      </c>
      <c r="I8169" t="s">
        <v>34886</v>
      </c>
      <c r="J8169" t="s">
        <v>39687</v>
      </c>
      <c r="K8169" t="s">
        <v>1464</v>
      </c>
      <c r="L8169" t="s">
        <v>39688</v>
      </c>
      <c r="M8169" t="s">
        <v>36979</v>
      </c>
      <c r="O8169" t="s">
        <v>26</v>
      </c>
      <c r="Q8169">
        <v>59.94</v>
      </c>
      <c r="R8169">
        <v>47.95</v>
      </c>
      <c r="S8169">
        <v>71.930000000000007</v>
      </c>
      <c r="T8169" t="s">
        <v>39689</v>
      </c>
    </row>
    <row r="8170" spans="1:20">
      <c r="A8170">
        <v>4672229</v>
      </c>
      <c r="B8170" t="s">
        <v>39690</v>
      </c>
      <c r="C8170" t="str">
        <f>"9780802080509"</f>
        <v>9780802080509</v>
      </c>
      <c r="D8170" t="str">
        <f>"9781442683105"</f>
        <v>9781442683105</v>
      </c>
      <c r="E8170" t="s">
        <v>31435</v>
      </c>
      <c r="F8170" t="s">
        <v>31435</v>
      </c>
      <c r="G8170" s="1">
        <v>36130</v>
      </c>
      <c r="I8170" t="s">
        <v>36249</v>
      </c>
      <c r="J8170" t="s">
        <v>39691</v>
      </c>
      <c r="K8170" t="s">
        <v>467</v>
      </c>
      <c r="L8170" t="s">
        <v>39692</v>
      </c>
      <c r="M8170" t="s">
        <v>39693</v>
      </c>
      <c r="N8170" t="s">
        <v>39694</v>
      </c>
      <c r="O8170" t="s">
        <v>26</v>
      </c>
      <c r="Q8170">
        <v>115</v>
      </c>
      <c r="R8170">
        <v>92</v>
      </c>
      <c r="S8170">
        <v>138</v>
      </c>
      <c r="T8170" t="s">
        <v>39695</v>
      </c>
    </row>
    <row r="8171" spans="1:20">
      <c r="A8171">
        <v>4672230</v>
      </c>
      <c r="B8171" t="s">
        <v>39696</v>
      </c>
      <c r="C8171" t="str">
        <f>"9780802037763"</f>
        <v>9780802037763</v>
      </c>
      <c r="D8171" t="str">
        <f>"9781442683112"</f>
        <v>9781442683112</v>
      </c>
      <c r="E8171" t="s">
        <v>31435</v>
      </c>
      <c r="F8171" t="s">
        <v>31435</v>
      </c>
      <c r="G8171" s="1">
        <v>38353</v>
      </c>
      <c r="J8171" t="s">
        <v>39697</v>
      </c>
      <c r="K8171" t="s">
        <v>1892</v>
      </c>
      <c r="L8171" t="s">
        <v>39698</v>
      </c>
      <c r="M8171" t="s">
        <v>39699</v>
      </c>
      <c r="O8171" t="s">
        <v>26</v>
      </c>
      <c r="Q8171">
        <v>117.5</v>
      </c>
      <c r="R8171">
        <v>94</v>
      </c>
      <c r="S8171">
        <v>141</v>
      </c>
      <c r="T8171" t="s">
        <v>39700</v>
      </c>
    </row>
    <row r="8172" spans="1:20">
      <c r="A8172">
        <v>4672231</v>
      </c>
      <c r="B8172" t="s">
        <v>39701</v>
      </c>
      <c r="C8172" t="str">
        <f>"9780802048875"</f>
        <v>9780802048875</v>
      </c>
      <c r="D8172" t="str">
        <f>"9781442683129"</f>
        <v>9781442683129</v>
      </c>
      <c r="E8172" t="s">
        <v>31435</v>
      </c>
      <c r="F8172" t="s">
        <v>31435</v>
      </c>
      <c r="G8172" s="1">
        <v>38668</v>
      </c>
      <c r="I8172" t="s">
        <v>33775</v>
      </c>
      <c r="J8172" t="s">
        <v>37731</v>
      </c>
      <c r="K8172" t="s">
        <v>4081</v>
      </c>
      <c r="L8172" t="s">
        <v>39702</v>
      </c>
      <c r="M8172">
        <v>458.24209999999903</v>
      </c>
      <c r="O8172" t="s">
        <v>26</v>
      </c>
      <c r="Q8172">
        <v>59.94</v>
      </c>
      <c r="R8172">
        <v>47.95</v>
      </c>
      <c r="S8172">
        <v>71.930000000000007</v>
      </c>
      <c r="T8172" t="s">
        <v>39703</v>
      </c>
    </row>
    <row r="8173" spans="1:20">
      <c r="A8173">
        <v>4672233</v>
      </c>
      <c r="B8173" t="s">
        <v>39704</v>
      </c>
      <c r="C8173" t="str">
        <f>"9780802078247"</f>
        <v>9780802078247</v>
      </c>
      <c r="D8173" t="str">
        <f>"9781442683143"</f>
        <v>9781442683143</v>
      </c>
      <c r="E8173" t="s">
        <v>31435</v>
      </c>
      <c r="F8173" t="s">
        <v>31435</v>
      </c>
      <c r="G8173" s="1">
        <v>35065</v>
      </c>
      <c r="H8173">
        <v>2</v>
      </c>
      <c r="I8173" t="s">
        <v>33775</v>
      </c>
      <c r="J8173" t="s">
        <v>39705</v>
      </c>
      <c r="K8173" t="s">
        <v>4081</v>
      </c>
      <c r="L8173" t="s">
        <v>39706</v>
      </c>
      <c r="M8173" t="s">
        <v>39707</v>
      </c>
      <c r="O8173" t="s">
        <v>26</v>
      </c>
      <c r="Q8173">
        <v>59.94</v>
      </c>
      <c r="R8173">
        <v>47.95</v>
      </c>
      <c r="S8173">
        <v>71.930000000000007</v>
      </c>
      <c r="T8173" t="s">
        <v>39708</v>
      </c>
    </row>
    <row r="8174" spans="1:20">
      <c r="A8174">
        <v>4672234</v>
      </c>
      <c r="B8174" t="s">
        <v>39709</v>
      </c>
      <c r="C8174" t="str">
        <f>"9780802078032"</f>
        <v>9780802078032</v>
      </c>
      <c r="D8174" t="str">
        <f>"9781442683167"</f>
        <v>9781442683167</v>
      </c>
      <c r="E8174" t="s">
        <v>31435</v>
      </c>
      <c r="F8174" t="s">
        <v>31435</v>
      </c>
      <c r="G8174" s="1">
        <v>35065</v>
      </c>
      <c r="I8174" t="s">
        <v>35710</v>
      </c>
      <c r="J8174" t="s">
        <v>39710</v>
      </c>
      <c r="K8174" t="s">
        <v>1471</v>
      </c>
      <c r="L8174" t="s">
        <v>39711</v>
      </c>
      <c r="M8174">
        <v>759.13</v>
      </c>
      <c r="O8174" t="s">
        <v>26</v>
      </c>
      <c r="Q8174">
        <v>59.94</v>
      </c>
      <c r="R8174">
        <v>47.95</v>
      </c>
      <c r="S8174">
        <v>71.930000000000007</v>
      </c>
      <c r="T8174" t="s">
        <v>39712</v>
      </c>
    </row>
    <row r="8175" spans="1:20">
      <c r="A8175">
        <v>4672235</v>
      </c>
      <c r="B8175" t="s">
        <v>39713</v>
      </c>
      <c r="C8175" t="str">
        <f>"9780802077738"</f>
        <v>9780802077738</v>
      </c>
      <c r="D8175" t="str">
        <f>"9781442683174"</f>
        <v>9781442683174</v>
      </c>
      <c r="E8175" t="s">
        <v>31435</v>
      </c>
      <c r="F8175" t="s">
        <v>31435</v>
      </c>
      <c r="G8175" s="1">
        <v>34141</v>
      </c>
      <c r="J8175" t="s">
        <v>39714</v>
      </c>
      <c r="K8175" t="s">
        <v>2312</v>
      </c>
      <c r="L8175" t="s">
        <v>39715</v>
      </c>
      <c r="M8175">
        <v>350</v>
      </c>
      <c r="O8175" t="s">
        <v>26</v>
      </c>
      <c r="Q8175">
        <v>59.94</v>
      </c>
      <c r="R8175">
        <v>47.95</v>
      </c>
      <c r="S8175">
        <v>71.930000000000007</v>
      </c>
      <c r="T8175" t="s">
        <v>39716</v>
      </c>
    </row>
    <row r="8176" spans="1:20">
      <c r="A8176">
        <v>4672236</v>
      </c>
      <c r="B8176" t="s">
        <v>39717</v>
      </c>
      <c r="C8176" t="str">
        <f>"9780802010827"</f>
        <v>9780802010827</v>
      </c>
      <c r="D8176" t="str">
        <f>"9781442683181"</f>
        <v>9781442683181</v>
      </c>
      <c r="E8176" t="s">
        <v>31435</v>
      </c>
      <c r="F8176" t="s">
        <v>31435</v>
      </c>
      <c r="G8176" s="1">
        <v>21186</v>
      </c>
      <c r="J8176" t="s">
        <v>39718</v>
      </c>
      <c r="K8176" t="s">
        <v>291</v>
      </c>
      <c r="L8176" t="s">
        <v>39719</v>
      </c>
      <c r="M8176">
        <v>971.06220919999896</v>
      </c>
      <c r="O8176" t="s">
        <v>26</v>
      </c>
      <c r="Q8176">
        <v>186.25</v>
      </c>
      <c r="R8176">
        <v>149</v>
      </c>
      <c r="S8176">
        <v>223.5</v>
      </c>
      <c r="T8176" t="s">
        <v>39720</v>
      </c>
    </row>
    <row r="8177" spans="1:20">
      <c r="A8177">
        <v>4672237</v>
      </c>
      <c r="B8177" t="s">
        <v>39721</v>
      </c>
      <c r="C8177" t="str">
        <f>"9780802065704"</f>
        <v>9780802065704</v>
      </c>
      <c r="D8177" t="str">
        <f>"9781442683198"</f>
        <v>9781442683198</v>
      </c>
      <c r="E8177" t="s">
        <v>31435</v>
      </c>
      <c r="F8177" t="s">
        <v>31435</v>
      </c>
      <c r="G8177" s="1">
        <v>31048</v>
      </c>
      <c r="H8177">
        <v>2</v>
      </c>
      <c r="J8177" t="s">
        <v>7013</v>
      </c>
      <c r="K8177" t="s">
        <v>291</v>
      </c>
      <c r="L8177" t="s">
        <v>39722</v>
      </c>
      <c r="M8177">
        <v>971</v>
      </c>
      <c r="O8177" t="s">
        <v>26</v>
      </c>
      <c r="Q8177">
        <v>59.94</v>
      </c>
      <c r="R8177">
        <v>47.95</v>
      </c>
      <c r="S8177">
        <v>71.930000000000007</v>
      </c>
      <c r="T8177" t="s">
        <v>39723</v>
      </c>
    </row>
    <row r="8178" spans="1:20">
      <c r="A8178">
        <v>4672238</v>
      </c>
      <c r="B8178" t="s">
        <v>39724</v>
      </c>
      <c r="C8178" t="str">
        <f>"9780802085238"</f>
        <v>9780802085238</v>
      </c>
      <c r="D8178" t="str">
        <f>"9781442683204"</f>
        <v>9781442683204</v>
      </c>
      <c r="E8178" t="s">
        <v>31435</v>
      </c>
      <c r="F8178" t="s">
        <v>31435</v>
      </c>
      <c r="G8178" s="1">
        <v>37590</v>
      </c>
      <c r="J8178" t="s">
        <v>39725</v>
      </c>
      <c r="K8178" t="s">
        <v>4403</v>
      </c>
      <c r="L8178" t="s">
        <v>39726</v>
      </c>
      <c r="M8178">
        <v>174.930072</v>
      </c>
      <c r="N8178" t="s">
        <v>39727</v>
      </c>
      <c r="O8178" t="s">
        <v>26</v>
      </c>
      <c r="Q8178">
        <v>107.5</v>
      </c>
      <c r="R8178">
        <v>86</v>
      </c>
      <c r="S8178">
        <v>129</v>
      </c>
      <c r="T8178" t="s">
        <v>39728</v>
      </c>
    </row>
    <row r="8179" spans="1:20">
      <c r="A8179">
        <v>4672239</v>
      </c>
      <c r="B8179" t="s">
        <v>39729</v>
      </c>
      <c r="C8179" t="str">
        <f>"9780802066923"</f>
        <v>9780802066923</v>
      </c>
      <c r="D8179" t="str">
        <f>"9781442683211"</f>
        <v>9781442683211</v>
      </c>
      <c r="E8179" t="s">
        <v>31435</v>
      </c>
      <c r="F8179" t="s">
        <v>31435</v>
      </c>
      <c r="G8179" s="1">
        <v>31778</v>
      </c>
      <c r="H8179">
        <v>2</v>
      </c>
      <c r="J8179" t="s">
        <v>39730</v>
      </c>
      <c r="K8179" t="s">
        <v>1464</v>
      </c>
      <c r="L8179" t="s">
        <v>39731</v>
      </c>
      <c r="M8179" t="s">
        <v>37952</v>
      </c>
      <c r="O8179" t="s">
        <v>26</v>
      </c>
      <c r="Q8179">
        <v>59.94</v>
      </c>
      <c r="R8179">
        <v>47.95</v>
      </c>
      <c r="S8179">
        <v>71.930000000000007</v>
      </c>
      <c r="T8179" t="s">
        <v>39732</v>
      </c>
    </row>
    <row r="8180" spans="1:20">
      <c r="A8180">
        <v>4672240</v>
      </c>
      <c r="B8180" t="s">
        <v>39733</v>
      </c>
      <c r="C8180" t="str">
        <f>"9780802088376"</f>
        <v>9780802088376</v>
      </c>
      <c r="D8180" t="str">
        <f>"9781442683228"</f>
        <v>9781442683228</v>
      </c>
      <c r="E8180" t="s">
        <v>31435</v>
      </c>
      <c r="F8180" t="s">
        <v>31435</v>
      </c>
      <c r="G8180" s="1">
        <v>37622</v>
      </c>
      <c r="J8180" t="s">
        <v>39734</v>
      </c>
      <c r="K8180" t="s">
        <v>1464</v>
      </c>
      <c r="L8180" t="s">
        <v>39735</v>
      </c>
      <c r="M8180" t="s">
        <v>39736</v>
      </c>
      <c r="O8180" t="s">
        <v>26</v>
      </c>
      <c r="Q8180">
        <v>100</v>
      </c>
      <c r="R8180">
        <v>80</v>
      </c>
      <c r="S8180">
        <v>120</v>
      </c>
      <c r="T8180" t="s">
        <v>39737</v>
      </c>
    </row>
    <row r="8181" spans="1:20">
      <c r="A8181">
        <v>4672241</v>
      </c>
      <c r="B8181" t="s">
        <v>39738</v>
      </c>
      <c r="C8181" t="str">
        <f>"9780802085511"</f>
        <v>9780802085511</v>
      </c>
      <c r="D8181" t="str">
        <f>"9781442683242"</f>
        <v>9781442683242</v>
      </c>
      <c r="E8181" t="s">
        <v>31435</v>
      </c>
      <c r="F8181" t="s">
        <v>31435</v>
      </c>
      <c r="G8181" s="1">
        <v>37622</v>
      </c>
      <c r="J8181" t="s">
        <v>39739</v>
      </c>
      <c r="K8181" t="s">
        <v>1550</v>
      </c>
      <c r="L8181" t="s">
        <v>39740</v>
      </c>
      <c r="M8181" t="s">
        <v>39741</v>
      </c>
      <c r="O8181" t="s">
        <v>26</v>
      </c>
      <c r="Q8181">
        <v>107.5</v>
      </c>
      <c r="R8181">
        <v>86</v>
      </c>
      <c r="S8181">
        <v>129</v>
      </c>
      <c r="T8181" t="s">
        <v>39742</v>
      </c>
    </row>
    <row r="8182" spans="1:20">
      <c r="A8182">
        <v>4672242</v>
      </c>
      <c r="B8182" t="s">
        <v>39743</v>
      </c>
      <c r="C8182" t="str">
        <f>"9780802089809"</f>
        <v>9780802089809</v>
      </c>
      <c r="D8182" t="str">
        <f>"9781442683259"</f>
        <v>9781442683259</v>
      </c>
      <c r="E8182" t="s">
        <v>31435</v>
      </c>
      <c r="F8182" t="s">
        <v>31435</v>
      </c>
      <c r="G8182" s="1">
        <v>37987</v>
      </c>
      <c r="J8182" t="s">
        <v>39744</v>
      </c>
      <c r="K8182" t="s">
        <v>416</v>
      </c>
      <c r="L8182" t="s">
        <v>39745</v>
      </c>
      <c r="M8182" t="s">
        <v>39746</v>
      </c>
      <c r="O8182" t="s">
        <v>26</v>
      </c>
      <c r="Q8182">
        <v>100</v>
      </c>
      <c r="R8182">
        <v>80</v>
      </c>
      <c r="S8182">
        <v>120</v>
      </c>
      <c r="T8182" t="s">
        <v>39747</v>
      </c>
    </row>
    <row r="8183" spans="1:20">
      <c r="A8183">
        <v>4672243</v>
      </c>
      <c r="B8183" t="s">
        <v>39748</v>
      </c>
      <c r="C8183" t="str">
        <f>"9780802085177"</f>
        <v>9780802085177</v>
      </c>
      <c r="D8183" t="str">
        <f>"9781442683266"</f>
        <v>9781442683266</v>
      </c>
      <c r="E8183" t="s">
        <v>31435</v>
      </c>
      <c r="F8183" t="s">
        <v>31435</v>
      </c>
      <c r="G8183" s="1">
        <v>37257</v>
      </c>
      <c r="J8183" t="s">
        <v>39749</v>
      </c>
      <c r="K8183" t="s">
        <v>263</v>
      </c>
      <c r="L8183" t="s">
        <v>39750</v>
      </c>
      <c r="M8183" t="s">
        <v>39751</v>
      </c>
      <c r="O8183" t="s">
        <v>26</v>
      </c>
      <c r="Q8183">
        <v>91.25</v>
      </c>
      <c r="R8183">
        <v>73</v>
      </c>
      <c r="S8183">
        <v>109.5</v>
      </c>
      <c r="T8183" t="s">
        <v>39752</v>
      </c>
    </row>
    <row r="8184" spans="1:20">
      <c r="A8184">
        <v>4672244</v>
      </c>
      <c r="B8184" t="s">
        <v>39753</v>
      </c>
      <c r="C8184" t="str">
        <f>"9780802068811"</f>
        <v>9780802068811</v>
      </c>
      <c r="D8184" t="str">
        <f>"9781442683273"</f>
        <v>9781442683273</v>
      </c>
      <c r="E8184" t="s">
        <v>31435</v>
      </c>
      <c r="F8184" t="s">
        <v>31435</v>
      </c>
      <c r="G8184" s="1">
        <v>34335</v>
      </c>
      <c r="H8184">
        <v>2</v>
      </c>
      <c r="J8184" t="s">
        <v>39754</v>
      </c>
      <c r="K8184" t="s">
        <v>1530</v>
      </c>
      <c r="L8184" t="s">
        <v>39755</v>
      </c>
      <c r="M8184" t="s">
        <v>39756</v>
      </c>
      <c r="O8184" t="s">
        <v>26</v>
      </c>
      <c r="Q8184">
        <v>59.94</v>
      </c>
      <c r="R8184">
        <v>47.95</v>
      </c>
      <c r="S8184">
        <v>71.930000000000007</v>
      </c>
      <c r="T8184" t="s">
        <v>39757</v>
      </c>
    </row>
    <row r="8185" spans="1:20">
      <c r="A8185">
        <v>4672245</v>
      </c>
      <c r="B8185" t="s">
        <v>39758</v>
      </c>
      <c r="C8185" t="str">
        <f>"9780802008626"</f>
        <v>9780802008626</v>
      </c>
      <c r="D8185" t="str">
        <f>"9781442683280"</f>
        <v>9781442683280</v>
      </c>
      <c r="E8185" t="s">
        <v>31435</v>
      </c>
      <c r="F8185" t="s">
        <v>31435</v>
      </c>
      <c r="G8185" s="1">
        <v>35796</v>
      </c>
      <c r="J8185" t="s">
        <v>39759</v>
      </c>
      <c r="K8185" t="s">
        <v>7732</v>
      </c>
      <c r="L8185" t="s">
        <v>39760</v>
      </c>
      <c r="M8185" t="s">
        <v>39761</v>
      </c>
      <c r="O8185" t="s">
        <v>26</v>
      </c>
      <c r="Q8185">
        <v>80</v>
      </c>
      <c r="R8185">
        <v>64</v>
      </c>
      <c r="S8185">
        <v>96</v>
      </c>
      <c r="T8185" t="s">
        <v>39762</v>
      </c>
    </row>
    <row r="8186" spans="1:20">
      <c r="A8186">
        <v>4672246</v>
      </c>
      <c r="B8186" t="s">
        <v>39763</v>
      </c>
      <c r="C8186" t="str">
        <f>"9780802079213"</f>
        <v>9780802079213</v>
      </c>
      <c r="D8186" t="str">
        <f>"9781442683303"</f>
        <v>9781442683303</v>
      </c>
      <c r="E8186" t="s">
        <v>31435</v>
      </c>
      <c r="F8186" t="s">
        <v>31435</v>
      </c>
      <c r="G8186" s="1">
        <v>37622</v>
      </c>
      <c r="J8186" t="s">
        <v>39764</v>
      </c>
      <c r="K8186" t="s">
        <v>263</v>
      </c>
      <c r="L8186" t="s">
        <v>39765</v>
      </c>
      <c r="M8186">
        <v>362.76</v>
      </c>
      <c r="O8186" t="s">
        <v>26</v>
      </c>
      <c r="Q8186">
        <v>91.25</v>
      </c>
      <c r="R8186">
        <v>73</v>
      </c>
      <c r="S8186">
        <v>109.5</v>
      </c>
      <c r="T8186" t="s">
        <v>39766</v>
      </c>
    </row>
    <row r="8187" spans="1:20">
      <c r="A8187">
        <v>4672247</v>
      </c>
      <c r="B8187" t="s">
        <v>39767</v>
      </c>
      <c r="C8187" t="str">
        <f>"9780802094858"</f>
        <v>9780802094858</v>
      </c>
      <c r="D8187" t="str">
        <f>"9781442683310"</f>
        <v>9781442683310</v>
      </c>
      <c r="E8187" t="s">
        <v>31435</v>
      </c>
      <c r="F8187" t="s">
        <v>31435</v>
      </c>
      <c r="G8187" s="1">
        <v>38353</v>
      </c>
      <c r="I8187" t="s">
        <v>35264</v>
      </c>
      <c r="J8187" t="s">
        <v>39768</v>
      </c>
      <c r="K8187" t="s">
        <v>1464</v>
      </c>
      <c r="L8187" t="s">
        <v>39769</v>
      </c>
      <c r="M8187">
        <v>810.80971</v>
      </c>
      <c r="O8187" t="s">
        <v>26</v>
      </c>
      <c r="Q8187">
        <v>83.75</v>
      </c>
      <c r="R8187">
        <v>67</v>
      </c>
      <c r="S8187">
        <v>100.5</v>
      </c>
      <c r="T8187" t="s">
        <v>39770</v>
      </c>
    </row>
    <row r="8188" spans="1:20">
      <c r="A8188">
        <v>4672248</v>
      </c>
      <c r="B8188" t="s">
        <v>39771</v>
      </c>
      <c r="C8188" t="str">
        <f>"9780802065261"</f>
        <v>9780802065261</v>
      </c>
      <c r="D8188" t="str">
        <f>"9781442683327"</f>
        <v>9781442683327</v>
      </c>
      <c r="E8188" t="s">
        <v>31435</v>
      </c>
      <c r="F8188" t="s">
        <v>31435</v>
      </c>
      <c r="G8188" s="1">
        <v>30328</v>
      </c>
      <c r="J8188" t="s">
        <v>39772</v>
      </c>
      <c r="K8188" t="s">
        <v>7063</v>
      </c>
      <c r="L8188" t="s">
        <v>39773</v>
      </c>
      <c r="M8188" t="s">
        <v>39774</v>
      </c>
      <c r="O8188" t="s">
        <v>26</v>
      </c>
      <c r="Q8188">
        <v>59.94</v>
      </c>
      <c r="R8188">
        <v>47.95</v>
      </c>
      <c r="S8188">
        <v>71.930000000000007</v>
      </c>
      <c r="T8188" t="s">
        <v>39775</v>
      </c>
    </row>
    <row r="8189" spans="1:20">
      <c r="A8189">
        <v>4672249</v>
      </c>
      <c r="B8189" t="s">
        <v>39776</v>
      </c>
      <c r="C8189" t="str">
        <f>"9780802066473"</f>
        <v>9780802066473</v>
      </c>
      <c r="D8189" t="str">
        <f>"9781442683334"</f>
        <v>9781442683334</v>
      </c>
      <c r="E8189" t="s">
        <v>31435</v>
      </c>
      <c r="F8189" t="s">
        <v>31435</v>
      </c>
      <c r="G8189" s="1">
        <v>32874</v>
      </c>
      <c r="H8189">
        <v>2</v>
      </c>
      <c r="J8189" t="s">
        <v>35374</v>
      </c>
      <c r="K8189" t="s">
        <v>2811</v>
      </c>
      <c r="L8189" t="s">
        <v>39777</v>
      </c>
      <c r="M8189">
        <v>384.550971</v>
      </c>
      <c r="O8189" t="s">
        <v>26</v>
      </c>
      <c r="Q8189">
        <v>67.5</v>
      </c>
      <c r="R8189">
        <v>54</v>
      </c>
      <c r="S8189">
        <v>81</v>
      </c>
      <c r="T8189" t="s">
        <v>39778</v>
      </c>
    </row>
    <row r="8190" spans="1:20">
      <c r="A8190">
        <v>4672250</v>
      </c>
      <c r="B8190" t="s">
        <v>39779</v>
      </c>
      <c r="C8190" t="str">
        <f>"9780802096425"</f>
        <v>9780802096425</v>
      </c>
      <c r="D8190" t="str">
        <f>"9781442683358"</f>
        <v>9781442683358</v>
      </c>
      <c r="E8190" t="s">
        <v>31435</v>
      </c>
      <c r="F8190" t="s">
        <v>31435</v>
      </c>
      <c r="G8190" s="1">
        <v>38718</v>
      </c>
      <c r="J8190" t="s">
        <v>37855</v>
      </c>
      <c r="K8190" t="s">
        <v>1464</v>
      </c>
      <c r="L8190" t="s">
        <v>39780</v>
      </c>
      <c r="M8190">
        <v>810.99710000000005</v>
      </c>
      <c r="O8190" t="s">
        <v>26</v>
      </c>
      <c r="Q8190">
        <v>102.5</v>
      </c>
      <c r="R8190">
        <v>82</v>
      </c>
      <c r="S8190">
        <v>123</v>
      </c>
      <c r="T8190" t="s">
        <v>39781</v>
      </c>
    </row>
    <row r="8191" spans="1:20">
      <c r="A8191">
        <v>4672252</v>
      </c>
      <c r="B8191" t="s">
        <v>39782</v>
      </c>
      <c r="C8191" t="str">
        <f>"9780802080851"</f>
        <v>9780802080851</v>
      </c>
      <c r="D8191" t="str">
        <f>"9781442683372"</f>
        <v>9781442683372</v>
      </c>
      <c r="E8191" t="s">
        <v>31435</v>
      </c>
      <c r="F8191" t="s">
        <v>31435</v>
      </c>
      <c r="G8191" s="1">
        <v>35431</v>
      </c>
      <c r="J8191" t="s">
        <v>15259</v>
      </c>
      <c r="K8191" t="s">
        <v>291</v>
      </c>
      <c r="L8191" t="s">
        <v>39783</v>
      </c>
      <c r="M8191">
        <v>971.8</v>
      </c>
      <c r="O8191" t="s">
        <v>26</v>
      </c>
      <c r="Q8191">
        <v>59.94</v>
      </c>
      <c r="R8191">
        <v>47.95</v>
      </c>
      <c r="S8191">
        <v>71.930000000000007</v>
      </c>
      <c r="T8191" t="s">
        <v>39784</v>
      </c>
    </row>
    <row r="8192" spans="1:20">
      <c r="A8192">
        <v>4672253</v>
      </c>
      <c r="B8192" t="s">
        <v>39785</v>
      </c>
      <c r="C8192" t="str">
        <f>"9780802083883"</f>
        <v>9780802083883</v>
      </c>
      <c r="D8192" t="str">
        <f>"9781442683396"</f>
        <v>9781442683396</v>
      </c>
      <c r="E8192" t="s">
        <v>31435</v>
      </c>
      <c r="F8192" t="s">
        <v>31435</v>
      </c>
      <c r="G8192" s="1">
        <v>36892</v>
      </c>
      <c r="I8192" t="s">
        <v>35946</v>
      </c>
      <c r="J8192" t="s">
        <v>39786</v>
      </c>
      <c r="K8192" t="s">
        <v>467</v>
      </c>
      <c r="L8192" t="s">
        <v>39787</v>
      </c>
      <c r="M8192">
        <v>320.971</v>
      </c>
      <c r="O8192" t="s">
        <v>26</v>
      </c>
      <c r="Q8192">
        <v>59.94</v>
      </c>
      <c r="R8192">
        <v>47.95</v>
      </c>
      <c r="S8192">
        <v>71.930000000000007</v>
      </c>
      <c r="T8192" t="s">
        <v>39788</v>
      </c>
    </row>
    <row r="8193" spans="1:20">
      <c r="A8193">
        <v>4672254</v>
      </c>
      <c r="B8193" t="s">
        <v>39789</v>
      </c>
      <c r="C8193" t="str">
        <f>"9780802080912"</f>
        <v>9780802080912</v>
      </c>
      <c r="D8193" t="str">
        <f>"9781442683402"</f>
        <v>9781442683402</v>
      </c>
      <c r="E8193" t="s">
        <v>31435</v>
      </c>
      <c r="F8193" t="s">
        <v>31435</v>
      </c>
      <c r="G8193" s="1">
        <v>36526</v>
      </c>
      <c r="J8193" t="s">
        <v>39790</v>
      </c>
      <c r="K8193" t="s">
        <v>263</v>
      </c>
      <c r="L8193" t="s">
        <v>39791</v>
      </c>
      <c r="M8193">
        <v>305.42097100000001</v>
      </c>
      <c r="O8193" t="s">
        <v>26</v>
      </c>
      <c r="Q8193">
        <v>107.5</v>
      </c>
      <c r="R8193">
        <v>86</v>
      </c>
      <c r="S8193">
        <v>129</v>
      </c>
      <c r="T8193" t="s">
        <v>39792</v>
      </c>
    </row>
    <row r="8194" spans="1:20">
      <c r="A8194">
        <v>4672255</v>
      </c>
      <c r="B8194" t="s">
        <v>39793</v>
      </c>
      <c r="C8194" t="str">
        <f>"9780802081865"</f>
        <v>9780802081865</v>
      </c>
      <c r="D8194" t="str">
        <f>"9781442683464"</f>
        <v>9781442683464</v>
      </c>
      <c r="E8194" t="s">
        <v>31435</v>
      </c>
      <c r="F8194" t="s">
        <v>31435</v>
      </c>
      <c r="G8194" s="1">
        <v>36161</v>
      </c>
      <c r="J8194" t="s">
        <v>39794</v>
      </c>
      <c r="K8194" t="s">
        <v>467</v>
      </c>
      <c r="L8194" t="s">
        <v>39795</v>
      </c>
      <c r="M8194" t="s">
        <v>39796</v>
      </c>
      <c r="O8194" t="s">
        <v>26</v>
      </c>
      <c r="Q8194">
        <v>100</v>
      </c>
      <c r="R8194">
        <v>80</v>
      </c>
      <c r="S8194">
        <v>120</v>
      </c>
      <c r="T8194" t="s">
        <v>39797</v>
      </c>
    </row>
    <row r="8195" spans="1:20">
      <c r="A8195">
        <v>4672256</v>
      </c>
      <c r="B8195" t="s">
        <v>39798</v>
      </c>
      <c r="C8195" t="str">
        <f>"9780802083913"</f>
        <v>9780802083913</v>
      </c>
      <c r="D8195" t="str">
        <f>"9781442683471"</f>
        <v>9781442683471</v>
      </c>
      <c r="E8195" t="s">
        <v>31435</v>
      </c>
      <c r="F8195" t="s">
        <v>31435</v>
      </c>
      <c r="G8195" s="1">
        <v>36892</v>
      </c>
      <c r="J8195" t="s">
        <v>39799</v>
      </c>
      <c r="K8195" t="s">
        <v>291</v>
      </c>
      <c r="L8195" t="s">
        <v>39800</v>
      </c>
      <c r="M8195" t="s">
        <v>6372</v>
      </c>
      <c r="O8195" t="s">
        <v>26</v>
      </c>
      <c r="Q8195">
        <v>107.5</v>
      </c>
      <c r="R8195">
        <v>86</v>
      </c>
      <c r="S8195">
        <v>129</v>
      </c>
      <c r="T8195" t="s">
        <v>39801</v>
      </c>
    </row>
    <row r="8196" spans="1:20">
      <c r="A8196">
        <v>4672257</v>
      </c>
      <c r="B8196" t="s">
        <v>39802</v>
      </c>
      <c r="C8196" t="str">
        <f>"9780802085252"</f>
        <v>9780802085252</v>
      </c>
      <c r="D8196" t="str">
        <f>"9781442683488"</f>
        <v>9781442683488</v>
      </c>
      <c r="E8196" t="s">
        <v>31435</v>
      </c>
      <c r="F8196" t="s">
        <v>31435</v>
      </c>
      <c r="G8196" s="1">
        <v>37622</v>
      </c>
      <c r="I8196" t="s">
        <v>34693</v>
      </c>
      <c r="J8196" t="s">
        <v>39803</v>
      </c>
      <c r="K8196" t="s">
        <v>263</v>
      </c>
      <c r="L8196" t="s">
        <v>39804</v>
      </c>
      <c r="M8196" t="s">
        <v>39805</v>
      </c>
      <c r="O8196" t="s">
        <v>26</v>
      </c>
      <c r="Q8196">
        <v>123.75</v>
      </c>
      <c r="R8196">
        <v>99</v>
      </c>
      <c r="S8196">
        <v>148.5</v>
      </c>
      <c r="T8196" t="s">
        <v>39806</v>
      </c>
    </row>
    <row r="8197" spans="1:20">
      <c r="A8197">
        <v>4672258</v>
      </c>
      <c r="B8197" t="s">
        <v>39807</v>
      </c>
      <c r="C8197" t="str">
        <f>"9780802076380"</f>
        <v>9780802076380</v>
      </c>
      <c r="D8197" t="str">
        <f>"9781442683495"</f>
        <v>9781442683495</v>
      </c>
      <c r="E8197" t="s">
        <v>31435</v>
      </c>
      <c r="F8197" t="s">
        <v>31435</v>
      </c>
      <c r="G8197" s="1">
        <v>34700</v>
      </c>
      <c r="I8197" t="s">
        <v>31443</v>
      </c>
      <c r="J8197" t="s">
        <v>39808</v>
      </c>
      <c r="K8197" t="s">
        <v>27380</v>
      </c>
      <c r="L8197" t="s">
        <v>39809</v>
      </c>
      <c r="M8197" t="s">
        <v>39810</v>
      </c>
      <c r="O8197" t="s">
        <v>26</v>
      </c>
      <c r="Q8197">
        <v>91.25</v>
      </c>
      <c r="R8197">
        <v>73</v>
      </c>
      <c r="S8197">
        <v>109.5</v>
      </c>
      <c r="T8197" t="s">
        <v>39811</v>
      </c>
    </row>
    <row r="8198" spans="1:20">
      <c r="A8198">
        <v>4672259</v>
      </c>
      <c r="B8198" t="s">
        <v>39812</v>
      </c>
      <c r="C8198" t="str">
        <f>"9780802035325"</f>
        <v>9780802035325</v>
      </c>
      <c r="D8198" t="str">
        <f>"9781442683501"</f>
        <v>9781442683501</v>
      </c>
      <c r="E8198" t="s">
        <v>31435</v>
      </c>
      <c r="F8198" t="s">
        <v>31435</v>
      </c>
      <c r="G8198" s="1">
        <v>37622</v>
      </c>
      <c r="I8198" t="s">
        <v>34779</v>
      </c>
      <c r="J8198" t="s">
        <v>39813</v>
      </c>
      <c r="K8198" t="s">
        <v>1464</v>
      </c>
      <c r="L8198" t="s">
        <v>39814</v>
      </c>
      <c r="M8198" t="s">
        <v>39815</v>
      </c>
      <c r="O8198" t="s">
        <v>26</v>
      </c>
      <c r="Q8198">
        <v>115</v>
      </c>
      <c r="R8198">
        <v>92</v>
      </c>
      <c r="S8198">
        <v>138</v>
      </c>
      <c r="T8198" t="s">
        <v>39816</v>
      </c>
    </row>
    <row r="8199" spans="1:20">
      <c r="A8199">
        <v>4672260</v>
      </c>
      <c r="B8199" t="s">
        <v>39817</v>
      </c>
      <c r="C8199" t="str">
        <f>"9781442614901"</f>
        <v>9781442614901</v>
      </c>
      <c r="D8199" t="str">
        <f>"9781442683518"</f>
        <v>9781442683518</v>
      </c>
      <c r="E8199" t="s">
        <v>31435</v>
      </c>
      <c r="F8199" t="s">
        <v>31435</v>
      </c>
      <c r="G8199" s="1">
        <v>36526</v>
      </c>
      <c r="I8199" t="s">
        <v>35029</v>
      </c>
      <c r="J8199" t="s">
        <v>39818</v>
      </c>
      <c r="K8199" t="s">
        <v>1942</v>
      </c>
      <c r="L8199" t="s">
        <v>39819</v>
      </c>
      <c r="M8199" t="s">
        <v>39820</v>
      </c>
      <c r="O8199" t="s">
        <v>26</v>
      </c>
      <c r="Q8199">
        <v>78.75</v>
      </c>
      <c r="R8199">
        <v>63</v>
      </c>
      <c r="S8199">
        <v>94.5</v>
      </c>
      <c r="T8199" t="s">
        <v>39821</v>
      </c>
    </row>
    <row r="8200" spans="1:20">
      <c r="A8200">
        <v>4672261</v>
      </c>
      <c r="B8200" t="s">
        <v>39822</v>
      </c>
      <c r="C8200" t="str">
        <f>"9780802076182"</f>
        <v>9780802076182</v>
      </c>
      <c r="D8200" t="str">
        <f>"9781442683549"</f>
        <v>9781442683549</v>
      </c>
      <c r="E8200" t="s">
        <v>31435</v>
      </c>
      <c r="F8200" t="s">
        <v>31435</v>
      </c>
      <c r="G8200" s="1">
        <v>35431</v>
      </c>
      <c r="H8200">
        <v>2</v>
      </c>
      <c r="J8200" t="s">
        <v>39823</v>
      </c>
      <c r="K8200" t="s">
        <v>263</v>
      </c>
      <c r="L8200" t="s">
        <v>39824</v>
      </c>
      <c r="M8200" t="s">
        <v>39825</v>
      </c>
      <c r="O8200" t="s">
        <v>26</v>
      </c>
      <c r="Q8200">
        <v>107.5</v>
      </c>
      <c r="R8200">
        <v>86</v>
      </c>
      <c r="S8200">
        <v>129</v>
      </c>
      <c r="T8200" t="s">
        <v>39826</v>
      </c>
    </row>
    <row r="8201" spans="1:20">
      <c r="A8201">
        <v>4672262</v>
      </c>
      <c r="B8201" t="s">
        <v>39827</v>
      </c>
      <c r="C8201" t="str">
        <f>"9780802068378"</f>
        <v>9780802068378</v>
      </c>
      <c r="D8201" t="str">
        <f>"9781442683556"</f>
        <v>9781442683556</v>
      </c>
      <c r="E8201" t="s">
        <v>31435</v>
      </c>
      <c r="F8201" t="s">
        <v>31435</v>
      </c>
      <c r="G8201" s="1">
        <v>33725</v>
      </c>
      <c r="H8201">
        <v>2</v>
      </c>
      <c r="J8201" t="s">
        <v>39828</v>
      </c>
      <c r="K8201" t="s">
        <v>291</v>
      </c>
      <c r="L8201" t="s">
        <v>39829</v>
      </c>
      <c r="M8201" t="s">
        <v>39830</v>
      </c>
      <c r="N8201" t="s">
        <v>39831</v>
      </c>
      <c r="O8201" t="s">
        <v>26</v>
      </c>
      <c r="Q8201">
        <v>71.25</v>
      </c>
      <c r="R8201">
        <v>57</v>
      </c>
      <c r="S8201">
        <v>85.5</v>
      </c>
      <c r="T8201" t="s">
        <v>39832</v>
      </c>
    </row>
    <row r="8202" spans="1:20">
      <c r="A8202">
        <v>4672263</v>
      </c>
      <c r="B8202" t="s">
        <v>39833</v>
      </c>
      <c r="C8202" t="str">
        <f>"9780802073761"</f>
        <v>9780802073761</v>
      </c>
      <c r="D8202" t="str">
        <f>"9781442683563"</f>
        <v>9781442683563</v>
      </c>
      <c r="E8202" t="s">
        <v>31435</v>
      </c>
      <c r="F8202" t="s">
        <v>31435</v>
      </c>
      <c r="G8202" s="1">
        <v>34274</v>
      </c>
      <c r="J8202" t="s">
        <v>39834</v>
      </c>
      <c r="K8202" t="s">
        <v>278</v>
      </c>
      <c r="L8202" t="s">
        <v>39835</v>
      </c>
      <c r="M8202" t="s">
        <v>39836</v>
      </c>
      <c r="N8202" t="s">
        <v>39837</v>
      </c>
      <c r="O8202" t="s">
        <v>26</v>
      </c>
      <c r="Q8202">
        <v>59.94</v>
      </c>
      <c r="R8202">
        <v>47.95</v>
      </c>
      <c r="S8202">
        <v>71.930000000000007</v>
      </c>
      <c r="T8202" t="s">
        <v>39838</v>
      </c>
    </row>
    <row r="8203" spans="1:20">
      <c r="A8203">
        <v>4672264</v>
      </c>
      <c r="B8203" t="s">
        <v>39839</v>
      </c>
      <c r="C8203" t="str">
        <f>"9780802067852"</f>
        <v>9780802067852</v>
      </c>
      <c r="D8203" t="str">
        <f>"9781442683570"</f>
        <v>9781442683570</v>
      </c>
      <c r="E8203" t="s">
        <v>31435</v>
      </c>
      <c r="F8203" t="s">
        <v>31435</v>
      </c>
      <c r="G8203" s="1">
        <v>33239</v>
      </c>
      <c r="J8203" t="s">
        <v>39840</v>
      </c>
      <c r="K8203" t="s">
        <v>257</v>
      </c>
      <c r="L8203" t="s">
        <v>39841</v>
      </c>
      <c r="M8203" t="s">
        <v>39842</v>
      </c>
      <c r="O8203" t="s">
        <v>26</v>
      </c>
      <c r="Q8203">
        <v>59.94</v>
      </c>
      <c r="R8203">
        <v>47.95</v>
      </c>
      <c r="S8203">
        <v>71.930000000000007</v>
      </c>
      <c r="T8203" t="s">
        <v>39843</v>
      </c>
    </row>
    <row r="8204" spans="1:20">
      <c r="A8204">
        <v>4672266</v>
      </c>
      <c r="B8204" t="s">
        <v>39844</v>
      </c>
      <c r="C8204" t="str">
        <f>"9780802084620"</f>
        <v>9780802084620</v>
      </c>
      <c r="D8204" t="str">
        <f>"9781442683594"</f>
        <v>9781442683594</v>
      </c>
      <c r="E8204" t="s">
        <v>31435</v>
      </c>
      <c r="F8204" t="s">
        <v>31435</v>
      </c>
      <c r="G8204" s="1">
        <v>37510</v>
      </c>
      <c r="I8204" t="s">
        <v>34693</v>
      </c>
      <c r="J8204" t="s">
        <v>39845</v>
      </c>
      <c r="K8204" t="s">
        <v>899</v>
      </c>
      <c r="L8204" t="s">
        <v>39846</v>
      </c>
      <c r="M8204">
        <v>305.48851000000002</v>
      </c>
      <c r="N8204" t="s">
        <v>39847</v>
      </c>
      <c r="O8204" t="s">
        <v>26</v>
      </c>
      <c r="Q8204">
        <v>135</v>
      </c>
      <c r="R8204">
        <v>108</v>
      </c>
      <c r="S8204">
        <v>162</v>
      </c>
      <c r="T8204" t="s">
        <v>39848</v>
      </c>
    </row>
    <row r="8205" spans="1:20">
      <c r="A8205">
        <v>4672267</v>
      </c>
      <c r="B8205" t="s">
        <v>39849</v>
      </c>
      <c r="C8205" t="str">
        <f>"9780802087577"</f>
        <v>9780802087577</v>
      </c>
      <c r="D8205" t="str">
        <f>"9781442683600"</f>
        <v>9781442683600</v>
      </c>
      <c r="E8205" t="s">
        <v>31435</v>
      </c>
      <c r="F8205" t="s">
        <v>31435</v>
      </c>
      <c r="G8205" s="1">
        <v>41773</v>
      </c>
      <c r="H8205">
        <v>2</v>
      </c>
      <c r="J8205" t="s">
        <v>39850</v>
      </c>
      <c r="K8205" t="s">
        <v>14194</v>
      </c>
      <c r="L8205" t="s">
        <v>39851</v>
      </c>
      <c r="M8205">
        <v>305.42</v>
      </c>
      <c r="O8205" t="s">
        <v>26</v>
      </c>
      <c r="Q8205">
        <v>117.5</v>
      </c>
      <c r="R8205">
        <v>94</v>
      </c>
      <c r="S8205">
        <v>141</v>
      </c>
      <c r="T8205" t="s">
        <v>39852</v>
      </c>
    </row>
    <row r="8206" spans="1:20">
      <c r="A8206">
        <v>4672268</v>
      </c>
      <c r="B8206" t="s">
        <v>39853</v>
      </c>
      <c r="C8206" t="str">
        <f>"9780802076670"</f>
        <v>9780802076670</v>
      </c>
      <c r="D8206" t="str">
        <f>"9781442683617"</f>
        <v>9781442683617</v>
      </c>
      <c r="E8206" t="s">
        <v>31435</v>
      </c>
      <c r="F8206" t="s">
        <v>31435</v>
      </c>
      <c r="G8206" s="1">
        <v>37257</v>
      </c>
      <c r="H8206">
        <v>2</v>
      </c>
      <c r="J8206" t="s">
        <v>39854</v>
      </c>
      <c r="K8206" t="s">
        <v>525</v>
      </c>
      <c r="L8206" t="s">
        <v>39855</v>
      </c>
      <c r="M8206" t="s">
        <v>39856</v>
      </c>
      <c r="O8206" t="s">
        <v>26</v>
      </c>
      <c r="Q8206">
        <v>161.25</v>
      </c>
      <c r="R8206">
        <v>129</v>
      </c>
      <c r="S8206">
        <v>193.5</v>
      </c>
      <c r="T8206" t="s">
        <v>39857</v>
      </c>
    </row>
    <row r="8207" spans="1:20">
      <c r="A8207">
        <v>4672270</v>
      </c>
      <c r="B8207" t="s">
        <v>39858</v>
      </c>
      <c r="C8207" t="str">
        <f>"9780802041531"</f>
        <v>9780802041531</v>
      </c>
      <c r="D8207" t="str">
        <f>"9781442683631"</f>
        <v>9781442683631</v>
      </c>
      <c r="E8207" t="s">
        <v>31435</v>
      </c>
      <c r="F8207" t="s">
        <v>31435</v>
      </c>
      <c r="G8207" s="1">
        <v>35945</v>
      </c>
      <c r="H8207">
        <v>74</v>
      </c>
      <c r="I8207" t="s">
        <v>35203</v>
      </c>
      <c r="J8207" t="s">
        <v>39859</v>
      </c>
      <c r="K8207" t="s">
        <v>4081</v>
      </c>
      <c r="L8207" t="s">
        <v>39860</v>
      </c>
      <c r="M8207">
        <v>429</v>
      </c>
      <c r="O8207" t="s">
        <v>26</v>
      </c>
      <c r="Q8207">
        <v>115</v>
      </c>
      <c r="R8207">
        <v>92</v>
      </c>
      <c r="S8207">
        <v>138</v>
      </c>
      <c r="T8207" t="s">
        <v>39861</v>
      </c>
    </row>
    <row r="8208" spans="1:20">
      <c r="A8208">
        <v>4672271</v>
      </c>
      <c r="B8208" t="s">
        <v>39862</v>
      </c>
      <c r="C8208" t="str">
        <f>"9780802081018"</f>
        <v>9780802081018</v>
      </c>
      <c r="D8208" t="str">
        <f>"9781442683655"</f>
        <v>9781442683655</v>
      </c>
      <c r="E8208" t="s">
        <v>31435</v>
      </c>
      <c r="F8208" t="s">
        <v>31435</v>
      </c>
      <c r="G8208" s="1">
        <v>37257</v>
      </c>
      <c r="J8208" t="s">
        <v>39863</v>
      </c>
      <c r="K8208" t="s">
        <v>263</v>
      </c>
      <c r="L8208" t="s">
        <v>39864</v>
      </c>
      <c r="M8208" t="s">
        <v>39865</v>
      </c>
      <c r="O8208" t="s">
        <v>26</v>
      </c>
      <c r="Q8208">
        <v>115</v>
      </c>
      <c r="R8208">
        <v>92</v>
      </c>
      <c r="S8208">
        <v>138</v>
      </c>
      <c r="T8208" t="s">
        <v>39866</v>
      </c>
    </row>
    <row r="8209" spans="1:20">
      <c r="A8209">
        <v>4672272</v>
      </c>
      <c r="B8209" t="s">
        <v>39867</v>
      </c>
      <c r="C8209" t="str">
        <f>"9780802079695"</f>
        <v>9780802079695</v>
      </c>
      <c r="D8209" t="str">
        <f>"9781442683662"</f>
        <v>9781442683662</v>
      </c>
      <c r="E8209" t="s">
        <v>31435</v>
      </c>
      <c r="F8209" t="s">
        <v>31435</v>
      </c>
      <c r="G8209" s="1">
        <v>35796</v>
      </c>
      <c r="H8209">
        <v>2</v>
      </c>
      <c r="J8209" t="s">
        <v>39868</v>
      </c>
      <c r="K8209" t="s">
        <v>27024</v>
      </c>
      <c r="L8209" t="s">
        <v>39869</v>
      </c>
      <c r="M8209" t="s">
        <v>27026</v>
      </c>
      <c r="O8209" t="s">
        <v>26</v>
      </c>
      <c r="Q8209">
        <v>59.94</v>
      </c>
      <c r="R8209">
        <v>47.95</v>
      </c>
      <c r="S8209">
        <v>71.930000000000007</v>
      </c>
      <c r="T8209" t="s">
        <v>39870</v>
      </c>
    </row>
    <row r="8210" spans="1:20">
      <c r="A8210">
        <v>4672273</v>
      </c>
      <c r="B8210" t="s">
        <v>39871</v>
      </c>
      <c r="C8210" t="str">
        <f>"9780802088543"</f>
        <v>9780802088543</v>
      </c>
      <c r="D8210" t="str">
        <f>"9781442683679"</f>
        <v>9781442683679</v>
      </c>
      <c r="E8210" t="s">
        <v>31435</v>
      </c>
      <c r="F8210" t="s">
        <v>31435</v>
      </c>
      <c r="G8210" s="1">
        <v>41773</v>
      </c>
      <c r="J8210" t="s">
        <v>39872</v>
      </c>
      <c r="K8210" t="s">
        <v>1892</v>
      </c>
      <c r="L8210" t="s">
        <v>39873</v>
      </c>
      <c r="M8210">
        <v>271.53044999999997</v>
      </c>
      <c r="O8210" t="s">
        <v>26</v>
      </c>
      <c r="Q8210">
        <v>147.5</v>
      </c>
      <c r="R8210">
        <v>118</v>
      </c>
      <c r="S8210">
        <v>177</v>
      </c>
      <c r="T8210" t="s">
        <v>39874</v>
      </c>
    </row>
    <row r="8211" spans="1:20">
      <c r="A8211">
        <v>4672274</v>
      </c>
      <c r="B8211" t="s">
        <v>39875</v>
      </c>
      <c r="C8211" t="str">
        <f>"9780802043030"</f>
        <v>9780802043030</v>
      </c>
      <c r="D8211" t="str">
        <f>"9781442683693"</f>
        <v>9781442683693</v>
      </c>
      <c r="E8211" t="s">
        <v>31435</v>
      </c>
      <c r="F8211" t="s">
        <v>31435</v>
      </c>
      <c r="G8211" s="1">
        <v>35796</v>
      </c>
      <c r="H8211">
        <v>74</v>
      </c>
      <c r="I8211" t="s">
        <v>35710</v>
      </c>
      <c r="J8211" t="s">
        <v>17781</v>
      </c>
      <c r="K8211" t="s">
        <v>1464</v>
      </c>
      <c r="L8211" t="s">
        <v>39876</v>
      </c>
      <c r="M8211" t="s">
        <v>6439</v>
      </c>
      <c r="O8211" t="s">
        <v>26</v>
      </c>
      <c r="Q8211">
        <v>78.75</v>
      </c>
      <c r="R8211">
        <v>63</v>
      </c>
      <c r="S8211">
        <v>94.5</v>
      </c>
      <c r="T8211" t="s">
        <v>39877</v>
      </c>
    </row>
    <row r="8212" spans="1:20">
      <c r="A8212">
        <v>4672275</v>
      </c>
      <c r="B8212" t="s">
        <v>39878</v>
      </c>
      <c r="C8212" t="str">
        <f>"9780802043658"</f>
        <v>9780802043658</v>
      </c>
      <c r="D8212" t="str">
        <f>"9781442683709"</f>
        <v>9781442683709</v>
      </c>
      <c r="E8212" t="s">
        <v>31435</v>
      </c>
      <c r="F8212" t="s">
        <v>31435</v>
      </c>
      <c r="G8212" s="1">
        <v>36526</v>
      </c>
      <c r="J8212" t="s">
        <v>39879</v>
      </c>
      <c r="K8212" t="s">
        <v>1464</v>
      </c>
      <c r="L8212" t="s">
        <v>39880</v>
      </c>
      <c r="M8212" t="s">
        <v>39881</v>
      </c>
      <c r="O8212" t="s">
        <v>26</v>
      </c>
      <c r="Q8212">
        <v>71.25</v>
      </c>
      <c r="R8212">
        <v>57</v>
      </c>
      <c r="S8212">
        <v>85.5</v>
      </c>
      <c r="T8212" t="s">
        <v>39882</v>
      </c>
    </row>
    <row r="8213" spans="1:20">
      <c r="A8213">
        <v>4672276</v>
      </c>
      <c r="B8213" t="s">
        <v>39883</v>
      </c>
      <c r="C8213" t="str">
        <f>"9780802036209"</f>
        <v>9780802036209</v>
      </c>
      <c r="D8213" t="str">
        <f>"9781442683716"</f>
        <v>9781442683716</v>
      </c>
      <c r="E8213" t="s">
        <v>31435</v>
      </c>
      <c r="F8213" t="s">
        <v>31435</v>
      </c>
      <c r="G8213" s="1">
        <v>37257</v>
      </c>
      <c r="J8213" t="s">
        <v>39884</v>
      </c>
      <c r="K8213" t="s">
        <v>1464</v>
      </c>
      <c r="L8213" t="s">
        <v>39885</v>
      </c>
      <c r="M8213" t="s">
        <v>39886</v>
      </c>
      <c r="O8213" t="s">
        <v>26</v>
      </c>
      <c r="Q8213">
        <v>107.5</v>
      </c>
      <c r="R8213">
        <v>86</v>
      </c>
      <c r="S8213">
        <v>129</v>
      </c>
      <c r="T8213" t="s">
        <v>39887</v>
      </c>
    </row>
    <row r="8214" spans="1:20">
      <c r="A8214">
        <v>4672277</v>
      </c>
      <c r="B8214" t="s">
        <v>39888</v>
      </c>
      <c r="C8214" t="str">
        <f>"9780802090126"</f>
        <v>9780802090126</v>
      </c>
      <c r="D8214" t="str">
        <f>"9781442683730"</f>
        <v>9781442683730</v>
      </c>
      <c r="E8214" t="s">
        <v>31435</v>
      </c>
      <c r="F8214" t="s">
        <v>31435</v>
      </c>
      <c r="G8214" s="1">
        <v>41773</v>
      </c>
      <c r="J8214" t="s">
        <v>39889</v>
      </c>
      <c r="K8214" t="s">
        <v>1464</v>
      </c>
      <c r="L8214" t="s">
        <v>39890</v>
      </c>
      <c r="M8214">
        <v>810.98090449999995</v>
      </c>
      <c r="O8214" t="s">
        <v>26</v>
      </c>
      <c r="Q8214">
        <v>83.75</v>
      </c>
      <c r="R8214">
        <v>67</v>
      </c>
      <c r="S8214">
        <v>100.5</v>
      </c>
      <c r="T8214" t="s">
        <v>39891</v>
      </c>
    </row>
    <row r="8215" spans="1:20">
      <c r="A8215">
        <v>4672278</v>
      </c>
      <c r="B8215" t="s">
        <v>39892</v>
      </c>
      <c r="C8215" t="str">
        <f>"9780802038104"</f>
        <v>9780802038104</v>
      </c>
      <c r="D8215" t="str">
        <f>"9781442683754"</f>
        <v>9781442683754</v>
      </c>
      <c r="E8215" t="s">
        <v>31435</v>
      </c>
      <c r="F8215" t="s">
        <v>31435</v>
      </c>
      <c r="G8215" s="1">
        <v>38718</v>
      </c>
      <c r="H8215">
        <v>2</v>
      </c>
      <c r="I8215" t="s">
        <v>33775</v>
      </c>
      <c r="J8215" t="s">
        <v>39893</v>
      </c>
      <c r="K8215" t="s">
        <v>1464</v>
      </c>
      <c r="L8215" t="s">
        <v>39894</v>
      </c>
      <c r="M8215" t="s">
        <v>39895</v>
      </c>
      <c r="O8215" t="s">
        <v>26</v>
      </c>
      <c r="Q8215">
        <v>140</v>
      </c>
      <c r="R8215">
        <v>112</v>
      </c>
      <c r="S8215">
        <v>168</v>
      </c>
      <c r="T8215" t="s">
        <v>39896</v>
      </c>
    </row>
    <row r="8216" spans="1:20">
      <c r="A8216">
        <v>4672280</v>
      </c>
      <c r="B8216" t="s">
        <v>39897</v>
      </c>
      <c r="C8216" t="str">
        <f>"9780802039118"</f>
        <v>9780802039118</v>
      </c>
      <c r="D8216" t="str">
        <f>"9781442683778"</f>
        <v>9781442683778</v>
      </c>
      <c r="E8216" t="s">
        <v>31435</v>
      </c>
      <c r="F8216" t="s">
        <v>31435</v>
      </c>
      <c r="G8216" s="1">
        <v>38411</v>
      </c>
      <c r="H8216">
        <v>2</v>
      </c>
      <c r="I8216" t="s">
        <v>31450</v>
      </c>
      <c r="J8216" t="s">
        <v>39898</v>
      </c>
      <c r="K8216" t="s">
        <v>263</v>
      </c>
      <c r="L8216" t="s">
        <v>39899</v>
      </c>
      <c r="M8216" t="s">
        <v>39900</v>
      </c>
      <c r="N8216" t="s">
        <v>39901</v>
      </c>
      <c r="O8216" t="s">
        <v>26</v>
      </c>
      <c r="Q8216">
        <v>102.5</v>
      </c>
      <c r="R8216">
        <v>82</v>
      </c>
      <c r="S8216">
        <v>123</v>
      </c>
      <c r="T8216" t="s">
        <v>39902</v>
      </c>
    </row>
    <row r="8217" spans="1:20">
      <c r="A8217">
        <v>4672282</v>
      </c>
      <c r="B8217" t="s">
        <v>39903</v>
      </c>
      <c r="C8217" t="str">
        <f>"9780802035813"</f>
        <v>9780802035813</v>
      </c>
      <c r="D8217" t="str">
        <f>"9781442683822"</f>
        <v>9781442683822</v>
      </c>
      <c r="E8217" t="s">
        <v>31435</v>
      </c>
      <c r="F8217" t="s">
        <v>31435</v>
      </c>
      <c r="G8217" s="1">
        <v>38353</v>
      </c>
      <c r="J8217" t="s">
        <v>34641</v>
      </c>
      <c r="K8217" t="s">
        <v>525</v>
      </c>
      <c r="L8217" t="s">
        <v>39904</v>
      </c>
      <c r="M8217" t="s">
        <v>39905</v>
      </c>
      <c r="O8217" t="s">
        <v>26</v>
      </c>
      <c r="Q8217">
        <v>117.5</v>
      </c>
      <c r="R8217">
        <v>94</v>
      </c>
      <c r="S8217">
        <v>141</v>
      </c>
      <c r="T8217" t="s">
        <v>39906</v>
      </c>
    </row>
    <row r="8218" spans="1:20">
      <c r="A8218">
        <v>4672283</v>
      </c>
      <c r="B8218" t="s">
        <v>39907</v>
      </c>
      <c r="C8218" t="str">
        <f>"9780802008886"</f>
        <v>9780802008886</v>
      </c>
      <c r="D8218" t="str">
        <f>"9781442683846"</f>
        <v>9781442683846</v>
      </c>
      <c r="E8218" t="s">
        <v>31435</v>
      </c>
      <c r="F8218" t="s">
        <v>31435</v>
      </c>
      <c r="G8218" s="1">
        <v>35739</v>
      </c>
      <c r="J8218" t="s">
        <v>39908</v>
      </c>
      <c r="K8218" t="s">
        <v>1892</v>
      </c>
      <c r="L8218" t="s">
        <v>39909</v>
      </c>
      <c r="M8218" t="s">
        <v>39910</v>
      </c>
      <c r="O8218" t="s">
        <v>26</v>
      </c>
      <c r="Q8218">
        <v>71.25</v>
      </c>
      <c r="R8218">
        <v>57</v>
      </c>
      <c r="S8218">
        <v>85.5</v>
      </c>
      <c r="T8218" t="s">
        <v>39911</v>
      </c>
    </row>
    <row r="8219" spans="1:20">
      <c r="A8219">
        <v>4672284</v>
      </c>
      <c r="B8219" t="s">
        <v>39912</v>
      </c>
      <c r="C8219" t="str">
        <f>"9781442638822"</f>
        <v>9781442638822</v>
      </c>
      <c r="D8219" t="str">
        <f>"9781442683853"</f>
        <v>9781442683853</v>
      </c>
      <c r="E8219" t="s">
        <v>31435</v>
      </c>
      <c r="F8219" t="s">
        <v>31435</v>
      </c>
      <c r="G8219" s="1">
        <v>33572</v>
      </c>
      <c r="I8219" t="s">
        <v>36693</v>
      </c>
      <c r="J8219" t="s">
        <v>36698</v>
      </c>
      <c r="K8219" t="s">
        <v>1464</v>
      </c>
      <c r="L8219" t="s">
        <v>39913</v>
      </c>
      <c r="M8219">
        <v>840.80050000000006</v>
      </c>
      <c r="O8219" t="s">
        <v>26</v>
      </c>
      <c r="Q8219">
        <v>222.5</v>
      </c>
      <c r="R8219">
        <v>178</v>
      </c>
      <c r="S8219">
        <v>267</v>
      </c>
      <c r="T8219" t="s">
        <v>39914</v>
      </c>
    </row>
    <row r="8220" spans="1:20">
      <c r="A8220">
        <v>4672285</v>
      </c>
      <c r="B8220" t="s">
        <v>39915</v>
      </c>
      <c r="C8220" t="str">
        <f>"9780802064608"</f>
        <v>9780802064608</v>
      </c>
      <c r="D8220" t="str">
        <f>"9781442683860"</f>
        <v>9781442683860</v>
      </c>
      <c r="E8220" t="s">
        <v>31435</v>
      </c>
      <c r="F8220" t="s">
        <v>31435</v>
      </c>
      <c r="G8220" s="1">
        <v>29891</v>
      </c>
      <c r="H8220">
        <v>2</v>
      </c>
      <c r="J8220" t="s">
        <v>32869</v>
      </c>
      <c r="K8220" t="s">
        <v>6444</v>
      </c>
      <c r="L8220" t="s">
        <v>39916</v>
      </c>
      <c r="M8220">
        <v>327.71073000000001</v>
      </c>
      <c r="O8220" t="s">
        <v>26</v>
      </c>
      <c r="Q8220">
        <v>59.94</v>
      </c>
      <c r="R8220">
        <v>47.95</v>
      </c>
      <c r="S8220">
        <v>71.930000000000007</v>
      </c>
      <c r="T8220" t="s">
        <v>39917</v>
      </c>
    </row>
    <row r="8221" spans="1:20">
      <c r="A8221">
        <v>4672286</v>
      </c>
      <c r="B8221" t="s">
        <v>39918</v>
      </c>
      <c r="C8221" t="str">
        <f>"9780802077578"</f>
        <v>9780802077578</v>
      </c>
      <c r="D8221" t="str">
        <f>"9781442683877"</f>
        <v>9781442683877</v>
      </c>
      <c r="E8221" t="s">
        <v>31435</v>
      </c>
      <c r="F8221" t="s">
        <v>31435</v>
      </c>
      <c r="G8221" s="1">
        <v>33970</v>
      </c>
      <c r="J8221" t="s">
        <v>39919</v>
      </c>
      <c r="K8221" t="s">
        <v>964</v>
      </c>
      <c r="L8221" t="s">
        <v>39920</v>
      </c>
      <c r="M8221">
        <v>338.37270920717901</v>
      </c>
      <c r="O8221" t="s">
        <v>26</v>
      </c>
      <c r="Q8221">
        <v>59.94</v>
      </c>
      <c r="R8221">
        <v>47.95</v>
      </c>
      <c r="S8221">
        <v>71.930000000000007</v>
      </c>
      <c r="T8221" t="s">
        <v>39921</v>
      </c>
    </row>
    <row r="8222" spans="1:20">
      <c r="A8222">
        <v>4672287</v>
      </c>
      <c r="B8222" t="s">
        <v>39922</v>
      </c>
      <c r="C8222" t="str">
        <f>"9780802009265"</f>
        <v>9780802009265</v>
      </c>
      <c r="D8222" t="str">
        <f>"9781442683884"</f>
        <v>9781442683884</v>
      </c>
      <c r="E8222" t="s">
        <v>31435</v>
      </c>
      <c r="F8222" t="s">
        <v>31435</v>
      </c>
      <c r="G8222" s="1">
        <v>35065</v>
      </c>
      <c r="J8222" t="s">
        <v>38012</v>
      </c>
      <c r="K8222" t="s">
        <v>1464</v>
      </c>
      <c r="L8222" t="s">
        <v>39923</v>
      </c>
      <c r="M8222">
        <v>843</v>
      </c>
      <c r="O8222" t="s">
        <v>26</v>
      </c>
      <c r="Q8222">
        <v>70</v>
      </c>
      <c r="R8222">
        <v>56</v>
      </c>
      <c r="S8222">
        <v>84</v>
      </c>
      <c r="T8222" t="s">
        <v>39924</v>
      </c>
    </row>
    <row r="8223" spans="1:20">
      <c r="A8223">
        <v>4672289</v>
      </c>
      <c r="B8223" t="s">
        <v>39925</v>
      </c>
      <c r="C8223" t="str">
        <f>"9780802005175"</f>
        <v>9780802005175</v>
      </c>
      <c r="D8223" t="str">
        <f>"9781442683907"</f>
        <v>9781442683907</v>
      </c>
      <c r="E8223" t="s">
        <v>31435</v>
      </c>
      <c r="F8223" t="s">
        <v>31435</v>
      </c>
      <c r="G8223" s="1">
        <v>34335</v>
      </c>
      <c r="J8223" t="s">
        <v>24582</v>
      </c>
      <c r="K8223" t="s">
        <v>1464</v>
      </c>
      <c r="L8223" t="s">
        <v>39926</v>
      </c>
      <c r="M8223" t="s">
        <v>37857</v>
      </c>
      <c r="O8223" t="s">
        <v>26</v>
      </c>
      <c r="Q8223">
        <v>59.94</v>
      </c>
      <c r="R8223">
        <v>47.95</v>
      </c>
      <c r="S8223">
        <v>71.930000000000007</v>
      </c>
      <c r="T8223" t="s">
        <v>39927</v>
      </c>
    </row>
    <row r="8224" spans="1:20">
      <c r="A8224">
        <v>4672290</v>
      </c>
      <c r="B8224" t="s">
        <v>39928</v>
      </c>
      <c r="C8224" t="str">
        <f>"9781442640153"</f>
        <v>9781442640153</v>
      </c>
      <c r="D8224" t="str">
        <f>"9781442683921"</f>
        <v>9781442683921</v>
      </c>
      <c r="E8224" t="s">
        <v>31435</v>
      </c>
      <c r="F8224" t="s">
        <v>31435</v>
      </c>
      <c r="G8224" s="1">
        <v>40094</v>
      </c>
      <c r="H8224">
        <v>2</v>
      </c>
      <c r="I8224" t="s">
        <v>35326</v>
      </c>
      <c r="J8224" t="s">
        <v>39929</v>
      </c>
      <c r="K8224" t="s">
        <v>14194</v>
      </c>
      <c r="L8224" t="s">
        <v>39930</v>
      </c>
      <c r="M8224">
        <v>364.13099999999901</v>
      </c>
      <c r="O8224" t="s">
        <v>26</v>
      </c>
      <c r="Q8224">
        <v>143.75</v>
      </c>
      <c r="R8224">
        <v>115</v>
      </c>
      <c r="S8224">
        <v>172.5</v>
      </c>
      <c r="T8224" t="s">
        <v>39931</v>
      </c>
    </row>
    <row r="8225" spans="1:20">
      <c r="A8225">
        <v>4672292</v>
      </c>
      <c r="B8225" t="s">
        <v>39932</v>
      </c>
      <c r="C8225" t="str">
        <f>"9780802092328"</f>
        <v>9780802092328</v>
      </c>
      <c r="D8225" t="str">
        <f>"9781442683952"</f>
        <v>9781442683952</v>
      </c>
      <c r="E8225" t="s">
        <v>31435</v>
      </c>
      <c r="F8225" t="s">
        <v>31435</v>
      </c>
      <c r="G8225" s="1">
        <v>39228</v>
      </c>
      <c r="H8225">
        <v>2</v>
      </c>
      <c r="J8225" t="s">
        <v>39933</v>
      </c>
      <c r="K8225" t="s">
        <v>39934</v>
      </c>
      <c r="L8225" t="s">
        <v>39935</v>
      </c>
      <c r="M8225" t="s">
        <v>39936</v>
      </c>
      <c r="O8225" t="s">
        <v>26</v>
      </c>
      <c r="Q8225">
        <v>113.75</v>
      </c>
      <c r="R8225">
        <v>91</v>
      </c>
      <c r="S8225">
        <v>136.5</v>
      </c>
      <c r="T8225" t="s">
        <v>39937</v>
      </c>
    </row>
    <row r="8226" spans="1:20">
      <c r="A8226">
        <v>4672293</v>
      </c>
      <c r="B8226" t="s">
        <v>39938</v>
      </c>
      <c r="C8226" t="str">
        <f>"9780802095961"</f>
        <v>9780802095961</v>
      </c>
      <c r="D8226" t="str">
        <f>"9781442683969"</f>
        <v>9781442683969</v>
      </c>
      <c r="E8226" t="s">
        <v>31435</v>
      </c>
      <c r="F8226" t="s">
        <v>31435</v>
      </c>
      <c r="G8226" s="1">
        <v>39445</v>
      </c>
      <c r="J8226" t="s">
        <v>39939</v>
      </c>
      <c r="K8226" t="s">
        <v>3170</v>
      </c>
      <c r="L8226" t="s">
        <v>39940</v>
      </c>
      <c r="M8226" t="s">
        <v>39941</v>
      </c>
      <c r="O8226" t="s">
        <v>26</v>
      </c>
      <c r="Q8226">
        <v>141.25</v>
      </c>
      <c r="R8226">
        <v>113</v>
      </c>
      <c r="S8226">
        <v>169.5</v>
      </c>
      <c r="T8226" t="s">
        <v>39942</v>
      </c>
    </row>
    <row r="8227" spans="1:20">
      <c r="A8227">
        <v>4672294</v>
      </c>
      <c r="B8227" t="s">
        <v>39943</v>
      </c>
      <c r="C8227" t="str">
        <f>"9780802094766"</f>
        <v>9780802094766</v>
      </c>
      <c r="D8227" t="str">
        <f>"9781442683976"</f>
        <v>9781442683976</v>
      </c>
      <c r="E8227" t="s">
        <v>31435</v>
      </c>
      <c r="F8227" t="s">
        <v>31435</v>
      </c>
      <c r="G8227" s="1">
        <v>39083</v>
      </c>
      <c r="J8227" t="s">
        <v>39944</v>
      </c>
      <c r="K8227" t="s">
        <v>1464</v>
      </c>
      <c r="L8227" t="s">
        <v>39945</v>
      </c>
      <c r="M8227">
        <v>801.95092</v>
      </c>
      <c r="O8227" t="s">
        <v>26</v>
      </c>
      <c r="Q8227">
        <v>106.25</v>
      </c>
      <c r="R8227">
        <v>85</v>
      </c>
      <c r="S8227">
        <v>127.5</v>
      </c>
      <c r="T8227" t="s">
        <v>39946</v>
      </c>
    </row>
    <row r="8228" spans="1:20">
      <c r="A8228">
        <v>4672296</v>
      </c>
      <c r="B8228" t="s">
        <v>39947</v>
      </c>
      <c r="C8228" t="str">
        <f>"9780802092144"</f>
        <v>9780802092144</v>
      </c>
      <c r="D8228" t="str">
        <f>"9781442683990"</f>
        <v>9781442683990</v>
      </c>
      <c r="E8228" t="s">
        <v>31435</v>
      </c>
      <c r="F8228" t="s">
        <v>31435</v>
      </c>
      <c r="G8228" s="1">
        <v>39243</v>
      </c>
      <c r="H8228">
        <v>2</v>
      </c>
      <c r="J8228" t="s">
        <v>39948</v>
      </c>
      <c r="K8228" t="s">
        <v>1859</v>
      </c>
      <c r="L8228" t="s">
        <v>39949</v>
      </c>
      <c r="M8228">
        <v>193</v>
      </c>
      <c r="N8228" t="s">
        <v>39950</v>
      </c>
      <c r="O8228" t="s">
        <v>26</v>
      </c>
      <c r="Q8228">
        <v>113.75</v>
      </c>
      <c r="R8228">
        <v>91</v>
      </c>
      <c r="S8228">
        <v>136.5</v>
      </c>
      <c r="T8228" t="s">
        <v>39951</v>
      </c>
    </row>
    <row r="8229" spans="1:20">
      <c r="A8229">
        <v>4672297</v>
      </c>
      <c r="B8229" t="s">
        <v>39952</v>
      </c>
      <c r="C8229" t="str">
        <f>"9781442656239"</f>
        <v>9781442656239</v>
      </c>
      <c r="D8229" t="str">
        <f>"9781442684003"</f>
        <v>9781442684003</v>
      </c>
      <c r="E8229" t="s">
        <v>31435</v>
      </c>
      <c r="F8229" t="s">
        <v>31435</v>
      </c>
      <c r="G8229" s="1">
        <v>39151</v>
      </c>
      <c r="J8229" t="s">
        <v>39953</v>
      </c>
      <c r="K8229" t="s">
        <v>17716</v>
      </c>
      <c r="L8229" t="s">
        <v>39954</v>
      </c>
      <c r="M8229">
        <v>554.77</v>
      </c>
      <c r="O8229" t="s">
        <v>26</v>
      </c>
      <c r="Q8229">
        <v>143.75</v>
      </c>
      <c r="R8229">
        <v>115</v>
      </c>
      <c r="S8229">
        <v>172.5</v>
      </c>
      <c r="T8229" t="s">
        <v>39955</v>
      </c>
    </row>
    <row r="8230" spans="1:20">
      <c r="A8230">
        <v>4672299</v>
      </c>
      <c r="B8230" t="s">
        <v>39956</v>
      </c>
      <c r="C8230" t="str">
        <f>"9780802094599"</f>
        <v>9780802094599</v>
      </c>
      <c r="D8230" t="str">
        <f>"9781442684034"</f>
        <v>9781442684034</v>
      </c>
      <c r="E8230" t="s">
        <v>31435</v>
      </c>
      <c r="F8230" t="s">
        <v>31435</v>
      </c>
      <c r="G8230" s="1">
        <v>39114</v>
      </c>
      <c r="J8230" t="s">
        <v>39957</v>
      </c>
      <c r="K8230" t="s">
        <v>291</v>
      </c>
      <c r="L8230" t="s">
        <v>39958</v>
      </c>
      <c r="M8230" t="s">
        <v>39959</v>
      </c>
      <c r="N8230" t="s">
        <v>39960</v>
      </c>
      <c r="O8230" t="s">
        <v>26</v>
      </c>
      <c r="Q8230">
        <v>131.25</v>
      </c>
      <c r="R8230">
        <v>105</v>
      </c>
      <c r="S8230">
        <v>157.5</v>
      </c>
      <c r="T8230" t="s">
        <v>39961</v>
      </c>
    </row>
    <row r="8231" spans="1:20">
      <c r="A8231">
        <v>4672300</v>
      </c>
      <c r="B8231" t="s">
        <v>39962</v>
      </c>
      <c r="C8231" t="str">
        <f>"9780802094469"</f>
        <v>9780802094469</v>
      </c>
      <c r="D8231" t="str">
        <f>"9781442684041"</f>
        <v>9781442684041</v>
      </c>
      <c r="E8231" t="s">
        <v>31435</v>
      </c>
      <c r="F8231" t="s">
        <v>31435</v>
      </c>
      <c r="G8231" s="1">
        <v>39083</v>
      </c>
      <c r="J8231" t="s">
        <v>39963</v>
      </c>
      <c r="K8231" t="s">
        <v>1464</v>
      </c>
      <c r="L8231" t="s">
        <v>39964</v>
      </c>
      <c r="M8231" t="s">
        <v>39965</v>
      </c>
      <c r="O8231" t="s">
        <v>26</v>
      </c>
      <c r="Q8231">
        <v>106.25</v>
      </c>
      <c r="R8231">
        <v>85</v>
      </c>
      <c r="S8231">
        <v>127.5</v>
      </c>
      <c r="T8231" t="s">
        <v>39966</v>
      </c>
    </row>
    <row r="8232" spans="1:20">
      <c r="A8232">
        <v>4672301</v>
      </c>
      <c r="B8232" t="s">
        <v>39967</v>
      </c>
      <c r="C8232" t="str">
        <f>"9780802089816"</f>
        <v>9780802089816</v>
      </c>
      <c r="D8232" t="str">
        <f>"9781442684058"</f>
        <v>9781442684058</v>
      </c>
      <c r="E8232" t="s">
        <v>31435</v>
      </c>
      <c r="F8232" t="s">
        <v>31435</v>
      </c>
      <c r="G8232" s="1">
        <v>38657</v>
      </c>
      <c r="H8232">
        <v>2</v>
      </c>
      <c r="I8232" t="s">
        <v>35029</v>
      </c>
      <c r="J8232" t="s">
        <v>4007</v>
      </c>
      <c r="K8232" t="s">
        <v>1859</v>
      </c>
      <c r="L8232" t="s">
        <v>39968</v>
      </c>
      <c r="M8232">
        <v>192</v>
      </c>
      <c r="N8232" t="s">
        <v>39969</v>
      </c>
      <c r="O8232" t="s">
        <v>26</v>
      </c>
      <c r="Q8232">
        <v>113.75</v>
      </c>
      <c r="R8232">
        <v>91</v>
      </c>
      <c r="S8232">
        <v>136.5</v>
      </c>
      <c r="T8232" t="s">
        <v>39970</v>
      </c>
    </row>
    <row r="8233" spans="1:20">
      <c r="A8233">
        <v>4672302</v>
      </c>
      <c r="B8233" t="s">
        <v>39971</v>
      </c>
      <c r="C8233" t="str">
        <f>"9780802091918"</f>
        <v>9780802091918</v>
      </c>
      <c r="D8233" t="str">
        <f>"9781442684065"</f>
        <v>9781442684065</v>
      </c>
      <c r="E8233" t="s">
        <v>31435</v>
      </c>
      <c r="F8233" t="s">
        <v>31435</v>
      </c>
      <c r="G8233" s="1">
        <v>39052</v>
      </c>
      <c r="H8233">
        <v>2</v>
      </c>
      <c r="I8233" t="s">
        <v>33775</v>
      </c>
      <c r="J8233" t="s">
        <v>39972</v>
      </c>
      <c r="K8233" t="s">
        <v>1464</v>
      </c>
      <c r="L8233" t="s">
        <v>39973</v>
      </c>
      <c r="M8233">
        <v>851.8</v>
      </c>
      <c r="N8233" t="s">
        <v>39974</v>
      </c>
      <c r="O8233" t="s">
        <v>26</v>
      </c>
      <c r="Q8233">
        <v>78.75</v>
      </c>
      <c r="R8233">
        <v>63</v>
      </c>
      <c r="S8233">
        <v>94.5</v>
      </c>
      <c r="T8233" t="s">
        <v>39975</v>
      </c>
    </row>
    <row r="8234" spans="1:20">
      <c r="A8234">
        <v>4672303</v>
      </c>
      <c r="B8234" t="s">
        <v>39976</v>
      </c>
      <c r="C8234" t="str">
        <f>"9780802097712"</f>
        <v>9780802097712</v>
      </c>
      <c r="D8234" t="str">
        <f>"9781442684089"</f>
        <v>9781442684089</v>
      </c>
      <c r="E8234" t="s">
        <v>31435</v>
      </c>
      <c r="F8234" t="s">
        <v>31435</v>
      </c>
      <c r="G8234" s="1">
        <v>39410</v>
      </c>
      <c r="H8234">
        <v>2</v>
      </c>
      <c r="I8234" t="s">
        <v>33827</v>
      </c>
      <c r="J8234" t="s">
        <v>39977</v>
      </c>
      <c r="K8234" t="s">
        <v>1859</v>
      </c>
      <c r="L8234" t="s">
        <v>39978</v>
      </c>
      <c r="M8234">
        <v>111.85</v>
      </c>
      <c r="N8234" t="s">
        <v>39979</v>
      </c>
      <c r="O8234" t="s">
        <v>26</v>
      </c>
      <c r="Q8234">
        <v>62.44</v>
      </c>
      <c r="R8234">
        <v>49.95</v>
      </c>
      <c r="S8234">
        <v>74.930000000000007</v>
      </c>
      <c r="T8234" t="s">
        <v>39980</v>
      </c>
    </row>
    <row r="8235" spans="1:20">
      <c r="A8235">
        <v>4672304</v>
      </c>
      <c r="B8235" t="s">
        <v>39981</v>
      </c>
      <c r="C8235" t="str">
        <f>"9780802090638"</f>
        <v>9780802090638</v>
      </c>
      <c r="D8235" t="str">
        <f>"9781442684102"</f>
        <v>9781442684102</v>
      </c>
      <c r="E8235" t="s">
        <v>31435</v>
      </c>
      <c r="F8235" t="s">
        <v>31435</v>
      </c>
      <c r="G8235" s="1">
        <v>39445</v>
      </c>
      <c r="H8235">
        <v>2</v>
      </c>
      <c r="J8235" t="s">
        <v>39982</v>
      </c>
      <c r="K8235" t="s">
        <v>1892</v>
      </c>
      <c r="L8235" t="s">
        <v>39983</v>
      </c>
      <c r="M8235">
        <v>200.1</v>
      </c>
      <c r="O8235" t="s">
        <v>26</v>
      </c>
      <c r="Q8235">
        <v>165</v>
      </c>
      <c r="R8235">
        <v>132</v>
      </c>
      <c r="S8235">
        <v>198</v>
      </c>
      <c r="T8235" t="s">
        <v>39984</v>
      </c>
    </row>
    <row r="8236" spans="1:20">
      <c r="A8236">
        <v>4672305</v>
      </c>
      <c r="B8236" t="s">
        <v>39985</v>
      </c>
      <c r="C8236" t="str">
        <f>"9780802093233"</f>
        <v>9780802093233</v>
      </c>
      <c r="D8236" t="str">
        <f>"9781442684119"</f>
        <v>9781442684119</v>
      </c>
      <c r="E8236" t="s">
        <v>31435</v>
      </c>
      <c r="F8236" t="s">
        <v>31435</v>
      </c>
      <c r="G8236" s="1">
        <v>39180</v>
      </c>
      <c r="J8236" t="s">
        <v>39986</v>
      </c>
      <c r="K8236" t="s">
        <v>525</v>
      </c>
      <c r="L8236" t="s">
        <v>39987</v>
      </c>
      <c r="M8236" t="s">
        <v>29249</v>
      </c>
      <c r="N8236" t="s">
        <v>39988</v>
      </c>
      <c r="O8236" t="s">
        <v>26</v>
      </c>
      <c r="Q8236">
        <v>106.25</v>
      </c>
      <c r="R8236">
        <v>85</v>
      </c>
      <c r="S8236">
        <v>127.5</v>
      </c>
      <c r="T8236" t="s">
        <v>39989</v>
      </c>
    </row>
    <row r="8237" spans="1:20">
      <c r="A8237">
        <v>4672306</v>
      </c>
      <c r="B8237" t="s">
        <v>39990</v>
      </c>
      <c r="C8237" t="str">
        <f>"9780802092359"</f>
        <v>9780802092359</v>
      </c>
      <c r="D8237" t="str">
        <f>"9781442684126"</f>
        <v>9781442684126</v>
      </c>
      <c r="E8237" t="s">
        <v>31435</v>
      </c>
      <c r="F8237" t="s">
        <v>31435</v>
      </c>
      <c r="G8237" s="1">
        <v>38718</v>
      </c>
      <c r="H8237">
        <v>2</v>
      </c>
      <c r="I8237" t="s">
        <v>34830</v>
      </c>
      <c r="J8237" t="s">
        <v>34831</v>
      </c>
      <c r="K8237" t="s">
        <v>278</v>
      </c>
      <c r="L8237" t="s">
        <v>39991</v>
      </c>
      <c r="M8237">
        <v>330.97106400000001</v>
      </c>
      <c r="O8237" t="s">
        <v>26</v>
      </c>
      <c r="Q8237">
        <v>172.5</v>
      </c>
      <c r="R8237">
        <v>138</v>
      </c>
      <c r="S8237">
        <v>207</v>
      </c>
      <c r="T8237" t="s">
        <v>39992</v>
      </c>
    </row>
    <row r="8238" spans="1:20">
      <c r="A8238">
        <v>4672307</v>
      </c>
      <c r="B8238" t="s">
        <v>39993</v>
      </c>
      <c r="C8238" t="str">
        <f>"9780802094964"</f>
        <v>9780802094964</v>
      </c>
      <c r="D8238" t="str">
        <f>"9781442684157"</f>
        <v>9781442684157</v>
      </c>
      <c r="E8238" t="s">
        <v>31435</v>
      </c>
      <c r="F8238" t="s">
        <v>31435</v>
      </c>
      <c r="G8238" s="1">
        <v>39305</v>
      </c>
      <c r="I8238" t="s">
        <v>33775</v>
      </c>
      <c r="J8238" t="s">
        <v>39994</v>
      </c>
      <c r="K8238" t="s">
        <v>356</v>
      </c>
      <c r="L8238" t="s">
        <v>39995</v>
      </c>
      <c r="M8238" t="s">
        <v>39996</v>
      </c>
      <c r="O8238" t="s">
        <v>26</v>
      </c>
      <c r="Q8238">
        <v>141.25</v>
      </c>
      <c r="R8238">
        <v>113</v>
      </c>
      <c r="S8238">
        <v>169.5</v>
      </c>
      <c r="T8238" t="s">
        <v>39997</v>
      </c>
    </row>
    <row r="8239" spans="1:20">
      <c r="A8239">
        <v>4672308</v>
      </c>
      <c r="B8239" t="s">
        <v>39998</v>
      </c>
      <c r="C8239" t="str">
        <f>"9780802092946"</f>
        <v>9780802092946</v>
      </c>
      <c r="D8239" t="str">
        <f>"9781442684164"</f>
        <v>9781442684164</v>
      </c>
      <c r="E8239" t="s">
        <v>31435</v>
      </c>
      <c r="F8239" t="s">
        <v>31435</v>
      </c>
      <c r="G8239" s="1">
        <v>39202</v>
      </c>
      <c r="H8239">
        <v>2</v>
      </c>
      <c r="I8239" t="s">
        <v>33775</v>
      </c>
      <c r="J8239" t="s">
        <v>39999</v>
      </c>
      <c r="K8239" t="s">
        <v>1464</v>
      </c>
      <c r="L8239" t="s">
        <v>40000</v>
      </c>
      <c r="M8239" t="s">
        <v>40001</v>
      </c>
      <c r="N8239" t="s">
        <v>40002</v>
      </c>
      <c r="O8239" t="s">
        <v>26</v>
      </c>
      <c r="Q8239">
        <v>106.25</v>
      </c>
      <c r="R8239">
        <v>85</v>
      </c>
      <c r="S8239">
        <v>127.5</v>
      </c>
      <c r="T8239" t="s">
        <v>40003</v>
      </c>
    </row>
    <row r="8240" spans="1:20">
      <c r="A8240">
        <v>4672313</v>
      </c>
      <c r="B8240" t="s">
        <v>40004</v>
      </c>
      <c r="C8240" t="str">
        <f>"9780802092298"</f>
        <v>9780802092298</v>
      </c>
      <c r="D8240" t="str">
        <f>"9781442684218"</f>
        <v>9781442684218</v>
      </c>
      <c r="E8240" t="s">
        <v>31435</v>
      </c>
      <c r="F8240" t="s">
        <v>31435</v>
      </c>
      <c r="G8240" s="1">
        <v>39202</v>
      </c>
      <c r="H8240">
        <v>2</v>
      </c>
      <c r="I8240" t="s">
        <v>34035</v>
      </c>
      <c r="J8240" t="s">
        <v>40005</v>
      </c>
      <c r="K8240" t="s">
        <v>1464</v>
      </c>
      <c r="L8240" t="s">
        <v>40006</v>
      </c>
      <c r="M8240" t="s">
        <v>40007</v>
      </c>
      <c r="N8240" t="s">
        <v>40008</v>
      </c>
      <c r="O8240" t="s">
        <v>26</v>
      </c>
      <c r="Q8240">
        <v>113.75</v>
      </c>
      <c r="R8240">
        <v>91</v>
      </c>
      <c r="S8240">
        <v>136.5</v>
      </c>
      <c r="T8240" t="s">
        <v>40009</v>
      </c>
    </row>
    <row r="8241" spans="1:20">
      <c r="A8241">
        <v>4672314</v>
      </c>
      <c r="B8241" t="s">
        <v>40010</v>
      </c>
      <c r="C8241" t="str">
        <f>"9780802094087"</f>
        <v>9780802094087</v>
      </c>
      <c r="D8241" t="str">
        <f>"9781442684225"</f>
        <v>9781442684225</v>
      </c>
      <c r="E8241" t="s">
        <v>31435</v>
      </c>
      <c r="F8241" t="s">
        <v>31435</v>
      </c>
      <c r="G8241" s="1">
        <v>39202</v>
      </c>
      <c r="I8241" t="s">
        <v>34935</v>
      </c>
      <c r="J8241" t="s">
        <v>40011</v>
      </c>
      <c r="K8241" t="s">
        <v>278</v>
      </c>
      <c r="L8241" t="s">
        <v>40012</v>
      </c>
      <c r="M8241" t="s">
        <v>40013</v>
      </c>
      <c r="N8241" t="s">
        <v>40014</v>
      </c>
      <c r="O8241" t="s">
        <v>26</v>
      </c>
      <c r="Q8241">
        <v>122.5</v>
      </c>
      <c r="R8241">
        <v>98</v>
      </c>
      <c r="S8241">
        <v>147</v>
      </c>
      <c r="T8241" t="s">
        <v>40015</v>
      </c>
    </row>
    <row r="8242" spans="1:20">
      <c r="A8242">
        <v>4672315</v>
      </c>
      <c r="B8242" t="s">
        <v>40016</v>
      </c>
      <c r="C8242" t="str">
        <f>"9780802092151"</f>
        <v>9780802092151</v>
      </c>
      <c r="D8242" t="str">
        <f>"9781442684232"</f>
        <v>9781442684232</v>
      </c>
      <c r="E8242" t="s">
        <v>31435</v>
      </c>
      <c r="F8242" t="s">
        <v>31435</v>
      </c>
      <c r="G8242" s="1">
        <v>39094</v>
      </c>
      <c r="H8242">
        <v>2</v>
      </c>
      <c r="J8242" t="s">
        <v>40017</v>
      </c>
      <c r="K8242" t="s">
        <v>263</v>
      </c>
      <c r="L8242" t="s">
        <v>40018</v>
      </c>
      <c r="M8242">
        <v>300</v>
      </c>
      <c r="N8242" t="s">
        <v>40019</v>
      </c>
      <c r="O8242" t="s">
        <v>26</v>
      </c>
      <c r="Q8242">
        <v>113.75</v>
      </c>
      <c r="R8242">
        <v>91</v>
      </c>
      <c r="S8242">
        <v>136.5</v>
      </c>
      <c r="T8242" t="s">
        <v>40020</v>
      </c>
    </row>
    <row r="8243" spans="1:20">
      <c r="A8243">
        <v>4672316</v>
      </c>
      <c r="B8243" t="s">
        <v>40021</v>
      </c>
      <c r="C8243" t="str">
        <f>"9781442631441"</f>
        <v>9781442631441</v>
      </c>
      <c r="D8243" t="str">
        <f>"9781442684263"</f>
        <v>9781442684263</v>
      </c>
      <c r="E8243" t="s">
        <v>31435</v>
      </c>
      <c r="F8243" t="s">
        <v>31435</v>
      </c>
      <c r="G8243" s="1">
        <v>39340</v>
      </c>
      <c r="J8243" t="s">
        <v>40022</v>
      </c>
      <c r="K8243" t="s">
        <v>467</v>
      </c>
      <c r="L8243" t="s">
        <v>40023</v>
      </c>
      <c r="M8243" t="s">
        <v>40024</v>
      </c>
      <c r="O8243" t="s">
        <v>26</v>
      </c>
      <c r="Q8243">
        <v>78.75</v>
      </c>
      <c r="R8243">
        <v>63</v>
      </c>
      <c r="S8243">
        <v>94.5</v>
      </c>
      <c r="T8243" t="s">
        <v>40025</v>
      </c>
    </row>
    <row r="8244" spans="1:20">
      <c r="A8244">
        <v>4672318</v>
      </c>
      <c r="B8244" t="s">
        <v>40026</v>
      </c>
      <c r="C8244" t="str">
        <f>"9780802097637"</f>
        <v>9780802097637</v>
      </c>
      <c r="D8244" t="str">
        <f>"9781442684287"</f>
        <v>9781442684287</v>
      </c>
      <c r="E8244" t="s">
        <v>31435</v>
      </c>
      <c r="F8244" t="s">
        <v>31435</v>
      </c>
      <c r="G8244" s="1">
        <v>39424</v>
      </c>
      <c r="H8244">
        <v>2</v>
      </c>
      <c r="J8244" t="s">
        <v>40027</v>
      </c>
      <c r="K8244" t="s">
        <v>1464</v>
      </c>
      <c r="L8244" t="s">
        <v>40028</v>
      </c>
      <c r="M8244">
        <v>801</v>
      </c>
      <c r="O8244" t="s">
        <v>26</v>
      </c>
      <c r="Q8244">
        <v>113.75</v>
      </c>
      <c r="R8244">
        <v>91</v>
      </c>
      <c r="S8244">
        <v>136.5</v>
      </c>
      <c r="T8244" t="s">
        <v>40029</v>
      </c>
    </row>
    <row r="8245" spans="1:20">
      <c r="A8245">
        <v>4672319</v>
      </c>
      <c r="B8245" t="s">
        <v>40030</v>
      </c>
      <c r="C8245" t="str">
        <f>"9780802038906"</f>
        <v>9780802038906</v>
      </c>
      <c r="D8245" t="str">
        <f>"9781442684294"</f>
        <v>9781442684294</v>
      </c>
      <c r="E8245" t="s">
        <v>31435</v>
      </c>
      <c r="F8245" t="s">
        <v>31435</v>
      </c>
      <c r="G8245" s="1">
        <v>38718</v>
      </c>
      <c r="J8245" t="s">
        <v>40031</v>
      </c>
      <c r="K8245" t="s">
        <v>1859</v>
      </c>
      <c r="L8245" t="s">
        <v>40032</v>
      </c>
      <c r="M8245">
        <v>170</v>
      </c>
      <c r="O8245" t="s">
        <v>26</v>
      </c>
      <c r="Q8245">
        <v>113.75</v>
      </c>
      <c r="R8245">
        <v>91</v>
      </c>
      <c r="S8245">
        <v>136.5</v>
      </c>
      <c r="T8245" t="s">
        <v>40033</v>
      </c>
    </row>
    <row r="8246" spans="1:20">
      <c r="A8246">
        <v>4672320</v>
      </c>
      <c r="B8246" t="s">
        <v>40034</v>
      </c>
      <c r="C8246" t="str">
        <f>"9780802086341"</f>
        <v>9780802086341</v>
      </c>
      <c r="D8246" t="str">
        <f>"9781442684300"</f>
        <v>9781442684300</v>
      </c>
      <c r="E8246" t="s">
        <v>31435</v>
      </c>
      <c r="F8246" t="s">
        <v>31435</v>
      </c>
      <c r="G8246" s="1">
        <v>39243</v>
      </c>
      <c r="H8246">
        <v>2</v>
      </c>
      <c r="J8246" t="s">
        <v>40035</v>
      </c>
      <c r="K8246" t="s">
        <v>278</v>
      </c>
      <c r="L8246" t="s">
        <v>40036</v>
      </c>
      <c r="M8246">
        <v>331.88097099999902</v>
      </c>
      <c r="N8246" t="s">
        <v>40037</v>
      </c>
      <c r="O8246" t="s">
        <v>26</v>
      </c>
      <c r="Q8246">
        <v>122.5</v>
      </c>
      <c r="R8246">
        <v>98</v>
      </c>
      <c r="S8246">
        <v>147</v>
      </c>
      <c r="T8246" t="s">
        <v>40038</v>
      </c>
    </row>
    <row r="8247" spans="1:20">
      <c r="A8247">
        <v>4672322</v>
      </c>
      <c r="B8247" t="s">
        <v>40039</v>
      </c>
      <c r="C8247" t="str">
        <f>"9780802092731"</f>
        <v>9780802092731</v>
      </c>
      <c r="D8247" t="str">
        <f>"9781442684324"</f>
        <v>9781442684324</v>
      </c>
      <c r="E8247" t="s">
        <v>31435</v>
      </c>
      <c r="F8247" t="s">
        <v>31435</v>
      </c>
      <c r="G8247" s="1">
        <v>39202</v>
      </c>
      <c r="H8247">
        <v>2</v>
      </c>
      <c r="I8247" t="s">
        <v>34765</v>
      </c>
      <c r="J8247" t="s">
        <v>40040</v>
      </c>
      <c r="K8247" t="s">
        <v>40041</v>
      </c>
      <c r="L8247" t="s">
        <v>40042</v>
      </c>
      <c r="M8247" t="s">
        <v>40043</v>
      </c>
      <c r="N8247" t="s">
        <v>40044</v>
      </c>
      <c r="O8247" t="s">
        <v>26</v>
      </c>
      <c r="Q8247">
        <v>78.75</v>
      </c>
      <c r="R8247">
        <v>63</v>
      </c>
      <c r="S8247">
        <v>94.5</v>
      </c>
      <c r="T8247" t="s">
        <v>40045</v>
      </c>
    </row>
    <row r="8248" spans="1:20">
      <c r="A8248">
        <v>4672324</v>
      </c>
      <c r="B8248" t="s">
        <v>40046</v>
      </c>
      <c r="C8248" t="str">
        <f>"9780802081421"</f>
        <v>9780802081421</v>
      </c>
      <c r="D8248" t="str">
        <f>"9781442684379"</f>
        <v>9781442684379</v>
      </c>
      <c r="E8248" t="s">
        <v>31435</v>
      </c>
      <c r="F8248" t="s">
        <v>31435</v>
      </c>
      <c r="G8248" s="1">
        <v>39295</v>
      </c>
      <c r="J8248" t="s">
        <v>40047</v>
      </c>
      <c r="K8248" t="s">
        <v>1859</v>
      </c>
      <c r="L8248" t="s">
        <v>40048</v>
      </c>
      <c r="M8248">
        <v>191</v>
      </c>
      <c r="N8248" t="s">
        <v>40049</v>
      </c>
      <c r="O8248" t="s">
        <v>26</v>
      </c>
      <c r="Q8248">
        <v>106.25</v>
      </c>
      <c r="R8248">
        <v>85</v>
      </c>
      <c r="S8248">
        <v>127.5</v>
      </c>
      <c r="T8248" t="s">
        <v>40050</v>
      </c>
    </row>
    <row r="8249" spans="1:20">
      <c r="A8249">
        <v>4672326</v>
      </c>
      <c r="B8249" t="s">
        <v>40051</v>
      </c>
      <c r="C8249" t="str">
        <f>"9780802093288"</f>
        <v>9780802093288</v>
      </c>
      <c r="D8249" t="str">
        <f>"9781442684386"</f>
        <v>9781442684386</v>
      </c>
      <c r="E8249" t="s">
        <v>31435</v>
      </c>
      <c r="F8249" t="s">
        <v>31435</v>
      </c>
      <c r="G8249" s="1">
        <v>39445</v>
      </c>
      <c r="J8249" t="s">
        <v>40052</v>
      </c>
      <c r="K8249" t="s">
        <v>33377</v>
      </c>
      <c r="L8249" t="s">
        <v>40053</v>
      </c>
      <c r="M8249">
        <v>711.40943712000001</v>
      </c>
      <c r="O8249" t="s">
        <v>26</v>
      </c>
      <c r="Q8249">
        <v>98.75</v>
      </c>
      <c r="R8249">
        <v>79</v>
      </c>
      <c r="S8249">
        <v>118.5</v>
      </c>
      <c r="T8249" t="s">
        <v>40054</v>
      </c>
    </row>
    <row r="8250" spans="1:20">
      <c r="A8250">
        <v>4672328</v>
      </c>
      <c r="B8250" t="s">
        <v>40055</v>
      </c>
      <c r="C8250" t="str">
        <f>"9781442626102"</f>
        <v>9781442626102</v>
      </c>
      <c r="D8250" t="str">
        <f>"9781442684409"</f>
        <v>9781442684409</v>
      </c>
      <c r="E8250" t="s">
        <v>31435</v>
      </c>
      <c r="F8250" t="s">
        <v>31435</v>
      </c>
      <c r="G8250" s="1">
        <v>39410</v>
      </c>
      <c r="J8250" t="s">
        <v>40056</v>
      </c>
      <c r="K8250" t="s">
        <v>376</v>
      </c>
      <c r="L8250" t="s">
        <v>40057</v>
      </c>
      <c r="M8250" t="s">
        <v>40058</v>
      </c>
      <c r="O8250" t="s">
        <v>26</v>
      </c>
      <c r="Q8250">
        <v>98.75</v>
      </c>
      <c r="R8250">
        <v>79</v>
      </c>
      <c r="S8250">
        <v>118.5</v>
      </c>
      <c r="T8250" t="s">
        <v>40059</v>
      </c>
    </row>
    <row r="8251" spans="1:20">
      <c r="A8251">
        <v>4672329</v>
      </c>
      <c r="B8251" t="s">
        <v>40060</v>
      </c>
      <c r="C8251" t="str">
        <f>"9780802094940"</f>
        <v>9780802094940</v>
      </c>
      <c r="D8251" t="str">
        <f>"9781442684423"</f>
        <v>9781442684423</v>
      </c>
      <c r="E8251" t="s">
        <v>31435</v>
      </c>
      <c r="F8251" t="s">
        <v>31435</v>
      </c>
      <c r="G8251" s="1">
        <v>39382</v>
      </c>
      <c r="I8251" t="s">
        <v>33775</v>
      </c>
      <c r="J8251" t="s">
        <v>40061</v>
      </c>
      <c r="K8251" t="s">
        <v>291</v>
      </c>
      <c r="L8251" t="s">
        <v>40062</v>
      </c>
      <c r="M8251">
        <v>945.09</v>
      </c>
      <c r="O8251" t="s">
        <v>26</v>
      </c>
      <c r="Q8251">
        <v>141.25</v>
      </c>
      <c r="R8251">
        <v>113</v>
      </c>
      <c r="S8251">
        <v>169.5</v>
      </c>
      <c r="T8251" t="s">
        <v>40063</v>
      </c>
    </row>
    <row r="8252" spans="1:20">
      <c r="A8252">
        <v>4672330</v>
      </c>
      <c r="B8252" t="s">
        <v>40064</v>
      </c>
      <c r="C8252" t="str">
        <f>"9780802038029"</f>
        <v>9780802038029</v>
      </c>
      <c r="D8252" t="str">
        <f>"9781442684430"</f>
        <v>9781442684430</v>
      </c>
      <c r="E8252" t="s">
        <v>31435</v>
      </c>
      <c r="F8252" t="s">
        <v>31435</v>
      </c>
      <c r="G8252" s="1">
        <v>39193</v>
      </c>
      <c r="H8252">
        <v>2</v>
      </c>
      <c r="J8252" t="s">
        <v>40065</v>
      </c>
      <c r="K8252" t="s">
        <v>263</v>
      </c>
      <c r="L8252" t="s">
        <v>40066</v>
      </c>
      <c r="M8252" t="s">
        <v>40067</v>
      </c>
      <c r="O8252" t="s">
        <v>26</v>
      </c>
      <c r="Q8252">
        <v>148.75</v>
      </c>
      <c r="R8252">
        <v>119</v>
      </c>
      <c r="S8252">
        <v>178.5</v>
      </c>
      <c r="T8252" t="s">
        <v>40068</v>
      </c>
    </row>
    <row r="8253" spans="1:20">
      <c r="A8253">
        <v>4672331</v>
      </c>
      <c r="B8253" t="s">
        <v>40069</v>
      </c>
      <c r="C8253" t="str">
        <f>"9780802092618"</f>
        <v>9780802092618</v>
      </c>
      <c r="D8253" t="str">
        <f>"9781442684447"</f>
        <v>9781442684447</v>
      </c>
      <c r="E8253" t="s">
        <v>31435</v>
      </c>
      <c r="F8253" t="s">
        <v>31435</v>
      </c>
      <c r="G8253" s="1">
        <v>39214</v>
      </c>
      <c r="J8253" t="s">
        <v>40070</v>
      </c>
      <c r="K8253" t="s">
        <v>467</v>
      </c>
      <c r="L8253" t="s">
        <v>40071</v>
      </c>
      <c r="M8253" t="s">
        <v>4541</v>
      </c>
      <c r="O8253" t="s">
        <v>26</v>
      </c>
      <c r="Q8253">
        <v>91.25</v>
      </c>
      <c r="R8253">
        <v>73</v>
      </c>
      <c r="S8253">
        <v>109.5</v>
      </c>
      <c r="T8253" t="s">
        <v>40072</v>
      </c>
    </row>
    <row r="8254" spans="1:20">
      <c r="A8254">
        <v>4672332</v>
      </c>
      <c r="B8254" t="s">
        <v>40073</v>
      </c>
      <c r="C8254" t="str">
        <f>"9780802092496"</f>
        <v>9780802092496</v>
      </c>
      <c r="D8254" t="str">
        <f>"9781442684454"</f>
        <v>9781442684454</v>
      </c>
      <c r="E8254" t="s">
        <v>31435</v>
      </c>
      <c r="F8254" t="s">
        <v>31435</v>
      </c>
      <c r="G8254" s="1">
        <v>39270</v>
      </c>
      <c r="H8254">
        <v>2</v>
      </c>
      <c r="J8254" t="s">
        <v>40074</v>
      </c>
      <c r="K8254" t="s">
        <v>1464</v>
      </c>
      <c r="L8254" t="s">
        <v>40075</v>
      </c>
      <c r="M8254" t="s">
        <v>14359</v>
      </c>
      <c r="O8254" t="s">
        <v>26</v>
      </c>
      <c r="Q8254">
        <v>113.75</v>
      </c>
      <c r="R8254">
        <v>91</v>
      </c>
      <c r="S8254">
        <v>136.5</v>
      </c>
      <c r="T8254" t="s">
        <v>40076</v>
      </c>
    </row>
    <row r="8255" spans="1:20">
      <c r="A8255">
        <v>4672333</v>
      </c>
      <c r="B8255" t="s">
        <v>40077</v>
      </c>
      <c r="C8255" t="str">
        <f>"9780802094582"</f>
        <v>9780802094582</v>
      </c>
      <c r="D8255" t="str">
        <f>"9781442684461"</f>
        <v>9781442684461</v>
      </c>
      <c r="E8255" t="s">
        <v>31435</v>
      </c>
      <c r="F8255" t="s">
        <v>31435</v>
      </c>
      <c r="G8255" s="1">
        <v>39083</v>
      </c>
      <c r="I8255" t="s">
        <v>33775</v>
      </c>
      <c r="J8255" t="s">
        <v>40078</v>
      </c>
      <c r="K8255" t="s">
        <v>291</v>
      </c>
      <c r="L8255" t="s">
        <v>40079</v>
      </c>
      <c r="M8255">
        <v>945</v>
      </c>
      <c r="O8255" t="s">
        <v>26</v>
      </c>
      <c r="Q8255">
        <v>123.75</v>
      </c>
      <c r="R8255">
        <v>99</v>
      </c>
      <c r="S8255">
        <v>148.5</v>
      </c>
      <c r="T8255" t="s">
        <v>40080</v>
      </c>
    </row>
    <row r="8256" spans="1:20">
      <c r="A8256">
        <v>4672335</v>
      </c>
      <c r="B8256" t="s">
        <v>40081</v>
      </c>
      <c r="C8256" t="str">
        <f>"9780802091321"</f>
        <v>9780802091321</v>
      </c>
      <c r="D8256" t="str">
        <f>"9781442684485"</f>
        <v>9781442684485</v>
      </c>
      <c r="E8256" t="s">
        <v>31435</v>
      </c>
      <c r="F8256" t="s">
        <v>31435</v>
      </c>
      <c r="G8256" s="1">
        <v>39202</v>
      </c>
      <c r="H8256">
        <v>2</v>
      </c>
      <c r="I8256" t="s">
        <v>35029</v>
      </c>
      <c r="J8256" t="s">
        <v>40082</v>
      </c>
      <c r="K8256" t="s">
        <v>1859</v>
      </c>
      <c r="L8256" t="s">
        <v>40083</v>
      </c>
      <c r="M8256">
        <v>193</v>
      </c>
      <c r="N8256" t="s">
        <v>40084</v>
      </c>
      <c r="O8256" t="s">
        <v>26</v>
      </c>
      <c r="Q8256">
        <v>106.25</v>
      </c>
      <c r="R8256">
        <v>85</v>
      </c>
      <c r="S8256">
        <v>127.5</v>
      </c>
      <c r="T8256" t="s">
        <v>40085</v>
      </c>
    </row>
    <row r="8257" spans="1:20">
      <c r="A8257">
        <v>4672336</v>
      </c>
      <c r="B8257" t="s">
        <v>40086</v>
      </c>
      <c r="C8257" t="str">
        <f>"9781442615953"</f>
        <v>9781442615953</v>
      </c>
      <c r="D8257" t="str">
        <f>"9781442684492"</f>
        <v>9781442684492</v>
      </c>
      <c r="E8257" t="s">
        <v>31435</v>
      </c>
      <c r="F8257" t="s">
        <v>31435</v>
      </c>
      <c r="G8257" s="1">
        <v>39368</v>
      </c>
      <c r="I8257" t="s">
        <v>34797</v>
      </c>
      <c r="J8257" t="s">
        <v>40087</v>
      </c>
      <c r="K8257" t="s">
        <v>1464</v>
      </c>
      <c r="L8257" t="s">
        <v>40088</v>
      </c>
      <c r="M8257" t="s">
        <v>38899</v>
      </c>
      <c r="O8257" t="s">
        <v>26</v>
      </c>
      <c r="Q8257">
        <v>59.94</v>
      </c>
      <c r="R8257">
        <v>47.95</v>
      </c>
      <c r="S8257">
        <v>71.930000000000007</v>
      </c>
      <c r="T8257" t="s">
        <v>40089</v>
      </c>
    </row>
    <row r="8258" spans="1:20">
      <c r="A8258">
        <v>4672337</v>
      </c>
      <c r="B8258" t="s">
        <v>40090</v>
      </c>
      <c r="C8258" t="str">
        <f>"9780802091192"</f>
        <v>9780802091192</v>
      </c>
      <c r="D8258" t="str">
        <f>"9781442684508"</f>
        <v>9781442684508</v>
      </c>
      <c r="E8258" t="s">
        <v>31435</v>
      </c>
      <c r="F8258" t="s">
        <v>31435</v>
      </c>
      <c r="G8258" s="1">
        <v>39214</v>
      </c>
      <c r="H8258">
        <v>2</v>
      </c>
      <c r="I8258" t="s">
        <v>37978</v>
      </c>
      <c r="J8258" t="s">
        <v>40091</v>
      </c>
      <c r="K8258" t="s">
        <v>467</v>
      </c>
      <c r="L8258" t="s">
        <v>40092</v>
      </c>
      <c r="M8258">
        <v>321.8</v>
      </c>
      <c r="O8258" t="s">
        <v>26</v>
      </c>
      <c r="Q8258">
        <v>98.75</v>
      </c>
      <c r="R8258">
        <v>79</v>
      </c>
      <c r="S8258">
        <v>118.5</v>
      </c>
      <c r="T8258" t="s">
        <v>40093</v>
      </c>
    </row>
    <row r="8259" spans="1:20">
      <c r="A8259">
        <v>4672338</v>
      </c>
      <c r="B8259" t="s">
        <v>40094</v>
      </c>
      <c r="C8259" t="str">
        <f>"9781487521394"</f>
        <v>9781487521394</v>
      </c>
      <c r="D8259" t="str">
        <f>"9781442684515"</f>
        <v>9781442684515</v>
      </c>
      <c r="E8259" t="s">
        <v>31435</v>
      </c>
      <c r="F8259" t="s">
        <v>31435</v>
      </c>
      <c r="G8259" s="1">
        <v>39382</v>
      </c>
      <c r="J8259" t="s">
        <v>40095</v>
      </c>
      <c r="K8259" t="s">
        <v>1464</v>
      </c>
      <c r="L8259" t="s">
        <v>40096</v>
      </c>
      <c r="M8259" t="s">
        <v>40097</v>
      </c>
      <c r="O8259" t="s">
        <v>26</v>
      </c>
      <c r="Q8259">
        <v>62.44</v>
      </c>
      <c r="R8259">
        <v>49.95</v>
      </c>
      <c r="S8259">
        <v>74.930000000000007</v>
      </c>
      <c r="T8259" t="s">
        <v>40098</v>
      </c>
    </row>
    <row r="8260" spans="1:20">
      <c r="A8260">
        <v>4672339</v>
      </c>
      <c r="B8260" t="s">
        <v>40099</v>
      </c>
      <c r="C8260" t="str">
        <f>"9781442628656"</f>
        <v>9781442628656</v>
      </c>
      <c r="D8260" t="str">
        <f>"9781442684522"</f>
        <v>9781442684522</v>
      </c>
      <c r="E8260" t="s">
        <v>31435</v>
      </c>
      <c r="F8260" t="s">
        <v>31435</v>
      </c>
      <c r="G8260" s="1">
        <v>41899</v>
      </c>
      <c r="I8260" t="s">
        <v>33831</v>
      </c>
      <c r="J8260" t="s">
        <v>40100</v>
      </c>
      <c r="K8260" t="s">
        <v>291</v>
      </c>
      <c r="M8260">
        <v>943.08</v>
      </c>
      <c r="O8260" t="s">
        <v>26</v>
      </c>
      <c r="Q8260">
        <v>113.75</v>
      </c>
      <c r="R8260">
        <v>91</v>
      </c>
      <c r="S8260">
        <v>136.5</v>
      </c>
      <c r="T8260" t="s">
        <v>40101</v>
      </c>
    </row>
    <row r="8261" spans="1:20">
      <c r="A8261">
        <v>4672340</v>
      </c>
      <c r="B8261" t="s">
        <v>40102</v>
      </c>
      <c r="C8261" t="str">
        <f>"9780802094780"</f>
        <v>9780802094780</v>
      </c>
      <c r="D8261" t="str">
        <f>"9781442684546"</f>
        <v>9781442684546</v>
      </c>
      <c r="E8261" t="s">
        <v>31435</v>
      </c>
      <c r="F8261" t="s">
        <v>31435</v>
      </c>
      <c r="G8261" s="1">
        <v>38353</v>
      </c>
      <c r="J8261" t="s">
        <v>40103</v>
      </c>
      <c r="K8261" t="s">
        <v>263</v>
      </c>
      <c r="L8261" t="s">
        <v>40104</v>
      </c>
      <c r="M8261" t="s">
        <v>4506</v>
      </c>
      <c r="O8261" t="s">
        <v>26</v>
      </c>
      <c r="Q8261">
        <v>117.5</v>
      </c>
      <c r="R8261">
        <v>94</v>
      </c>
      <c r="S8261">
        <v>141</v>
      </c>
      <c r="T8261" t="s">
        <v>40105</v>
      </c>
    </row>
    <row r="8262" spans="1:20">
      <c r="A8262">
        <v>4672342</v>
      </c>
      <c r="B8262" t="s">
        <v>40106</v>
      </c>
      <c r="C8262" t="str">
        <f>"9780802044631"</f>
        <v>9780802044631</v>
      </c>
      <c r="D8262" t="str">
        <f>"9781442684577"</f>
        <v>9781442684577</v>
      </c>
      <c r="E8262" t="s">
        <v>31435</v>
      </c>
      <c r="F8262" t="s">
        <v>31435</v>
      </c>
      <c r="G8262" s="1">
        <v>39347</v>
      </c>
      <c r="I8262" t="s">
        <v>33881</v>
      </c>
      <c r="J8262" t="s">
        <v>37851</v>
      </c>
      <c r="K8262" t="s">
        <v>525</v>
      </c>
      <c r="L8262" t="s">
        <v>40107</v>
      </c>
      <c r="M8262" t="s">
        <v>40108</v>
      </c>
      <c r="O8262" t="s">
        <v>26</v>
      </c>
      <c r="Q8262">
        <v>98.75</v>
      </c>
      <c r="R8262">
        <v>79</v>
      </c>
      <c r="S8262">
        <v>118.5</v>
      </c>
      <c r="T8262" t="s">
        <v>40109</v>
      </c>
    </row>
    <row r="8263" spans="1:20">
      <c r="A8263">
        <v>4672344</v>
      </c>
      <c r="B8263" t="s">
        <v>40110</v>
      </c>
      <c r="C8263" t="str">
        <f>"9780802091772"</f>
        <v>9780802091772</v>
      </c>
      <c r="D8263" t="str">
        <f>"9781442684607"</f>
        <v>9781442684607</v>
      </c>
      <c r="E8263" t="s">
        <v>31435</v>
      </c>
      <c r="F8263" t="s">
        <v>31435</v>
      </c>
      <c r="G8263" s="1">
        <v>39202</v>
      </c>
      <c r="H8263">
        <v>2</v>
      </c>
      <c r="I8263" t="s">
        <v>34779</v>
      </c>
      <c r="J8263" t="s">
        <v>40111</v>
      </c>
      <c r="K8263" t="s">
        <v>467</v>
      </c>
      <c r="L8263" t="s">
        <v>40112</v>
      </c>
      <c r="M8263" t="s">
        <v>40113</v>
      </c>
      <c r="N8263" t="s">
        <v>40114</v>
      </c>
      <c r="O8263" t="s">
        <v>26</v>
      </c>
      <c r="Q8263">
        <v>106.25</v>
      </c>
      <c r="R8263">
        <v>85</v>
      </c>
      <c r="S8263">
        <v>127.5</v>
      </c>
      <c r="T8263" t="s">
        <v>40115</v>
      </c>
    </row>
    <row r="8264" spans="1:20">
      <c r="A8264">
        <v>4672346</v>
      </c>
      <c r="B8264" t="s">
        <v>40116</v>
      </c>
      <c r="C8264" t="str">
        <f>"9781442629776"</f>
        <v>9781442629776</v>
      </c>
      <c r="D8264" t="str">
        <f>"9781442684645"</f>
        <v>9781442684645</v>
      </c>
      <c r="E8264" t="s">
        <v>31435</v>
      </c>
      <c r="F8264" t="s">
        <v>31435</v>
      </c>
      <c r="G8264" s="1">
        <v>42136</v>
      </c>
      <c r="I8264" t="s">
        <v>33881</v>
      </c>
      <c r="J8264" t="s">
        <v>33787</v>
      </c>
      <c r="K8264" t="s">
        <v>525</v>
      </c>
      <c r="M8264">
        <v>340.09199999999998</v>
      </c>
      <c r="O8264" t="s">
        <v>26</v>
      </c>
      <c r="Q8264">
        <v>78.75</v>
      </c>
      <c r="R8264">
        <v>63</v>
      </c>
      <c r="S8264">
        <v>94.5</v>
      </c>
      <c r="T8264" t="s">
        <v>40117</v>
      </c>
    </row>
    <row r="8265" spans="1:20">
      <c r="A8265">
        <v>4672347</v>
      </c>
      <c r="B8265" t="s">
        <v>40118</v>
      </c>
      <c r="C8265" t="str">
        <f>"9781442630581"</f>
        <v>9781442630581</v>
      </c>
      <c r="D8265" t="str">
        <f>"9781442684669"</f>
        <v>9781442684669</v>
      </c>
      <c r="E8265" t="s">
        <v>31435</v>
      </c>
      <c r="F8265" t="s">
        <v>31435</v>
      </c>
      <c r="G8265" s="1">
        <v>42102</v>
      </c>
      <c r="I8265" t="s">
        <v>35264</v>
      </c>
      <c r="J8265" t="s">
        <v>40119</v>
      </c>
      <c r="K8265" t="s">
        <v>22527</v>
      </c>
      <c r="M8265">
        <v>70.5</v>
      </c>
      <c r="O8265" t="s">
        <v>26</v>
      </c>
      <c r="Q8265">
        <v>78.75</v>
      </c>
      <c r="R8265">
        <v>63</v>
      </c>
      <c r="S8265">
        <v>94.5</v>
      </c>
      <c r="T8265" t="s">
        <v>40120</v>
      </c>
    </row>
    <row r="8266" spans="1:20">
      <c r="A8266">
        <v>4672348</v>
      </c>
      <c r="B8266" t="s">
        <v>40121</v>
      </c>
      <c r="C8266" t="str">
        <f>"9780802093028"</f>
        <v>9780802093028</v>
      </c>
      <c r="D8266" t="str">
        <f>"9781442684676"</f>
        <v>9781442684676</v>
      </c>
      <c r="E8266" t="s">
        <v>31435</v>
      </c>
      <c r="F8266" t="s">
        <v>31435</v>
      </c>
      <c r="G8266" s="1">
        <v>39306</v>
      </c>
      <c r="I8266" t="s">
        <v>34756</v>
      </c>
      <c r="J8266" t="s">
        <v>40122</v>
      </c>
      <c r="K8266" t="s">
        <v>1464</v>
      </c>
      <c r="L8266" t="s">
        <v>40123</v>
      </c>
      <c r="M8266">
        <v>809</v>
      </c>
      <c r="N8266" t="s">
        <v>38088</v>
      </c>
      <c r="O8266" t="s">
        <v>26</v>
      </c>
      <c r="Q8266">
        <v>172.5</v>
      </c>
      <c r="R8266">
        <v>138</v>
      </c>
      <c r="S8266">
        <v>207</v>
      </c>
      <c r="T8266" t="s">
        <v>40124</v>
      </c>
    </row>
    <row r="8267" spans="1:20">
      <c r="A8267">
        <v>4672349</v>
      </c>
      <c r="B8267" t="s">
        <v>40125</v>
      </c>
      <c r="C8267" t="str">
        <f>"9780802093004"</f>
        <v>9780802093004</v>
      </c>
      <c r="D8267" t="str">
        <f>"9781442684683"</f>
        <v>9781442684683</v>
      </c>
      <c r="E8267" t="s">
        <v>31435</v>
      </c>
      <c r="F8267" t="s">
        <v>31435</v>
      </c>
      <c r="G8267" s="1">
        <v>39094</v>
      </c>
      <c r="H8267">
        <v>16</v>
      </c>
      <c r="I8267" t="s">
        <v>34747</v>
      </c>
      <c r="J8267" t="s">
        <v>40126</v>
      </c>
      <c r="K8267" t="s">
        <v>1464</v>
      </c>
      <c r="L8267" t="s">
        <v>40127</v>
      </c>
      <c r="M8267">
        <v>809.024</v>
      </c>
      <c r="N8267" t="s">
        <v>40128</v>
      </c>
      <c r="O8267" t="s">
        <v>26</v>
      </c>
      <c r="Q8267">
        <v>131.25</v>
      </c>
      <c r="R8267">
        <v>105</v>
      </c>
      <c r="S8267">
        <v>157.5</v>
      </c>
      <c r="T8267" t="s">
        <v>40129</v>
      </c>
    </row>
    <row r="8268" spans="1:20">
      <c r="A8268">
        <v>4672350</v>
      </c>
      <c r="B8268" t="s">
        <v>40130</v>
      </c>
      <c r="C8268" t="str">
        <f>"9780802094230"</f>
        <v>9780802094230</v>
      </c>
      <c r="D8268" t="str">
        <f>"9781442684690"</f>
        <v>9781442684690</v>
      </c>
      <c r="E8268" t="s">
        <v>31435</v>
      </c>
      <c r="F8268" t="s">
        <v>31435</v>
      </c>
      <c r="G8268" s="1">
        <v>39142</v>
      </c>
      <c r="J8268" t="s">
        <v>40131</v>
      </c>
      <c r="K8268" t="s">
        <v>263</v>
      </c>
      <c r="L8268" t="s">
        <v>40132</v>
      </c>
      <c r="M8268">
        <v>363.20970999999901</v>
      </c>
      <c r="N8268" t="s">
        <v>40133</v>
      </c>
      <c r="O8268" t="s">
        <v>26</v>
      </c>
      <c r="Q8268">
        <v>131.25</v>
      </c>
      <c r="R8268">
        <v>105</v>
      </c>
      <c r="S8268">
        <v>157.5</v>
      </c>
      <c r="T8268" t="s">
        <v>40134</v>
      </c>
    </row>
    <row r="8269" spans="1:20">
      <c r="A8269">
        <v>4672351</v>
      </c>
      <c r="B8269" t="s">
        <v>40135</v>
      </c>
      <c r="C8269" t="str">
        <f>"9780802091871"</f>
        <v>9780802091871</v>
      </c>
      <c r="D8269" t="str">
        <f>"9781442684706"</f>
        <v>9781442684706</v>
      </c>
      <c r="E8269" t="s">
        <v>31435</v>
      </c>
      <c r="F8269" t="s">
        <v>31435</v>
      </c>
      <c r="G8269" s="1">
        <v>39228</v>
      </c>
      <c r="H8269">
        <v>2</v>
      </c>
      <c r="J8269" t="s">
        <v>40136</v>
      </c>
      <c r="K8269" t="s">
        <v>467</v>
      </c>
      <c r="L8269" t="s">
        <v>40137</v>
      </c>
      <c r="M8269">
        <v>320.971</v>
      </c>
      <c r="O8269" t="s">
        <v>26</v>
      </c>
      <c r="Q8269">
        <v>95</v>
      </c>
      <c r="R8269">
        <v>76</v>
      </c>
      <c r="S8269">
        <v>114</v>
      </c>
      <c r="T8269" t="s">
        <v>40138</v>
      </c>
    </row>
    <row r="8270" spans="1:20">
      <c r="A8270">
        <v>4672352</v>
      </c>
      <c r="B8270" t="s">
        <v>40139</v>
      </c>
      <c r="C8270" t="str">
        <f>"9781487520656"</f>
        <v>9781487520656</v>
      </c>
      <c r="D8270" t="str">
        <f>"9781442684713"</f>
        <v>9781442684713</v>
      </c>
      <c r="E8270" t="s">
        <v>31435</v>
      </c>
      <c r="F8270" t="s">
        <v>31435</v>
      </c>
      <c r="G8270" s="1">
        <v>39382</v>
      </c>
      <c r="J8270" t="s">
        <v>40140</v>
      </c>
      <c r="K8270" t="s">
        <v>1550</v>
      </c>
      <c r="L8270" t="s">
        <v>40141</v>
      </c>
      <c r="M8270">
        <v>305.89240469999902</v>
      </c>
      <c r="O8270" t="s">
        <v>26</v>
      </c>
      <c r="Q8270">
        <v>71.25</v>
      </c>
      <c r="R8270">
        <v>57</v>
      </c>
      <c r="S8270">
        <v>85.5</v>
      </c>
      <c r="T8270" t="s">
        <v>40142</v>
      </c>
    </row>
    <row r="8271" spans="1:20">
      <c r="A8271">
        <v>4672353</v>
      </c>
      <c r="B8271" t="s">
        <v>40143</v>
      </c>
      <c r="C8271" t="str">
        <f>"9780802093592"</f>
        <v>9780802093592</v>
      </c>
      <c r="D8271" t="str">
        <f>"9781442684720"</f>
        <v>9781442684720</v>
      </c>
      <c r="E8271" t="s">
        <v>31435</v>
      </c>
      <c r="F8271" t="s">
        <v>31435</v>
      </c>
      <c r="G8271" s="1">
        <v>39445</v>
      </c>
      <c r="J8271" t="s">
        <v>40144</v>
      </c>
      <c r="K8271" t="s">
        <v>40145</v>
      </c>
      <c r="L8271" t="s">
        <v>40146</v>
      </c>
      <c r="M8271" t="s">
        <v>3097</v>
      </c>
      <c r="O8271" t="s">
        <v>26</v>
      </c>
      <c r="Q8271">
        <v>113.75</v>
      </c>
      <c r="R8271">
        <v>91</v>
      </c>
      <c r="S8271">
        <v>136.5</v>
      </c>
      <c r="T8271" t="s">
        <v>40147</v>
      </c>
    </row>
    <row r="8272" spans="1:20">
      <c r="A8272">
        <v>4672354</v>
      </c>
      <c r="B8272" t="s">
        <v>40148</v>
      </c>
      <c r="C8272" t="str">
        <f>"9780802092106"</f>
        <v>9780802092106</v>
      </c>
      <c r="D8272" t="str">
        <f>"9781442684737"</f>
        <v>9781442684737</v>
      </c>
      <c r="E8272" t="s">
        <v>31435</v>
      </c>
      <c r="F8272" t="s">
        <v>31435</v>
      </c>
      <c r="G8272" s="1">
        <v>39116</v>
      </c>
      <c r="H8272">
        <v>2</v>
      </c>
      <c r="I8272" t="s">
        <v>33775</v>
      </c>
      <c r="J8272" t="s">
        <v>40149</v>
      </c>
      <c r="K8272" t="s">
        <v>2963</v>
      </c>
      <c r="L8272" t="s">
        <v>40150</v>
      </c>
      <c r="M8272" t="s">
        <v>40151</v>
      </c>
      <c r="N8272" t="s">
        <v>40152</v>
      </c>
      <c r="O8272" t="s">
        <v>26</v>
      </c>
      <c r="Q8272">
        <v>113.75</v>
      </c>
      <c r="R8272">
        <v>91</v>
      </c>
      <c r="S8272">
        <v>136.5</v>
      </c>
      <c r="T8272" t="s">
        <v>40153</v>
      </c>
    </row>
    <row r="8273" spans="1:20">
      <c r="A8273">
        <v>4672355</v>
      </c>
      <c r="B8273" t="s">
        <v>40154</v>
      </c>
      <c r="C8273" t="str">
        <f>"9780802091727"</f>
        <v>9780802091727</v>
      </c>
      <c r="D8273" t="str">
        <f>"9781442684744"</f>
        <v>9781442684744</v>
      </c>
      <c r="E8273" t="s">
        <v>31435</v>
      </c>
      <c r="F8273" t="s">
        <v>31435</v>
      </c>
      <c r="G8273" s="1">
        <v>39052</v>
      </c>
      <c r="I8273" t="s">
        <v>35029</v>
      </c>
      <c r="J8273" t="s">
        <v>40155</v>
      </c>
      <c r="K8273" t="s">
        <v>1859</v>
      </c>
      <c r="L8273" t="s">
        <v>40156</v>
      </c>
      <c r="M8273" t="s">
        <v>40157</v>
      </c>
      <c r="N8273" t="s">
        <v>40158</v>
      </c>
      <c r="O8273" t="s">
        <v>26</v>
      </c>
      <c r="Q8273">
        <v>71.25</v>
      </c>
      <c r="R8273">
        <v>57</v>
      </c>
      <c r="S8273">
        <v>85.5</v>
      </c>
      <c r="T8273" t="s">
        <v>40159</v>
      </c>
    </row>
    <row r="8274" spans="1:20">
      <c r="A8274">
        <v>4672356</v>
      </c>
      <c r="B8274" t="s">
        <v>40160</v>
      </c>
      <c r="C8274" t="str">
        <f>"9780802084200"</f>
        <v>9780802084200</v>
      </c>
      <c r="D8274" t="str">
        <f>"9781442684768"</f>
        <v>9781442684768</v>
      </c>
      <c r="E8274" t="s">
        <v>31435</v>
      </c>
      <c r="F8274" t="s">
        <v>31435</v>
      </c>
      <c r="G8274" s="1">
        <v>39084</v>
      </c>
      <c r="J8274" t="s">
        <v>40161</v>
      </c>
      <c r="K8274" t="s">
        <v>263</v>
      </c>
      <c r="L8274" t="s">
        <v>40162</v>
      </c>
      <c r="M8274" t="s">
        <v>40163</v>
      </c>
      <c r="N8274" t="s">
        <v>40164</v>
      </c>
      <c r="O8274" t="s">
        <v>26</v>
      </c>
      <c r="Q8274">
        <v>141.25</v>
      </c>
      <c r="R8274">
        <v>113</v>
      </c>
      <c r="S8274">
        <v>169.5</v>
      </c>
      <c r="T8274" t="s">
        <v>40165</v>
      </c>
    </row>
    <row r="8275" spans="1:20">
      <c r="A8275">
        <v>4672357</v>
      </c>
      <c r="B8275" t="s">
        <v>40166</v>
      </c>
      <c r="C8275" t="str">
        <f>"9780802091390"</f>
        <v>9780802091390</v>
      </c>
      <c r="D8275" t="str">
        <f>"9781442684782"</f>
        <v>9781442684782</v>
      </c>
      <c r="E8275" t="s">
        <v>31435</v>
      </c>
      <c r="F8275" t="s">
        <v>31435</v>
      </c>
      <c r="G8275" s="1">
        <v>39093</v>
      </c>
      <c r="J8275" t="s">
        <v>40167</v>
      </c>
      <c r="K8275" t="s">
        <v>263</v>
      </c>
      <c r="L8275" t="s">
        <v>40168</v>
      </c>
      <c r="M8275" t="s">
        <v>40169</v>
      </c>
      <c r="N8275" t="s">
        <v>40170</v>
      </c>
      <c r="O8275" t="s">
        <v>26</v>
      </c>
      <c r="Q8275">
        <v>98.75</v>
      </c>
      <c r="R8275">
        <v>79</v>
      </c>
      <c r="S8275">
        <v>118.5</v>
      </c>
      <c r="T8275" t="s">
        <v>40171</v>
      </c>
    </row>
    <row r="8276" spans="1:20">
      <c r="A8276">
        <v>4672359</v>
      </c>
      <c r="B8276" t="s">
        <v>40172</v>
      </c>
      <c r="C8276" t="str">
        <f>"9780802093646"</f>
        <v>9780802093646</v>
      </c>
      <c r="D8276" t="str">
        <f>"9781442684805"</f>
        <v>9781442684805</v>
      </c>
      <c r="E8276" t="s">
        <v>31435</v>
      </c>
      <c r="F8276" t="s">
        <v>31435</v>
      </c>
      <c r="G8276" s="1">
        <v>39445</v>
      </c>
      <c r="I8276" t="s">
        <v>35264</v>
      </c>
      <c r="J8276" t="s">
        <v>40173</v>
      </c>
      <c r="K8276" t="s">
        <v>7075</v>
      </c>
      <c r="L8276" t="s">
        <v>40174</v>
      </c>
      <c r="M8276" t="s">
        <v>40175</v>
      </c>
      <c r="N8276" t="s">
        <v>40176</v>
      </c>
      <c r="O8276" t="s">
        <v>26</v>
      </c>
      <c r="Q8276">
        <v>106.25</v>
      </c>
      <c r="R8276">
        <v>85</v>
      </c>
      <c r="S8276">
        <v>127.5</v>
      </c>
      <c r="T8276" t="s">
        <v>40177</v>
      </c>
    </row>
    <row r="8277" spans="1:20">
      <c r="A8277">
        <v>4672360</v>
      </c>
      <c r="B8277" t="s">
        <v>40178</v>
      </c>
      <c r="C8277" t="str">
        <f>"9780802093677"</f>
        <v>9780802093677</v>
      </c>
      <c r="D8277" t="str">
        <f>"9781442684812"</f>
        <v>9781442684812</v>
      </c>
      <c r="E8277" t="s">
        <v>31435</v>
      </c>
      <c r="F8277" t="s">
        <v>31435</v>
      </c>
      <c r="G8277" s="1">
        <v>39431</v>
      </c>
      <c r="I8277" t="s">
        <v>35203</v>
      </c>
      <c r="J8277" t="s">
        <v>40179</v>
      </c>
      <c r="K8277" t="s">
        <v>1464</v>
      </c>
      <c r="L8277" t="s">
        <v>40180</v>
      </c>
      <c r="M8277">
        <v>829.09</v>
      </c>
      <c r="O8277" t="s">
        <v>26</v>
      </c>
      <c r="Q8277">
        <v>131.25</v>
      </c>
      <c r="R8277">
        <v>105</v>
      </c>
      <c r="S8277">
        <v>157.5</v>
      </c>
      <c r="T8277" t="s">
        <v>40181</v>
      </c>
    </row>
    <row r="8278" spans="1:20">
      <c r="A8278">
        <v>4672361</v>
      </c>
      <c r="B8278" t="s">
        <v>40182</v>
      </c>
      <c r="C8278" t="str">
        <f>"9780802088536"</f>
        <v>9780802088536</v>
      </c>
      <c r="D8278" t="str">
        <f>"9781442684829"</f>
        <v>9781442684829</v>
      </c>
      <c r="E8278" t="s">
        <v>31435</v>
      </c>
      <c r="F8278" t="s">
        <v>31435</v>
      </c>
      <c r="G8278" s="1">
        <v>39284</v>
      </c>
      <c r="J8278" t="s">
        <v>40183</v>
      </c>
      <c r="K8278" t="s">
        <v>40184</v>
      </c>
      <c r="L8278" t="s">
        <v>40185</v>
      </c>
      <c r="M8278" t="s">
        <v>40186</v>
      </c>
      <c r="O8278" t="s">
        <v>26</v>
      </c>
      <c r="Q8278">
        <v>91.25</v>
      </c>
      <c r="R8278">
        <v>73</v>
      </c>
      <c r="S8278">
        <v>109.5</v>
      </c>
      <c r="T8278" t="s">
        <v>40187</v>
      </c>
    </row>
    <row r="8279" spans="1:20">
      <c r="A8279">
        <v>4672362</v>
      </c>
      <c r="B8279" t="s">
        <v>40188</v>
      </c>
      <c r="C8279" t="str">
        <f>"9780802089731"</f>
        <v>9780802089731</v>
      </c>
      <c r="D8279" t="str">
        <f>"9781442684836"</f>
        <v>9781442684836</v>
      </c>
      <c r="E8279" t="s">
        <v>31435</v>
      </c>
      <c r="F8279" t="s">
        <v>31435</v>
      </c>
      <c r="G8279" s="1">
        <v>37987</v>
      </c>
      <c r="H8279">
        <v>2</v>
      </c>
      <c r="J8279" t="s">
        <v>40189</v>
      </c>
      <c r="K8279" t="s">
        <v>263</v>
      </c>
      <c r="L8279" t="s">
        <v>40190</v>
      </c>
      <c r="M8279" t="s">
        <v>40191</v>
      </c>
      <c r="O8279" t="s">
        <v>26</v>
      </c>
      <c r="Q8279">
        <v>110</v>
      </c>
      <c r="R8279">
        <v>88</v>
      </c>
      <c r="S8279">
        <v>132</v>
      </c>
      <c r="T8279" t="s">
        <v>40192</v>
      </c>
    </row>
    <row r="8280" spans="1:20">
      <c r="A8280">
        <v>4672363</v>
      </c>
      <c r="B8280" t="s">
        <v>40193</v>
      </c>
      <c r="C8280" t="str">
        <f>"9780802095275"</f>
        <v>9780802095275</v>
      </c>
      <c r="D8280" t="str">
        <f>"9781442684843"</f>
        <v>9781442684843</v>
      </c>
      <c r="E8280" t="s">
        <v>31435</v>
      </c>
      <c r="F8280" t="s">
        <v>31435</v>
      </c>
      <c r="G8280" s="1">
        <v>39263</v>
      </c>
      <c r="J8280" t="s">
        <v>40194</v>
      </c>
      <c r="K8280" t="s">
        <v>4433</v>
      </c>
      <c r="L8280" t="s">
        <v>40195</v>
      </c>
      <c r="M8280" t="s">
        <v>40196</v>
      </c>
      <c r="O8280" t="s">
        <v>26</v>
      </c>
      <c r="Q8280">
        <v>83.75</v>
      </c>
      <c r="R8280">
        <v>67</v>
      </c>
      <c r="S8280">
        <v>100.5</v>
      </c>
      <c r="T8280" t="s">
        <v>40197</v>
      </c>
    </row>
    <row r="8281" spans="1:20">
      <c r="A8281">
        <v>4672364</v>
      </c>
      <c r="B8281" t="s">
        <v>40198</v>
      </c>
      <c r="C8281" t="str">
        <f>"9780802092762"</f>
        <v>9780802092762</v>
      </c>
      <c r="D8281" t="str">
        <f>"9781442684850"</f>
        <v>9781442684850</v>
      </c>
      <c r="E8281" t="s">
        <v>31435</v>
      </c>
      <c r="F8281" t="s">
        <v>31435</v>
      </c>
      <c r="G8281" s="1">
        <v>39202</v>
      </c>
      <c r="I8281" t="s">
        <v>34035</v>
      </c>
      <c r="J8281" t="s">
        <v>40199</v>
      </c>
      <c r="K8281" t="s">
        <v>1464</v>
      </c>
      <c r="L8281" t="s">
        <v>40200</v>
      </c>
      <c r="M8281">
        <v>843.00923</v>
      </c>
      <c r="N8281" t="s">
        <v>40201</v>
      </c>
      <c r="O8281" t="s">
        <v>26</v>
      </c>
      <c r="Q8281">
        <v>106.25</v>
      </c>
      <c r="R8281">
        <v>85</v>
      </c>
      <c r="S8281">
        <v>127.5</v>
      </c>
      <c r="T8281" t="s">
        <v>40202</v>
      </c>
    </row>
    <row r="8282" spans="1:20">
      <c r="A8282">
        <v>4672365</v>
      </c>
      <c r="B8282" t="s">
        <v>40203</v>
      </c>
      <c r="C8282" t="str">
        <f>"9780802092519"</f>
        <v>9780802092519</v>
      </c>
      <c r="D8282" t="str">
        <f>"9781442684867"</f>
        <v>9781442684867</v>
      </c>
      <c r="E8282" t="s">
        <v>31435</v>
      </c>
      <c r="F8282" t="s">
        <v>31435</v>
      </c>
      <c r="G8282" s="1">
        <v>39202</v>
      </c>
      <c r="J8282" t="s">
        <v>40204</v>
      </c>
      <c r="K8282" t="s">
        <v>525</v>
      </c>
      <c r="L8282" t="s">
        <v>40205</v>
      </c>
      <c r="M8282">
        <v>340.11</v>
      </c>
      <c r="N8282" t="s">
        <v>40206</v>
      </c>
      <c r="O8282" t="s">
        <v>26</v>
      </c>
      <c r="Q8282">
        <v>98.75</v>
      </c>
      <c r="R8282">
        <v>79</v>
      </c>
      <c r="S8282">
        <v>118.5</v>
      </c>
      <c r="T8282" t="s">
        <v>40207</v>
      </c>
    </row>
    <row r="8283" spans="1:20">
      <c r="A8283">
        <v>4672366</v>
      </c>
      <c r="B8283" t="s">
        <v>40208</v>
      </c>
      <c r="C8283" t="str">
        <f>"9780802093943"</f>
        <v>9780802093943</v>
      </c>
      <c r="D8283" t="str">
        <f>"9781442684881"</f>
        <v>9781442684881</v>
      </c>
      <c r="E8283" t="s">
        <v>31435</v>
      </c>
      <c r="F8283" t="s">
        <v>31435</v>
      </c>
      <c r="G8283" s="1">
        <v>39114</v>
      </c>
      <c r="H8283">
        <v>2</v>
      </c>
      <c r="J8283" t="s">
        <v>40209</v>
      </c>
      <c r="K8283" t="s">
        <v>1150</v>
      </c>
      <c r="L8283" t="s">
        <v>40210</v>
      </c>
      <c r="M8283" t="s">
        <v>40211</v>
      </c>
      <c r="N8283" t="s">
        <v>40212</v>
      </c>
      <c r="O8283" t="s">
        <v>26</v>
      </c>
      <c r="Q8283">
        <v>131.25</v>
      </c>
      <c r="R8283">
        <v>105</v>
      </c>
      <c r="S8283">
        <v>157.5</v>
      </c>
      <c r="T8283" t="s">
        <v>40213</v>
      </c>
    </row>
    <row r="8284" spans="1:20">
      <c r="A8284">
        <v>4672369</v>
      </c>
      <c r="B8284" t="s">
        <v>40214</v>
      </c>
      <c r="C8284" t="str">
        <f>"9780802092175"</f>
        <v>9780802092175</v>
      </c>
      <c r="D8284" t="str">
        <f>"9781442684942"</f>
        <v>9781442684942</v>
      </c>
      <c r="E8284" t="s">
        <v>31435</v>
      </c>
      <c r="F8284" t="s">
        <v>31435</v>
      </c>
      <c r="G8284" s="1">
        <v>39202</v>
      </c>
      <c r="I8284" t="s">
        <v>34765</v>
      </c>
      <c r="J8284" t="s">
        <v>40215</v>
      </c>
      <c r="K8284" t="s">
        <v>1859</v>
      </c>
      <c r="L8284" t="s">
        <v>40216</v>
      </c>
      <c r="M8284">
        <v>121</v>
      </c>
      <c r="N8284" t="s">
        <v>40217</v>
      </c>
      <c r="O8284" t="s">
        <v>26</v>
      </c>
      <c r="Q8284">
        <v>113.75</v>
      </c>
      <c r="R8284">
        <v>91</v>
      </c>
      <c r="S8284">
        <v>136.5</v>
      </c>
      <c r="T8284" t="s">
        <v>40218</v>
      </c>
    </row>
    <row r="8285" spans="1:20">
      <c r="A8285">
        <v>4672370</v>
      </c>
      <c r="B8285" t="s">
        <v>40219</v>
      </c>
      <c r="C8285" t="str">
        <f>"9780802091864"</f>
        <v>9780802091864</v>
      </c>
      <c r="D8285" t="str">
        <f>"9781442684959"</f>
        <v>9781442684959</v>
      </c>
      <c r="E8285" t="s">
        <v>31435</v>
      </c>
      <c r="F8285" t="s">
        <v>31435</v>
      </c>
      <c r="G8285" s="1">
        <v>39375</v>
      </c>
      <c r="I8285" t="s">
        <v>33775</v>
      </c>
      <c r="J8285" t="s">
        <v>40220</v>
      </c>
      <c r="K8285" t="s">
        <v>1464</v>
      </c>
      <c r="L8285" t="s">
        <v>40221</v>
      </c>
      <c r="M8285">
        <v>850.9</v>
      </c>
      <c r="N8285" t="s">
        <v>40222</v>
      </c>
      <c r="O8285" t="s">
        <v>26</v>
      </c>
      <c r="Q8285">
        <v>113.75</v>
      </c>
      <c r="R8285">
        <v>91</v>
      </c>
      <c r="S8285">
        <v>136.5</v>
      </c>
      <c r="T8285" t="s">
        <v>40223</v>
      </c>
    </row>
    <row r="8286" spans="1:20">
      <c r="A8286">
        <v>4672371</v>
      </c>
      <c r="B8286" t="s">
        <v>40224</v>
      </c>
      <c r="C8286" t="str">
        <f>"9780802092649"</f>
        <v>9780802092649</v>
      </c>
      <c r="D8286" t="str">
        <f>"9781442684966"</f>
        <v>9781442684966</v>
      </c>
      <c r="E8286" t="s">
        <v>31435</v>
      </c>
      <c r="F8286" t="s">
        <v>31435</v>
      </c>
      <c r="G8286" s="1">
        <v>39052</v>
      </c>
      <c r="J8286" t="s">
        <v>39231</v>
      </c>
      <c r="K8286" t="s">
        <v>7075</v>
      </c>
      <c r="L8286" t="s">
        <v>40225</v>
      </c>
      <c r="M8286">
        <v>16.7</v>
      </c>
      <c r="N8286" t="s">
        <v>39223</v>
      </c>
      <c r="O8286" t="s">
        <v>26</v>
      </c>
      <c r="Q8286">
        <v>302.5</v>
      </c>
      <c r="R8286">
        <v>242</v>
      </c>
      <c r="S8286">
        <v>363</v>
      </c>
      <c r="T8286" t="s">
        <v>40226</v>
      </c>
    </row>
    <row r="8287" spans="1:20">
      <c r="A8287">
        <v>4672372</v>
      </c>
      <c r="B8287" t="s">
        <v>40227</v>
      </c>
      <c r="C8287" t="str">
        <f>"9780802092281"</f>
        <v>9780802092281</v>
      </c>
      <c r="D8287" t="str">
        <f>"9781442684973"</f>
        <v>9781442684973</v>
      </c>
      <c r="E8287" t="s">
        <v>31435</v>
      </c>
      <c r="F8287" t="s">
        <v>31435</v>
      </c>
      <c r="G8287" s="1">
        <v>39445</v>
      </c>
      <c r="J8287" t="s">
        <v>40228</v>
      </c>
      <c r="K8287" t="s">
        <v>1464</v>
      </c>
      <c r="L8287" t="s">
        <v>40229</v>
      </c>
      <c r="M8287" t="s">
        <v>34064</v>
      </c>
      <c r="N8287" t="s">
        <v>40230</v>
      </c>
      <c r="O8287" t="s">
        <v>26</v>
      </c>
      <c r="Q8287">
        <v>110</v>
      </c>
      <c r="R8287">
        <v>88</v>
      </c>
      <c r="S8287">
        <v>132</v>
      </c>
      <c r="T8287" t="s">
        <v>40231</v>
      </c>
    </row>
    <row r="8288" spans="1:20">
      <c r="A8288">
        <v>4672374</v>
      </c>
      <c r="B8288" t="s">
        <v>40232</v>
      </c>
      <c r="C8288" t="str">
        <f>"9780802091475"</f>
        <v>9780802091475</v>
      </c>
      <c r="D8288" t="str">
        <f>"9781442684997"</f>
        <v>9781442684997</v>
      </c>
      <c r="E8288" t="s">
        <v>31435</v>
      </c>
      <c r="F8288" t="s">
        <v>31435</v>
      </c>
      <c r="G8288" s="1">
        <v>39083</v>
      </c>
      <c r="H8288">
        <v>2</v>
      </c>
      <c r="I8288" t="s">
        <v>35264</v>
      </c>
      <c r="J8288" t="s">
        <v>14610</v>
      </c>
      <c r="K8288" t="s">
        <v>40233</v>
      </c>
      <c r="L8288" t="s">
        <v>40234</v>
      </c>
      <c r="M8288" t="s">
        <v>40235</v>
      </c>
      <c r="O8288" t="s">
        <v>26</v>
      </c>
      <c r="Q8288">
        <v>113.75</v>
      </c>
      <c r="R8288">
        <v>91</v>
      </c>
      <c r="S8288">
        <v>136.5</v>
      </c>
      <c r="T8288" t="s">
        <v>40236</v>
      </c>
    </row>
    <row r="8289" spans="1:20">
      <c r="A8289">
        <v>4672375</v>
      </c>
      <c r="B8289" t="s">
        <v>40237</v>
      </c>
      <c r="C8289" t="str">
        <f>"9780802092465"</f>
        <v>9780802092465</v>
      </c>
      <c r="D8289" t="str">
        <f>"9781442685000"</f>
        <v>9781442685000</v>
      </c>
      <c r="E8289" t="s">
        <v>31435</v>
      </c>
      <c r="F8289" t="s">
        <v>31435</v>
      </c>
      <c r="G8289" s="1">
        <v>39438</v>
      </c>
      <c r="I8289" t="s">
        <v>35264</v>
      </c>
      <c r="J8289" t="s">
        <v>40238</v>
      </c>
      <c r="K8289" t="s">
        <v>525</v>
      </c>
      <c r="L8289" t="s">
        <v>40239</v>
      </c>
      <c r="M8289" t="s">
        <v>40240</v>
      </c>
      <c r="N8289" t="s">
        <v>40241</v>
      </c>
      <c r="O8289" t="s">
        <v>26</v>
      </c>
      <c r="Q8289">
        <v>98.75</v>
      </c>
      <c r="R8289">
        <v>79</v>
      </c>
      <c r="S8289">
        <v>118.5</v>
      </c>
      <c r="T8289" t="s">
        <v>40242</v>
      </c>
    </row>
    <row r="8290" spans="1:20">
      <c r="A8290">
        <v>4672376</v>
      </c>
      <c r="B8290" t="s">
        <v>40243</v>
      </c>
      <c r="C8290" t="str">
        <f>"9780802090706"</f>
        <v>9780802090706</v>
      </c>
      <c r="D8290" t="str">
        <f>"9781442685017"</f>
        <v>9781442685017</v>
      </c>
      <c r="E8290" t="s">
        <v>31435</v>
      </c>
      <c r="F8290" t="s">
        <v>31435</v>
      </c>
      <c r="G8290" s="1">
        <v>39349</v>
      </c>
      <c r="J8290" t="s">
        <v>22491</v>
      </c>
      <c r="K8290" t="s">
        <v>4081</v>
      </c>
      <c r="L8290" t="s">
        <v>40244</v>
      </c>
      <c r="M8290">
        <v>415</v>
      </c>
      <c r="N8290" t="s">
        <v>40245</v>
      </c>
      <c r="O8290" t="s">
        <v>26</v>
      </c>
      <c r="Q8290">
        <v>131.25</v>
      </c>
      <c r="R8290">
        <v>105</v>
      </c>
      <c r="S8290">
        <v>157.5</v>
      </c>
      <c r="T8290" t="s">
        <v>40246</v>
      </c>
    </row>
    <row r="8291" spans="1:20">
      <c r="A8291">
        <v>4672377</v>
      </c>
      <c r="B8291" t="s">
        <v>40247</v>
      </c>
      <c r="C8291" t="str">
        <f>"9781442610866"</f>
        <v>9781442610866</v>
      </c>
      <c r="D8291" t="str">
        <f>"9781442685024"</f>
        <v>9781442685024</v>
      </c>
      <c r="E8291" t="s">
        <v>31435</v>
      </c>
      <c r="F8291" t="s">
        <v>31435</v>
      </c>
      <c r="G8291" s="1">
        <v>39066</v>
      </c>
      <c r="H8291">
        <v>2</v>
      </c>
      <c r="I8291" t="s">
        <v>33775</v>
      </c>
      <c r="J8291" t="s">
        <v>40248</v>
      </c>
      <c r="K8291" t="s">
        <v>1464</v>
      </c>
      <c r="L8291" t="s">
        <v>40249</v>
      </c>
      <c r="M8291" t="s">
        <v>40250</v>
      </c>
      <c r="O8291" t="s">
        <v>26</v>
      </c>
      <c r="Q8291">
        <v>71.25</v>
      </c>
      <c r="R8291">
        <v>57</v>
      </c>
      <c r="S8291">
        <v>85.5</v>
      </c>
      <c r="T8291" t="s">
        <v>40251</v>
      </c>
    </row>
    <row r="8292" spans="1:20">
      <c r="A8292">
        <v>4672378</v>
      </c>
      <c r="B8292" t="s">
        <v>40252</v>
      </c>
      <c r="C8292" t="str">
        <f>"9780802090843"</f>
        <v>9780802090843</v>
      </c>
      <c r="D8292" t="str">
        <f>"9781442685055"</f>
        <v>9781442685055</v>
      </c>
      <c r="E8292" t="s">
        <v>31435</v>
      </c>
      <c r="F8292" t="s">
        <v>31435</v>
      </c>
      <c r="G8292" s="1">
        <v>39142</v>
      </c>
      <c r="I8292" t="s">
        <v>34565</v>
      </c>
      <c r="J8292" t="s">
        <v>40253</v>
      </c>
      <c r="K8292" t="s">
        <v>1464</v>
      </c>
      <c r="L8292" t="s">
        <v>40254</v>
      </c>
      <c r="M8292" t="s">
        <v>40255</v>
      </c>
      <c r="N8292" t="s">
        <v>40256</v>
      </c>
      <c r="O8292" t="s">
        <v>26</v>
      </c>
      <c r="Q8292">
        <v>87.5</v>
      </c>
      <c r="R8292">
        <v>70</v>
      </c>
      <c r="S8292">
        <v>105</v>
      </c>
      <c r="T8292" t="s">
        <v>40257</v>
      </c>
    </row>
    <row r="8293" spans="1:20">
      <c r="A8293">
        <v>4672381</v>
      </c>
      <c r="B8293" t="s">
        <v>40258</v>
      </c>
      <c r="C8293" t="str">
        <f>"9780802091109"</f>
        <v>9780802091109</v>
      </c>
      <c r="D8293" t="str">
        <f>"9781442685079"</f>
        <v>9781442685079</v>
      </c>
      <c r="E8293" t="s">
        <v>31435</v>
      </c>
      <c r="F8293" t="s">
        <v>31435</v>
      </c>
      <c r="G8293" s="1">
        <v>39326</v>
      </c>
      <c r="J8293" t="s">
        <v>40259</v>
      </c>
      <c r="K8293" t="s">
        <v>1464</v>
      </c>
      <c r="L8293" t="s">
        <v>40260</v>
      </c>
      <c r="M8293" t="s">
        <v>40261</v>
      </c>
      <c r="N8293" t="s">
        <v>40262</v>
      </c>
      <c r="O8293" t="s">
        <v>26</v>
      </c>
      <c r="Q8293">
        <v>91.25</v>
      </c>
      <c r="R8293">
        <v>73</v>
      </c>
      <c r="S8293">
        <v>109.5</v>
      </c>
      <c r="T8293" t="s">
        <v>40263</v>
      </c>
    </row>
    <row r="8294" spans="1:20">
      <c r="A8294">
        <v>4672382</v>
      </c>
      <c r="B8294" t="s">
        <v>40264</v>
      </c>
      <c r="C8294" t="str">
        <f>"9780802090133"</f>
        <v>9780802090133</v>
      </c>
      <c r="D8294" t="str">
        <f>"9781442685109"</f>
        <v>9781442685109</v>
      </c>
      <c r="E8294" t="s">
        <v>31435</v>
      </c>
      <c r="F8294" t="s">
        <v>31435</v>
      </c>
      <c r="G8294" s="1">
        <v>39091</v>
      </c>
      <c r="I8294" t="s">
        <v>33899</v>
      </c>
      <c r="J8294" t="s">
        <v>40265</v>
      </c>
      <c r="K8294" t="s">
        <v>6813</v>
      </c>
      <c r="L8294" t="s">
        <v>40266</v>
      </c>
      <c r="M8294" t="s">
        <v>40267</v>
      </c>
      <c r="N8294" t="s">
        <v>40268</v>
      </c>
      <c r="O8294" t="s">
        <v>26</v>
      </c>
      <c r="Q8294">
        <v>98.75</v>
      </c>
      <c r="R8294">
        <v>79</v>
      </c>
      <c r="S8294">
        <v>118.5</v>
      </c>
      <c r="T8294" t="s">
        <v>40269</v>
      </c>
    </row>
    <row r="8295" spans="1:20">
      <c r="A8295">
        <v>4672384</v>
      </c>
      <c r="B8295" t="s">
        <v>40270</v>
      </c>
      <c r="C8295" t="str">
        <f>"9781442616035"</f>
        <v>9781442616035</v>
      </c>
      <c r="D8295" t="str">
        <f>"9781442685123"</f>
        <v>9781442685123</v>
      </c>
      <c r="E8295" t="s">
        <v>31435</v>
      </c>
      <c r="F8295" t="s">
        <v>31435</v>
      </c>
      <c r="G8295" s="1">
        <v>41352</v>
      </c>
      <c r="I8295" t="s">
        <v>31450</v>
      </c>
      <c r="J8295" t="s">
        <v>40271</v>
      </c>
      <c r="K8295" t="s">
        <v>1550</v>
      </c>
      <c r="L8295" t="s">
        <v>40272</v>
      </c>
      <c r="M8295">
        <v>301.453437071</v>
      </c>
      <c r="O8295" t="s">
        <v>26</v>
      </c>
      <c r="Q8295">
        <v>102.5</v>
      </c>
      <c r="R8295">
        <v>82</v>
      </c>
      <c r="S8295">
        <v>123</v>
      </c>
      <c r="T8295" t="s">
        <v>40273</v>
      </c>
    </row>
    <row r="8296" spans="1:20">
      <c r="A8296">
        <v>4672385</v>
      </c>
      <c r="B8296" t="s">
        <v>40274</v>
      </c>
      <c r="C8296" t="str">
        <f>"9780802092472"</f>
        <v>9780802092472</v>
      </c>
      <c r="D8296" t="str">
        <f>"9781442685130"</f>
        <v>9781442685130</v>
      </c>
      <c r="E8296" t="s">
        <v>31435</v>
      </c>
      <c r="F8296" t="s">
        <v>31435</v>
      </c>
      <c r="G8296" s="1">
        <v>39354</v>
      </c>
      <c r="J8296" t="s">
        <v>40275</v>
      </c>
      <c r="K8296" t="s">
        <v>1464</v>
      </c>
      <c r="L8296" t="s">
        <v>40276</v>
      </c>
      <c r="M8296" t="s">
        <v>26510</v>
      </c>
      <c r="O8296" t="s">
        <v>26</v>
      </c>
      <c r="Q8296">
        <v>91.25</v>
      </c>
      <c r="R8296">
        <v>73</v>
      </c>
      <c r="S8296">
        <v>109.5</v>
      </c>
      <c r="T8296" t="s">
        <v>40277</v>
      </c>
    </row>
    <row r="8297" spans="1:20">
      <c r="A8297">
        <v>4672396</v>
      </c>
      <c r="B8297" t="s">
        <v>40278</v>
      </c>
      <c r="C8297" t="str">
        <f>"9781442640344"</f>
        <v>9781442640344</v>
      </c>
      <c r="D8297" t="str">
        <f>"9781442685307"</f>
        <v>9781442685307</v>
      </c>
      <c r="E8297" t="s">
        <v>31435</v>
      </c>
      <c r="F8297" t="s">
        <v>31435</v>
      </c>
      <c r="G8297" s="1">
        <v>39814</v>
      </c>
      <c r="J8297" t="s">
        <v>40279</v>
      </c>
      <c r="K8297" t="s">
        <v>1464</v>
      </c>
      <c r="L8297" t="s">
        <v>40280</v>
      </c>
      <c r="M8297" t="s">
        <v>40281</v>
      </c>
      <c r="O8297" t="s">
        <v>26</v>
      </c>
      <c r="Q8297">
        <v>103.75</v>
      </c>
      <c r="R8297">
        <v>83</v>
      </c>
      <c r="S8297">
        <v>124.5</v>
      </c>
      <c r="T8297" t="s">
        <v>40282</v>
      </c>
    </row>
    <row r="8298" spans="1:20">
      <c r="A8298">
        <v>4672398</v>
      </c>
      <c r="B8298" t="s">
        <v>40283</v>
      </c>
      <c r="C8298" t="str">
        <f>"9781442640382"</f>
        <v>9781442640382</v>
      </c>
      <c r="D8298" t="str">
        <f>"9781442685345"</f>
        <v>9781442685345</v>
      </c>
      <c r="E8298" t="s">
        <v>31435</v>
      </c>
      <c r="F8298" t="s">
        <v>31435</v>
      </c>
      <c r="G8298" s="1">
        <v>40116</v>
      </c>
      <c r="H8298">
        <v>2</v>
      </c>
      <c r="I8298" t="s">
        <v>33881</v>
      </c>
      <c r="J8298" t="s">
        <v>40284</v>
      </c>
      <c r="K8298" t="s">
        <v>525</v>
      </c>
      <c r="L8298" t="s">
        <v>40285</v>
      </c>
      <c r="M8298" t="s">
        <v>40286</v>
      </c>
      <c r="N8298" t="s">
        <v>40287</v>
      </c>
      <c r="O8298" t="s">
        <v>26</v>
      </c>
      <c r="Q8298">
        <v>103.75</v>
      </c>
      <c r="R8298">
        <v>83</v>
      </c>
      <c r="S8298">
        <v>124.5</v>
      </c>
      <c r="T8298" t="s">
        <v>40288</v>
      </c>
    </row>
    <row r="8299" spans="1:20">
      <c r="A8299">
        <v>4672400</v>
      </c>
      <c r="B8299" t="s">
        <v>40289</v>
      </c>
      <c r="C8299" t="str">
        <f>"9781442640412"</f>
        <v>9781442640412</v>
      </c>
      <c r="D8299" t="str">
        <f>"9781442685376"</f>
        <v>9781442685376</v>
      </c>
      <c r="E8299" t="s">
        <v>31435</v>
      </c>
      <c r="F8299" t="s">
        <v>31435</v>
      </c>
      <c r="G8299" s="1">
        <v>40068</v>
      </c>
      <c r="J8299" t="s">
        <v>40290</v>
      </c>
      <c r="K8299" t="s">
        <v>1859</v>
      </c>
      <c r="L8299" t="s">
        <v>40291</v>
      </c>
      <c r="M8299">
        <v>194</v>
      </c>
      <c r="N8299" t="s">
        <v>40292</v>
      </c>
      <c r="O8299" t="s">
        <v>26</v>
      </c>
      <c r="Q8299">
        <v>72.5</v>
      </c>
      <c r="R8299">
        <v>58</v>
      </c>
      <c r="S8299">
        <v>87</v>
      </c>
      <c r="T8299" t="s">
        <v>40293</v>
      </c>
    </row>
    <row r="8300" spans="1:20">
      <c r="A8300">
        <v>4672402</v>
      </c>
      <c r="B8300" t="s">
        <v>40294</v>
      </c>
      <c r="C8300" t="str">
        <f>"9781442640443"</f>
        <v>9781442640443</v>
      </c>
      <c r="D8300" t="str">
        <f>"9781442685413"</f>
        <v>9781442685413</v>
      </c>
      <c r="E8300" t="s">
        <v>31435</v>
      </c>
      <c r="F8300" t="s">
        <v>31435</v>
      </c>
      <c r="G8300" s="1">
        <v>40642</v>
      </c>
      <c r="I8300" t="s">
        <v>34561</v>
      </c>
      <c r="J8300" t="s">
        <v>40295</v>
      </c>
      <c r="K8300" t="s">
        <v>2963</v>
      </c>
      <c r="L8300" t="s">
        <v>40296</v>
      </c>
      <c r="M8300">
        <v>914.92030799999895</v>
      </c>
      <c r="O8300" t="s">
        <v>26</v>
      </c>
      <c r="Q8300">
        <v>277.5</v>
      </c>
      <c r="R8300">
        <v>222</v>
      </c>
      <c r="S8300">
        <v>333</v>
      </c>
      <c r="T8300" t="s">
        <v>40297</v>
      </c>
    </row>
    <row r="8301" spans="1:20">
      <c r="A8301">
        <v>4672403</v>
      </c>
      <c r="B8301" t="s">
        <v>40298</v>
      </c>
      <c r="C8301" t="str">
        <f>"9781442640450"</f>
        <v>9781442640450</v>
      </c>
      <c r="D8301" t="str">
        <f>"9781442685420"</f>
        <v>9781442685420</v>
      </c>
      <c r="E8301" t="s">
        <v>31435</v>
      </c>
      <c r="F8301" t="s">
        <v>31435</v>
      </c>
      <c r="G8301" s="1">
        <v>41773</v>
      </c>
      <c r="J8301" t="s">
        <v>40299</v>
      </c>
      <c r="K8301" t="s">
        <v>291</v>
      </c>
      <c r="L8301" t="s">
        <v>40300</v>
      </c>
      <c r="M8301">
        <v>973.91</v>
      </c>
      <c r="O8301" t="s">
        <v>26</v>
      </c>
      <c r="Q8301">
        <v>85</v>
      </c>
      <c r="R8301">
        <v>68</v>
      </c>
      <c r="S8301">
        <v>102</v>
      </c>
      <c r="T8301" t="s">
        <v>40301</v>
      </c>
    </row>
    <row r="8302" spans="1:20">
      <c r="A8302">
        <v>4672405</v>
      </c>
      <c r="B8302" t="s">
        <v>40302</v>
      </c>
      <c r="C8302" t="str">
        <f>"9780802095091"</f>
        <v>9780802095091</v>
      </c>
      <c r="D8302" t="str">
        <f>"9781442685444"</f>
        <v>9781442685444</v>
      </c>
      <c r="E8302" t="s">
        <v>31435</v>
      </c>
      <c r="F8302" t="s">
        <v>31435</v>
      </c>
      <c r="G8302" s="1">
        <v>39180</v>
      </c>
      <c r="J8302" t="s">
        <v>40303</v>
      </c>
      <c r="K8302" t="s">
        <v>263</v>
      </c>
      <c r="L8302" t="s">
        <v>40304</v>
      </c>
      <c r="M8302">
        <v>305.8</v>
      </c>
      <c r="N8302" t="s">
        <v>40305</v>
      </c>
      <c r="O8302" t="s">
        <v>26</v>
      </c>
      <c r="Q8302">
        <v>131.25</v>
      </c>
      <c r="R8302">
        <v>105</v>
      </c>
      <c r="S8302">
        <v>157.5</v>
      </c>
      <c r="T8302" t="s">
        <v>40306</v>
      </c>
    </row>
    <row r="8303" spans="1:20">
      <c r="A8303">
        <v>4672406</v>
      </c>
      <c r="B8303" t="s">
        <v>40307</v>
      </c>
      <c r="C8303" t="str">
        <f>"9780802094902"</f>
        <v>9780802094902</v>
      </c>
      <c r="D8303" t="str">
        <f>"9781442685468"</f>
        <v>9781442685468</v>
      </c>
      <c r="E8303" t="s">
        <v>31435</v>
      </c>
      <c r="F8303" t="s">
        <v>31435</v>
      </c>
      <c r="G8303" s="1">
        <v>39102</v>
      </c>
      <c r="I8303" t="s">
        <v>35251</v>
      </c>
      <c r="J8303" t="s">
        <v>40308</v>
      </c>
      <c r="K8303" t="s">
        <v>467</v>
      </c>
      <c r="L8303" t="s">
        <v>40309</v>
      </c>
      <c r="M8303">
        <v>351.710285</v>
      </c>
      <c r="N8303" t="s">
        <v>40310</v>
      </c>
      <c r="O8303" t="s">
        <v>26</v>
      </c>
      <c r="Q8303">
        <v>131.25</v>
      </c>
      <c r="R8303">
        <v>105</v>
      </c>
      <c r="S8303">
        <v>157.5</v>
      </c>
      <c r="T8303" t="s">
        <v>40311</v>
      </c>
    </row>
    <row r="8304" spans="1:20">
      <c r="A8304">
        <v>4672407</v>
      </c>
      <c r="B8304" t="s">
        <v>40312</v>
      </c>
      <c r="C8304" t="str">
        <f>"9780802086891"</f>
        <v>9780802086891</v>
      </c>
      <c r="D8304" t="str">
        <f>"9781442685475"</f>
        <v>9781442685475</v>
      </c>
      <c r="E8304" t="s">
        <v>31435</v>
      </c>
      <c r="F8304" t="s">
        <v>31435</v>
      </c>
      <c r="G8304" s="1">
        <v>39158</v>
      </c>
      <c r="I8304" t="s">
        <v>34935</v>
      </c>
      <c r="J8304" t="s">
        <v>30584</v>
      </c>
      <c r="K8304" t="s">
        <v>263</v>
      </c>
      <c r="L8304" t="s">
        <v>40313</v>
      </c>
      <c r="M8304" t="s">
        <v>40314</v>
      </c>
      <c r="O8304" t="s">
        <v>26</v>
      </c>
      <c r="Q8304">
        <v>59.94</v>
      </c>
      <c r="R8304">
        <v>47.95</v>
      </c>
      <c r="S8304">
        <v>71.930000000000007</v>
      </c>
      <c r="T8304" t="s">
        <v>40315</v>
      </c>
    </row>
    <row r="8305" spans="1:20">
      <c r="A8305">
        <v>4672409</v>
      </c>
      <c r="B8305" t="s">
        <v>40316</v>
      </c>
      <c r="C8305" t="str">
        <f>"9780802094742"</f>
        <v>9780802094742</v>
      </c>
      <c r="D8305" t="str">
        <f>"9781442685499"</f>
        <v>9781442685499</v>
      </c>
      <c r="E8305" t="s">
        <v>31435</v>
      </c>
      <c r="F8305" t="s">
        <v>31435</v>
      </c>
      <c r="G8305" s="1">
        <v>39202</v>
      </c>
      <c r="I8305" t="s">
        <v>34693</v>
      </c>
      <c r="J8305" t="s">
        <v>40317</v>
      </c>
      <c r="K8305" t="s">
        <v>568</v>
      </c>
      <c r="L8305" t="s">
        <v>40318</v>
      </c>
      <c r="M8305">
        <v>305.48090710000002</v>
      </c>
      <c r="N8305" t="s">
        <v>40319</v>
      </c>
      <c r="O8305" t="s">
        <v>26</v>
      </c>
      <c r="Q8305">
        <v>106.25</v>
      </c>
      <c r="R8305">
        <v>85</v>
      </c>
      <c r="S8305">
        <v>127.5</v>
      </c>
      <c r="T8305" t="s">
        <v>40320</v>
      </c>
    </row>
    <row r="8306" spans="1:20">
      <c r="A8306">
        <v>4672417</v>
      </c>
      <c r="B8306" t="s">
        <v>40321</v>
      </c>
      <c r="C8306" t="str">
        <f>"9780802090997"</f>
        <v>9780802090997</v>
      </c>
      <c r="D8306" t="str">
        <f>"9781442685642"</f>
        <v>9781442685642</v>
      </c>
      <c r="E8306" t="s">
        <v>31435</v>
      </c>
      <c r="F8306" t="s">
        <v>31435</v>
      </c>
      <c r="G8306" s="1">
        <v>39040</v>
      </c>
      <c r="I8306" t="s">
        <v>35056</v>
      </c>
      <c r="J8306" t="s">
        <v>40322</v>
      </c>
      <c r="K8306" t="s">
        <v>257</v>
      </c>
      <c r="L8306" t="s">
        <v>40323</v>
      </c>
      <c r="M8306" t="s">
        <v>40324</v>
      </c>
      <c r="N8306" t="s">
        <v>40325</v>
      </c>
      <c r="O8306" t="s">
        <v>26</v>
      </c>
      <c r="Q8306">
        <v>106.25</v>
      </c>
      <c r="R8306">
        <v>85</v>
      </c>
      <c r="S8306">
        <v>127.5</v>
      </c>
      <c r="T8306" t="s">
        <v>40326</v>
      </c>
    </row>
    <row r="8307" spans="1:20">
      <c r="A8307">
        <v>4672419</v>
      </c>
      <c r="B8307" t="s">
        <v>40327</v>
      </c>
      <c r="C8307" t="str">
        <f>"9781442640481"</f>
        <v>9781442640481</v>
      </c>
      <c r="D8307" t="str">
        <f>"9781442685703"</f>
        <v>9781442685703</v>
      </c>
      <c r="E8307" t="s">
        <v>31435</v>
      </c>
      <c r="F8307" t="s">
        <v>31435</v>
      </c>
      <c r="G8307" s="1">
        <v>40179</v>
      </c>
      <c r="H8307">
        <v>2</v>
      </c>
      <c r="I8307" t="s">
        <v>35056</v>
      </c>
      <c r="J8307" t="s">
        <v>40328</v>
      </c>
      <c r="K8307" t="s">
        <v>263</v>
      </c>
      <c r="L8307" t="s">
        <v>40329</v>
      </c>
      <c r="M8307">
        <v>302.20100000000002</v>
      </c>
      <c r="O8307" t="s">
        <v>26</v>
      </c>
      <c r="Q8307">
        <v>72.5</v>
      </c>
      <c r="R8307">
        <v>58</v>
      </c>
      <c r="S8307">
        <v>87</v>
      </c>
      <c r="T8307" t="s">
        <v>40330</v>
      </c>
    </row>
    <row r="8308" spans="1:20">
      <c r="A8308">
        <v>4672420</v>
      </c>
      <c r="B8308" t="s">
        <v>40331</v>
      </c>
      <c r="C8308" t="str">
        <f>"9781442640504"</f>
        <v>9781442640504</v>
      </c>
      <c r="D8308" t="str">
        <f>"9781442685710"</f>
        <v>9781442685710</v>
      </c>
      <c r="E8308" t="s">
        <v>31435</v>
      </c>
      <c r="F8308" t="s">
        <v>31435</v>
      </c>
      <c r="G8308" s="1">
        <v>40222</v>
      </c>
      <c r="J8308" t="s">
        <v>39618</v>
      </c>
      <c r="K8308" t="s">
        <v>1464</v>
      </c>
      <c r="L8308" t="s">
        <v>40332</v>
      </c>
      <c r="M8308" t="s">
        <v>40281</v>
      </c>
      <c r="N8308" t="s">
        <v>40333</v>
      </c>
      <c r="O8308" t="s">
        <v>26</v>
      </c>
      <c r="Q8308">
        <v>87.5</v>
      </c>
      <c r="R8308">
        <v>70</v>
      </c>
      <c r="S8308">
        <v>105</v>
      </c>
      <c r="T8308" t="s">
        <v>40334</v>
      </c>
    </row>
    <row r="8309" spans="1:20">
      <c r="A8309">
        <v>4672421</v>
      </c>
      <c r="B8309" t="s">
        <v>40335</v>
      </c>
      <c r="C8309" t="str">
        <f>"9781442640511"</f>
        <v>9781442640511</v>
      </c>
      <c r="D8309" t="str">
        <f>"9781442685727"</f>
        <v>9781442685727</v>
      </c>
      <c r="E8309" t="s">
        <v>31435</v>
      </c>
      <c r="F8309" t="s">
        <v>31435</v>
      </c>
      <c r="G8309" s="1">
        <v>40327</v>
      </c>
      <c r="I8309" t="s">
        <v>33775</v>
      </c>
      <c r="J8309" t="s">
        <v>40336</v>
      </c>
      <c r="K8309" t="s">
        <v>1464</v>
      </c>
      <c r="L8309" t="s">
        <v>40337</v>
      </c>
      <c r="M8309" t="s">
        <v>40338</v>
      </c>
      <c r="O8309" t="s">
        <v>26</v>
      </c>
      <c r="Q8309">
        <v>87.5</v>
      </c>
      <c r="R8309">
        <v>70</v>
      </c>
      <c r="S8309">
        <v>105</v>
      </c>
      <c r="T8309" t="s">
        <v>40339</v>
      </c>
    </row>
    <row r="8310" spans="1:20">
      <c r="A8310">
        <v>4672423</v>
      </c>
      <c r="B8310" t="s">
        <v>40340</v>
      </c>
      <c r="C8310" t="str">
        <f>"9781442640535"</f>
        <v>9781442640535</v>
      </c>
      <c r="D8310" t="str">
        <f>"9781442685741"</f>
        <v>9781442685741</v>
      </c>
      <c r="E8310" t="s">
        <v>31435</v>
      </c>
      <c r="F8310" t="s">
        <v>31435</v>
      </c>
      <c r="G8310" s="1">
        <v>40222</v>
      </c>
      <c r="I8310" t="s">
        <v>34756</v>
      </c>
      <c r="J8310" t="s">
        <v>35155</v>
      </c>
      <c r="K8310" t="s">
        <v>1464</v>
      </c>
      <c r="L8310" t="s">
        <v>40341</v>
      </c>
      <c r="M8310">
        <v>809</v>
      </c>
      <c r="N8310" t="s">
        <v>40342</v>
      </c>
      <c r="O8310" t="s">
        <v>26</v>
      </c>
      <c r="Q8310">
        <v>158.75</v>
      </c>
      <c r="R8310">
        <v>127</v>
      </c>
      <c r="S8310">
        <v>190.5</v>
      </c>
      <c r="T8310" t="s">
        <v>40343</v>
      </c>
    </row>
    <row r="8311" spans="1:20">
      <c r="A8311">
        <v>4672424</v>
      </c>
      <c r="B8311" t="s">
        <v>40344</v>
      </c>
      <c r="C8311" t="str">
        <f>"9781487520007"</f>
        <v>9781487520007</v>
      </c>
      <c r="D8311" t="str">
        <f>"9781442685758"</f>
        <v>9781442685758</v>
      </c>
      <c r="E8311" t="s">
        <v>31435</v>
      </c>
      <c r="F8311" t="s">
        <v>31435</v>
      </c>
      <c r="G8311" s="1">
        <v>40208</v>
      </c>
      <c r="J8311" t="s">
        <v>40027</v>
      </c>
      <c r="K8311" t="s">
        <v>1859</v>
      </c>
      <c r="L8311" t="s">
        <v>40345</v>
      </c>
      <c r="M8311" t="s">
        <v>34439</v>
      </c>
      <c r="N8311" t="s">
        <v>40346</v>
      </c>
      <c r="O8311" t="s">
        <v>26</v>
      </c>
      <c r="Q8311">
        <v>87.5</v>
      </c>
      <c r="R8311">
        <v>70</v>
      </c>
      <c r="S8311">
        <v>105</v>
      </c>
      <c r="T8311" t="s">
        <v>40347</v>
      </c>
    </row>
    <row r="8312" spans="1:20">
      <c r="A8312">
        <v>4672427</v>
      </c>
      <c r="B8312" t="s">
        <v>40348</v>
      </c>
      <c r="C8312" t="str">
        <f>"9781442640597"</f>
        <v>9781442640597</v>
      </c>
      <c r="D8312" t="str">
        <f>"9781442685802"</f>
        <v>9781442685802</v>
      </c>
      <c r="E8312" t="s">
        <v>31435</v>
      </c>
      <c r="F8312" t="s">
        <v>31435</v>
      </c>
      <c r="G8312" s="1">
        <v>40159</v>
      </c>
      <c r="I8312" t="s">
        <v>36558</v>
      </c>
      <c r="J8312" t="s">
        <v>40349</v>
      </c>
      <c r="K8312" t="s">
        <v>1464</v>
      </c>
      <c r="L8312" t="s">
        <v>40350</v>
      </c>
      <c r="M8312" t="s">
        <v>40351</v>
      </c>
      <c r="N8312" t="s">
        <v>40352</v>
      </c>
      <c r="O8312" t="s">
        <v>26</v>
      </c>
      <c r="Q8312">
        <v>87.5</v>
      </c>
      <c r="R8312">
        <v>70</v>
      </c>
      <c r="S8312">
        <v>105</v>
      </c>
      <c r="T8312" t="s">
        <v>40353</v>
      </c>
    </row>
    <row r="8313" spans="1:20">
      <c r="A8313">
        <v>4672428</v>
      </c>
      <c r="B8313" t="s">
        <v>40354</v>
      </c>
      <c r="C8313" t="str">
        <f>"9781442640603"</f>
        <v>9781442640603</v>
      </c>
      <c r="D8313" t="str">
        <f>"9781442685819"</f>
        <v>9781442685819</v>
      </c>
      <c r="E8313" t="s">
        <v>31435</v>
      </c>
      <c r="F8313" t="s">
        <v>31435</v>
      </c>
      <c r="G8313" s="1">
        <v>40145</v>
      </c>
      <c r="H8313">
        <v>2</v>
      </c>
      <c r="J8313" t="s">
        <v>40355</v>
      </c>
      <c r="K8313" t="s">
        <v>1464</v>
      </c>
      <c r="L8313" t="s">
        <v>40356</v>
      </c>
      <c r="M8313">
        <v>822.30899999999895</v>
      </c>
      <c r="N8313" t="s">
        <v>40357</v>
      </c>
      <c r="O8313" t="s">
        <v>26</v>
      </c>
      <c r="Q8313">
        <v>87.5</v>
      </c>
      <c r="R8313">
        <v>70</v>
      </c>
      <c r="S8313">
        <v>105</v>
      </c>
      <c r="T8313" t="s">
        <v>40358</v>
      </c>
    </row>
    <row r="8314" spans="1:20">
      <c r="A8314">
        <v>4672429</v>
      </c>
      <c r="B8314" t="s">
        <v>40359</v>
      </c>
      <c r="C8314" t="str">
        <f>"9781442610071"</f>
        <v>9781442610071</v>
      </c>
      <c r="D8314" t="str">
        <f>"9781442685826"</f>
        <v>9781442685826</v>
      </c>
      <c r="E8314" t="s">
        <v>31435</v>
      </c>
      <c r="F8314" t="s">
        <v>31435</v>
      </c>
      <c r="G8314" s="1">
        <v>40250</v>
      </c>
      <c r="H8314">
        <v>2</v>
      </c>
      <c r="J8314" t="s">
        <v>40360</v>
      </c>
      <c r="K8314" t="s">
        <v>6444</v>
      </c>
      <c r="L8314" t="s">
        <v>40361</v>
      </c>
      <c r="M8314">
        <v>327.71072909999901</v>
      </c>
      <c r="N8314" t="s">
        <v>40362</v>
      </c>
      <c r="O8314" t="s">
        <v>26</v>
      </c>
      <c r="Q8314">
        <v>87.5</v>
      </c>
      <c r="R8314">
        <v>70</v>
      </c>
      <c r="S8314">
        <v>105</v>
      </c>
      <c r="T8314" t="s">
        <v>40363</v>
      </c>
    </row>
    <row r="8315" spans="1:20">
      <c r="A8315">
        <v>4672431</v>
      </c>
      <c r="B8315" t="s">
        <v>40364</v>
      </c>
      <c r="C8315" t="str">
        <f>"9781442610088"</f>
        <v>9781442610088</v>
      </c>
      <c r="D8315" t="str">
        <f>"9781442685864"</f>
        <v>9781442685864</v>
      </c>
      <c r="E8315" t="s">
        <v>31435</v>
      </c>
      <c r="F8315" t="s">
        <v>31435</v>
      </c>
      <c r="G8315" s="1">
        <v>40270</v>
      </c>
      <c r="J8315" t="s">
        <v>40365</v>
      </c>
      <c r="K8315" t="s">
        <v>263</v>
      </c>
      <c r="L8315" t="s">
        <v>40366</v>
      </c>
      <c r="M8315" t="s">
        <v>40367</v>
      </c>
      <c r="N8315" t="s">
        <v>40368</v>
      </c>
      <c r="O8315" t="s">
        <v>26</v>
      </c>
      <c r="Q8315">
        <v>96.25</v>
      </c>
      <c r="R8315">
        <v>77</v>
      </c>
      <c r="S8315">
        <v>115.5</v>
      </c>
      <c r="T8315" t="s">
        <v>40369</v>
      </c>
    </row>
    <row r="8316" spans="1:20">
      <c r="A8316">
        <v>4672433</v>
      </c>
      <c r="B8316" t="s">
        <v>40370</v>
      </c>
      <c r="C8316" t="str">
        <f>"9781442640658"</f>
        <v>9781442640658</v>
      </c>
      <c r="D8316" t="str">
        <f>"9781442685888"</f>
        <v>9781442685888</v>
      </c>
      <c r="E8316" t="s">
        <v>31435</v>
      </c>
      <c r="F8316" t="s">
        <v>31435</v>
      </c>
      <c r="G8316" s="1">
        <v>40390</v>
      </c>
      <c r="H8316">
        <v>2</v>
      </c>
      <c r="J8316" t="s">
        <v>40371</v>
      </c>
      <c r="K8316" t="s">
        <v>899</v>
      </c>
      <c r="L8316" t="s">
        <v>40372</v>
      </c>
      <c r="M8316">
        <v>368.00900000000001</v>
      </c>
      <c r="N8316" t="s">
        <v>40373</v>
      </c>
      <c r="O8316" t="s">
        <v>26</v>
      </c>
      <c r="Q8316">
        <v>80</v>
      </c>
      <c r="R8316">
        <v>64</v>
      </c>
      <c r="S8316">
        <v>96</v>
      </c>
      <c r="T8316" t="s">
        <v>40374</v>
      </c>
    </row>
    <row r="8317" spans="1:20">
      <c r="A8317">
        <v>4672435</v>
      </c>
      <c r="B8317" t="s">
        <v>40375</v>
      </c>
      <c r="C8317" t="str">
        <f>"9781442640672"</f>
        <v>9781442640672</v>
      </c>
      <c r="D8317" t="str">
        <f>"9781442685901"</f>
        <v>9781442685901</v>
      </c>
      <c r="E8317" t="s">
        <v>31435</v>
      </c>
      <c r="F8317" t="s">
        <v>31435</v>
      </c>
      <c r="G8317" s="1">
        <v>40166</v>
      </c>
      <c r="I8317" t="s">
        <v>35251</v>
      </c>
      <c r="J8317" t="s">
        <v>40376</v>
      </c>
      <c r="K8317" t="s">
        <v>467</v>
      </c>
      <c r="L8317" t="s">
        <v>40377</v>
      </c>
      <c r="M8317" t="s">
        <v>40378</v>
      </c>
      <c r="N8317" t="s">
        <v>40379</v>
      </c>
      <c r="O8317" t="s">
        <v>26</v>
      </c>
      <c r="Q8317">
        <v>75</v>
      </c>
      <c r="R8317">
        <v>60</v>
      </c>
      <c r="S8317">
        <v>90</v>
      </c>
      <c r="T8317" t="s">
        <v>40380</v>
      </c>
    </row>
    <row r="8318" spans="1:20">
      <c r="A8318">
        <v>4672437</v>
      </c>
      <c r="B8318" t="s">
        <v>40381</v>
      </c>
      <c r="C8318" t="str">
        <f>"9781442640702"</f>
        <v>9781442640702</v>
      </c>
      <c r="D8318" t="str">
        <f>"9781442685932"</f>
        <v>9781442685932</v>
      </c>
      <c r="E8318" t="s">
        <v>31435</v>
      </c>
      <c r="F8318" t="s">
        <v>31435</v>
      </c>
      <c r="G8318" s="1">
        <v>39814</v>
      </c>
      <c r="H8318">
        <v>2</v>
      </c>
      <c r="I8318" t="s">
        <v>33881</v>
      </c>
      <c r="J8318" t="s">
        <v>40382</v>
      </c>
      <c r="K8318" t="s">
        <v>525</v>
      </c>
      <c r="L8318" t="s">
        <v>40383</v>
      </c>
      <c r="M8318" t="s">
        <v>23866</v>
      </c>
      <c r="O8318" t="s">
        <v>26</v>
      </c>
      <c r="Q8318">
        <v>87.5</v>
      </c>
      <c r="R8318">
        <v>70</v>
      </c>
      <c r="S8318">
        <v>105</v>
      </c>
      <c r="T8318" t="s">
        <v>40384</v>
      </c>
    </row>
    <row r="8319" spans="1:20">
      <c r="A8319">
        <v>4672441</v>
      </c>
      <c r="B8319" t="s">
        <v>40385</v>
      </c>
      <c r="C8319" t="str">
        <f>"9781442610156"</f>
        <v>9781442610156</v>
      </c>
      <c r="D8319" t="str">
        <f>"9781442686014"</f>
        <v>9781442686014</v>
      </c>
      <c r="E8319" t="s">
        <v>31435</v>
      </c>
      <c r="F8319" t="s">
        <v>31435</v>
      </c>
      <c r="G8319" s="1">
        <v>40179</v>
      </c>
      <c r="I8319" t="s">
        <v>40386</v>
      </c>
      <c r="J8319" t="s">
        <v>14838</v>
      </c>
      <c r="K8319" t="s">
        <v>263</v>
      </c>
      <c r="L8319" t="s">
        <v>40387</v>
      </c>
      <c r="M8319">
        <v>392.50970999999902</v>
      </c>
      <c r="O8319" t="s">
        <v>26</v>
      </c>
      <c r="Q8319">
        <v>96.25</v>
      </c>
      <c r="R8319">
        <v>77</v>
      </c>
      <c r="S8319">
        <v>115.5</v>
      </c>
      <c r="T8319" t="s">
        <v>40388</v>
      </c>
    </row>
    <row r="8320" spans="1:20">
      <c r="A8320">
        <v>4672445</v>
      </c>
      <c r="B8320" t="s">
        <v>40389</v>
      </c>
      <c r="C8320" t="str">
        <f>"9781442640818"</f>
        <v>9781442640818</v>
      </c>
      <c r="D8320" t="str">
        <f>"9781442686106"</f>
        <v>9781442686106</v>
      </c>
      <c r="E8320" t="s">
        <v>31435</v>
      </c>
      <c r="F8320" t="s">
        <v>31435</v>
      </c>
      <c r="G8320" s="1">
        <v>40179</v>
      </c>
      <c r="J8320" t="s">
        <v>40390</v>
      </c>
      <c r="K8320" t="s">
        <v>1464</v>
      </c>
      <c r="L8320" t="s">
        <v>40391</v>
      </c>
      <c r="M8320" t="s">
        <v>13199</v>
      </c>
      <c r="O8320" t="s">
        <v>26</v>
      </c>
      <c r="Q8320">
        <v>96.25</v>
      </c>
      <c r="R8320">
        <v>77</v>
      </c>
      <c r="S8320">
        <v>115.5</v>
      </c>
      <c r="T8320" t="s">
        <v>40392</v>
      </c>
    </row>
    <row r="8321" spans="1:20">
      <c r="A8321">
        <v>4672449</v>
      </c>
      <c r="B8321" t="s">
        <v>40393</v>
      </c>
      <c r="C8321" t="str">
        <f>"9781442640894"</f>
        <v>9781442640894</v>
      </c>
      <c r="D8321" t="str">
        <f>"9781442686175"</f>
        <v>9781442686175</v>
      </c>
      <c r="E8321" t="s">
        <v>31435</v>
      </c>
      <c r="F8321" t="s">
        <v>31435</v>
      </c>
      <c r="G8321" s="1">
        <v>40383</v>
      </c>
      <c r="I8321" t="s">
        <v>33775</v>
      </c>
      <c r="J8321" t="s">
        <v>40394</v>
      </c>
      <c r="K8321" t="s">
        <v>1464</v>
      </c>
      <c r="L8321" t="s">
        <v>40395</v>
      </c>
      <c r="M8321" t="s">
        <v>40396</v>
      </c>
      <c r="O8321" t="s">
        <v>26</v>
      </c>
      <c r="Q8321">
        <v>118.75</v>
      </c>
      <c r="R8321">
        <v>95</v>
      </c>
      <c r="S8321">
        <v>142.5</v>
      </c>
      <c r="T8321" t="s">
        <v>40397</v>
      </c>
    </row>
    <row r="8322" spans="1:20">
      <c r="A8322">
        <v>4672450</v>
      </c>
      <c r="B8322" t="s">
        <v>40398</v>
      </c>
      <c r="C8322" t="str">
        <f>"9781442640870"</f>
        <v>9781442640870</v>
      </c>
      <c r="D8322" t="str">
        <f>"9781442686182"</f>
        <v>9781442686182</v>
      </c>
      <c r="E8322" t="s">
        <v>31435</v>
      </c>
      <c r="F8322" t="s">
        <v>31435</v>
      </c>
      <c r="G8322" s="1">
        <v>40179</v>
      </c>
      <c r="I8322" t="s">
        <v>33827</v>
      </c>
      <c r="J8322" t="s">
        <v>40399</v>
      </c>
      <c r="K8322" t="s">
        <v>1464</v>
      </c>
      <c r="L8322" t="s">
        <v>40400</v>
      </c>
      <c r="M8322" t="s">
        <v>36020</v>
      </c>
      <c r="O8322" t="s">
        <v>26</v>
      </c>
      <c r="Q8322">
        <v>103.75</v>
      </c>
      <c r="R8322">
        <v>83</v>
      </c>
      <c r="S8322">
        <v>124.5</v>
      </c>
      <c r="T8322" t="s">
        <v>40401</v>
      </c>
    </row>
    <row r="8323" spans="1:20">
      <c r="A8323">
        <v>4672453</v>
      </c>
      <c r="B8323" t="s">
        <v>40402</v>
      </c>
      <c r="C8323" t="str">
        <f>"9781442610262"</f>
        <v>9781442610262</v>
      </c>
      <c r="D8323" t="str">
        <f>"9781442686243"</f>
        <v>9781442686243</v>
      </c>
      <c r="E8323" t="s">
        <v>31435</v>
      </c>
      <c r="F8323" t="s">
        <v>31435</v>
      </c>
      <c r="G8323" s="1">
        <v>39448</v>
      </c>
      <c r="J8323" t="s">
        <v>40403</v>
      </c>
      <c r="K8323" t="s">
        <v>257</v>
      </c>
      <c r="L8323" t="s">
        <v>40404</v>
      </c>
      <c r="M8323" t="s">
        <v>40405</v>
      </c>
      <c r="O8323" t="s">
        <v>26</v>
      </c>
      <c r="Q8323">
        <v>83.75</v>
      </c>
      <c r="R8323">
        <v>67</v>
      </c>
      <c r="S8323">
        <v>100.5</v>
      </c>
      <c r="T8323" t="s">
        <v>40406</v>
      </c>
    </row>
    <row r="8324" spans="1:20">
      <c r="A8324">
        <v>4672454</v>
      </c>
      <c r="B8324" t="s">
        <v>40407</v>
      </c>
      <c r="C8324" t="str">
        <f>"9781442610330"</f>
        <v>9781442610330</v>
      </c>
      <c r="D8324" t="str">
        <f>"9781442686250"</f>
        <v>9781442686250</v>
      </c>
      <c r="E8324" t="s">
        <v>31435</v>
      </c>
      <c r="F8324" t="s">
        <v>31435</v>
      </c>
      <c r="G8324" s="1">
        <v>38353</v>
      </c>
      <c r="J8324" t="s">
        <v>28290</v>
      </c>
      <c r="K8324" t="s">
        <v>3860</v>
      </c>
      <c r="L8324" t="s">
        <v>40408</v>
      </c>
      <c r="M8324" t="s">
        <v>40409</v>
      </c>
      <c r="O8324" t="s">
        <v>26</v>
      </c>
      <c r="Q8324">
        <v>110</v>
      </c>
      <c r="R8324">
        <v>88</v>
      </c>
      <c r="S8324">
        <v>132</v>
      </c>
      <c r="T8324" t="s">
        <v>40410</v>
      </c>
    </row>
    <row r="8325" spans="1:20">
      <c r="A8325">
        <v>4672455</v>
      </c>
      <c r="B8325" t="s">
        <v>40411</v>
      </c>
      <c r="C8325" t="str">
        <f>"9781442610279"</f>
        <v>9781442610279</v>
      </c>
      <c r="D8325" t="str">
        <f>"9781442686267"</f>
        <v>9781442686267</v>
      </c>
      <c r="E8325" t="s">
        <v>31435</v>
      </c>
      <c r="F8325" t="s">
        <v>31435</v>
      </c>
      <c r="G8325" s="1">
        <v>38718</v>
      </c>
      <c r="J8325" t="s">
        <v>40412</v>
      </c>
      <c r="K8325" t="s">
        <v>257</v>
      </c>
      <c r="L8325" t="s">
        <v>40413</v>
      </c>
      <c r="M8325" t="s">
        <v>22266</v>
      </c>
      <c r="O8325" t="s">
        <v>26</v>
      </c>
      <c r="Q8325">
        <v>117.5</v>
      </c>
      <c r="R8325">
        <v>94</v>
      </c>
      <c r="S8325">
        <v>141</v>
      </c>
      <c r="T8325" t="s">
        <v>40414</v>
      </c>
    </row>
    <row r="8326" spans="1:20">
      <c r="A8326">
        <v>4672457</v>
      </c>
      <c r="B8326" t="s">
        <v>40415</v>
      </c>
      <c r="C8326" t="str">
        <f>"9781442610293"</f>
        <v>9781442610293</v>
      </c>
      <c r="D8326" t="str">
        <f>"9781442686281"</f>
        <v>9781442686281</v>
      </c>
      <c r="E8326" t="s">
        <v>31435</v>
      </c>
      <c r="F8326" t="s">
        <v>31435</v>
      </c>
      <c r="G8326" s="1">
        <v>38353</v>
      </c>
      <c r="J8326" t="s">
        <v>40416</v>
      </c>
      <c r="K8326" t="s">
        <v>1464</v>
      </c>
      <c r="L8326" t="s">
        <v>40417</v>
      </c>
      <c r="M8326" t="s">
        <v>40418</v>
      </c>
      <c r="O8326" t="s">
        <v>26</v>
      </c>
      <c r="Q8326">
        <v>110</v>
      </c>
      <c r="R8326">
        <v>88</v>
      </c>
      <c r="S8326">
        <v>132</v>
      </c>
      <c r="T8326" t="s">
        <v>40419</v>
      </c>
    </row>
    <row r="8327" spans="1:20">
      <c r="A8327">
        <v>4672458</v>
      </c>
      <c r="B8327" t="s">
        <v>40420</v>
      </c>
      <c r="C8327" t="str">
        <f>"9781442610309"</f>
        <v>9781442610309</v>
      </c>
      <c r="D8327" t="str">
        <f>"9781442686298"</f>
        <v>9781442686298</v>
      </c>
      <c r="E8327" t="s">
        <v>31435</v>
      </c>
      <c r="F8327" t="s">
        <v>31435</v>
      </c>
      <c r="G8327" s="1">
        <v>37622</v>
      </c>
      <c r="I8327" t="s">
        <v>31443</v>
      </c>
      <c r="J8327" t="s">
        <v>40421</v>
      </c>
      <c r="K8327" t="s">
        <v>1471</v>
      </c>
      <c r="L8327" t="s">
        <v>40422</v>
      </c>
      <c r="M8327" t="s">
        <v>40423</v>
      </c>
      <c r="O8327" t="s">
        <v>26</v>
      </c>
      <c r="Q8327">
        <v>152.5</v>
      </c>
      <c r="R8327">
        <v>122</v>
      </c>
      <c r="S8327">
        <v>183</v>
      </c>
      <c r="T8327" t="s">
        <v>40424</v>
      </c>
    </row>
    <row r="8328" spans="1:20">
      <c r="A8328">
        <v>4672459</v>
      </c>
      <c r="B8328" t="s">
        <v>40425</v>
      </c>
      <c r="C8328" t="str">
        <f>"9781442640931"</f>
        <v>9781442640931</v>
      </c>
      <c r="D8328" t="str">
        <f>"9781442686328"</f>
        <v>9781442686328</v>
      </c>
      <c r="E8328" t="s">
        <v>31435</v>
      </c>
      <c r="F8328" t="s">
        <v>31435</v>
      </c>
      <c r="G8328" s="1">
        <v>41773</v>
      </c>
      <c r="J8328" t="s">
        <v>36894</v>
      </c>
      <c r="K8328" t="s">
        <v>1464</v>
      </c>
      <c r="L8328" t="s">
        <v>40426</v>
      </c>
      <c r="M8328">
        <v>801.92</v>
      </c>
      <c r="O8328" t="s">
        <v>26</v>
      </c>
      <c r="Q8328">
        <v>101.25</v>
      </c>
      <c r="R8328">
        <v>81</v>
      </c>
      <c r="S8328">
        <v>121.5</v>
      </c>
      <c r="T8328" t="s">
        <v>40427</v>
      </c>
    </row>
    <row r="8329" spans="1:20">
      <c r="A8329">
        <v>4672460</v>
      </c>
      <c r="B8329" t="s">
        <v>40428</v>
      </c>
      <c r="C8329" t="str">
        <f>"9781442610347"</f>
        <v>9781442610347</v>
      </c>
      <c r="D8329" t="str">
        <f>"9781442686335"</f>
        <v>9781442686335</v>
      </c>
      <c r="E8329" t="s">
        <v>31435</v>
      </c>
      <c r="F8329" t="s">
        <v>31435</v>
      </c>
      <c r="G8329" s="1">
        <v>40306</v>
      </c>
      <c r="I8329" t="s">
        <v>40429</v>
      </c>
      <c r="J8329" t="s">
        <v>40430</v>
      </c>
      <c r="K8329" t="s">
        <v>525</v>
      </c>
      <c r="L8329" t="s">
        <v>40431</v>
      </c>
      <c r="M8329" t="s">
        <v>40432</v>
      </c>
      <c r="N8329" t="s">
        <v>40433</v>
      </c>
      <c r="O8329" t="s">
        <v>26</v>
      </c>
      <c r="Q8329">
        <v>111.25</v>
      </c>
      <c r="R8329">
        <v>89</v>
      </c>
      <c r="S8329">
        <v>133.5</v>
      </c>
      <c r="T8329" t="s">
        <v>40434</v>
      </c>
    </row>
    <row r="8330" spans="1:20">
      <c r="A8330">
        <v>4672466</v>
      </c>
      <c r="B8330" t="s">
        <v>40435</v>
      </c>
      <c r="C8330" t="str">
        <f>"9781442641006"</f>
        <v>9781442641006</v>
      </c>
      <c r="D8330" t="str">
        <f>"9781442686397"</f>
        <v>9781442686397</v>
      </c>
      <c r="E8330" t="s">
        <v>31435</v>
      </c>
      <c r="F8330" t="s">
        <v>31435</v>
      </c>
      <c r="G8330" s="1">
        <v>40264</v>
      </c>
      <c r="J8330" t="s">
        <v>40436</v>
      </c>
      <c r="K8330" t="s">
        <v>1464</v>
      </c>
      <c r="L8330" t="s">
        <v>40437</v>
      </c>
      <c r="M8330" t="s">
        <v>40438</v>
      </c>
      <c r="N8330" t="s">
        <v>40439</v>
      </c>
      <c r="O8330" t="s">
        <v>26</v>
      </c>
      <c r="Q8330">
        <v>103.75</v>
      </c>
      <c r="R8330">
        <v>83</v>
      </c>
      <c r="S8330">
        <v>124.5</v>
      </c>
      <c r="T8330" t="s">
        <v>40440</v>
      </c>
    </row>
    <row r="8331" spans="1:20">
      <c r="A8331">
        <v>4672467</v>
      </c>
      <c r="B8331" t="s">
        <v>40441</v>
      </c>
      <c r="C8331" t="str">
        <f>"9781442640023"</f>
        <v>9781442640023</v>
      </c>
      <c r="D8331" t="str">
        <f>"9781442686427"</f>
        <v>9781442686427</v>
      </c>
      <c r="E8331" t="s">
        <v>31435</v>
      </c>
      <c r="F8331" t="s">
        <v>31435</v>
      </c>
      <c r="G8331" s="1">
        <v>40257</v>
      </c>
      <c r="H8331">
        <v>2</v>
      </c>
      <c r="J8331" t="s">
        <v>40442</v>
      </c>
      <c r="K8331" t="s">
        <v>291</v>
      </c>
      <c r="L8331" t="s">
        <v>40443</v>
      </c>
      <c r="M8331" t="s">
        <v>40444</v>
      </c>
      <c r="N8331" t="s">
        <v>40445</v>
      </c>
      <c r="O8331" t="s">
        <v>26</v>
      </c>
      <c r="Q8331">
        <v>76.25</v>
      </c>
      <c r="R8331">
        <v>61</v>
      </c>
      <c r="S8331">
        <v>91.5</v>
      </c>
      <c r="T8331" t="s">
        <v>40446</v>
      </c>
    </row>
    <row r="8332" spans="1:20">
      <c r="A8332">
        <v>4672468</v>
      </c>
      <c r="B8332" t="s">
        <v>40447</v>
      </c>
      <c r="C8332" t="str">
        <f>"9780802095763"</f>
        <v>9780802095763</v>
      </c>
      <c r="D8332" t="str">
        <f>"9781442686434"</f>
        <v>9781442686434</v>
      </c>
      <c r="E8332" t="s">
        <v>31435</v>
      </c>
      <c r="F8332" t="s">
        <v>31435</v>
      </c>
      <c r="G8332" s="1">
        <v>41773</v>
      </c>
      <c r="J8332" t="s">
        <v>40448</v>
      </c>
      <c r="K8332" t="s">
        <v>263</v>
      </c>
      <c r="M8332">
        <v>302.2</v>
      </c>
      <c r="O8332" t="s">
        <v>26</v>
      </c>
      <c r="Q8332">
        <v>136.25</v>
      </c>
      <c r="R8332">
        <v>109</v>
      </c>
      <c r="S8332">
        <v>163.5</v>
      </c>
      <c r="T8332" t="s">
        <v>40449</v>
      </c>
    </row>
    <row r="8333" spans="1:20">
      <c r="A8333">
        <v>4672469</v>
      </c>
      <c r="B8333" t="s">
        <v>40450</v>
      </c>
      <c r="C8333" t="str">
        <f>"9781442641020"</f>
        <v>9781442641020</v>
      </c>
      <c r="D8333" t="str">
        <f>"9781442686441"</f>
        <v>9781442686441</v>
      </c>
      <c r="E8333" t="s">
        <v>31435</v>
      </c>
      <c r="F8333" t="s">
        <v>31435</v>
      </c>
      <c r="G8333" s="1">
        <v>40642</v>
      </c>
      <c r="I8333" t="s">
        <v>35264</v>
      </c>
      <c r="J8333" t="s">
        <v>40451</v>
      </c>
      <c r="K8333" t="s">
        <v>7075</v>
      </c>
      <c r="L8333" t="s">
        <v>40452</v>
      </c>
      <c r="M8333" t="s">
        <v>40453</v>
      </c>
      <c r="O8333" t="s">
        <v>26</v>
      </c>
      <c r="Q8333">
        <v>96.25</v>
      </c>
      <c r="R8333">
        <v>77</v>
      </c>
      <c r="S8333">
        <v>115.5</v>
      </c>
      <c r="T8333" t="s">
        <v>40454</v>
      </c>
    </row>
    <row r="8334" spans="1:20">
      <c r="A8334">
        <v>4672474</v>
      </c>
      <c r="B8334" t="s">
        <v>40455</v>
      </c>
      <c r="C8334" t="str">
        <f>"9781442641075"</f>
        <v>9781442641075</v>
      </c>
      <c r="D8334" t="str">
        <f>"9781442686502"</f>
        <v>9781442686502</v>
      </c>
      <c r="E8334" t="s">
        <v>31435</v>
      </c>
      <c r="F8334" t="s">
        <v>31435</v>
      </c>
      <c r="G8334" s="1">
        <v>40887</v>
      </c>
      <c r="J8334" t="s">
        <v>40456</v>
      </c>
      <c r="K8334" t="s">
        <v>1464</v>
      </c>
      <c r="L8334" t="s">
        <v>40457</v>
      </c>
      <c r="M8334" t="s">
        <v>40458</v>
      </c>
      <c r="O8334" t="s">
        <v>26</v>
      </c>
      <c r="Q8334">
        <v>136.25</v>
      </c>
      <c r="R8334">
        <v>109</v>
      </c>
      <c r="S8334">
        <v>163.5</v>
      </c>
      <c r="T8334" t="s">
        <v>40459</v>
      </c>
    </row>
    <row r="8335" spans="1:20">
      <c r="A8335">
        <v>4672480</v>
      </c>
      <c r="B8335" t="s">
        <v>40460</v>
      </c>
      <c r="C8335" t="str">
        <f>"9781442641136"</f>
        <v>9781442641136</v>
      </c>
      <c r="D8335" t="str">
        <f>"9781442686649"</f>
        <v>9781442686649</v>
      </c>
      <c r="E8335" t="s">
        <v>31435</v>
      </c>
      <c r="F8335" t="s">
        <v>31435</v>
      </c>
      <c r="G8335" s="1">
        <v>40385</v>
      </c>
      <c r="J8335" t="s">
        <v>40461</v>
      </c>
      <c r="K8335" t="s">
        <v>7838</v>
      </c>
      <c r="L8335" t="s">
        <v>40462</v>
      </c>
      <c r="M8335">
        <v>728.09420903399905</v>
      </c>
      <c r="O8335" t="s">
        <v>26</v>
      </c>
      <c r="Q8335">
        <v>111.25</v>
      </c>
      <c r="R8335">
        <v>89</v>
      </c>
      <c r="S8335">
        <v>133.5</v>
      </c>
      <c r="T8335" t="s">
        <v>40463</v>
      </c>
    </row>
    <row r="8336" spans="1:20">
      <c r="A8336">
        <v>4672482</v>
      </c>
      <c r="B8336" t="s">
        <v>40464</v>
      </c>
      <c r="C8336" t="str">
        <f>"9781442610484"</f>
        <v>9781442610484</v>
      </c>
      <c r="D8336" t="str">
        <f>"9781442686663"</f>
        <v>9781442686663</v>
      </c>
      <c r="E8336" t="s">
        <v>31435</v>
      </c>
      <c r="F8336" t="s">
        <v>31435</v>
      </c>
      <c r="G8336" s="1">
        <v>39942</v>
      </c>
      <c r="I8336" t="s">
        <v>40465</v>
      </c>
      <c r="J8336" t="s">
        <v>40466</v>
      </c>
      <c r="K8336" t="s">
        <v>1471</v>
      </c>
      <c r="L8336" t="s">
        <v>40467</v>
      </c>
      <c r="M8336" t="s">
        <v>7517</v>
      </c>
      <c r="N8336" t="s">
        <v>40468</v>
      </c>
      <c r="O8336" t="s">
        <v>26</v>
      </c>
      <c r="Q8336">
        <v>72.5</v>
      </c>
      <c r="R8336">
        <v>58</v>
      </c>
      <c r="S8336">
        <v>87</v>
      </c>
      <c r="T8336" t="s">
        <v>40469</v>
      </c>
    </row>
    <row r="8337" spans="1:20">
      <c r="A8337">
        <v>4672487</v>
      </c>
      <c r="B8337" t="s">
        <v>40470</v>
      </c>
      <c r="C8337" t="str">
        <f>"9781442641242"</f>
        <v>9781442641242</v>
      </c>
      <c r="D8337" t="str">
        <f>"9781442686748"</f>
        <v>9781442686748</v>
      </c>
      <c r="E8337" t="s">
        <v>31435</v>
      </c>
      <c r="F8337" t="s">
        <v>31435</v>
      </c>
      <c r="G8337" s="1">
        <v>40257</v>
      </c>
      <c r="J8337" t="s">
        <v>37865</v>
      </c>
      <c r="K8337" t="s">
        <v>1464</v>
      </c>
      <c r="L8337" t="s">
        <v>40471</v>
      </c>
      <c r="M8337" t="s">
        <v>26510</v>
      </c>
      <c r="O8337" t="s">
        <v>26</v>
      </c>
      <c r="Q8337">
        <v>103.75</v>
      </c>
      <c r="R8337">
        <v>83</v>
      </c>
      <c r="S8337">
        <v>124.5</v>
      </c>
      <c r="T8337" t="s">
        <v>40472</v>
      </c>
    </row>
    <row r="8338" spans="1:20">
      <c r="A8338">
        <v>4672488</v>
      </c>
      <c r="B8338" t="s">
        <v>40473</v>
      </c>
      <c r="C8338" t="str">
        <f>"9781442641259"</f>
        <v>9781442641259</v>
      </c>
      <c r="D8338" t="str">
        <f>"9781442686755"</f>
        <v>9781442686755</v>
      </c>
      <c r="E8338" t="s">
        <v>31435</v>
      </c>
      <c r="F8338" t="s">
        <v>31435</v>
      </c>
      <c r="G8338" s="1">
        <v>40607</v>
      </c>
      <c r="I8338" t="s">
        <v>35056</v>
      </c>
      <c r="J8338" t="s">
        <v>36537</v>
      </c>
      <c r="K8338" t="s">
        <v>263</v>
      </c>
      <c r="L8338" t="s">
        <v>40474</v>
      </c>
      <c r="M8338" t="s">
        <v>40475</v>
      </c>
      <c r="O8338" t="s">
        <v>26</v>
      </c>
      <c r="Q8338">
        <v>118.75</v>
      </c>
      <c r="R8338">
        <v>95</v>
      </c>
      <c r="S8338">
        <v>142.5</v>
      </c>
      <c r="T8338" t="s">
        <v>40476</v>
      </c>
    </row>
    <row r="8339" spans="1:20">
      <c r="A8339">
        <v>4672489</v>
      </c>
      <c r="B8339" t="s">
        <v>40477</v>
      </c>
      <c r="C8339" t="str">
        <f>"9781442610521"</f>
        <v>9781442610521</v>
      </c>
      <c r="D8339" t="str">
        <f>"9781442686762"</f>
        <v>9781442686762</v>
      </c>
      <c r="E8339" t="s">
        <v>31435</v>
      </c>
      <c r="F8339" t="s">
        <v>31435</v>
      </c>
      <c r="G8339" s="1">
        <v>40179</v>
      </c>
      <c r="I8339" t="s">
        <v>35251</v>
      </c>
      <c r="J8339" t="s">
        <v>37782</v>
      </c>
      <c r="K8339" t="s">
        <v>291</v>
      </c>
      <c r="L8339" t="s">
        <v>40478</v>
      </c>
      <c r="M8339">
        <v>971.06309199999896</v>
      </c>
      <c r="O8339" t="s">
        <v>26</v>
      </c>
      <c r="Q8339">
        <v>126.25</v>
      </c>
      <c r="R8339">
        <v>101</v>
      </c>
      <c r="S8339">
        <v>151.5</v>
      </c>
      <c r="T8339" t="s">
        <v>40479</v>
      </c>
    </row>
    <row r="8340" spans="1:20">
      <c r="A8340">
        <v>4672490</v>
      </c>
      <c r="B8340" t="s">
        <v>40480</v>
      </c>
      <c r="C8340" t="str">
        <f>"9781442610606"</f>
        <v>9781442610606</v>
      </c>
      <c r="D8340" t="str">
        <f>"9781442686786"</f>
        <v>9781442686786</v>
      </c>
      <c r="E8340" t="s">
        <v>31435</v>
      </c>
      <c r="F8340" t="s">
        <v>31435</v>
      </c>
      <c r="G8340" s="1">
        <v>40327</v>
      </c>
      <c r="I8340" t="s">
        <v>40465</v>
      </c>
      <c r="J8340" t="s">
        <v>20360</v>
      </c>
      <c r="K8340" t="s">
        <v>1471</v>
      </c>
      <c r="L8340" t="s">
        <v>40481</v>
      </c>
      <c r="M8340">
        <v>791.43023309199896</v>
      </c>
      <c r="N8340" t="s">
        <v>40482</v>
      </c>
      <c r="O8340" t="s">
        <v>26</v>
      </c>
      <c r="Q8340">
        <v>72.5</v>
      </c>
      <c r="R8340">
        <v>58</v>
      </c>
      <c r="S8340">
        <v>87</v>
      </c>
      <c r="T8340" t="s">
        <v>40483</v>
      </c>
    </row>
    <row r="8341" spans="1:20">
      <c r="A8341">
        <v>4672493</v>
      </c>
      <c r="B8341" t="s">
        <v>40484</v>
      </c>
      <c r="C8341" t="str">
        <f>"9781442641327"</f>
        <v>9781442641327</v>
      </c>
      <c r="D8341" t="str">
        <f>"9781442686847"</f>
        <v>9781442686847</v>
      </c>
      <c r="E8341" t="s">
        <v>31435</v>
      </c>
      <c r="F8341" t="s">
        <v>31435</v>
      </c>
      <c r="G8341" s="1">
        <v>41773</v>
      </c>
      <c r="J8341" t="s">
        <v>40485</v>
      </c>
      <c r="K8341" t="s">
        <v>467</v>
      </c>
      <c r="M8341">
        <v>320.94770904000001</v>
      </c>
      <c r="O8341" t="s">
        <v>26</v>
      </c>
      <c r="Q8341">
        <v>116.25</v>
      </c>
      <c r="R8341">
        <v>93</v>
      </c>
      <c r="S8341">
        <v>139.5</v>
      </c>
      <c r="T8341" t="s">
        <v>40486</v>
      </c>
    </row>
    <row r="8342" spans="1:20">
      <c r="A8342">
        <v>4672495</v>
      </c>
      <c r="B8342" t="s">
        <v>40487</v>
      </c>
      <c r="C8342" t="str">
        <f>"9781442610620"</f>
        <v>9781442610620</v>
      </c>
      <c r="D8342" t="str">
        <f>"9781442686861"</f>
        <v>9781442686861</v>
      </c>
      <c r="E8342" t="s">
        <v>31435</v>
      </c>
      <c r="F8342" t="s">
        <v>31435</v>
      </c>
      <c r="G8342" s="1">
        <v>41773</v>
      </c>
      <c r="I8342" t="s">
        <v>34935</v>
      </c>
      <c r="J8342" t="s">
        <v>40488</v>
      </c>
      <c r="K8342" t="s">
        <v>291</v>
      </c>
      <c r="M8342">
        <v>971.00491791000002</v>
      </c>
      <c r="O8342" t="s">
        <v>26</v>
      </c>
      <c r="Q8342">
        <v>126.25</v>
      </c>
      <c r="R8342">
        <v>101</v>
      </c>
      <c r="S8342">
        <v>151.5</v>
      </c>
      <c r="T8342" t="s">
        <v>40489</v>
      </c>
    </row>
    <row r="8343" spans="1:20">
      <c r="A8343">
        <v>4672497</v>
      </c>
      <c r="B8343" t="s">
        <v>40490</v>
      </c>
      <c r="C8343" t="str">
        <f>"9781442610644"</f>
        <v>9781442610644</v>
      </c>
      <c r="D8343" t="str">
        <f>"9781442686885"</f>
        <v>9781442686885</v>
      </c>
      <c r="E8343" t="s">
        <v>31435</v>
      </c>
      <c r="F8343" t="s">
        <v>31435</v>
      </c>
      <c r="G8343" s="1">
        <v>40270</v>
      </c>
      <c r="J8343" t="s">
        <v>40491</v>
      </c>
      <c r="K8343" t="s">
        <v>263</v>
      </c>
      <c r="L8343" t="s">
        <v>40492</v>
      </c>
      <c r="M8343">
        <v>306.01</v>
      </c>
      <c r="N8343" t="s">
        <v>40493</v>
      </c>
      <c r="O8343" t="s">
        <v>26</v>
      </c>
      <c r="Q8343">
        <v>103.75</v>
      </c>
      <c r="R8343">
        <v>83</v>
      </c>
      <c r="S8343">
        <v>124.5</v>
      </c>
      <c r="T8343" t="s">
        <v>40494</v>
      </c>
    </row>
    <row r="8344" spans="1:20">
      <c r="A8344">
        <v>4672498</v>
      </c>
      <c r="B8344" t="s">
        <v>40495</v>
      </c>
      <c r="C8344" t="str">
        <f>"9781442641372"</f>
        <v>9781442641372</v>
      </c>
      <c r="D8344" t="str">
        <f>"9781442686915"</f>
        <v>9781442686915</v>
      </c>
      <c r="E8344" t="s">
        <v>31435</v>
      </c>
      <c r="F8344" t="s">
        <v>31435</v>
      </c>
      <c r="G8344" s="1">
        <v>40257</v>
      </c>
      <c r="J8344" t="s">
        <v>40496</v>
      </c>
      <c r="K8344" t="s">
        <v>1464</v>
      </c>
      <c r="L8344" t="s">
        <v>40497</v>
      </c>
      <c r="M8344" t="s">
        <v>40498</v>
      </c>
      <c r="O8344" t="s">
        <v>26</v>
      </c>
      <c r="Q8344">
        <v>103.75</v>
      </c>
      <c r="R8344">
        <v>83</v>
      </c>
      <c r="S8344">
        <v>124.5</v>
      </c>
      <c r="T8344" t="s">
        <v>40499</v>
      </c>
    </row>
    <row r="8345" spans="1:20">
      <c r="A8345">
        <v>4672500</v>
      </c>
      <c r="B8345" t="s">
        <v>40500</v>
      </c>
      <c r="C8345" t="str">
        <f>"9781442610668"</f>
        <v>9781442610668</v>
      </c>
      <c r="D8345" t="str">
        <f>"9781442686939"</f>
        <v>9781442686939</v>
      </c>
      <c r="E8345" t="s">
        <v>31435</v>
      </c>
      <c r="F8345" t="s">
        <v>31435</v>
      </c>
      <c r="G8345" s="1">
        <v>40327</v>
      </c>
      <c r="J8345" t="s">
        <v>40501</v>
      </c>
      <c r="K8345" t="s">
        <v>1471</v>
      </c>
      <c r="L8345" t="s">
        <v>40502</v>
      </c>
      <c r="M8345" t="s">
        <v>7517</v>
      </c>
      <c r="N8345" t="s">
        <v>40503</v>
      </c>
      <c r="O8345" t="s">
        <v>26</v>
      </c>
      <c r="Q8345">
        <v>136.25</v>
      </c>
      <c r="R8345">
        <v>109</v>
      </c>
      <c r="S8345">
        <v>163.5</v>
      </c>
      <c r="T8345" t="s">
        <v>40504</v>
      </c>
    </row>
    <row r="8346" spans="1:20">
      <c r="A8346">
        <v>4672501</v>
      </c>
      <c r="B8346" t="s">
        <v>40505</v>
      </c>
      <c r="C8346" t="str">
        <f>"9781442641402"</f>
        <v>9781442641402</v>
      </c>
      <c r="D8346" t="str">
        <f>"9781442686946"</f>
        <v>9781442686946</v>
      </c>
      <c r="E8346" t="s">
        <v>31435</v>
      </c>
      <c r="F8346" t="s">
        <v>31435</v>
      </c>
      <c r="G8346" s="1">
        <v>40453</v>
      </c>
      <c r="J8346" t="s">
        <v>40506</v>
      </c>
      <c r="K8346" t="s">
        <v>1464</v>
      </c>
      <c r="L8346" t="s">
        <v>40507</v>
      </c>
      <c r="M8346" t="s">
        <v>31324</v>
      </c>
      <c r="O8346" t="s">
        <v>26</v>
      </c>
      <c r="Q8346">
        <v>96.25</v>
      </c>
      <c r="R8346">
        <v>77</v>
      </c>
      <c r="S8346">
        <v>115.5</v>
      </c>
      <c r="T8346" t="s">
        <v>40508</v>
      </c>
    </row>
    <row r="8347" spans="1:20">
      <c r="A8347">
        <v>4672509</v>
      </c>
      <c r="B8347" t="s">
        <v>40509</v>
      </c>
      <c r="C8347" t="str">
        <f>"9781442641501"</f>
        <v>9781442641501</v>
      </c>
      <c r="D8347" t="str">
        <f>"9781442687073"</f>
        <v>9781442687073</v>
      </c>
      <c r="E8347" t="s">
        <v>31435</v>
      </c>
      <c r="F8347" t="s">
        <v>31435</v>
      </c>
      <c r="G8347" s="1">
        <v>41773</v>
      </c>
      <c r="H8347">
        <v>3</v>
      </c>
      <c r="I8347" t="s">
        <v>33775</v>
      </c>
      <c r="J8347" t="s">
        <v>40510</v>
      </c>
      <c r="K8347" t="s">
        <v>291</v>
      </c>
      <c r="L8347" t="s">
        <v>40511</v>
      </c>
      <c r="M8347">
        <v>945</v>
      </c>
      <c r="O8347" t="s">
        <v>26</v>
      </c>
      <c r="Q8347">
        <v>193.75</v>
      </c>
      <c r="R8347">
        <v>155</v>
      </c>
      <c r="S8347">
        <v>232.5</v>
      </c>
      <c r="T8347" t="s">
        <v>40512</v>
      </c>
    </row>
    <row r="8348" spans="1:20">
      <c r="A8348">
        <v>4672510</v>
      </c>
      <c r="B8348" t="s">
        <v>40513</v>
      </c>
      <c r="C8348" t="str">
        <f>"9781442641495"</f>
        <v>9781442641495</v>
      </c>
      <c r="D8348" t="str">
        <f>"9781442687080"</f>
        <v>9781442687080</v>
      </c>
      <c r="E8348" t="s">
        <v>31435</v>
      </c>
      <c r="F8348" t="s">
        <v>31435</v>
      </c>
      <c r="G8348" s="1">
        <v>40292</v>
      </c>
      <c r="I8348" t="s">
        <v>33775</v>
      </c>
      <c r="J8348" t="s">
        <v>40514</v>
      </c>
      <c r="K8348" t="s">
        <v>291</v>
      </c>
      <c r="L8348" t="s">
        <v>40515</v>
      </c>
      <c r="M8348">
        <v>945.091092</v>
      </c>
      <c r="O8348" t="s">
        <v>26</v>
      </c>
      <c r="Q8348">
        <v>87.5</v>
      </c>
      <c r="R8348">
        <v>70</v>
      </c>
      <c r="S8348">
        <v>105</v>
      </c>
      <c r="T8348" t="s">
        <v>40516</v>
      </c>
    </row>
    <row r="8349" spans="1:20">
      <c r="A8349">
        <v>4672513</v>
      </c>
      <c r="B8349" t="s">
        <v>40517</v>
      </c>
      <c r="C8349" t="str">
        <f>"9781442641518"</f>
        <v>9781442641518</v>
      </c>
      <c r="D8349" t="str">
        <f>"9781442687110"</f>
        <v>9781442687110</v>
      </c>
      <c r="E8349" t="s">
        <v>31435</v>
      </c>
      <c r="F8349" t="s">
        <v>31435</v>
      </c>
      <c r="G8349" s="1">
        <v>40359</v>
      </c>
      <c r="H8349">
        <v>3</v>
      </c>
      <c r="J8349" t="s">
        <v>40518</v>
      </c>
      <c r="K8349" t="s">
        <v>1471</v>
      </c>
      <c r="L8349" t="s">
        <v>40519</v>
      </c>
      <c r="M8349">
        <v>769.92</v>
      </c>
      <c r="N8349" t="s">
        <v>40520</v>
      </c>
      <c r="O8349" t="s">
        <v>26</v>
      </c>
      <c r="Q8349">
        <v>103.75</v>
      </c>
      <c r="R8349">
        <v>83</v>
      </c>
      <c r="S8349">
        <v>124.5</v>
      </c>
      <c r="T8349" t="s">
        <v>40521</v>
      </c>
    </row>
    <row r="8350" spans="1:20">
      <c r="A8350">
        <v>4672517</v>
      </c>
      <c r="B8350" t="s">
        <v>40522</v>
      </c>
      <c r="C8350" t="str">
        <f>"9781442641563"</f>
        <v>9781442641563</v>
      </c>
      <c r="D8350" t="str">
        <f>"9781442687141"</f>
        <v>9781442687141</v>
      </c>
      <c r="E8350" t="s">
        <v>31435</v>
      </c>
      <c r="F8350" t="s">
        <v>31435</v>
      </c>
      <c r="G8350" s="1">
        <v>40360</v>
      </c>
      <c r="J8350" t="s">
        <v>40523</v>
      </c>
      <c r="K8350" t="s">
        <v>1464</v>
      </c>
      <c r="L8350" t="s">
        <v>40524</v>
      </c>
      <c r="M8350" t="s">
        <v>40525</v>
      </c>
      <c r="N8350" t="s">
        <v>40526</v>
      </c>
      <c r="O8350" t="s">
        <v>26</v>
      </c>
      <c r="Q8350">
        <v>72.5</v>
      </c>
      <c r="R8350">
        <v>58</v>
      </c>
      <c r="S8350">
        <v>87</v>
      </c>
      <c r="T8350" t="s">
        <v>40527</v>
      </c>
    </row>
    <row r="8351" spans="1:20">
      <c r="A8351">
        <v>4672518</v>
      </c>
      <c r="B8351" t="s">
        <v>40528</v>
      </c>
      <c r="C8351" t="str">
        <f>"9781442641570"</f>
        <v>9781442641570</v>
      </c>
      <c r="D8351" t="str">
        <f>"9781442687158"</f>
        <v>9781442687158</v>
      </c>
      <c r="E8351" t="s">
        <v>31435</v>
      </c>
      <c r="F8351" t="s">
        <v>31435</v>
      </c>
      <c r="G8351" s="1">
        <v>40390</v>
      </c>
      <c r="J8351" t="s">
        <v>40529</v>
      </c>
      <c r="K8351" t="s">
        <v>1464</v>
      </c>
      <c r="L8351" t="s">
        <v>40530</v>
      </c>
      <c r="M8351" t="s">
        <v>40531</v>
      </c>
      <c r="N8351" t="s">
        <v>40532</v>
      </c>
      <c r="O8351" t="s">
        <v>26</v>
      </c>
      <c r="Q8351">
        <v>72.5</v>
      </c>
      <c r="R8351">
        <v>58</v>
      </c>
      <c r="S8351">
        <v>87</v>
      </c>
      <c r="T8351" t="s">
        <v>40533</v>
      </c>
    </row>
    <row r="8352" spans="1:20">
      <c r="A8352">
        <v>4672520</v>
      </c>
      <c r="B8352" t="s">
        <v>40534</v>
      </c>
      <c r="C8352" t="str">
        <f>"9781442641600"</f>
        <v>9781442641600</v>
      </c>
      <c r="D8352" t="str">
        <f>"9781442687189"</f>
        <v>9781442687189</v>
      </c>
      <c r="E8352" t="s">
        <v>31435</v>
      </c>
      <c r="F8352" t="s">
        <v>31435</v>
      </c>
      <c r="G8352" s="1">
        <v>40179</v>
      </c>
      <c r="J8352" t="s">
        <v>40535</v>
      </c>
      <c r="K8352" t="s">
        <v>1464</v>
      </c>
      <c r="L8352" t="s">
        <v>40536</v>
      </c>
      <c r="M8352" t="s">
        <v>39115</v>
      </c>
      <c r="O8352" t="s">
        <v>26</v>
      </c>
      <c r="Q8352">
        <v>72.5</v>
      </c>
      <c r="R8352">
        <v>58</v>
      </c>
      <c r="S8352">
        <v>87</v>
      </c>
      <c r="T8352" t="s">
        <v>40537</v>
      </c>
    </row>
    <row r="8353" spans="1:20">
      <c r="A8353">
        <v>4672521</v>
      </c>
      <c r="B8353" t="s">
        <v>40538</v>
      </c>
      <c r="C8353" t="str">
        <f>"9781442610767"</f>
        <v>9781442610767</v>
      </c>
      <c r="D8353" t="str">
        <f>"9781442687196"</f>
        <v>9781442687196</v>
      </c>
      <c r="E8353" t="s">
        <v>31435</v>
      </c>
      <c r="F8353" t="s">
        <v>31435</v>
      </c>
      <c r="G8353" s="1">
        <v>41773</v>
      </c>
      <c r="J8353" t="s">
        <v>40539</v>
      </c>
      <c r="K8353" t="s">
        <v>467</v>
      </c>
      <c r="M8353">
        <v>325.43</v>
      </c>
      <c r="O8353" t="s">
        <v>26</v>
      </c>
      <c r="Q8353">
        <v>116.25</v>
      </c>
      <c r="R8353">
        <v>93</v>
      </c>
      <c r="S8353">
        <v>139.5</v>
      </c>
      <c r="T8353" t="s">
        <v>40540</v>
      </c>
    </row>
    <row r="8354" spans="1:20">
      <c r="A8354">
        <v>4672522</v>
      </c>
      <c r="B8354" t="s">
        <v>40541</v>
      </c>
      <c r="C8354" t="str">
        <f>"9781442610774"</f>
        <v>9781442610774</v>
      </c>
      <c r="D8354" t="str">
        <f>"9781442687202"</f>
        <v>9781442687202</v>
      </c>
      <c r="E8354" t="s">
        <v>31435</v>
      </c>
      <c r="F8354" t="s">
        <v>31435</v>
      </c>
      <c r="G8354" s="1">
        <v>40283</v>
      </c>
      <c r="J8354" t="s">
        <v>40542</v>
      </c>
      <c r="K8354" t="s">
        <v>1464</v>
      </c>
      <c r="L8354" t="s">
        <v>40543</v>
      </c>
      <c r="M8354" t="s">
        <v>1567</v>
      </c>
      <c r="N8354" t="s">
        <v>40544</v>
      </c>
      <c r="O8354" t="s">
        <v>26</v>
      </c>
      <c r="Q8354">
        <v>111.25</v>
      </c>
      <c r="R8354">
        <v>89</v>
      </c>
      <c r="S8354">
        <v>133.5</v>
      </c>
      <c r="T8354" t="s">
        <v>40545</v>
      </c>
    </row>
    <row r="8355" spans="1:20">
      <c r="A8355">
        <v>4672523</v>
      </c>
      <c r="B8355" t="s">
        <v>40546</v>
      </c>
      <c r="C8355" t="str">
        <f>"9781442641631"</f>
        <v>9781442641631</v>
      </c>
      <c r="D8355" t="str">
        <f>"9781442687219"</f>
        <v>9781442687219</v>
      </c>
      <c r="E8355" t="s">
        <v>31435</v>
      </c>
      <c r="F8355" t="s">
        <v>31435</v>
      </c>
      <c r="G8355" s="1">
        <v>41773</v>
      </c>
      <c r="I8355" t="s">
        <v>33775</v>
      </c>
      <c r="J8355" t="s">
        <v>40547</v>
      </c>
      <c r="K8355" t="s">
        <v>7075</v>
      </c>
      <c r="M8355">
        <v>16.782102680000001</v>
      </c>
      <c r="O8355" t="s">
        <v>26</v>
      </c>
      <c r="Q8355">
        <v>93.75</v>
      </c>
      <c r="R8355">
        <v>75</v>
      </c>
      <c r="S8355">
        <v>112.5</v>
      </c>
      <c r="T8355" t="s">
        <v>40548</v>
      </c>
    </row>
    <row r="8356" spans="1:20">
      <c r="A8356">
        <v>4672524</v>
      </c>
      <c r="B8356" t="s">
        <v>40549</v>
      </c>
      <c r="C8356" t="str">
        <f>"9780802092960"</f>
        <v>9780802092960</v>
      </c>
      <c r="D8356" t="str">
        <f>"9781442687226"</f>
        <v>9781442687226</v>
      </c>
      <c r="E8356" t="s">
        <v>31435</v>
      </c>
      <c r="F8356" t="s">
        <v>31435</v>
      </c>
      <c r="G8356" s="1">
        <v>39904</v>
      </c>
      <c r="I8356" t="s">
        <v>34561</v>
      </c>
      <c r="J8356" t="s">
        <v>40550</v>
      </c>
      <c r="K8356" t="s">
        <v>1942</v>
      </c>
      <c r="L8356" t="s">
        <v>40551</v>
      </c>
      <c r="M8356">
        <v>199.491999999999</v>
      </c>
      <c r="O8356" t="s">
        <v>26</v>
      </c>
      <c r="Q8356">
        <v>277.5</v>
      </c>
      <c r="R8356">
        <v>222</v>
      </c>
      <c r="S8356">
        <v>333</v>
      </c>
      <c r="T8356" t="s">
        <v>40552</v>
      </c>
    </row>
    <row r="8357" spans="1:20">
      <c r="A8357">
        <v>4672526</v>
      </c>
      <c r="B8357" t="s">
        <v>40553</v>
      </c>
      <c r="C8357" t="str">
        <f>"9780802092991"</f>
        <v>9780802092991</v>
      </c>
      <c r="D8357" t="str">
        <f>"9781442687240"</f>
        <v>9781442687240</v>
      </c>
      <c r="E8357" t="s">
        <v>31435</v>
      </c>
      <c r="F8357" t="s">
        <v>31435</v>
      </c>
      <c r="G8357" s="1">
        <v>39529</v>
      </c>
      <c r="I8357" t="s">
        <v>34561</v>
      </c>
      <c r="J8357" t="s">
        <v>40554</v>
      </c>
      <c r="K8357" t="s">
        <v>1892</v>
      </c>
      <c r="L8357" t="s">
        <v>40555</v>
      </c>
      <c r="M8357" t="s">
        <v>40556</v>
      </c>
      <c r="O8357" t="s">
        <v>26</v>
      </c>
      <c r="Q8357">
        <v>205</v>
      </c>
      <c r="R8357">
        <v>164</v>
      </c>
      <c r="S8357">
        <v>246</v>
      </c>
      <c r="T8357" t="s">
        <v>40557</v>
      </c>
    </row>
    <row r="8358" spans="1:20">
      <c r="A8358">
        <v>4672527</v>
      </c>
      <c r="B8358" t="s">
        <v>40558</v>
      </c>
      <c r="C8358" t="str">
        <f>"9781442627024"</f>
        <v>9781442627024</v>
      </c>
      <c r="D8358" t="str">
        <f>"9781442687257"</f>
        <v>9781442687257</v>
      </c>
      <c r="E8358" t="s">
        <v>31435</v>
      </c>
      <c r="F8358" t="s">
        <v>31435</v>
      </c>
      <c r="G8358" s="1">
        <v>39536</v>
      </c>
      <c r="J8358" t="s">
        <v>40559</v>
      </c>
      <c r="K8358" t="s">
        <v>24615</v>
      </c>
      <c r="L8358" t="s">
        <v>40560</v>
      </c>
      <c r="M8358">
        <v>69</v>
      </c>
      <c r="O8358" t="s">
        <v>26</v>
      </c>
      <c r="Q8358">
        <v>78.75</v>
      </c>
      <c r="R8358">
        <v>63</v>
      </c>
      <c r="S8358">
        <v>94.5</v>
      </c>
      <c r="T8358" t="s">
        <v>40561</v>
      </c>
    </row>
    <row r="8359" spans="1:20">
      <c r="A8359">
        <v>4672533</v>
      </c>
      <c r="B8359" t="s">
        <v>40562</v>
      </c>
      <c r="C8359" t="str">
        <f>"9780802098511"</f>
        <v>9780802098511</v>
      </c>
      <c r="D8359" t="str">
        <f>"9781442687318"</f>
        <v>9781442687318</v>
      </c>
      <c r="E8359" t="s">
        <v>31435</v>
      </c>
      <c r="F8359" t="s">
        <v>31435</v>
      </c>
      <c r="G8359" s="1">
        <v>39746</v>
      </c>
      <c r="H8359">
        <v>2</v>
      </c>
      <c r="I8359" t="s">
        <v>40563</v>
      </c>
      <c r="J8359" t="s">
        <v>40564</v>
      </c>
      <c r="K8359" t="s">
        <v>291</v>
      </c>
      <c r="L8359" t="s">
        <v>40565</v>
      </c>
      <c r="M8359" t="s">
        <v>40566</v>
      </c>
      <c r="O8359" t="s">
        <v>26</v>
      </c>
      <c r="Q8359">
        <v>107.5</v>
      </c>
      <c r="R8359">
        <v>86</v>
      </c>
      <c r="S8359">
        <v>129</v>
      </c>
      <c r="T8359" t="s">
        <v>40567</v>
      </c>
    </row>
    <row r="8360" spans="1:20">
      <c r="A8360">
        <v>4672534</v>
      </c>
      <c r="B8360" t="s">
        <v>40568</v>
      </c>
      <c r="C8360" t="str">
        <f>"9780802094056"</f>
        <v>9780802094056</v>
      </c>
      <c r="D8360" t="str">
        <f>"9781442687325"</f>
        <v>9781442687325</v>
      </c>
      <c r="E8360" t="s">
        <v>31435</v>
      </c>
      <c r="F8360" t="s">
        <v>31435</v>
      </c>
      <c r="G8360" s="1">
        <v>39871</v>
      </c>
      <c r="J8360" t="s">
        <v>40569</v>
      </c>
      <c r="K8360" t="s">
        <v>263</v>
      </c>
      <c r="L8360" t="s">
        <v>40570</v>
      </c>
      <c r="M8360">
        <v>301.09199999999902</v>
      </c>
      <c r="O8360" t="s">
        <v>26</v>
      </c>
      <c r="Q8360">
        <v>126.25</v>
      </c>
      <c r="R8360">
        <v>101</v>
      </c>
      <c r="S8360">
        <v>151.5</v>
      </c>
      <c r="T8360" t="s">
        <v>40571</v>
      </c>
    </row>
    <row r="8361" spans="1:20">
      <c r="A8361">
        <v>4672535</v>
      </c>
      <c r="B8361" t="s">
        <v>40572</v>
      </c>
      <c r="C8361" t="str">
        <f>"9780802094476"</f>
        <v>9780802094476</v>
      </c>
      <c r="D8361" t="str">
        <f>"9781442687332"</f>
        <v>9781442687332</v>
      </c>
      <c r="E8361" t="s">
        <v>31435</v>
      </c>
      <c r="F8361" t="s">
        <v>31435</v>
      </c>
      <c r="G8361" s="1">
        <v>39466</v>
      </c>
      <c r="J8361" t="s">
        <v>40573</v>
      </c>
      <c r="K8361" t="s">
        <v>467</v>
      </c>
      <c r="L8361" t="s">
        <v>40574</v>
      </c>
      <c r="M8361">
        <v>320.51</v>
      </c>
      <c r="O8361" t="s">
        <v>26</v>
      </c>
      <c r="Q8361">
        <v>115</v>
      </c>
      <c r="R8361">
        <v>92</v>
      </c>
      <c r="S8361">
        <v>138</v>
      </c>
      <c r="T8361" t="s">
        <v>40575</v>
      </c>
    </row>
    <row r="8362" spans="1:20">
      <c r="A8362">
        <v>4672536</v>
      </c>
      <c r="B8362" t="s">
        <v>40576</v>
      </c>
      <c r="C8362" t="str">
        <f>"9780802098733"</f>
        <v>9780802098733</v>
      </c>
      <c r="D8362" t="str">
        <f>"9781442687349"</f>
        <v>9781442687349</v>
      </c>
      <c r="E8362" t="s">
        <v>31435</v>
      </c>
      <c r="F8362" t="s">
        <v>31435</v>
      </c>
      <c r="G8362" s="1">
        <v>39683</v>
      </c>
      <c r="I8362" t="s">
        <v>40563</v>
      </c>
      <c r="J8362" t="s">
        <v>40577</v>
      </c>
      <c r="K8362" t="s">
        <v>7075</v>
      </c>
      <c r="L8362" t="s">
        <v>40578</v>
      </c>
      <c r="M8362" t="s">
        <v>40579</v>
      </c>
      <c r="O8362" t="s">
        <v>26</v>
      </c>
      <c r="Q8362">
        <v>141.25</v>
      </c>
      <c r="R8362">
        <v>113</v>
      </c>
      <c r="S8362">
        <v>169.5</v>
      </c>
      <c r="T8362" t="s">
        <v>40580</v>
      </c>
    </row>
    <row r="8363" spans="1:20">
      <c r="A8363">
        <v>4672537</v>
      </c>
      <c r="B8363" t="s">
        <v>40581</v>
      </c>
      <c r="C8363" t="str">
        <f>"9780802098634"</f>
        <v>9780802098634</v>
      </c>
      <c r="D8363" t="str">
        <f>"9781442687363"</f>
        <v>9781442687363</v>
      </c>
      <c r="E8363" t="s">
        <v>31435</v>
      </c>
      <c r="F8363" t="s">
        <v>31435</v>
      </c>
      <c r="G8363" s="1">
        <v>39955</v>
      </c>
      <c r="J8363" t="s">
        <v>40582</v>
      </c>
      <c r="K8363" t="s">
        <v>1464</v>
      </c>
      <c r="L8363" t="s">
        <v>40583</v>
      </c>
      <c r="M8363" t="s">
        <v>36950</v>
      </c>
      <c r="O8363" t="s">
        <v>26</v>
      </c>
      <c r="Q8363">
        <v>118.75</v>
      </c>
      <c r="R8363">
        <v>95</v>
      </c>
      <c r="S8363">
        <v>142.5</v>
      </c>
      <c r="T8363" t="s">
        <v>40584</v>
      </c>
    </row>
    <row r="8364" spans="1:20">
      <c r="A8364">
        <v>4672538</v>
      </c>
      <c r="B8364" t="s">
        <v>40585</v>
      </c>
      <c r="C8364" t="str">
        <f>"9780802093219"</f>
        <v>9780802093219</v>
      </c>
      <c r="D8364" t="str">
        <f>"9781442687370"</f>
        <v>9781442687370</v>
      </c>
      <c r="E8364" t="s">
        <v>31435</v>
      </c>
      <c r="F8364" t="s">
        <v>31435</v>
      </c>
      <c r="G8364" s="1">
        <v>39562</v>
      </c>
      <c r="J8364" t="s">
        <v>40586</v>
      </c>
      <c r="K8364" t="s">
        <v>4158</v>
      </c>
      <c r="L8364" t="s">
        <v>40587</v>
      </c>
      <c r="M8364" t="s">
        <v>40588</v>
      </c>
      <c r="N8364" t="s">
        <v>40589</v>
      </c>
      <c r="O8364" t="s">
        <v>26</v>
      </c>
      <c r="Q8364">
        <v>107.5</v>
      </c>
      <c r="R8364">
        <v>86</v>
      </c>
      <c r="S8364">
        <v>129</v>
      </c>
      <c r="T8364" t="s">
        <v>40590</v>
      </c>
    </row>
    <row r="8365" spans="1:20">
      <c r="A8365">
        <v>4672539</v>
      </c>
      <c r="B8365" t="s">
        <v>40591</v>
      </c>
      <c r="C8365" t="str">
        <f>"9780802038210"</f>
        <v>9780802038210</v>
      </c>
      <c r="D8365" t="str">
        <f>"9781442687387"</f>
        <v>9781442687387</v>
      </c>
      <c r="E8365" t="s">
        <v>31435</v>
      </c>
      <c r="F8365" t="s">
        <v>31435</v>
      </c>
      <c r="G8365" s="1">
        <v>38353</v>
      </c>
      <c r="H8365">
        <v>2</v>
      </c>
      <c r="J8365" t="s">
        <v>19910</v>
      </c>
      <c r="K8365" t="s">
        <v>278</v>
      </c>
      <c r="L8365" t="s">
        <v>40592</v>
      </c>
      <c r="M8365" t="s">
        <v>40593</v>
      </c>
      <c r="O8365" t="s">
        <v>26</v>
      </c>
      <c r="Q8365">
        <v>102.5</v>
      </c>
      <c r="R8365">
        <v>82</v>
      </c>
      <c r="S8365">
        <v>123</v>
      </c>
      <c r="T8365" t="s">
        <v>40594</v>
      </c>
    </row>
    <row r="8366" spans="1:20">
      <c r="A8366">
        <v>4672541</v>
      </c>
      <c r="B8366" t="s">
        <v>40595</v>
      </c>
      <c r="C8366" t="str">
        <f>"9780802097965"</f>
        <v>9780802097965</v>
      </c>
      <c r="D8366" t="str">
        <f>"9781442687400"</f>
        <v>9781442687400</v>
      </c>
      <c r="E8366" t="s">
        <v>31435</v>
      </c>
      <c r="F8366" t="s">
        <v>31435</v>
      </c>
      <c r="G8366" s="1">
        <v>39814</v>
      </c>
      <c r="J8366" t="s">
        <v>40596</v>
      </c>
      <c r="K8366" t="s">
        <v>1464</v>
      </c>
      <c r="L8366" t="s">
        <v>40597</v>
      </c>
      <c r="M8366" t="s">
        <v>40598</v>
      </c>
      <c r="O8366" t="s">
        <v>26</v>
      </c>
      <c r="Q8366">
        <v>103.75</v>
      </c>
      <c r="R8366">
        <v>83</v>
      </c>
      <c r="S8366">
        <v>124.5</v>
      </c>
      <c r="T8366" t="s">
        <v>40599</v>
      </c>
    </row>
    <row r="8367" spans="1:20">
      <c r="A8367">
        <v>4672543</v>
      </c>
      <c r="B8367" t="s">
        <v>40600</v>
      </c>
      <c r="C8367" t="str">
        <f>"9780802089205"</f>
        <v>9780802089205</v>
      </c>
      <c r="D8367" t="str">
        <f>"9781442687431"</f>
        <v>9781442687431</v>
      </c>
      <c r="E8367" t="s">
        <v>31435</v>
      </c>
      <c r="F8367" t="s">
        <v>31435</v>
      </c>
      <c r="G8367" s="1">
        <v>39872</v>
      </c>
      <c r="J8367" t="s">
        <v>40601</v>
      </c>
      <c r="K8367" t="s">
        <v>1464</v>
      </c>
      <c r="L8367" t="s">
        <v>40602</v>
      </c>
      <c r="M8367" t="s">
        <v>22249</v>
      </c>
      <c r="O8367" t="s">
        <v>26</v>
      </c>
      <c r="Q8367">
        <v>72.5</v>
      </c>
      <c r="R8367">
        <v>58</v>
      </c>
      <c r="S8367">
        <v>87</v>
      </c>
      <c r="T8367" t="s">
        <v>40603</v>
      </c>
    </row>
    <row r="8368" spans="1:20">
      <c r="A8368">
        <v>4672544</v>
      </c>
      <c r="B8368" t="s">
        <v>40604</v>
      </c>
      <c r="C8368" t="str">
        <f>"9781442616189"</f>
        <v>9781442616189</v>
      </c>
      <c r="D8368" t="str">
        <f>"9781442687448"</f>
        <v>9781442687448</v>
      </c>
      <c r="E8368" t="s">
        <v>31435</v>
      </c>
      <c r="F8368" t="s">
        <v>31435</v>
      </c>
      <c r="G8368" s="1">
        <v>39760</v>
      </c>
      <c r="J8368" t="s">
        <v>40605</v>
      </c>
      <c r="K8368" t="s">
        <v>1464</v>
      </c>
      <c r="L8368" t="s">
        <v>40606</v>
      </c>
      <c r="M8368" t="s">
        <v>37009</v>
      </c>
      <c r="O8368" t="s">
        <v>26</v>
      </c>
      <c r="Q8368">
        <v>115</v>
      </c>
      <c r="R8368">
        <v>92</v>
      </c>
      <c r="S8368">
        <v>138</v>
      </c>
      <c r="T8368" t="s">
        <v>40607</v>
      </c>
    </row>
    <row r="8369" spans="1:20">
      <c r="A8369">
        <v>4672545</v>
      </c>
      <c r="B8369" t="s">
        <v>40608</v>
      </c>
      <c r="C8369" t="str">
        <f>"9780802092045"</f>
        <v>9780802092045</v>
      </c>
      <c r="D8369" t="str">
        <f>"9781442687462"</f>
        <v>9781442687462</v>
      </c>
      <c r="E8369" t="s">
        <v>31435</v>
      </c>
      <c r="F8369" t="s">
        <v>31435</v>
      </c>
      <c r="G8369" s="1">
        <v>39520</v>
      </c>
      <c r="H8369">
        <v>2</v>
      </c>
      <c r="I8369" t="s">
        <v>33775</v>
      </c>
      <c r="J8369" t="s">
        <v>40609</v>
      </c>
      <c r="K8369" t="s">
        <v>1464</v>
      </c>
      <c r="L8369" t="s">
        <v>40610</v>
      </c>
      <c r="M8369" t="s">
        <v>40338</v>
      </c>
      <c r="N8369" t="s">
        <v>40611</v>
      </c>
      <c r="O8369" t="s">
        <v>26</v>
      </c>
      <c r="Q8369">
        <v>107.5</v>
      </c>
      <c r="R8369">
        <v>86</v>
      </c>
      <c r="S8369">
        <v>129</v>
      </c>
      <c r="T8369" t="s">
        <v>40612</v>
      </c>
    </row>
    <row r="8370" spans="1:20">
      <c r="A8370">
        <v>4672548</v>
      </c>
      <c r="B8370" t="s">
        <v>40613</v>
      </c>
      <c r="C8370" t="str">
        <f>"9780802095725"</f>
        <v>9780802095725</v>
      </c>
      <c r="D8370" t="str">
        <f>"9781442687509"</f>
        <v>9781442687509</v>
      </c>
      <c r="E8370" t="s">
        <v>31435</v>
      </c>
      <c r="F8370" t="s">
        <v>31435</v>
      </c>
      <c r="G8370" s="1">
        <v>39448</v>
      </c>
      <c r="H8370">
        <v>2</v>
      </c>
      <c r="J8370" t="s">
        <v>30636</v>
      </c>
      <c r="K8370" t="s">
        <v>257</v>
      </c>
      <c r="L8370" t="s">
        <v>40614</v>
      </c>
      <c r="M8370">
        <v>371.0770971</v>
      </c>
      <c r="O8370" t="s">
        <v>26</v>
      </c>
      <c r="Q8370">
        <v>131.25</v>
      </c>
      <c r="R8370">
        <v>105</v>
      </c>
      <c r="S8370">
        <v>157.5</v>
      </c>
      <c r="T8370" t="s">
        <v>40615</v>
      </c>
    </row>
    <row r="8371" spans="1:20">
      <c r="A8371">
        <v>4672549</v>
      </c>
      <c r="B8371" t="s">
        <v>40616</v>
      </c>
      <c r="C8371" t="str">
        <f>"9780802098191"</f>
        <v>9780802098191</v>
      </c>
      <c r="D8371" t="str">
        <f>"9781442687523"</f>
        <v>9781442687523</v>
      </c>
      <c r="E8371" t="s">
        <v>31435</v>
      </c>
      <c r="F8371" t="s">
        <v>31435</v>
      </c>
      <c r="G8371" s="1">
        <v>39448</v>
      </c>
      <c r="H8371">
        <v>2</v>
      </c>
      <c r="J8371" t="s">
        <v>34831</v>
      </c>
      <c r="K8371" t="s">
        <v>6444</v>
      </c>
      <c r="L8371" t="s">
        <v>40617</v>
      </c>
      <c r="M8371">
        <v>327.71</v>
      </c>
      <c r="O8371" t="s">
        <v>26</v>
      </c>
      <c r="Q8371">
        <v>156.25</v>
      </c>
      <c r="R8371">
        <v>125</v>
      </c>
      <c r="S8371">
        <v>187.5</v>
      </c>
      <c r="T8371" t="s">
        <v>40618</v>
      </c>
    </row>
    <row r="8372" spans="1:20">
      <c r="A8372">
        <v>4672551</v>
      </c>
      <c r="B8372" t="s">
        <v>40619</v>
      </c>
      <c r="C8372" t="str">
        <f>"9780802089670"</f>
        <v>9780802089670</v>
      </c>
      <c r="D8372" t="str">
        <f>"9781442687561"</f>
        <v>9781442687561</v>
      </c>
      <c r="E8372" t="s">
        <v>31435</v>
      </c>
      <c r="F8372" t="s">
        <v>31435</v>
      </c>
      <c r="G8372" s="1">
        <v>39809</v>
      </c>
      <c r="H8372">
        <v>2</v>
      </c>
      <c r="J8372" t="s">
        <v>40620</v>
      </c>
      <c r="K8372" t="s">
        <v>2260</v>
      </c>
      <c r="L8372" t="s">
        <v>40621</v>
      </c>
      <c r="M8372" t="s">
        <v>40622</v>
      </c>
      <c r="O8372" t="s">
        <v>26</v>
      </c>
      <c r="Q8372">
        <v>270</v>
      </c>
      <c r="R8372">
        <v>216</v>
      </c>
      <c r="S8372">
        <v>324</v>
      </c>
      <c r="T8372" t="s">
        <v>40623</v>
      </c>
    </row>
    <row r="8373" spans="1:20">
      <c r="A8373">
        <v>4672552</v>
      </c>
      <c r="B8373" t="s">
        <v>40624</v>
      </c>
      <c r="C8373" t="str">
        <f>"9780802090850"</f>
        <v>9780802090850</v>
      </c>
      <c r="D8373" t="str">
        <f>"9781442687578"</f>
        <v>9781442687578</v>
      </c>
      <c r="E8373" t="s">
        <v>31435</v>
      </c>
      <c r="F8373" t="s">
        <v>31435</v>
      </c>
      <c r="G8373" s="1">
        <v>39202</v>
      </c>
      <c r="H8373">
        <v>2</v>
      </c>
      <c r="I8373" t="s">
        <v>34565</v>
      </c>
      <c r="J8373" t="s">
        <v>40625</v>
      </c>
      <c r="K8373" t="s">
        <v>1464</v>
      </c>
      <c r="L8373" t="s">
        <v>40626</v>
      </c>
      <c r="M8373" t="s">
        <v>40627</v>
      </c>
      <c r="N8373" t="s">
        <v>40628</v>
      </c>
      <c r="O8373" t="s">
        <v>26</v>
      </c>
      <c r="Q8373">
        <v>111.25</v>
      </c>
      <c r="R8373">
        <v>89</v>
      </c>
      <c r="S8373">
        <v>133.5</v>
      </c>
      <c r="T8373" t="s">
        <v>40629</v>
      </c>
    </row>
    <row r="8374" spans="1:20">
      <c r="A8374">
        <v>4672554</v>
      </c>
      <c r="B8374" t="s">
        <v>40630</v>
      </c>
      <c r="C8374" t="str">
        <f>"9780802093202"</f>
        <v>9780802093202</v>
      </c>
      <c r="D8374" t="str">
        <f>"9781442687608"</f>
        <v>9781442687608</v>
      </c>
      <c r="E8374" t="s">
        <v>31435</v>
      </c>
      <c r="F8374" t="s">
        <v>31435</v>
      </c>
      <c r="G8374" s="1">
        <v>39865</v>
      </c>
      <c r="H8374">
        <v>2</v>
      </c>
      <c r="J8374" t="s">
        <v>40631</v>
      </c>
      <c r="K8374" t="s">
        <v>7075</v>
      </c>
      <c r="L8374" t="s">
        <v>40632</v>
      </c>
      <c r="M8374" t="s">
        <v>34889</v>
      </c>
      <c r="O8374" t="s">
        <v>26</v>
      </c>
      <c r="Q8374">
        <v>173.75</v>
      </c>
      <c r="R8374">
        <v>139</v>
      </c>
      <c r="S8374">
        <v>208.5</v>
      </c>
      <c r="T8374" t="s">
        <v>40633</v>
      </c>
    </row>
    <row r="8375" spans="1:20">
      <c r="A8375">
        <v>4672556</v>
      </c>
      <c r="B8375" t="s">
        <v>40634</v>
      </c>
      <c r="C8375" t="str">
        <f>"9780802095404"</f>
        <v>9780802095404</v>
      </c>
      <c r="D8375" t="str">
        <f>"9781442687615"</f>
        <v>9781442687615</v>
      </c>
      <c r="E8375" t="s">
        <v>31435</v>
      </c>
      <c r="F8375" t="s">
        <v>31435</v>
      </c>
      <c r="G8375" s="1">
        <v>39448</v>
      </c>
      <c r="J8375" t="s">
        <v>40635</v>
      </c>
      <c r="K8375" t="s">
        <v>568</v>
      </c>
      <c r="L8375" t="s">
        <v>40636</v>
      </c>
      <c r="M8375" t="s">
        <v>40637</v>
      </c>
      <c r="O8375" t="s">
        <v>26</v>
      </c>
      <c r="Q8375">
        <v>118.75</v>
      </c>
      <c r="R8375">
        <v>95</v>
      </c>
      <c r="S8375">
        <v>142.5</v>
      </c>
      <c r="T8375" t="s">
        <v>40638</v>
      </c>
    </row>
    <row r="8376" spans="1:20">
      <c r="A8376">
        <v>4672557</v>
      </c>
      <c r="B8376" t="s">
        <v>40639</v>
      </c>
      <c r="C8376" t="str">
        <f>"9780802095848"</f>
        <v>9780802095848</v>
      </c>
      <c r="D8376" t="str">
        <f>"9781442687622"</f>
        <v>9781442687622</v>
      </c>
      <c r="E8376" t="s">
        <v>31435</v>
      </c>
      <c r="F8376" t="s">
        <v>31435</v>
      </c>
      <c r="G8376" s="1">
        <v>39600</v>
      </c>
      <c r="H8376">
        <v>2</v>
      </c>
      <c r="J8376" t="s">
        <v>40640</v>
      </c>
      <c r="K8376" t="s">
        <v>6813</v>
      </c>
      <c r="L8376" t="s">
        <v>40641</v>
      </c>
      <c r="M8376" t="s">
        <v>40642</v>
      </c>
      <c r="N8376" t="s">
        <v>40643</v>
      </c>
      <c r="O8376" t="s">
        <v>26</v>
      </c>
      <c r="Q8376">
        <v>163.75</v>
      </c>
      <c r="R8376">
        <v>131</v>
      </c>
      <c r="S8376">
        <v>196.5</v>
      </c>
      <c r="T8376" t="s">
        <v>40644</v>
      </c>
    </row>
    <row r="8377" spans="1:20">
      <c r="A8377">
        <v>4672559</v>
      </c>
      <c r="B8377" t="s">
        <v>40645</v>
      </c>
      <c r="C8377" t="str">
        <f>"9780802099303"</f>
        <v>9780802099303</v>
      </c>
      <c r="D8377" t="str">
        <f>"9781442687677"</f>
        <v>9781442687677</v>
      </c>
      <c r="E8377" t="s">
        <v>31435</v>
      </c>
      <c r="F8377" t="s">
        <v>31435</v>
      </c>
      <c r="G8377" s="1">
        <v>39872</v>
      </c>
      <c r="I8377" t="s">
        <v>36574</v>
      </c>
      <c r="J8377" t="s">
        <v>40646</v>
      </c>
      <c r="K8377" t="s">
        <v>467</v>
      </c>
      <c r="L8377" t="s">
        <v>40647</v>
      </c>
      <c r="M8377">
        <v>320.072</v>
      </c>
      <c r="O8377" t="s">
        <v>26</v>
      </c>
      <c r="Q8377">
        <v>340</v>
      </c>
      <c r="R8377">
        <v>272</v>
      </c>
      <c r="S8377">
        <v>408</v>
      </c>
      <c r="T8377" t="s">
        <v>40648</v>
      </c>
    </row>
    <row r="8378" spans="1:20">
      <c r="A8378">
        <v>4672562</v>
      </c>
      <c r="B8378" t="s">
        <v>40649</v>
      </c>
      <c r="C8378" t="str">
        <f>"9780802092670"</f>
        <v>9780802092670</v>
      </c>
      <c r="D8378" t="str">
        <f>"9781442687707"</f>
        <v>9781442687707</v>
      </c>
      <c r="E8378" t="s">
        <v>31435</v>
      </c>
      <c r="F8378" t="s">
        <v>31435</v>
      </c>
      <c r="G8378" s="1">
        <v>39830</v>
      </c>
      <c r="H8378">
        <v>2</v>
      </c>
      <c r="J8378" t="s">
        <v>40650</v>
      </c>
      <c r="K8378" t="s">
        <v>1464</v>
      </c>
      <c r="L8378" t="s">
        <v>40651</v>
      </c>
      <c r="M8378">
        <v>810.90053999999895</v>
      </c>
      <c r="O8378" t="s">
        <v>26</v>
      </c>
      <c r="Q8378">
        <v>80</v>
      </c>
      <c r="R8378">
        <v>64</v>
      </c>
      <c r="S8378">
        <v>96</v>
      </c>
      <c r="T8378" t="s">
        <v>40652</v>
      </c>
    </row>
    <row r="8379" spans="1:20">
      <c r="A8379">
        <v>4672564</v>
      </c>
      <c r="B8379" t="s">
        <v>40653</v>
      </c>
      <c r="C8379" t="str">
        <f>"9780802095121"</f>
        <v>9780802095121</v>
      </c>
      <c r="D8379" t="str">
        <f>"9781442687738"</f>
        <v>9781442687738</v>
      </c>
      <c r="E8379" t="s">
        <v>31435</v>
      </c>
      <c r="F8379" t="s">
        <v>31435</v>
      </c>
      <c r="G8379" s="1">
        <v>39494</v>
      </c>
      <c r="J8379" t="s">
        <v>40654</v>
      </c>
      <c r="K8379" t="s">
        <v>1394</v>
      </c>
      <c r="L8379" t="s">
        <v>40655</v>
      </c>
      <c r="M8379" t="s">
        <v>40656</v>
      </c>
      <c r="O8379" t="s">
        <v>26</v>
      </c>
      <c r="Q8379">
        <v>122.5</v>
      </c>
      <c r="R8379">
        <v>98</v>
      </c>
      <c r="S8379">
        <v>147</v>
      </c>
      <c r="T8379" t="s">
        <v>40657</v>
      </c>
    </row>
    <row r="8380" spans="1:20">
      <c r="A8380">
        <v>4672565</v>
      </c>
      <c r="B8380" t="s">
        <v>40658</v>
      </c>
      <c r="C8380" t="str">
        <f>"9780802097491"</f>
        <v>9780802097491</v>
      </c>
      <c r="D8380" t="str">
        <f>"9781442687745"</f>
        <v>9781442687745</v>
      </c>
      <c r="E8380" t="s">
        <v>31435</v>
      </c>
      <c r="F8380" t="s">
        <v>31435</v>
      </c>
      <c r="G8380" s="1">
        <v>39465</v>
      </c>
      <c r="H8380">
        <v>2</v>
      </c>
      <c r="J8380" t="s">
        <v>40659</v>
      </c>
      <c r="K8380" t="s">
        <v>525</v>
      </c>
      <c r="L8380" t="s">
        <v>40660</v>
      </c>
      <c r="M8380">
        <v>340.1</v>
      </c>
      <c r="N8380" t="s">
        <v>40661</v>
      </c>
      <c r="O8380" t="s">
        <v>26</v>
      </c>
      <c r="Q8380">
        <v>107.5</v>
      </c>
      <c r="R8380">
        <v>86</v>
      </c>
      <c r="S8380">
        <v>129</v>
      </c>
      <c r="T8380" t="s">
        <v>40662</v>
      </c>
    </row>
    <row r="8381" spans="1:20">
      <c r="A8381">
        <v>4672566</v>
      </c>
      <c r="B8381" t="s">
        <v>40663</v>
      </c>
      <c r="C8381" t="str">
        <f>"9780802093370"</f>
        <v>9780802093370</v>
      </c>
      <c r="D8381" t="str">
        <f>"9781442687752"</f>
        <v>9781442687752</v>
      </c>
      <c r="E8381" t="s">
        <v>31435</v>
      </c>
      <c r="F8381" t="s">
        <v>31435</v>
      </c>
      <c r="G8381" s="1">
        <v>39532</v>
      </c>
      <c r="J8381" t="s">
        <v>40664</v>
      </c>
      <c r="K8381" t="s">
        <v>1892</v>
      </c>
      <c r="L8381" t="s">
        <v>40665</v>
      </c>
      <c r="M8381" t="s">
        <v>40666</v>
      </c>
      <c r="N8381" t="s">
        <v>40667</v>
      </c>
      <c r="O8381" t="s">
        <v>26</v>
      </c>
      <c r="Q8381">
        <v>83.75</v>
      </c>
      <c r="R8381">
        <v>67</v>
      </c>
      <c r="S8381">
        <v>100.5</v>
      </c>
      <c r="T8381" t="s">
        <v>40668</v>
      </c>
    </row>
    <row r="8382" spans="1:20">
      <c r="A8382">
        <v>4672567</v>
      </c>
      <c r="B8382" t="s">
        <v>40669</v>
      </c>
      <c r="C8382" t="str">
        <f>"9780802093127"</f>
        <v>9780802093127</v>
      </c>
      <c r="D8382" t="str">
        <f>"9781442687776"</f>
        <v>9781442687776</v>
      </c>
      <c r="E8382" t="s">
        <v>31435</v>
      </c>
      <c r="F8382" t="s">
        <v>31435</v>
      </c>
      <c r="G8382" s="1">
        <v>39387</v>
      </c>
      <c r="J8382" t="s">
        <v>40670</v>
      </c>
      <c r="K8382" t="s">
        <v>1892</v>
      </c>
      <c r="L8382" t="s">
        <v>40671</v>
      </c>
      <c r="M8382" t="s">
        <v>40672</v>
      </c>
      <c r="N8382" t="s">
        <v>40673</v>
      </c>
      <c r="O8382" t="s">
        <v>26</v>
      </c>
      <c r="Q8382">
        <v>245</v>
      </c>
      <c r="R8382">
        <v>196</v>
      </c>
      <c r="S8382">
        <v>294</v>
      </c>
      <c r="T8382" t="s">
        <v>40674</v>
      </c>
    </row>
    <row r="8383" spans="1:20">
      <c r="A8383">
        <v>4672568</v>
      </c>
      <c r="B8383" t="s">
        <v>40675</v>
      </c>
      <c r="C8383" t="str">
        <f>"9780802096258"</f>
        <v>9780802096258</v>
      </c>
      <c r="D8383" t="str">
        <f>"9781442687783"</f>
        <v>9781442687783</v>
      </c>
      <c r="E8383" t="s">
        <v>31435</v>
      </c>
      <c r="F8383" t="s">
        <v>31435</v>
      </c>
      <c r="G8383" s="1">
        <v>39886</v>
      </c>
      <c r="I8383" t="s">
        <v>34756</v>
      </c>
      <c r="J8383" t="s">
        <v>40676</v>
      </c>
      <c r="K8383" t="s">
        <v>1464</v>
      </c>
      <c r="L8383" t="s">
        <v>40677</v>
      </c>
      <c r="M8383">
        <v>809</v>
      </c>
      <c r="O8383" t="s">
        <v>26</v>
      </c>
      <c r="Q8383">
        <v>151.25</v>
      </c>
      <c r="R8383">
        <v>121</v>
      </c>
      <c r="S8383">
        <v>181.5</v>
      </c>
      <c r="T8383" t="s">
        <v>40678</v>
      </c>
    </row>
    <row r="8384" spans="1:20">
      <c r="A8384">
        <v>4672569</v>
      </c>
      <c r="B8384" t="s">
        <v>40679</v>
      </c>
      <c r="C8384" t="str">
        <f>"9780802047908"</f>
        <v>9780802047908</v>
      </c>
      <c r="D8384" t="str">
        <f>"9781442687806"</f>
        <v>9781442687806</v>
      </c>
      <c r="E8384" t="s">
        <v>31435</v>
      </c>
      <c r="F8384" t="s">
        <v>31435</v>
      </c>
      <c r="G8384" s="1">
        <v>39058</v>
      </c>
      <c r="I8384" t="s">
        <v>35264</v>
      </c>
      <c r="J8384" t="s">
        <v>40680</v>
      </c>
      <c r="K8384" t="s">
        <v>40681</v>
      </c>
      <c r="L8384" t="s">
        <v>40682</v>
      </c>
      <c r="M8384">
        <v>16.641509710000001</v>
      </c>
      <c r="N8384" t="s">
        <v>40683</v>
      </c>
      <c r="O8384" t="s">
        <v>26</v>
      </c>
      <c r="Q8384">
        <v>302.5</v>
      </c>
      <c r="R8384">
        <v>242</v>
      </c>
      <c r="S8384">
        <v>363</v>
      </c>
      <c r="T8384" t="s">
        <v>40684</v>
      </c>
    </row>
    <row r="8385" spans="1:20">
      <c r="A8385">
        <v>4672570</v>
      </c>
      <c r="B8385" t="s">
        <v>40685</v>
      </c>
      <c r="C8385" t="str">
        <f>"9780802096074"</f>
        <v>9780802096074</v>
      </c>
      <c r="D8385" t="str">
        <f>"9781442687837"</f>
        <v>9781442687837</v>
      </c>
      <c r="E8385" t="s">
        <v>31435</v>
      </c>
      <c r="F8385" t="s">
        <v>31435</v>
      </c>
      <c r="G8385" s="1">
        <v>39612</v>
      </c>
      <c r="I8385" t="s">
        <v>36249</v>
      </c>
      <c r="J8385" t="s">
        <v>40686</v>
      </c>
      <c r="K8385" t="s">
        <v>2114</v>
      </c>
      <c r="L8385" t="s">
        <v>40687</v>
      </c>
      <c r="M8385" t="s">
        <v>40688</v>
      </c>
      <c r="N8385" t="s">
        <v>40689</v>
      </c>
      <c r="O8385" t="s">
        <v>26</v>
      </c>
      <c r="Q8385">
        <v>102.5</v>
      </c>
      <c r="R8385">
        <v>82</v>
      </c>
      <c r="S8385">
        <v>123</v>
      </c>
      <c r="T8385" t="s">
        <v>40690</v>
      </c>
    </row>
    <row r="8386" spans="1:20">
      <c r="A8386">
        <v>4672574</v>
      </c>
      <c r="B8386" t="s">
        <v>40691</v>
      </c>
      <c r="C8386" t="str">
        <f>"9780802091789"</f>
        <v>9780802091789</v>
      </c>
      <c r="D8386" t="str">
        <f>"9781442687882"</f>
        <v>9781442687882</v>
      </c>
      <c r="E8386" t="s">
        <v>31435</v>
      </c>
      <c r="F8386" t="s">
        <v>31435</v>
      </c>
      <c r="G8386" s="1">
        <v>39804</v>
      </c>
      <c r="H8386">
        <v>2</v>
      </c>
      <c r="I8386" t="s">
        <v>40563</v>
      </c>
      <c r="J8386" t="s">
        <v>40692</v>
      </c>
      <c r="K8386" t="s">
        <v>40693</v>
      </c>
      <c r="L8386" t="s">
        <v>40694</v>
      </c>
      <c r="M8386" t="s">
        <v>40695</v>
      </c>
      <c r="O8386" t="s">
        <v>26</v>
      </c>
      <c r="Q8386">
        <v>100</v>
      </c>
      <c r="R8386">
        <v>80</v>
      </c>
      <c r="S8386">
        <v>120</v>
      </c>
      <c r="T8386" t="s">
        <v>40696</v>
      </c>
    </row>
    <row r="8387" spans="1:20">
      <c r="A8387">
        <v>4672579</v>
      </c>
      <c r="B8387" t="s">
        <v>40697</v>
      </c>
      <c r="C8387" t="str">
        <f>"9780802092489"</f>
        <v>9780802092489</v>
      </c>
      <c r="D8387" t="str">
        <f>"9781442687967"</f>
        <v>9781442687967</v>
      </c>
      <c r="E8387" t="s">
        <v>31435</v>
      </c>
      <c r="F8387" t="s">
        <v>31435</v>
      </c>
      <c r="G8387" s="1">
        <v>39446</v>
      </c>
      <c r="H8387">
        <v>2</v>
      </c>
      <c r="J8387" t="s">
        <v>40698</v>
      </c>
      <c r="K8387" t="s">
        <v>1471</v>
      </c>
      <c r="L8387" t="s">
        <v>40699</v>
      </c>
      <c r="M8387">
        <v>700</v>
      </c>
      <c r="N8387" t="s">
        <v>40700</v>
      </c>
      <c r="O8387" t="s">
        <v>26</v>
      </c>
      <c r="Q8387">
        <v>83.75</v>
      </c>
      <c r="R8387">
        <v>67</v>
      </c>
      <c r="S8387">
        <v>100.5</v>
      </c>
      <c r="T8387" t="s">
        <v>40701</v>
      </c>
    </row>
    <row r="8388" spans="1:20">
      <c r="A8388">
        <v>4672581</v>
      </c>
      <c r="B8388" t="s">
        <v>40702</v>
      </c>
      <c r="C8388" t="str">
        <f>"9780802099051"</f>
        <v>9780802099051</v>
      </c>
      <c r="D8388" t="str">
        <f>"9781442687998"</f>
        <v>9781442687998</v>
      </c>
      <c r="E8388" t="s">
        <v>31435</v>
      </c>
      <c r="F8388" t="s">
        <v>31435</v>
      </c>
      <c r="G8388" s="1">
        <v>39805</v>
      </c>
      <c r="I8388" t="s">
        <v>34747</v>
      </c>
      <c r="J8388" t="s">
        <v>40703</v>
      </c>
      <c r="K8388" t="s">
        <v>263</v>
      </c>
      <c r="L8388" t="s">
        <v>40704</v>
      </c>
      <c r="M8388" t="s">
        <v>40705</v>
      </c>
      <c r="O8388" t="s">
        <v>26</v>
      </c>
      <c r="Q8388">
        <v>107.5</v>
      </c>
      <c r="R8388">
        <v>86</v>
      </c>
      <c r="S8388">
        <v>129</v>
      </c>
      <c r="T8388" t="s">
        <v>40706</v>
      </c>
    </row>
    <row r="8389" spans="1:20">
      <c r="A8389">
        <v>4672583</v>
      </c>
      <c r="B8389" t="s">
        <v>40707</v>
      </c>
      <c r="C8389" t="str">
        <f>"9780802090973"</f>
        <v>9780802090973</v>
      </c>
      <c r="D8389" t="str">
        <f>"9781442688025"</f>
        <v>9781442688025</v>
      </c>
      <c r="E8389" t="s">
        <v>31435</v>
      </c>
      <c r="F8389" t="s">
        <v>31435</v>
      </c>
      <c r="G8389" s="1">
        <v>39479</v>
      </c>
      <c r="H8389">
        <v>2</v>
      </c>
      <c r="J8389" t="s">
        <v>40708</v>
      </c>
      <c r="K8389" t="s">
        <v>263</v>
      </c>
      <c r="L8389" t="s">
        <v>40709</v>
      </c>
      <c r="M8389">
        <v>309.17099999999903</v>
      </c>
      <c r="N8389" t="s">
        <v>40710</v>
      </c>
      <c r="O8389" t="s">
        <v>26</v>
      </c>
      <c r="Q8389">
        <v>122.5</v>
      </c>
      <c r="R8389">
        <v>98</v>
      </c>
      <c r="S8389">
        <v>147</v>
      </c>
      <c r="T8389" t="s">
        <v>40711</v>
      </c>
    </row>
    <row r="8390" spans="1:20">
      <c r="A8390">
        <v>4672584</v>
      </c>
      <c r="B8390" t="s">
        <v>40712</v>
      </c>
      <c r="C8390" t="str">
        <f>"9780802094162"</f>
        <v>9780802094162</v>
      </c>
      <c r="D8390" t="str">
        <f>"9781442688032"</f>
        <v>9781442688032</v>
      </c>
      <c r="E8390" t="s">
        <v>31435</v>
      </c>
      <c r="F8390" t="s">
        <v>31435</v>
      </c>
      <c r="G8390" s="1">
        <v>39790</v>
      </c>
      <c r="J8390" t="s">
        <v>35078</v>
      </c>
      <c r="K8390" t="s">
        <v>291</v>
      </c>
      <c r="L8390" t="s">
        <v>40713</v>
      </c>
      <c r="M8390">
        <v>971.01</v>
      </c>
      <c r="O8390" t="s">
        <v>26</v>
      </c>
      <c r="Q8390">
        <v>115</v>
      </c>
      <c r="R8390">
        <v>92</v>
      </c>
      <c r="S8390">
        <v>138</v>
      </c>
      <c r="T8390" t="s">
        <v>40714</v>
      </c>
    </row>
    <row r="8391" spans="1:20">
      <c r="A8391">
        <v>4672586</v>
      </c>
      <c r="B8391" t="s">
        <v>40715</v>
      </c>
      <c r="C8391" t="str">
        <f>"9780802099006"</f>
        <v>9780802099006</v>
      </c>
      <c r="D8391" t="str">
        <f>"9781442688056"</f>
        <v>9781442688056</v>
      </c>
      <c r="E8391" t="s">
        <v>31435</v>
      </c>
      <c r="F8391" t="s">
        <v>31435</v>
      </c>
      <c r="G8391" s="1">
        <v>39814</v>
      </c>
      <c r="I8391" t="s">
        <v>34747</v>
      </c>
      <c r="J8391" t="s">
        <v>40716</v>
      </c>
      <c r="K8391" t="s">
        <v>1859</v>
      </c>
      <c r="L8391" t="s">
        <v>40717</v>
      </c>
      <c r="M8391" t="s">
        <v>34439</v>
      </c>
      <c r="O8391" t="s">
        <v>26</v>
      </c>
      <c r="Q8391">
        <v>136.25</v>
      </c>
      <c r="R8391">
        <v>109</v>
      </c>
      <c r="S8391">
        <v>163.5</v>
      </c>
      <c r="T8391" t="s">
        <v>40718</v>
      </c>
    </row>
    <row r="8392" spans="1:20">
      <c r="A8392">
        <v>4672588</v>
      </c>
      <c r="B8392" t="s">
        <v>40719</v>
      </c>
      <c r="C8392" t="str">
        <f>"9780802097644"</f>
        <v>9780802097644</v>
      </c>
      <c r="D8392" t="str">
        <f>"9781442688070"</f>
        <v>9781442688070</v>
      </c>
      <c r="E8392" t="s">
        <v>31435</v>
      </c>
      <c r="F8392" t="s">
        <v>31435</v>
      </c>
      <c r="G8392" s="1">
        <v>39552</v>
      </c>
      <c r="I8392" t="s">
        <v>35029</v>
      </c>
      <c r="J8392" t="s">
        <v>39263</v>
      </c>
      <c r="K8392" t="s">
        <v>1859</v>
      </c>
      <c r="L8392" t="s">
        <v>40720</v>
      </c>
      <c r="M8392">
        <v>121.092</v>
      </c>
      <c r="N8392" t="s">
        <v>22187</v>
      </c>
      <c r="O8392" t="s">
        <v>26</v>
      </c>
      <c r="Q8392">
        <v>205</v>
      </c>
      <c r="R8392">
        <v>164</v>
      </c>
      <c r="S8392">
        <v>246</v>
      </c>
      <c r="T8392" t="s">
        <v>40721</v>
      </c>
    </row>
    <row r="8393" spans="1:20">
      <c r="A8393">
        <v>4672589</v>
      </c>
      <c r="B8393" t="s">
        <v>40722</v>
      </c>
      <c r="C8393" t="str">
        <f>"9780802097545"</f>
        <v>9780802097545</v>
      </c>
      <c r="D8393" t="str">
        <f>"9781442688087"</f>
        <v>9781442688087</v>
      </c>
      <c r="E8393" t="s">
        <v>31435</v>
      </c>
      <c r="F8393" t="s">
        <v>31435</v>
      </c>
      <c r="G8393" s="1">
        <v>39592</v>
      </c>
      <c r="H8393">
        <v>2</v>
      </c>
      <c r="I8393" t="s">
        <v>33775</v>
      </c>
      <c r="J8393" t="s">
        <v>40723</v>
      </c>
      <c r="K8393" t="s">
        <v>12816</v>
      </c>
      <c r="L8393" t="s">
        <v>40724</v>
      </c>
      <c r="M8393" t="s">
        <v>40725</v>
      </c>
      <c r="N8393" t="s">
        <v>40726</v>
      </c>
      <c r="O8393" t="s">
        <v>26</v>
      </c>
      <c r="Q8393">
        <v>75</v>
      </c>
      <c r="R8393">
        <v>60</v>
      </c>
      <c r="S8393">
        <v>90</v>
      </c>
      <c r="T8393" t="s">
        <v>40727</v>
      </c>
    </row>
    <row r="8394" spans="1:20">
      <c r="A8394">
        <v>4672591</v>
      </c>
      <c r="B8394" t="s">
        <v>40728</v>
      </c>
      <c r="C8394" t="str">
        <f>"9780802090980"</f>
        <v>9780802090980</v>
      </c>
      <c r="D8394" t="str">
        <f>"9781442688100"</f>
        <v>9781442688100</v>
      </c>
      <c r="E8394" t="s">
        <v>31435</v>
      </c>
      <c r="F8394" t="s">
        <v>31435</v>
      </c>
      <c r="G8394" s="1">
        <v>39521</v>
      </c>
      <c r="H8394">
        <v>2</v>
      </c>
      <c r="J8394" t="s">
        <v>40729</v>
      </c>
      <c r="K8394" t="s">
        <v>1464</v>
      </c>
      <c r="L8394" t="s">
        <v>40730</v>
      </c>
      <c r="M8394" t="s">
        <v>40731</v>
      </c>
      <c r="N8394" t="s">
        <v>40732</v>
      </c>
      <c r="O8394" t="s">
        <v>26</v>
      </c>
      <c r="Q8394">
        <v>106.25</v>
      </c>
      <c r="R8394">
        <v>85</v>
      </c>
      <c r="S8394">
        <v>127.5</v>
      </c>
      <c r="T8394" t="s">
        <v>40733</v>
      </c>
    </row>
    <row r="8395" spans="1:20">
      <c r="A8395">
        <v>4672592</v>
      </c>
      <c r="B8395" t="s">
        <v>40734</v>
      </c>
      <c r="C8395" t="str">
        <f>"9780802091291"</f>
        <v>9780802091291</v>
      </c>
      <c r="D8395" t="str">
        <f>"9781442688117"</f>
        <v>9781442688117</v>
      </c>
      <c r="E8395" t="s">
        <v>31435</v>
      </c>
      <c r="F8395" t="s">
        <v>31435</v>
      </c>
      <c r="G8395" s="1">
        <v>39539</v>
      </c>
      <c r="H8395">
        <v>2</v>
      </c>
      <c r="I8395" t="s">
        <v>35203</v>
      </c>
      <c r="J8395" t="s">
        <v>40735</v>
      </c>
      <c r="K8395" t="s">
        <v>1892</v>
      </c>
      <c r="L8395" t="s">
        <v>40736</v>
      </c>
      <c r="M8395" t="s">
        <v>40737</v>
      </c>
      <c r="N8395" t="s">
        <v>40738</v>
      </c>
      <c r="O8395" t="s">
        <v>26</v>
      </c>
      <c r="Q8395">
        <v>141.25</v>
      </c>
      <c r="R8395">
        <v>113</v>
      </c>
      <c r="S8395">
        <v>169.5</v>
      </c>
      <c r="T8395" t="s">
        <v>40739</v>
      </c>
    </row>
    <row r="8396" spans="1:20">
      <c r="A8396">
        <v>4672593</v>
      </c>
      <c r="B8396" t="s">
        <v>40740</v>
      </c>
      <c r="C8396" t="str">
        <f>"9780802094360"</f>
        <v>9780802094360</v>
      </c>
      <c r="D8396" t="str">
        <f>"9781442688131"</f>
        <v>9781442688131</v>
      </c>
      <c r="E8396" t="s">
        <v>31435</v>
      </c>
      <c r="F8396" t="s">
        <v>31435</v>
      </c>
      <c r="G8396" s="1">
        <v>39814</v>
      </c>
      <c r="J8396" t="s">
        <v>40741</v>
      </c>
      <c r="K8396" t="s">
        <v>467</v>
      </c>
      <c r="L8396" t="s">
        <v>40742</v>
      </c>
      <c r="M8396">
        <v>320.471</v>
      </c>
      <c r="O8396" t="s">
        <v>26</v>
      </c>
      <c r="Q8396">
        <v>96.25</v>
      </c>
      <c r="R8396">
        <v>77</v>
      </c>
      <c r="S8396">
        <v>115.5</v>
      </c>
      <c r="T8396" t="s">
        <v>40743</v>
      </c>
    </row>
    <row r="8397" spans="1:20">
      <c r="A8397">
        <v>4672594</v>
      </c>
      <c r="B8397" t="s">
        <v>40744</v>
      </c>
      <c r="C8397" t="str">
        <f>"9780802098146"</f>
        <v>9780802098146</v>
      </c>
      <c r="D8397" t="str">
        <f>"9781442688155"</f>
        <v>9781442688155</v>
      </c>
      <c r="E8397" t="s">
        <v>31435</v>
      </c>
      <c r="F8397" t="s">
        <v>31435</v>
      </c>
      <c r="G8397" s="1">
        <v>39448</v>
      </c>
      <c r="J8397" t="s">
        <v>40745</v>
      </c>
      <c r="K8397" t="s">
        <v>291</v>
      </c>
      <c r="L8397" t="s">
        <v>40746</v>
      </c>
      <c r="M8397" t="s">
        <v>40747</v>
      </c>
      <c r="O8397" t="s">
        <v>26</v>
      </c>
      <c r="Q8397">
        <v>122.5</v>
      </c>
      <c r="R8397">
        <v>98</v>
      </c>
      <c r="S8397">
        <v>147</v>
      </c>
      <c r="T8397" t="s">
        <v>40748</v>
      </c>
    </row>
    <row r="8398" spans="1:20">
      <c r="A8398">
        <v>4672596</v>
      </c>
      <c r="B8398" t="s">
        <v>40749</v>
      </c>
      <c r="C8398" t="str">
        <f>"9780802095183"</f>
        <v>9780802095183</v>
      </c>
      <c r="D8398" t="str">
        <f>"9781442688186"</f>
        <v>9781442688186</v>
      </c>
      <c r="E8398" t="s">
        <v>31435</v>
      </c>
      <c r="F8398" t="s">
        <v>31435</v>
      </c>
      <c r="G8398" s="1">
        <v>39551</v>
      </c>
      <c r="J8398" t="s">
        <v>40750</v>
      </c>
      <c r="K8398" t="s">
        <v>3230</v>
      </c>
      <c r="L8398" t="s">
        <v>40751</v>
      </c>
      <c r="M8398">
        <v>914.04</v>
      </c>
      <c r="N8398" t="s">
        <v>40752</v>
      </c>
      <c r="O8398" t="s">
        <v>26</v>
      </c>
      <c r="Q8398">
        <v>148.75</v>
      </c>
      <c r="R8398">
        <v>119</v>
      </c>
      <c r="S8398">
        <v>178.5</v>
      </c>
      <c r="T8398" t="s">
        <v>40753</v>
      </c>
    </row>
    <row r="8399" spans="1:20">
      <c r="A8399">
        <v>4672599</v>
      </c>
      <c r="B8399" t="s">
        <v>40754</v>
      </c>
      <c r="C8399" t="str">
        <f>"9780802098290"</f>
        <v>9780802098290</v>
      </c>
      <c r="D8399" t="str">
        <f>"9781442688216"</f>
        <v>9781442688216</v>
      </c>
      <c r="E8399" t="s">
        <v>31435</v>
      </c>
      <c r="F8399" t="s">
        <v>31435</v>
      </c>
      <c r="G8399" s="1">
        <v>39592</v>
      </c>
      <c r="H8399">
        <v>2</v>
      </c>
      <c r="I8399" t="s">
        <v>35779</v>
      </c>
      <c r="J8399" t="s">
        <v>40755</v>
      </c>
      <c r="K8399" t="s">
        <v>1859</v>
      </c>
      <c r="L8399" t="s">
        <v>40756</v>
      </c>
      <c r="M8399">
        <v>193</v>
      </c>
      <c r="O8399" t="s">
        <v>26</v>
      </c>
      <c r="Q8399">
        <v>75</v>
      </c>
      <c r="R8399">
        <v>60</v>
      </c>
      <c r="S8399">
        <v>90</v>
      </c>
      <c r="T8399" t="s">
        <v>40757</v>
      </c>
    </row>
    <row r="8400" spans="1:20">
      <c r="A8400">
        <v>4672600</v>
      </c>
      <c r="B8400" t="s">
        <v>40758</v>
      </c>
      <c r="C8400" t="str">
        <f>"9780802096029"</f>
        <v>9780802096029</v>
      </c>
      <c r="D8400" t="str">
        <f>"9781442688223"</f>
        <v>9781442688223</v>
      </c>
      <c r="E8400" t="s">
        <v>31435</v>
      </c>
      <c r="F8400" t="s">
        <v>31435</v>
      </c>
      <c r="G8400" s="1">
        <v>39814</v>
      </c>
      <c r="J8400" t="s">
        <v>40759</v>
      </c>
      <c r="K8400" t="s">
        <v>291</v>
      </c>
      <c r="L8400" t="s">
        <v>40760</v>
      </c>
      <c r="M8400" t="s">
        <v>40761</v>
      </c>
      <c r="O8400" t="s">
        <v>26</v>
      </c>
      <c r="Q8400">
        <v>103.75</v>
      </c>
      <c r="R8400">
        <v>83</v>
      </c>
      <c r="S8400">
        <v>124.5</v>
      </c>
      <c r="T8400" t="s">
        <v>40762</v>
      </c>
    </row>
    <row r="8401" spans="1:20">
      <c r="A8401">
        <v>4672603</v>
      </c>
      <c r="B8401" t="s">
        <v>40763</v>
      </c>
      <c r="C8401" t="str">
        <f>"9780802098917"</f>
        <v>9780802098917</v>
      </c>
      <c r="D8401" t="str">
        <f>"9781442688254"</f>
        <v>9781442688254</v>
      </c>
      <c r="E8401" t="s">
        <v>31435</v>
      </c>
      <c r="F8401" t="s">
        <v>31435</v>
      </c>
      <c r="G8401" s="1">
        <v>39448</v>
      </c>
      <c r="H8401">
        <v>2</v>
      </c>
      <c r="J8401" t="s">
        <v>40764</v>
      </c>
      <c r="K8401" t="s">
        <v>291</v>
      </c>
      <c r="L8401" t="s">
        <v>40765</v>
      </c>
      <c r="M8401" t="s">
        <v>40766</v>
      </c>
      <c r="O8401" t="s">
        <v>26</v>
      </c>
      <c r="Q8401">
        <v>67.5</v>
      </c>
      <c r="R8401">
        <v>54</v>
      </c>
      <c r="S8401">
        <v>81</v>
      </c>
      <c r="T8401" t="s">
        <v>40767</v>
      </c>
    </row>
    <row r="8402" spans="1:20">
      <c r="A8402">
        <v>4672606</v>
      </c>
      <c r="B8402" t="s">
        <v>40768</v>
      </c>
      <c r="C8402" t="str">
        <f>"9780802098818"</f>
        <v>9780802098818</v>
      </c>
      <c r="D8402" t="str">
        <f>"9781442688285"</f>
        <v>9781442688285</v>
      </c>
      <c r="E8402" t="s">
        <v>31435</v>
      </c>
      <c r="F8402" t="s">
        <v>31435</v>
      </c>
      <c r="G8402" s="1">
        <v>39448</v>
      </c>
      <c r="H8402">
        <v>2</v>
      </c>
      <c r="J8402" t="s">
        <v>10297</v>
      </c>
      <c r="K8402" t="s">
        <v>291</v>
      </c>
      <c r="L8402" t="s">
        <v>40769</v>
      </c>
      <c r="M8402">
        <v>971</v>
      </c>
      <c r="O8402" t="s">
        <v>26</v>
      </c>
      <c r="Q8402">
        <v>59.94</v>
      </c>
      <c r="R8402">
        <v>47.95</v>
      </c>
      <c r="S8402">
        <v>71.930000000000007</v>
      </c>
      <c r="T8402" t="s">
        <v>40770</v>
      </c>
    </row>
    <row r="8403" spans="1:20">
      <c r="A8403">
        <v>4672608</v>
      </c>
      <c r="B8403" t="s">
        <v>40771</v>
      </c>
      <c r="C8403" t="str">
        <f>"9781442614932"</f>
        <v>9781442614932</v>
      </c>
      <c r="D8403" t="str">
        <f>"9781442688292"</f>
        <v>9781442688292</v>
      </c>
      <c r="E8403" t="s">
        <v>31435</v>
      </c>
      <c r="F8403" t="s">
        <v>31435</v>
      </c>
      <c r="G8403" s="1">
        <v>41212</v>
      </c>
      <c r="J8403" t="s">
        <v>40772</v>
      </c>
      <c r="K8403" t="s">
        <v>1471</v>
      </c>
      <c r="L8403" t="s">
        <v>40773</v>
      </c>
      <c r="M8403">
        <v>750.7</v>
      </c>
      <c r="O8403" t="s">
        <v>26</v>
      </c>
      <c r="Q8403">
        <v>122.5</v>
      </c>
      <c r="R8403">
        <v>98</v>
      </c>
      <c r="S8403">
        <v>147</v>
      </c>
      <c r="T8403" t="s">
        <v>40774</v>
      </c>
    </row>
    <row r="8404" spans="1:20">
      <c r="A8404">
        <v>4672609</v>
      </c>
      <c r="B8404" t="s">
        <v>40775</v>
      </c>
      <c r="C8404" t="str">
        <f>"9780802097866"</f>
        <v>9780802097866</v>
      </c>
      <c r="D8404" t="str">
        <f>"9781442688308"</f>
        <v>9781442688308</v>
      </c>
      <c r="E8404" t="s">
        <v>31435</v>
      </c>
      <c r="F8404" t="s">
        <v>31435</v>
      </c>
      <c r="G8404" s="1">
        <v>39536</v>
      </c>
      <c r="J8404" t="s">
        <v>40776</v>
      </c>
      <c r="K8404" t="s">
        <v>278</v>
      </c>
      <c r="L8404" t="s">
        <v>40777</v>
      </c>
      <c r="M8404">
        <v>332.67322710000002</v>
      </c>
      <c r="O8404" t="s">
        <v>26</v>
      </c>
      <c r="Q8404">
        <v>67.5</v>
      </c>
      <c r="R8404">
        <v>54</v>
      </c>
      <c r="S8404">
        <v>81</v>
      </c>
      <c r="T8404" t="s">
        <v>40778</v>
      </c>
    </row>
    <row r="8405" spans="1:20">
      <c r="A8405">
        <v>4672610</v>
      </c>
      <c r="B8405" t="s">
        <v>40779</v>
      </c>
      <c r="C8405" t="str">
        <f>"9780802091369"</f>
        <v>9780802091369</v>
      </c>
      <c r="D8405" t="str">
        <f>"9781442688315"</f>
        <v>9781442688315</v>
      </c>
      <c r="E8405" t="s">
        <v>31435</v>
      </c>
      <c r="F8405" t="s">
        <v>31435</v>
      </c>
      <c r="G8405" s="1">
        <v>39387</v>
      </c>
      <c r="J8405" t="s">
        <v>40780</v>
      </c>
      <c r="K8405" t="s">
        <v>1464</v>
      </c>
      <c r="L8405" t="s">
        <v>40781</v>
      </c>
      <c r="M8405" t="s">
        <v>37434</v>
      </c>
      <c r="N8405" t="s">
        <v>40782</v>
      </c>
      <c r="O8405" t="s">
        <v>26</v>
      </c>
      <c r="Q8405">
        <v>100</v>
      </c>
      <c r="R8405">
        <v>80</v>
      </c>
      <c r="S8405">
        <v>120</v>
      </c>
      <c r="T8405" t="s">
        <v>40783</v>
      </c>
    </row>
    <row r="8406" spans="1:20">
      <c r="A8406">
        <v>4672611</v>
      </c>
      <c r="B8406" t="s">
        <v>40784</v>
      </c>
      <c r="C8406" t="str">
        <f>"9780802097927"</f>
        <v>9780802097927</v>
      </c>
      <c r="D8406" t="str">
        <f>"9781442688322"</f>
        <v>9781442688322</v>
      </c>
      <c r="E8406" t="s">
        <v>31435</v>
      </c>
      <c r="F8406" t="s">
        <v>31435</v>
      </c>
      <c r="G8406" s="1">
        <v>39809</v>
      </c>
      <c r="J8406" t="s">
        <v>40785</v>
      </c>
      <c r="K8406" t="s">
        <v>1464</v>
      </c>
      <c r="L8406" t="s">
        <v>40786</v>
      </c>
      <c r="M8406" t="s">
        <v>40787</v>
      </c>
      <c r="O8406" t="s">
        <v>26</v>
      </c>
      <c r="Q8406">
        <v>92.5</v>
      </c>
      <c r="R8406">
        <v>74</v>
      </c>
      <c r="S8406">
        <v>111</v>
      </c>
      <c r="T8406" t="s">
        <v>40788</v>
      </c>
    </row>
    <row r="8407" spans="1:20">
      <c r="A8407">
        <v>4672612</v>
      </c>
      <c r="B8407" t="s">
        <v>40789</v>
      </c>
      <c r="C8407" t="str">
        <f>"9780802098795"</f>
        <v>9780802098795</v>
      </c>
      <c r="D8407" t="str">
        <f>"9781442688339"</f>
        <v>9781442688339</v>
      </c>
      <c r="E8407" t="s">
        <v>31435</v>
      </c>
      <c r="F8407" t="s">
        <v>31435</v>
      </c>
      <c r="G8407" s="1">
        <v>39448</v>
      </c>
      <c r="I8407" t="s">
        <v>33899</v>
      </c>
      <c r="J8407" t="s">
        <v>40790</v>
      </c>
      <c r="K8407" t="s">
        <v>1464</v>
      </c>
      <c r="L8407" t="s">
        <v>40791</v>
      </c>
      <c r="M8407" t="s">
        <v>40792</v>
      </c>
      <c r="O8407" t="s">
        <v>26</v>
      </c>
      <c r="Q8407">
        <v>107.5</v>
      </c>
      <c r="R8407">
        <v>86</v>
      </c>
      <c r="S8407">
        <v>129</v>
      </c>
      <c r="T8407" t="s">
        <v>40793</v>
      </c>
    </row>
    <row r="8408" spans="1:20">
      <c r="A8408">
        <v>4672613</v>
      </c>
      <c r="B8408" t="s">
        <v>40794</v>
      </c>
      <c r="C8408" t="str">
        <f>"9780802096340"</f>
        <v>9780802096340</v>
      </c>
      <c r="D8408" t="str">
        <f>"9781442688353"</f>
        <v>9781442688353</v>
      </c>
      <c r="E8408" t="s">
        <v>31435</v>
      </c>
      <c r="F8408" t="s">
        <v>31435</v>
      </c>
      <c r="G8408" s="1">
        <v>39809</v>
      </c>
      <c r="J8408" t="s">
        <v>40795</v>
      </c>
      <c r="K8408" t="s">
        <v>6444</v>
      </c>
      <c r="L8408" t="s">
        <v>40796</v>
      </c>
      <c r="M8408">
        <v>327.71</v>
      </c>
      <c r="O8408" t="s">
        <v>26</v>
      </c>
      <c r="Q8408">
        <v>92.5</v>
      </c>
      <c r="R8408">
        <v>74</v>
      </c>
      <c r="S8408">
        <v>111</v>
      </c>
      <c r="T8408" t="s">
        <v>40797</v>
      </c>
    </row>
    <row r="8409" spans="1:20">
      <c r="A8409">
        <v>4672614</v>
      </c>
      <c r="B8409" t="s">
        <v>40798</v>
      </c>
      <c r="C8409" t="str">
        <f>"9780802098801"</f>
        <v>9780802098801</v>
      </c>
      <c r="D8409" t="str">
        <f>"9781442688360"</f>
        <v>9781442688360</v>
      </c>
      <c r="E8409" t="s">
        <v>31435</v>
      </c>
      <c r="F8409" t="s">
        <v>31435</v>
      </c>
      <c r="G8409" s="1">
        <v>39697</v>
      </c>
      <c r="H8409">
        <v>2</v>
      </c>
      <c r="I8409" t="s">
        <v>36249</v>
      </c>
      <c r="J8409" t="s">
        <v>40799</v>
      </c>
      <c r="K8409" t="s">
        <v>574</v>
      </c>
      <c r="L8409" t="s">
        <v>40800</v>
      </c>
      <c r="M8409" t="s">
        <v>40801</v>
      </c>
      <c r="O8409" t="s">
        <v>26</v>
      </c>
      <c r="Q8409">
        <v>107.5</v>
      </c>
      <c r="R8409">
        <v>86</v>
      </c>
      <c r="S8409">
        <v>129</v>
      </c>
      <c r="T8409" t="s">
        <v>40802</v>
      </c>
    </row>
    <row r="8410" spans="1:20">
      <c r="A8410">
        <v>4672615</v>
      </c>
      <c r="B8410" t="s">
        <v>40803</v>
      </c>
      <c r="C8410" t="str">
        <f>"9780802097422"</f>
        <v>9780802097422</v>
      </c>
      <c r="D8410" t="str">
        <f>"9781442688377"</f>
        <v>9781442688377</v>
      </c>
      <c r="E8410" t="s">
        <v>31435</v>
      </c>
      <c r="F8410" t="s">
        <v>31435</v>
      </c>
      <c r="G8410" s="1">
        <v>39387</v>
      </c>
      <c r="I8410" t="s">
        <v>34756</v>
      </c>
      <c r="J8410" t="s">
        <v>16032</v>
      </c>
      <c r="K8410" t="s">
        <v>1464</v>
      </c>
      <c r="L8410" t="s">
        <v>40804</v>
      </c>
      <c r="M8410">
        <v>801.95092</v>
      </c>
      <c r="N8410" t="s">
        <v>38088</v>
      </c>
      <c r="O8410" t="s">
        <v>26</v>
      </c>
      <c r="Q8410">
        <v>302.5</v>
      </c>
      <c r="R8410">
        <v>242</v>
      </c>
      <c r="S8410">
        <v>363</v>
      </c>
      <c r="T8410" t="s">
        <v>40805</v>
      </c>
    </row>
    <row r="8411" spans="1:20">
      <c r="A8411">
        <v>4672618</v>
      </c>
      <c r="B8411" t="s">
        <v>40806</v>
      </c>
      <c r="C8411" t="str">
        <f>"9780802042750"</f>
        <v>9780802042750</v>
      </c>
      <c r="D8411" t="str">
        <f>"9781442688391"</f>
        <v>9781442688391</v>
      </c>
      <c r="E8411" t="s">
        <v>31435</v>
      </c>
      <c r="F8411" t="s">
        <v>31435</v>
      </c>
      <c r="G8411" s="1">
        <v>36996</v>
      </c>
      <c r="J8411" t="s">
        <v>40807</v>
      </c>
      <c r="K8411" t="s">
        <v>525</v>
      </c>
      <c r="L8411" t="s">
        <v>40808</v>
      </c>
      <c r="M8411">
        <v>349.71019000000001</v>
      </c>
      <c r="N8411" t="s">
        <v>40809</v>
      </c>
      <c r="O8411" t="s">
        <v>26</v>
      </c>
      <c r="Q8411">
        <v>108.75</v>
      </c>
      <c r="R8411">
        <v>87</v>
      </c>
      <c r="S8411">
        <v>130.5</v>
      </c>
      <c r="T8411" t="s">
        <v>40810</v>
      </c>
    </row>
    <row r="8412" spans="1:20">
      <c r="A8412">
        <v>4672622</v>
      </c>
      <c r="B8412" t="s">
        <v>40811</v>
      </c>
      <c r="C8412" t="str">
        <f>"9780802096203"</f>
        <v>9780802096203</v>
      </c>
      <c r="D8412" t="str">
        <f>"9781442688421"</f>
        <v>9781442688421</v>
      </c>
      <c r="E8412" t="s">
        <v>31435</v>
      </c>
      <c r="F8412" t="s">
        <v>31435</v>
      </c>
      <c r="G8412" s="1">
        <v>39814</v>
      </c>
      <c r="I8412" t="s">
        <v>35779</v>
      </c>
      <c r="J8412" t="s">
        <v>40812</v>
      </c>
      <c r="K8412" t="s">
        <v>1859</v>
      </c>
      <c r="L8412" t="s">
        <v>40813</v>
      </c>
      <c r="M8412">
        <v>111</v>
      </c>
      <c r="O8412" t="s">
        <v>26</v>
      </c>
      <c r="Q8412">
        <v>87.5</v>
      </c>
      <c r="R8412">
        <v>70</v>
      </c>
      <c r="S8412">
        <v>105</v>
      </c>
      <c r="T8412" t="s">
        <v>40814</v>
      </c>
    </row>
    <row r="8413" spans="1:20">
      <c r="A8413">
        <v>4672625</v>
      </c>
      <c r="B8413" t="s">
        <v>40815</v>
      </c>
      <c r="C8413" t="str">
        <f>"9780802099136"</f>
        <v>9780802099136</v>
      </c>
      <c r="D8413" t="str">
        <f>"9781442688469"</f>
        <v>9781442688469</v>
      </c>
      <c r="E8413" t="s">
        <v>31435</v>
      </c>
      <c r="F8413" t="s">
        <v>31435</v>
      </c>
      <c r="G8413" s="1">
        <v>39448</v>
      </c>
      <c r="H8413">
        <v>2</v>
      </c>
      <c r="I8413" t="s">
        <v>33881</v>
      </c>
      <c r="J8413" t="s">
        <v>40816</v>
      </c>
      <c r="K8413" t="s">
        <v>525</v>
      </c>
      <c r="L8413" t="s">
        <v>40817</v>
      </c>
      <c r="M8413" t="s">
        <v>40818</v>
      </c>
      <c r="O8413" t="s">
        <v>26</v>
      </c>
      <c r="Q8413">
        <v>92.5</v>
      </c>
      <c r="R8413">
        <v>74</v>
      </c>
      <c r="S8413">
        <v>111</v>
      </c>
      <c r="T8413" t="s">
        <v>40819</v>
      </c>
    </row>
    <row r="8414" spans="1:20">
      <c r="A8414">
        <v>4672626</v>
      </c>
      <c r="B8414" t="s">
        <v>40820</v>
      </c>
      <c r="C8414" t="str">
        <f>"9780802090010"</f>
        <v>9780802090010</v>
      </c>
      <c r="D8414" t="str">
        <f>"9781442688476"</f>
        <v>9781442688476</v>
      </c>
      <c r="E8414" t="s">
        <v>31435</v>
      </c>
      <c r="F8414" t="s">
        <v>31435</v>
      </c>
      <c r="G8414" s="1">
        <v>39720</v>
      </c>
      <c r="H8414">
        <v>2</v>
      </c>
      <c r="J8414" t="s">
        <v>40821</v>
      </c>
      <c r="K8414" t="s">
        <v>525</v>
      </c>
      <c r="L8414" t="s">
        <v>40822</v>
      </c>
      <c r="M8414">
        <v>340.11500000000001</v>
      </c>
      <c r="O8414" t="s">
        <v>26</v>
      </c>
      <c r="Q8414">
        <v>107.5</v>
      </c>
      <c r="R8414">
        <v>86</v>
      </c>
      <c r="S8414">
        <v>129</v>
      </c>
      <c r="T8414" t="s">
        <v>40823</v>
      </c>
    </row>
    <row r="8415" spans="1:20">
      <c r="A8415">
        <v>4672628</v>
      </c>
      <c r="B8415" t="s">
        <v>40824</v>
      </c>
      <c r="C8415" t="str">
        <f>"9780802097552"</f>
        <v>9780802097552</v>
      </c>
      <c r="D8415" t="str">
        <f>"9781442688490"</f>
        <v>9781442688490</v>
      </c>
      <c r="E8415" t="s">
        <v>31435</v>
      </c>
      <c r="F8415" t="s">
        <v>31435</v>
      </c>
      <c r="G8415" s="1">
        <v>39448</v>
      </c>
      <c r="H8415">
        <v>2</v>
      </c>
      <c r="J8415" t="s">
        <v>40825</v>
      </c>
      <c r="K8415" t="s">
        <v>263</v>
      </c>
      <c r="L8415" t="s">
        <v>40826</v>
      </c>
      <c r="M8415">
        <v>306.89999999999901</v>
      </c>
      <c r="O8415" t="s">
        <v>26</v>
      </c>
      <c r="Q8415">
        <v>75</v>
      </c>
      <c r="R8415">
        <v>60</v>
      </c>
      <c r="S8415">
        <v>90</v>
      </c>
      <c r="T8415" t="s">
        <v>40827</v>
      </c>
    </row>
    <row r="8416" spans="1:20">
      <c r="A8416">
        <v>4672629</v>
      </c>
      <c r="B8416" t="s">
        <v>40828</v>
      </c>
      <c r="C8416" t="str">
        <f>"9780802098559"</f>
        <v>9780802098559</v>
      </c>
      <c r="D8416" t="str">
        <f>"9781442688513"</f>
        <v>9781442688513</v>
      </c>
      <c r="E8416" t="s">
        <v>31435</v>
      </c>
      <c r="F8416" t="s">
        <v>31435</v>
      </c>
      <c r="G8416" s="1">
        <v>39790</v>
      </c>
      <c r="H8416">
        <v>2</v>
      </c>
      <c r="I8416" t="s">
        <v>34765</v>
      </c>
      <c r="J8416" t="s">
        <v>40829</v>
      </c>
      <c r="K8416" t="s">
        <v>1859</v>
      </c>
      <c r="L8416" t="s">
        <v>40830</v>
      </c>
      <c r="M8416">
        <v>191</v>
      </c>
      <c r="O8416" t="s">
        <v>26</v>
      </c>
      <c r="Q8416">
        <v>122.5</v>
      </c>
      <c r="R8416">
        <v>98</v>
      </c>
      <c r="S8416">
        <v>147</v>
      </c>
      <c r="T8416" t="s">
        <v>40831</v>
      </c>
    </row>
    <row r="8417" spans="1:20">
      <c r="A8417">
        <v>4672630</v>
      </c>
      <c r="B8417" t="s">
        <v>40832</v>
      </c>
      <c r="C8417" t="str">
        <f>"9780802097880"</f>
        <v>9780802097880</v>
      </c>
      <c r="D8417" t="str">
        <f>"9781442688520"</f>
        <v>9781442688520</v>
      </c>
      <c r="E8417" t="s">
        <v>31435</v>
      </c>
      <c r="F8417" t="s">
        <v>31435</v>
      </c>
      <c r="G8417" s="1">
        <v>39711</v>
      </c>
      <c r="H8417">
        <v>2</v>
      </c>
      <c r="J8417" t="s">
        <v>40833</v>
      </c>
      <c r="K8417" t="s">
        <v>1859</v>
      </c>
      <c r="L8417" t="s">
        <v>40834</v>
      </c>
      <c r="M8417" t="s">
        <v>40835</v>
      </c>
      <c r="O8417" t="s">
        <v>26</v>
      </c>
      <c r="Q8417">
        <v>75</v>
      </c>
      <c r="R8417">
        <v>60</v>
      </c>
      <c r="S8417">
        <v>90</v>
      </c>
      <c r="T8417" t="s">
        <v>40836</v>
      </c>
    </row>
    <row r="8418" spans="1:20">
      <c r="A8418">
        <v>4672631</v>
      </c>
      <c r="B8418" t="s">
        <v>40837</v>
      </c>
      <c r="C8418" t="str">
        <f>"9780802092885"</f>
        <v>9780802092885</v>
      </c>
      <c r="D8418" t="str">
        <f>"9781442688537"</f>
        <v>9781442688537</v>
      </c>
      <c r="E8418" t="s">
        <v>31435</v>
      </c>
      <c r="F8418" t="s">
        <v>31435</v>
      </c>
      <c r="G8418" s="1">
        <v>39387</v>
      </c>
      <c r="H8418">
        <v>2</v>
      </c>
      <c r="J8418" t="s">
        <v>40838</v>
      </c>
      <c r="K8418" t="s">
        <v>10089</v>
      </c>
      <c r="L8418" t="s">
        <v>40839</v>
      </c>
      <c r="M8418" t="s">
        <v>40840</v>
      </c>
      <c r="N8418" t="s">
        <v>40841</v>
      </c>
      <c r="O8418" t="s">
        <v>26</v>
      </c>
      <c r="Q8418">
        <v>107.5</v>
      </c>
      <c r="R8418">
        <v>86</v>
      </c>
      <c r="S8418">
        <v>129</v>
      </c>
      <c r="T8418" t="s">
        <v>40842</v>
      </c>
    </row>
    <row r="8419" spans="1:20">
      <c r="A8419">
        <v>4672633</v>
      </c>
      <c r="B8419" t="s">
        <v>40843</v>
      </c>
      <c r="C8419" t="str">
        <f>"9780802078285"</f>
        <v>9780802078285</v>
      </c>
      <c r="D8419" t="str">
        <f>"9781442688551"</f>
        <v>9781442688551</v>
      </c>
      <c r="E8419" t="s">
        <v>31435</v>
      </c>
      <c r="F8419" t="s">
        <v>31435</v>
      </c>
      <c r="G8419" s="1">
        <v>39369</v>
      </c>
      <c r="H8419">
        <v>2</v>
      </c>
      <c r="J8419" t="s">
        <v>40844</v>
      </c>
      <c r="K8419" t="s">
        <v>291</v>
      </c>
      <c r="L8419" t="s">
        <v>40845</v>
      </c>
      <c r="M8419" t="s">
        <v>40846</v>
      </c>
      <c r="N8419" t="s">
        <v>40847</v>
      </c>
      <c r="O8419" t="s">
        <v>26</v>
      </c>
      <c r="Q8419">
        <v>83.75</v>
      </c>
      <c r="R8419">
        <v>67</v>
      </c>
      <c r="S8419">
        <v>100.5</v>
      </c>
      <c r="T8419" t="s">
        <v>40848</v>
      </c>
    </row>
    <row r="8420" spans="1:20">
      <c r="A8420">
        <v>4672635</v>
      </c>
      <c r="B8420" t="s">
        <v>40849</v>
      </c>
      <c r="C8420" t="str">
        <f>"9780802097521"</f>
        <v>9780802097521</v>
      </c>
      <c r="D8420" t="str">
        <f>"9781442688605"</f>
        <v>9781442688605</v>
      </c>
      <c r="E8420" t="s">
        <v>31435</v>
      </c>
      <c r="F8420" t="s">
        <v>31435</v>
      </c>
      <c r="G8420" s="1">
        <v>39494</v>
      </c>
      <c r="H8420">
        <v>2</v>
      </c>
      <c r="I8420" t="s">
        <v>34765</v>
      </c>
      <c r="J8420" t="s">
        <v>40850</v>
      </c>
      <c r="K8420" t="s">
        <v>1859</v>
      </c>
      <c r="L8420" t="s">
        <v>40851</v>
      </c>
      <c r="M8420">
        <v>191</v>
      </c>
      <c r="O8420" t="s">
        <v>26</v>
      </c>
      <c r="Q8420">
        <v>122.5</v>
      </c>
      <c r="R8420">
        <v>98</v>
      </c>
      <c r="S8420">
        <v>147</v>
      </c>
      <c r="T8420" t="s">
        <v>40852</v>
      </c>
    </row>
    <row r="8421" spans="1:20">
      <c r="A8421">
        <v>4672636</v>
      </c>
      <c r="B8421" t="s">
        <v>40853</v>
      </c>
      <c r="C8421" t="str">
        <f>"9780802092335"</f>
        <v>9780802092335</v>
      </c>
      <c r="D8421" t="str">
        <f>"9781442688629"</f>
        <v>9781442688629</v>
      </c>
      <c r="E8421" t="s">
        <v>31435</v>
      </c>
      <c r="F8421" t="s">
        <v>31435</v>
      </c>
      <c r="G8421" s="1">
        <v>39479</v>
      </c>
      <c r="H8421">
        <v>2</v>
      </c>
      <c r="I8421" t="s">
        <v>36249</v>
      </c>
      <c r="J8421" t="s">
        <v>40854</v>
      </c>
      <c r="K8421" t="s">
        <v>13594</v>
      </c>
      <c r="L8421" t="s">
        <v>40855</v>
      </c>
      <c r="M8421" t="s">
        <v>40856</v>
      </c>
      <c r="N8421" t="s">
        <v>40857</v>
      </c>
      <c r="O8421" t="s">
        <v>26</v>
      </c>
      <c r="Q8421">
        <v>92.5</v>
      </c>
      <c r="R8421">
        <v>74</v>
      </c>
      <c r="S8421">
        <v>111</v>
      </c>
      <c r="T8421" t="s">
        <v>40858</v>
      </c>
    </row>
    <row r="8422" spans="1:20">
      <c r="A8422">
        <v>4672637</v>
      </c>
      <c r="B8422" t="s">
        <v>40859</v>
      </c>
      <c r="C8422" t="str">
        <f>"9780802094933"</f>
        <v>9780802094933</v>
      </c>
      <c r="D8422" t="str">
        <f>"9781442688636"</f>
        <v>9781442688636</v>
      </c>
      <c r="E8422" t="s">
        <v>31435</v>
      </c>
      <c r="F8422" t="s">
        <v>31435</v>
      </c>
      <c r="G8422" s="1">
        <v>39446</v>
      </c>
      <c r="J8422" t="s">
        <v>40860</v>
      </c>
      <c r="K8422" t="s">
        <v>1471</v>
      </c>
      <c r="L8422" t="s">
        <v>40861</v>
      </c>
      <c r="M8422">
        <v>791.43097299999897</v>
      </c>
      <c r="N8422" t="s">
        <v>40862</v>
      </c>
      <c r="O8422" t="s">
        <v>26</v>
      </c>
      <c r="Q8422">
        <v>148.75</v>
      </c>
      <c r="R8422">
        <v>119</v>
      </c>
      <c r="S8422">
        <v>178.5</v>
      </c>
      <c r="T8422" t="s">
        <v>40863</v>
      </c>
    </row>
    <row r="8423" spans="1:20">
      <c r="A8423">
        <v>4672638</v>
      </c>
      <c r="B8423" t="s">
        <v>40864</v>
      </c>
      <c r="C8423" t="str">
        <f>"9780802097699"</f>
        <v>9780802097699</v>
      </c>
      <c r="D8423" t="str">
        <f>"9781442688643"</f>
        <v>9781442688643</v>
      </c>
      <c r="E8423" t="s">
        <v>31435</v>
      </c>
      <c r="F8423" t="s">
        <v>31435</v>
      </c>
      <c r="G8423" s="1">
        <v>39539</v>
      </c>
      <c r="H8423">
        <v>2</v>
      </c>
      <c r="J8423" t="s">
        <v>13721</v>
      </c>
      <c r="K8423" t="s">
        <v>1464</v>
      </c>
      <c r="L8423" t="s">
        <v>40865</v>
      </c>
      <c r="M8423">
        <v>820.9</v>
      </c>
      <c r="N8423" t="s">
        <v>40866</v>
      </c>
      <c r="O8423" t="s">
        <v>26</v>
      </c>
      <c r="Q8423">
        <v>107.5</v>
      </c>
      <c r="R8423">
        <v>86</v>
      </c>
      <c r="S8423">
        <v>129</v>
      </c>
      <c r="T8423" t="s">
        <v>40867</v>
      </c>
    </row>
    <row r="8424" spans="1:20">
      <c r="A8424">
        <v>4672639</v>
      </c>
      <c r="B8424" t="s">
        <v>40868</v>
      </c>
      <c r="C8424" t="str">
        <f>"9781442610873"</f>
        <v>9781442610873</v>
      </c>
      <c r="D8424" t="str">
        <f>"9781442688674"</f>
        <v>9781442688674</v>
      </c>
      <c r="E8424" t="s">
        <v>31435</v>
      </c>
      <c r="F8424" t="s">
        <v>31435</v>
      </c>
      <c r="G8424" s="1">
        <v>39501</v>
      </c>
      <c r="H8424">
        <v>2</v>
      </c>
      <c r="I8424" t="s">
        <v>35203</v>
      </c>
      <c r="J8424" t="s">
        <v>40869</v>
      </c>
      <c r="K8424" t="s">
        <v>1464</v>
      </c>
      <c r="L8424" t="s">
        <v>40870</v>
      </c>
      <c r="M8424" t="s">
        <v>35516</v>
      </c>
      <c r="O8424" t="s">
        <v>26</v>
      </c>
      <c r="Q8424">
        <v>67.5</v>
      </c>
      <c r="R8424">
        <v>54</v>
      </c>
      <c r="S8424">
        <v>81</v>
      </c>
      <c r="T8424" t="s">
        <v>40871</v>
      </c>
    </row>
    <row r="8425" spans="1:20">
      <c r="A8425">
        <v>4672644</v>
      </c>
      <c r="B8425" t="s">
        <v>40872</v>
      </c>
      <c r="C8425" t="str">
        <f>"9781442610422"</f>
        <v>9781442610422</v>
      </c>
      <c r="D8425" t="str">
        <f>"9781442688735"</f>
        <v>9781442688735</v>
      </c>
      <c r="E8425" t="s">
        <v>31435</v>
      </c>
      <c r="F8425" t="s">
        <v>31435</v>
      </c>
      <c r="G8425" s="1">
        <v>39938</v>
      </c>
      <c r="I8425" t="s">
        <v>33827</v>
      </c>
      <c r="J8425" t="s">
        <v>40873</v>
      </c>
      <c r="K8425" t="s">
        <v>1186</v>
      </c>
      <c r="L8425" t="s">
        <v>40874</v>
      </c>
      <c r="M8425">
        <v>364.01</v>
      </c>
      <c r="O8425" t="s">
        <v>26</v>
      </c>
      <c r="Q8425">
        <v>77.5</v>
      </c>
      <c r="R8425">
        <v>62</v>
      </c>
      <c r="S8425">
        <v>93</v>
      </c>
      <c r="T8425" t="s">
        <v>40875</v>
      </c>
    </row>
    <row r="8426" spans="1:20">
      <c r="A8426">
        <v>4672645</v>
      </c>
      <c r="B8426" t="s">
        <v>40876</v>
      </c>
      <c r="C8426" t="str">
        <f>"9780802098382"</f>
        <v>9780802098382</v>
      </c>
      <c r="D8426" t="str">
        <f>"9781442688742"</f>
        <v>9781442688742</v>
      </c>
      <c r="E8426" t="s">
        <v>31435</v>
      </c>
      <c r="F8426" t="s">
        <v>31435</v>
      </c>
      <c r="G8426" s="1">
        <v>39928</v>
      </c>
      <c r="I8426" t="s">
        <v>35029</v>
      </c>
      <c r="J8426" t="s">
        <v>40877</v>
      </c>
      <c r="K8426" t="s">
        <v>1859</v>
      </c>
      <c r="L8426" t="s">
        <v>40878</v>
      </c>
      <c r="M8426">
        <v>160</v>
      </c>
      <c r="O8426" t="s">
        <v>26</v>
      </c>
      <c r="Q8426">
        <v>72.5</v>
      </c>
      <c r="R8426">
        <v>58</v>
      </c>
      <c r="S8426">
        <v>87</v>
      </c>
      <c r="T8426" t="s">
        <v>40879</v>
      </c>
    </row>
    <row r="8427" spans="1:20">
      <c r="A8427">
        <v>4672647</v>
      </c>
      <c r="B8427" t="s">
        <v>40880</v>
      </c>
      <c r="C8427" t="str">
        <f>"9780802092892"</f>
        <v>9780802092892</v>
      </c>
      <c r="D8427" t="str">
        <f>"9781442688797"</f>
        <v>9781442688797</v>
      </c>
      <c r="E8427" t="s">
        <v>31435</v>
      </c>
      <c r="F8427" t="s">
        <v>31435</v>
      </c>
      <c r="G8427" s="1">
        <v>39356</v>
      </c>
      <c r="H8427">
        <v>2</v>
      </c>
      <c r="I8427" t="s">
        <v>33827</v>
      </c>
      <c r="J8427" t="s">
        <v>40881</v>
      </c>
      <c r="K8427" t="s">
        <v>263</v>
      </c>
      <c r="L8427" t="s">
        <v>40882</v>
      </c>
      <c r="M8427">
        <v>306.70100000000002</v>
      </c>
      <c r="N8427" t="s">
        <v>40883</v>
      </c>
      <c r="O8427" t="s">
        <v>26</v>
      </c>
      <c r="Q8427">
        <v>141.25</v>
      </c>
      <c r="R8427">
        <v>113</v>
      </c>
      <c r="S8427">
        <v>169.5</v>
      </c>
      <c r="T8427" t="s">
        <v>40884</v>
      </c>
    </row>
    <row r="8428" spans="1:20">
      <c r="A8428">
        <v>4672648</v>
      </c>
      <c r="B8428" t="s">
        <v>40885</v>
      </c>
      <c r="C8428" t="str">
        <f>"9780802099242"</f>
        <v>9780802099242</v>
      </c>
      <c r="D8428" t="str">
        <f>"9781442688803"</f>
        <v>9781442688803</v>
      </c>
      <c r="E8428" t="s">
        <v>31435</v>
      </c>
      <c r="F8428" t="s">
        <v>31435</v>
      </c>
      <c r="G8428" s="1">
        <v>39907</v>
      </c>
      <c r="I8428" t="s">
        <v>35188</v>
      </c>
      <c r="J8428" t="s">
        <v>40886</v>
      </c>
      <c r="K8428" t="s">
        <v>1471</v>
      </c>
      <c r="L8428" t="s">
        <v>40887</v>
      </c>
      <c r="M8428" t="s">
        <v>40888</v>
      </c>
      <c r="O8428" t="s">
        <v>26</v>
      </c>
      <c r="Q8428">
        <v>103.75</v>
      </c>
      <c r="R8428">
        <v>83</v>
      </c>
      <c r="S8428">
        <v>124.5</v>
      </c>
      <c r="T8428" t="s">
        <v>40889</v>
      </c>
    </row>
    <row r="8429" spans="1:20">
      <c r="A8429">
        <v>4672649</v>
      </c>
      <c r="B8429" t="s">
        <v>40890</v>
      </c>
      <c r="C8429" t="str">
        <f>"9780802098450"</f>
        <v>9780802098450</v>
      </c>
      <c r="D8429" t="str">
        <f>"9781442688810"</f>
        <v>9781442688810</v>
      </c>
      <c r="E8429" t="s">
        <v>31435</v>
      </c>
      <c r="F8429" t="s">
        <v>31435</v>
      </c>
      <c r="G8429" s="1">
        <v>39600</v>
      </c>
      <c r="H8429">
        <v>2</v>
      </c>
      <c r="I8429" t="s">
        <v>35034</v>
      </c>
      <c r="J8429" t="s">
        <v>40891</v>
      </c>
      <c r="K8429" t="s">
        <v>1464</v>
      </c>
      <c r="L8429" t="s">
        <v>40892</v>
      </c>
      <c r="M8429" t="s">
        <v>40893</v>
      </c>
      <c r="N8429" t="s">
        <v>40894</v>
      </c>
      <c r="O8429" t="s">
        <v>26</v>
      </c>
      <c r="Q8429">
        <v>92.5</v>
      </c>
      <c r="R8429">
        <v>74</v>
      </c>
      <c r="S8429">
        <v>111</v>
      </c>
      <c r="T8429" t="s">
        <v>40895</v>
      </c>
    </row>
    <row r="8430" spans="1:20">
      <c r="A8430">
        <v>4672652</v>
      </c>
      <c r="B8430" t="s">
        <v>40896</v>
      </c>
      <c r="C8430" t="str">
        <f>"9780802091901"</f>
        <v>9780802091901</v>
      </c>
      <c r="D8430" t="str">
        <f>"9781442688841"</f>
        <v>9781442688841</v>
      </c>
      <c r="E8430" t="s">
        <v>31435</v>
      </c>
      <c r="F8430" t="s">
        <v>31435</v>
      </c>
      <c r="G8430" s="1">
        <v>39446</v>
      </c>
      <c r="H8430">
        <v>2</v>
      </c>
      <c r="J8430" t="s">
        <v>40897</v>
      </c>
      <c r="K8430" t="s">
        <v>467</v>
      </c>
      <c r="L8430" t="s">
        <v>40898</v>
      </c>
      <c r="M8430" t="s">
        <v>23170</v>
      </c>
      <c r="N8430" t="s">
        <v>40899</v>
      </c>
      <c r="O8430" t="s">
        <v>26</v>
      </c>
      <c r="Q8430">
        <v>92.5</v>
      </c>
      <c r="R8430">
        <v>74</v>
      </c>
      <c r="S8430">
        <v>111</v>
      </c>
      <c r="T8430" t="s">
        <v>40900</v>
      </c>
    </row>
    <row r="8431" spans="1:20">
      <c r="A8431">
        <v>4672653</v>
      </c>
      <c r="B8431" t="s">
        <v>40901</v>
      </c>
      <c r="C8431" t="str">
        <f>"9780802091581"</f>
        <v>9780802091581</v>
      </c>
      <c r="D8431" t="str">
        <f>"9781442688858"</f>
        <v>9781442688858</v>
      </c>
      <c r="E8431" t="s">
        <v>31435</v>
      </c>
      <c r="F8431" t="s">
        <v>31435</v>
      </c>
      <c r="G8431" s="1">
        <v>39949</v>
      </c>
      <c r="H8431">
        <v>2</v>
      </c>
      <c r="I8431" t="s">
        <v>33792</v>
      </c>
      <c r="J8431" t="s">
        <v>40902</v>
      </c>
      <c r="K8431" t="s">
        <v>1464</v>
      </c>
      <c r="L8431" t="s">
        <v>40903</v>
      </c>
      <c r="M8431" t="s">
        <v>40904</v>
      </c>
      <c r="O8431" t="s">
        <v>26</v>
      </c>
      <c r="Q8431">
        <v>118.75</v>
      </c>
      <c r="R8431">
        <v>95</v>
      </c>
      <c r="S8431">
        <v>142.5</v>
      </c>
      <c r="T8431" t="s">
        <v>40905</v>
      </c>
    </row>
    <row r="8432" spans="1:20">
      <c r="A8432">
        <v>4672654</v>
      </c>
      <c r="B8432" t="s">
        <v>40906</v>
      </c>
      <c r="C8432" t="str">
        <f>"9780802035868"</f>
        <v>9780802035868</v>
      </c>
      <c r="D8432" t="str">
        <f>"9781442688865"</f>
        <v>9781442688865</v>
      </c>
      <c r="E8432" t="s">
        <v>31435</v>
      </c>
      <c r="F8432" t="s">
        <v>31435</v>
      </c>
      <c r="G8432" s="1">
        <v>39585</v>
      </c>
      <c r="I8432" t="s">
        <v>40907</v>
      </c>
      <c r="J8432" t="s">
        <v>40908</v>
      </c>
      <c r="K8432" t="s">
        <v>28708</v>
      </c>
      <c r="L8432" t="s">
        <v>40909</v>
      </c>
      <c r="M8432" t="s">
        <v>40910</v>
      </c>
      <c r="O8432" t="s">
        <v>26</v>
      </c>
      <c r="Q8432">
        <v>367.5</v>
      </c>
      <c r="R8432">
        <v>294</v>
      </c>
      <c r="S8432">
        <v>441</v>
      </c>
      <c r="T8432" t="s">
        <v>40911</v>
      </c>
    </row>
    <row r="8433" spans="1:20">
      <c r="A8433">
        <v>4672656</v>
      </c>
      <c r="B8433" t="s">
        <v>40912</v>
      </c>
      <c r="C8433" t="str">
        <f>"9780802086297"</f>
        <v>9780802086297</v>
      </c>
      <c r="D8433" t="str">
        <f>"9781442688896"</f>
        <v>9781442688896</v>
      </c>
      <c r="E8433" t="s">
        <v>31435</v>
      </c>
      <c r="F8433" t="s">
        <v>31435</v>
      </c>
      <c r="G8433" s="1">
        <v>39543</v>
      </c>
      <c r="H8433">
        <v>2</v>
      </c>
      <c r="J8433" t="s">
        <v>40913</v>
      </c>
      <c r="K8433" t="s">
        <v>263</v>
      </c>
      <c r="L8433" t="s">
        <v>40914</v>
      </c>
      <c r="M8433" t="s">
        <v>40915</v>
      </c>
      <c r="N8433" t="s">
        <v>40916</v>
      </c>
      <c r="O8433" t="s">
        <v>26</v>
      </c>
      <c r="Q8433">
        <v>122.5</v>
      </c>
      <c r="R8433">
        <v>98</v>
      </c>
      <c r="S8433">
        <v>147</v>
      </c>
      <c r="T8433" t="s">
        <v>40917</v>
      </c>
    </row>
    <row r="8434" spans="1:20">
      <c r="A8434">
        <v>4672659</v>
      </c>
      <c r="B8434" t="s">
        <v>40918</v>
      </c>
      <c r="C8434" t="str">
        <f>"9780802093578"</f>
        <v>9780802093578</v>
      </c>
      <c r="D8434" t="str">
        <f>"9781442688940"</f>
        <v>9781442688940</v>
      </c>
      <c r="E8434" t="s">
        <v>31435</v>
      </c>
      <c r="F8434" t="s">
        <v>31435</v>
      </c>
      <c r="G8434" s="1">
        <v>39614</v>
      </c>
      <c r="I8434" t="s">
        <v>35264</v>
      </c>
      <c r="J8434" t="s">
        <v>40919</v>
      </c>
      <c r="K8434" t="s">
        <v>7075</v>
      </c>
      <c r="L8434" t="s">
        <v>40920</v>
      </c>
      <c r="M8434" t="s">
        <v>40921</v>
      </c>
      <c r="O8434" t="s">
        <v>26</v>
      </c>
      <c r="Q8434">
        <v>92.5</v>
      </c>
      <c r="R8434">
        <v>74</v>
      </c>
      <c r="S8434">
        <v>111</v>
      </c>
      <c r="T8434" t="s">
        <v>40922</v>
      </c>
    </row>
    <row r="8435" spans="1:20">
      <c r="A8435">
        <v>4672662</v>
      </c>
      <c r="B8435" t="s">
        <v>40923</v>
      </c>
      <c r="C8435" t="str">
        <f>"9780802097897"</f>
        <v>9780802097897</v>
      </c>
      <c r="D8435" t="str">
        <f>"9781442689015"</f>
        <v>9781442689015</v>
      </c>
      <c r="E8435" t="s">
        <v>31435</v>
      </c>
      <c r="F8435" t="s">
        <v>31435</v>
      </c>
      <c r="G8435" s="1">
        <v>39697</v>
      </c>
      <c r="I8435" t="s">
        <v>33775</v>
      </c>
      <c r="J8435" t="s">
        <v>40924</v>
      </c>
      <c r="K8435" t="s">
        <v>1464</v>
      </c>
      <c r="L8435" t="s">
        <v>40925</v>
      </c>
      <c r="M8435" t="s">
        <v>40926</v>
      </c>
      <c r="O8435" t="s">
        <v>26</v>
      </c>
      <c r="Q8435">
        <v>122.5</v>
      </c>
      <c r="R8435">
        <v>98</v>
      </c>
      <c r="S8435">
        <v>147</v>
      </c>
      <c r="T8435" t="s">
        <v>40927</v>
      </c>
    </row>
    <row r="8436" spans="1:20">
      <c r="A8436">
        <v>4672666</v>
      </c>
      <c r="B8436" t="s">
        <v>40928</v>
      </c>
      <c r="C8436" t="str">
        <f>"9780802097453"</f>
        <v>9780802097453</v>
      </c>
      <c r="D8436" t="str">
        <f>"9781442689053"</f>
        <v>9781442689053</v>
      </c>
      <c r="E8436" t="s">
        <v>31435</v>
      </c>
      <c r="F8436" t="s">
        <v>31435</v>
      </c>
      <c r="G8436" s="1">
        <v>39445</v>
      </c>
      <c r="J8436" t="s">
        <v>40929</v>
      </c>
      <c r="K8436" t="s">
        <v>1464</v>
      </c>
      <c r="L8436" t="s">
        <v>40930</v>
      </c>
      <c r="M8436" t="s">
        <v>39815</v>
      </c>
      <c r="N8436" t="s">
        <v>40931</v>
      </c>
      <c r="O8436" t="s">
        <v>26</v>
      </c>
      <c r="Q8436">
        <v>122.5</v>
      </c>
      <c r="R8436">
        <v>98</v>
      </c>
      <c r="S8436">
        <v>147</v>
      </c>
      <c r="T8436" t="s">
        <v>40932</v>
      </c>
    </row>
    <row r="8437" spans="1:20">
      <c r="A8437">
        <v>4672668</v>
      </c>
      <c r="B8437" t="s">
        <v>40933</v>
      </c>
      <c r="C8437" t="str">
        <f>"9780802093523"</f>
        <v>9780802093523</v>
      </c>
      <c r="D8437" t="str">
        <f>"9781442689077"</f>
        <v>9781442689077</v>
      </c>
      <c r="E8437" t="s">
        <v>31435</v>
      </c>
      <c r="F8437" t="s">
        <v>31435</v>
      </c>
      <c r="G8437" s="1">
        <v>39942</v>
      </c>
      <c r="I8437" t="s">
        <v>35203</v>
      </c>
      <c r="J8437" t="s">
        <v>40934</v>
      </c>
      <c r="K8437" t="s">
        <v>1464</v>
      </c>
      <c r="L8437" t="s">
        <v>40935</v>
      </c>
      <c r="M8437" t="s">
        <v>33795</v>
      </c>
      <c r="N8437" t="s">
        <v>40936</v>
      </c>
      <c r="O8437" t="s">
        <v>26</v>
      </c>
      <c r="Q8437">
        <v>118.75</v>
      </c>
      <c r="R8437">
        <v>95</v>
      </c>
      <c r="S8437">
        <v>142.5</v>
      </c>
      <c r="T8437" t="s">
        <v>40937</v>
      </c>
    </row>
    <row r="8438" spans="1:20">
      <c r="A8438">
        <v>4672669</v>
      </c>
      <c r="B8438" t="s">
        <v>40938</v>
      </c>
      <c r="C8438" t="str">
        <f>"9780802093691"</f>
        <v>9780802093691</v>
      </c>
      <c r="D8438" t="str">
        <f>"9781442689084"</f>
        <v>9781442689084</v>
      </c>
      <c r="E8438" t="s">
        <v>31435</v>
      </c>
      <c r="F8438" t="s">
        <v>31435</v>
      </c>
      <c r="G8438" s="1">
        <v>39814</v>
      </c>
      <c r="J8438" t="s">
        <v>40939</v>
      </c>
      <c r="K8438" t="s">
        <v>7075</v>
      </c>
      <c r="L8438" t="s">
        <v>40940</v>
      </c>
      <c r="M8438">
        <v>91.094300000000004</v>
      </c>
      <c r="O8438" t="s">
        <v>26</v>
      </c>
      <c r="Q8438">
        <v>118.75</v>
      </c>
      <c r="R8438">
        <v>95</v>
      </c>
      <c r="S8438">
        <v>142.5</v>
      </c>
      <c r="T8438" t="s">
        <v>40941</v>
      </c>
    </row>
    <row r="8439" spans="1:20">
      <c r="A8439">
        <v>4672670</v>
      </c>
      <c r="B8439" t="s">
        <v>40942</v>
      </c>
      <c r="C8439" t="str">
        <f>"9780802095923"</f>
        <v>9780802095923</v>
      </c>
      <c r="D8439" t="str">
        <f>"9781442689091"</f>
        <v>9781442689091</v>
      </c>
      <c r="E8439" t="s">
        <v>31435</v>
      </c>
      <c r="F8439" t="s">
        <v>31435</v>
      </c>
      <c r="G8439" s="1">
        <v>39691</v>
      </c>
      <c r="J8439" t="s">
        <v>40943</v>
      </c>
      <c r="K8439" t="s">
        <v>467</v>
      </c>
      <c r="L8439" t="s">
        <v>40944</v>
      </c>
      <c r="M8439" t="s">
        <v>40945</v>
      </c>
      <c r="O8439" t="s">
        <v>26</v>
      </c>
      <c r="Q8439">
        <v>107.5</v>
      </c>
      <c r="R8439">
        <v>86</v>
      </c>
      <c r="S8439">
        <v>129</v>
      </c>
      <c r="T8439" t="s">
        <v>40946</v>
      </c>
    </row>
    <row r="8440" spans="1:20">
      <c r="A8440">
        <v>4672671</v>
      </c>
      <c r="B8440" t="s">
        <v>40947</v>
      </c>
      <c r="C8440" t="str">
        <f>"9780802039538"</f>
        <v>9780802039538</v>
      </c>
      <c r="D8440" t="str">
        <f>"9781442689107"</f>
        <v>9781442689107</v>
      </c>
      <c r="E8440" t="s">
        <v>31435</v>
      </c>
      <c r="F8440" t="s">
        <v>31435</v>
      </c>
      <c r="G8440" s="1">
        <v>39448</v>
      </c>
      <c r="J8440" t="s">
        <v>40948</v>
      </c>
      <c r="K8440" t="s">
        <v>1464</v>
      </c>
      <c r="L8440" t="s">
        <v>40949</v>
      </c>
      <c r="M8440" t="s">
        <v>24386</v>
      </c>
      <c r="O8440" t="s">
        <v>26</v>
      </c>
      <c r="Q8440">
        <v>107.5</v>
      </c>
      <c r="R8440">
        <v>86</v>
      </c>
      <c r="S8440">
        <v>129</v>
      </c>
      <c r="T8440" t="s">
        <v>40950</v>
      </c>
    </row>
    <row r="8441" spans="1:20">
      <c r="A8441">
        <v>4672674</v>
      </c>
      <c r="B8441" t="s">
        <v>40951</v>
      </c>
      <c r="C8441" t="str">
        <f>"9780802098221"</f>
        <v>9780802098221</v>
      </c>
      <c r="D8441" t="str">
        <f>"9781442689138"</f>
        <v>9781442689138</v>
      </c>
      <c r="E8441" t="s">
        <v>31435</v>
      </c>
      <c r="F8441" t="s">
        <v>31435</v>
      </c>
      <c r="G8441" s="1">
        <v>39600</v>
      </c>
      <c r="J8441" t="s">
        <v>40952</v>
      </c>
      <c r="K8441" t="s">
        <v>291</v>
      </c>
      <c r="L8441" t="s">
        <v>40953</v>
      </c>
      <c r="M8441" t="s">
        <v>40954</v>
      </c>
      <c r="N8441" t="s">
        <v>40955</v>
      </c>
      <c r="O8441" t="s">
        <v>26</v>
      </c>
      <c r="Q8441">
        <v>83.75</v>
      </c>
      <c r="R8441">
        <v>67</v>
      </c>
      <c r="S8441">
        <v>100.5</v>
      </c>
      <c r="T8441" t="s">
        <v>40956</v>
      </c>
    </row>
    <row r="8442" spans="1:20">
      <c r="A8442">
        <v>4672676</v>
      </c>
      <c r="B8442" t="s">
        <v>40957</v>
      </c>
      <c r="C8442" t="str">
        <f>"9780802098016"</f>
        <v>9780802098016</v>
      </c>
      <c r="D8442" t="str">
        <f>"9781442689152"</f>
        <v>9781442689152</v>
      </c>
      <c r="E8442" t="s">
        <v>31435</v>
      </c>
      <c r="F8442" t="s">
        <v>31435</v>
      </c>
      <c r="G8442" s="1">
        <v>39448</v>
      </c>
      <c r="I8442" t="s">
        <v>34543</v>
      </c>
      <c r="J8442" t="s">
        <v>40958</v>
      </c>
      <c r="K8442" t="s">
        <v>1464</v>
      </c>
      <c r="L8442" t="s">
        <v>40959</v>
      </c>
      <c r="M8442" t="s">
        <v>36979</v>
      </c>
      <c r="O8442" t="s">
        <v>26</v>
      </c>
      <c r="Q8442">
        <v>115</v>
      </c>
      <c r="R8442">
        <v>92</v>
      </c>
      <c r="S8442">
        <v>138</v>
      </c>
      <c r="T8442" t="s">
        <v>40960</v>
      </c>
    </row>
    <row r="8443" spans="1:20">
      <c r="A8443">
        <v>4672677</v>
      </c>
      <c r="B8443" t="s">
        <v>40961</v>
      </c>
      <c r="C8443" t="str">
        <f>"9780802098276"</f>
        <v>9780802098276</v>
      </c>
      <c r="D8443" t="str">
        <f>"9781442689176"</f>
        <v>9781442689176</v>
      </c>
      <c r="E8443" t="s">
        <v>31435</v>
      </c>
      <c r="F8443" t="s">
        <v>31435</v>
      </c>
      <c r="G8443" s="1">
        <v>39592</v>
      </c>
      <c r="J8443" t="s">
        <v>39250</v>
      </c>
      <c r="K8443" t="s">
        <v>257</v>
      </c>
      <c r="L8443" t="s">
        <v>40962</v>
      </c>
      <c r="M8443" t="s">
        <v>34122</v>
      </c>
      <c r="N8443" t="s">
        <v>40963</v>
      </c>
      <c r="O8443" t="s">
        <v>26</v>
      </c>
      <c r="Q8443">
        <v>75</v>
      </c>
      <c r="R8443">
        <v>60</v>
      </c>
      <c r="S8443">
        <v>90</v>
      </c>
      <c r="T8443" t="s">
        <v>40964</v>
      </c>
    </row>
    <row r="8444" spans="1:20">
      <c r="A8444">
        <v>4672678</v>
      </c>
      <c r="B8444" t="s">
        <v>40965</v>
      </c>
      <c r="C8444" t="str">
        <f>"9780802098030"</f>
        <v>9780802098030</v>
      </c>
      <c r="D8444" t="str">
        <f>"9781442689183"</f>
        <v>9781442689183</v>
      </c>
      <c r="E8444" t="s">
        <v>31435</v>
      </c>
      <c r="F8444" t="s">
        <v>31435</v>
      </c>
      <c r="G8444" s="1">
        <v>39865</v>
      </c>
      <c r="J8444" t="s">
        <v>40966</v>
      </c>
      <c r="K8444" t="s">
        <v>1464</v>
      </c>
      <c r="L8444" t="s">
        <v>40967</v>
      </c>
      <c r="M8444" t="s">
        <v>38636</v>
      </c>
      <c r="O8444" t="s">
        <v>26</v>
      </c>
      <c r="Q8444">
        <v>103.75</v>
      </c>
      <c r="R8444">
        <v>83</v>
      </c>
      <c r="S8444">
        <v>124.5</v>
      </c>
      <c r="T8444" t="s">
        <v>40968</v>
      </c>
    </row>
    <row r="8445" spans="1:20">
      <c r="A8445">
        <v>4672680</v>
      </c>
      <c r="B8445" t="s">
        <v>40969</v>
      </c>
      <c r="C8445" t="str">
        <f>"9780802039569"</f>
        <v>9780802039569</v>
      </c>
      <c r="D8445" t="str">
        <f>"9781442689213"</f>
        <v>9781442689213</v>
      </c>
      <c r="E8445" t="s">
        <v>31435</v>
      </c>
      <c r="F8445" t="s">
        <v>31435</v>
      </c>
      <c r="G8445" s="1">
        <v>39814</v>
      </c>
      <c r="J8445" t="s">
        <v>40970</v>
      </c>
      <c r="K8445" t="s">
        <v>1464</v>
      </c>
      <c r="L8445" t="s">
        <v>40971</v>
      </c>
      <c r="M8445" t="s">
        <v>23653</v>
      </c>
      <c r="O8445" t="s">
        <v>26</v>
      </c>
      <c r="Q8445">
        <v>87.5</v>
      </c>
      <c r="R8445">
        <v>70</v>
      </c>
      <c r="S8445">
        <v>105</v>
      </c>
      <c r="T8445" t="s">
        <v>40972</v>
      </c>
    </row>
    <row r="8446" spans="1:20">
      <c r="A8446">
        <v>4672681</v>
      </c>
      <c r="B8446" t="s">
        <v>40973</v>
      </c>
      <c r="C8446" t="str">
        <f>"9780802094537"</f>
        <v>9780802094537</v>
      </c>
      <c r="D8446" t="str">
        <f>"9781442689220"</f>
        <v>9781442689220</v>
      </c>
      <c r="E8446" t="s">
        <v>31435</v>
      </c>
      <c r="F8446" t="s">
        <v>31435</v>
      </c>
      <c r="G8446" s="1">
        <v>39569</v>
      </c>
      <c r="I8446" t="s">
        <v>34693</v>
      </c>
      <c r="J8446" t="s">
        <v>40974</v>
      </c>
      <c r="K8446" t="s">
        <v>263</v>
      </c>
      <c r="L8446" t="s">
        <v>40975</v>
      </c>
      <c r="M8446" t="s">
        <v>40976</v>
      </c>
      <c r="N8446" t="s">
        <v>40977</v>
      </c>
      <c r="O8446" t="s">
        <v>26</v>
      </c>
      <c r="Q8446">
        <v>122.5</v>
      </c>
      <c r="R8446">
        <v>98</v>
      </c>
      <c r="S8446">
        <v>147</v>
      </c>
      <c r="T8446" t="s">
        <v>40978</v>
      </c>
    </row>
    <row r="8447" spans="1:20">
      <c r="A8447">
        <v>4672682</v>
      </c>
      <c r="B8447" t="s">
        <v>40979</v>
      </c>
      <c r="C8447" t="str">
        <f>"9780802091635"</f>
        <v>9780802091635</v>
      </c>
      <c r="D8447" t="str">
        <f>"9781442689237"</f>
        <v>9781442689237</v>
      </c>
      <c r="E8447" t="s">
        <v>31435</v>
      </c>
      <c r="F8447" t="s">
        <v>31435</v>
      </c>
      <c r="G8447" s="1">
        <v>39569</v>
      </c>
      <c r="I8447" t="s">
        <v>35203</v>
      </c>
      <c r="J8447" t="s">
        <v>40980</v>
      </c>
      <c r="K8447" t="s">
        <v>1892</v>
      </c>
      <c r="L8447" t="s">
        <v>40981</v>
      </c>
      <c r="M8447" t="s">
        <v>40982</v>
      </c>
      <c r="N8447" t="s">
        <v>40983</v>
      </c>
      <c r="O8447" t="s">
        <v>26</v>
      </c>
      <c r="Q8447">
        <v>148.75</v>
      </c>
      <c r="R8447">
        <v>119</v>
      </c>
      <c r="S8447">
        <v>178.5</v>
      </c>
      <c r="T8447" t="s">
        <v>40984</v>
      </c>
    </row>
    <row r="8448" spans="1:20">
      <c r="A8448">
        <v>4672683</v>
      </c>
      <c r="B8448" t="s">
        <v>40985</v>
      </c>
      <c r="C8448" t="str">
        <f>"9780802090386"</f>
        <v>9780802090386</v>
      </c>
      <c r="D8448" t="str">
        <f>"9781442689244"</f>
        <v>9781442689244</v>
      </c>
      <c r="E8448" t="s">
        <v>31435</v>
      </c>
      <c r="F8448" t="s">
        <v>31435</v>
      </c>
      <c r="G8448" s="1">
        <v>39566</v>
      </c>
      <c r="J8448" t="s">
        <v>40986</v>
      </c>
      <c r="K8448" t="s">
        <v>1464</v>
      </c>
      <c r="L8448" t="s">
        <v>40987</v>
      </c>
      <c r="M8448" t="s">
        <v>40988</v>
      </c>
      <c r="N8448" t="s">
        <v>40989</v>
      </c>
      <c r="O8448" t="s">
        <v>26</v>
      </c>
      <c r="Q8448">
        <v>107.5</v>
      </c>
      <c r="R8448">
        <v>86</v>
      </c>
      <c r="S8448">
        <v>129</v>
      </c>
      <c r="T8448" t="s">
        <v>40990</v>
      </c>
    </row>
    <row r="8449" spans="1:20">
      <c r="A8449">
        <v>4672690</v>
      </c>
      <c r="B8449" t="s">
        <v>40991</v>
      </c>
      <c r="C8449" t="str">
        <f>"9780802095534"</f>
        <v>9780802095534</v>
      </c>
      <c r="D8449" t="str">
        <f>"9781442689367"</f>
        <v>9781442689367</v>
      </c>
      <c r="E8449" t="s">
        <v>31435</v>
      </c>
      <c r="F8449" t="s">
        <v>31435</v>
      </c>
      <c r="G8449" s="1">
        <v>39448</v>
      </c>
      <c r="J8449" t="s">
        <v>40992</v>
      </c>
      <c r="K8449" t="s">
        <v>305</v>
      </c>
      <c r="L8449" t="s">
        <v>40993</v>
      </c>
      <c r="M8449" t="s">
        <v>40994</v>
      </c>
      <c r="O8449" t="s">
        <v>26</v>
      </c>
      <c r="Q8449">
        <v>107.5</v>
      </c>
      <c r="R8449">
        <v>86</v>
      </c>
      <c r="S8449">
        <v>129</v>
      </c>
      <c r="T8449" t="s">
        <v>40995</v>
      </c>
    </row>
    <row r="8450" spans="1:20">
      <c r="A8450">
        <v>4672692</v>
      </c>
      <c r="B8450" t="s">
        <v>40996</v>
      </c>
      <c r="C8450" t="str">
        <f>"9780802098078"</f>
        <v>9780802098078</v>
      </c>
      <c r="D8450" t="str">
        <f>"9781442689381"</f>
        <v>9781442689381</v>
      </c>
      <c r="E8450" t="s">
        <v>31435</v>
      </c>
      <c r="F8450" t="s">
        <v>31435</v>
      </c>
      <c r="G8450" s="1">
        <v>39448</v>
      </c>
      <c r="J8450" t="s">
        <v>40997</v>
      </c>
      <c r="K8450" t="s">
        <v>6444</v>
      </c>
      <c r="L8450" t="s">
        <v>40998</v>
      </c>
      <c r="M8450" t="s">
        <v>40999</v>
      </c>
      <c r="O8450" t="s">
        <v>26</v>
      </c>
      <c r="Q8450">
        <v>115</v>
      </c>
      <c r="R8450">
        <v>92</v>
      </c>
      <c r="S8450">
        <v>138</v>
      </c>
      <c r="T8450" t="s">
        <v>41000</v>
      </c>
    </row>
    <row r="8451" spans="1:20">
      <c r="A8451">
        <v>4672694</v>
      </c>
      <c r="B8451" t="s">
        <v>41001</v>
      </c>
      <c r="C8451" t="str">
        <f>"9780802097958"</f>
        <v>9780802097958</v>
      </c>
      <c r="D8451" t="str">
        <f>"9781442689404"</f>
        <v>9781442689404</v>
      </c>
      <c r="E8451" t="s">
        <v>31435</v>
      </c>
      <c r="F8451" t="s">
        <v>31435</v>
      </c>
      <c r="G8451" s="1">
        <v>39568</v>
      </c>
      <c r="I8451" t="s">
        <v>40563</v>
      </c>
      <c r="J8451" t="s">
        <v>41002</v>
      </c>
      <c r="K8451" t="s">
        <v>2963</v>
      </c>
      <c r="L8451" t="s">
        <v>41003</v>
      </c>
      <c r="M8451">
        <v>901</v>
      </c>
      <c r="N8451" t="s">
        <v>41004</v>
      </c>
      <c r="O8451" t="s">
        <v>26</v>
      </c>
      <c r="Q8451">
        <v>107.5</v>
      </c>
      <c r="R8451">
        <v>86</v>
      </c>
      <c r="S8451">
        <v>129</v>
      </c>
      <c r="T8451" t="s">
        <v>41005</v>
      </c>
    </row>
    <row r="8452" spans="1:20">
      <c r="A8452">
        <v>4672696</v>
      </c>
      <c r="B8452" t="s">
        <v>41006</v>
      </c>
      <c r="C8452" t="str">
        <f>"9780802092601"</f>
        <v>9780802092601</v>
      </c>
      <c r="D8452" t="str">
        <f>"9781442689428"</f>
        <v>9781442689428</v>
      </c>
      <c r="E8452" t="s">
        <v>31435</v>
      </c>
      <c r="F8452" t="s">
        <v>31435</v>
      </c>
      <c r="G8452" s="1">
        <v>39614</v>
      </c>
      <c r="I8452" t="s">
        <v>41007</v>
      </c>
      <c r="J8452" t="s">
        <v>41008</v>
      </c>
      <c r="K8452" t="s">
        <v>1892</v>
      </c>
      <c r="L8452" t="s">
        <v>41009</v>
      </c>
      <c r="M8452" t="s">
        <v>41010</v>
      </c>
      <c r="O8452" t="s">
        <v>26</v>
      </c>
      <c r="Q8452">
        <v>83.75</v>
      </c>
      <c r="R8452">
        <v>67</v>
      </c>
      <c r="S8452">
        <v>100.5</v>
      </c>
      <c r="T8452" t="s">
        <v>41011</v>
      </c>
    </row>
    <row r="8453" spans="1:20">
      <c r="A8453">
        <v>4672698</v>
      </c>
      <c r="B8453" t="s">
        <v>41012</v>
      </c>
      <c r="C8453" t="str">
        <f>"9780802092809"</f>
        <v>9780802092809</v>
      </c>
      <c r="D8453" t="str">
        <f>"9781442689466"</f>
        <v>9781442689466</v>
      </c>
      <c r="E8453" t="s">
        <v>31435</v>
      </c>
      <c r="F8453" t="s">
        <v>31435</v>
      </c>
      <c r="G8453" s="1">
        <v>39600</v>
      </c>
      <c r="I8453" t="s">
        <v>35264</v>
      </c>
      <c r="J8453" t="s">
        <v>41013</v>
      </c>
      <c r="K8453" t="s">
        <v>3230</v>
      </c>
      <c r="L8453" t="s">
        <v>41014</v>
      </c>
      <c r="M8453" t="s">
        <v>41015</v>
      </c>
      <c r="N8453" t="s">
        <v>41016</v>
      </c>
      <c r="O8453" t="s">
        <v>26</v>
      </c>
      <c r="Q8453">
        <v>100</v>
      </c>
      <c r="R8453">
        <v>80</v>
      </c>
      <c r="S8453">
        <v>120</v>
      </c>
      <c r="T8453" t="s">
        <v>41017</v>
      </c>
    </row>
    <row r="8454" spans="1:20">
      <c r="A8454">
        <v>4672701</v>
      </c>
      <c r="B8454" t="s">
        <v>41018</v>
      </c>
      <c r="C8454" t="str">
        <f>"9781442612198"</f>
        <v>9781442612198</v>
      </c>
      <c r="D8454" t="str">
        <f>"9781442689497"</f>
        <v>9781442689497</v>
      </c>
      <c r="E8454" t="s">
        <v>31435</v>
      </c>
      <c r="F8454" t="s">
        <v>31435</v>
      </c>
      <c r="G8454" s="1">
        <v>39814</v>
      </c>
      <c r="J8454" t="s">
        <v>41019</v>
      </c>
      <c r="K8454" t="s">
        <v>1464</v>
      </c>
      <c r="L8454" t="s">
        <v>41020</v>
      </c>
      <c r="M8454" t="s">
        <v>41021</v>
      </c>
      <c r="O8454" t="s">
        <v>26</v>
      </c>
      <c r="Q8454">
        <v>96.25</v>
      </c>
      <c r="R8454">
        <v>77</v>
      </c>
      <c r="S8454">
        <v>115.5</v>
      </c>
      <c r="T8454" t="s">
        <v>41022</v>
      </c>
    </row>
    <row r="8455" spans="1:20">
      <c r="A8455">
        <v>4672703</v>
      </c>
      <c r="B8455" t="s">
        <v>41023</v>
      </c>
      <c r="C8455" t="str">
        <f>"9780802099112"</f>
        <v>9780802099112</v>
      </c>
      <c r="D8455" t="str">
        <f>"9781442689510"</f>
        <v>9781442689510</v>
      </c>
      <c r="E8455" t="s">
        <v>31435</v>
      </c>
      <c r="F8455" t="s">
        <v>31435</v>
      </c>
      <c r="G8455" s="1">
        <v>39709</v>
      </c>
      <c r="H8455">
        <v>2</v>
      </c>
      <c r="I8455" t="s">
        <v>35047</v>
      </c>
      <c r="J8455" t="s">
        <v>41024</v>
      </c>
      <c r="K8455" t="s">
        <v>525</v>
      </c>
      <c r="L8455" t="s">
        <v>41025</v>
      </c>
      <c r="M8455">
        <v>340.09710000000001</v>
      </c>
      <c r="O8455" t="s">
        <v>26</v>
      </c>
      <c r="Q8455">
        <v>141.25</v>
      </c>
      <c r="R8455">
        <v>113</v>
      </c>
      <c r="S8455">
        <v>169.5</v>
      </c>
      <c r="T8455" t="s">
        <v>41026</v>
      </c>
    </row>
    <row r="8456" spans="1:20">
      <c r="A8456">
        <v>4672704</v>
      </c>
      <c r="B8456" t="s">
        <v>41027</v>
      </c>
      <c r="C8456" t="str">
        <f>"9780802098672"</f>
        <v>9780802098672</v>
      </c>
      <c r="D8456" t="str">
        <f>"9781442689527"</f>
        <v>9781442689527</v>
      </c>
      <c r="E8456" t="s">
        <v>31435</v>
      </c>
      <c r="F8456" t="s">
        <v>31435</v>
      </c>
      <c r="G8456" s="1">
        <v>39743</v>
      </c>
      <c r="J8456" t="s">
        <v>41028</v>
      </c>
      <c r="K8456" t="s">
        <v>1892</v>
      </c>
      <c r="L8456" t="s">
        <v>41029</v>
      </c>
      <c r="M8456">
        <v>270.60919999999902</v>
      </c>
      <c r="O8456" t="s">
        <v>26</v>
      </c>
      <c r="Q8456">
        <v>115</v>
      </c>
      <c r="R8456">
        <v>92</v>
      </c>
      <c r="S8456">
        <v>138</v>
      </c>
      <c r="T8456" t="s">
        <v>41030</v>
      </c>
    </row>
    <row r="8457" spans="1:20">
      <c r="A8457">
        <v>4672706</v>
      </c>
      <c r="B8457" t="s">
        <v>41031</v>
      </c>
      <c r="C8457" t="str">
        <f>"9780802085399"</f>
        <v>9780802085399</v>
      </c>
      <c r="D8457" t="str">
        <f>"9781442689541"</f>
        <v>9781442689541</v>
      </c>
      <c r="E8457" t="s">
        <v>31435</v>
      </c>
      <c r="F8457" t="s">
        <v>31435</v>
      </c>
      <c r="G8457" s="1">
        <v>37527</v>
      </c>
      <c r="K8457" t="s">
        <v>467</v>
      </c>
      <c r="L8457" t="s">
        <v>41032</v>
      </c>
      <c r="M8457">
        <v>320.52097099999901</v>
      </c>
      <c r="O8457" t="s">
        <v>26</v>
      </c>
      <c r="Q8457">
        <v>143.75</v>
      </c>
      <c r="R8457">
        <v>115</v>
      </c>
      <c r="S8457">
        <v>172.5</v>
      </c>
      <c r="T8457" t="s">
        <v>41033</v>
      </c>
    </row>
    <row r="8458" spans="1:20">
      <c r="A8458">
        <v>4672707</v>
      </c>
      <c r="B8458" t="s">
        <v>41034</v>
      </c>
      <c r="C8458" t="str">
        <f>"9780802099273"</f>
        <v>9780802099273</v>
      </c>
      <c r="D8458" t="str">
        <f>"9781442689558"</f>
        <v>9781442689558</v>
      </c>
      <c r="E8458" t="s">
        <v>31435</v>
      </c>
      <c r="F8458" t="s">
        <v>31435</v>
      </c>
      <c r="G8458" s="1">
        <v>39956</v>
      </c>
      <c r="J8458" t="s">
        <v>36056</v>
      </c>
      <c r="K8458" t="s">
        <v>291</v>
      </c>
      <c r="L8458" t="s">
        <v>41035</v>
      </c>
      <c r="M8458" t="s">
        <v>23831</v>
      </c>
      <c r="O8458" t="s">
        <v>26</v>
      </c>
      <c r="Q8458">
        <v>111.25</v>
      </c>
      <c r="R8458">
        <v>89</v>
      </c>
      <c r="S8458">
        <v>133.5</v>
      </c>
      <c r="T8458" t="s">
        <v>41036</v>
      </c>
    </row>
    <row r="8459" spans="1:20">
      <c r="A8459">
        <v>4672708</v>
      </c>
      <c r="B8459" t="s">
        <v>41037</v>
      </c>
      <c r="C8459" t="str">
        <f>"9780802091574"</f>
        <v>9780802091574</v>
      </c>
      <c r="D8459" t="str">
        <f>"9781442689572"</f>
        <v>9781442689572</v>
      </c>
      <c r="E8459" t="s">
        <v>31435</v>
      </c>
      <c r="F8459" t="s">
        <v>31435</v>
      </c>
      <c r="G8459" s="1">
        <v>39539</v>
      </c>
      <c r="I8459" t="s">
        <v>35203</v>
      </c>
      <c r="J8459" t="s">
        <v>41038</v>
      </c>
      <c r="K8459" t="s">
        <v>1464</v>
      </c>
      <c r="L8459" t="s">
        <v>41039</v>
      </c>
      <c r="M8459" t="s">
        <v>41040</v>
      </c>
      <c r="N8459" t="s">
        <v>41041</v>
      </c>
      <c r="O8459" t="s">
        <v>26</v>
      </c>
      <c r="Q8459">
        <v>115</v>
      </c>
      <c r="R8459">
        <v>92</v>
      </c>
      <c r="S8459">
        <v>138</v>
      </c>
      <c r="T8459" t="s">
        <v>41042</v>
      </c>
    </row>
    <row r="8460" spans="1:20">
      <c r="A8460">
        <v>4672709</v>
      </c>
      <c r="B8460" t="s">
        <v>41043</v>
      </c>
      <c r="C8460" t="str">
        <f>"9780802097484"</f>
        <v>9780802097484</v>
      </c>
      <c r="D8460" t="str">
        <f>"9781442689589"</f>
        <v>9781442689589</v>
      </c>
      <c r="E8460" t="s">
        <v>31435</v>
      </c>
      <c r="F8460" t="s">
        <v>31435</v>
      </c>
      <c r="G8460" s="1">
        <v>39614</v>
      </c>
      <c r="J8460" t="s">
        <v>41044</v>
      </c>
      <c r="K8460" t="s">
        <v>1892</v>
      </c>
      <c r="L8460" t="s">
        <v>41045</v>
      </c>
      <c r="M8460" t="s">
        <v>41046</v>
      </c>
      <c r="O8460" t="s">
        <v>26</v>
      </c>
      <c r="Q8460">
        <v>131.25</v>
      </c>
      <c r="R8460">
        <v>105</v>
      </c>
      <c r="S8460">
        <v>157.5</v>
      </c>
      <c r="T8460" t="s">
        <v>41047</v>
      </c>
    </row>
    <row r="8461" spans="1:20">
      <c r="A8461">
        <v>4672710</v>
      </c>
      <c r="B8461" t="s">
        <v>41048</v>
      </c>
      <c r="C8461" t="str">
        <f>"9780802093820"</f>
        <v>9780802093820</v>
      </c>
      <c r="D8461" t="str">
        <f>"9781442689596"</f>
        <v>9781442689596</v>
      </c>
      <c r="E8461" t="s">
        <v>31435</v>
      </c>
      <c r="F8461" t="s">
        <v>31435</v>
      </c>
      <c r="G8461" s="1">
        <v>41773</v>
      </c>
      <c r="J8461" t="s">
        <v>20758</v>
      </c>
      <c r="K8461" t="s">
        <v>278</v>
      </c>
      <c r="M8461">
        <v>338.97149999999999</v>
      </c>
      <c r="O8461" t="s">
        <v>26</v>
      </c>
      <c r="Q8461">
        <v>117.5</v>
      </c>
      <c r="R8461">
        <v>94</v>
      </c>
      <c r="S8461">
        <v>141</v>
      </c>
      <c r="T8461" t="s">
        <v>41049</v>
      </c>
    </row>
    <row r="8462" spans="1:20">
      <c r="A8462">
        <v>4672713</v>
      </c>
      <c r="B8462" t="s">
        <v>41050</v>
      </c>
      <c r="C8462" t="str">
        <f>"9781442610477"</f>
        <v>9781442610477</v>
      </c>
      <c r="D8462" t="str">
        <f>"9781442689633"</f>
        <v>9781442689633</v>
      </c>
      <c r="E8462" t="s">
        <v>31435</v>
      </c>
      <c r="F8462" t="s">
        <v>31435</v>
      </c>
      <c r="G8462" s="1">
        <v>39669</v>
      </c>
      <c r="J8462" t="s">
        <v>37238</v>
      </c>
      <c r="K8462" t="s">
        <v>1464</v>
      </c>
      <c r="L8462" t="s">
        <v>41051</v>
      </c>
      <c r="M8462" t="s">
        <v>41052</v>
      </c>
      <c r="O8462" t="s">
        <v>26</v>
      </c>
      <c r="Q8462">
        <v>107.5</v>
      </c>
      <c r="R8462">
        <v>86</v>
      </c>
      <c r="S8462">
        <v>129</v>
      </c>
      <c r="T8462" t="s">
        <v>41053</v>
      </c>
    </row>
    <row r="8463" spans="1:20">
      <c r="A8463">
        <v>4672714</v>
      </c>
      <c r="B8463" t="s">
        <v>41054</v>
      </c>
      <c r="C8463" t="str">
        <f>"9780802095169"</f>
        <v>9780802095169</v>
      </c>
      <c r="D8463" t="str">
        <f>"9781442689657"</f>
        <v>9781442689657</v>
      </c>
      <c r="E8463" t="s">
        <v>31435</v>
      </c>
      <c r="F8463" t="s">
        <v>31435</v>
      </c>
      <c r="G8463" s="1">
        <v>39446</v>
      </c>
      <c r="I8463" t="s">
        <v>35034</v>
      </c>
      <c r="J8463" t="s">
        <v>41055</v>
      </c>
      <c r="K8463" t="s">
        <v>1464</v>
      </c>
      <c r="L8463" t="s">
        <v>41056</v>
      </c>
      <c r="M8463">
        <v>809</v>
      </c>
      <c r="N8463" t="s">
        <v>41057</v>
      </c>
      <c r="O8463" t="s">
        <v>26</v>
      </c>
      <c r="Q8463">
        <v>100</v>
      </c>
      <c r="R8463">
        <v>80</v>
      </c>
      <c r="S8463">
        <v>120</v>
      </c>
      <c r="T8463" t="s">
        <v>41058</v>
      </c>
    </row>
    <row r="8464" spans="1:20">
      <c r="A8464">
        <v>4672715</v>
      </c>
      <c r="B8464" t="s">
        <v>41059</v>
      </c>
      <c r="C8464" t="str">
        <f>"9780802093066"</f>
        <v>9780802093066</v>
      </c>
      <c r="D8464" t="str">
        <f>"9781442689664"</f>
        <v>9781442689664</v>
      </c>
      <c r="E8464" t="s">
        <v>31435</v>
      </c>
      <c r="F8464" t="s">
        <v>31435</v>
      </c>
      <c r="G8464" s="1">
        <v>39387</v>
      </c>
      <c r="J8464" t="s">
        <v>41060</v>
      </c>
      <c r="K8464" t="s">
        <v>1464</v>
      </c>
      <c r="L8464" t="s">
        <v>41061</v>
      </c>
      <c r="M8464" t="s">
        <v>41062</v>
      </c>
      <c r="N8464" t="s">
        <v>41063</v>
      </c>
      <c r="O8464" t="s">
        <v>26</v>
      </c>
      <c r="Q8464">
        <v>107.5</v>
      </c>
      <c r="R8464">
        <v>86</v>
      </c>
      <c r="S8464">
        <v>129</v>
      </c>
      <c r="T8464" t="s">
        <v>41064</v>
      </c>
    </row>
    <row r="8465" spans="1:20">
      <c r="A8465">
        <v>4672716</v>
      </c>
      <c r="B8465" t="s">
        <v>41065</v>
      </c>
      <c r="C8465" t="str">
        <f>"9780802098061"</f>
        <v>9780802098061</v>
      </c>
      <c r="D8465" t="str">
        <f>"9781442689671"</f>
        <v>9781442689671</v>
      </c>
      <c r="E8465" t="s">
        <v>31435</v>
      </c>
      <c r="F8465" t="s">
        <v>31435</v>
      </c>
      <c r="G8465" s="1">
        <v>39765</v>
      </c>
      <c r="I8465" t="s">
        <v>33831</v>
      </c>
      <c r="J8465" t="s">
        <v>41066</v>
      </c>
      <c r="K8465" t="s">
        <v>1464</v>
      </c>
      <c r="L8465" t="s">
        <v>41067</v>
      </c>
      <c r="M8465" t="s">
        <v>41068</v>
      </c>
      <c r="O8465" t="s">
        <v>26</v>
      </c>
      <c r="Q8465">
        <v>100</v>
      </c>
      <c r="R8465">
        <v>80</v>
      </c>
      <c r="S8465">
        <v>120</v>
      </c>
      <c r="T8465" t="s">
        <v>41069</v>
      </c>
    </row>
    <row r="8466" spans="1:20">
      <c r="A8466">
        <v>4672717</v>
      </c>
      <c r="B8466" t="s">
        <v>41070</v>
      </c>
      <c r="C8466" t="str">
        <f>"9780802096333"</f>
        <v>9780802096333</v>
      </c>
      <c r="D8466" t="str">
        <f>"9781442689695"</f>
        <v>9781442689695</v>
      </c>
      <c r="E8466" t="s">
        <v>31435</v>
      </c>
      <c r="F8466" t="s">
        <v>31435</v>
      </c>
      <c r="G8466" s="1">
        <v>39731</v>
      </c>
      <c r="J8466" t="s">
        <v>41071</v>
      </c>
      <c r="K8466" t="s">
        <v>473</v>
      </c>
      <c r="L8466" t="s">
        <v>41072</v>
      </c>
      <c r="M8466">
        <v>322.39999999999901</v>
      </c>
      <c r="O8466" t="s">
        <v>26</v>
      </c>
      <c r="Q8466">
        <v>122.5</v>
      </c>
      <c r="R8466">
        <v>98</v>
      </c>
      <c r="S8466">
        <v>147</v>
      </c>
      <c r="T8466" t="s">
        <v>41073</v>
      </c>
    </row>
    <row r="8467" spans="1:20">
      <c r="A8467">
        <v>4672719</v>
      </c>
      <c r="B8467" t="s">
        <v>41074</v>
      </c>
      <c r="C8467" t="str">
        <f>"9780802092168"</f>
        <v>9780802092168</v>
      </c>
      <c r="D8467" t="str">
        <f>"9781442689718"</f>
        <v>9781442689718</v>
      </c>
      <c r="E8467" t="s">
        <v>31435</v>
      </c>
      <c r="F8467" t="s">
        <v>31435</v>
      </c>
      <c r="G8467" s="1">
        <v>39053</v>
      </c>
      <c r="H8467">
        <v>2</v>
      </c>
      <c r="J8467" t="s">
        <v>41075</v>
      </c>
      <c r="K8467" t="s">
        <v>291</v>
      </c>
      <c r="L8467" t="s">
        <v>41076</v>
      </c>
      <c r="M8467">
        <v>971</v>
      </c>
      <c r="O8467" t="s">
        <v>26</v>
      </c>
      <c r="Q8467">
        <v>92.5</v>
      </c>
      <c r="R8467">
        <v>74</v>
      </c>
      <c r="S8467">
        <v>111</v>
      </c>
      <c r="T8467" t="s">
        <v>41077</v>
      </c>
    </row>
    <row r="8468" spans="1:20">
      <c r="A8468">
        <v>4672720</v>
      </c>
      <c r="B8468" t="s">
        <v>41078</v>
      </c>
      <c r="C8468" t="str">
        <f>"9780802048851"</f>
        <v>9780802048851</v>
      </c>
      <c r="D8468" t="str">
        <f>"9781442689831"</f>
        <v>9781442689831</v>
      </c>
      <c r="E8468" t="s">
        <v>31435</v>
      </c>
      <c r="F8468" t="s">
        <v>31435</v>
      </c>
      <c r="G8468" s="1">
        <v>39966</v>
      </c>
      <c r="J8468" t="s">
        <v>41079</v>
      </c>
      <c r="K8468" t="s">
        <v>263</v>
      </c>
      <c r="L8468" t="s">
        <v>41080</v>
      </c>
      <c r="M8468">
        <v>363.20970999999901</v>
      </c>
      <c r="O8468" t="s">
        <v>26</v>
      </c>
      <c r="Q8468">
        <v>111.25</v>
      </c>
      <c r="R8468">
        <v>89</v>
      </c>
      <c r="S8468">
        <v>133.5</v>
      </c>
      <c r="T8468" t="s">
        <v>41081</v>
      </c>
    </row>
    <row r="8469" spans="1:20">
      <c r="A8469">
        <v>4672721</v>
      </c>
      <c r="B8469" t="s">
        <v>41082</v>
      </c>
      <c r="C8469" t="str">
        <f>"9780802095947"</f>
        <v>9780802095947</v>
      </c>
      <c r="D8469" t="str">
        <f>"9781442689855"</f>
        <v>9781442689855</v>
      </c>
      <c r="E8469" t="s">
        <v>31435</v>
      </c>
      <c r="F8469" t="s">
        <v>31435</v>
      </c>
      <c r="G8469" s="1">
        <v>39814</v>
      </c>
      <c r="J8469" t="s">
        <v>41083</v>
      </c>
      <c r="K8469" t="s">
        <v>1859</v>
      </c>
      <c r="L8469" t="s">
        <v>41084</v>
      </c>
      <c r="M8469" t="s">
        <v>41085</v>
      </c>
      <c r="O8469" t="s">
        <v>26</v>
      </c>
      <c r="Q8469">
        <v>111.25</v>
      </c>
      <c r="R8469">
        <v>89</v>
      </c>
      <c r="S8469">
        <v>133.5</v>
      </c>
      <c r="T8469" t="s">
        <v>41086</v>
      </c>
    </row>
    <row r="8470" spans="1:20">
      <c r="A8470">
        <v>4672724</v>
      </c>
      <c r="B8470" t="s">
        <v>41087</v>
      </c>
      <c r="C8470" t="str">
        <f>"9781442610804"</f>
        <v>9781442610804</v>
      </c>
      <c r="D8470" t="str">
        <f>"9781442689879"</f>
        <v>9781442689879</v>
      </c>
      <c r="E8470" t="s">
        <v>31435</v>
      </c>
      <c r="F8470" t="s">
        <v>31435</v>
      </c>
      <c r="G8470" s="1">
        <v>40425</v>
      </c>
      <c r="H8470">
        <v>2</v>
      </c>
      <c r="J8470" t="s">
        <v>41088</v>
      </c>
      <c r="K8470" t="s">
        <v>33477</v>
      </c>
      <c r="L8470" t="s">
        <v>41089</v>
      </c>
      <c r="M8470" t="s">
        <v>41090</v>
      </c>
      <c r="O8470" t="s">
        <v>26</v>
      </c>
      <c r="Q8470">
        <v>87.5</v>
      </c>
      <c r="R8470">
        <v>70</v>
      </c>
      <c r="S8470">
        <v>105</v>
      </c>
      <c r="T8470" t="s">
        <v>41091</v>
      </c>
    </row>
    <row r="8471" spans="1:20">
      <c r="A8471">
        <v>4672725</v>
      </c>
      <c r="B8471" t="s">
        <v>41092</v>
      </c>
      <c r="C8471" t="str">
        <f>"9781442641686"</f>
        <v>9781442641686</v>
      </c>
      <c r="D8471" t="str">
        <f>"9781442689886"</f>
        <v>9781442689886</v>
      </c>
      <c r="E8471" t="s">
        <v>31435</v>
      </c>
      <c r="F8471" t="s">
        <v>31435</v>
      </c>
      <c r="G8471" s="1">
        <v>40179</v>
      </c>
      <c r="I8471" t="s">
        <v>34756</v>
      </c>
      <c r="J8471" t="s">
        <v>41093</v>
      </c>
      <c r="K8471" t="s">
        <v>1464</v>
      </c>
      <c r="L8471" t="s">
        <v>41094</v>
      </c>
      <c r="M8471" t="s">
        <v>24386</v>
      </c>
      <c r="O8471" t="s">
        <v>26</v>
      </c>
      <c r="Q8471">
        <v>308.75</v>
      </c>
      <c r="R8471">
        <v>247</v>
      </c>
      <c r="S8471">
        <v>370.5</v>
      </c>
      <c r="T8471" t="s">
        <v>41095</v>
      </c>
    </row>
    <row r="8472" spans="1:20">
      <c r="A8472">
        <v>4672726</v>
      </c>
      <c r="B8472" t="s">
        <v>41096</v>
      </c>
      <c r="C8472" t="str">
        <f>"9781442641709"</f>
        <v>9781442641709</v>
      </c>
      <c r="D8472" t="str">
        <f>"9781442689909"</f>
        <v>9781442689909</v>
      </c>
      <c r="E8472" t="s">
        <v>31435</v>
      </c>
      <c r="F8472" t="s">
        <v>31435</v>
      </c>
      <c r="G8472" s="1">
        <v>40179</v>
      </c>
      <c r="H8472">
        <v>2</v>
      </c>
      <c r="J8472" t="s">
        <v>41097</v>
      </c>
      <c r="K8472" t="s">
        <v>1464</v>
      </c>
      <c r="L8472" t="s">
        <v>41098</v>
      </c>
      <c r="M8472" t="s">
        <v>13199</v>
      </c>
      <c r="O8472" t="s">
        <v>26</v>
      </c>
      <c r="Q8472">
        <v>111.25</v>
      </c>
      <c r="R8472">
        <v>89</v>
      </c>
      <c r="S8472">
        <v>133.5</v>
      </c>
      <c r="T8472" t="s">
        <v>41099</v>
      </c>
    </row>
    <row r="8473" spans="1:20">
      <c r="A8473">
        <v>4672732</v>
      </c>
      <c r="B8473" t="s">
        <v>41100</v>
      </c>
      <c r="C8473" t="str">
        <f>"9781442610927"</f>
        <v>9781442610927</v>
      </c>
      <c r="D8473" t="str">
        <f>"9781442689992"</f>
        <v>9781442689992</v>
      </c>
      <c r="E8473" t="s">
        <v>31435</v>
      </c>
      <c r="F8473" t="s">
        <v>31435</v>
      </c>
      <c r="G8473" s="1">
        <v>41773</v>
      </c>
      <c r="H8473">
        <v>2</v>
      </c>
      <c r="J8473" t="s">
        <v>41101</v>
      </c>
      <c r="K8473" t="s">
        <v>376</v>
      </c>
      <c r="L8473" t="s">
        <v>41102</v>
      </c>
      <c r="M8473">
        <v>362.04250000000002</v>
      </c>
      <c r="O8473" t="s">
        <v>26</v>
      </c>
      <c r="Q8473">
        <v>103.75</v>
      </c>
      <c r="R8473">
        <v>83</v>
      </c>
      <c r="S8473">
        <v>124.5</v>
      </c>
      <c r="T8473" t="s">
        <v>41103</v>
      </c>
    </row>
    <row r="8474" spans="1:20">
      <c r="A8474">
        <v>4672737</v>
      </c>
      <c r="B8474" t="s">
        <v>41104</v>
      </c>
      <c r="C8474" t="str">
        <f>"9781442641891"</f>
        <v>9781442641891</v>
      </c>
      <c r="D8474" t="str">
        <f>"9781442690080"</f>
        <v>9781442690080</v>
      </c>
      <c r="E8474" t="s">
        <v>31435</v>
      </c>
      <c r="F8474" t="s">
        <v>31435</v>
      </c>
      <c r="G8474" s="1">
        <v>41773</v>
      </c>
      <c r="J8474" t="s">
        <v>41105</v>
      </c>
      <c r="K8474" t="s">
        <v>263</v>
      </c>
      <c r="M8474">
        <v>306.48200000000003</v>
      </c>
      <c r="O8474" t="s">
        <v>26</v>
      </c>
      <c r="Q8474">
        <v>96.25</v>
      </c>
      <c r="R8474">
        <v>77</v>
      </c>
      <c r="S8474">
        <v>115.5</v>
      </c>
      <c r="T8474" t="s">
        <v>41106</v>
      </c>
    </row>
    <row r="8475" spans="1:20">
      <c r="A8475">
        <v>4672738</v>
      </c>
      <c r="B8475" t="s">
        <v>41107</v>
      </c>
      <c r="C8475" t="str">
        <f>"9781442610989"</f>
        <v>9781442610989</v>
      </c>
      <c r="D8475" t="str">
        <f>"9781442690097"</f>
        <v>9781442690097</v>
      </c>
      <c r="E8475" t="s">
        <v>31435</v>
      </c>
      <c r="F8475" t="s">
        <v>31435</v>
      </c>
      <c r="G8475" s="1">
        <v>40607</v>
      </c>
      <c r="H8475">
        <v>2</v>
      </c>
      <c r="J8475" t="s">
        <v>41108</v>
      </c>
      <c r="K8475" t="s">
        <v>263</v>
      </c>
      <c r="L8475" t="s">
        <v>41109</v>
      </c>
      <c r="M8475" t="s">
        <v>41110</v>
      </c>
      <c r="N8475" t="s">
        <v>41111</v>
      </c>
      <c r="O8475" t="s">
        <v>26</v>
      </c>
      <c r="Q8475">
        <v>87.5</v>
      </c>
      <c r="R8475">
        <v>70</v>
      </c>
      <c r="S8475">
        <v>105</v>
      </c>
      <c r="T8475" t="s">
        <v>41112</v>
      </c>
    </row>
    <row r="8476" spans="1:20">
      <c r="A8476">
        <v>4672740</v>
      </c>
      <c r="B8476" t="s">
        <v>41113</v>
      </c>
      <c r="C8476" t="str">
        <f>"9781442609945"</f>
        <v>9781442609945</v>
      </c>
      <c r="D8476" t="str">
        <f>"9781442690127"</f>
        <v>9781442690127</v>
      </c>
      <c r="E8476" t="s">
        <v>31435</v>
      </c>
      <c r="F8476" t="s">
        <v>31435</v>
      </c>
      <c r="G8476" s="1">
        <v>40208</v>
      </c>
      <c r="J8476" t="s">
        <v>41114</v>
      </c>
      <c r="K8476" t="s">
        <v>435</v>
      </c>
      <c r="L8476" t="s">
        <v>41115</v>
      </c>
      <c r="M8476" t="s">
        <v>41116</v>
      </c>
      <c r="N8476" t="s">
        <v>41117</v>
      </c>
      <c r="O8476" t="s">
        <v>26</v>
      </c>
      <c r="Q8476">
        <v>103.75</v>
      </c>
      <c r="R8476">
        <v>83</v>
      </c>
      <c r="S8476">
        <v>124.5</v>
      </c>
      <c r="T8476" t="s">
        <v>41118</v>
      </c>
    </row>
    <row r="8477" spans="1:20">
      <c r="A8477">
        <v>4672741</v>
      </c>
      <c r="B8477" t="s">
        <v>41119</v>
      </c>
      <c r="C8477" t="str">
        <f>"9781442610439"</f>
        <v>9781442610439</v>
      </c>
      <c r="D8477" t="str">
        <f>"9781442690134"</f>
        <v>9781442690134</v>
      </c>
      <c r="E8477" t="s">
        <v>31435</v>
      </c>
      <c r="F8477" t="s">
        <v>31435</v>
      </c>
      <c r="G8477" s="1">
        <v>38353</v>
      </c>
      <c r="I8477" t="s">
        <v>35264</v>
      </c>
      <c r="J8477" t="s">
        <v>41120</v>
      </c>
      <c r="K8477" t="s">
        <v>291</v>
      </c>
      <c r="L8477" t="s">
        <v>41121</v>
      </c>
      <c r="M8477" t="s">
        <v>41122</v>
      </c>
      <c r="O8477" t="s">
        <v>26</v>
      </c>
      <c r="Q8477">
        <v>103.75</v>
      </c>
      <c r="R8477">
        <v>83</v>
      </c>
      <c r="S8477">
        <v>124.5</v>
      </c>
      <c r="T8477" t="s">
        <v>41123</v>
      </c>
    </row>
    <row r="8478" spans="1:20">
      <c r="A8478">
        <v>4672743</v>
      </c>
      <c r="B8478" t="s">
        <v>41124</v>
      </c>
      <c r="C8478" t="str">
        <f>"9781442641952"</f>
        <v>9781442641952</v>
      </c>
      <c r="D8478" t="str">
        <f>"9781442690165"</f>
        <v>9781442690165</v>
      </c>
      <c r="E8478" t="s">
        <v>31435</v>
      </c>
      <c r="F8478" t="s">
        <v>31435</v>
      </c>
      <c r="G8478" s="1">
        <v>40179</v>
      </c>
      <c r="H8478">
        <v>2</v>
      </c>
      <c r="J8478" t="s">
        <v>41125</v>
      </c>
      <c r="K8478" t="s">
        <v>291</v>
      </c>
      <c r="L8478" t="s">
        <v>41126</v>
      </c>
      <c r="M8478">
        <v>971</v>
      </c>
      <c r="O8478" t="s">
        <v>26</v>
      </c>
      <c r="Q8478">
        <v>96.25</v>
      </c>
      <c r="R8478">
        <v>77</v>
      </c>
      <c r="S8478">
        <v>115.5</v>
      </c>
      <c r="T8478" t="s">
        <v>41127</v>
      </c>
    </row>
    <row r="8479" spans="1:20">
      <c r="A8479">
        <v>4672744</v>
      </c>
      <c r="B8479" t="s">
        <v>41128</v>
      </c>
      <c r="C8479" t="str">
        <f>"9781442641976"</f>
        <v>9781442641976</v>
      </c>
      <c r="D8479" t="str">
        <f>"9781442690189"</f>
        <v>9781442690189</v>
      </c>
      <c r="E8479" t="s">
        <v>31435</v>
      </c>
      <c r="F8479" t="s">
        <v>31435</v>
      </c>
      <c r="G8479" s="1">
        <v>40542</v>
      </c>
      <c r="J8479" t="s">
        <v>41129</v>
      </c>
      <c r="K8479" t="s">
        <v>10860</v>
      </c>
      <c r="L8479" t="s">
        <v>41130</v>
      </c>
      <c r="M8479" t="s">
        <v>41131</v>
      </c>
      <c r="O8479" t="s">
        <v>26</v>
      </c>
      <c r="Q8479">
        <v>87.5</v>
      </c>
      <c r="R8479">
        <v>70</v>
      </c>
      <c r="S8479">
        <v>105</v>
      </c>
      <c r="T8479" t="s">
        <v>41132</v>
      </c>
    </row>
    <row r="8480" spans="1:20">
      <c r="A8480">
        <v>4672745</v>
      </c>
      <c r="B8480" t="s">
        <v>41133</v>
      </c>
      <c r="C8480" t="str">
        <f>"9781442641983"</f>
        <v>9781442641983</v>
      </c>
      <c r="D8480" t="str">
        <f>"9781442690196"</f>
        <v>9781442690196</v>
      </c>
      <c r="E8480" t="s">
        <v>31435</v>
      </c>
      <c r="F8480" t="s">
        <v>31435</v>
      </c>
      <c r="G8480" s="1">
        <v>40724</v>
      </c>
      <c r="J8480" t="s">
        <v>41134</v>
      </c>
      <c r="K8480" t="s">
        <v>1464</v>
      </c>
      <c r="L8480" t="s">
        <v>41135</v>
      </c>
      <c r="M8480" t="s">
        <v>41136</v>
      </c>
      <c r="N8480" t="s">
        <v>38189</v>
      </c>
      <c r="O8480" t="s">
        <v>26</v>
      </c>
      <c r="Q8480">
        <v>103.75</v>
      </c>
      <c r="R8480">
        <v>83</v>
      </c>
      <c r="S8480">
        <v>124.5</v>
      </c>
      <c r="T8480" t="s">
        <v>41137</v>
      </c>
    </row>
    <row r="8481" spans="1:20">
      <c r="A8481">
        <v>4672748</v>
      </c>
      <c r="B8481" t="s">
        <v>41138</v>
      </c>
      <c r="C8481" t="str">
        <f>"9781442642010"</f>
        <v>9781442642010</v>
      </c>
      <c r="D8481" t="str">
        <f>"9781442690226"</f>
        <v>9781442690226</v>
      </c>
      <c r="E8481" t="s">
        <v>31435</v>
      </c>
      <c r="F8481" t="s">
        <v>31435</v>
      </c>
      <c r="G8481" s="1">
        <v>42005</v>
      </c>
      <c r="J8481" t="s">
        <v>41139</v>
      </c>
      <c r="K8481" t="s">
        <v>1464</v>
      </c>
      <c r="L8481" t="s">
        <v>41140</v>
      </c>
      <c r="O8481" t="s">
        <v>26</v>
      </c>
      <c r="Q8481">
        <v>87.5</v>
      </c>
      <c r="R8481">
        <v>70</v>
      </c>
      <c r="S8481">
        <v>105</v>
      </c>
      <c r="T8481" t="s">
        <v>41141</v>
      </c>
    </row>
    <row r="8482" spans="1:20">
      <c r="A8482">
        <v>4672755</v>
      </c>
      <c r="B8482" t="s">
        <v>41142</v>
      </c>
      <c r="C8482" t="str">
        <f>"9781442641150"</f>
        <v>9781442641150</v>
      </c>
      <c r="D8482" t="str">
        <f>"9781442690301"</f>
        <v>9781442690301</v>
      </c>
      <c r="E8482" t="s">
        <v>31435</v>
      </c>
      <c r="F8482" t="s">
        <v>31435</v>
      </c>
      <c r="G8482" s="1">
        <v>40693</v>
      </c>
      <c r="H8482">
        <v>2</v>
      </c>
      <c r="I8482" t="s">
        <v>34561</v>
      </c>
      <c r="J8482" t="s">
        <v>41143</v>
      </c>
      <c r="K8482" t="s">
        <v>21907</v>
      </c>
      <c r="L8482" t="s">
        <v>41144</v>
      </c>
      <c r="M8482">
        <v>89.71</v>
      </c>
      <c r="O8482" t="s">
        <v>26</v>
      </c>
      <c r="Q8482">
        <v>268.75</v>
      </c>
      <c r="R8482">
        <v>215</v>
      </c>
      <c r="S8482">
        <v>322.5</v>
      </c>
      <c r="T8482" t="s">
        <v>41145</v>
      </c>
    </row>
    <row r="8483" spans="1:20">
      <c r="A8483">
        <v>4672759</v>
      </c>
      <c r="B8483" t="s">
        <v>41146</v>
      </c>
      <c r="C8483" t="str">
        <f>"9781442642157"</f>
        <v>9781442642157</v>
      </c>
      <c r="D8483" t="str">
        <f>"9781442690356"</f>
        <v>9781442690356</v>
      </c>
      <c r="E8483" t="s">
        <v>31435</v>
      </c>
      <c r="F8483" t="s">
        <v>31435</v>
      </c>
      <c r="G8483" s="1">
        <v>41773</v>
      </c>
      <c r="J8483" t="s">
        <v>41147</v>
      </c>
      <c r="K8483" t="s">
        <v>1859</v>
      </c>
      <c r="M8483">
        <v>193</v>
      </c>
      <c r="O8483" t="s">
        <v>26</v>
      </c>
      <c r="Q8483">
        <v>108.75</v>
      </c>
      <c r="R8483">
        <v>87</v>
      </c>
      <c r="S8483">
        <v>130.5</v>
      </c>
      <c r="T8483" t="s">
        <v>41148</v>
      </c>
    </row>
    <row r="8484" spans="1:20">
      <c r="A8484">
        <v>4672760</v>
      </c>
      <c r="B8484" t="s">
        <v>41149</v>
      </c>
      <c r="C8484" t="str">
        <f>"9781442642164"</f>
        <v>9781442642164</v>
      </c>
      <c r="D8484" t="str">
        <f>"9781442690363"</f>
        <v>9781442690363</v>
      </c>
      <c r="E8484" t="s">
        <v>31435</v>
      </c>
      <c r="F8484" t="s">
        <v>31435</v>
      </c>
      <c r="G8484" s="1">
        <v>40663</v>
      </c>
      <c r="I8484" t="s">
        <v>33899</v>
      </c>
      <c r="J8484" t="s">
        <v>41150</v>
      </c>
      <c r="K8484" t="s">
        <v>1464</v>
      </c>
      <c r="L8484" t="s">
        <v>41151</v>
      </c>
      <c r="M8484" t="s">
        <v>41152</v>
      </c>
      <c r="O8484" t="s">
        <v>26</v>
      </c>
      <c r="Q8484">
        <v>118.75</v>
      </c>
      <c r="R8484">
        <v>95</v>
      </c>
      <c r="S8484">
        <v>142.5</v>
      </c>
      <c r="T8484" t="s">
        <v>41153</v>
      </c>
    </row>
    <row r="8485" spans="1:20">
      <c r="A8485">
        <v>4672764</v>
      </c>
      <c r="B8485" t="s">
        <v>41154</v>
      </c>
      <c r="C8485" t="str">
        <f>"9781442609938"</f>
        <v>9781442609938</v>
      </c>
      <c r="D8485" t="str">
        <f>"9781442690417"</f>
        <v>9781442690417</v>
      </c>
      <c r="E8485" t="s">
        <v>31435</v>
      </c>
      <c r="F8485" t="s">
        <v>31435</v>
      </c>
      <c r="G8485" s="1">
        <v>40100</v>
      </c>
      <c r="I8485" t="s">
        <v>36249</v>
      </c>
      <c r="J8485" t="s">
        <v>41155</v>
      </c>
      <c r="K8485" t="s">
        <v>467</v>
      </c>
      <c r="L8485" t="s">
        <v>41156</v>
      </c>
      <c r="M8485" t="s">
        <v>41157</v>
      </c>
      <c r="N8485" t="s">
        <v>41158</v>
      </c>
      <c r="O8485" t="s">
        <v>26</v>
      </c>
      <c r="Q8485">
        <v>118.75</v>
      </c>
      <c r="R8485">
        <v>95</v>
      </c>
      <c r="S8485">
        <v>142.5</v>
      </c>
      <c r="T8485" t="s">
        <v>41159</v>
      </c>
    </row>
    <row r="8486" spans="1:20">
      <c r="A8486">
        <v>4672771</v>
      </c>
      <c r="B8486" t="s">
        <v>41160</v>
      </c>
      <c r="C8486" t="str">
        <f>"9781442642287"</f>
        <v>9781442642287</v>
      </c>
      <c r="D8486" t="str">
        <f>"9781442693517"</f>
        <v>9781442693517</v>
      </c>
      <c r="E8486" t="s">
        <v>31435</v>
      </c>
      <c r="F8486" t="s">
        <v>31435</v>
      </c>
      <c r="G8486" s="1">
        <v>40179</v>
      </c>
      <c r="H8486">
        <v>4</v>
      </c>
      <c r="I8486" t="s">
        <v>34830</v>
      </c>
      <c r="J8486" t="s">
        <v>34831</v>
      </c>
      <c r="K8486" t="s">
        <v>278</v>
      </c>
      <c r="L8486" t="s">
        <v>41161</v>
      </c>
      <c r="M8486">
        <v>330.97106400000001</v>
      </c>
      <c r="O8486" t="s">
        <v>26</v>
      </c>
      <c r="Q8486">
        <v>190</v>
      </c>
      <c r="R8486">
        <v>152</v>
      </c>
      <c r="S8486">
        <v>228</v>
      </c>
      <c r="T8486" t="s">
        <v>41162</v>
      </c>
    </row>
    <row r="8487" spans="1:20">
      <c r="A8487">
        <v>4672775</v>
      </c>
      <c r="B8487" t="s">
        <v>41163</v>
      </c>
      <c r="C8487" t="str">
        <f>"9781442642379"</f>
        <v>9781442642379</v>
      </c>
      <c r="D8487" t="str">
        <f>"9781442693852"</f>
        <v>9781442693852</v>
      </c>
      <c r="E8487" t="s">
        <v>31435</v>
      </c>
      <c r="F8487" t="s">
        <v>31435</v>
      </c>
      <c r="G8487" s="1">
        <v>40179</v>
      </c>
      <c r="I8487" t="s">
        <v>33881</v>
      </c>
      <c r="J8487" t="s">
        <v>41164</v>
      </c>
      <c r="K8487" t="s">
        <v>291</v>
      </c>
      <c r="L8487" t="s">
        <v>41165</v>
      </c>
      <c r="M8487">
        <v>941.08209199999897</v>
      </c>
      <c r="O8487" t="s">
        <v>26</v>
      </c>
      <c r="Q8487">
        <v>103.75</v>
      </c>
      <c r="R8487">
        <v>83</v>
      </c>
      <c r="S8487">
        <v>124.5</v>
      </c>
      <c r="T8487" t="s">
        <v>41166</v>
      </c>
    </row>
    <row r="8488" spans="1:20">
      <c r="A8488">
        <v>4672776</v>
      </c>
      <c r="B8488" t="s">
        <v>41167</v>
      </c>
      <c r="C8488" t="str">
        <f>"9781442611283"</f>
        <v>9781442611283</v>
      </c>
      <c r="D8488" t="str">
        <f>"9781442693876"</f>
        <v>9781442693876</v>
      </c>
      <c r="E8488" t="s">
        <v>31435</v>
      </c>
      <c r="F8488" t="s">
        <v>31435</v>
      </c>
      <c r="G8488" s="1">
        <v>40693</v>
      </c>
      <c r="J8488" t="s">
        <v>17321</v>
      </c>
      <c r="K8488" t="s">
        <v>416</v>
      </c>
      <c r="L8488" t="s">
        <v>41168</v>
      </c>
      <c r="M8488" t="s">
        <v>41169</v>
      </c>
      <c r="N8488" t="s">
        <v>41170</v>
      </c>
      <c r="O8488" t="s">
        <v>26</v>
      </c>
      <c r="Q8488">
        <v>96.25</v>
      </c>
      <c r="R8488">
        <v>77</v>
      </c>
      <c r="S8488">
        <v>115.5</v>
      </c>
      <c r="T8488" t="s">
        <v>41171</v>
      </c>
    </row>
    <row r="8489" spans="1:20">
      <c r="A8489">
        <v>4672780</v>
      </c>
      <c r="B8489" t="s">
        <v>41172</v>
      </c>
      <c r="C8489" t="str">
        <f>"9781442642430"</f>
        <v>9781442642430</v>
      </c>
      <c r="D8489" t="str">
        <f>"9781442693999"</f>
        <v>9781442693999</v>
      </c>
      <c r="E8489" t="s">
        <v>31435</v>
      </c>
      <c r="F8489" t="s">
        <v>31435</v>
      </c>
      <c r="G8489" s="1">
        <v>41773</v>
      </c>
      <c r="I8489" t="s">
        <v>34779</v>
      </c>
      <c r="J8489" t="s">
        <v>41173</v>
      </c>
      <c r="K8489" t="s">
        <v>1464</v>
      </c>
      <c r="M8489">
        <v>828.60900000000004</v>
      </c>
      <c r="O8489" t="s">
        <v>26</v>
      </c>
      <c r="Q8489">
        <v>118.75</v>
      </c>
      <c r="R8489">
        <v>95</v>
      </c>
      <c r="S8489">
        <v>142.5</v>
      </c>
      <c r="T8489" t="s">
        <v>41174</v>
      </c>
    </row>
    <row r="8490" spans="1:20">
      <c r="A8490">
        <v>4672782</v>
      </c>
      <c r="B8490" t="s">
        <v>41175</v>
      </c>
      <c r="C8490" t="str">
        <f>"9781442611337"</f>
        <v>9781442611337</v>
      </c>
      <c r="D8490" t="str">
        <f>"9781442694033"</f>
        <v>9781442694033</v>
      </c>
      <c r="E8490" t="s">
        <v>31435</v>
      </c>
      <c r="F8490" t="s">
        <v>31435</v>
      </c>
      <c r="G8490" s="1">
        <v>40179</v>
      </c>
      <c r="I8490" t="s">
        <v>40465</v>
      </c>
      <c r="J8490" t="s">
        <v>41176</v>
      </c>
      <c r="K8490" t="s">
        <v>1471</v>
      </c>
      <c r="L8490" t="s">
        <v>41177</v>
      </c>
      <c r="M8490" t="s">
        <v>7517</v>
      </c>
      <c r="O8490" t="s">
        <v>26</v>
      </c>
      <c r="Q8490">
        <v>72.5</v>
      </c>
      <c r="R8490">
        <v>58</v>
      </c>
      <c r="S8490">
        <v>87</v>
      </c>
      <c r="T8490" t="s">
        <v>41178</v>
      </c>
    </row>
    <row r="8491" spans="1:20">
      <c r="A8491">
        <v>4672790</v>
      </c>
      <c r="B8491" t="s">
        <v>41179</v>
      </c>
      <c r="C8491" t="str">
        <f>"9781442642034"</f>
        <v>9781442642034</v>
      </c>
      <c r="D8491" t="str">
        <f>"9781442694224"</f>
        <v>9781442694224</v>
      </c>
      <c r="E8491" t="s">
        <v>31435</v>
      </c>
      <c r="F8491" t="s">
        <v>31435</v>
      </c>
      <c r="G8491" s="1">
        <v>41011</v>
      </c>
      <c r="I8491" t="s">
        <v>34561</v>
      </c>
      <c r="J8491" t="s">
        <v>34794</v>
      </c>
      <c r="K8491" t="s">
        <v>8974</v>
      </c>
      <c r="L8491" t="s">
        <v>41180</v>
      </c>
      <c r="M8491">
        <v>199.491999999999</v>
      </c>
      <c r="O8491" t="s">
        <v>26</v>
      </c>
      <c r="Q8491">
        <v>277.5</v>
      </c>
      <c r="R8491">
        <v>222</v>
      </c>
      <c r="S8491">
        <v>333</v>
      </c>
      <c r="T8491" t="s">
        <v>41181</v>
      </c>
    </row>
    <row r="8492" spans="1:20">
      <c r="A8492">
        <v>4672793</v>
      </c>
      <c r="B8492" t="s">
        <v>41182</v>
      </c>
      <c r="C8492" t="str">
        <f>"9781442642546"</f>
        <v>9781442642546</v>
      </c>
      <c r="D8492" t="str">
        <f>"9781442694262"</f>
        <v>9781442694262</v>
      </c>
      <c r="E8492" t="s">
        <v>31435</v>
      </c>
      <c r="F8492" t="s">
        <v>31435</v>
      </c>
      <c r="G8492" s="1">
        <v>40712</v>
      </c>
      <c r="I8492" t="s">
        <v>35251</v>
      </c>
      <c r="J8492" t="s">
        <v>40943</v>
      </c>
      <c r="K8492" t="s">
        <v>278</v>
      </c>
      <c r="L8492" t="s">
        <v>41183</v>
      </c>
      <c r="M8492">
        <v>336.71300000000002</v>
      </c>
      <c r="N8492" t="s">
        <v>41184</v>
      </c>
      <c r="O8492" t="s">
        <v>26</v>
      </c>
      <c r="Q8492">
        <v>103.75</v>
      </c>
      <c r="R8492">
        <v>83</v>
      </c>
      <c r="S8492">
        <v>124.5</v>
      </c>
      <c r="T8492" t="s">
        <v>41185</v>
      </c>
    </row>
    <row r="8493" spans="1:20">
      <c r="A8493">
        <v>4672796</v>
      </c>
      <c r="B8493" t="s">
        <v>41186</v>
      </c>
      <c r="C8493" t="str">
        <f>"9781442642584"</f>
        <v>9781442642584</v>
      </c>
      <c r="D8493" t="str">
        <f>"9781442694354"</f>
        <v>9781442694354</v>
      </c>
      <c r="E8493" t="s">
        <v>31435</v>
      </c>
      <c r="F8493" t="s">
        <v>31435</v>
      </c>
      <c r="G8493" s="1">
        <v>40909</v>
      </c>
      <c r="I8493" t="s">
        <v>40563</v>
      </c>
      <c r="J8493" t="s">
        <v>41187</v>
      </c>
      <c r="K8493" t="s">
        <v>791</v>
      </c>
      <c r="L8493" t="s">
        <v>41188</v>
      </c>
      <c r="M8493" t="s">
        <v>41189</v>
      </c>
      <c r="O8493" t="s">
        <v>26</v>
      </c>
      <c r="Q8493">
        <v>111.25</v>
      </c>
      <c r="R8493">
        <v>89</v>
      </c>
      <c r="S8493">
        <v>133.5</v>
      </c>
      <c r="T8493" t="s">
        <v>41190</v>
      </c>
    </row>
    <row r="8494" spans="1:20">
      <c r="A8494">
        <v>4672798</v>
      </c>
      <c r="B8494" t="s">
        <v>41191</v>
      </c>
      <c r="C8494" t="str">
        <f>"9781442611443"</f>
        <v>9781442611443</v>
      </c>
      <c r="D8494" t="str">
        <f>"9781442694415"</f>
        <v>9781442694415</v>
      </c>
      <c r="E8494" t="s">
        <v>31435</v>
      </c>
      <c r="F8494" t="s">
        <v>31435</v>
      </c>
      <c r="G8494" s="1">
        <v>41773</v>
      </c>
      <c r="J8494" t="s">
        <v>41192</v>
      </c>
      <c r="K8494" t="s">
        <v>1892</v>
      </c>
      <c r="M8494">
        <v>201.50971000000001</v>
      </c>
      <c r="O8494" t="s">
        <v>26</v>
      </c>
      <c r="Q8494">
        <v>77.5</v>
      </c>
      <c r="R8494">
        <v>62</v>
      </c>
      <c r="S8494">
        <v>93</v>
      </c>
      <c r="T8494" t="s">
        <v>41193</v>
      </c>
    </row>
    <row r="8495" spans="1:20">
      <c r="A8495">
        <v>4672802</v>
      </c>
      <c r="B8495" t="s">
        <v>41194</v>
      </c>
      <c r="C8495" t="str">
        <f>"9781442642669"</f>
        <v>9781442642669</v>
      </c>
      <c r="D8495" t="str">
        <f>"9781442694484"</f>
        <v>9781442694484</v>
      </c>
      <c r="E8495" t="s">
        <v>31435</v>
      </c>
      <c r="F8495" t="s">
        <v>31435</v>
      </c>
      <c r="G8495" s="1">
        <v>41773</v>
      </c>
      <c r="I8495" t="s">
        <v>33827</v>
      </c>
      <c r="J8495" t="s">
        <v>41195</v>
      </c>
      <c r="K8495" t="s">
        <v>1859</v>
      </c>
      <c r="L8495" t="s">
        <v>41196</v>
      </c>
      <c r="M8495">
        <v>195</v>
      </c>
      <c r="O8495" t="s">
        <v>26</v>
      </c>
      <c r="Q8495">
        <v>182.5</v>
      </c>
      <c r="R8495">
        <v>146</v>
      </c>
      <c r="S8495">
        <v>219</v>
      </c>
      <c r="T8495" t="s">
        <v>41197</v>
      </c>
    </row>
    <row r="8496" spans="1:20">
      <c r="A8496">
        <v>4672804</v>
      </c>
      <c r="B8496" t="s">
        <v>41198</v>
      </c>
      <c r="C8496" t="str">
        <f>"9781442642690"</f>
        <v>9781442642690</v>
      </c>
      <c r="D8496" t="str">
        <f>"9781442694545"</f>
        <v>9781442694545</v>
      </c>
      <c r="E8496" t="s">
        <v>31435</v>
      </c>
      <c r="F8496" t="s">
        <v>31435</v>
      </c>
      <c r="G8496" s="1">
        <v>40544</v>
      </c>
      <c r="I8496" t="s">
        <v>33775</v>
      </c>
      <c r="J8496" t="s">
        <v>39606</v>
      </c>
      <c r="K8496" t="s">
        <v>7075</v>
      </c>
      <c r="L8496" t="s">
        <v>41199</v>
      </c>
      <c r="M8496">
        <v>16.8508</v>
      </c>
      <c r="O8496" t="s">
        <v>26</v>
      </c>
      <c r="Q8496">
        <v>225</v>
      </c>
      <c r="R8496">
        <v>180</v>
      </c>
      <c r="S8496">
        <v>270</v>
      </c>
      <c r="T8496" t="s">
        <v>41200</v>
      </c>
    </row>
    <row r="8497" spans="1:20">
      <c r="A8497">
        <v>4672810</v>
      </c>
      <c r="B8497" t="s">
        <v>41201</v>
      </c>
      <c r="C8497" t="str">
        <f>"9781442642744"</f>
        <v>9781442642744</v>
      </c>
      <c r="D8497" t="str">
        <f>"9781442694781"</f>
        <v>9781442694781</v>
      </c>
      <c r="E8497" t="s">
        <v>31435</v>
      </c>
      <c r="F8497" t="s">
        <v>31435</v>
      </c>
      <c r="G8497" s="1">
        <v>40873</v>
      </c>
      <c r="I8497" t="s">
        <v>33775</v>
      </c>
      <c r="J8497" t="s">
        <v>41202</v>
      </c>
      <c r="K8497" t="s">
        <v>1464</v>
      </c>
      <c r="L8497" t="s">
        <v>41203</v>
      </c>
      <c r="M8497">
        <v>851.1</v>
      </c>
      <c r="O8497" t="s">
        <v>26</v>
      </c>
      <c r="Q8497">
        <v>118.75</v>
      </c>
      <c r="R8497">
        <v>95</v>
      </c>
      <c r="S8497">
        <v>142.5</v>
      </c>
      <c r="T8497" t="s">
        <v>41204</v>
      </c>
    </row>
    <row r="8498" spans="1:20">
      <c r="A8498">
        <v>4672815</v>
      </c>
      <c r="B8498" t="s">
        <v>41205</v>
      </c>
      <c r="C8498" t="str">
        <f>"9781442642812"</f>
        <v>9781442642812</v>
      </c>
      <c r="D8498" t="str">
        <f>"9781442694927"</f>
        <v>9781442694927</v>
      </c>
      <c r="E8498" t="s">
        <v>31435</v>
      </c>
      <c r="F8498" t="s">
        <v>31435</v>
      </c>
      <c r="G8498" s="1">
        <v>41773</v>
      </c>
      <c r="J8498" t="s">
        <v>41206</v>
      </c>
      <c r="K8498" t="s">
        <v>1464</v>
      </c>
      <c r="M8498">
        <v>821.40938200000005</v>
      </c>
      <c r="O8498" t="s">
        <v>26</v>
      </c>
      <c r="Q8498">
        <v>108.75</v>
      </c>
      <c r="R8498">
        <v>87</v>
      </c>
      <c r="S8498">
        <v>130.5</v>
      </c>
      <c r="T8498" t="s">
        <v>41207</v>
      </c>
    </row>
    <row r="8499" spans="1:20">
      <c r="A8499">
        <v>4672816</v>
      </c>
      <c r="B8499" t="s">
        <v>41208</v>
      </c>
      <c r="C8499" t="str">
        <f>"9780802092571"</f>
        <v>9780802092571</v>
      </c>
      <c r="D8499" t="str">
        <f>"9781442694934"</f>
        <v>9781442694934</v>
      </c>
      <c r="E8499" t="s">
        <v>31435</v>
      </c>
      <c r="F8499" t="s">
        <v>31435</v>
      </c>
      <c r="G8499" s="1">
        <v>41773</v>
      </c>
      <c r="I8499" t="s">
        <v>31450</v>
      </c>
      <c r="J8499" t="s">
        <v>41209</v>
      </c>
      <c r="K8499" t="s">
        <v>1530</v>
      </c>
      <c r="L8499" t="s">
        <v>41210</v>
      </c>
      <c r="M8499">
        <v>305.60000000000002</v>
      </c>
      <c r="O8499" t="s">
        <v>26</v>
      </c>
      <c r="Q8499">
        <v>96.25</v>
      </c>
      <c r="R8499">
        <v>77</v>
      </c>
      <c r="S8499">
        <v>115.5</v>
      </c>
      <c r="T8499" t="s">
        <v>41211</v>
      </c>
    </row>
    <row r="8500" spans="1:20">
      <c r="A8500">
        <v>4672818</v>
      </c>
      <c r="B8500" t="s">
        <v>41212</v>
      </c>
      <c r="C8500" t="str">
        <f>"9781442611573"</f>
        <v>9781442611573</v>
      </c>
      <c r="D8500" t="str">
        <f>"9781442695009"</f>
        <v>9781442695009</v>
      </c>
      <c r="E8500" t="s">
        <v>31435</v>
      </c>
      <c r="F8500" t="s">
        <v>31435</v>
      </c>
      <c r="G8500" s="1">
        <v>41773</v>
      </c>
      <c r="J8500" t="s">
        <v>41213</v>
      </c>
      <c r="K8500" t="s">
        <v>1464</v>
      </c>
      <c r="M8500">
        <v>813.52</v>
      </c>
      <c r="O8500" t="s">
        <v>26</v>
      </c>
      <c r="Q8500">
        <v>58.69</v>
      </c>
      <c r="R8500">
        <v>46.95</v>
      </c>
      <c r="S8500">
        <v>70.430000000000007</v>
      </c>
      <c r="T8500" t="s">
        <v>41214</v>
      </c>
    </row>
    <row r="8501" spans="1:20">
      <c r="A8501">
        <v>4672819</v>
      </c>
      <c r="B8501" t="s">
        <v>41215</v>
      </c>
      <c r="C8501" t="str">
        <f>"9781442642874"</f>
        <v>9781442642874</v>
      </c>
      <c r="D8501" t="str">
        <f>"9781442695047"</f>
        <v>9781442695047</v>
      </c>
      <c r="E8501" t="s">
        <v>31435</v>
      </c>
      <c r="F8501" t="s">
        <v>31435</v>
      </c>
      <c r="G8501" s="1">
        <v>41773</v>
      </c>
      <c r="J8501" t="s">
        <v>41216</v>
      </c>
      <c r="K8501" t="s">
        <v>4347</v>
      </c>
      <c r="L8501" t="s">
        <v>41217</v>
      </c>
      <c r="M8501">
        <v>355.34709709999998</v>
      </c>
      <c r="O8501" t="s">
        <v>26</v>
      </c>
      <c r="Q8501">
        <v>80</v>
      </c>
      <c r="R8501">
        <v>64</v>
      </c>
      <c r="S8501">
        <v>96</v>
      </c>
      <c r="T8501" t="s">
        <v>41218</v>
      </c>
    </row>
    <row r="8502" spans="1:20">
      <c r="A8502">
        <v>4672820</v>
      </c>
      <c r="B8502" t="s">
        <v>41219</v>
      </c>
      <c r="C8502" t="str">
        <f>"9781442611580"</f>
        <v>9781442611580</v>
      </c>
      <c r="D8502" t="str">
        <f>"9781442695061"</f>
        <v>9781442695061</v>
      </c>
      <c r="E8502" t="s">
        <v>31435</v>
      </c>
      <c r="F8502" t="s">
        <v>31435</v>
      </c>
      <c r="G8502" s="1">
        <v>40628</v>
      </c>
      <c r="J8502" t="s">
        <v>41220</v>
      </c>
      <c r="K8502" t="s">
        <v>6444</v>
      </c>
      <c r="L8502" t="s">
        <v>41221</v>
      </c>
      <c r="M8502" t="s">
        <v>41222</v>
      </c>
      <c r="N8502" t="s">
        <v>41223</v>
      </c>
      <c r="O8502" t="s">
        <v>26</v>
      </c>
      <c r="Q8502">
        <v>87.5</v>
      </c>
      <c r="R8502">
        <v>70</v>
      </c>
      <c r="S8502">
        <v>105</v>
      </c>
      <c r="T8502" t="s">
        <v>41224</v>
      </c>
    </row>
    <row r="8503" spans="1:20">
      <c r="A8503">
        <v>4672826</v>
      </c>
      <c r="B8503" t="s">
        <v>41225</v>
      </c>
      <c r="C8503" t="str">
        <f>"9781442611597"</f>
        <v>9781442611597</v>
      </c>
      <c r="D8503" t="str">
        <f>"9781442695184"</f>
        <v>9781442695184</v>
      </c>
      <c r="E8503" t="s">
        <v>31435</v>
      </c>
      <c r="F8503" t="s">
        <v>31435</v>
      </c>
      <c r="G8503" s="1">
        <v>40782</v>
      </c>
      <c r="J8503" t="s">
        <v>34948</v>
      </c>
      <c r="K8503" t="s">
        <v>1550</v>
      </c>
      <c r="L8503" t="s">
        <v>41226</v>
      </c>
      <c r="M8503" t="s">
        <v>41227</v>
      </c>
      <c r="O8503" t="s">
        <v>26</v>
      </c>
      <c r="Q8503">
        <v>93.75</v>
      </c>
      <c r="R8503">
        <v>75</v>
      </c>
      <c r="S8503">
        <v>112.5</v>
      </c>
      <c r="T8503" t="s">
        <v>41228</v>
      </c>
    </row>
    <row r="8504" spans="1:20">
      <c r="A8504">
        <v>4672827</v>
      </c>
      <c r="B8504" t="s">
        <v>41229</v>
      </c>
      <c r="C8504" t="str">
        <f>"9781442642966"</f>
        <v>9781442642966</v>
      </c>
      <c r="D8504" t="str">
        <f>"9781442695207"</f>
        <v>9781442695207</v>
      </c>
      <c r="E8504" t="s">
        <v>31435</v>
      </c>
      <c r="F8504" t="s">
        <v>31435</v>
      </c>
      <c r="G8504" s="1">
        <v>41773</v>
      </c>
      <c r="H8504">
        <v>3</v>
      </c>
      <c r="J8504" t="s">
        <v>41230</v>
      </c>
      <c r="K8504" t="s">
        <v>1322</v>
      </c>
      <c r="L8504" t="s">
        <v>41231</v>
      </c>
      <c r="M8504">
        <v>362.20420973</v>
      </c>
      <c r="O8504" t="s">
        <v>26</v>
      </c>
      <c r="Q8504">
        <v>70</v>
      </c>
      <c r="R8504">
        <v>56</v>
      </c>
      <c r="S8504">
        <v>84</v>
      </c>
      <c r="T8504" t="s">
        <v>41232</v>
      </c>
    </row>
    <row r="8505" spans="1:20">
      <c r="A8505">
        <v>4672829</v>
      </c>
      <c r="B8505" t="s">
        <v>41233</v>
      </c>
      <c r="C8505" t="str">
        <f>"9781442642980"</f>
        <v>9781442642980</v>
      </c>
      <c r="D8505" t="str">
        <f>"9781442695269"</f>
        <v>9781442695269</v>
      </c>
      <c r="E8505" t="s">
        <v>31435</v>
      </c>
      <c r="F8505" t="s">
        <v>31435</v>
      </c>
      <c r="G8505" s="1">
        <v>41773</v>
      </c>
      <c r="I8505" t="s">
        <v>33775</v>
      </c>
      <c r="J8505" t="s">
        <v>41234</v>
      </c>
      <c r="K8505" t="s">
        <v>1464</v>
      </c>
      <c r="L8505" t="s">
        <v>41235</v>
      </c>
      <c r="M8505">
        <v>850.93579999999997</v>
      </c>
      <c r="O8505" t="s">
        <v>26</v>
      </c>
      <c r="Q8505">
        <v>126.25</v>
      </c>
      <c r="R8505">
        <v>101</v>
      </c>
      <c r="S8505">
        <v>151.5</v>
      </c>
      <c r="T8505" t="s">
        <v>41236</v>
      </c>
    </row>
    <row r="8506" spans="1:20">
      <c r="A8506">
        <v>4672830</v>
      </c>
      <c r="B8506" t="s">
        <v>41237</v>
      </c>
      <c r="C8506" t="str">
        <f>"9781442642997"</f>
        <v>9781442642997</v>
      </c>
      <c r="D8506" t="str">
        <f>"9781442695283"</f>
        <v>9781442695283</v>
      </c>
      <c r="E8506" t="s">
        <v>31435</v>
      </c>
      <c r="F8506" t="s">
        <v>31435</v>
      </c>
      <c r="G8506" s="1">
        <v>41773</v>
      </c>
      <c r="I8506" t="s">
        <v>34565</v>
      </c>
      <c r="J8506" t="s">
        <v>41238</v>
      </c>
      <c r="K8506" t="s">
        <v>1464</v>
      </c>
      <c r="L8506" t="s">
        <v>41239</v>
      </c>
      <c r="M8506">
        <v>869.34209357999998</v>
      </c>
      <c r="O8506" t="s">
        <v>26</v>
      </c>
      <c r="Q8506">
        <v>77.5</v>
      </c>
      <c r="R8506">
        <v>62</v>
      </c>
      <c r="S8506">
        <v>93</v>
      </c>
      <c r="T8506" t="s">
        <v>41240</v>
      </c>
    </row>
    <row r="8507" spans="1:20">
      <c r="A8507">
        <v>4672835</v>
      </c>
      <c r="B8507" t="s">
        <v>41241</v>
      </c>
      <c r="C8507" t="str">
        <f>"9781442643079"</f>
        <v>9781442643079</v>
      </c>
      <c r="D8507" t="str">
        <f>"9781442695382"</f>
        <v>9781442695382</v>
      </c>
      <c r="E8507" t="s">
        <v>31435</v>
      </c>
      <c r="F8507" t="s">
        <v>31435</v>
      </c>
      <c r="G8507" s="1">
        <v>41773</v>
      </c>
      <c r="J8507" t="s">
        <v>41242</v>
      </c>
      <c r="K8507" t="s">
        <v>1892</v>
      </c>
      <c r="M8507">
        <v>210</v>
      </c>
      <c r="O8507" t="s">
        <v>26</v>
      </c>
      <c r="Q8507">
        <v>108.75</v>
      </c>
      <c r="R8507">
        <v>87</v>
      </c>
      <c r="S8507">
        <v>130.5</v>
      </c>
      <c r="T8507" t="s">
        <v>41243</v>
      </c>
    </row>
    <row r="8508" spans="1:20">
      <c r="A8508">
        <v>4672840</v>
      </c>
      <c r="B8508" t="s">
        <v>41244</v>
      </c>
      <c r="C8508" t="str">
        <f>"9781442643130"</f>
        <v>9781442643130</v>
      </c>
      <c r="D8508" t="str">
        <f>"9781442695504"</f>
        <v>9781442695504</v>
      </c>
      <c r="E8508" t="s">
        <v>31435</v>
      </c>
      <c r="F8508" t="s">
        <v>31435</v>
      </c>
      <c r="G8508" s="1">
        <v>40558</v>
      </c>
      <c r="J8508" t="s">
        <v>41245</v>
      </c>
      <c r="K8508" t="s">
        <v>1464</v>
      </c>
      <c r="L8508" t="s">
        <v>41246</v>
      </c>
      <c r="M8508" t="s">
        <v>41247</v>
      </c>
      <c r="O8508" t="s">
        <v>26</v>
      </c>
      <c r="Q8508">
        <v>87.5</v>
      </c>
      <c r="R8508">
        <v>70</v>
      </c>
      <c r="S8508">
        <v>105</v>
      </c>
      <c r="T8508" t="s">
        <v>41248</v>
      </c>
    </row>
    <row r="8509" spans="1:20">
      <c r="A8509">
        <v>4672845</v>
      </c>
      <c r="B8509" t="s">
        <v>41249</v>
      </c>
      <c r="C8509" t="str">
        <f>"9781442643208"</f>
        <v>9781442643208</v>
      </c>
      <c r="D8509" t="str">
        <f>"9781442695641"</f>
        <v>9781442695641</v>
      </c>
      <c r="E8509" t="s">
        <v>31435</v>
      </c>
      <c r="F8509" t="s">
        <v>31435</v>
      </c>
      <c r="G8509" s="1">
        <v>40887</v>
      </c>
      <c r="J8509" t="s">
        <v>41250</v>
      </c>
      <c r="K8509" t="s">
        <v>257</v>
      </c>
      <c r="L8509" t="s">
        <v>41251</v>
      </c>
      <c r="M8509">
        <v>370.15</v>
      </c>
      <c r="O8509" t="s">
        <v>26</v>
      </c>
      <c r="Q8509">
        <v>101.25</v>
      </c>
      <c r="R8509">
        <v>81</v>
      </c>
      <c r="S8509">
        <v>121.5</v>
      </c>
      <c r="T8509" t="s">
        <v>41252</v>
      </c>
    </row>
    <row r="8510" spans="1:20">
      <c r="A8510">
        <v>4672857</v>
      </c>
      <c r="B8510" t="s">
        <v>41253</v>
      </c>
      <c r="C8510" t="str">
        <f>"9781442643314"</f>
        <v>9781442643314</v>
      </c>
      <c r="D8510" t="str">
        <f>"9781442695863"</f>
        <v>9781442695863</v>
      </c>
      <c r="E8510" t="s">
        <v>31435</v>
      </c>
      <c r="F8510" t="s">
        <v>31435</v>
      </c>
      <c r="G8510" s="1">
        <v>40775</v>
      </c>
      <c r="J8510" t="s">
        <v>36626</v>
      </c>
      <c r="K8510" t="s">
        <v>467</v>
      </c>
      <c r="L8510" t="s">
        <v>41254</v>
      </c>
      <c r="M8510" t="s">
        <v>41255</v>
      </c>
      <c r="N8510" t="s">
        <v>41256</v>
      </c>
      <c r="O8510" t="s">
        <v>26</v>
      </c>
      <c r="Q8510">
        <v>80</v>
      </c>
      <c r="R8510">
        <v>64</v>
      </c>
      <c r="S8510">
        <v>96</v>
      </c>
      <c r="T8510" t="s">
        <v>41257</v>
      </c>
    </row>
    <row r="8511" spans="1:20">
      <c r="A8511">
        <v>4672864</v>
      </c>
      <c r="B8511" t="s">
        <v>41258</v>
      </c>
      <c r="C8511" t="str">
        <f>"9781442643406"</f>
        <v>9781442643406</v>
      </c>
      <c r="D8511" t="str">
        <f>"9781442696020"</f>
        <v>9781442696020</v>
      </c>
      <c r="E8511" t="s">
        <v>31435</v>
      </c>
      <c r="F8511" t="s">
        <v>31435</v>
      </c>
      <c r="G8511" s="1">
        <v>40866</v>
      </c>
      <c r="I8511" t="s">
        <v>33775</v>
      </c>
      <c r="J8511" t="s">
        <v>41259</v>
      </c>
      <c r="K8511" t="s">
        <v>1464</v>
      </c>
      <c r="L8511" t="s">
        <v>41260</v>
      </c>
      <c r="M8511" t="s">
        <v>41261</v>
      </c>
      <c r="N8511" t="s">
        <v>41262</v>
      </c>
      <c r="O8511" t="s">
        <v>26</v>
      </c>
      <c r="Q8511">
        <v>116.25</v>
      </c>
      <c r="R8511">
        <v>93</v>
      </c>
      <c r="S8511">
        <v>139.5</v>
      </c>
      <c r="T8511" t="s">
        <v>41263</v>
      </c>
    </row>
    <row r="8512" spans="1:20">
      <c r="A8512">
        <v>4672867</v>
      </c>
      <c r="B8512" t="s">
        <v>41264</v>
      </c>
      <c r="C8512" t="str">
        <f>"9781442643437"</f>
        <v>9781442643437</v>
      </c>
      <c r="D8512" t="str">
        <f>"9781442696082"</f>
        <v>9781442696082</v>
      </c>
      <c r="E8512" t="s">
        <v>31435</v>
      </c>
      <c r="F8512" t="s">
        <v>31435</v>
      </c>
      <c r="G8512" s="1">
        <v>41773</v>
      </c>
      <c r="J8512" t="s">
        <v>41265</v>
      </c>
      <c r="K8512" t="s">
        <v>1464</v>
      </c>
      <c r="L8512" t="s">
        <v>41266</v>
      </c>
      <c r="M8512">
        <v>891.73308999999995</v>
      </c>
      <c r="O8512" t="s">
        <v>26</v>
      </c>
      <c r="Q8512">
        <v>103.75</v>
      </c>
      <c r="R8512">
        <v>83</v>
      </c>
      <c r="S8512">
        <v>124.5</v>
      </c>
      <c r="T8512" t="s">
        <v>41267</v>
      </c>
    </row>
    <row r="8513" spans="1:20">
      <c r="A8513">
        <v>4672871</v>
      </c>
      <c r="B8513" t="s">
        <v>41268</v>
      </c>
      <c r="C8513" t="str">
        <f>"9781442643475"</f>
        <v>9781442643475</v>
      </c>
      <c r="D8513" t="str">
        <f>"9781442696167"</f>
        <v>9781442696167</v>
      </c>
      <c r="E8513" t="s">
        <v>31435</v>
      </c>
      <c r="F8513" t="s">
        <v>31435</v>
      </c>
      <c r="G8513" s="1">
        <v>41640</v>
      </c>
      <c r="J8513" t="s">
        <v>41269</v>
      </c>
      <c r="K8513" t="s">
        <v>1464</v>
      </c>
      <c r="L8513" t="s">
        <v>41270</v>
      </c>
      <c r="M8513" t="s">
        <v>41271</v>
      </c>
      <c r="O8513" t="s">
        <v>26</v>
      </c>
      <c r="Q8513">
        <v>81.25</v>
      </c>
      <c r="R8513">
        <v>65</v>
      </c>
      <c r="S8513">
        <v>97.5</v>
      </c>
      <c r="T8513" t="s">
        <v>41272</v>
      </c>
    </row>
    <row r="8514" spans="1:20">
      <c r="A8514">
        <v>4672880</v>
      </c>
      <c r="B8514" t="s">
        <v>41273</v>
      </c>
      <c r="C8514" t="str">
        <f>"9781442643567"</f>
        <v>9781442643567</v>
      </c>
      <c r="D8514" t="str">
        <f>"9781442696365"</f>
        <v>9781442696365</v>
      </c>
      <c r="E8514" t="s">
        <v>31435</v>
      </c>
      <c r="F8514" t="s">
        <v>31435</v>
      </c>
      <c r="G8514" s="1">
        <v>41099</v>
      </c>
      <c r="J8514" t="s">
        <v>41274</v>
      </c>
      <c r="K8514" t="s">
        <v>1464</v>
      </c>
      <c r="L8514" t="s">
        <v>41275</v>
      </c>
      <c r="M8514" t="s">
        <v>41276</v>
      </c>
      <c r="N8514" t="s">
        <v>41277</v>
      </c>
      <c r="O8514" t="s">
        <v>26</v>
      </c>
      <c r="Q8514">
        <v>96.25</v>
      </c>
      <c r="R8514">
        <v>77</v>
      </c>
      <c r="S8514">
        <v>115.5</v>
      </c>
      <c r="T8514" t="s">
        <v>41278</v>
      </c>
    </row>
    <row r="8515" spans="1:20">
      <c r="A8515">
        <v>4672886</v>
      </c>
      <c r="B8515" t="s">
        <v>41279</v>
      </c>
      <c r="C8515" t="str">
        <f>"9781442612105"</f>
        <v>9781442612105</v>
      </c>
      <c r="D8515" t="str">
        <f>"9781442696525"</f>
        <v>9781442696525</v>
      </c>
      <c r="E8515" t="s">
        <v>31435</v>
      </c>
      <c r="F8515" t="s">
        <v>31435</v>
      </c>
      <c r="G8515" s="1">
        <v>41773</v>
      </c>
      <c r="J8515" t="s">
        <v>41280</v>
      </c>
      <c r="K8515" t="s">
        <v>1471</v>
      </c>
      <c r="L8515" t="s">
        <v>41281</v>
      </c>
      <c r="M8515">
        <v>700.10500000000002</v>
      </c>
      <c r="O8515" t="s">
        <v>26</v>
      </c>
      <c r="Q8515">
        <v>77.5</v>
      </c>
      <c r="R8515">
        <v>62</v>
      </c>
      <c r="S8515">
        <v>93</v>
      </c>
      <c r="T8515" t="s">
        <v>41282</v>
      </c>
    </row>
    <row r="8516" spans="1:20">
      <c r="A8516">
        <v>4672891</v>
      </c>
      <c r="B8516" t="s">
        <v>41283</v>
      </c>
      <c r="C8516" t="str">
        <f>"9781442641198"</f>
        <v>9781442641198</v>
      </c>
      <c r="D8516" t="str">
        <f>"9781442696693"</f>
        <v>9781442696693</v>
      </c>
      <c r="E8516" t="s">
        <v>31435</v>
      </c>
      <c r="F8516" t="s">
        <v>31435</v>
      </c>
      <c r="G8516" s="1">
        <v>40179</v>
      </c>
      <c r="J8516" t="s">
        <v>41284</v>
      </c>
      <c r="K8516" t="s">
        <v>1464</v>
      </c>
      <c r="L8516" t="s">
        <v>41285</v>
      </c>
      <c r="M8516" t="s">
        <v>7053</v>
      </c>
      <c r="O8516" t="s">
        <v>26</v>
      </c>
      <c r="Q8516">
        <v>72.5</v>
      </c>
      <c r="R8516">
        <v>58</v>
      </c>
      <c r="S8516">
        <v>87</v>
      </c>
      <c r="T8516" t="s">
        <v>41286</v>
      </c>
    </row>
    <row r="8517" spans="1:20">
      <c r="A8517">
        <v>4672893</v>
      </c>
      <c r="B8517" t="s">
        <v>41287</v>
      </c>
      <c r="C8517" t="str">
        <f>"9781442612228"</f>
        <v>9781442612228</v>
      </c>
      <c r="D8517" t="str">
        <f>"9781442696723"</f>
        <v>9781442696723</v>
      </c>
      <c r="E8517" t="s">
        <v>31435</v>
      </c>
      <c r="F8517" t="s">
        <v>31435</v>
      </c>
      <c r="G8517" s="1">
        <v>40756</v>
      </c>
      <c r="H8517">
        <v>3</v>
      </c>
      <c r="J8517" t="s">
        <v>21486</v>
      </c>
      <c r="K8517" t="s">
        <v>278</v>
      </c>
      <c r="L8517" t="s">
        <v>41288</v>
      </c>
      <c r="M8517">
        <v>338.88871</v>
      </c>
      <c r="N8517" t="s">
        <v>41289</v>
      </c>
      <c r="O8517" t="s">
        <v>26</v>
      </c>
      <c r="Q8517">
        <v>48.69</v>
      </c>
      <c r="R8517">
        <v>38.950000000000003</v>
      </c>
      <c r="S8517">
        <v>58.43</v>
      </c>
      <c r="T8517" t="s">
        <v>41290</v>
      </c>
    </row>
    <row r="8518" spans="1:20">
      <c r="A8518">
        <v>4672896</v>
      </c>
      <c r="B8518" t="s">
        <v>41291</v>
      </c>
      <c r="C8518" t="str">
        <f>"9781442612242"</f>
        <v>9781442612242</v>
      </c>
      <c r="D8518" t="str">
        <f>"9781442696785"</f>
        <v>9781442696785</v>
      </c>
      <c r="E8518" t="s">
        <v>31435</v>
      </c>
      <c r="F8518" t="s">
        <v>31435</v>
      </c>
      <c r="G8518" s="1">
        <v>41773</v>
      </c>
      <c r="J8518" t="s">
        <v>41292</v>
      </c>
      <c r="K8518" t="s">
        <v>263</v>
      </c>
      <c r="M8518">
        <v>302</v>
      </c>
      <c r="O8518" t="s">
        <v>26</v>
      </c>
      <c r="Q8518">
        <v>85</v>
      </c>
      <c r="R8518">
        <v>68</v>
      </c>
      <c r="S8518">
        <v>102</v>
      </c>
      <c r="T8518" t="s">
        <v>41293</v>
      </c>
    </row>
    <row r="8519" spans="1:20">
      <c r="A8519">
        <v>4672904</v>
      </c>
      <c r="B8519" t="s">
        <v>41294</v>
      </c>
      <c r="C8519" t="str">
        <f>"9781442639966"</f>
        <v>9781442639966</v>
      </c>
      <c r="D8519" t="str">
        <f>"9781442697348"</f>
        <v>9781442697348</v>
      </c>
      <c r="E8519" t="s">
        <v>31435</v>
      </c>
      <c r="F8519" t="s">
        <v>31435</v>
      </c>
      <c r="G8519" s="1">
        <v>40043</v>
      </c>
      <c r="J8519" t="s">
        <v>41295</v>
      </c>
      <c r="K8519" t="s">
        <v>899</v>
      </c>
      <c r="L8519" t="s">
        <v>41296</v>
      </c>
      <c r="M8519" t="s">
        <v>41297</v>
      </c>
      <c r="N8519" t="s">
        <v>41298</v>
      </c>
      <c r="O8519" t="s">
        <v>26</v>
      </c>
      <c r="Q8519">
        <v>126.25</v>
      </c>
      <c r="R8519">
        <v>101</v>
      </c>
      <c r="S8519">
        <v>151.5</v>
      </c>
      <c r="T8519" t="s">
        <v>41299</v>
      </c>
    </row>
    <row r="8520" spans="1:20">
      <c r="A8520">
        <v>4672905</v>
      </c>
      <c r="B8520" t="s">
        <v>41300</v>
      </c>
      <c r="C8520" t="str">
        <f>"9780802094988"</f>
        <v>9780802094988</v>
      </c>
      <c r="D8520" t="str">
        <f>"9781442697355"</f>
        <v>9781442697355</v>
      </c>
      <c r="E8520" t="s">
        <v>31435</v>
      </c>
      <c r="F8520" t="s">
        <v>31435</v>
      </c>
      <c r="G8520" s="1">
        <v>40131</v>
      </c>
      <c r="J8520" t="s">
        <v>41301</v>
      </c>
      <c r="K8520" t="s">
        <v>263</v>
      </c>
      <c r="L8520" t="s">
        <v>41302</v>
      </c>
      <c r="M8520">
        <v>302.23097100000001</v>
      </c>
      <c r="N8520" t="s">
        <v>41303</v>
      </c>
      <c r="O8520" t="s">
        <v>26</v>
      </c>
      <c r="Q8520">
        <v>118.75</v>
      </c>
      <c r="R8520">
        <v>95</v>
      </c>
      <c r="S8520">
        <v>142.5</v>
      </c>
      <c r="T8520" t="s">
        <v>41304</v>
      </c>
    </row>
    <row r="8521" spans="1:20">
      <c r="A8521">
        <v>4672907</v>
      </c>
      <c r="B8521" t="s">
        <v>41305</v>
      </c>
      <c r="C8521" t="str">
        <f>"9780802099952"</f>
        <v>9780802099952</v>
      </c>
      <c r="D8521" t="str">
        <f>"9781442697379"</f>
        <v>9781442697379</v>
      </c>
      <c r="E8521" t="s">
        <v>31435</v>
      </c>
      <c r="F8521" t="s">
        <v>31435</v>
      </c>
      <c r="G8521" s="1">
        <v>40264</v>
      </c>
      <c r="I8521" t="s">
        <v>33775</v>
      </c>
      <c r="J8521" t="s">
        <v>41306</v>
      </c>
      <c r="K8521" t="s">
        <v>291</v>
      </c>
      <c r="L8521" t="s">
        <v>41307</v>
      </c>
      <c r="M8521">
        <v>945.63209099999904</v>
      </c>
      <c r="N8521" t="s">
        <v>41308</v>
      </c>
      <c r="O8521" t="s">
        <v>26</v>
      </c>
      <c r="Q8521">
        <v>87.5</v>
      </c>
      <c r="R8521">
        <v>70</v>
      </c>
      <c r="S8521">
        <v>105</v>
      </c>
      <c r="T8521" t="s">
        <v>41309</v>
      </c>
    </row>
    <row r="8522" spans="1:20">
      <c r="A8522">
        <v>4672908</v>
      </c>
      <c r="B8522" t="s">
        <v>41310</v>
      </c>
      <c r="C8522" t="str">
        <f>"9780802097231"</f>
        <v>9780802097231</v>
      </c>
      <c r="D8522" t="str">
        <f>"9781442697386"</f>
        <v>9781442697386</v>
      </c>
      <c r="E8522" t="s">
        <v>31435</v>
      </c>
      <c r="F8522" t="s">
        <v>31435</v>
      </c>
      <c r="G8522" s="1">
        <v>40131</v>
      </c>
      <c r="H8522">
        <v>3</v>
      </c>
      <c r="I8522" t="s">
        <v>33827</v>
      </c>
      <c r="J8522" t="s">
        <v>41311</v>
      </c>
      <c r="K8522" t="s">
        <v>1458</v>
      </c>
      <c r="L8522" t="s">
        <v>41312</v>
      </c>
      <c r="M8522">
        <v>852</v>
      </c>
      <c r="O8522" t="s">
        <v>26</v>
      </c>
      <c r="Q8522">
        <v>143.75</v>
      </c>
      <c r="R8522">
        <v>115</v>
      </c>
      <c r="S8522">
        <v>172.5</v>
      </c>
      <c r="T8522" t="s">
        <v>41313</v>
      </c>
    </row>
    <row r="8523" spans="1:20">
      <c r="A8523">
        <v>4672911</v>
      </c>
      <c r="B8523" t="s">
        <v>41314</v>
      </c>
      <c r="C8523" t="str">
        <f>"9780802092540"</f>
        <v>9780802092540</v>
      </c>
      <c r="D8523" t="str">
        <f>"9781442697423"</f>
        <v>9781442697423</v>
      </c>
      <c r="E8523" t="s">
        <v>31435</v>
      </c>
      <c r="F8523" t="s">
        <v>31435</v>
      </c>
      <c r="G8523" s="1">
        <v>40219</v>
      </c>
      <c r="H8523">
        <v>2</v>
      </c>
      <c r="J8523" t="s">
        <v>41315</v>
      </c>
      <c r="K8523" t="s">
        <v>257</v>
      </c>
      <c r="L8523" t="s">
        <v>41316</v>
      </c>
      <c r="M8523" t="s">
        <v>41317</v>
      </c>
      <c r="N8523" t="s">
        <v>41318</v>
      </c>
      <c r="O8523" t="s">
        <v>26</v>
      </c>
      <c r="Q8523">
        <v>118.75</v>
      </c>
      <c r="R8523">
        <v>95</v>
      </c>
      <c r="S8523">
        <v>142.5</v>
      </c>
      <c r="T8523" t="s">
        <v>41319</v>
      </c>
    </row>
    <row r="8524" spans="1:20">
      <c r="A8524">
        <v>4672912</v>
      </c>
      <c r="B8524" t="s">
        <v>41320</v>
      </c>
      <c r="C8524" t="str">
        <f>"9780802099570"</f>
        <v>9780802099570</v>
      </c>
      <c r="D8524" t="str">
        <f>"9781442697430"</f>
        <v>9781442697430</v>
      </c>
      <c r="E8524" t="s">
        <v>31435</v>
      </c>
      <c r="F8524" t="s">
        <v>31435</v>
      </c>
      <c r="G8524" s="1">
        <v>40043</v>
      </c>
      <c r="J8524" t="s">
        <v>41321</v>
      </c>
      <c r="K8524" t="s">
        <v>356</v>
      </c>
      <c r="L8524" t="s">
        <v>41322</v>
      </c>
      <c r="M8524" t="s">
        <v>41323</v>
      </c>
      <c r="N8524" t="s">
        <v>41324</v>
      </c>
      <c r="O8524" t="s">
        <v>26</v>
      </c>
      <c r="Q8524">
        <v>103.75</v>
      </c>
      <c r="R8524">
        <v>83</v>
      </c>
      <c r="S8524">
        <v>124.5</v>
      </c>
      <c r="T8524" t="s">
        <v>41325</v>
      </c>
    </row>
    <row r="8525" spans="1:20">
      <c r="A8525">
        <v>4672913</v>
      </c>
      <c r="B8525" t="s">
        <v>41326</v>
      </c>
      <c r="C8525" t="str">
        <f>"9780802096845"</f>
        <v>9780802096845</v>
      </c>
      <c r="D8525" t="str">
        <f>"9781442697447"</f>
        <v>9781442697447</v>
      </c>
      <c r="E8525" t="s">
        <v>31435</v>
      </c>
      <c r="F8525" t="s">
        <v>31435</v>
      </c>
      <c r="G8525" s="1">
        <v>39854</v>
      </c>
      <c r="I8525" t="s">
        <v>33775</v>
      </c>
      <c r="J8525" t="s">
        <v>41327</v>
      </c>
      <c r="K8525" t="s">
        <v>1464</v>
      </c>
      <c r="L8525" t="s">
        <v>41328</v>
      </c>
      <c r="M8525" t="s">
        <v>41329</v>
      </c>
      <c r="N8525" t="s">
        <v>41330</v>
      </c>
      <c r="O8525" t="s">
        <v>26</v>
      </c>
      <c r="Q8525">
        <v>59.94</v>
      </c>
      <c r="R8525">
        <v>47.95</v>
      </c>
      <c r="S8525">
        <v>71.930000000000007</v>
      </c>
      <c r="T8525" t="s">
        <v>41331</v>
      </c>
    </row>
    <row r="8526" spans="1:20">
      <c r="A8526">
        <v>4672914</v>
      </c>
      <c r="B8526" t="s">
        <v>41332</v>
      </c>
      <c r="C8526" t="str">
        <f>"9780802099495"</f>
        <v>9780802099495</v>
      </c>
      <c r="D8526" t="str">
        <f>"9781442697461"</f>
        <v>9781442697461</v>
      </c>
      <c r="E8526" t="s">
        <v>31435</v>
      </c>
      <c r="F8526" t="s">
        <v>31435</v>
      </c>
      <c r="G8526" s="1">
        <v>40089</v>
      </c>
      <c r="H8526">
        <v>2</v>
      </c>
      <c r="I8526" t="s">
        <v>33798</v>
      </c>
      <c r="J8526" t="s">
        <v>41333</v>
      </c>
      <c r="K8526" t="s">
        <v>291</v>
      </c>
      <c r="L8526" t="s">
        <v>41334</v>
      </c>
      <c r="M8526">
        <v>941.08109200000001</v>
      </c>
      <c r="O8526" t="s">
        <v>26</v>
      </c>
      <c r="Q8526">
        <v>308.75</v>
      </c>
      <c r="R8526">
        <v>247</v>
      </c>
      <c r="S8526">
        <v>370.5</v>
      </c>
      <c r="T8526" t="s">
        <v>41335</v>
      </c>
    </row>
    <row r="8527" spans="1:20">
      <c r="A8527">
        <v>4672915</v>
      </c>
      <c r="B8527" t="s">
        <v>41336</v>
      </c>
      <c r="C8527" t="str">
        <f>"9780802092656"</f>
        <v>9780802092656</v>
      </c>
      <c r="D8527" t="str">
        <f>"9781442697478"</f>
        <v>9781442697478</v>
      </c>
      <c r="E8527" t="s">
        <v>31435</v>
      </c>
      <c r="F8527" t="s">
        <v>31435</v>
      </c>
      <c r="G8527" s="1">
        <v>40131</v>
      </c>
      <c r="J8527" t="s">
        <v>41337</v>
      </c>
      <c r="K8527" t="s">
        <v>257</v>
      </c>
      <c r="L8527" t="s">
        <v>41338</v>
      </c>
      <c r="M8527" t="s">
        <v>41339</v>
      </c>
      <c r="O8527" t="s">
        <v>26</v>
      </c>
      <c r="Q8527">
        <v>103.75</v>
      </c>
      <c r="R8527">
        <v>83</v>
      </c>
      <c r="S8527">
        <v>124.5</v>
      </c>
      <c r="T8527" t="s">
        <v>41340</v>
      </c>
    </row>
    <row r="8528" spans="1:20">
      <c r="A8528">
        <v>4672916</v>
      </c>
      <c r="B8528" t="s">
        <v>41341</v>
      </c>
      <c r="C8528" t="str">
        <f>"9780802093059"</f>
        <v>9780802093059</v>
      </c>
      <c r="D8528" t="str">
        <f>"9781442697485"</f>
        <v>9781442697485</v>
      </c>
      <c r="E8528" t="s">
        <v>31435</v>
      </c>
      <c r="F8528" t="s">
        <v>31435</v>
      </c>
      <c r="G8528" s="1">
        <v>40043</v>
      </c>
      <c r="J8528" t="s">
        <v>41342</v>
      </c>
      <c r="K8528" t="s">
        <v>423</v>
      </c>
      <c r="L8528" t="s">
        <v>41343</v>
      </c>
      <c r="M8528">
        <v>333.79097100000001</v>
      </c>
      <c r="O8528" t="s">
        <v>26</v>
      </c>
      <c r="Q8528">
        <v>118.75</v>
      </c>
      <c r="R8528">
        <v>95</v>
      </c>
      <c r="S8528">
        <v>142.5</v>
      </c>
      <c r="T8528" t="s">
        <v>41344</v>
      </c>
    </row>
    <row r="8529" spans="1:20">
      <c r="A8529">
        <v>4672918</v>
      </c>
      <c r="B8529" t="s">
        <v>41345</v>
      </c>
      <c r="C8529" t="str">
        <f>"9781442639959"</f>
        <v>9781442639959</v>
      </c>
      <c r="D8529" t="str">
        <f>"9781442697508"</f>
        <v>9781442697508</v>
      </c>
      <c r="E8529" t="s">
        <v>31435</v>
      </c>
      <c r="F8529" t="s">
        <v>31435</v>
      </c>
      <c r="G8529" s="1">
        <v>40194</v>
      </c>
      <c r="I8529" t="s">
        <v>41007</v>
      </c>
      <c r="J8529" t="s">
        <v>35335</v>
      </c>
      <c r="K8529" t="s">
        <v>291</v>
      </c>
      <c r="L8529" t="s">
        <v>41346</v>
      </c>
      <c r="M8529" t="s">
        <v>41347</v>
      </c>
      <c r="O8529" t="s">
        <v>26</v>
      </c>
      <c r="Q8529">
        <v>151.25</v>
      </c>
      <c r="R8529">
        <v>121</v>
      </c>
      <c r="S8529">
        <v>181.5</v>
      </c>
      <c r="T8529" t="s">
        <v>41348</v>
      </c>
    </row>
    <row r="8530" spans="1:20">
      <c r="A8530">
        <v>4672920</v>
      </c>
      <c r="B8530" t="s">
        <v>41349</v>
      </c>
      <c r="C8530" t="str">
        <f>"9780802095688"</f>
        <v>9780802095688</v>
      </c>
      <c r="D8530" t="str">
        <f>"9781442697522"</f>
        <v>9781442697522</v>
      </c>
      <c r="E8530" t="s">
        <v>31435</v>
      </c>
      <c r="F8530" t="s">
        <v>31435</v>
      </c>
      <c r="G8530" s="1">
        <v>39783</v>
      </c>
      <c r="J8530" t="s">
        <v>41350</v>
      </c>
      <c r="K8530" t="s">
        <v>1471</v>
      </c>
      <c r="L8530" t="s">
        <v>41351</v>
      </c>
      <c r="M8530">
        <v>709.71</v>
      </c>
      <c r="O8530" t="s">
        <v>26</v>
      </c>
      <c r="Q8530">
        <v>118.75</v>
      </c>
      <c r="R8530">
        <v>95</v>
      </c>
      <c r="S8530">
        <v>142.5</v>
      </c>
      <c r="T8530" t="s">
        <v>41352</v>
      </c>
    </row>
    <row r="8531" spans="1:20">
      <c r="A8531">
        <v>4672921</v>
      </c>
      <c r="B8531" t="s">
        <v>41353</v>
      </c>
      <c r="C8531" t="str">
        <f>"9780802099518"</f>
        <v>9780802099518</v>
      </c>
      <c r="D8531" t="str">
        <f>"9781442697539"</f>
        <v>9781442697539</v>
      </c>
      <c r="E8531" t="s">
        <v>31435</v>
      </c>
      <c r="F8531" t="s">
        <v>31435</v>
      </c>
      <c r="G8531" s="1">
        <v>41773</v>
      </c>
      <c r="I8531" t="s">
        <v>33775</v>
      </c>
      <c r="J8531" t="s">
        <v>41354</v>
      </c>
      <c r="K8531" t="s">
        <v>1464</v>
      </c>
      <c r="M8531">
        <v>852.05230900000004</v>
      </c>
      <c r="O8531" t="s">
        <v>26</v>
      </c>
      <c r="Q8531">
        <v>103.75</v>
      </c>
      <c r="R8531">
        <v>83</v>
      </c>
      <c r="S8531">
        <v>124.5</v>
      </c>
      <c r="T8531" t="s">
        <v>41355</v>
      </c>
    </row>
    <row r="8532" spans="1:20">
      <c r="A8532">
        <v>4672922</v>
      </c>
      <c r="B8532" t="s">
        <v>41356</v>
      </c>
      <c r="C8532" t="str">
        <f>"9780802099525"</f>
        <v>9780802099525</v>
      </c>
      <c r="D8532" t="str">
        <f>"9781442697546"</f>
        <v>9781442697546</v>
      </c>
      <c r="E8532" t="s">
        <v>31435</v>
      </c>
      <c r="F8532" t="s">
        <v>31435</v>
      </c>
      <c r="G8532" s="1">
        <v>40117</v>
      </c>
      <c r="H8532">
        <v>2</v>
      </c>
      <c r="J8532" t="s">
        <v>41357</v>
      </c>
      <c r="K8532" t="s">
        <v>1464</v>
      </c>
      <c r="L8532" t="s">
        <v>41358</v>
      </c>
      <c r="M8532" t="s">
        <v>41359</v>
      </c>
      <c r="O8532" t="s">
        <v>26</v>
      </c>
      <c r="Q8532">
        <v>87.5</v>
      </c>
      <c r="R8532">
        <v>70</v>
      </c>
      <c r="S8532">
        <v>105</v>
      </c>
      <c r="T8532" t="s">
        <v>41360</v>
      </c>
    </row>
    <row r="8533" spans="1:20">
      <c r="A8533">
        <v>4672923</v>
      </c>
      <c r="B8533" t="s">
        <v>41361</v>
      </c>
      <c r="C8533" t="str">
        <f>"9780802091956"</f>
        <v>9780802091956</v>
      </c>
      <c r="D8533" t="str">
        <f>"9781442697553"</f>
        <v>9781442697553</v>
      </c>
      <c r="E8533" t="s">
        <v>31435</v>
      </c>
      <c r="F8533" t="s">
        <v>31435</v>
      </c>
      <c r="G8533" s="1">
        <v>40148</v>
      </c>
      <c r="H8533">
        <v>2</v>
      </c>
      <c r="J8533" t="s">
        <v>41362</v>
      </c>
      <c r="K8533" t="s">
        <v>2963</v>
      </c>
      <c r="L8533" t="s">
        <v>41363</v>
      </c>
      <c r="M8533" t="s">
        <v>41364</v>
      </c>
      <c r="O8533" t="s">
        <v>26</v>
      </c>
      <c r="Q8533">
        <v>118.75</v>
      </c>
      <c r="R8533">
        <v>95</v>
      </c>
      <c r="S8533">
        <v>142.5</v>
      </c>
      <c r="T8533" t="s">
        <v>41365</v>
      </c>
    </row>
    <row r="8534" spans="1:20">
      <c r="A8534">
        <v>4672924</v>
      </c>
      <c r="B8534" t="s">
        <v>41366</v>
      </c>
      <c r="C8534" t="str">
        <f>"9780802099464"</f>
        <v>9780802099464</v>
      </c>
      <c r="D8534" t="str">
        <f>"9781442697560"</f>
        <v>9781442697560</v>
      </c>
      <c r="E8534" t="s">
        <v>31435</v>
      </c>
      <c r="F8534" t="s">
        <v>31435</v>
      </c>
      <c r="G8534" s="1">
        <v>40236</v>
      </c>
      <c r="J8534" t="s">
        <v>41367</v>
      </c>
      <c r="K8534" t="s">
        <v>1464</v>
      </c>
      <c r="L8534" t="s">
        <v>41368</v>
      </c>
      <c r="M8534" t="s">
        <v>41369</v>
      </c>
      <c r="N8534" t="s">
        <v>41370</v>
      </c>
      <c r="O8534" t="s">
        <v>26</v>
      </c>
      <c r="Q8534">
        <v>198.75</v>
      </c>
      <c r="R8534">
        <v>159</v>
      </c>
      <c r="S8534">
        <v>238.5</v>
      </c>
      <c r="T8534" t="s">
        <v>41371</v>
      </c>
    </row>
    <row r="8535" spans="1:20">
      <c r="A8535">
        <v>4672925</v>
      </c>
      <c r="B8535" t="s">
        <v>41372</v>
      </c>
      <c r="C8535" t="str">
        <f>"9780802099389"</f>
        <v>9780802099389</v>
      </c>
      <c r="D8535" t="str">
        <f>"9781442697577"</f>
        <v>9781442697577</v>
      </c>
      <c r="E8535" t="s">
        <v>31435</v>
      </c>
      <c r="F8535" t="s">
        <v>31435</v>
      </c>
      <c r="G8535" s="1">
        <v>40023</v>
      </c>
      <c r="I8535" t="s">
        <v>35154</v>
      </c>
      <c r="J8535" t="s">
        <v>41373</v>
      </c>
      <c r="K8535" t="s">
        <v>1464</v>
      </c>
      <c r="L8535" t="s">
        <v>41374</v>
      </c>
      <c r="M8535" t="s">
        <v>39115</v>
      </c>
      <c r="N8535" t="s">
        <v>41375</v>
      </c>
      <c r="O8535" t="s">
        <v>26</v>
      </c>
      <c r="Q8535">
        <v>103.75</v>
      </c>
      <c r="R8535">
        <v>83</v>
      </c>
      <c r="S8535">
        <v>124.5</v>
      </c>
      <c r="T8535" t="s">
        <v>41376</v>
      </c>
    </row>
    <row r="8536" spans="1:20">
      <c r="A8536">
        <v>4672926</v>
      </c>
      <c r="B8536" t="s">
        <v>41377</v>
      </c>
      <c r="C8536" t="str">
        <f>"9781442616066"</f>
        <v>9781442616066</v>
      </c>
      <c r="D8536" t="str">
        <f>"9781442697584"</f>
        <v>9781442697584</v>
      </c>
      <c r="E8536" t="s">
        <v>31435</v>
      </c>
      <c r="F8536" t="s">
        <v>31435</v>
      </c>
      <c r="G8536" s="1">
        <v>39983</v>
      </c>
      <c r="J8536" t="s">
        <v>41378</v>
      </c>
      <c r="K8536" t="s">
        <v>1859</v>
      </c>
      <c r="L8536" t="s">
        <v>41379</v>
      </c>
      <c r="M8536">
        <v>128</v>
      </c>
      <c r="O8536" t="s">
        <v>26</v>
      </c>
      <c r="Q8536">
        <v>85</v>
      </c>
      <c r="R8536">
        <v>68</v>
      </c>
      <c r="S8536">
        <v>102</v>
      </c>
      <c r="T8536" t="s">
        <v>41380</v>
      </c>
    </row>
    <row r="8537" spans="1:20">
      <c r="A8537">
        <v>4672928</v>
      </c>
      <c r="B8537" t="s">
        <v>41381</v>
      </c>
      <c r="C8537" t="str">
        <f>"9780802098092"</f>
        <v>9780802098092</v>
      </c>
      <c r="D8537" t="str">
        <f>"9781442697607"</f>
        <v>9781442697607</v>
      </c>
      <c r="E8537" t="s">
        <v>31435</v>
      </c>
      <c r="F8537" t="s">
        <v>31435</v>
      </c>
      <c r="G8537" s="1">
        <v>40023</v>
      </c>
      <c r="H8537">
        <v>77</v>
      </c>
      <c r="J8537" t="s">
        <v>41382</v>
      </c>
      <c r="K8537" t="s">
        <v>1471</v>
      </c>
      <c r="L8537" t="s">
        <v>41383</v>
      </c>
      <c r="M8537" t="s">
        <v>41384</v>
      </c>
      <c r="O8537" t="s">
        <v>26</v>
      </c>
      <c r="Q8537">
        <v>118.75</v>
      </c>
      <c r="R8537">
        <v>95</v>
      </c>
      <c r="S8537">
        <v>142.5</v>
      </c>
      <c r="T8537" t="s">
        <v>41385</v>
      </c>
    </row>
    <row r="8538" spans="1:20">
      <c r="A8538">
        <v>4672929</v>
      </c>
      <c r="B8538" t="s">
        <v>41386</v>
      </c>
      <c r="C8538" t="str">
        <f>"9780802098320"</f>
        <v>9780802098320</v>
      </c>
      <c r="D8538" t="str">
        <f>"9781442697614"</f>
        <v>9781442697614</v>
      </c>
      <c r="E8538" t="s">
        <v>31435</v>
      </c>
      <c r="F8538" t="s">
        <v>31435</v>
      </c>
      <c r="G8538" s="1">
        <v>40103</v>
      </c>
      <c r="H8538">
        <v>77</v>
      </c>
      <c r="I8538" t="s">
        <v>41007</v>
      </c>
      <c r="J8538" t="s">
        <v>41387</v>
      </c>
      <c r="K8538" t="s">
        <v>1464</v>
      </c>
      <c r="L8538" t="s">
        <v>41388</v>
      </c>
      <c r="M8538" t="s">
        <v>41389</v>
      </c>
      <c r="O8538" t="s">
        <v>26</v>
      </c>
      <c r="Q8538">
        <v>111.25</v>
      </c>
      <c r="R8538">
        <v>89</v>
      </c>
      <c r="S8538">
        <v>133.5</v>
      </c>
      <c r="T8538" t="s">
        <v>41390</v>
      </c>
    </row>
    <row r="8539" spans="1:20">
      <c r="A8539">
        <v>4672932</v>
      </c>
      <c r="B8539" t="s">
        <v>41391</v>
      </c>
      <c r="C8539" t="str">
        <f>"9780802096852"</f>
        <v>9780802096852</v>
      </c>
      <c r="D8539" t="str">
        <f>"9781442697652"</f>
        <v>9781442697652</v>
      </c>
      <c r="E8539" t="s">
        <v>31435</v>
      </c>
      <c r="F8539" t="s">
        <v>31435</v>
      </c>
      <c r="G8539" s="1">
        <v>40076</v>
      </c>
      <c r="H8539">
        <v>2</v>
      </c>
      <c r="J8539" t="s">
        <v>34807</v>
      </c>
      <c r="K8539" t="s">
        <v>76</v>
      </c>
      <c r="L8539" t="s">
        <v>41392</v>
      </c>
      <c r="M8539" t="s">
        <v>41393</v>
      </c>
      <c r="N8539" t="s">
        <v>41394</v>
      </c>
      <c r="O8539" t="s">
        <v>26</v>
      </c>
      <c r="Q8539">
        <v>103.75</v>
      </c>
      <c r="R8539">
        <v>83</v>
      </c>
      <c r="S8539">
        <v>124.5</v>
      </c>
      <c r="T8539" t="s">
        <v>41395</v>
      </c>
    </row>
    <row r="8540" spans="1:20">
      <c r="A8540">
        <v>4672936</v>
      </c>
      <c r="B8540" t="s">
        <v>41396</v>
      </c>
      <c r="C8540" t="str">
        <f>"9780802099211"</f>
        <v>9780802099211</v>
      </c>
      <c r="D8540" t="str">
        <f>"9781442697690"</f>
        <v>9781442697690</v>
      </c>
      <c r="E8540" t="s">
        <v>31435</v>
      </c>
      <c r="F8540" t="s">
        <v>31435</v>
      </c>
      <c r="G8540" s="1">
        <v>40055</v>
      </c>
      <c r="I8540" t="s">
        <v>34779</v>
      </c>
      <c r="J8540" t="s">
        <v>41397</v>
      </c>
      <c r="K8540" t="s">
        <v>1464</v>
      </c>
      <c r="L8540" t="s">
        <v>41398</v>
      </c>
      <c r="M8540" t="s">
        <v>6312</v>
      </c>
      <c r="O8540" t="s">
        <v>26</v>
      </c>
      <c r="Q8540">
        <v>103.75</v>
      </c>
      <c r="R8540">
        <v>83</v>
      </c>
      <c r="S8540">
        <v>124.5</v>
      </c>
      <c r="T8540" t="s">
        <v>41399</v>
      </c>
    </row>
    <row r="8541" spans="1:20">
      <c r="A8541">
        <v>4672938</v>
      </c>
      <c r="B8541" t="s">
        <v>41400</v>
      </c>
      <c r="C8541" t="str">
        <f>"9780802099624"</f>
        <v>9780802099624</v>
      </c>
      <c r="D8541" t="str">
        <f>"9781442697713"</f>
        <v>9781442697713</v>
      </c>
      <c r="E8541" t="s">
        <v>31435</v>
      </c>
      <c r="F8541" t="s">
        <v>31435</v>
      </c>
      <c r="G8541" s="1">
        <v>40138</v>
      </c>
      <c r="J8541" t="s">
        <v>37818</v>
      </c>
      <c r="K8541" t="s">
        <v>1550</v>
      </c>
      <c r="L8541" t="s">
        <v>41401</v>
      </c>
      <c r="M8541" t="s">
        <v>41402</v>
      </c>
      <c r="O8541" t="s">
        <v>26</v>
      </c>
      <c r="Q8541">
        <v>87.5</v>
      </c>
      <c r="R8541">
        <v>70</v>
      </c>
      <c r="S8541">
        <v>105</v>
      </c>
      <c r="T8541" t="s">
        <v>41403</v>
      </c>
    </row>
    <row r="8542" spans="1:20">
      <c r="A8542">
        <v>4672939</v>
      </c>
      <c r="B8542" t="s">
        <v>41404</v>
      </c>
      <c r="C8542" t="str">
        <f>"9780802099884"</f>
        <v>9780802099884</v>
      </c>
      <c r="D8542" t="str">
        <f>"9781442697720"</f>
        <v>9781442697720</v>
      </c>
      <c r="E8542" t="s">
        <v>31435</v>
      </c>
      <c r="F8542" t="s">
        <v>31435</v>
      </c>
      <c r="G8542" s="1">
        <v>39981</v>
      </c>
      <c r="H8542">
        <v>2</v>
      </c>
      <c r="I8542" t="s">
        <v>35779</v>
      </c>
      <c r="J8542" t="s">
        <v>41405</v>
      </c>
      <c r="K8542" t="s">
        <v>2432</v>
      </c>
      <c r="L8542" t="s">
        <v>41406</v>
      </c>
      <c r="M8542">
        <v>304.20100000000002</v>
      </c>
      <c r="O8542" t="s">
        <v>26</v>
      </c>
      <c r="Q8542">
        <v>103.75</v>
      </c>
      <c r="R8542">
        <v>83</v>
      </c>
      <c r="S8542">
        <v>124.5</v>
      </c>
      <c r="T8542" t="s">
        <v>41407</v>
      </c>
    </row>
    <row r="8543" spans="1:20">
      <c r="A8543">
        <v>4672941</v>
      </c>
      <c r="B8543" t="s">
        <v>41408</v>
      </c>
      <c r="C8543" t="str">
        <f>"9781442612709"</f>
        <v>9781442612709</v>
      </c>
      <c r="D8543" t="str">
        <f>"9781442697744"</f>
        <v>9781442697744</v>
      </c>
      <c r="E8543" t="s">
        <v>31435</v>
      </c>
      <c r="F8543" t="s">
        <v>31435</v>
      </c>
      <c r="G8543" s="1">
        <v>40019</v>
      </c>
      <c r="J8543" t="s">
        <v>41409</v>
      </c>
      <c r="K8543" t="s">
        <v>136</v>
      </c>
      <c r="L8543" t="s">
        <v>41410</v>
      </c>
      <c r="M8543">
        <v>551.46090000000004</v>
      </c>
      <c r="O8543" t="s">
        <v>26</v>
      </c>
      <c r="Q8543">
        <v>118.75</v>
      </c>
      <c r="R8543">
        <v>95</v>
      </c>
      <c r="S8543">
        <v>142.5</v>
      </c>
      <c r="T8543" t="s">
        <v>41411</v>
      </c>
    </row>
    <row r="8544" spans="1:20">
      <c r="A8544">
        <v>4672943</v>
      </c>
      <c r="B8544" t="s">
        <v>41412</v>
      </c>
      <c r="C8544" t="str">
        <f>"9780802096210"</f>
        <v>9780802096210</v>
      </c>
      <c r="D8544" t="str">
        <f>"9781442697768"</f>
        <v>9781442697768</v>
      </c>
      <c r="E8544" t="s">
        <v>31435</v>
      </c>
      <c r="F8544" t="s">
        <v>31435</v>
      </c>
      <c r="G8544" s="1">
        <v>40082</v>
      </c>
      <c r="J8544" t="s">
        <v>41413</v>
      </c>
      <c r="K8544" t="s">
        <v>291</v>
      </c>
      <c r="L8544" t="s">
        <v>41414</v>
      </c>
      <c r="M8544">
        <v>949.77200450999896</v>
      </c>
      <c r="N8544" t="s">
        <v>41415</v>
      </c>
      <c r="O8544" t="s">
        <v>26</v>
      </c>
      <c r="Q8544">
        <v>151.25</v>
      </c>
      <c r="R8544">
        <v>121</v>
      </c>
      <c r="S8544">
        <v>181.5</v>
      </c>
      <c r="T8544" t="s">
        <v>41416</v>
      </c>
    </row>
    <row r="8545" spans="1:20">
      <c r="A8545">
        <v>4672944</v>
      </c>
      <c r="B8545" t="s">
        <v>41417</v>
      </c>
      <c r="C8545" t="str">
        <f>"9780802096913"</f>
        <v>9780802096913</v>
      </c>
      <c r="D8545" t="str">
        <f>"9781442697775"</f>
        <v>9781442697775</v>
      </c>
      <c r="E8545" t="s">
        <v>31435</v>
      </c>
      <c r="F8545" t="s">
        <v>31435</v>
      </c>
      <c r="G8545" s="1">
        <v>40089</v>
      </c>
      <c r="J8545" t="s">
        <v>41418</v>
      </c>
      <c r="K8545" t="s">
        <v>1464</v>
      </c>
      <c r="L8545" t="s">
        <v>41419</v>
      </c>
      <c r="M8545" t="s">
        <v>34038</v>
      </c>
      <c r="O8545" t="s">
        <v>26</v>
      </c>
      <c r="Q8545">
        <v>80</v>
      </c>
      <c r="R8545">
        <v>64</v>
      </c>
      <c r="S8545">
        <v>96</v>
      </c>
      <c r="T8545" t="s">
        <v>41420</v>
      </c>
    </row>
    <row r="8546" spans="1:20">
      <c r="A8546">
        <v>4672945</v>
      </c>
      <c r="B8546" t="s">
        <v>41421</v>
      </c>
      <c r="C8546" t="str">
        <f>"9780802099853"</f>
        <v>9780802099853</v>
      </c>
      <c r="D8546" t="str">
        <f>"9781442697782"</f>
        <v>9781442697782</v>
      </c>
      <c r="E8546" t="s">
        <v>31435</v>
      </c>
      <c r="F8546" t="s">
        <v>31435</v>
      </c>
      <c r="G8546" s="1">
        <v>40001</v>
      </c>
      <c r="I8546" t="s">
        <v>34830</v>
      </c>
      <c r="J8546" t="s">
        <v>36390</v>
      </c>
      <c r="K8546" t="s">
        <v>278</v>
      </c>
      <c r="L8546" t="s">
        <v>41422</v>
      </c>
      <c r="M8546">
        <v>330.97106400000001</v>
      </c>
      <c r="O8546" t="s">
        <v>26</v>
      </c>
      <c r="Q8546">
        <v>182.5</v>
      </c>
      <c r="R8546">
        <v>146</v>
      </c>
      <c r="S8546">
        <v>219</v>
      </c>
      <c r="T8546" t="s">
        <v>41423</v>
      </c>
    </row>
    <row r="8547" spans="1:20">
      <c r="A8547">
        <v>4672946</v>
      </c>
      <c r="B8547" t="s">
        <v>41424</v>
      </c>
      <c r="C8547" t="str">
        <f>"9780802099402"</f>
        <v>9780802099402</v>
      </c>
      <c r="D8547" t="str">
        <f>"9781442697799"</f>
        <v>9781442697799</v>
      </c>
      <c r="E8547" t="s">
        <v>31435</v>
      </c>
      <c r="F8547" t="s">
        <v>31435</v>
      </c>
      <c r="G8547" s="1">
        <v>40159</v>
      </c>
      <c r="J8547" t="s">
        <v>41425</v>
      </c>
      <c r="K8547" t="s">
        <v>525</v>
      </c>
      <c r="L8547" t="s">
        <v>41426</v>
      </c>
      <c r="M8547" t="s">
        <v>41427</v>
      </c>
      <c r="N8547" t="s">
        <v>41428</v>
      </c>
      <c r="O8547" t="s">
        <v>26</v>
      </c>
      <c r="Q8547">
        <v>103.75</v>
      </c>
      <c r="R8547">
        <v>83</v>
      </c>
      <c r="S8547">
        <v>124.5</v>
      </c>
      <c r="T8547" t="s">
        <v>41429</v>
      </c>
    </row>
    <row r="8548" spans="1:20">
      <c r="A8548">
        <v>4672947</v>
      </c>
      <c r="B8548" t="s">
        <v>41430</v>
      </c>
      <c r="C8548" t="str">
        <f>"9780802099648"</f>
        <v>9780802099648</v>
      </c>
      <c r="D8548" t="str">
        <f>"9781442697805"</f>
        <v>9781442697805</v>
      </c>
      <c r="E8548" t="s">
        <v>31435</v>
      </c>
      <c r="F8548" t="s">
        <v>31435</v>
      </c>
      <c r="G8548" s="1">
        <v>40068</v>
      </c>
      <c r="J8548" t="s">
        <v>41431</v>
      </c>
      <c r="K8548" t="s">
        <v>1464</v>
      </c>
      <c r="L8548" t="s">
        <v>41432</v>
      </c>
      <c r="M8548" t="s">
        <v>41433</v>
      </c>
      <c r="N8548" t="s">
        <v>41434</v>
      </c>
      <c r="O8548" t="s">
        <v>26</v>
      </c>
      <c r="Q8548">
        <v>103.75</v>
      </c>
      <c r="R8548">
        <v>83</v>
      </c>
      <c r="S8548">
        <v>124.5</v>
      </c>
      <c r="T8548" t="s">
        <v>41435</v>
      </c>
    </row>
    <row r="8549" spans="1:20">
      <c r="A8549">
        <v>4672953</v>
      </c>
      <c r="B8549" t="s">
        <v>41436</v>
      </c>
      <c r="C8549" t="str">
        <f>"9781442609815"</f>
        <v>9781442609815</v>
      </c>
      <c r="D8549" t="str">
        <f>"9781442697850"</f>
        <v>9781442697850</v>
      </c>
      <c r="E8549" t="s">
        <v>31435</v>
      </c>
      <c r="F8549" t="s">
        <v>31435</v>
      </c>
      <c r="G8549" s="1">
        <v>40068</v>
      </c>
      <c r="I8549" t="s">
        <v>36249</v>
      </c>
      <c r="J8549" t="s">
        <v>37969</v>
      </c>
      <c r="K8549" t="s">
        <v>305</v>
      </c>
      <c r="L8549" t="s">
        <v>41437</v>
      </c>
      <c r="M8549">
        <v>658.81200000000001</v>
      </c>
      <c r="O8549" t="s">
        <v>26</v>
      </c>
      <c r="Q8549">
        <v>111.25</v>
      </c>
      <c r="R8549">
        <v>89</v>
      </c>
      <c r="S8549">
        <v>133.5</v>
      </c>
      <c r="T8549" t="s">
        <v>41438</v>
      </c>
    </row>
    <row r="8550" spans="1:20">
      <c r="A8550">
        <v>4672954</v>
      </c>
      <c r="B8550" t="s">
        <v>41439</v>
      </c>
      <c r="C8550" t="str">
        <f>"9781442610248"</f>
        <v>9781442610248</v>
      </c>
      <c r="D8550" t="str">
        <f>"9781442697867"</f>
        <v>9781442697867</v>
      </c>
      <c r="E8550" t="s">
        <v>31435</v>
      </c>
      <c r="F8550" t="s">
        <v>31435</v>
      </c>
      <c r="G8550" s="1">
        <v>40008</v>
      </c>
      <c r="J8550" t="s">
        <v>41440</v>
      </c>
      <c r="K8550" t="s">
        <v>18138</v>
      </c>
      <c r="L8550" t="s">
        <v>41441</v>
      </c>
      <c r="M8550" t="s">
        <v>41442</v>
      </c>
      <c r="O8550" t="s">
        <v>26</v>
      </c>
      <c r="Q8550">
        <v>96.25</v>
      </c>
      <c r="R8550">
        <v>77</v>
      </c>
      <c r="S8550">
        <v>115.5</v>
      </c>
      <c r="T8550" t="s">
        <v>41443</v>
      </c>
    </row>
    <row r="8551" spans="1:20">
      <c r="A8551">
        <v>4672956</v>
      </c>
      <c r="B8551" t="s">
        <v>41444</v>
      </c>
      <c r="C8551" t="str">
        <f>"9780802099228"</f>
        <v>9780802099228</v>
      </c>
      <c r="D8551" t="str">
        <f>"9781442697881"</f>
        <v>9781442697881</v>
      </c>
      <c r="E8551" t="s">
        <v>31435</v>
      </c>
      <c r="F8551" t="s">
        <v>31435</v>
      </c>
      <c r="G8551" s="1">
        <v>40198</v>
      </c>
      <c r="I8551" t="s">
        <v>33775</v>
      </c>
      <c r="J8551" t="s">
        <v>41445</v>
      </c>
      <c r="K8551" t="s">
        <v>263</v>
      </c>
      <c r="L8551" t="s">
        <v>41446</v>
      </c>
      <c r="M8551" t="s">
        <v>41447</v>
      </c>
      <c r="N8551" t="s">
        <v>41448</v>
      </c>
      <c r="O8551" t="s">
        <v>26</v>
      </c>
      <c r="Q8551">
        <v>72.5</v>
      </c>
      <c r="R8551">
        <v>58</v>
      </c>
      <c r="S8551">
        <v>87</v>
      </c>
      <c r="T8551" t="s">
        <v>41449</v>
      </c>
    </row>
    <row r="8552" spans="1:20">
      <c r="A8552">
        <v>4672959</v>
      </c>
      <c r="B8552" t="s">
        <v>41450</v>
      </c>
      <c r="C8552" t="str">
        <f>"9780802095213"</f>
        <v>9780802095213</v>
      </c>
      <c r="D8552" t="str">
        <f>"9781442697928"</f>
        <v>9781442697928</v>
      </c>
      <c r="E8552" t="s">
        <v>31435</v>
      </c>
      <c r="F8552" t="s">
        <v>31435</v>
      </c>
      <c r="G8552" s="1">
        <v>39942</v>
      </c>
      <c r="J8552" t="s">
        <v>41451</v>
      </c>
      <c r="K8552" t="s">
        <v>467</v>
      </c>
      <c r="L8552" t="s">
        <v>41452</v>
      </c>
      <c r="M8552" t="s">
        <v>41453</v>
      </c>
      <c r="N8552" t="s">
        <v>41454</v>
      </c>
      <c r="O8552" t="s">
        <v>26</v>
      </c>
      <c r="Q8552">
        <v>103.75</v>
      </c>
      <c r="R8552">
        <v>83</v>
      </c>
      <c r="S8552">
        <v>124.5</v>
      </c>
      <c r="T8552" t="s">
        <v>41455</v>
      </c>
    </row>
    <row r="8553" spans="1:20">
      <c r="A8553">
        <v>4672961</v>
      </c>
      <c r="B8553" t="s">
        <v>41456</v>
      </c>
      <c r="C8553" t="str">
        <f>"9780802099358"</f>
        <v>9780802099358</v>
      </c>
      <c r="D8553" t="str">
        <f>"9781442697959"</f>
        <v>9781442697959</v>
      </c>
      <c r="E8553" t="s">
        <v>31435</v>
      </c>
      <c r="F8553" t="s">
        <v>31435</v>
      </c>
      <c r="G8553" s="1">
        <v>40010</v>
      </c>
      <c r="J8553" t="s">
        <v>41457</v>
      </c>
      <c r="K8553" t="s">
        <v>1464</v>
      </c>
      <c r="L8553" t="s">
        <v>41458</v>
      </c>
      <c r="M8553">
        <v>891.70900300000005</v>
      </c>
      <c r="O8553" t="s">
        <v>26</v>
      </c>
      <c r="Q8553">
        <v>103.75</v>
      </c>
      <c r="R8553">
        <v>83</v>
      </c>
      <c r="S8553">
        <v>124.5</v>
      </c>
      <c r="T8553" t="s">
        <v>41459</v>
      </c>
    </row>
    <row r="8554" spans="1:20">
      <c r="A8554">
        <v>4672963</v>
      </c>
      <c r="B8554" t="s">
        <v>41460</v>
      </c>
      <c r="C8554" t="str">
        <f>"9780802096661"</f>
        <v>9780802096661</v>
      </c>
      <c r="D8554" t="str">
        <f>"9781442697973"</f>
        <v>9781442697973</v>
      </c>
      <c r="E8554" t="s">
        <v>31435</v>
      </c>
      <c r="F8554" t="s">
        <v>31435</v>
      </c>
      <c r="G8554" s="1">
        <v>40019</v>
      </c>
      <c r="J8554" t="s">
        <v>41461</v>
      </c>
      <c r="K8554" t="s">
        <v>6444</v>
      </c>
      <c r="L8554" t="s">
        <v>41462</v>
      </c>
      <c r="M8554">
        <v>323.71072909999901</v>
      </c>
      <c r="N8554" t="s">
        <v>41463</v>
      </c>
      <c r="O8554" t="s">
        <v>26</v>
      </c>
      <c r="Q8554">
        <v>118.75</v>
      </c>
      <c r="R8554">
        <v>95</v>
      </c>
      <c r="S8554">
        <v>142.5</v>
      </c>
      <c r="T8554" t="s">
        <v>41464</v>
      </c>
    </row>
    <row r="8555" spans="1:20">
      <c r="A8555">
        <v>4672964</v>
      </c>
      <c r="B8555" t="s">
        <v>41465</v>
      </c>
      <c r="C8555" t="str">
        <f>"9781442643833"</f>
        <v>9781442643833</v>
      </c>
      <c r="D8555" t="str">
        <f>"9781442698017"</f>
        <v>9781442698017</v>
      </c>
      <c r="E8555" t="s">
        <v>31435</v>
      </c>
      <c r="F8555" t="s">
        <v>31435</v>
      </c>
      <c r="G8555" s="1">
        <v>41773</v>
      </c>
      <c r="I8555" t="s">
        <v>33775</v>
      </c>
      <c r="J8555" t="s">
        <v>41466</v>
      </c>
      <c r="K8555" t="s">
        <v>291</v>
      </c>
      <c r="M8555">
        <v>945.5</v>
      </c>
      <c r="O8555" t="s">
        <v>26</v>
      </c>
      <c r="Q8555">
        <v>136.25</v>
      </c>
      <c r="R8555">
        <v>109</v>
      </c>
      <c r="S8555">
        <v>163.5</v>
      </c>
      <c r="T8555" t="s">
        <v>41467</v>
      </c>
    </row>
    <row r="8556" spans="1:20">
      <c r="A8556">
        <v>4672966</v>
      </c>
      <c r="B8556" t="s">
        <v>41468</v>
      </c>
      <c r="C8556" t="str">
        <f>"9781442643857"</f>
        <v>9781442643857</v>
      </c>
      <c r="D8556" t="str">
        <f>"9781442698031"</f>
        <v>9781442698031</v>
      </c>
      <c r="E8556" t="s">
        <v>31435</v>
      </c>
      <c r="F8556" t="s">
        <v>31435</v>
      </c>
      <c r="G8556" s="1">
        <v>40909</v>
      </c>
      <c r="I8556" t="s">
        <v>34830</v>
      </c>
      <c r="J8556" t="s">
        <v>34831</v>
      </c>
      <c r="K8556" t="s">
        <v>291</v>
      </c>
      <c r="L8556" t="s">
        <v>41469</v>
      </c>
      <c r="M8556">
        <v>971.06399999999906</v>
      </c>
      <c r="O8556" t="s">
        <v>26</v>
      </c>
      <c r="Q8556">
        <v>198.75</v>
      </c>
      <c r="R8556">
        <v>159</v>
      </c>
      <c r="S8556">
        <v>238.5</v>
      </c>
      <c r="T8556" t="s">
        <v>41470</v>
      </c>
    </row>
    <row r="8557" spans="1:20">
      <c r="A8557">
        <v>4672970</v>
      </c>
      <c r="B8557" t="s">
        <v>41471</v>
      </c>
      <c r="C8557" t="str">
        <f>"9781442643895"</f>
        <v>9781442643895</v>
      </c>
      <c r="D8557" t="str">
        <f>"9781442698116"</f>
        <v>9781442698116</v>
      </c>
      <c r="E8557" t="s">
        <v>31435</v>
      </c>
      <c r="F8557" t="s">
        <v>31435</v>
      </c>
      <c r="G8557" s="1">
        <v>41528</v>
      </c>
      <c r="I8557" t="s">
        <v>33827</v>
      </c>
      <c r="J8557" t="s">
        <v>41472</v>
      </c>
      <c r="K8557" t="s">
        <v>1859</v>
      </c>
      <c r="L8557" t="s">
        <v>41473</v>
      </c>
      <c r="M8557">
        <v>128</v>
      </c>
      <c r="O8557" t="s">
        <v>26</v>
      </c>
      <c r="Q8557">
        <v>146.25</v>
      </c>
      <c r="R8557">
        <v>117</v>
      </c>
      <c r="S8557">
        <v>175.5</v>
      </c>
      <c r="T8557" t="s">
        <v>41474</v>
      </c>
    </row>
    <row r="8558" spans="1:20">
      <c r="A8558">
        <v>4672971</v>
      </c>
      <c r="B8558" t="s">
        <v>41475</v>
      </c>
      <c r="C8558" t="str">
        <f>"9781442643918"</f>
        <v>9781442643918</v>
      </c>
      <c r="D8558" t="str">
        <f>"9781442698154"</f>
        <v>9781442698154</v>
      </c>
      <c r="E8558" t="s">
        <v>31435</v>
      </c>
      <c r="F8558" t="s">
        <v>31435</v>
      </c>
      <c r="G8558" s="1">
        <v>41640</v>
      </c>
      <c r="J8558" t="s">
        <v>41476</v>
      </c>
      <c r="K8558" t="s">
        <v>1464</v>
      </c>
      <c r="L8558" t="s">
        <v>41477</v>
      </c>
      <c r="M8558">
        <v>801.95092</v>
      </c>
      <c r="O8558" t="s">
        <v>26</v>
      </c>
      <c r="Q8558">
        <v>75</v>
      </c>
      <c r="R8558">
        <v>60</v>
      </c>
      <c r="S8558">
        <v>90</v>
      </c>
      <c r="T8558" t="s">
        <v>41478</v>
      </c>
    </row>
    <row r="8559" spans="1:20">
      <c r="A8559">
        <v>4672980</v>
      </c>
      <c r="B8559" t="s">
        <v>41479</v>
      </c>
      <c r="C8559" t="str">
        <f>"9780802039385"</f>
        <v>9780802039385</v>
      </c>
      <c r="D8559" t="str">
        <f>"9781442698369"</f>
        <v>9781442698369</v>
      </c>
      <c r="E8559" t="s">
        <v>31435</v>
      </c>
      <c r="F8559" t="s">
        <v>31435</v>
      </c>
      <c r="G8559" s="1">
        <v>41640</v>
      </c>
      <c r="J8559" t="s">
        <v>41480</v>
      </c>
      <c r="K8559" t="s">
        <v>7075</v>
      </c>
      <c r="L8559" t="s">
        <v>41481</v>
      </c>
      <c r="M8559" t="s">
        <v>41482</v>
      </c>
      <c r="O8559" t="s">
        <v>26</v>
      </c>
      <c r="Q8559">
        <v>231.25</v>
      </c>
      <c r="R8559">
        <v>185</v>
      </c>
      <c r="S8559">
        <v>277.5</v>
      </c>
      <c r="T8559" t="s">
        <v>41483</v>
      </c>
    </row>
    <row r="8560" spans="1:20">
      <c r="A8560">
        <v>4672984</v>
      </c>
      <c r="B8560" t="s">
        <v>41484</v>
      </c>
      <c r="C8560" t="str">
        <f>"9780802099457"</f>
        <v>9780802099457</v>
      </c>
      <c r="D8560" t="str">
        <f>"9781442698413"</f>
        <v>9781442698413</v>
      </c>
      <c r="E8560" t="s">
        <v>31435</v>
      </c>
      <c r="F8560" t="s">
        <v>31435</v>
      </c>
      <c r="G8560" s="1">
        <v>40124</v>
      </c>
      <c r="I8560" t="s">
        <v>33792</v>
      </c>
      <c r="J8560" t="s">
        <v>35204</v>
      </c>
      <c r="K8560" t="s">
        <v>11854</v>
      </c>
      <c r="L8560" t="s">
        <v>41485</v>
      </c>
      <c r="M8560">
        <v>829.10090000000002</v>
      </c>
      <c r="O8560" t="s">
        <v>26</v>
      </c>
      <c r="Q8560">
        <v>103.75</v>
      </c>
      <c r="R8560">
        <v>83</v>
      </c>
      <c r="S8560">
        <v>124.5</v>
      </c>
      <c r="T8560" t="s">
        <v>41486</v>
      </c>
    </row>
    <row r="8561" spans="1:20">
      <c r="A8561">
        <v>4672985</v>
      </c>
      <c r="B8561" t="s">
        <v>41487</v>
      </c>
      <c r="C8561" t="str">
        <f>"9780802090591"</f>
        <v>9780802090591</v>
      </c>
      <c r="D8561" t="str">
        <f>"9781442698444"</f>
        <v>9781442698444</v>
      </c>
      <c r="E8561" t="s">
        <v>31435</v>
      </c>
      <c r="F8561" t="s">
        <v>31435</v>
      </c>
      <c r="G8561" s="1">
        <v>40276</v>
      </c>
      <c r="I8561" t="s">
        <v>34561</v>
      </c>
      <c r="J8561" t="s">
        <v>41488</v>
      </c>
      <c r="K8561" t="s">
        <v>41489</v>
      </c>
      <c r="L8561" t="s">
        <v>41490</v>
      </c>
      <c r="M8561">
        <v>199.491999999999</v>
      </c>
      <c r="O8561" t="s">
        <v>26</v>
      </c>
      <c r="Q8561">
        <v>277.5</v>
      </c>
      <c r="R8561">
        <v>222</v>
      </c>
      <c r="S8561">
        <v>333</v>
      </c>
      <c r="T8561" t="s">
        <v>41491</v>
      </c>
    </row>
    <row r="8562" spans="1:20">
      <c r="A8562">
        <v>4672987</v>
      </c>
      <c r="B8562" t="s">
        <v>41492</v>
      </c>
      <c r="C8562" t="str">
        <f>"9780802093141"</f>
        <v>9780802093141</v>
      </c>
      <c r="D8562" t="str">
        <f>"9781442698499"</f>
        <v>9781442698499</v>
      </c>
      <c r="E8562" t="s">
        <v>31435</v>
      </c>
      <c r="F8562" t="s">
        <v>31435</v>
      </c>
      <c r="G8562" s="1">
        <v>40347</v>
      </c>
      <c r="I8562" t="s">
        <v>33775</v>
      </c>
      <c r="J8562" t="s">
        <v>41493</v>
      </c>
      <c r="K8562" t="s">
        <v>291</v>
      </c>
      <c r="L8562" t="s">
        <v>41494</v>
      </c>
      <c r="M8562">
        <v>945.09100000000001</v>
      </c>
      <c r="N8562" t="s">
        <v>41495</v>
      </c>
      <c r="O8562" t="s">
        <v>26</v>
      </c>
      <c r="Q8562">
        <v>151.25</v>
      </c>
      <c r="R8562">
        <v>121</v>
      </c>
      <c r="S8562">
        <v>181.5</v>
      </c>
      <c r="T8562" t="s">
        <v>41496</v>
      </c>
    </row>
    <row r="8563" spans="1:20">
      <c r="A8563">
        <v>4672988</v>
      </c>
      <c r="B8563" t="s">
        <v>41497</v>
      </c>
      <c r="C8563" t="str">
        <f>"9780802097132"</f>
        <v>9780802097132</v>
      </c>
      <c r="D8563" t="str">
        <f>"9781442698512"</f>
        <v>9781442698512</v>
      </c>
      <c r="E8563" t="s">
        <v>31435</v>
      </c>
      <c r="F8563" t="s">
        <v>31435</v>
      </c>
      <c r="G8563" s="1">
        <v>40257</v>
      </c>
      <c r="J8563" t="s">
        <v>41498</v>
      </c>
      <c r="K8563" t="s">
        <v>1150</v>
      </c>
      <c r="L8563" t="s">
        <v>41499</v>
      </c>
      <c r="M8563">
        <v>796.96209710000005</v>
      </c>
      <c r="O8563" t="s">
        <v>26</v>
      </c>
      <c r="Q8563">
        <v>96.25</v>
      </c>
      <c r="R8563">
        <v>77</v>
      </c>
      <c r="S8563">
        <v>115.5</v>
      </c>
      <c r="T8563" t="s">
        <v>41500</v>
      </c>
    </row>
    <row r="8564" spans="1:20">
      <c r="A8564">
        <v>4672989</v>
      </c>
      <c r="B8564" t="s">
        <v>41501</v>
      </c>
      <c r="C8564" t="str">
        <f>"9780802096517"</f>
        <v>9780802096517</v>
      </c>
      <c r="D8564" t="str">
        <f>"9781442698550"</f>
        <v>9781442698550</v>
      </c>
      <c r="E8564" t="s">
        <v>31435</v>
      </c>
      <c r="F8564" t="s">
        <v>31435</v>
      </c>
      <c r="G8564" s="1">
        <v>40270</v>
      </c>
      <c r="J8564" t="s">
        <v>41502</v>
      </c>
      <c r="K8564" t="s">
        <v>1471</v>
      </c>
      <c r="L8564" t="s">
        <v>41503</v>
      </c>
      <c r="M8564">
        <v>791.43023309199896</v>
      </c>
      <c r="O8564" t="s">
        <v>26</v>
      </c>
      <c r="Q8564">
        <v>103.75</v>
      </c>
      <c r="R8564">
        <v>83</v>
      </c>
      <c r="S8564">
        <v>124.5</v>
      </c>
      <c r="T8564" t="s">
        <v>41504</v>
      </c>
    </row>
    <row r="8565" spans="1:20">
      <c r="A8565">
        <v>4672990</v>
      </c>
      <c r="B8565" t="s">
        <v>41505</v>
      </c>
      <c r="C8565" t="str">
        <f>"9780802099631"</f>
        <v>9780802099631</v>
      </c>
      <c r="D8565" t="str">
        <f>"9781442698567"</f>
        <v>9781442698567</v>
      </c>
      <c r="E8565" t="s">
        <v>31435</v>
      </c>
      <c r="F8565" t="s">
        <v>31435</v>
      </c>
      <c r="G8565" s="1">
        <v>40327</v>
      </c>
      <c r="H8565">
        <v>2</v>
      </c>
      <c r="I8565" t="s">
        <v>35251</v>
      </c>
      <c r="J8565" t="s">
        <v>41506</v>
      </c>
      <c r="K8565" t="s">
        <v>467</v>
      </c>
      <c r="L8565" t="s">
        <v>41507</v>
      </c>
      <c r="M8565">
        <v>320.80971</v>
      </c>
      <c r="O8565" t="s">
        <v>26</v>
      </c>
      <c r="Q8565">
        <v>87.5</v>
      </c>
      <c r="R8565">
        <v>70</v>
      </c>
      <c r="S8565">
        <v>105</v>
      </c>
      <c r="T8565" t="s">
        <v>41508</v>
      </c>
    </row>
    <row r="8566" spans="1:20">
      <c r="A8566">
        <v>4672991</v>
      </c>
      <c r="B8566" t="s">
        <v>41509</v>
      </c>
      <c r="C8566" t="str">
        <f>"9780802094421"</f>
        <v>9780802094421</v>
      </c>
      <c r="D8566" t="str">
        <f>"9781442698574"</f>
        <v>9781442698574</v>
      </c>
      <c r="E8566" t="s">
        <v>31435</v>
      </c>
      <c r="F8566" t="s">
        <v>31435</v>
      </c>
      <c r="G8566" s="1">
        <v>40330</v>
      </c>
      <c r="J8566" t="s">
        <v>41510</v>
      </c>
      <c r="K8566" t="s">
        <v>1082</v>
      </c>
      <c r="L8566" t="s">
        <v>41511</v>
      </c>
      <c r="M8566">
        <v>362.19689009709901</v>
      </c>
      <c r="O8566" t="s">
        <v>26</v>
      </c>
      <c r="Q8566">
        <v>136.25</v>
      </c>
      <c r="R8566">
        <v>109</v>
      </c>
      <c r="S8566">
        <v>163.5</v>
      </c>
      <c r="T8566" t="s">
        <v>41512</v>
      </c>
    </row>
    <row r="8567" spans="1:20">
      <c r="A8567">
        <v>4672994</v>
      </c>
      <c r="B8567" t="s">
        <v>41513</v>
      </c>
      <c r="C8567" t="str">
        <f>"9780802097026"</f>
        <v>9780802097026</v>
      </c>
      <c r="D8567" t="str">
        <f>"9781442698666"</f>
        <v>9781442698666</v>
      </c>
      <c r="E8567" t="s">
        <v>31435</v>
      </c>
      <c r="F8567" t="s">
        <v>31435</v>
      </c>
      <c r="G8567" s="1">
        <v>40383</v>
      </c>
      <c r="J8567" t="s">
        <v>41514</v>
      </c>
      <c r="K8567" t="s">
        <v>416</v>
      </c>
      <c r="L8567" t="s">
        <v>41515</v>
      </c>
      <c r="M8567">
        <v>338.5</v>
      </c>
      <c r="N8567" t="s">
        <v>41516</v>
      </c>
      <c r="O8567" t="s">
        <v>26</v>
      </c>
      <c r="Q8567">
        <v>118.75</v>
      </c>
      <c r="R8567">
        <v>95</v>
      </c>
      <c r="S8567">
        <v>142.5</v>
      </c>
      <c r="T8567" t="s">
        <v>41517</v>
      </c>
    </row>
    <row r="8568" spans="1:20">
      <c r="A8568">
        <v>4672996</v>
      </c>
      <c r="B8568" t="s">
        <v>41518</v>
      </c>
      <c r="C8568" t="str">
        <f>"9780802099792"</f>
        <v>9780802099792</v>
      </c>
      <c r="D8568" t="str">
        <f>"9781442698680"</f>
        <v>9781442698680</v>
      </c>
      <c r="E8568" t="s">
        <v>31435</v>
      </c>
      <c r="F8568" t="s">
        <v>31435</v>
      </c>
      <c r="G8568" s="1">
        <v>40276</v>
      </c>
      <c r="I8568" t="s">
        <v>34561</v>
      </c>
      <c r="J8568" t="s">
        <v>41519</v>
      </c>
      <c r="K8568" t="s">
        <v>1892</v>
      </c>
      <c r="L8568" t="s">
        <v>41520</v>
      </c>
      <c r="M8568">
        <v>223.20769999999899</v>
      </c>
      <c r="O8568" t="s">
        <v>26</v>
      </c>
      <c r="Q8568">
        <v>173.75</v>
      </c>
      <c r="R8568">
        <v>139</v>
      </c>
      <c r="S8568">
        <v>208.5</v>
      </c>
      <c r="T8568" t="s">
        <v>41521</v>
      </c>
    </row>
    <row r="8569" spans="1:20">
      <c r="A8569">
        <v>4672997</v>
      </c>
      <c r="B8569" t="s">
        <v>41522</v>
      </c>
      <c r="C8569" t="str">
        <f>"9780802099600"</f>
        <v>9780802099600</v>
      </c>
      <c r="D8569" t="str">
        <f>"9781442698703"</f>
        <v>9781442698703</v>
      </c>
      <c r="E8569" t="s">
        <v>31435</v>
      </c>
      <c r="F8569" t="s">
        <v>31435</v>
      </c>
      <c r="G8569" s="1">
        <v>40222</v>
      </c>
      <c r="J8569" t="s">
        <v>34875</v>
      </c>
      <c r="K8569" t="s">
        <v>1471</v>
      </c>
      <c r="L8569" t="s">
        <v>41523</v>
      </c>
      <c r="M8569">
        <v>708.21320904100003</v>
      </c>
      <c r="N8569" t="s">
        <v>41524</v>
      </c>
      <c r="O8569" t="s">
        <v>26</v>
      </c>
      <c r="Q8569">
        <v>103.75</v>
      </c>
      <c r="R8569">
        <v>83</v>
      </c>
      <c r="S8569">
        <v>124.5</v>
      </c>
      <c r="T8569" t="s">
        <v>41525</v>
      </c>
    </row>
    <row r="8570" spans="1:20">
      <c r="A8570">
        <v>4672998</v>
      </c>
      <c r="B8570" t="s">
        <v>41526</v>
      </c>
      <c r="C8570" t="str">
        <f>"9780802096487"</f>
        <v>9780802096487</v>
      </c>
      <c r="D8570" t="str">
        <f>"9781442698734"</f>
        <v>9781442698734</v>
      </c>
      <c r="E8570" t="s">
        <v>31435</v>
      </c>
      <c r="F8570" t="s">
        <v>31435</v>
      </c>
      <c r="G8570" s="1">
        <v>40206</v>
      </c>
      <c r="J8570" t="s">
        <v>41527</v>
      </c>
      <c r="K8570" t="s">
        <v>263</v>
      </c>
      <c r="L8570" t="s">
        <v>41528</v>
      </c>
      <c r="M8570">
        <v>301.09199999999902</v>
      </c>
      <c r="N8570" t="s">
        <v>41529</v>
      </c>
      <c r="O8570" t="s">
        <v>26</v>
      </c>
      <c r="Q8570">
        <v>143.75</v>
      </c>
      <c r="R8570">
        <v>115</v>
      </c>
      <c r="S8570">
        <v>172.5</v>
      </c>
      <c r="T8570" t="s">
        <v>41530</v>
      </c>
    </row>
    <row r="8571" spans="1:20">
      <c r="A8571">
        <v>4672999</v>
      </c>
      <c r="B8571" t="s">
        <v>41531</v>
      </c>
      <c r="C8571" t="str">
        <f>"9780802099440"</f>
        <v>9780802099440</v>
      </c>
      <c r="D8571" t="str">
        <f>"9781442698758"</f>
        <v>9781442698758</v>
      </c>
      <c r="E8571" t="s">
        <v>31435</v>
      </c>
      <c r="F8571" t="s">
        <v>31435</v>
      </c>
      <c r="G8571" s="1">
        <v>40320</v>
      </c>
      <c r="I8571" t="s">
        <v>33792</v>
      </c>
      <c r="J8571" t="s">
        <v>40869</v>
      </c>
      <c r="K8571" t="s">
        <v>1464</v>
      </c>
      <c r="L8571" t="s">
        <v>41532</v>
      </c>
      <c r="M8571">
        <v>829.10090000000002</v>
      </c>
      <c r="O8571" t="s">
        <v>26</v>
      </c>
      <c r="Q8571">
        <v>103.75</v>
      </c>
      <c r="R8571">
        <v>83</v>
      </c>
      <c r="S8571">
        <v>124.5</v>
      </c>
      <c r="T8571" t="s">
        <v>41533</v>
      </c>
    </row>
    <row r="8572" spans="1:20">
      <c r="A8572">
        <v>4673002</v>
      </c>
      <c r="B8572" t="s">
        <v>41534</v>
      </c>
      <c r="C8572" t="str">
        <f>"9780802098139"</f>
        <v>9780802098139</v>
      </c>
      <c r="D8572" t="str">
        <f>"9781442698833"</f>
        <v>9781442698833</v>
      </c>
      <c r="E8572" t="s">
        <v>31435</v>
      </c>
      <c r="F8572" t="s">
        <v>31435</v>
      </c>
      <c r="G8572" s="1">
        <v>40317</v>
      </c>
      <c r="H8572">
        <v>2</v>
      </c>
      <c r="J8572" t="s">
        <v>41535</v>
      </c>
      <c r="K8572" t="s">
        <v>16322</v>
      </c>
      <c r="L8572" t="s">
        <v>41536</v>
      </c>
      <c r="M8572">
        <v>282.09199999999902</v>
      </c>
      <c r="O8572" t="s">
        <v>26</v>
      </c>
      <c r="Q8572">
        <v>213.75</v>
      </c>
      <c r="R8572">
        <v>171</v>
      </c>
      <c r="S8572">
        <v>256.5</v>
      </c>
      <c r="T8572" t="s">
        <v>41537</v>
      </c>
    </row>
    <row r="8573" spans="1:20">
      <c r="A8573">
        <v>4673004</v>
      </c>
      <c r="B8573" t="s">
        <v>41538</v>
      </c>
      <c r="C8573" t="str">
        <f>"9781442639980"</f>
        <v>9781442639980</v>
      </c>
      <c r="D8573" t="str">
        <f>"9781442698918"</f>
        <v>9781442698918</v>
      </c>
      <c r="E8573" t="s">
        <v>31435</v>
      </c>
      <c r="F8573" t="s">
        <v>31435</v>
      </c>
      <c r="G8573" s="1">
        <v>40299</v>
      </c>
      <c r="H8573">
        <v>2</v>
      </c>
      <c r="I8573" t="s">
        <v>33775</v>
      </c>
      <c r="J8573" t="s">
        <v>41539</v>
      </c>
      <c r="K8573" t="s">
        <v>1464</v>
      </c>
      <c r="L8573" t="s">
        <v>41540</v>
      </c>
      <c r="M8573">
        <v>850.932455</v>
      </c>
      <c r="O8573" t="s">
        <v>26</v>
      </c>
      <c r="Q8573">
        <v>72.5</v>
      </c>
      <c r="R8573">
        <v>58</v>
      </c>
      <c r="S8573">
        <v>87</v>
      </c>
      <c r="T8573" t="s">
        <v>41541</v>
      </c>
    </row>
    <row r="8574" spans="1:20">
      <c r="A8574">
        <v>4673007</v>
      </c>
      <c r="B8574" t="s">
        <v>41542</v>
      </c>
      <c r="C8574" t="str">
        <f>"9781442640917"</f>
        <v>9781442640917</v>
      </c>
      <c r="D8574" t="str">
        <f>"9781442698987"</f>
        <v>9781442698987</v>
      </c>
      <c r="E8574" t="s">
        <v>31435</v>
      </c>
      <c r="F8574" t="s">
        <v>31435</v>
      </c>
      <c r="G8574" s="1">
        <v>40347</v>
      </c>
      <c r="I8574" t="s">
        <v>34765</v>
      </c>
      <c r="J8574" t="s">
        <v>34766</v>
      </c>
      <c r="K8574" t="s">
        <v>278</v>
      </c>
      <c r="L8574" t="s">
        <v>41543</v>
      </c>
      <c r="M8574">
        <v>339.01</v>
      </c>
      <c r="N8574" t="s">
        <v>41544</v>
      </c>
      <c r="O8574" t="s">
        <v>26</v>
      </c>
      <c r="Q8574">
        <v>118.75</v>
      </c>
      <c r="R8574">
        <v>95</v>
      </c>
      <c r="S8574">
        <v>142.5</v>
      </c>
      <c r="T8574" t="s">
        <v>41545</v>
      </c>
    </row>
    <row r="8575" spans="1:20">
      <c r="A8575">
        <v>4673008</v>
      </c>
      <c r="B8575" t="s">
        <v>41546</v>
      </c>
      <c r="C8575" t="str">
        <f>"9780802098115"</f>
        <v>9780802098115</v>
      </c>
      <c r="D8575" t="str">
        <f>"9781442698994"</f>
        <v>9781442698994</v>
      </c>
      <c r="E8575" t="s">
        <v>31435</v>
      </c>
      <c r="F8575" t="s">
        <v>31435</v>
      </c>
      <c r="G8575" s="1">
        <v>40292</v>
      </c>
      <c r="J8575" t="s">
        <v>41547</v>
      </c>
      <c r="K8575" t="s">
        <v>257</v>
      </c>
      <c r="L8575" t="s">
        <v>41548</v>
      </c>
      <c r="M8575">
        <v>370.11509713541</v>
      </c>
      <c r="N8575" t="s">
        <v>41549</v>
      </c>
      <c r="O8575" t="s">
        <v>26</v>
      </c>
      <c r="Q8575">
        <v>111.25</v>
      </c>
      <c r="R8575">
        <v>89</v>
      </c>
      <c r="S8575">
        <v>133.5</v>
      </c>
      <c r="T8575" t="s">
        <v>41550</v>
      </c>
    </row>
    <row r="8576" spans="1:20">
      <c r="A8576">
        <v>4673009</v>
      </c>
      <c r="B8576" t="s">
        <v>41551</v>
      </c>
      <c r="C8576" t="str">
        <f>"9780802099617"</f>
        <v>9780802099617</v>
      </c>
      <c r="D8576" t="str">
        <f>"9781442699052"</f>
        <v>9781442699052</v>
      </c>
      <c r="E8576" t="s">
        <v>31435</v>
      </c>
      <c r="F8576" t="s">
        <v>31435</v>
      </c>
      <c r="G8576" s="1">
        <v>40299</v>
      </c>
      <c r="J8576" t="s">
        <v>38294</v>
      </c>
      <c r="K8576" t="s">
        <v>1464</v>
      </c>
      <c r="L8576" t="s">
        <v>41552</v>
      </c>
      <c r="M8576">
        <v>822.33</v>
      </c>
      <c r="N8576" t="s">
        <v>41553</v>
      </c>
      <c r="O8576" t="s">
        <v>26</v>
      </c>
      <c r="Q8576">
        <v>103.75</v>
      </c>
      <c r="R8576">
        <v>83</v>
      </c>
      <c r="S8576">
        <v>124.5</v>
      </c>
      <c r="T8576" t="s">
        <v>41554</v>
      </c>
    </row>
    <row r="8577" spans="1:20">
      <c r="A8577">
        <v>4673011</v>
      </c>
      <c r="B8577" t="s">
        <v>41555</v>
      </c>
      <c r="C8577" t="str">
        <f>"9781442644052"</f>
        <v>9781442644052</v>
      </c>
      <c r="D8577" t="str">
        <f>"9781442699113"</f>
        <v>9781442699113</v>
      </c>
      <c r="E8577" t="s">
        <v>31435</v>
      </c>
      <c r="F8577" t="s">
        <v>31435</v>
      </c>
      <c r="G8577" s="1">
        <v>41275</v>
      </c>
      <c r="I8577" t="s">
        <v>33775</v>
      </c>
      <c r="J8577" t="s">
        <v>41556</v>
      </c>
      <c r="K8577" t="s">
        <v>1464</v>
      </c>
      <c r="L8577" t="s">
        <v>41557</v>
      </c>
      <c r="M8577" t="s">
        <v>41558</v>
      </c>
      <c r="O8577" t="s">
        <v>26</v>
      </c>
      <c r="Q8577">
        <v>71.25</v>
      </c>
      <c r="R8577">
        <v>57</v>
      </c>
      <c r="S8577">
        <v>85.5</v>
      </c>
      <c r="T8577" t="s">
        <v>41559</v>
      </c>
    </row>
    <row r="8578" spans="1:20">
      <c r="A8578">
        <v>4673016</v>
      </c>
      <c r="B8578" t="s">
        <v>41560</v>
      </c>
      <c r="C8578" t="str">
        <f>"9781442644106"</f>
        <v>9781442644106</v>
      </c>
      <c r="D8578" t="str">
        <f>"9781442699212"</f>
        <v>9781442699212</v>
      </c>
      <c r="E8578" t="s">
        <v>31435</v>
      </c>
      <c r="F8578" t="s">
        <v>31435</v>
      </c>
      <c r="G8578" s="1">
        <v>40747</v>
      </c>
      <c r="I8578" t="s">
        <v>33881</v>
      </c>
      <c r="J8578" t="s">
        <v>41561</v>
      </c>
      <c r="K8578" t="s">
        <v>525</v>
      </c>
      <c r="L8578" t="s">
        <v>41562</v>
      </c>
      <c r="M8578">
        <v>340.09199999999902</v>
      </c>
      <c r="O8578" t="s">
        <v>26</v>
      </c>
      <c r="Q8578">
        <v>96.25</v>
      </c>
      <c r="R8578">
        <v>77</v>
      </c>
      <c r="S8578">
        <v>115.5</v>
      </c>
      <c r="T8578" t="s">
        <v>41563</v>
      </c>
    </row>
    <row r="8579" spans="1:20">
      <c r="A8579">
        <v>4673024</v>
      </c>
      <c r="B8579" t="s">
        <v>41564</v>
      </c>
      <c r="C8579" t="str">
        <f>"9781442644229"</f>
        <v>9781442644229</v>
      </c>
      <c r="D8579" t="str">
        <f>"9781442699441"</f>
        <v>9781442699441</v>
      </c>
      <c r="E8579" t="s">
        <v>31435</v>
      </c>
      <c r="F8579" t="s">
        <v>31435</v>
      </c>
      <c r="G8579" s="1">
        <v>41382</v>
      </c>
      <c r="I8579" t="s">
        <v>33899</v>
      </c>
      <c r="J8579" t="s">
        <v>41565</v>
      </c>
      <c r="K8579" t="s">
        <v>291</v>
      </c>
      <c r="L8579" t="s">
        <v>41566</v>
      </c>
      <c r="M8579" t="s">
        <v>41567</v>
      </c>
      <c r="N8579" t="s">
        <v>41568</v>
      </c>
      <c r="O8579" t="s">
        <v>26</v>
      </c>
      <c r="Q8579">
        <v>102.5</v>
      </c>
      <c r="R8579">
        <v>82</v>
      </c>
      <c r="S8579">
        <v>123</v>
      </c>
      <c r="T8579" t="s">
        <v>41569</v>
      </c>
    </row>
    <row r="8580" spans="1:20">
      <c r="A8580">
        <v>4673026</v>
      </c>
      <c r="B8580" t="s">
        <v>41570</v>
      </c>
      <c r="C8580" t="str">
        <f>"9781442644243"</f>
        <v>9781442644243</v>
      </c>
      <c r="D8580" t="str">
        <f>"9781442699472"</f>
        <v>9781442699472</v>
      </c>
      <c r="E8580" t="s">
        <v>31435</v>
      </c>
      <c r="F8580" t="s">
        <v>31435</v>
      </c>
      <c r="G8580" s="1">
        <v>41513</v>
      </c>
      <c r="I8580" t="s">
        <v>33775</v>
      </c>
      <c r="J8580" t="s">
        <v>41571</v>
      </c>
      <c r="K8580" t="s">
        <v>1464</v>
      </c>
      <c r="L8580" t="s">
        <v>41572</v>
      </c>
      <c r="M8580" t="s">
        <v>41573</v>
      </c>
      <c r="O8580" t="s">
        <v>26</v>
      </c>
      <c r="Q8580">
        <v>90</v>
      </c>
      <c r="R8580">
        <v>72</v>
      </c>
      <c r="S8580">
        <v>108</v>
      </c>
      <c r="T8580" t="s">
        <v>41574</v>
      </c>
    </row>
    <row r="8581" spans="1:20">
      <c r="A8581">
        <v>4673030</v>
      </c>
      <c r="B8581" t="s">
        <v>41575</v>
      </c>
      <c r="C8581" t="str">
        <f>"9781442644281"</f>
        <v>9781442644281</v>
      </c>
      <c r="D8581" t="str">
        <f>"9781442699557"</f>
        <v>9781442699557</v>
      </c>
      <c r="E8581" t="s">
        <v>31435</v>
      </c>
      <c r="F8581" t="s">
        <v>31435</v>
      </c>
      <c r="G8581" s="1">
        <v>41250</v>
      </c>
      <c r="I8581" t="s">
        <v>33762</v>
      </c>
      <c r="J8581" t="s">
        <v>41576</v>
      </c>
      <c r="K8581" t="s">
        <v>1892</v>
      </c>
      <c r="L8581" t="s">
        <v>41577</v>
      </c>
      <c r="M8581">
        <v>230.3092</v>
      </c>
      <c r="O8581" t="s">
        <v>26</v>
      </c>
      <c r="Q8581">
        <v>107.5</v>
      </c>
      <c r="R8581">
        <v>86</v>
      </c>
      <c r="S8581">
        <v>129</v>
      </c>
      <c r="T8581" t="s">
        <v>41578</v>
      </c>
    </row>
    <row r="8582" spans="1:20">
      <c r="A8582">
        <v>4673033</v>
      </c>
      <c r="B8582" t="s">
        <v>41579</v>
      </c>
      <c r="C8582" t="str">
        <f>"9780802098771"</f>
        <v>9780802098771</v>
      </c>
      <c r="D8582" t="str">
        <f>"9781442699656"</f>
        <v>9781442699656</v>
      </c>
      <c r="E8582" t="s">
        <v>31435</v>
      </c>
      <c r="F8582" t="s">
        <v>31435</v>
      </c>
      <c r="G8582" s="1">
        <v>40938</v>
      </c>
      <c r="H8582">
        <v>3</v>
      </c>
      <c r="I8582" t="s">
        <v>35264</v>
      </c>
      <c r="J8582" t="s">
        <v>41580</v>
      </c>
      <c r="K8582" t="s">
        <v>22527</v>
      </c>
      <c r="L8582" t="s">
        <v>41581</v>
      </c>
      <c r="M8582">
        <v>70.509709999999899</v>
      </c>
      <c r="N8582" t="s">
        <v>41582</v>
      </c>
      <c r="O8582" t="s">
        <v>26</v>
      </c>
      <c r="Q8582">
        <v>72.5</v>
      </c>
      <c r="R8582">
        <v>58</v>
      </c>
      <c r="S8582">
        <v>87</v>
      </c>
      <c r="T8582" t="s">
        <v>41583</v>
      </c>
    </row>
    <row r="8583" spans="1:20">
      <c r="A8583">
        <v>4673038</v>
      </c>
      <c r="B8583" t="s">
        <v>41584</v>
      </c>
      <c r="C8583" t="str">
        <f>"9781442644373"</f>
        <v>9781442644373</v>
      </c>
      <c r="D8583" t="str">
        <f>"9781442699779"</f>
        <v>9781442699779</v>
      </c>
      <c r="E8583" t="s">
        <v>31435</v>
      </c>
      <c r="F8583" t="s">
        <v>31435</v>
      </c>
      <c r="G8583" s="1">
        <v>40838</v>
      </c>
      <c r="H8583">
        <v>3</v>
      </c>
      <c r="I8583" t="s">
        <v>33881</v>
      </c>
      <c r="J8583" t="s">
        <v>41585</v>
      </c>
      <c r="K8583" t="s">
        <v>525</v>
      </c>
      <c r="L8583" t="s">
        <v>41586</v>
      </c>
      <c r="M8583">
        <v>347.41014000000001</v>
      </c>
      <c r="O8583" t="s">
        <v>26</v>
      </c>
      <c r="Q8583">
        <v>111.25</v>
      </c>
      <c r="R8583">
        <v>89</v>
      </c>
      <c r="S8583">
        <v>133.5</v>
      </c>
      <c r="T8583" t="s">
        <v>41587</v>
      </c>
    </row>
    <row r="8584" spans="1:20">
      <c r="A8584">
        <v>4673040</v>
      </c>
      <c r="B8584" t="s">
        <v>41588</v>
      </c>
      <c r="C8584" t="str">
        <f>"9780802094674"</f>
        <v>9780802094674</v>
      </c>
      <c r="D8584" t="str">
        <f>"9781442699830"</f>
        <v>9781442699830</v>
      </c>
      <c r="E8584" t="s">
        <v>31435</v>
      </c>
      <c r="F8584" t="s">
        <v>31435</v>
      </c>
      <c r="G8584" s="1">
        <v>41773</v>
      </c>
      <c r="J8584" t="s">
        <v>41589</v>
      </c>
      <c r="K8584" t="s">
        <v>263</v>
      </c>
      <c r="M8584">
        <v>305.24209710000002</v>
      </c>
      <c r="O8584" t="s">
        <v>26</v>
      </c>
      <c r="Q8584">
        <v>111.25</v>
      </c>
      <c r="R8584">
        <v>89</v>
      </c>
      <c r="S8584">
        <v>133.5</v>
      </c>
      <c r="T8584" t="s">
        <v>41590</v>
      </c>
    </row>
    <row r="8585" spans="1:20">
      <c r="A8585">
        <v>4673042</v>
      </c>
      <c r="B8585" t="s">
        <v>41591</v>
      </c>
      <c r="C8585" t="str">
        <f>"9780802096616"</f>
        <v>9780802096616</v>
      </c>
      <c r="D8585" t="str">
        <f>"9781442699915"</f>
        <v>9781442699915</v>
      </c>
      <c r="E8585" t="s">
        <v>31435</v>
      </c>
      <c r="F8585" t="s">
        <v>31435</v>
      </c>
      <c r="G8585" s="1">
        <v>41773</v>
      </c>
      <c r="J8585" t="s">
        <v>41592</v>
      </c>
      <c r="K8585" t="s">
        <v>305</v>
      </c>
      <c r="M8585">
        <v>658</v>
      </c>
      <c r="O8585" t="s">
        <v>26</v>
      </c>
      <c r="Q8585">
        <v>143.75</v>
      </c>
      <c r="R8585">
        <v>115</v>
      </c>
      <c r="S8585">
        <v>172.5</v>
      </c>
      <c r="T8585" t="s">
        <v>41593</v>
      </c>
    </row>
    <row r="8586" spans="1:20">
      <c r="A8586">
        <v>4673045</v>
      </c>
      <c r="B8586" t="s">
        <v>41594</v>
      </c>
      <c r="C8586" t="str">
        <f>"9780802099983"</f>
        <v>9780802099983</v>
      </c>
      <c r="D8586" t="str">
        <f>"9781442699984"</f>
        <v>9781442699984</v>
      </c>
      <c r="E8586" t="s">
        <v>31435</v>
      </c>
      <c r="F8586" t="s">
        <v>31435</v>
      </c>
      <c r="G8586" s="1">
        <v>40179</v>
      </c>
      <c r="I8586" t="s">
        <v>33775</v>
      </c>
      <c r="J8586" t="s">
        <v>41595</v>
      </c>
      <c r="K8586" t="s">
        <v>1464</v>
      </c>
      <c r="L8586" t="s">
        <v>41596</v>
      </c>
      <c r="M8586" t="s">
        <v>41597</v>
      </c>
      <c r="O8586" t="s">
        <v>26</v>
      </c>
      <c r="Q8586">
        <v>111.25</v>
      </c>
      <c r="R8586">
        <v>89</v>
      </c>
      <c r="S8586">
        <v>133.5</v>
      </c>
      <c r="T8586" t="s">
        <v>41598</v>
      </c>
    </row>
    <row r="8587" spans="1:20">
      <c r="A8587">
        <v>4698160</v>
      </c>
      <c r="B8587" t="s">
        <v>41599</v>
      </c>
      <c r="C8587" t="str">
        <f>"9781551436319"</f>
        <v>9781551436319</v>
      </c>
      <c r="D8587" t="str">
        <f>"9781551436333"</f>
        <v>9781551436333</v>
      </c>
      <c r="E8587" t="s">
        <v>4668</v>
      </c>
      <c r="F8587" t="s">
        <v>4668</v>
      </c>
      <c r="G8587" s="1">
        <v>40878</v>
      </c>
      <c r="I8587" t="s">
        <v>8244</v>
      </c>
      <c r="J8587" t="s">
        <v>8672</v>
      </c>
      <c r="K8587" t="s">
        <v>1464</v>
      </c>
      <c r="L8587" t="s">
        <v>41600</v>
      </c>
      <c r="M8587">
        <v>811</v>
      </c>
      <c r="N8587" t="s">
        <v>41601</v>
      </c>
      <c r="O8587" t="s">
        <v>26</v>
      </c>
      <c r="P8587">
        <v>9.99</v>
      </c>
      <c r="Q8587">
        <v>12.49</v>
      </c>
      <c r="R8587">
        <v>9.99</v>
      </c>
      <c r="T8587" t="s">
        <v>41602</v>
      </c>
    </row>
    <row r="8588" spans="1:20">
      <c r="A8588">
        <v>4709928</v>
      </c>
      <c r="B8588" t="s">
        <v>41603</v>
      </c>
      <c r="C8588" t="str">
        <f>"9781551437170"</f>
        <v>9781551437170</v>
      </c>
      <c r="D8588" t="str">
        <f>"9781551437194"</f>
        <v>9781551437194</v>
      </c>
      <c r="E8588" t="s">
        <v>4668</v>
      </c>
      <c r="F8588" t="s">
        <v>4668</v>
      </c>
      <c r="G8588" s="1">
        <v>39142</v>
      </c>
      <c r="I8588" t="s">
        <v>8244</v>
      </c>
      <c r="J8588" t="s">
        <v>8672</v>
      </c>
      <c r="K8588" t="s">
        <v>1464</v>
      </c>
      <c r="L8588" t="s">
        <v>41604</v>
      </c>
      <c r="M8588">
        <v>811</v>
      </c>
      <c r="N8588" t="s">
        <v>41601</v>
      </c>
      <c r="O8588" t="s">
        <v>26</v>
      </c>
      <c r="P8588">
        <v>9.99</v>
      </c>
      <c r="Q8588">
        <v>12.49</v>
      </c>
      <c r="R8588">
        <v>9.99</v>
      </c>
      <c r="T8588" t="s">
        <v>41605</v>
      </c>
    </row>
    <row r="8589" spans="1:20">
      <c r="A8589">
        <v>4709930</v>
      </c>
      <c r="B8589" t="s">
        <v>41606</v>
      </c>
      <c r="C8589" t="str">
        <f>"9781554690923"</f>
        <v>9781554690923</v>
      </c>
      <c r="D8589" t="str">
        <f>"9781554690930"</f>
        <v>9781554690930</v>
      </c>
      <c r="E8589" t="s">
        <v>4668</v>
      </c>
      <c r="F8589" t="s">
        <v>4668</v>
      </c>
      <c r="G8589" s="1">
        <v>40878</v>
      </c>
      <c r="I8589" t="s">
        <v>4685</v>
      </c>
      <c r="J8589" t="s">
        <v>3636</v>
      </c>
      <c r="K8589" t="s">
        <v>1464</v>
      </c>
      <c r="L8589" t="s">
        <v>41607</v>
      </c>
      <c r="M8589">
        <v>869.34199999999896</v>
      </c>
      <c r="N8589" t="s">
        <v>41608</v>
      </c>
      <c r="O8589" t="s">
        <v>26</v>
      </c>
      <c r="P8589">
        <v>9.99</v>
      </c>
      <c r="Q8589">
        <v>12.49</v>
      </c>
      <c r="R8589">
        <v>9.99</v>
      </c>
      <c r="T8589" t="s">
        <v>41609</v>
      </c>
    </row>
    <row r="8590" spans="1:20">
      <c r="A8590">
        <v>4709943</v>
      </c>
      <c r="B8590" t="s">
        <v>41610</v>
      </c>
      <c r="C8590" t="str">
        <f>"9781554690657"</f>
        <v>9781554690657</v>
      </c>
      <c r="D8590" t="str">
        <f>"9781554690664"</f>
        <v>9781554690664</v>
      </c>
      <c r="E8590" t="s">
        <v>4668</v>
      </c>
      <c r="F8590" t="s">
        <v>4668</v>
      </c>
      <c r="G8590" s="1">
        <v>41773</v>
      </c>
      <c r="I8590" t="s">
        <v>41611</v>
      </c>
      <c r="J8590" t="s">
        <v>10468</v>
      </c>
      <c r="K8590" t="s">
        <v>1835</v>
      </c>
      <c r="L8590" t="s">
        <v>41612</v>
      </c>
      <c r="M8590">
        <v>741.59730000000002</v>
      </c>
      <c r="N8590" t="s">
        <v>41613</v>
      </c>
      <c r="O8590" t="s">
        <v>26</v>
      </c>
      <c r="P8590">
        <v>9.99</v>
      </c>
      <c r="Q8590">
        <v>12.49</v>
      </c>
      <c r="R8590">
        <v>9.99</v>
      </c>
      <c r="T8590" t="s">
        <v>41614</v>
      </c>
    </row>
    <row r="8591" spans="1:20">
      <c r="A8591">
        <v>4709944</v>
      </c>
      <c r="B8591" t="s">
        <v>41615</v>
      </c>
      <c r="C8591" t="str">
        <f>"9781551437408"</f>
        <v>9781551437408</v>
      </c>
      <c r="D8591" t="str">
        <f>"9781551437446"</f>
        <v>9781551437446</v>
      </c>
      <c r="E8591" t="s">
        <v>4668</v>
      </c>
      <c r="F8591" t="s">
        <v>4668</v>
      </c>
      <c r="G8591" s="1">
        <v>40908</v>
      </c>
      <c r="I8591" t="s">
        <v>4685</v>
      </c>
      <c r="J8591" t="s">
        <v>5203</v>
      </c>
      <c r="K8591" t="s">
        <v>1464</v>
      </c>
      <c r="L8591" t="s">
        <v>41616</v>
      </c>
      <c r="M8591">
        <v>813.54</v>
      </c>
      <c r="N8591" t="s">
        <v>41617</v>
      </c>
      <c r="O8591" t="s">
        <v>26</v>
      </c>
      <c r="P8591">
        <v>9.99</v>
      </c>
      <c r="Q8591">
        <v>12.49</v>
      </c>
      <c r="R8591">
        <v>9.99</v>
      </c>
      <c r="T8591" t="s">
        <v>41618</v>
      </c>
    </row>
    <row r="8592" spans="1:20">
      <c r="A8592">
        <v>4709945</v>
      </c>
      <c r="B8592" t="s">
        <v>41619</v>
      </c>
      <c r="C8592" t="str">
        <f>"9781551437217"</f>
        <v>9781551437217</v>
      </c>
      <c r="D8592" t="str">
        <f>"9781551437231"</f>
        <v>9781551437231</v>
      </c>
      <c r="E8592" t="s">
        <v>4668</v>
      </c>
      <c r="F8592" t="s">
        <v>4668</v>
      </c>
      <c r="G8592" s="1">
        <v>39142</v>
      </c>
      <c r="I8592" t="s">
        <v>8244</v>
      </c>
      <c r="J8592" t="s">
        <v>8672</v>
      </c>
      <c r="K8592" t="s">
        <v>1464</v>
      </c>
      <c r="L8592" t="s">
        <v>41620</v>
      </c>
      <c r="M8592">
        <v>813.54</v>
      </c>
      <c r="N8592" t="s">
        <v>5946</v>
      </c>
      <c r="O8592" t="s">
        <v>26</v>
      </c>
      <c r="P8592">
        <v>9.99</v>
      </c>
      <c r="Q8592">
        <v>12.49</v>
      </c>
      <c r="R8592">
        <v>9.99</v>
      </c>
      <c r="T8592" t="s">
        <v>41621</v>
      </c>
    </row>
    <row r="8593" spans="1:20">
      <c r="A8593">
        <v>4709947</v>
      </c>
      <c r="B8593" t="s">
        <v>41622</v>
      </c>
      <c r="C8593" t="str">
        <f>"9781551434766"</f>
        <v>9781551434766</v>
      </c>
      <c r="D8593" t="str">
        <f>"9781551435985"</f>
        <v>9781551435985</v>
      </c>
      <c r="E8593" t="s">
        <v>4668</v>
      </c>
      <c r="F8593" t="s">
        <v>4668</v>
      </c>
      <c r="G8593" s="1">
        <v>40908</v>
      </c>
      <c r="I8593" t="s">
        <v>4685</v>
      </c>
      <c r="J8593" t="s">
        <v>3578</v>
      </c>
      <c r="K8593" t="s">
        <v>1464</v>
      </c>
      <c r="L8593" t="s">
        <v>41623</v>
      </c>
      <c r="M8593">
        <v>813.54</v>
      </c>
      <c r="N8593" t="s">
        <v>41624</v>
      </c>
      <c r="O8593" t="s">
        <v>26</v>
      </c>
      <c r="P8593">
        <v>9.99</v>
      </c>
      <c r="Q8593">
        <v>12.49</v>
      </c>
      <c r="R8593">
        <v>9.99</v>
      </c>
      <c r="T8593" t="s">
        <v>41625</v>
      </c>
    </row>
    <row r="8594" spans="1:20">
      <c r="A8594">
        <v>4709949</v>
      </c>
      <c r="B8594" t="s">
        <v>41626</v>
      </c>
      <c r="C8594" t="str">
        <f>"9781551437064"</f>
        <v>9781551437064</v>
      </c>
      <c r="D8594" t="str">
        <f>"9781551437088"</f>
        <v>9781551437088</v>
      </c>
      <c r="E8594" t="s">
        <v>4668</v>
      </c>
      <c r="F8594" t="s">
        <v>4668</v>
      </c>
      <c r="G8594" s="1">
        <v>39142</v>
      </c>
      <c r="I8594" t="s">
        <v>8244</v>
      </c>
      <c r="J8594" t="s">
        <v>41627</v>
      </c>
      <c r="K8594" t="s">
        <v>5998</v>
      </c>
      <c r="L8594" t="s">
        <v>41628</v>
      </c>
      <c r="M8594">
        <v>796.33399999999904</v>
      </c>
      <c r="N8594" t="s">
        <v>9973</v>
      </c>
      <c r="O8594" t="s">
        <v>26</v>
      </c>
      <c r="P8594">
        <v>9.99</v>
      </c>
      <c r="Q8594">
        <v>12.49</v>
      </c>
      <c r="R8594">
        <v>9.99</v>
      </c>
      <c r="T8594" t="s">
        <v>41629</v>
      </c>
    </row>
    <row r="8595" spans="1:20">
      <c r="A8595">
        <v>4709950</v>
      </c>
      <c r="B8595" t="s">
        <v>41630</v>
      </c>
      <c r="C8595" t="str">
        <f>"9781554691555"</f>
        <v>9781554691555</v>
      </c>
      <c r="D8595" t="str">
        <f>"9781554691579"</f>
        <v>9781554691579</v>
      </c>
      <c r="E8595" t="s">
        <v>4668</v>
      </c>
      <c r="F8595" t="s">
        <v>4668</v>
      </c>
      <c r="G8595" s="1">
        <v>41773</v>
      </c>
      <c r="I8595" t="s">
        <v>4685</v>
      </c>
      <c r="J8595" t="s">
        <v>5708</v>
      </c>
      <c r="K8595" t="s">
        <v>1464</v>
      </c>
      <c r="L8595" t="s">
        <v>41631</v>
      </c>
      <c r="M8595">
        <v>813.54</v>
      </c>
      <c r="N8595" t="s">
        <v>41632</v>
      </c>
      <c r="O8595" t="s">
        <v>26</v>
      </c>
      <c r="P8595">
        <v>9.99</v>
      </c>
      <c r="Q8595">
        <v>12.49</v>
      </c>
      <c r="R8595">
        <v>9.99</v>
      </c>
      <c r="T8595" t="s">
        <v>41633</v>
      </c>
    </row>
    <row r="8596" spans="1:20">
      <c r="A8596">
        <v>4709955</v>
      </c>
      <c r="B8596" t="s">
        <v>41634</v>
      </c>
      <c r="C8596" t="str">
        <f>"9781551435183"</f>
        <v>9781551435183</v>
      </c>
      <c r="D8596" t="str">
        <f>"9781551435206"</f>
        <v>9781551435206</v>
      </c>
      <c r="E8596" t="s">
        <v>4668</v>
      </c>
      <c r="F8596" t="s">
        <v>4668</v>
      </c>
      <c r="G8596" s="1">
        <v>40908</v>
      </c>
      <c r="I8596" t="s">
        <v>4685</v>
      </c>
      <c r="J8596" t="s">
        <v>3636</v>
      </c>
      <c r="K8596" t="s">
        <v>1464</v>
      </c>
      <c r="L8596" t="s">
        <v>41635</v>
      </c>
      <c r="M8596">
        <v>823.91200000000003</v>
      </c>
      <c r="N8596" t="s">
        <v>41636</v>
      </c>
      <c r="O8596" t="s">
        <v>26</v>
      </c>
      <c r="P8596">
        <v>9.99</v>
      </c>
      <c r="Q8596">
        <v>12.49</v>
      </c>
      <c r="R8596">
        <v>9.99</v>
      </c>
      <c r="T8596" t="s">
        <v>41637</v>
      </c>
    </row>
    <row r="8597" spans="1:20">
      <c r="A8597">
        <v>4709959</v>
      </c>
      <c r="B8597" t="s">
        <v>41638</v>
      </c>
      <c r="C8597" t="str">
        <f>"9781551436395"</f>
        <v>9781551436395</v>
      </c>
      <c r="D8597" t="str">
        <f>"9781551436418"</f>
        <v>9781551436418</v>
      </c>
      <c r="E8597" t="s">
        <v>4668</v>
      </c>
      <c r="F8597" t="s">
        <v>4668</v>
      </c>
      <c r="G8597" s="1">
        <v>40878</v>
      </c>
      <c r="I8597" t="s">
        <v>8244</v>
      </c>
      <c r="J8597" t="s">
        <v>8672</v>
      </c>
      <c r="K8597" t="s">
        <v>1464</v>
      </c>
      <c r="L8597" t="s">
        <v>41639</v>
      </c>
      <c r="M8597">
        <v>813.6</v>
      </c>
      <c r="N8597" t="s">
        <v>41601</v>
      </c>
      <c r="O8597" t="s">
        <v>26</v>
      </c>
      <c r="P8597">
        <v>9.99</v>
      </c>
      <c r="Q8597">
        <v>12.49</v>
      </c>
      <c r="R8597">
        <v>9.99</v>
      </c>
      <c r="T8597" t="s">
        <v>41640</v>
      </c>
    </row>
    <row r="8598" spans="1:20">
      <c r="A8598">
        <v>4709967</v>
      </c>
      <c r="B8598" t="s">
        <v>41641</v>
      </c>
      <c r="C8598" t="str">
        <f>"9781551436197"</f>
        <v>9781551436197</v>
      </c>
      <c r="D8598" t="str">
        <f>"9781551436210"</f>
        <v>9781551436210</v>
      </c>
      <c r="E8598" t="s">
        <v>4668</v>
      </c>
      <c r="F8598" t="s">
        <v>4668</v>
      </c>
      <c r="G8598" s="1">
        <v>40908</v>
      </c>
      <c r="I8598" t="s">
        <v>4685</v>
      </c>
      <c r="J8598" t="s">
        <v>41642</v>
      </c>
      <c r="K8598" t="s">
        <v>1464</v>
      </c>
      <c r="L8598" t="s">
        <v>41643</v>
      </c>
      <c r="M8598">
        <v>813.54</v>
      </c>
      <c r="N8598" t="s">
        <v>41644</v>
      </c>
      <c r="O8598" t="s">
        <v>26</v>
      </c>
      <c r="P8598">
        <v>9.99</v>
      </c>
      <c r="Q8598">
        <v>12.49</v>
      </c>
      <c r="R8598">
        <v>9.99</v>
      </c>
      <c r="T8598" t="s">
        <v>41645</v>
      </c>
    </row>
    <row r="8599" spans="1:20">
      <c r="A8599">
        <v>4709968</v>
      </c>
      <c r="B8599" t="s">
        <v>41646</v>
      </c>
      <c r="C8599" t="str">
        <f>"9781551435220"</f>
        <v>9781551435220</v>
      </c>
      <c r="D8599" t="str">
        <f>"9781551435244"</f>
        <v>9781551435244</v>
      </c>
      <c r="E8599" t="s">
        <v>4668</v>
      </c>
      <c r="F8599" t="s">
        <v>4668</v>
      </c>
      <c r="G8599" s="1">
        <v>40908</v>
      </c>
      <c r="I8599" t="s">
        <v>4685</v>
      </c>
      <c r="J8599" t="s">
        <v>9412</v>
      </c>
      <c r="K8599" t="s">
        <v>1464</v>
      </c>
      <c r="L8599" t="s">
        <v>41647</v>
      </c>
      <c r="M8599">
        <v>813.6</v>
      </c>
      <c r="N8599" t="s">
        <v>41648</v>
      </c>
      <c r="O8599" t="s">
        <v>26</v>
      </c>
      <c r="P8599">
        <v>9.99</v>
      </c>
      <c r="Q8599">
        <v>12.49</v>
      </c>
      <c r="R8599">
        <v>9.99</v>
      </c>
      <c r="T8599" t="s">
        <v>41649</v>
      </c>
    </row>
    <row r="8600" spans="1:20">
      <c r="A8600">
        <v>4709969</v>
      </c>
      <c r="B8600" t="s">
        <v>41650</v>
      </c>
      <c r="C8600" t="str">
        <f>"9781551438733"</f>
        <v>9781551438733</v>
      </c>
      <c r="D8600" t="str">
        <f>"9781551438740"</f>
        <v>9781551438740</v>
      </c>
      <c r="E8600" t="s">
        <v>4668</v>
      </c>
      <c r="F8600" t="s">
        <v>4668</v>
      </c>
      <c r="G8600" s="1">
        <v>41773</v>
      </c>
      <c r="I8600" t="s">
        <v>8244</v>
      </c>
      <c r="J8600" t="s">
        <v>8672</v>
      </c>
      <c r="K8600" t="s">
        <v>1464</v>
      </c>
      <c r="L8600" t="s">
        <v>41604</v>
      </c>
      <c r="M8600">
        <v>811</v>
      </c>
      <c r="N8600" t="s">
        <v>41601</v>
      </c>
      <c r="O8600" t="s">
        <v>26</v>
      </c>
      <c r="P8600">
        <v>9.99</v>
      </c>
      <c r="Q8600">
        <v>12.49</v>
      </c>
      <c r="R8600">
        <v>9.99</v>
      </c>
      <c r="T8600" t="s">
        <v>41651</v>
      </c>
    </row>
    <row r="8601" spans="1:20">
      <c r="A8601">
        <v>4709970</v>
      </c>
      <c r="B8601" t="s">
        <v>41652</v>
      </c>
      <c r="C8601" t="str">
        <f>"9781554690732"</f>
        <v>9781554690732</v>
      </c>
      <c r="D8601" t="str">
        <f>"9781554690756"</f>
        <v>9781554690756</v>
      </c>
      <c r="E8601" t="s">
        <v>4668</v>
      </c>
      <c r="F8601" t="s">
        <v>4668</v>
      </c>
      <c r="G8601" s="1">
        <v>40878</v>
      </c>
      <c r="I8601" t="s">
        <v>4685</v>
      </c>
      <c r="J8601" t="s">
        <v>5287</v>
      </c>
      <c r="K8601" t="s">
        <v>1464</v>
      </c>
      <c r="L8601" t="s">
        <v>41653</v>
      </c>
      <c r="M8601">
        <v>813.54</v>
      </c>
      <c r="N8601" t="s">
        <v>41654</v>
      </c>
      <c r="O8601" t="s">
        <v>26</v>
      </c>
      <c r="P8601">
        <v>9.99</v>
      </c>
      <c r="Q8601">
        <v>12.49</v>
      </c>
      <c r="R8601">
        <v>9.99</v>
      </c>
      <c r="T8601" t="s">
        <v>41655</v>
      </c>
    </row>
    <row r="8602" spans="1:20">
      <c r="A8602">
        <v>4709978</v>
      </c>
      <c r="B8602" t="s">
        <v>41656</v>
      </c>
      <c r="C8602" t="str">
        <f>"9781554693139"</f>
        <v>9781554693139</v>
      </c>
      <c r="D8602" t="str">
        <f>"9781554693146"</f>
        <v>9781554693146</v>
      </c>
      <c r="E8602" t="s">
        <v>4668</v>
      </c>
      <c r="F8602" t="s">
        <v>4668</v>
      </c>
      <c r="G8602" s="1">
        <v>41773</v>
      </c>
      <c r="I8602" t="s">
        <v>8244</v>
      </c>
      <c r="J8602" t="s">
        <v>41657</v>
      </c>
      <c r="K8602" t="s">
        <v>1464</v>
      </c>
      <c r="L8602" t="s">
        <v>41658</v>
      </c>
      <c r="M8602">
        <v>813.6</v>
      </c>
      <c r="N8602" t="s">
        <v>41659</v>
      </c>
      <c r="O8602" t="s">
        <v>26</v>
      </c>
      <c r="P8602">
        <v>9.99</v>
      </c>
      <c r="Q8602">
        <v>12.49</v>
      </c>
      <c r="R8602">
        <v>9.99</v>
      </c>
      <c r="T8602" t="s">
        <v>41660</v>
      </c>
    </row>
    <row r="8603" spans="1:20">
      <c r="A8603">
        <v>4709979</v>
      </c>
      <c r="B8603" t="s">
        <v>41661</v>
      </c>
      <c r="C8603" t="str">
        <f>"9781554691142"</f>
        <v>9781554691142</v>
      </c>
      <c r="D8603" t="str">
        <f>"9781554691166"</f>
        <v>9781554691166</v>
      </c>
      <c r="E8603" t="s">
        <v>4668</v>
      </c>
      <c r="F8603" t="s">
        <v>4668</v>
      </c>
      <c r="G8603" s="1">
        <v>41773</v>
      </c>
      <c r="I8603" t="s">
        <v>4685</v>
      </c>
      <c r="J8603" t="s">
        <v>41627</v>
      </c>
      <c r="K8603" t="s">
        <v>1464</v>
      </c>
      <c r="L8603" t="s">
        <v>41662</v>
      </c>
      <c r="M8603">
        <v>813.54</v>
      </c>
      <c r="N8603" t="s">
        <v>41663</v>
      </c>
      <c r="O8603" t="s">
        <v>26</v>
      </c>
      <c r="P8603">
        <v>9.99</v>
      </c>
      <c r="Q8603">
        <v>12.49</v>
      </c>
      <c r="R8603">
        <v>9.99</v>
      </c>
      <c r="T8603" t="s">
        <v>41664</v>
      </c>
    </row>
    <row r="8604" spans="1:20">
      <c r="A8604">
        <v>4709982</v>
      </c>
      <c r="B8604" t="s">
        <v>41665</v>
      </c>
      <c r="C8604" t="str">
        <f>"9781551436142"</f>
        <v>9781551436142</v>
      </c>
      <c r="D8604" t="str">
        <f>"9781551436166"</f>
        <v>9781551436166</v>
      </c>
      <c r="E8604" t="s">
        <v>4668</v>
      </c>
      <c r="F8604" t="s">
        <v>4668</v>
      </c>
      <c r="G8604" s="1">
        <v>40908</v>
      </c>
      <c r="I8604" t="s">
        <v>4685</v>
      </c>
      <c r="J8604" t="s">
        <v>6022</v>
      </c>
      <c r="K8604" t="s">
        <v>1464</v>
      </c>
      <c r="L8604" t="s">
        <v>41666</v>
      </c>
      <c r="M8604">
        <v>813.54</v>
      </c>
      <c r="N8604" t="s">
        <v>41667</v>
      </c>
      <c r="O8604" t="s">
        <v>26</v>
      </c>
      <c r="P8604">
        <v>9.99</v>
      </c>
      <c r="Q8604">
        <v>12.49</v>
      </c>
      <c r="R8604">
        <v>9.99</v>
      </c>
      <c r="T8604" t="s">
        <v>41668</v>
      </c>
    </row>
    <row r="8605" spans="1:20">
      <c r="A8605">
        <v>4709986</v>
      </c>
      <c r="B8605" t="s">
        <v>41669</v>
      </c>
      <c r="C8605" t="str">
        <f>"9781554692446"</f>
        <v>9781554692446</v>
      </c>
      <c r="D8605" t="str">
        <f>"9781554692453"</f>
        <v>9781554692453</v>
      </c>
      <c r="E8605" t="s">
        <v>4668</v>
      </c>
      <c r="F8605" t="s">
        <v>8157</v>
      </c>
      <c r="G8605" s="1">
        <v>40543</v>
      </c>
      <c r="I8605" t="s">
        <v>8158</v>
      </c>
      <c r="J8605" t="s">
        <v>8828</v>
      </c>
      <c r="K8605" t="s">
        <v>1464</v>
      </c>
      <c r="L8605" t="s">
        <v>41670</v>
      </c>
      <c r="M8605" t="s">
        <v>1460</v>
      </c>
      <c r="N8605" t="s">
        <v>41644</v>
      </c>
      <c r="O8605" t="s">
        <v>26</v>
      </c>
      <c r="P8605">
        <v>9.99</v>
      </c>
      <c r="Q8605">
        <v>12.49</v>
      </c>
      <c r="R8605">
        <v>9.99</v>
      </c>
      <c r="T8605" t="s">
        <v>41671</v>
      </c>
    </row>
    <row r="8606" spans="1:20">
      <c r="A8606">
        <v>4709987</v>
      </c>
      <c r="B8606" t="s">
        <v>21536</v>
      </c>
      <c r="C8606" t="str">
        <f>"9781551432656"</f>
        <v>9781551432656</v>
      </c>
      <c r="D8606" t="str">
        <f>"9781551434322"</f>
        <v>9781551434322</v>
      </c>
      <c r="E8606" t="s">
        <v>4668</v>
      </c>
      <c r="F8606" t="s">
        <v>4668</v>
      </c>
      <c r="G8606" s="1">
        <v>41773</v>
      </c>
      <c r="I8606" t="s">
        <v>5056</v>
      </c>
      <c r="J8606" t="s">
        <v>5494</v>
      </c>
      <c r="K8606" t="s">
        <v>1464</v>
      </c>
      <c r="L8606" t="s">
        <v>41672</v>
      </c>
      <c r="M8606">
        <v>813.6</v>
      </c>
      <c r="N8606" t="s">
        <v>41673</v>
      </c>
      <c r="O8606" t="s">
        <v>26</v>
      </c>
      <c r="P8606">
        <v>9.99</v>
      </c>
      <c r="Q8606">
        <v>12.49</v>
      </c>
      <c r="R8606">
        <v>9.99</v>
      </c>
      <c r="T8606" t="s">
        <v>41674</v>
      </c>
    </row>
    <row r="8607" spans="1:20">
      <c r="A8607">
        <v>4709988</v>
      </c>
      <c r="B8607" t="s">
        <v>41675</v>
      </c>
      <c r="C8607" t="str">
        <f>"9781551438818"</f>
        <v>9781551438818</v>
      </c>
      <c r="D8607" t="str">
        <f>"9781551438856"</f>
        <v>9781551438856</v>
      </c>
      <c r="E8607" t="s">
        <v>4668</v>
      </c>
      <c r="F8607" t="s">
        <v>4668</v>
      </c>
      <c r="G8607" s="1">
        <v>39356</v>
      </c>
      <c r="I8607" t="s">
        <v>4685</v>
      </c>
      <c r="J8607" t="s">
        <v>3571</v>
      </c>
      <c r="K8607" t="s">
        <v>1464</v>
      </c>
      <c r="L8607" t="s">
        <v>41676</v>
      </c>
      <c r="M8607">
        <v>813</v>
      </c>
      <c r="N8607" t="s">
        <v>41677</v>
      </c>
      <c r="O8607" t="s">
        <v>26</v>
      </c>
      <c r="P8607">
        <v>9.99</v>
      </c>
      <c r="Q8607">
        <v>12.49</v>
      </c>
      <c r="R8607">
        <v>9.99</v>
      </c>
      <c r="T8607" t="s">
        <v>41678</v>
      </c>
    </row>
    <row r="8608" spans="1:20">
      <c r="A8608">
        <v>4709989</v>
      </c>
      <c r="B8608" t="s">
        <v>41679</v>
      </c>
      <c r="C8608" t="str">
        <f>"9781551436869"</f>
        <v>9781551436869</v>
      </c>
      <c r="D8608" t="str">
        <f>"9781551436456"</f>
        <v>9781551436456</v>
      </c>
      <c r="E8608" t="s">
        <v>4668</v>
      </c>
      <c r="F8608" t="s">
        <v>4668</v>
      </c>
      <c r="G8608" s="1">
        <v>40908</v>
      </c>
      <c r="I8608" t="s">
        <v>4685</v>
      </c>
      <c r="J8608" t="s">
        <v>5708</v>
      </c>
      <c r="K8608" t="s">
        <v>1464</v>
      </c>
      <c r="L8608" t="s">
        <v>41680</v>
      </c>
      <c r="M8608">
        <v>813.54</v>
      </c>
      <c r="N8608" t="s">
        <v>41681</v>
      </c>
      <c r="O8608" t="s">
        <v>26</v>
      </c>
      <c r="P8608">
        <v>9.99</v>
      </c>
      <c r="Q8608">
        <v>12.49</v>
      </c>
      <c r="R8608">
        <v>9.99</v>
      </c>
      <c r="T8608" t="s">
        <v>41682</v>
      </c>
    </row>
    <row r="8609" spans="1:20">
      <c r="A8609">
        <v>4709992</v>
      </c>
      <c r="B8609" t="s">
        <v>41683</v>
      </c>
      <c r="C8609" t="str">
        <f>"9781551439624"</f>
        <v>9781551439624</v>
      </c>
      <c r="D8609" t="str">
        <f>"9781551439648"</f>
        <v>9781551439648</v>
      </c>
      <c r="E8609" t="s">
        <v>4668</v>
      </c>
      <c r="F8609" t="s">
        <v>4668</v>
      </c>
      <c r="G8609" s="1">
        <v>40908</v>
      </c>
      <c r="I8609" t="s">
        <v>8244</v>
      </c>
      <c r="J8609" t="s">
        <v>5814</v>
      </c>
      <c r="K8609" t="s">
        <v>1464</v>
      </c>
      <c r="L8609" t="s">
        <v>41684</v>
      </c>
      <c r="M8609">
        <v>813.6</v>
      </c>
      <c r="N8609" t="s">
        <v>41685</v>
      </c>
      <c r="O8609" t="s">
        <v>26</v>
      </c>
      <c r="P8609">
        <v>9.99</v>
      </c>
      <c r="Q8609">
        <v>12.49</v>
      </c>
      <c r="R8609">
        <v>9.99</v>
      </c>
      <c r="T8609" t="s">
        <v>41686</v>
      </c>
    </row>
    <row r="8610" spans="1:20">
      <c r="A8610">
        <v>4709993</v>
      </c>
      <c r="B8610" t="s">
        <v>41687</v>
      </c>
      <c r="C8610" t="str">
        <f>"9781551437460"</f>
        <v>9781551437460</v>
      </c>
      <c r="D8610" t="str">
        <f>"9781551437507"</f>
        <v>9781551437507</v>
      </c>
      <c r="E8610" t="s">
        <v>4668</v>
      </c>
      <c r="F8610" t="s">
        <v>4668</v>
      </c>
      <c r="G8610" s="1">
        <v>39356</v>
      </c>
      <c r="I8610" t="s">
        <v>4685</v>
      </c>
      <c r="J8610" t="s">
        <v>5681</v>
      </c>
      <c r="K8610" t="s">
        <v>1464</v>
      </c>
      <c r="L8610" t="s">
        <v>41688</v>
      </c>
      <c r="M8610" t="s">
        <v>1509</v>
      </c>
      <c r="N8610" t="s">
        <v>41689</v>
      </c>
      <c r="O8610" t="s">
        <v>26</v>
      </c>
      <c r="P8610">
        <v>9.99</v>
      </c>
      <c r="Q8610">
        <v>12.49</v>
      </c>
      <c r="R8610">
        <v>9.99</v>
      </c>
      <c r="T8610" t="s">
        <v>41690</v>
      </c>
    </row>
    <row r="8611" spans="1:20">
      <c r="A8611">
        <v>4709999</v>
      </c>
      <c r="B8611" t="s">
        <v>41691</v>
      </c>
      <c r="C8611" t="str">
        <f>"9781551433868"</f>
        <v>9781551433868</v>
      </c>
      <c r="D8611" t="str">
        <f>"9781551435916"</f>
        <v>9781551435916</v>
      </c>
      <c r="E8611" t="s">
        <v>4668</v>
      </c>
      <c r="F8611" t="s">
        <v>4668</v>
      </c>
      <c r="G8611" s="1">
        <v>40908</v>
      </c>
      <c r="I8611" t="s">
        <v>4685</v>
      </c>
      <c r="J8611" t="s">
        <v>3571</v>
      </c>
      <c r="K8611" t="s">
        <v>1464</v>
      </c>
      <c r="L8611" t="s">
        <v>41692</v>
      </c>
      <c r="M8611" t="s">
        <v>1460</v>
      </c>
      <c r="N8611" t="s">
        <v>41693</v>
      </c>
      <c r="O8611" t="s">
        <v>26</v>
      </c>
      <c r="P8611">
        <v>9.99</v>
      </c>
      <c r="Q8611">
        <v>12.49</v>
      </c>
      <c r="R8611">
        <v>9.99</v>
      </c>
      <c r="T8611" t="s">
        <v>41694</v>
      </c>
    </row>
    <row r="8612" spans="1:20">
      <c r="A8612">
        <v>4710004</v>
      </c>
      <c r="B8612" t="s">
        <v>41695</v>
      </c>
      <c r="C8612" t="str">
        <f>"9781554693672"</f>
        <v>9781554693672</v>
      </c>
      <c r="D8612" t="str">
        <f>"9781554693689"</f>
        <v>9781554693689</v>
      </c>
      <c r="E8612" t="s">
        <v>4668</v>
      </c>
      <c r="F8612" t="s">
        <v>8157</v>
      </c>
      <c r="G8612" s="1">
        <v>41773</v>
      </c>
      <c r="I8612" t="s">
        <v>8158</v>
      </c>
      <c r="J8612" t="s">
        <v>8828</v>
      </c>
      <c r="K8612" t="s">
        <v>1464</v>
      </c>
      <c r="L8612" t="s">
        <v>41696</v>
      </c>
      <c r="M8612">
        <v>813.54</v>
      </c>
      <c r="N8612" t="s">
        <v>41697</v>
      </c>
      <c r="O8612" t="s">
        <v>26</v>
      </c>
      <c r="P8612">
        <v>9.99</v>
      </c>
      <c r="Q8612">
        <v>12.49</v>
      </c>
      <c r="R8612">
        <v>9.99</v>
      </c>
      <c r="T8612" t="s">
        <v>41698</v>
      </c>
    </row>
    <row r="8613" spans="1:20">
      <c r="A8613">
        <v>4710006</v>
      </c>
      <c r="B8613" t="s">
        <v>41699</v>
      </c>
      <c r="C8613" t="str">
        <f>"9781551433615"</f>
        <v>9781551433615</v>
      </c>
      <c r="D8613" t="str">
        <f>"9781554691135"</f>
        <v>9781554691135</v>
      </c>
      <c r="E8613" t="s">
        <v>4668</v>
      </c>
      <c r="F8613" t="s">
        <v>4668</v>
      </c>
      <c r="G8613" s="1">
        <v>40908</v>
      </c>
      <c r="I8613" t="s">
        <v>4685</v>
      </c>
      <c r="J8613" t="s">
        <v>6022</v>
      </c>
      <c r="K8613" t="s">
        <v>1464</v>
      </c>
      <c r="L8613" t="s">
        <v>41700</v>
      </c>
      <c r="M8613" t="s">
        <v>1509</v>
      </c>
      <c r="N8613" t="s">
        <v>41701</v>
      </c>
      <c r="O8613" t="s">
        <v>26</v>
      </c>
      <c r="P8613">
        <v>9.99</v>
      </c>
      <c r="Q8613">
        <v>12.49</v>
      </c>
      <c r="R8613">
        <v>9.99</v>
      </c>
      <c r="T8613" t="s">
        <v>41702</v>
      </c>
    </row>
    <row r="8614" spans="1:20">
      <c r="A8614">
        <v>4710008</v>
      </c>
      <c r="B8614" t="s">
        <v>41703</v>
      </c>
      <c r="C8614" t="str">
        <f>"9781551437255"</f>
        <v>9781551437255</v>
      </c>
      <c r="D8614" t="str">
        <f>"9781551437279"</f>
        <v>9781551437279</v>
      </c>
      <c r="E8614" t="s">
        <v>4668</v>
      </c>
      <c r="F8614" t="s">
        <v>4668</v>
      </c>
      <c r="G8614" s="1">
        <v>40878</v>
      </c>
      <c r="I8614" t="s">
        <v>8244</v>
      </c>
      <c r="J8614" t="s">
        <v>8672</v>
      </c>
      <c r="K8614" t="s">
        <v>1464</v>
      </c>
      <c r="L8614" t="s">
        <v>41704</v>
      </c>
      <c r="M8614">
        <v>813.54</v>
      </c>
      <c r="N8614" t="s">
        <v>41705</v>
      </c>
      <c r="O8614" t="s">
        <v>26</v>
      </c>
      <c r="P8614">
        <v>9.99</v>
      </c>
      <c r="Q8614">
        <v>12.49</v>
      </c>
      <c r="R8614">
        <v>9.99</v>
      </c>
      <c r="T8614" t="s">
        <v>41706</v>
      </c>
    </row>
    <row r="8615" spans="1:20">
      <c r="A8615">
        <v>4710009</v>
      </c>
      <c r="B8615" t="s">
        <v>41707</v>
      </c>
      <c r="C8615" t="str">
        <f>"9781554690510"</f>
        <v>9781554690510</v>
      </c>
      <c r="D8615" t="str">
        <f>"9781554690527"</f>
        <v>9781554690527</v>
      </c>
      <c r="E8615" t="s">
        <v>4668</v>
      </c>
      <c r="F8615" t="s">
        <v>4668</v>
      </c>
      <c r="G8615" s="1">
        <v>41773</v>
      </c>
      <c r="I8615" t="s">
        <v>8823</v>
      </c>
      <c r="J8615" t="s">
        <v>5287</v>
      </c>
      <c r="K8615" t="s">
        <v>1464</v>
      </c>
      <c r="L8615" t="s">
        <v>41708</v>
      </c>
      <c r="M8615">
        <v>813.54</v>
      </c>
      <c r="N8615" t="s">
        <v>41709</v>
      </c>
      <c r="O8615" t="s">
        <v>485</v>
      </c>
      <c r="P8615">
        <v>9.99</v>
      </c>
      <c r="Q8615">
        <v>12.49</v>
      </c>
      <c r="R8615">
        <v>9.99</v>
      </c>
      <c r="T8615" t="s">
        <v>41710</v>
      </c>
    </row>
    <row r="8616" spans="1:20">
      <c r="A8616">
        <v>4710012</v>
      </c>
      <c r="B8616" t="s">
        <v>41711</v>
      </c>
      <c r="C8616" t="str">
        <f>"9781554692675"</f>
        <v>9781554692675</v>
      </c>
      <c r="D8616" t="str">
        <f>"9781554692699"</f>
        <v>9781554692699</v>
      </c>
      <c r="E8616" t="s">
        <v>4668</v>
      </c>
      <c r="F8616" t="s">
        <v>4668</v>
      </c>
      <c r="G8616" s="1">
        <v>40543</v>
      </c>
      <c r="I8616" t="s">
        <v>4685</v>
      </c>
      <c r="J8616" t="s">
        <v>3636</v>
      </c>
      <c r="K8616" t="s">
        <v>1464</v>
      </c>
      <c r="L8616" t="s">
        <v>41712</v>
      </c>
      <c r="M8616">
        <v>813.54</v>
      </c>
      <c r="N8616" t="s">
        <v>41713</v>
      </c>
      <c r="O8616" t="s">
        <v>26</v>
      </c>
      <c r="P8616">
        <v>9.99</v>
      </c>
      <c r="Q8616">
        <v>12.49</v>
      </c>
      <c r="R8616">
        <v>9.99</v>
      </c>
      <c r="T8616" t="s">
        <v>41714</v>
      </c>
    </row>
    <row r="8617" spans="1:20">
      <c r="A8617">
        <v>4710032</v>
      </c>
      <c r="B8617" t="s">
        <v>41715</v>
      </c>
      <c r="C8617" t="str">
        <f>"9781551437002"</f>
        <v>9781551437002</v>
      </c>
      <c r="D8617" t="str">
        <f>"9781551437040"</f>
        <v>9781551437040</v>
      </c>
      <c r="E8617" t="s">
        <v>4668</v>
      </c>
      <c r="F8617" t="s">
        <v>4668</v>
      </c>
      <c r="G8617" s="1">
        <v>39142</v>
      </c>
      <c r="I8617" t="s">
        <v>4685</v>
      </c>
      <c r="J8617" t="s">
        <v>41627</v>
      </c>
      <c r="K8617" t="s">
        <v>1464</v>
      </c>
      <c r="L8617" t="s">
        <v>41716</v>
      </c>
      <c r="M8617">
        <v>813.54</v>
      </c>
      <c r="N8617" t="s">
        <v>41717</v>
      </c>
      <c r="O8617" t="s">
        <v>26</v>
      </c>
      <c r="P8617">
        <v>9.99</v>
      </c>
      <c r="Q8617">
        <v>12.49</v>
      </c>
      <c r="R8617">
        <v>9.99</v>
      </c>
      <c r="T8617" t="s">
        <v>41718</v>
      </c>
    </row>
    <row r="8618" spans="1:20">
      <c r="A8618">
        <v>4710551</v>
      </c>
      <c r="B8618" t="s">
        <v>41719</v>
      </c>
      <c r="C8618" t="str">
        <f>"9781554691197"</f>
        <v>9781554691197</v>
      </c>
      <c r="D8618" t="str">
        <f>"9781554696116"</f>
        <v>9781554696116</v>
      </c>
      <c r="E8618" t="s">
        <v>4668</v>
      </c>
      <c r="F8618" t="s">
        <v>4668</v>
      </c>
      <c r="G8618" s="1">
        <v>39814</v>
      </c>
      <c r="I8618" t="s">
        <v>4685</v>
      </c>
      <c r="J8618" t="s">
        <v>8735</v>
      </c>
      <c r="K8618" t="s">
        <v>1464</v>
      </c>
      <c r="L8618" t="s">
        <v>41720</v>
      </c>
      <c r="M8618">
        <v>813.62300000000005</v>
      </c>
      <c r="N8618" t="s">
        <v>41721</v>
      </c>
      <c r="O8618" t="s">
        <v>26</v>
      </c>
      <c r="P8618">
        <v>9.99</v>
      </c>
      <c r="Q8618">
        <v>12.49</v>
      </c>
      <c r="R8618">
        <v>9.99</v>
      </c>
      <c r="T8618" t="s">
        <v>41722</v>
      </c>
    </row>
    <row r="8619" spans="1:20">
      <c r="A8619">
        <v>4710557</v>
      </c>
      <c r="B8619" t="s">
        <v>41723</v>
      </c>
      <c r="C8619" t="str">
        <f>"9781554693245"</f>
        <v>9781554693245</v>
      </c>
      <c r="D8619" t="str">
        <f>"9781554695416"</f>
        <v>9781554695416</v>
      </c>
      <c r="E8619" t="s">
        <v>4668</v>
      </c>
      <c r="F8619" t="s">
        <v>4668</v>
      </c>
      <c r="G8619" s="1">
        <v>40422</v>
      </c>
      <c r="I8619" t="s">
        <v>8244</v>
      </c>
      <c r="J8619" t="s">
        <v>5632</v>
      </c>
      <c r="K8619" t="s">
        <v>1464</v>
      </c>
      <c r="L8619" t="s">
        <v>41724</v>
      </c>
      <c r="M8619">
        <v>813.6</v>
      </c>
      <c r="N8619" t="s">
        <v>41725</v>
      </c>
      <c r="O8619" t="s">
        <v>26</v>
      </c>
      <c r="P8619">
        <v>9.99</v>
      </c>
      <c r="Q8619">
        <v>12.49</v>
      </c>
      <c r="R8619">
        <v>9.99</v>
      </c>
      <c r="T8619" t="s">
        <v>41726</v>
      </c>
    </row>
    <row r="8620" spans="1:20">
      <c r="A8620">
        <v>4710559</v>
      </c>
      <c r="B8620" t="s">
        <v>41727</v>
      </c>
      <c r="C8620" t="str">
        <f>"9781551437057"</f>
        <v>9781551437057</v>
      </c>
      <c r="D8620" t="str">
        <f>"9781554696406"</f>
        <v>9781554696406</v>
      </c>
      <c r="E8620" t="s">
        <v>4668</v>
      </c>
      <c r="F8620" t="s">
        <v>4668</v>
      </c>
      <c r="G8620" s="1">
        <v>39083</v>
      </c>
      <c r="I8620" t="s">
        <v>4685</v>
      </c>
      <c r="J8620" t="s">
        <v>5872</v>
      </c>
      <c r="K8620" t="s">
        <v>1464</v>
      </c>
      <c r="L8620" t="s">
        <v>41728</v>
      </c>
      <c r="M8620">
        <v>813.62300000000005</v>
      </c>
      <c r="N8620" t="s">
        <v>41729</v>
      </c>
      <c r="O8620" t="s">
        <v>26</v>
      </c>
      <c r="P8620">
        <v>9.99</v>
      </c>
      <c r="Q8620">
        <v>12.49</v>
      </c>
      <c r="R8620">
        <v>9.99</v>
      </c>
      <c r="T8620" t="s">
        <v>41730</v>
      </c>
    </row>
    <row r="8621" spans="1:20">
      <c r="A8621">
        <v>4710560</v>
      </c>
      <c r="B8621" t="s">
        <v>41731</v>
      </c>
      <c r="C8621" t="str">
        <f>"9781551439112"</f>
        <v>9781551439112</v>
      </c>
      <c r="D8621" t="str">
        <f>"9781554697076"</f>
        <v>9781554697076</v>
      </c>
      <c r="E8621" t="s">
        <v>4668</v>
      </c>
      <c r="F8621" t="s">
        <v>4668</v>
      </c>
      <c r="G8621" s="1">
        <v>39448</v>
      </c>
      <c r="I8621" t="s">
        <v>8244</v>
      </c>
      <c r="J8621" t="s">
        <v>8672</v>
      </c>
      <c r="K8621" t="s">
        <v>1464</v>
      </c>
      <c r="L8621" t="s">
        <v>41732</v>
      </c>
      <c r="M8621">
        <v>813.54</v>
      </c>
      <c r="N8621" t="s">
        <v>41733</v>
      </c>
      <c r="O8621" t="s">
        <v>26</v>
      </c>
      <c r="P8621">
        <v>9.99</v>
      </c>
      <c r="Q8621">
        <v>12.49</v>
      </c>
      <c r="R8621">
        <v>9.99</v>
      </c>
      <c r="T8621" t="s">
        <v>41734</v>
      </c>
    </row>
    <row r="8622" spans="1:20">
      <c r="A8622">
        <v>4710561</v>
      </c>
      <c r="B8622" t="s">
        <v>41735</v>
      </c>
      <c r="C8622" t="str">
        <f>"9781554690343"</f>
        <v>9781554690343</v>
      </c>
      <c r="D8622" t="str">
        <f>"9781554696444"</f>
        <v>9781554696444</v>
      </c>
      <c r="E8622" t="s">
        <v>4668</v>
      </c>
      <c r="F8622" t="s">
        <v>4668</v>
      </c>
      <c r="G8622" s="1">
        <v>39448</v>
      </c>
      <c r="I8622" t="s">
        <v>4685</v>
      </c>
      <c r="J8622" t="s">
        <v>3636</v>
      </c>
      <c r="K8622" t="s">
        <v>1464</v>
      </c>
      <c r="L8622" t="s">
        <v>41736</v>
      </c>
      <c r="M8622">
        <v>813.54</v>
      </c>
      <c r="N8622" t="s">
        <v>41737</v>
      </c>
      <c r="O8622" t="s">
        <v>26</v>
      </c>
      <c r="P8622">
        <v>9.99</v>
      </c>
      <c r="Q8622">
        <v>12.49</v>
      </c>
      <c r="R8622">
        <v>9.99</v>
      </c>
      <c r="T8622" t="s">
        <v>41738</v>
      </c>
    </row>
    <row r="8623" spans="1:20">
      <c r="A8623">
        <v>4710579</v>
      </c>
      <c r="B8623" t="s">
        <v>41739</v>
      </c>
      <c r="C8623" t="str">
        <f>"9781551434858"</f>
        <v>9781551434858</v>
      </c>
      <c r="D8623" t="str">
        <f>"9781554695904"</f>
        <v>9781554695904</v>
      </c>
      <c r="E8623" t="s">
        <v>4668</v>
      </c>
      <c r="F8623" t="s">
        <v>4668</v>
      </c>
      <c r="G8623" s="1">
        <v>38718</v>
      </c>
      <c r="I8623" t="s">
        <v>4685</v>
      </c>
      <c r="J8623" t="s">
        <v>5099</v>
      </c>
      <c r="K8623" t="s">
        <v>1464</v>
      </c>
      <c r="L8623" t="s">
        <v>41740</v>
      </c>
      <c r="M8623" t="s">
        <v>1460</v>
      </c>
      <c r="N8623" t="s">
        <v>41741</v>
      </c>
      <c r="O8623" t="s">
        <v>26</v>
      </c>
      <c r="P8623">
        <v>9.99</v>
      </c>
      <c r="Q8623">
        <v>12.49</v>
      </c>
      <c r="R8623">
        <v>9.99</v>
      </c>
      <c r="T8623" t="s">
        <v>41742</v>
      </c>
    </row>
    <row r="8624" spans="1:20">
      <c r="A8624">
        <v>4710583</v>
      </c>
      <c r="B8624" t="s">
        <v>41743</v>
      </c>
      <c r="C8624" t="str">
        <f>"9781554690398"</f>
        <v>9781554690398</v>
      </c>
      <c r="D8624" t="str">
        <f>"9781554697731"</f>
        <v>9781554697731</v>
      </c>
      <c r="E8624" t="s">
        <v>4668</v>
      </c>
      <c r="F8624" t="s">
        <v>4668</v>
      </c>
      <c r="G8624" s="1">
        <v>39448</v>
      </c>
      <c r="I8624" t="s">
        <v>4685</v>
      </c>
      <c r="J8624" t="s">
        <v>5575</v>
      </c>
      <c r="K8624" t="s">
        <v>1464</v>
      </c>
      <c r="L8624" t="s">
        <v>41744</v>
      </c>
      <c r="M8624">
        <v>813.62300000000005</v>
      </c>
      <c r="N8624" t="s">
        <v>41745</v>
      </c>
      <c r="O8624" t="s">
        <v>26</v>
      </c>
      <c r="P8624">
        <v>9.99</v>
      </c>
      <c r="Q8624">
        <v>12.49</v>
      </c>
      <c r="R8624">
        <v>9.99</v>
      </c>
      <c r="T8624" t="s">
        <v>41746</v>
      </c>
    </row>
    <row r="8625" spans="1:20">
      <c r="A8625">
        <v>4710586</v>
      </c>
      <c r="B8625" t="s">
        <v>41747</v>
      </c>
      <c r="C8625" t="str">
        <f>"9781551438931"</f>
        <v>9781551438931</v>
      </c>
      <c r="D8625" t="str">
        <f>"9781554695775"</f>
        <v>9781554695775</v>
      </c>
      <c r="E8625" t="s">
        <v>4668</v>
      </c>
      <c r="F8625" t="s">
        <v>4668</v>
      </c>
      <c r="G8625" s="1">
        <v>39448</v>
      </c>
      <c r="I8625" t="s">
        <v>4685</v>
      </c>
      <c r="J8625" t="s">
        <v>41627</v>
      </c>
      <c r="K8625" t="s">
        <v>1464</v>
      </c>
      <c r="L8625" t="s">
        <v>41748</v>
      </c>
      <c r="M8625">
        <v>813.62300000000005</v>
      </c>
      <c r="N8625" t="s">
        <v>41749</v>
      </c>
      <c r="O8625" t="s">
        <v>26</v>
      </c>
      <c r="P8625">
        <v>9.99</v>
      </c>
      <c r="Q8625">
        <v>12.49</v>
      </c>
      <c r="R8625">
        <v>9.99</v>
      </c>
      <c r="T8625" t="s">
        <v>41750</v>
      </c>
    </row>
    <row r="8626" spans="1:20">
      <c r="A8626">
        <v>4710595</v>
      </c>
      <c r="B8626" t="s">
        <v>41751</v>
      </c>
      <c r="C8626" t="str">
        <f>"9781551439150"</f>
        <v>9781551439150</v>
      </c>
      <c r="D8626" t="str">
        <f>"9781554695928"</f>
        <v>9781554695928</v>
      </c>
      <c r="E8626" t="s">
        <v>4668</v>
      </c>
      <c r="F8626" t="s">
        <v>4668</v>
      </c>
      <c r="G8626" s="1">
        <v>39448</v>
      </c>
      <c r="I8626" t="s">
        <v>8244</v>
      </c>
      <c r="J8626" t="s">
        <v>8672</v>
      </c>
      <c r="K8626" t="s">
        <v>1464</v>
      </c>
      <c r="L8626" t="s">
        <v>41752</v>
      </c>
      <c r="M8626">
        <v>813.54</v>
      </c>
      <c r="N8626" t="s">
        <v>41601</v>
      </c>
      <c r="O8626" t="s">
        <v>26</v>
      </c>
      <c r="P8626">
        <v>9.99</v>
      </c>
      <c r="Q8626">
        <v>12.49</v>
      </c>
      <c r="R8626">
        <v>9.99</v>
      </c>
      <c r="T8626" t="s">
        <v>41753</v>
      </c>
    </row>
    <row r="8627" spans="1:20">
      <c r="A8627">
        <v>4710597</v>
      </c>
      <c r="B8627" t="s">
        <v>41754</v>
      </c>
      <c r="C8627" t="str">
        <f>"9781551433646"</f>
        <v>9781551433646</v>
      </c>
      <c r="D8627" t="str">
        <f>"9781554696925"</f>
        <v>9781554696925</v>
      </c>
      <c r="E8627" t="s">
        <v>4668</v>
      </c>
      <c r="F8627" t="s">
        <v>4668</v>
      </c>
      <c r="G8627" s="1">
        <v>38353</v>
      </c>
      <c r="I8627" t="s">
        <v>4685</v>
      </c>
      <c r="J8627" t="s">
        <v>6012</v>
      </c>
      <c r="K8627" t="s">
        <v>1464</v>
      </c>
      <c r="L8627" t="s">
        <v>41755</v>
      </c>
      <c r="M8627" t="s">
        <v>1460</v>
      </c>
      <c r="N8627" t="s">
        <v>41636</v>
      </c>
      <c r="O8627" t="s">
        <v>26</v>
      </c>
      <c r="P8627">
        <v>9.99</v>
      </c>
      <c r="Q8627">
        <v>12.49</v>
      </c>
      <c r="R8627">
        <v>9.99</v>
      </c>
      <c r="T8627" t="s">
        <v>41756</v>
      </c>
    </row>
    <row r="8628" spans="1:20">
      <c r="A8628">
        <v>4710611</v>
      </c>
      <c r="B8628" t="s">
        <v>41757</v>
      </c>
      <c r="C8628" t="str">
        <f>"9781551436203"</f>
        <v>9781551436203</v>
      </c>
      <c r="D8628" t="str">
        <f>"9781554696543"</f>
        <v>9781554696543</v>
      </c>
      <c r="E8628" t="s">
        <v>4668</v>
      </c>
      <c r="F8628" t="s">
        <v>4668</v>
      </c>
      <c r="G8628" s="1">
        <v>38718</v>
      </c>
      <c r="I8628" t="s">
        <v>8244</v>
      </c>
      <c r="J8628" t="s">
        <v>41627</v>
      </c>
      <c r="K8628" t="s">
        <v>1464</v>
      </c>
      <c r="L8628" t="s">
        <v>41758</v>
      </c>
      <c r="M8628">
        <v>813.54</v>
      </c>
      <c r="N8628" t="s">
        <v>41759</v>
      </c>
      <c r="O8628" t="s">
        <v>26</v>
      </c>
      <c r="P8628">
        <v>9.99</v>
      </c>
      <c r="Q8628">
        <v>12.49</v>
      </c>
      <c r="R8628">
        <v>9.99</v>
      </c>
      <c r="T8628" t="s">
        <v>41760</v>
      </c>
    </row>
    <row r="8629" spans="1:20">
      <c r="A8629">
        <v>4710619</v>
      </c>
      <c r="B8629" t="s">
        <v>41761</v>
      </c>
      <c r="C8629" t="str">
        <f>"9781551434780"</f>
        <v>9781551434780</v>
      </c>
      <c r="D8629" t="str">
        <f>"9781554697823"</f>
        <v>9781554697823</v>
      </c>
      <c r="E8629" t="s">
        <v>4668</v>
      </c>
      <c r="F8629" t="s">
        <v>4668</v>
      </c>
      <c r="G8629" s="1">
        <v>38353</v>
      </c>
      <c r="I8629" t="s">
        <v>4685</v>
      </c>
      <c r="J8629" t="s">
        <v>8672</v>
      </c>
      <c r="K8629" t="s">
        <v>1464</v>
      </c>
      <c r="L8629" t="s">
        <v>41762</v>
      </c>
      <c r="M8629" t="s">
        <v>1460</v>
      </c>
      <c r="N8629" t="s">
        <v>41763</v>
      </c>
      <c r="O8629" t="s">
        <v>26</v>
      </c>
      <c r="P8629">
        <v>9.99</v>
      </c>
      <c r="Q8629">
        <v>12.49</v>
      </c>
      <c r="R8629">
        <v>9.99</v>
      </c>
      <c r="T8629" t="s">
        <v>41764</v>
      </c>
    </row>
    <row r="8630" spans="1:20">
      <c r="A8630">
        <v>4710626</v>
      </c>
      <c r="B8630" t="s">
        <v>41765</v>
      </c>
      <c r="C8630" t="str">
        <f>"9781551436654"</f>
        <v>9781551436654</v>
      </c>
      <c r="D8630" t="str">
        <f>"9781554696734"</f>
        <v>9781554696734</v>
      </c>
      <c r="E8630" t="s">
        <v>4668</v>
      </c>
      <c r="F8630" t="s">
        <v>4668</v>
      </c>
      <c r="G8630" s="1">
        <v>39083</v>
      </c>
      <c r="I8630" t="s">
        <v>4685</v>
      </c>
      <c r="J8630" t="s">
        <v>5203</v>
      </c>
      <c r="K8630" t="s">
        <v>1464</v>
      </c>
      <c r="L8630" t="s">
        <v>41766</v>
      </c>
      <c r="M8630">
        <v>813.62300000000005</v>
      </c>
      <c r="N8630" t="s">
        <v>41767</v>
      </c>
      <c r="O8630" t="s">
        <v>26</v>
      </c>
      <c r="P8630">
        <v>9.99</v>
      </c>
      <c r="Q8630">
        <v>12.49</v>
      </c>
      <c r="R8630">
        <v>9.99</v>
      </c>
      <c r="T8630" t="s">
        <v>41768</v>
      </c>
    </row>
    <row r="8631" spans="1:20">
      <c r="A8631">
        <v>4710629</v>
      </c>
      <c r="B8631" t="s">
        <v>41769</v>
      </c>
      <c r="C8631" t="str">
        <f>"9781554690459"</f>
        <v>9781554690459</v>
      </c>
      <c r="D8631" t="str">
        <f>"9781554697502"</f>
        <v>9781554697502</v>
      </c>
      <c r="E8631" t="s">
        <v>4668</v>
      </c>
      <c r="F8631" t="s">
        <v>4668</v>
      </c>
      <c r="G8631" s="1">
        <v>39448</v>
      </c>
      <c r="I8631" t="s">
        <v>8244</v>
      </c>
      <c r="J8631" t="s">
        <v>8672</v>
      </c>
      <c r="K8631" t="s">
        <v>1464</v>
      </c>
      <c r="L8631" t="s">
        <v>41770</v>
      </c>
      <c r="M8631">
        <v>813.54</v>
      </c>
      <c r="N8631" t="s">
        <v>41771</v>
      </c>
      <c r="O8631" t="s">
        <v>26</v>
      </c>
      <c r="P8631">
        <v>9.99</v>
      </c>
      <c r="Q8631">
        <v>12.49</v>
      </c>
      <c r="R8631">
        <v>9.99</v>
      </c>
      <c r="T8631" t="s">
        <v>41772</v>
      </c>
    </row>
    <row r="8632" spans="1:20">
      <c r="A8632">
        <v>4710632</v>
      </c>
      <c r="B8632" t="s">
        <v>41773</v>
      </c>
      <c r="C8632" t="str">
        <f>"9781551434889"</f>
        <v>9781551434889</v>
      </c>
      <c r="D8632" t="str">
        <f>"9781554697120"</f>
        <v>9781554697120</v>
      </c>
      <c r="E8632" t="s">
        <v>4668</v>
      </c>
      <c r="F8632" t="s">
        <v>4668</v>
      </c>
      <c r="G8632" s="1">
        <v>38718</v>
      </c>
      <c r="I8632" t="s">
        <v>4685</v>
      </c>
      <c r="J8632" t="s">
        <v>8672</v>
      </c>
      <c r="K8632" t="s">
        <v>1464</v>
      </c>
      <c r="L8632" t="s">
        <v>41774</v>
      </c>
      <c r="M8632">
        <v>813.62300000000005</v>
      </c>
      <c r="N8632" t="s">
        <v>41775</v>
      </c>
      <c r="O8632" t="s">
        <v>26</v>
      </c>
      <c r="P8632">
        <v>9.99</v>
      </c>
      <c r="Q8632">
        <v>12.49</v>
      </c>
      <c r="R8632">
        <v>9.99</v>
      </c>
      <c r="T8632" t="s">
        <v>41776</v>
      </c>
    </row>
    <row r="8633" spans="1:20">
      <c r="A8633">
        <v>4710633</v>
      </c>
      <c r="B8633" t="s">
        <v>41777</v>
      </c>
      <c r="C8633" t="str">
        <f>"9781551436463"</f>
        <v>9781551436463</v>
      </c>
      <c r="D8633" t="str">
        <f>"9781554697274"</f>
        <v>9781554697274</v>
      </c>
      <c r="E8633" t="s">
        <v>4668</v>
      </c>
      <c r="F8633" t="s">
        <v>4668</v>
      </c>
      <c r="G8633" s="1">
        <v>38718</v>
      </c>
      <c r="I8633" t="s">
        <v>4685</v>
      </c>
      <c r="J8633" t="s">
        <v>41627</v>
      </c>
      <c r="K8633" t="s">
        <v>1464</v>
      </c>
      <c r="L8633" t="s">
        <v>41758</v>
      </c>
      <c r="M8633">
        <v>813.62300000000005</v>
      </c>
      <c r="N8633" t="s">
        <v>41778</v>
      </c>
      <c r="O8633" t="s">
        <v>26</v>
      </c>
      <c r="P8633">
        <v>9.99</v>
      </c>
      <c r="Q8633">
        <v>12.49</v>
      </c>
      <c r="R8633">
        <v>9.99</v>
      </c>
      <c r="T8633" t="s">
        <v>41779</v>
      </c>
    </row>
    <row r="8634" spans="1:20">
      <c r="A8634">
        <v>4710635</v>
      </c>
      <c r="B8634" t="s">
        <v>41780</v>
      </c>
      <c r="C8634" t="str">
        <f>"9781554691975"</f>
        <v>9781554691975</v>
      </c>
      <c r="D8634" t="str">
        <f>"9781554695140"</f>
        <v>9781554695140</v>
      </c>
      <c r="E8634" t="s">
        <v>4668</v>
      </c>
      <c r="F8634" t="s">
        <v>4668</v>
      </c>
      <c r="G8634" s="1">
        <v>40087</v>
      </c>
      <c r="I8634" t="s">
        <v>8244</v>
      </c>
      <c r="J8634" t="s">
        <v>8672</v>
      </c>
      <c r="K8634" t="s">
        <v>1464</v>
      </c>
      <c r="L8634" t="s">
        <v>41781</v>
      </c>
      <c r="M8634">
        <v>813.54</v>
      </c>
      <c r="N8634" t="s">
        <v>41601</v>
      </c>
      <c r="O8634" t="s">
        <v>26</v>
      </c>
      <c r="P8634">
        <v>9.99</v>
      </c>
      <c r="Q8634">
        <v>12.49</v>
      </c>
      <c r="R8634">
        <v>9.99</v>
      </c>
      <c r="T8634" t="s">
        <v>41782</v>
      </c>
    </row>
    <row r="8635" spans="1:20">
      <c r="A8635">
        <v>4710636</v>
      </c>
      <c r="B8635" t="s">
        <v>41783</v>
      </c>
      <c r="C8635" t="str">
        <f>"9781551439921"</f>
        <v>9781551439921</v>
      </c>
      <c r="D8635" t="str">
        <f>"9781554696673"</f>
        <v>9781554696673</v>
      </c>
      <c r="E8635" t="s">
        <v>4668</v>
      </c>
      <c r="F8635" t="s">
        <v>4668</v>
      </c>
      <c r="G8635" s="1">
        <v>39448</v>
      </c>
      <c r="I8635" t="s">
        <v>4685</v>
      </c>
      <c r="J8635" t="s">
        <v>5575</v>
      </c>
      <c r="K8635" t="s">
        <v>1464</v>
      </c>
      <c r="L8635" t="s">
        <v>41784</v>
      </c>
      <c r="M8635">
        <v>813.54</v>
      </c>
      <c r="N8635" t="s">
        <v>41785</v>
      </c>
      <c r="O8635" t="s">
        <v>26</v>
      </c>
      <c r="P8635">
        <v>9.99</v>
      </c>
      <c r="Q8635">
        <v>12.49</v>
      </c>
      <c r="R8635">
        <v>9.99</v>
      </c>
      <c r="T8635" t="s">
        <v>41786</v>
      </c>
    </row>
    <row r="8636" spans="1:20">
      <c r="A8636">
        <v>4710637</v>
      </c>
      <c r="B8636" t="s">
        <v>41787</v>
      </c>
      <c r="C8636" t="str">
        <f>"9781551439815"</f>
        <v>9781551439815</v>
      </c>
      <c r="D8636" t="str">
        <f>"9781554697946"</f>
        <v>9781554697946</v>
      </c>
      <c r="E8636" t="s">
        <v>4668</v>
      </c>
      <c r="F8636" t="s">
        <v>4668</v>
      </c>
      <c r="G8636" s="1">
        <v>39448</v>
      </c>
      <c r="I8636" t="s">
        <v>8244</v>
      </c>
      <c r="J8636" t="s">
        <v>5738</v>
      </c>
      <c r="K8636" t="s">
        <v>1464</v>
      </c>
      <c r="L8636" t="s">
        <v>41788</v>
      </c>
      <c r="M8636">
        <v>813.6</v>
      </c>
      <c r="N8636" t="s">
        <v>5946</v>
      </c>
      <c r="O8636" t="s">
        <v>26</v>
      </c>
      <c r="P8636">
        <v>9.99</v>
      </c>
      <c r="Q8636">
        <v>12.49</v>
      </c>
      <c r="R8636">
        <v>9.99</v>
      </c>
      <c r="T8636" t="s">
        <v>41789</v>
      </c>
    </row>
    <row r="8637" spans="1:20">
      <c r="A8637">
        <v>4710638</v>
      </c>
      <c r="B8637" t="s">
        <v>41790</v>
      </c>
      <c r="C8637" t="str">
        <f>"9781554690473"</f>
        <v>9781554690473</v>
      </c>
      <c r="D8637" t="str">
        <f>"9781554696697"</f>
        <v>9781554696697</v>
      </c>
      <c r="E8637" t="s">
        <v>4668</v>
      </c>
      <c r="F8637" t="s">
        <v>4668</v>
      </c>
      <c r="G8637" s="1">
        <v>39448</v>
      </c>
      <c r="I8637" t="s">
        <v>8244</v>
      </c>
      <c r="J8637" t="s">
        <v>8672</v>
      </c>
      <c r="K8637" t="s">
        <v>1464</v>
      </c>
      <c r="L8637" t="s">
        <v>41770</v>
      </c>
      <c r="M8637">
        <v>813.54</v>
      </c>
      <c r="N8637" t="s">
        <v>9973</v>
      </c>
      <c r="O8637" t="s">
        <v>26</v>
      </c>
      <c r="P8637">
        <v>9.99</v>
      </c>
      <c r="Q8637">
        <v>12.49</v>
      </c>
      <c r="R8637">
        <v>9.99</v>
      </c>
      <c r="T8637" t="s">
        <v>41791</v>
      </c>
    </row>
    <row r="8638" spans="1:20">
      <c r="A8638">
        <v>4710639</v>
      </c>
      <c r="B8638" t="s">
        <v>41792</v>
      </c>
      <c r="C8638" t="str">
        <f>"9781551434742"</f>
        <v>9781551434742</v>
      </c>
      <c r="D8638" t="str">
        <f>"9781554697229"</f>
        <v>9781554697229</v>
      </c>
      <c r="E8638" t="s">
        <v>4668</v>
      </c>
      <c r="F8638" t="s">
        <v>4668</v>
      </c>
      <c r="G8638" s="1">
        <v>38353</v>
      </c>
      <c r="I8638" t="s">
        <v>4685</v>
      </c>
      <c r="J8638" t="s">
        <v>5242</v>
      </c>
      <c r="K8638" t="s">
        <v>1464</v>
      </c>
      <c r="L8638" t="s">
        <v>41793</v>
      </c>
      <c r="M8638">
        <v>813.62300000000005</v>
      </c>
      <c r="N8638" t="s">
        <v>41794</v>
      </c>
      <c r="O8638" t="s">
        <v>26</v>
      </c>
      <c r="P8638">
        <v>9.99</v>
      </c>
      <c r="Q8638">
        <v>12.49</v>
      </c>
      <c r="R8638">
        <v>9.99</v>
      </c>
      <c r="T8638" t="s">
        <v>41795</v>
      </c>
    </row>
    <row r="8639" spans="1:20">
      <c r="A8639">
        <v>4710643</v>
      </c>
      <c r="B8639" t="s">
        <v>41796</v>
      </c>
      <c r="C8639" t="str">
        <f>"9781551438412"</f>
        <v>9781551438412</v>
      </c>
      <c r="D8639" t="str">
        <f>"9781554695966"</f>
        <v>9781554695966</v>
      </c>
      <c r="E8639" t="s">
        <v>4668</v>
      </c>
      <c r="F8639" t="s">
        <v>4668</v>
      </c>
      <c r="G8639" s="1">
        <v>39083</v>
      </c>
      <c r="I8639" t="s">
        <v>4685</v>
      </c>
      <c r="J8639" t="s">
        <v>5242</v>
      </c>
      <c r="K8639" t="s">
        <v>1464</v>
      </c>
      <c r="L8639" t="s">
        <v>41797</v>
      </c>
      <c r="M8639">
        <v>813.6</v>
      </c>
      <c r="N8639" t="s">
        <v>41798</v>
      </c>
      <c r="O8639" t="s">
        <v>26</v>
      </c>
      <c r="P8639">
        <v>9.99</v>
      </c>
      <c r="Q8639">
        <v>12.49</v>
      </c>
      <c r="R8639">
        <v>9.99</v>
      </c>
      <c r="T8639" t="s">
        <v>41799</v>
      </c>
    </row>
    <row r="8640" spans="1:20">
      <c r="A8640">
        <v>4710644</v>
      </c>
      <c r="B8640" t="s">
        <v>41800</v>
      </c>
      <c r="C8640" t="str">
        <f>"9781554691326"</f>
        <v>9781554691326</v>
      </c>
      <c r="D8640" t="str">
        <f>"9781554697168"</f>
        <v>9781554697168</v>
      </c>
      <c r="E8640" t="s">
        <v>4668</v>
      </c>
      <c r="F8640" t="s">
        <v>4668</v>
      </c>
      <c r="G8640" s="1">
        <v>39814</v>
      </c>
      <c r="I8640" t="s">
        <v>8244</v>
      </c>
      <c r="J8640" t="s">
        <v>5467</v>
      </c>
      <c r="K8640" t="s">
        <v>1464</v>
      </c>
      <c r="L8640" t="s">
        <v>41801</v>
      </c>
      <c r="M8640">
        <v>813.6</v>
      </c>
      <c r="N8640" t="s">
        <v>41802</v>
      </c>
      <c r="O8640" t="s">
        <v>26</v>
      </c>
      <c r="P8640">
        <v>9.99</v>
      </c>
      <c r="Q8640">
        <v>12.49</v>
      </c>
      <c r="R8640">
        <v>9.99</v>
      </c>
      <c r="T8640" t="s">
        <v>41803</v>
      </c>
    </row>
    <row r="8641" spans="1:20">
      <c r="A8641">
        <v>4710650</v>
      </c>
      <c r="B8641" t="s">
        <v>41804</v>
      </c>
      <c r="C8641" t="str">
        <f>"9781551436432"</f>
        <v>9781551436432</v>
      </c>
      <c r="D8641" t="str">
        <f>"9781554696901"</f>
        <v>9781554696901</v>
      </c>
      <c r="E8641" t="s">
        <v>4668</v>
      </c>
      <c r="F8641" t="s">
        <v>4668</v>
      </c>
      <c r="G8641" s="1">
        <v>38718</v>
      </c>
      <c r="I8641" t="s">
        <v>4685</v>
      </c>
      <c r="J8641" t="s">
        <v>5287</v>
      </c>
      <c r="K8641" t="s">
        <v>1464</v>
      </c>
      <c r="L8641" t="s">
        <v>41805</v>
      </c>
      <c r="M8641">
        <v>813.62300000000005</v>
      </c>
      <c r="N8641" t="s">
        <v>41806</v>
      </c>
      <c r="O8641" t="s">
        <v>26</v>
      </c>
      <c r="P8641">
        <v>9.99</v>
      </c>
      <c r="Q8641">
        <v>12.49</v>
      </c>
      <c r="R8641">
        <v>9.99</v>
      </c>
      <c r="T8641" t="s">
        <v>41807</v>
      </c>
    </row>
    <row r="8642" spans="1:20">
      <c r="A8642">
        <v>4710653</v>
      </c>
      <c r="B8642" t="s">
        <v>41808</v>
      </c>
      <c r="C8642" t="str">
        <f>"9781551436357"</f>
        <v>9781551436357</v>
      </c>
      <c r="D8642" t="str">
        <f>"9781554695690"</f>
        <v>9781554695690</v>
      </c>
      <c r="E8642" t="s">
        <v>4668</v>
      </c>
      <c r="F8642" t="s">
        <v>4668</v>
      </c>
      <c r="G8642" s="1">
        <v>38718</v>
      </c>
      <c r="I8642" t="s">
        <v>8244</v>
      </c>
      <c r="J8642" t="s">
        <v>8672</v>
      </c>
      <c r="K8642" t="s">
        <v>1464</v>
      </c>
      <c r="L8642" t="s">
        <v>41809</v>
      </c>
      <c r="M8642">
        <v>813.54</v>
      </c>
      <c r="N8642" t="s">
        <v>41601</v>
      </c>
      <c r="O8642" t="s">
        <v>26</v>
      </c>
      <c r="P8642">
        <v>9.99</v>
      </c>
      <c r="Q8642">
        <v>12.49</v>
      </c>
      <c r="R8642">
        <v>9.99</v>
      </c>
      <c r="T8642" t="s">
        <v>41810</v>
      </c>
    </row>
    <row r="8643" spans="1:20">
      <c r="A8643">
        <v>4710979</v>
      </c>
      <c r="B8643" t="s">
        <v>41811</v>
      </c>
      <c r="C8643" t="str">
        <f>"9781459722927"</f>
        <v>9781459722927</v>
      </c>
      <c r="D8643" t="str">
        <f>"9781459722934"</f>
        <v>9781459722934</v>
      </c>
      <c r="E8643" t="s">
        <v>3488</v>
      </c>
      <c r="F8643" t="s">
        <v>3488</v>
      </c>
      <c r="G8643" s="1">
        <v>42147</v>
      </c>
      <c r="J8643" t="s">
        <v>41812</v>
      </c>
      <c r="K8643" t="s">
        <v>291</v>
      </c>
      <c r="L8643" t="s">
        <v>41813</v>
      </c>
      <c r="M8643">
        <v>970.00496999999905</v>
      </c>
      <c r="N8643" t="s">
        <v>41814</v>
      </c>
      <c r="O8643" t="s">
        <v>26</v>
      </c>
      <c r="R8643">
        <v>24.99</v>
      </c>
      <c r="S8643">
        <v>37.49</v>
      </c>
      <c r="T8643" t="s">
        <v>41815</v>
      </c>
    </row>
    <row r="8644" spans="1:20">
      <c r="A8644">
        <v>4710992</v>
      </c>
      <c r="B8644" t="s">
        <v>41816</v>
      </c>
      <c r="C8644" t="str">
        <f>"9781771121071"</f>
        <v>9781771121071</v>
      </c>
      <c r="D8644" t="str">
        <f>"9781771121095"</f>
        <v>9781771121095</v>
      </c>
      <c r="E8644" t="s">
        <v>6047</v>
      </c>
      <c r="F8644" t="s">
        <v>6047</v>
      </c>
      <c r="G8644" s="1">
        <v>42124</v>
      </c>
      <c r="J8644" t="s">
        <v>41817</v>
      </c>
      <c r="K8644" t="s">
        <v>1464</v>
      </c>
      <c r="L8644" t="s">
        <v>41818</v>
      </c>
      <c r="M8644">
        <v>821.00900000000001</v>
      </c>
      <c r="N8644" t="s">
        <v>41819</v>
      </c>
      <c r="O8644" t="s">
        <v>26</v>
      </c>
      <c r="R8644">
        <v>85</v>
      </c>
      <c r="S8644">
        <v>127.5</v>
      </c>
      <c r="T8644" t="s">
        <v>41820</v>
      </c>
    </row>
    <row r="8645" spans="1:20">
      <c r="A8645">
        <v>4710993</v>
      </c>
      <c r="B8645" t="s">
        <v>41821</v>
      </c>
      <c r="C8645" t="str">
        <f>"9781771121378"</f>
        <v>9781771121378</v>
      </c>
      <c r="D8645" t="str">
        <f>"9781771121385"</f>
        <v>9781771121385</v>
      </c>
      <c r="E8645" t="s">
        <v>6047</v>
      </c>
      <c r="F8645" t="s">
        <v>6047</v>
      </c>
      <c r="G8645" s="1">
        <v>42308</v>
      </c>
      <c r="I8645" t="s">
        <v>6048</v>
      </c>
      <c r="J8645" t="s">
        <v>41822</v>
      </c>
      <c r="K8645" t="s">
        <v>1892</v>
      </c>
      <c r="L8645" t="s">
        <v>41823</v>
      </c>
      <c r="M8645">
        <v>200.971</v>
      </c>
      <c r="O8645" t="s">
        <v>26</v>
      </c>
      <c r="R8645">
        <v>85</v>
      </c>
      <c r="S8645">
        <v>127.5</v>
      </c>
      <c r="T8645" t="s">
        <v>41824</v>
      </c>
    </row>
    <row r="8646" spans="1:20">
      <c r="A8646">
        <v>4710994</v>
      </c>
      <c r="B8646" t="s">
        <v>41825</v>
      </c>
      <c r="C8646" t="str">
        <f>"9781771121439"</f>
        <v>9781771121439</v>
      </c>
      <c r="D8646" t="str">
        <f>"9781771121446"</f>
        <v>9781771121446</v>
      </c>
      <c r="E8646" t="s">
        <v>6047</v>
      </c>
      <c r="F8646" t="s">
        <v>6047</v>
      </c>
      <c r="G8646" s="1">
        <v>42309</v>
      </c>
      <c r="J8646" t="s">
        <v>41826</v>
      </c>
      <c r="K8646" t="s">
        <v>263</v>
      </c>
      <c r="L8646" t="s">
        <v>41827</v>
      </c>
      <c r="M8646">
        <v>361.3</v>
      </c>
      <c r="N8646" t="s">
        <v>41828</v>
      </c>
      <c r="O8646" t="s">
        <v>26</v>
      </c>
      <c r="R8646">
        <v>85</v>
      </c>
      <c r="S8646">
        <v>127.5</v>
      </c>
      <c r="T8646" t="s">
        <v>41829</v>
      </c>
    </row>
    <row r="8647" spans="1:20">
      <c r="A8647">
        <v>4710995</v>
      </c>
      <c r="B8647" t="s">
        <v>41830</v>
      </c>
      <c r="C8647" t="str">
        <f>"9781771121507"</f>
        <v>9781771121507</v>
      </c>
      <c r="D8647" t="str">
        <f>"9781771121514"</f>
        <v>9781771121514</v>
      </c>
      <c r="E8647" t="s">
        <v>6047</v>
      </c>
      <c r="F8647" t="s">
        <v>6047</v>
      </c>
      <c r="G8647" s="1">
        <v>42278</v>
      </c>
      <c r="I8647" t="s">
        <v>6463</v>
      </c>
      <c r="J8647" t="s">
        <v>41831</v>
      </c>
      <c r="K8647" t="s">
        <v>899</v>
      </c>
      <c r="L8647" t="s">
        <v>41832</v>
      </c>
      <c r="M8647">
        <v>365.66800000000001</v>
      </c>
      <c r="N8647" t="s">
        <v>41833</v>
      </c>
      <c r="O8647" t="s">
        <v>26</v>
      </c>
      <c r="R8647">
        <v>85</v>
      </c>
      <c r="S8647">
        <v>127.5</v>
      </c>
      <c r="T8647" t="s">
        <v>41834</v>
      </c>
    </row>
    <row r="8648" spans="1:20">
      <c r="A8648">
        <v>4710996</v>
      </c>
      <c r="B8648" t="s">
        <v>41835</v>
      </c>
      <c r="C8648" t="str">
        <f>"9781771121538"</f>
        <v>9781771121538</v>
      </c>
      <c r="D8648" t="str">
        <f>"9781771121552"</f>
        <v>9781771121552</v>
      </c>
      <c r="E8648" t="s">
        <v>6047</v>
      </c>
      <c r="F8648" t="s">
        <v>6047</v>
      </c>
      <c r="G8648" s="1">
        <v>42278</v>
      </c>
      <c r="I8648" t="s">
        <v>7123</v>
      </c>
      <c r="J8648" t="s">
        <v>41836</v>
      </c>
      <c r="K8648" t="s">
        <v>1892</v>
      </c>
      <c r="L8648" t="s">
        <v>41837</v>
      </c>
      <c r="M8648">
        <v>200.82097099999899</v>
      </c>
      <c r="N8648" t="s">
        <v>41838</v>
      </c>
      <c r="O8648" t="s">
        <v>26</v>
      </c>
      <c r="R8648">
        <v>85</v>
      </c>
      <c r="S8648">
        <v>127.5</v>
      </c>
      <c r="T8648" t="s">
        <v>41839</v>
      </c>
    </row>
    <row r="8649" spans="1:20">
      <c r="A8649">
        <v>4711001</v>
      </c>
      <c r="B8649" t="s">
        <v>41840</v>
      </c>
      <c r="C8649" t="str">
        <f>"9781772120516"</f>
        <v>9781772120516</v>
      </c>
      <c r="D8649" t="str">
        <f>"9781772120615"</f>
        <v>9781772120615</v>
      </c>
      <c r="E8649" t="s">
        <v>26075</v>
      </c>
      <c r="F8649" t="s">
        <v>26075</v>
      </c>
      <c r="G8649" s="1">
        <v>42232</v>
      </c>
      <c r="J8649" t="s">
        <v>41841</v>
      </c>
      <c r="K8649" t="s">
        <v>1464</v>
      </c>
      <c r="L8649" t="s">
        <v>41842</v>
      </c>
      <c r="M8649">
        <v>808.4</v>
      </c>
      <c r="N8649" t="s">
        <v>41843</v>
      </c>
      <c r="O8649" t="s">
        <v>26</v>
      </c>
      <c r="R8649">
        <v>47.99</v>
      </c>
      <c r="T8649" t="s">
        <v>41844</v>
      </c>
    </row>
    <row r="8650" spans="1:20">
      <c r="A8650">
        <v>4711002</v>
      </c>
      <c r="B8650" t="s">
        <v>41845</v>
      </c>
      <c r="C8650" t="str">
        <f>"9781772120431"</f>
        <v>9781772120431</v>
      </c>
      <c r="D8650" t="str">
        <f>"9781772120745"</f>
        <v>9781772120745</v>
      </c>
      <c r="E8650" t="s">
        <v>26075</v>
      </c>
      <c r="F8650" t="s">
        <v>26075</v>
      </c>
      <c r="G8650" s="1">
        <v>42109</v>
      </c>
      <c r="I8650" t="s">
        <v>41846</v>
      </c>
      <c r="J8650" t="s">
        <v>41847</v>
      </c>
      <c r="K8650" t="s">
        <v>1464</v>
      </c>
      <c r="L8650" t="s">
        <v>41848</v>
      </c>
      <c r="M8650">
        <v>811.00800000000004</v>
      </c>
      <c r="N8650" t="s">
        <v>7851</v>
      </c>
      <c r="O8650" t="s">
        <v>26</v>
      </c>
      <c r="R8650">
        <v>23.99</v>
      </c>
      <c r="T8650" t="s">
        <v>41849</v>
      </c>
    </row>
    <row r="8651" spans="1:20">
      <c r="A8651">
        <v>4711003</v>
      </c>
      <c r="B8651" t="s">
        <v>41850</v>
      </c>
      <c r="C8651" t="str">
        <f>"9781772120455"</f>
        <v>9781772120455</v>
      </c>
      <c r="D8651" t="str">
        <f>"9781772120806"</f>
        <v>9781772120806</v>
      </c>
      <c r="E8651" t="s">
        <v>26075</v>
      </c>
      <c r="F8651" t="s">
        <v>26075</v>
      </c>
      <c r="G8651" s="1">
        <v>42064</v>
      </c>
      <c r="I8651" t="s">
        <v>41846</v>
      </c>
      <c r="J8651" t="s">
        <v>41851</v>
      </c>
      <c r="K8651" t="s">
        <v>2260</v>
      </c>
      <c r="L8651" t="s">
        <v>41852</v>
      </c>
      <c r="M8651">
        <v>616.83000000000004</v>
      </c>
      <c r="N8651" t="s">
        <v>41853</v>
      </c>
      <c r="O8651" t="s">
        <v>26</v>
      </c>
      <c r="R8651">
        <v>29.99</v>
      </c>
      <c r="T8651" t="s">
        <v>41854</v>
      </c>
    </row>
    <row r="8652" spans="1:20">
      <c r="A8652">
        <v>4711006</v>
      </c>
      <c r="B8652" t="s">
        <v>41855</v>
      </c>
      <c r="C8652" t="str">
        <f>"9781772260342"</f>
        <v>9781772260342</v>
      </c>
      <c r="D8652" t="str">
        <f>"9781772260373"</f>
        <v>9781772260373</v>
      </c>
      <c r="E8652" t="s">
        <v>41856</v>
      </c>
      <c r="F8652" t="s">
        <v>41857</v>
      </c>
      <c r="G8652" s="1">
        <v>41918</v>
      </c>
      <c r="J8652" t="s">
        <v>41858</v>
      </c>
      <c r="O8652" t="s">
        <v>26</v>
      </c>
      <c r="R8652">
        <v>0.99</v>
      </c>
      <c r="S8652">
        <v>1.49</v>
      </c>
      <c r="T8652" t="s">
        <v>41859</v>
      </c>
    </row>
    <row r="8653" spans="1:20">
      <c r="A8653">
        <v>4711008</v>
      </c>
      <c r="B8653" t="s">
        <v>41860</v>
      </c>
      <c r="C8653" t="str">
        <f>"9781927527894"</f>
        <v>9781927527894</v>
      </c>
      <c r="D8653" t="str">
        <f>"9781927527917"</f>
        <v>9781927527917</v>
      </c>
      <c r="E8653" t="s">
        <v>41861</v>
      </c>
      <c r="F8653" t="s">
        <v>41862</v>
      </c>
      <c r="G8653" s="1">
        <v>41877</v>
      </c>
      <c r="I8653" t="s">
        <v>41863</v>
      </c>
      <c r="J8653" t="s">
        <v>41864</v>
      </c>
      <c r="K8653" t="s">
        <v>1530</v>
      </c>
      <c r="L8653" t="s">
        <v>41865</v>
      </c>
      <c r="M8653">
        <v>364.10921999999903</v>
      </c>
      <c r="N8653" t="s">
        <v>41866</v>
      </c>
      <c r="O8653" t="s">
        <v>26</v>
      </c>
      <c r="R8653">
        <v>9.9499999999999993</v>
      </c>
      <c r="S8653">
        <v>14.93</v>
      </c>
      <c r="T8653" t="s">
        <v>41867</v>
      </c>
    </row>
    <row r="8654" spans="1:20">
      <c r="A8654">
        <v>4711009</v>
      </c>
      <c r="B8654" t="s">
        <v>41868</v>
      </c>
      <c r="C8654" t="str">
        <f>"9781927970799"</f>
        <v>9781927970799</v>
      </c>
      <c r="D8654" t="str">
        <f>"9781927970836"</f>
        <v>9781927970836</v>
      </c>
      <c r="E8654" t="s">
        <v>41856</v>
      </c>
      <c r="F8654" t="s">
        <v>41857</v>
      </c>
      <c r="G8654" s="1">
        <v>41808</v>
      </c>
      <c r="J8654" t="s">
        <v>41869</v>
      </c>
      <c r="O8654" t="s">
        <v>26</v>
      </c>
      <c r="R8654">
        <v>0.99</v>
      </c>
      <c r="S8654">
        <v>1.49</v>
      </c>
      <c r="T8654" t="s">
        <v>41870</v>
      </c>
    </row>
    <row r="8655" spans="1:20">
      <c r="A8655">
        <v>4715909</v>
      </c>
      <c r="B8655" t="s">
        <v>41871</v>
      </c>
      <c r="C8655" t="str">
        <f>"9781551439761"</f>
        <v>9781551439761</v>
      </c>
      <c r="D8655" t="str">
        <f>"9781551439808"</f>
        <v>9781551439808</v>
      </c>
      <c r="E8655" t="s">
        <v>4668</v>
      </c>
      <c r="F8655" t="s">
        <v>4668</v>
      </c>
      <c r="G8655" s="1">
        <v>40908</v>
      </c>
      <c r="I8655" t="s">
        <v>4685</v>
      </c>
      <c r="J8655" t="s">
        <v>5708</v>
      </c>
      <c r="K8655" t="s">
        <v>1464</v>
      </c>
      <c r="L8655" t="s">
        <v>41872</v>
      </c>
      <c r="M8655" t="s">
        <v>4671</v>
      </c>
      <c r="N8655" t="s">
        <v>41873</v>
      </c>
      <c r="O8655" t="s">
        <v>26</v>
      </c>
      <c r="P8655">
        <v>9.99</v>
      </c>
      <c r="Q8655">
        <v>12.49</v>
      </c>
      <c r="R8655">
        <v>9.99</v>
      </c>
      <c r="T8655" t="s">
        <v>41874</v>
      </c>
    </row>
    <row r="8656" spans="1:20">
      <c r="A8656">
        <v>4717517</v>
      </c>
      <c r="B8656" t="s">
        <v>41875</v>
      </c>
      <c r="C8656" t="str">
        <f>"9781554692231"</f>
        <v>9781554692231</v>
      </c>
      <c r="D8656" t="str">
        <f>"9781554692255"</f>
        <v>9781554692255</v>
      </c>
      <c r="E8656" t="s">
        <v>4668</v>
      </c>
      <c r="F8656" t="s">
        <v>4668</v>
      </c>
      <c r="G8656" s="1">
        <v>40543</v>
      </c>
      <c r="I8656" t="s">
        <v>4685</v>
      </c>
      <c r="J8656" t="s">
        <v>3578</v>
      </c>
      <c r="K8656" t="s">
        <v>1464</v>
      </c>
      <c r="L8656" t="s">
        <v>41876</v>
      </c>
      <c r="M8656" t="s">
        <v>1460</v>
      </c>
      <c r="N8656" t="s">
        <v>41877</v>
      </c>
      <c r="O8656" t="s">
        <v>26</v>
      </c>
      <c r="P8656">
        <v>9.99</v>
      </c>
      <c r="Q8656">
        <v>12.49</v>
      </c>
      <c r="R8656">
        <v>9.99</v>
      </c>
      <c r="T8656" t="s">
        <v>41878</v>
      </c>
    </row>
    <row r="8657" spans="1:20">
      <c r="A8657">
        <v>4717519</v>
      </c>
      <c r="B8657" t="s">
        <v>41879</v>
      </c>
      <c r="C8657" t="str">
        <f>"9781554690428"</f>
        <v>9781554690428</v>
      </c>
      <c r="D8657" t="str">
        <f>"9781554690442"</f>
        <v>9781554690442</v>
      </c>
      <c r="E8657" t="s">
        <v>4668</v>
      </c>
      <c r="F8657" t="s">
        <v>4668</v>
      </c>
      <c r="G8657" s="1">
        <v>40908</v>
      </c>
      <c r="I8657" t="s">
        <v>4685</v>
      </c>
      <c r="J8657" t="s">
        <v>3578</v>
      </c>
      <c r="K8657" t="s">
        <v>5998</v>
      </c>
      <c r="L8657" t="s">
        <v>41880</v>
      </c>
      <c r="M8657">
        <v>796.22</v>
      </c>
      <c r="N8657" t="s">
        <v>41881</v>
      </c>
      <c r="O8657" t="s">
        <v>26</v>
      </c>
      <c r="P8657">
        <v>9.99</v>
      </c>
      <c r="Q8657">
        <v>12.49</v>
      </c>
      <c r="R8657">
        <v>9.99</v>
      </c>
      <c r="T8657" t="s">
        <v>41882</v>
      </c>
    </row>
    <row r="8658" spans="1:20">
      <c r="A8658">
        <v>4717913</v>
      </c>
      <c r="B8658" t="s">
        <v>41883</v>
      </c>
      <c r="C8658" t="str">
        <f>"9781554690886"</f>
        <v>9781554690886</v>
      </c>
      <c r="D8658" t="str">
        <f>"9781554690893"</f>
        <v>9781554690893</v>
      </c>
      <c r="E8658" t="s">
        <v>4668</v>
      </c>
      <c r="F8658" t="s">
        <v>4668</v>
      </c>
      <c r="G8658" s="1">
        <v>41786</v>
      </c>
      <c r="J8658" t="s">
        <v>41884</v>
      </c>
      <c r="K8658" t="s">
        <v>41885</v>
      </c>
      <c r="L8658" t="s">
        <v>41886</v>
      </c>
      <c r="M8658">
        <v>613</v>
      </c>
      <c r="N8658" t="s">
        <v>41887</v>
      </c>
      <c r="O8658" t="s">
        <v>26</v>
      </c>
      <c r="P8658">
        <v>19.989999999999998</v>
      </c>
      <c r="Q8658">
        <v>24.99</v>
      </c>
      <c r="R8658">
        <v>19.989999999999998</v>
      </c>
      <c r="T8658" t="s">
        <v>41888</v>
      </c>
    </row>
    <row r="8659" spans="1:20">
      <c r="A8659">
        <v>4730217</v>
      </c>
      <c r="B8659" t="s">
        <v>41889</v>
      </c>
      <c r="C8659" t="str">
        <f>"9781442631519"</f>
        <v>9781442631519</v>
      </c>
      <c r="D8659" t="str">
        <f>"9781442654181"</f>
        <v>9781442654181</v>
      </c>
      <c r="E8659" t="s">
        <v>31435</v>
      </c>
      <c r="F8659" t="s">
        <v>41890</v>
      </c>
      <c r="G8659" s="1">
        <v>19360</v>
      </c>
      <c r="J8659" t="s">
        <v>41891</v>
      </c>
      <c r="K8659" t="s">
        <v>155</v>
      </c>
      <c r="L8659" t="s">
        <v>41892</v>
      </c>
      <c r="M8659">
        <v>595.73299999999904</v>
      </c>
      <c r="N8659" t="s">
        <v>41893</v>
      </c>
      <c r="O8659" t="s">
        <v>26</v>
      </c>
      <c r="Q8659">
        <v>75</v>
      </c>
      <c r="R8659">
        <v>60</v>
      </c>
      <c r="S8659">
        <v>90</v>
      </c>
      <c r="T8659" t="s">
        <v>41894</v>
      </c>
    </row>
    <row r="8660" spans="1:20">
      <c r="A8660">
        <v>4730218</v>
      </c>
      <c r="B8660" t="s">
        <v>41895</v>
      </c>
      <c r="C8660" t="str">
        <f>"9781442631526"</f>
        <v>9781442631526</v>
      </c>
      <c r="D8660" t="str">
        <f>"9781442654198"</f>
        <v>9781442654198</v>
      </c>
      <c r="E8660" t="s">
        <v>31435</v>
      </c>
      <c r="F8660" t="s">
        <v>41890</v>
      </c>
      <c r="G8660" s="1">
        <v>21186</v>
      </c>
      <c r="J8660" t="s">
        <v>41891</v>
      </c>
      <c r="K8660" t="s">
        <v>155</v>
      </c>
      <c r="L8660" t="s">
        <v>41896</v>
      </c>
      <c r="M8660">
        <v>595.73299999999904</v>
      </c>
      <c r="N8660" t="s">
        <v>41897</v>
      </c>
      <c r="O8660" t="s">
        <v>26</v>
      </c>
      <c r="Q8660">
        <v>81.25</v>
      </c>
      <c r="R8660">
        <v>65</v>
      </c>
      <c r="S8660">
        <v>97.5</v>
      </c>
      <c r="T8660" t="s">
        <v>41898</v>
      </c>
    </row>
    <row r="8661" spans="1:20">
      <c r="A8661">
        <v>4730219</v>
      </c>
      <c r="B8661" t="s">
        <v>41899</v>
      </c>
      <c r="C8661" t="str">
        <f>"9781442631533"</f>
        <v>9781442631533</v>
      </c>
      <c r="D8661" t="str">
        <f>"9781442654204"</f>
        <v>9781442654204</v>
      </c>
      <c r="E8661" t="s">
        <v>31435</v>
      </c>
      <c r="F8661" t="s">
        <v>41890</v>
      </c>
      <c r="G8661" s="1">
        <v>27395</v>
      </c>
      <c r="J8661" t="s">
        <v>41900</v>
      </c>
      <c r="K8661" t="s">
        <v>23</v>
      </c>
      <c r="L8661" t="s">
        <v>41901</v>
      </c>
      <c r="M8661">
        <v>595.73299999999904</v>
      </c>
      <c r="N8661" t="s">
        <v>41897</v>
      </c>
      <c r="O8661" t="s">
        <v>26</v>
      </c>
      <c r="Q8661">
        <v>75</v>
      </c>
      <c r="R8661">
        <v>60</v>
      </c>
      <c r="S8661">
        <v>90</v>
      </c>
      <c r="T8661" t="s">
        <v>41902</v>
      </c>
    </row>
    <row r="8662" spans="1:20">
      <c r="A8662">
        <v>4730225</v>
      </c>
      <c r="B8662" t="s">
        <v>41903</v>
      </c>
      <c r="C8662" t="str">
        <f>"9781442638907"</f>
        <v>9781442638907</v>
      </c>
      <c r="D8662" t="str">
        <f>"9781487599447"</f>
        <v>9781487599447</v>
      </c>
      <c r="E8662" t="s">
        <v>31435</v>
      </c>
      <c r="F8662" t="s">
        <v>41890</v>
      </c>
      <c r="G8662" s="1">
        <v>27013</v>
      </c>
      <c r="J8662" t="s">
        <v>41904</v>
      </c>
      <c r="K8662" t="s">
        <v>1464</v>
      </c>
      <c r="L8662" t="s">
        <v>41905</v>
      </c>
      <c r="M8662">
        <v>861.62080358000003</v>
      </c>
      <c r="N8662" t="s">
        <v>41906</v>
      </c>
      <c r="O8662" t="s">
        <v>26</v>
      </c>
      <c r="Q8662">
        <v>68.75</v>
      </c>
      <c r="R8662">
        <v>55</v>
      </c>
      <c r="S8662">
        <v>82.5</v>
      </c>
      <c r="T8662" t="s">
        <v>41907</v>
      </c>
    </row>
    <row r="8663" spans="1:20">
      <c r="A8663">
        <v>4730241</v>
      </c>
      <c r="B8663" t="s">
        <v>41908</v>
      </c>
      <c r="C8663" t="str">
        <f>"9781442639027"</f>
        <v>9781442639027</v>
      </c>
      <c r="D8663" t="str">
        <f>"9781442652644"</f>
        <v>9781442652644</v>
      </c>
      <c r="E8663" t="s">
        <v>31435</v>
      </c>
      <c r="F8663" t="s">
        <v>41890</v>
      </c>
      <c r="G8663" s="1">
        <v>25552</v>
      </c>
      <c r="J8663" t="s">
        <v>41909</v>
      </c>
      <c r="K8663" t="s">
        <v>305</v>
      </c>
      <c r="L8663" t="s">
        <v>41910</v>
      </c>
      <c r="M8663" t="s">
        <v>41911</v>
      </c>
      <c r="N8663" t="s">
        <v>41912</v>
      </c>
      <c r="O8663" t="s">
        <v>26</v>
      </c>
      <c r="Q8663">
        <v>62.5</v>
      </c>
      <c r="R8663">
        <v>50</v>
      </c>
      <c r="S8663">
        <v>75</v>
      </c>
      <c r="T8663" t="s">
        <v>41913</v>
      </c>
    </row>
    <row r="8664" spans="1:20">
      <c r="A8664">
        <v>4730247</v>
      </c>
      <c r="B8664" t="s">
        <v>41914</v>
      </c>
      <c r="C8664" t="str">
        <f>"9781442639072"</f>
        <v>9781442639072</v>
      </c>
      <c r="D8664" t="str">
        <f>"9781442652705"</f>
        <v>9781442652705</v>
      </c>
      <c r="E8664" t="s">
        <v>31435</v>
      </c>
      <c r="F8664" t="s">
        <v>41890</v>
      </c>
      <c r="G8664" s="1">
        <v>21169</v>
      </c>
      <c r="J8664" t="s">
        <v>41915</v>
      </c>
      <c r="K8664" t="s">
        <v>1464</v>
      </c>
      <c r="L8664" t="s">
        <v>41916</v>
      </c>
      <c r="M8664">
        <v>848.60900000000004</v>
      </c>
      <c r="O8664" t="s">
        <v>26</v>
      </c>
      <c r="Q8664">
        <v>50</v>
      </c>
      <c r="R8664">
        <v>40</v>
      </c>
      <c r="S8664">
        <v>60</v>
      </c>
      <c r="T8664" t="s">
        <v>41917</v>
      </c>
    </row>
    <row r="8665" spans="1:20">
      <c r="A8665">
        <v>4730248</v>
      </c>
      <c r="B8665" t="s">
        <v>41918</v>
      </c>
      <c r="C8665" t="str">
        <f>"9781442639089"</f>
        <v>9781442639089</v>
      </c>
      <c r="D8665" t="str">
        <f>"9781442652712"</f>
        <v>9781442652712</v>
      </c>
      <c r="E8665" t="s">
        <v>31435</v>
      </c>
      <c r="F8665" t="s">
        <v>41890</v>
      </c>
      <c r="G8665" s="1">
        <v>27743</v>
      </c>
      <c r="J8665" t="s">
        <v>41919</v>
      </c>
      <c r="K8665" t="s">
        <v>1471</v>
      </c>
      <c r="L8665" t="s">
        <v>41920</v>
      </c>
      <c r="M8665" t="s">
        <v>34421</v>
      </c>
      <c r="N8665" t="s">
        <v>41921</v>
      </c>
      <c r="O8665" t="s">
        <v>26</v>
      </c>
      <c r="Q8665">
        <v>62.5</v>
      </c>
      <c r="R8665">
        <v>50</v>
      </c>
      <c r="S8665">
        <v>75</v>
      </c>
      <c r="T8665" t="s">
        <v>41922</v>
      </c>
    </row>
    <row r="8666" spans="1:20">
      <c r="A8666">
        <v>4730254</v>
      </c>
      <c r="B8666" t="s">
        <v>41923</v>
      </c>
      <c r="C8666" t="str">
        <f>"9780802066831"</f>
        <v>9780802066831</v>
      </c>
      <c r="D8666" t="str">
        <f>"9781442652767"</f>
        <v>9781442652767</v>
      </c>
      <c r="E8666" t="s">
        <v>31435</v>
      </c>
      <c r="F8666" t="s">
        <v>41890</v>
      </c>
      <c r="G8666" s="1">
        <v>32478</v>
      </c>
      <c r="J8666" t="s">
        <v>41924</v>
      </c>
      <c r="K8666" t="s">
        <v>263</v>
      </c>
      <c r="L8666" t="s">
        <v>41925</v>
      </c>
      <c r="M8666">
        <v>305.4092</v>
      </c>
      <c r="N8666" t="s">
        <v>41926</v>
      </c>
      <c r="O8666" t="s">
        <v>26</v>
      </c>
      <c r="Q8666">
        <v>81.25</v>
      </c>
      <c r="R8666">
        <v>65</v>
      </c>
      <c r="S8666">
        <v>97.5</v>
      </c>
      <c r="T8666" t="s">
        <v>41927</v>
      </c>
    </row>
    <row r="8667" spans="1:20">
      <c r="A8667">
        <v>4730259</v>
      </c>
      <c r="B8667" t="s">
        <v>41928</v>
      </c>
      <c r="C8667" t="str">
        <f>"9781442639188"</f>
        <v>9781442639188</v>
      </c>
      <c r="D8667" t="str">
        <f>"9781442652835"</f>
        <v>9781442652835</v>
      </c>
      <c r="E8667" t="s">
        <v>31435</v>
      </c>
      <c r="F8667" t="s">
        <v>41890</v>
      </c>
      <c r="G8667" s="1">
        <v>21899</v>
      </c>
      <c r="J8667" t="s">
        <v>41929</v>
      </c>
      <c r="K8667" t="s">
        <v>291</v>
      </c>
      <c r="L8667" t="s">
        <v>41930</v>
      </c>
      <c r="M8667">
        <v>971.01</v>
      </c>
      <c r="O8667" t="s">
        <v>26</v>
      </c>
      <c r="Q8667">
        <v>125</v>
      </c>
      <c r="R8667">
        <v>100</v>
      </c>
      <c r="S8667">
        <v>150</v>
      </c>
      <c r="T8667" t="s">
        <v>41931</v>
      </c>
    </row>
    <row r="8668" spans="1:20">
      <c r="A8668">
        <v>4730262</v>
      </c>
      <c r="B8668" t="s">
        <v>41932</v>
      </c>
      <c r="C8668" t="str">
        <f>"9781442639201"</f>
        <v>9781442639201</v>
      </c>
      <c r="D8668" t="str">
        <f>"9781442652859"</f>
        <v>9781442652859</v>
      </c>
      <c r="E8668" t="s">
        <v>31435</v>
      </c>
      <c r="F8668" t="s">
        <v>41890</v>
      </c>
      <c r="G8668" s="1">
        <v>22630</v>
      </c>
      <c r="J8668" t="s">
        <v>41929</v>
      </c>
      <c r="K8668" t="s">
        <v>263</v>
      </c>
      <c r="L8668" t="s">
        <v>41933</v>
      </c>
      <c r="M8668">
        <v>309.17099999999903</v>
      </c>
      <c r="N8668" t="s">
        <v>41934</v>
      </c>
      <c r="O8668" t="s">
        <v>26</v>
      </c>
      <c r="Q8668">
        <v>56.25</v>
      </c>
      <c r="R8668">
        <v>45</v>
      </c>
      <c r="S8668">
        <v>67.5</v>
      </c>
      <c r="T8668" t="s">
        <v>41935</v>
      </c>
    </row>
    <row r="8669" spans="1:20">
      <c r="A8669">
        <v>4730263</v>
      </c>
      <c r="B8669" t="s">
        <v>41936</v>
      </c>
      <c r="C8669" t="str">
        <f>"9780802061140"</f>
        <v>9780802061140</v>
      </c>
      <c r="D8669" t="str">
        <f>"9781442652866"</f>
        <v>9781442652866</v>
      </c>
      <c r="E8669" t="s">
        <v>31435</v>
      </c>
      <c r="F8669" t="s">
        <v>41890</v>
      </c>
      <c r="G8669" s="1">
        <v>22995</v>
      </c>
      <c r="J8669" t="s">
        <v>41929</v>
      </c>
      <c r="K8669" t="s">
        <v>263</v>
      </c>
      <c r="L8669" t="s">
        <v>41937</v>
      </c>
      <c r="M8669">
        <v>309.17099999999903</v>
      </c>
      <c r="O8669" t="s">
        <v>26</v>
      </c>
      <c r="Q8669">
        <v>87.5</v>
      </c>
      <c r="R8669">
        <v>70</v>
      </c>
      <c r="S8669">
        <v>105</v>
      </c>
      <c r="T8669" t="s">
        <v>41938</v>
      </c>
    </row>
    <row r="8670" spans="1:20">
      <c r="A8670">
        <v>4730264</v>
      </c>
      <c r="B8670" t="s">
        <v>41939</v>
      </c>
      <c r="C8670" t="str">
        <f>"9781442639218"</f>
        <v>9781442639218</v>
      </c>
      <c r="D8670" t="str">
        <f>"9781442652873"</f>
        <v>9781442652873</v>
      </c>
      <c r="E8670" t="s">
        <v>31435</v>
      </c>
      <c r="F8670" t="s">
        <v>41890</v>
      </c>
      <c r="G8670" s="1">
        <v>17882</v>
      </c>
      <c r="J8670" t="s">
        <v>41929</v>
      </c>
      <c r="K8670" t="s">
        <v>1892</v>
      </c>
      <c r="L8670" t="s">
        <v>41940</v>
      </c>
      <c r="M8670">
        <v>277.10000000000002</v>
      </c>
      <c r="N8670" t="s">
        <v>41941</v>
      </c>
      <c r="O8670" t="s">
        <v>26</v>
      </c>
      <c r="Q8670">
        <v>125</v>
      </c>
      <c r="R8670">
        <v>100</v>
      </c>
      <c r="S8670">
        <v>150</v>
      </c>
      <c r="T8670" t="s">
        <v>41942</v>
      </c>
    </row>
    <row r="8671" spans="1:20">
      <c r="A8671">
        <v>4730265</v>
      </c>
      <c r="B8671" t="s">
        <v>41943</v>
      </c>
      <c r="C8671" t="str">
        <f>"9781442639225"</f>
        <v>9781442639225</v>
      </c>
      <c r="D8671" t="str">
        <f>"9781442652880"</f>
        <v>9781442652880</v>
      </c>
      <c r="E8671" t="s">
        <v>31435</v>
      </c>
      <c r="F8671" t="s">
        <v>41890</v>
      </c>
      <c r="G8671" s="1">
        <v>24821</v>
      </c>
      <c r="J8671" t="s">
        <v>41944</v>
      </c>
      <c r="K8671" t="s">
        <v>30</v>
      </c>
      <c r="L8671" t="s">
        <v>41945</v>
      </c>
      <c r="M8671">
        <v>551.80971399999896</v>
      </c>
      <c r="N8671" t="s">
        <v>41946</v>
      </c>
      <c r="O8671" t="s">
        <v>26</v>
      </c>
      <c r="Q8671">
        <v>43.75</v>
      </c>
      <c r="R8671">
        <v>35</v>
      </c>
      <c r="S8671">
        <v>52.5</v>
      </c>
      <c r="T8671" t="s">
        <v>41947</v>
      </c>
    </row>
    <row r="8672" spans="1:20">
      <c r="A8672">
        <v>4730268</v>
      </c>
      <c r="B8672" t="s">
        <v>41948</v>
      </c>
      <c r="C8672" t="str">
        <f>"9780802062185"</f>
        <v>9780802062185</v>
      </c>
      <c r="D8672" t="str">
        <f>"9781442652910"</f>
        <v>9781442652910</v>
      </c>
      <c r="E8672" t="s">
        <v>31435</v>
      </c>
      <c r="F8672" t="s">
        <v>41890</v>
      </c>
      <c r="G8672" s="1">
        <v>27334</v>
      </c>
      <c r="J8672" t="s">
        <v>41949</v>
      </c>
      <c r="K8672" t="s">
        <v>257</v>
      </c>
      <c r="L8672" t="s">
        <v>41950</v>
      </c>
      <c r="M8672">
        <v>370.97949999999901</v>
      </c>
      <c r="N8672" t="s">
        <v>41951</v>
      </c>
      <c r="O8672" t="s">
        <v>26</v>
      </c>
      <c r="Q8672">
        <v>93.75</v>
      </c>
      <c r="R8672">
        <v>75</v>
      </c>
      <c r="S8672">
        <v>112.5</v>
      </c>
      <c r="T8672" t="s">
        <v>41952</v>
      </c>
    </row>
    <row r="8673" spans="1:20">
      <c r="A8673">
        <v>4730270</v>
      </c>
      <c r="B8673" t="s">
        <v>41953</v>
      </c>
      <c r="C8673" t="str">
        <f>"9780802040077"</f>
        <v>9780802040077</v>
      </c>
      <c r="D8673" t="str">
        <f>"9781442652934"</f>
        <v>9781442652934</v>
      </c>
      <c r="E8673" t="s">
        <v>31435</v>
      </c>
      <c r="F8673" t="s">
        <v>41890</v>
      </c>
      <c r="G8673" s="1">
        <v>21169</v>
      </c>
      <c r="J8673" t="s">
        <v>41954</v>
      </c>
      <c r="K8673" t="s">
        <v>291</v>
      </c>
      <c r="L8673" t="s">
        <v>41955</v>
      </c>
      <c r="M8673">
        <v>970.3</v>
      </c>
      <c r="N8673" t="s">
        <v>41956</v>
      </c>
      <c r="O8673" t="s">
        <v>26</v>
      </c>
      <c r="Q8673">
        <v>37.5</v>
      </c>
      <c r="R8673">
        <v>30</v>
      </c>
      <c r="S8673">
        <v>45</v>
      </c>
      <c r="T8673" t="s">
        <v>41957</v>
      </c>
    </row>
    <row r="8674" spans="1:20">
      <c r="A8674">
        <v>4730282</v>
      </c>
      <c r="B8674" t="s">
        <v>41958</v>
      </c>
      <c r="C8674" t="str">
        <f>"9780802062345"</f>
        <v>9780802062345</v>
      </c>
      <c r="D8674" t="str">
        <f>"9781442653054"</f>
        <v>9781442653054</v>
      </c>
      <c r="E8674" t="s">
        <v>31435</v>
      </c>
      <c r="F8674" t="s">
        <v>41890</v>
      </c>
      <c r="G8674" s="1">
        <v>27378</v>
      </c>
      <c r="J8674" t="s">
        <v>41959</v>
      </c>
      <c r="K8674" t="s">
        <v>1464</v>
      </c>
      <c r="L8674" t="s">
        <v>41960</v>
      </c>
      <c r="M8674">
        <v>843</v>
      </c>
      <c r="N8674" t="s">
        <v>41961</v>
      </c>
      <c r="O8674" t="s">
        <v>26</v>
      </c>
      <c r="Q8674">
        <v>62.5</v>
      </c>
      <c r="R8674">
        <v>50</v>
      </c>
      <c r="S8674">
        <v>75</v>
      </c>
      <c r="T8674" t="s">
        <v>41962</v>
      </c>
    </row>
    <row r="8675" spans="1:20">
      <c r="A8675">
        <v>4730283</v>
      </c>
      <c r="B8675" t="s">
        <v>41963</v>
      </c>
      <c r="C8675" t="str">
        <f>"9781442639324"</f>
        <v>9781442639324</v>
      </c>
      <c r="D8675" t="str">
        <f>"9781442653078"</f>
        <v>9781442653078</v>
      </c>
      <c r="E8675" t="s">
        <v>31435</v>
      </c>
      <c r="F8675" t="s">
        <v>41890</v>
      </c>
      <c r="G8675" s="1">
        <v>18612</v>
      </c>
      <c r="J8675" t="s">
        <v>41964</v>
      </c>
      <c r="K8675" t="s">
        <v>1464</v>
      </c>
      <c r="L8675" t="s">
        <v>41965</v>
      </c>
      <c r="M8675">
        <v>820.90030000000002</v>
      </c>
      <c r="N8675" t="s">
        <v>41966</v>
      </c>
      <c r="O8675" t="s">
        <v>26</v>
      </c>
      <c r="Q8675">
        <v>31.25</v>
      </c>
      <c r="R8675">
        <v>25</v>
      </c>
      <c r="S8675">
        <v>37.5</v>
      </c>
      <c r="T8675" t="s">
        <v>41967</v>
      </c>
    </row>
    <row r="8676" spans="1:20">
      <c r="A8676">
        <v>4730286</v>
      </c>
      <c r="B8676" t="s">
        <v>41968</v>
      </c>
      <c r="C8676" t="str">
        <f>"9781442639348"</f>
        <v>9781442639348</v>
      </c>
      <c r="D8676" t="str">
        <f>"9781442653092"</f>
        <v>9781442653092</v>
      </c>
      <c r="E8676" t="s">
        <v>31435</v>
      </c>
      <c r="F8676" t="s">
        <v>41890</v>
      </c>
      <c r="G8676" s="1">
        <v>23360</v>
      </c>
      <c r="J8676" t="s">
        <v>18086</v>
      </c>
      <c r="K8676" t="s">
        <v>291</v>
      </c>
      <c r="L8676" t="s">
        <v>41969</v>
      </c>
      <c r="M8676">
        <v>971.06</v>
      </c>
      <c r="O8676" t="s">
        <v>26</v>
      </c>
      <c r="Q8676">
        <v>87.5</v>
      </c>
      <c r="R8676">
        <v>70</v>
      </c>
      <c r="S8676">
        <v>105</v>
      </c>
      <c r="T8676" t="s">
        <v>41970</v>
      </c>
    </row>
    <row r="8677" spans="1:20">
      <c r="A8677">
        <v>4730289</v>
      </c>
      <c r="B8677" t="s">
        <v>41971</v>
      </c>
      <c r="C8677" t="str">
        <f>"9781442639386"</f>
        <v>9781442639386</v>
      </c>
      <c r="D8677" t="str">
        <f>"9781442653139"</f>
        <v>9781442653139</v>
      </c>
      <c r="E8677" t="s">
        <v>31435</v>
      </c>
      <c r="F8677" t="s">
        <v>41890</v>
      </c>
      <c r="G8677" s="1">
        <v>22995</v>
      </c>
      <c r="J8677" t="s">
        <v>41972</v>
      </c>
      <c r="K8677" t="s">
        <v>1892</v>
      </c>
      <c r="L8677" t="s">
        <v>41973</v>
      </c>
      <c r="M8677">
        <v>261.7</v>
      </c>
      <c r="N8677" t="s">
        <v>41974</v>
      </c>
      <c r="O8677" t="s">
        <v>26</v>
      </c>
      <c r="Q8677">
        <v>50</v>
      </c>
      <c r="R8677">
        <v>40</v>
      </c>
      <c r="S8677">
        <v>60</v>
      </c>
      <c r="T8677" t="s">
        <v>41975</v>
      </c>
    </row>
    <row r="8678" spans="1:20">
      <c r="A8678">
        <v>4730294</v>
      </c>
      <c r="B8678" t="s">
        <v>41976</v>
      </c>
      <c r="C8678" t="str">
        <f>"9781442639423"</f>
        <v>9781442639423</v>
      </c>
      <c r="D8678" t="str">
        <f>"9781442653177"</f>
        <v>9781442653177</v>
      </c>
      <c r="E8678" t="s">
        <v>31435</v>
      </c>
      <c r="F8678" t="s">
        <v>41890</v>
      </c>
      <c r="G8678" s="1">
        <v>22630</v>
      </c>
      <c r="J8678" t="s">
        <v>41977</v>
      </c>
      <c r="K8678" t="s">
        <v>473</v>
      </c>
      <c r="L8678" t="s">
        <v>41978</v>
      </c>
      <c r="M8678">
        <v>304.8</v>
      </c>
      <c r="O8678" t="s">
        <v>26</v>
      </c>
      <c r="Q8678">
        <v>100</v>
      </c>
      <c r="R8678">
        <v>80</v>
      </c>
      <c r="S8678">
        <v>120</v>
      </c>
      <c r="T8678" t="s">
        <v>41979</v>
      </c>
    </row>
    <row r="8679" spans="1:20">
      <c r="A8679">
        <v>4730297</v>
      </c>
      <c r="B8679" t="s">
        <v>41980</v>
      </c>
      <c r="C8679" t="str">
        <f>"9781442639447"</f>
        <v>9781442639447</v>
      </c>
      <c r="D8679" t="str">
        <f>"9781442653191"</f>
        <v>9781442653191</v>
      </c>
      <c r="E8679" t="s">
        <v>31435</v>
      </c>
      <c r="F8679" t="s">
        <v>41890</v>
      </c>
      <c r="G8679" s="1">
        <v>25917</v>
      </c>
      <c r="J8679" t="s">
        <v>41981</v>
      </c>
      <c r="K8679" t="s">
        <v>6444</v>
      </c>
      <c r="L8679" t="s">
        <v>41982</v>
      </c>
      <c r="M8679">
        <v>327.20924000000002</v>
      </c>
      <c r="N8679" t="s">
        <v>41983</v>
      </c>
      <c r="O8679" t="s">
        <v>26</v>
      </c>
      <c r="Q8679">
        <v>50</v>
      </c>
      <c r="R8679">
        <v>40</v>
      </c>
      <c r="S8679">
        <v>60</v>
      </c>
      <c r="T8679" t="s">
        <v>41984</v>
      </c>
    </row>
    <row r="8680" spans="1:20">
      <c r="A8680">
        <v>4730302</v>
      </c>
      <c r="B8680" t="s">
        <v>41985</v>
      </c>
      <c r="C8680" t="str">
        <f>"9780802064011"</f>
        <v>9780802064011</v>
      </c>
      <c r="D8680" t="str">
        <f>"9781442653269"</f>
        <v>9781442653269</v>
      </c>
      <c r="E8680" t="s">
        <v>31435</v>
      </c>
      <c r="F8680" t="s">
        <v>41890</v>
      </c>
      <c r="G8680" s="1">
        <v>29570</v>
      </c>
      <c r="J8680" t="s">
        <v>33818</v>
      </c>
      <c r="K8680" t="s">
        <v>278</v>
      </c>
      <c r="L8680" t="s">
        <v>41986</v>
      </c>
      <c r="M8680">
        <v>331.09710000000001</v>
      </c>
      <c r="N8680" t="s">
        <v>41987</v>
      </c>
      <c r="O8680" t="s">
        <v>26</v>
      </c>
      <c r="Q8680">
        <v>106.25</v>
      </c>
      <c r="R8680">
        <v>85</v>
      </c>
      <c r="S8680">
        <v>127.5</v>
      </c>
      <c r="T8680" t="s">
        <v>41988</v>
      </c>
    </row>
    <row r="8681" spans="1:20">
      <c r="A8681">
        <v>4730303</v>
      </c>
      <c r="B8681" t="s">
        <v>41989</v>
      </c>
      <c r="C8681" t="str">
        <f>"9780802061706"</f>
        <v>9780802061706</v>
      </c>
      <c r="D8681" t="str">
        <f>"9781442653276"</f>
        <v>9781442653276</v>
      </c>
      <c r="E8681" t="s">
        <v>31435</v>
      </c>
      <c r="F8681" t="s">
        <v>41890</v>
      </c>
      <c r="G8681" s="1">
        <v>26648</v>
      </c>
      <c r="J8681" t="s">
        <v>41990</v>
      </c>
      <c r="K8681" t="s">
        <v>1464</v>
      </c>
      <c r="L8681" t="s">
        <v>41991</v>
      </c>
      <c r="M8681">
        <v>811.00800000000004</v>
      </c>
      <c r="N8681" t="s">
        <v>7851</v>
      </c>
      <c r="O8681" t="s">
        <v>26</v>
      </c>
      <c r="Q8681">
        <v>87.5</v>
      </c>
      <c r="R8681">
        <v>70</v>
      </c>
      <c r="S8681">
        <v>105</v>
      </c>
      <c r="T8681" t="s">
        <v>41992</v>
      </c>
    </row>
    <row r="8682" spans="1:20">
      <c r="A8682">
        <v>4730304</v>
      </c>
      <c r="B8682" t="s">
        <v>41993</v>
      </c>
      <c r="C8682" t="str">
        <f>"9781442639515"</f>
        <v>9781442639515</v>
      </c>
      <c r="D8682" t="str">
        <f>"9781442653283"</f>
        <v>9781442653283</v>
      </c>
      <c r="E8682" t="s">
        <v>31435</v>
      </c>
      <c r="F8682" t="s">
        <v>41890</v>
      </c>
      <c r="G8682" s="1">
        <v>20073</v>
      </c>
      <c r="J8682" t="s">
        <v>41994</v>
      </c>
      <c r="K8682" t="s">
        <v>467</v>
      </c>
      <c r="L8682" t="s">
        <v>41995</v>
      </c>
      <c r="M8682">
        <v>352.00809709999902</v>
      </c>
      <c r="N8682" t="s">
        <v>41996</v>
      </c>
      <c r="O8682" t="s">
        <v>26</v>
      </c>
      <c r="Q8682">
        <v>112.5</v>
      </c>
      <c r="R8682">
        <v>90</v>
      </c>
      <c r="S8682">
        <v>135</v>
      </c>
      <c r="T8682" t="s">
        <v>41997</v>
      </c>
    </row>
    <row r="8683" spans="1:20">
      <c r="A8683">
        <v>4730308</v>
      </c>
      <c r="B8683" t="s">
        <v>41998</v>
      </c>
      <c r="C8683" t="str">
        <f>"9780802060433"</f>
        <v>9780802060433</v>
      </c>
      <c r="D8683" t="str">
        <f>"9781442653320"</f>
        <v>9781442653320</v>
      </c>
      <c r="E8683" t="s">
        <v>31435</v>
      </c>
      <c r="F8683" t="s">
        <v>41890</v>
      </c>
      <c r="G8683" s="1">
        <v>23894</v>
      </c>
      <c r="I8683" t="s">
        <v>31443</v>
      </c>
      <c r="J8683" t="s">
        <v>41999</v>
      </c>
      <c r="K8683" t="s">
        <v>467</v>
      </c>
      <c r="L8683" t="s">
        <v>42000</v>
      </c>
      <c r="M8683">
        <v>321.02097099999901</v>
      </c>
      <c r="N8683" t="s">
        <v>42001</v>
      </c>
      <c r="O8683" t="s">
        <v>26</v>
      </c>
      <c r="Q8683">
        <v>62.5</v>
      </c>
      <c r="R8683">
        <v>50</v>
      </c>
      <c r="S8683">
        <v>75</v>
      </c>
      <c r="T8683" t="s">
        <v>42002</v>
      </c>
    </row>
    <row r="8684" spans="1:20">
      <c r="A8684">
        <v>4730310</v>
      </c>
      <c r="B8684" t="s">
        <v>42003</v>
      </c>
      <c r="C8684" t="str">
        <f>"9781442639560"</f>
        <v>9781442639560</v>
      </c>
      <c r="D8684" t="str">
        <f>"9781442653344"</f>
        <v>9781442653344</v>
      </c>
      <c r="E8684" t="s">
        <v>31435</v>
      </c>
      <c r="F8684" t="s">
        <v>41890</v>
      </c>
      <c r="G8684" s="1">
        <v>25187</v>
      </c>
      <c r="I8684" t="s">
        <v>31443</v>
      </c>
      <c r="J8684" t="s">
        <v>42004</v>
      </c>
      <c r="K8684" t="s">
        <v>416</v>
      </c>
      <c r="L8684" t="s">
        <v>42005</v>
      </c>
      <c r="M8684">
        <v>331.2971</v>
      </c>
      <c r="N8684" t="s">
        <v>42006</v>
      </c>
      <c r="O8684" t="s">
        <v>26</v>
      </c>
      <c r="Q8684">
        <v>50</v>
      </c>
      <c r="R8684">
        <v>40</v>
      </c>
      <c r="S8684">
        <v>60</v>
      </c>
      <c r="T8684" t="s">
        <v>42007</v>
      </c>
    </row>
    <row r="8685" spans="1:20">
      <c r="A8685">
        <v>4730313</v>
      </c>
      <c r="B8685" t="s">
        <v>42008</v>
      </c>
      <c r="C8685" t="str">
        <f>"9781442639584"</f>
        <v>9781442639584</v>
      </c>
      <c r="D8685" t="str">
        <f>"9781442653375"</f>
        <v>9781442653375</v>
      </c>
      <c r="E8685" t="s">
        <v>31435</v>
      </c>
      <c r="F8685" t="s">
        <v>41890</v>
      </c>
      <c r="G8685" s="1">
        <v>27378</v>
      </c>
      <c r="I8685" t="s">
        <v>31443</v>
      </c>
      <c r="J8685" t="s">
        <v>42009</v>
      </c>
      <c r="K8685" t="s">
        <v>778</v>
      </c>
      <c r="L8685" t="s">
        <v>42010</v>
      </c>
      <c r="M8685">
        <v>322.10971000000001</v>
      </c>
      <c r="N8685" t="s">
        <v>42011</v>
      </c>
      <c r="O8685" t="s">
        <v>26</v>
      </c>
      <c r="Q8685">
        <v>100</v>
      </c>
      <c r="R8685">
        <v>80</v>
      </c>
      <c r="S8685">
        <v>120</v>
      </c>
      <c r="T8685" t="s">
        <v>42012</v>
      </c>
    </row>
    <row r="8686" spans="1:20">
      <c r="A8686">
        <v>4730314</v>
      </c>
      <c r="B8686" t="s">
        <v>42013</v>
      </c>
      <c r="C8686" t="str">
        <f>"9781442639591"</f>
        <v>9781442639591</v>
      </c>
      <c r="D8686" t="str">
        <f>"9781442653382"</f>
        <v>9781442653382</v>
      </c>
      <c r="E8686" t="s">
        <v>31435</v>
      </c>
      <c r="F8686" t="s">
        <v>41890</v>
      </c>
      <c r="G8686" s="1">
        <v>24821</v>
      </c>
      <c r="I8686" t="s">
        <v>31443</v>
      </c>
      <c r="J8686" t="s">
        <v>42014</v>
      </c>
      <c r="K8686" t="s">
        <v>1892</v>
      </c>
      <c r="L8686" t="s">
        <v>42015</v>
      </c>
      <c r="M8686">
        <v>223.20599999999899</v>
      </c>
      <c r="O8686" t="s">
        <v>26</v>
      </c>
      <c r="Q8686">
        <v>50</v>
      </c>
      <c r="R8686">
        <v>40</v>
      </c>
      <c r="S8686">
        <v>60</v>
      </c>
      <c r="T8686" t="s">
        <v>42016</v>
      </c>
    </row>
    <row r="8687" spans="1:20">
      <c r="A8687">
        <v>4730319</v>
      </c>
      <c r="B8687" t="s">
        <v>42017</v>
      </c>
      <c r="C8687" t="str">
        <f>"9781442639645"</f>
        <v>9781442639645</v>
      </c>
      <c r="D8687" t="str">
        <f>"9781442653436"</f>
        <v>9781442653436</v>
      </c>
      <c r="E8687" t="s">
        <v>31435</v>
      </c>
      <c r="F8687" t="s">
        <v>41890</v>
      </c>
      <c r="G8687" s="1">
        <v>24821</v>
      </c>
      <c r="I8687" t="s">
        <v>31443</v>
      </c>
      <c r="J8687" t="s">
        <v>42018</v>
      </c>
      <c r="K8687" t="s">
        <v>305</v>
      </c>
      <c r="L8687" t="s">
        <v>42019</v>
      </c>
      <c r="M8687">
        <v>380.50970999999902</v>
      </c>
      <c r="N8687" t="s">
        <v>42020</v>
      </c>
      <c r="O8687" t="s">
        <v>26</v>
      </c>
      <c r="Q8687">
        <v>200</v>
      </c>
      <c r="R8687">
        <v>160</v>
      </c>
      <c r="S8687">
        <v>240</v>
      </c>
      <c r="T8687" t="s">
        <v>42021</v>
      </c>
    </row>
    <row r="8688" spans="1:20">
      <c r="A8688">
        <v>4730323</v>
      </c>
      <c r="B8688" t="s">
        <v>42022</v>
      </c>
      <c r="C8688" t="str">
        <f>"9781442639683"</f>
        <v>9781442639683</v>
      </c>
      <c r="D8688" t="str">
        <f>"9781442653481"</f>
        <v>9781442653481</v>
      </c>
      <c r="E8688" t="s">
        <v>31435</v>
      </c>
      <c r="F8688" t="s">
        <v>41890</v>
      </c>
      <c r="G8688" s="1">
        <v>25187</v>
      </c>
      <c r="I8688" t="s">
        <v>31443</v>
      </c>
      <c r="J8688" t="s">
        <v>42023</v>
      </c>
      <c r="K8688" t="s">
        <v>1127</v>
      </c>
      <c r="L8688" t="s">
        <v>42024</v>
      </c>
      <c r="M8688">
        <v>155.9</v>
      </c>
      <c r="N8688" t="s">
        <v>42025</v>
      </c>
      <c r="O8688" t="s">
        <v>26</v>
      </c>
      <c r="Q8688">
        <v>56.25</v>
      </c>
      <c r="R8688">
        <v>45</v>
      </c>
      <c r="S8688">
        <v>67.5</v>
      </c>
      <c r="T8688" t="s">
        <v>42026</v>
      </c>
    </row>
    <row r="8689" spans="1:20">
      <c r="A8689">
        <v>4730324</v>
      </c>
      <c r="B8689" t="s">
        <v>42027</v>
      </c>
      <c r="C8689" t="str">
        <f>"9780802051783"</f>
        <v>9780802051783</v>
      </c>
      <c r="D8689" t="str">
        <f>"9781442653474"</f>
        <v>9781442653474</v>
      </c>
      <c r="E8689" t="s">
        <v>31435</v>
      </c>
      <c r="F8689" t="s">
        <v>41890</v>
      </c>
      <c r="G8689" s="1">
        <v>24456</v>
      </c>
      <c r="I8689" t="s">
        <v>31443</v>
      </c>
      <c r="J8689" t="s">
        <v>42028</v>
      </c>
      <c r="K8689" t="s">
        <v>305</v>
      </c>
      <c r="L8689" t="s">
        <v>42029</v>
      </c>
      <c r="M8689">
        <v>382.71097099999901</v>
      </c>
      <c r="N8689" t="s">
        <v>42030</v>
      </c>
      <c r="O8689" t="s">
        <v>26</v>
      </c>
      <c r="Q8689">
        <v>56.25</v>
      </c>
      <c r="R8689">
        <v>45</v>
      </c>
      <c r="S8689">
        <v>67.5</v>
      </c>
      <c r="T8689" t="s">
        <v>42031</v>
      </c>
    </row>
    <row r="8690" spans="1:20">
      <c r="A8690">
        <v>4730325</v>
      </c>
      <c r="B8690" t="s">
        <v>42032</v>
      </c>
      <c r="C8690" t="str">
        <f>"9780802033383"</f>
        <v>9780802033383</v>
      </c>
      <c r="D8690" t="str">
        <f>"9781442653498"</f>
        <v>9781442653498</v>
      </c>
      <c r="E8690" t="s">
        <v>31435</v>
      </c>
      <c r="F8690" t="s">
        <v>41890</v>
      </c>
      <c r="G8690" s="1">
        <v>28109</v>
      </c>
      <c r="I8690" t="s">
        <v>31443</v>
      </c>
      <c r="J8690" t="s">
        <v>42033</v>
      </c>
      <c r="K8690" t="s">
        <v>305</v>
      </c>
      <c r="L8690" t="s">
        <v>42034</v>
      </c>
      <c r="M8690">
        <v>382.70970999999901</v>
      </c>
      <c r="N8690" t="s">
        <v>42030</v>
      </c>
      <c r="O8690" t="s">
        <v>26</v>
      </c>
      <c r="Q8690">
        <v>50</v>
      </c>
      <c r="R8690">
        <v>40</v>
      </c>
      <c r="S8690">
        <v>60</v>
      </c>
      <c r="T8690" t="s">
        <v>42035</v>
      </c>
    </row>
    <row r="8691" spans="1:20">
      <c r="A8691">
        <v>4730328</v>
      </c>
      <c r="B8691" t="s">
        <v>42036</v>
      </c>
      <c r="C8691" t="str">
        <f>"9780802034038"</f>
        <v>9780802034038</v>
      </c>
      <c r="D8691" t="str">
        <f>"9781442653528"</f>
        <v>9781442653528</v>
      </c>
      <c r="E8691" t="s">
        <v>31435</v>
      </c>
      <c r="F8691" t="s">
        <v>41890</v>
      </c>
      <c r="G8691" s="1">
        <v>31031</v>
      </c>
      <c r="I8691" t="s">
        <v>31443</v>
      </c>
      <c r="J8691" t="s">
        <v>42037</v>
      </c>
      <c r="K8691" t="s">
        <v>257</v>
      </c>
      <c r="L8691" t="s">
        <v>42038</v>
      </c>
      <c r="M8691">
        <v>379.1540971</v>
      </c>
      <c r="N8691" t="s">
        <v>42039</v>
      </c>
      <c r="O8691" t="s">
        <v>26</v>
      </c>
      <c r="Q8691">
        <v>62.5</v>
      </c>
      <c r="R8691">
        <v>50</v>
      </c>
      <c r="S8691">
        <v>75</v>
      </c>
      <c r="T8691" t="s">
        <v>42040</v>
      </c>
    </row>
    <row r="8692" spans="1:20">
      <c r="A8692">
        <v>4730333</v>
      </c>
      <c r="B8692" t="s">
        <v>42041</v>
      </c>
      <c r="C8692" t="str">
        <f>"9780802060464"</f>
        <v>9780802060464</v>
      </c>
      <c r="D8692" t="str">
        <f>"9781442653573"</f>
        <v>9781442653573</v>
      </c>
      <c r="E8692" t="s">
        <v>31435</v>
      </c>
      <c r="F8692" t="s">
        <v>41890</v>
      </c>
      <c r="G8692" s="1">
        <v>22995</v>
      </c>
      <c r="I8692" t="s">
        <v>31443</v>
      </c>
      <c r="J8692" t="s">
        <v>42042</v>
      </c>
      <c r="K8692" t="s">
        <v>467</v>
      </c>
      <c r="L8692" t="s">
        <v>42043</v>
      </c>
      <c r="M8692">
        <v>328.71050000000002</v>
      </c>
      <c r="O8692" t="s">
        <v>26</v>
      </c>
      <c r="Q8692">
        <v>81.25</v>
      </c>
      <c r="R8692">
        <v>65</v>
      </c>
      <c r="S8692">
        <v>97.5</v>
      </c>
      <c r="T8692" t="s">
        <v>42044</v>
      </c>
    </row>
    <row r="8693" spans="1:20">
      <c r="A8693">
        <v>4730334</v>
      </c>
      <c r="B8693" t="s">
        <v>42045</v>
      </c>
      <c r="C8693" t="str">
        <f>"9781442639782"</f>
        <v>9781442639782</v>
      </c>
      <c r="D8693" t="str">
        <f>"9781442653597"</f>
        <v>9781442653597</v>
      </c>
      <c r="E8693" t="s">
        <v>31435</v>
      </c>
      <c r="F8693" t="s">
        <v>41890</v>
      </c>
      <c r="G8693" s="1">
        <v>22630</v>
      </c>
      <c r="I8693" t="s">
        <v>31443</v>
      </c>
      <c r="J8693" t="s">
        <v>42046</v>
      </c>
      <c r="K8693" t="s">
        <v>6444</v>
      </c>
      <c r="L8693" t="s">
        <v>42047</v>
      </c>
      <c r="M8693">
        <v>327.71073000000001</v>
      </c>
      <c r="N8693" t="s">
        <v>42048</v>
      </c>
      <c r="O8693" t="s">
        <v>26</v>
      </c>
      <c r="Q8693">
        <v>50</v>
      </c>
      <c r="R8693">
        <v>40</v>
      </c>
      <c r="S8693">
        <v>60</v>
      </c>
      <c r="T8693" t="s">
        <v>42049</v>
      </c>
    </row>
    <row r="8694" spans="1:20">
      <c r="A8694">
        <v>4730342</v>
      </c>
      <c r="B8694" t="s">
        <v>42050</v>
      </c>
      <c r="C8694" t="str">
        <f>"9780802065827"</f>
        <v>9780802065827</v>
      </c>
      <c r="D8694" t="str">
        <f>"9781442653665"</f>
        <v>9781442653665</v>
      </c>
      <c r="E8694" t="s">
        <v>31435</v>
      </c>
      <c r="F8694" t="s">
        <v>41890</v>
      </c>
      <c r="G8694" s="1">
        <v>32033</v>
      </c>
      <c r="I8694" t="s">
        <v>31443</v>
      </c>
      <c r="J8694" t="s">
        <v>42051</v>
      </c>
      <c r="K8694" t="s">
        <v>3219</v>
      </c>
      <c r="L8694" t="s">
        <v>42052</v>
      </c>
      <c r="M8694">
        <v>917.13520000000005</v>
      </c>
      <c r="N8694" t="s">
        <v>42053</v>
      </c>
      <c r="O8694" t="s">
        <v>26</v>
      </c>
      <c r="Q8694">
        <v>87.5</v>
      </c>
      <c r="R8694">
        <v>70</v>
      </c>
      <c r="S8694">
        <v>105</v>
      </c>
      <c r="T8694" t="s">
        <v>42054</v>
      </c>
    </row>
    <row r="8695" spans="1:20">
      <c r="A8695">
        <v>4730347</v>
      </c>
      <c r="B8695" t="s">
        <v>42055</v>
      </c>
      <c r="C8695" t="str">
        <f>"9780802033796"</f>
        <v>9780802033796</v>
      </c>
      <c r="D8695" t="str">
        <f>"9781442653719"</f>
        <v>9781442653719</v>
      </c>
      <c r="E8695" t="s">
        <v>31435</v>
      </c>
      <c r="F8695" t="s">
        <v>41890</v>
      </c>
      <c r="G8695" s="1">
        <v>29495</v>
      </c>
      <c r="I8695" t="s">
        <v>31443</v>
      </c>
      <c r="J8695" t="s">
        <v>42056</v>
      </c>
      <c r="K8695" t="s">
        <v>278</v>
      </c>
      <c r="L8695" t="s">
        <v>42057</v>
      </c>
      <c r="M8695">
        <v>331.34097100000002</v>
      </c>
      <c r="N8695" t="s">
        <v>42058</v>
      </c>
      <c r="O8695" t="s">
        <v>26</v>
      </c>
      <c r="Q8695">
        <v>62.5</v>
      </c>
      <c r="R8695">
        <v>50</v>
      </c>
      <c r="S8695">
        <v>75</v>
      </c>
      <c r="T8695" t="s">
        <v>42059</v>
      </c>
    </row>
    <row r="8696" spans="1:20">
      <c r="A8696">
        <v>4730349</v>
      </c>
      <c r="B8696" t="s">
        <v>42060</v>
      </c>
      <c r="C8696" t="str">
        <f>"9780802061768"</f>
        <v>9780802061768</v>
      </c>
      <c r="D8696" t="str">
        <f>"9781442653733"</f>
        <v>9781442653733</v>
      </c>
      <c r="E8696" t="s">
        <v>31435</v>
      </c>
      <c r="F8696" t="s">
        <v>41890</v>
      </c>
      <c r="G8696" s="1">
        <v>27013</v>
      </c>
      <c r="I8696" t="s">
        <v>31443</v>
      </c>
      <c r="J8696" t="s">
        <v>42061</v>
      </c>
      <c r="K8696" t="s">
        <v>1464</v>
      </c>
      <c r="L8696" t="s">
        <v>42062</v>
      </c>
      <c r="M8696">
        <v>811.00800000000004</v>
      </c>
      <c r="N8696" t="s">
        <v>7851</v>
      </c>
      <c r="O8696" t="s">
        <v>26</v>
      </c>
      <c r="Q8696">
        <v>87.5</v>
      </c>
      <c r="R8696">
        <v>70</v>
      </c>
      <c r="S8696">
        <v>105</v>
      </c>
      <c r="T8696" t="s">
        <v>42063</v>
      </c>
    </row>
    <row r="8697" spans="1:20">
      <c r="A8697">
        <v>4730350</v>
      </c>
      <c r="B8697" t="s">
        <v>42064</v>
      </c>
      <c r="C8697" t="str">
        <f>"9781442639874"</f>
        <v>9781442639874</v>
      </c>
      <c r="D8697" t="str">
        <f>"9781442653740"</f>
        <v>9781442653740</v>
      </c>
      <c r="E8697" t="s">
        <v>31435</v>
      </c>
      <c r="F8697" t="s">
        <v>41890</v>
      </c>
      <c r="G8697" s="1">
        <v>22995</v>
      </c>
      <c r="I8697" t="s">
        <v>31443</v>
      </c>
      <c r="J8697" t="s">
        <v>42065</v>
      </c>
      <c r="K8697" t="s">
        <v>291</v>
      </c>
      <c r="L8697" t="s">
        <v>42066</v>
      </c>
      <c r="M8697">
        <v>970.65717199999904</v>
      </c>
      <c r="N8697" t="s">
        <v>42067</v>
      </c>
      <c r="O8697" t="s">
        <v>26</v>
      </c>
      <c r="Q8697">
        <v>50</v>
      </c>
      <c r="R8697">
        <v>40</v>
      </c>
      <c r="S8697">
        <v>60</v>
      </c>
      <c r="T8697" t="s">
        <v>42068</v>
      </c>
    </row>
    <row r="8698" spans="1:20">
      <c r="A8698">
        <v>4730360</v>
      </c>
      <c r="B8698" t="s">
        <v>42069</v>
      </c>
      <c r="C8698" t="str">
        <f>"9780802075994"</f>
        <v>9780802075994</v>
      </c>
      <c r="D8698" t="str">
        <f>"9781442653832"</f>
        <v>9781442653832</v>
      </c>
      <c r="E8698" t="s">
        <v>31435</v>
      </c>
      <c r="F8698" t="s">
        <v>41890</v>
      </c>
      <c r="G8698" s="1">
        <v>34699</v>
      </c>
      <c r="I8698" t="s">
        <v>31443</v>
      </c>
      <c r="J8698" t="s">
        <v>18660</v>
      </c>
      <c r="K8698" t="s">
        <v>330</v>
      </c>
      <c r="L8698" t="s">
        <v>42070</v>
      </c>
      <c r="M8698">
        <v>363.70097099999902</v>
      </c>
      <c r="N8698" t="s">
        <v>42071</v>
      </c>
      <c r="O8698" t="s">
        <v>26</v>
      </c>
      <c r="Q8698">
        <v>87.5</v>
      </c>
      <c r="R8698">
        <v>70</v>
      </c>
      <c r="S8698">
        <v>105</v>
      </c>
      <c r="T8698" t="s">
        <v>42072</v>
      </c>
    </row>
    <row r="8699" spans="1:20">
      <c r="A8699">
        <v>4730363</v>
      </c>
      <c r="B8699" t="s">
        <v>42073</v>
      </c>
      <c r="C8699" t="str">
        <f>"9781442631212"</f>
        <v>9781442631212</v>
      </c>
      <c r="D8699" t="str">
        <f>"9781442653863"</f>
        <v>9781442653863</v>
      </c>
      <c r="E8699" t="s">
        <v>31435</v>
      </c>
      <c r="F8699" t="s">
        <v>41890</v>
      </c>
      <c r="G8699" s="1">
        <v>24821</v>
      </c>
      <c r="I8699" t="s">
        <v>31443</v>
      </c>
      <c r="J8699" t="s">
        <v>42074</v>
      </c>
      <c r="K8699" t="s">
        <v>42075</v>
      </c>
      <c r="L8699" t="s">
        <v>42076</v>
      </c>
      <c r="M8699">
        <v>333.91009709999901</v>
      </c>
      <c r="N8699" t="s">
        <v>42077</v>
      </c>
      <c r="O8699" t="s">
        <v>26</v>
      </c>
      <c r="Q8699">
        <v>75</v>
      </c>
      <c r="R8699">
        <v>60</v>
      </c>
      <c r="S8699">
        <v>90</v>
      </c>
      <c r="T8699" t="s">
        <v>42078</v>
      </c>
    </row>
    <row r="8700" spans="1:20">
      <c r="A8700">
        <v>4730372</v>
      </c>
      <c r="B8700" t="s">
        <v>42079</v>
      </c>
      <c r="C8700" t="str">
        <f>"9780802066619"</f>
        <v>9780802066619</v>
      </c>
      <c r="D8700" t="str">
        <f>"9781442653955"</f>
        <v>9781442653955</v>
      </c>
      <c r="E8700" t="s">
        <v>31435</v>
      </c>
      <c r="F8700" t="s">
        <v>41890</v>
      </c>
      <c r="G8700" s="1">
        <v>32180</v>
      </c>
      <c r="I8700" t="s">
        <v>31443</v>
      </c>
      <c r="J8700" t="s">
        <v>42080</v>
      </c>
      <c r="K8700" t="s">
        <v>278</v>
      </c>
      <c r="L8700" t="s">
        <v>42081</v>
      </c>
      <c r="M8700" t="s">
        <v>42082</v>
      </c>
      <c r="N8700" t="s">
        <v>42083</v>
      </c>
      <c r="O8700" t="s">
        <v>26</v>
      </c>
      <c r="Q8700">
        <v>137.5</v>
      </c>
      <c r="R8700">
        <v>110</v>
      </c>
      <c r="S8700">
        <v>165</v>
      </c>
      <c r="T8700" t="s">
        <v>42084</v>
      </c>
    </row>
    <row r="8701" spans="1:20">
      <c r="A8701">
        <v>4730375</v>
      </c>
      <c r="B8701" t="s">
        <v>42085</v>
      </c>
      <c r="C8701" t="str">
        <f>"9781442631335"</f>
        <v>9781442631335</v>
      </c>
      <c r="D8701" t="str">
        <f>"9781442653986"</f>
        <v>9781442653986</v>
      </c>
      <c r="E8701" t="s">
        <v>31435</v>
      </c>
      <c r="F8701" t="s">
        <v>41890</v>
      </c>
      <c r="G8701" s="1">
        <v>24456</v>
      </c>
      <c r="I8701" t="s">
        <v>31443</v>
      </c>
      <c r="J8701" t="s">
        <v>42086</v>
      </c>
      <c r="K8701" t="s">
        <v>305</v>
      </c>
      <c r="L8701" t="s">
        <v>42087</v>
      </c>
      <c r="M8701">
        <v>388.46097135000002</v>
      </c>
      <c r="N8701" t="s">
        <v>42088</v>
      </c>
      <c r="O8701" t="s">
        <v>26</v>
      </c>
      <c r="Q8701">
        <v>56.25</v>
      </c>
      <c r="R8701">
        <v>45</v>
      </c>
      <c r="S8701">
        <v>67.5</v>
      </c>
      <c r="T8701" t="s">
        <v>42089</v>
      </c>
    </row>
    <row r="8702" spans="1:20">
      <c r="A8702">
        <v>4730377</v>
      </c>
      <c r="B8702" t="s">
        <v>42090</v>
      </c>
      <c r="C8702" t="str">
        <f>"9780802064776"</f>
        <v>9780802064776</v>
      </c>
      <c r="D8702" t="str">
        <f>"9781442654006"</f>
        <v>9781442654006</v>
      </c>
      <c r="E8702" t="s">
        <v>31435</v>
      </c>
      <c r="F8702" t="s">
        <v>41890</v>
      </c>
      <c r="G8702" s="1">
        <v>30300</v>
      </c>
      <c r="I8702" t="s">
        <v>31443</v>
      </c>
      <c r="J8702" t="s">
        <v>42091</v>
      </c>
      <c r="K8702" t="s">
        <v>1464</v>
      </c>
      <c r="L8702" t="s">
        <v>42092</v>
      </c>
      <c r="M8702" t="s">
        <v>42093</v>
      </c>
      <c r="N8702" t="s">
        <v>42094</v>
      </c>
      <c r="O8702" t="s">
        <v>26</v>
      </c>
      <c r="Q8702">
        <v>56.25</v>
      </c>
      <c r="R8702">
        <v>45</v>
      </c>
      <c r="S8702">
        <v>67.5</v>
      </c>
      <c r="T8702" t="s">
        <v>42095</v>
      </c>
    </row>
    <row r="8703" spans="1:20">
      <c r="A8703">
        <v>4730378</v>
      </c>
      <c r="B8703" t="s">
        <v>42096</v>
      </c>
      <c r="C8703" t="str">
        <f>"9780802061843"</f>
        <v>9780802061843</v>
      </c>
      <c r="D8703" t="str">
        <f>"9781442654013"</f>
        <v>9781442654013</v>
      </c>
      <c r="E8703" t="s">
        <v>31435</v>
      </c>
      <c r="F8703" t="s">
        <v>41890</v>
      </c>
      <c r="G8703" s="1">
        <v>27378</v>
      </c>
      <c r="I8703" t="s">
        <v>31443</v>
      </c>
      <c r="J8703" t="s">
        <v>42097</v>
      </c>
      <c r="K8703" t="s">
        <v>7063</v>
      </c>
      <c r="L8703" t="s">
        <v>42098</v>
      </c>
      <c r="M8703" t="s">
        <v>23877</v>
      </c>
      <c r="O8703" t="s">
        <v>26</v>
      </c>
      <c r="Q8703">
        <v>50</v>
      </c>
      <c r="R8703">
        <v>40</v>
      </c>
      <c r="S8703">
        <v>60</v>
      </c>
      <c r="T8703" t="s">
        <v>42099</v>
      </c>
    </row>
    <row r="8704" spans="1:20">
      <c r="A8704">
        <v>4730379</v>
      </c>
      <c r="B8704" t="s">
        <v>42100</v>
      </c>
      <c r="C8704" t="str">
        <f>"9781442631359"</f>
        <v>9781442631359</v>
      </c>
      <c r="D8704" t="str">
        <f>"9781442654020"</f>
        <v>9781442654020</v>
      </c>
      <c r="E8704" t="s">
        <v>31435</v>
      </c>
      <c r="F8704" t="s">
        <v>41890</v>
      </c>
      <c r="G8704" s="1">
        <v>23360</v>
      </c>
      <c r="I8704" t="s">
        <v>31443</v>
      </c>
      <c r="J8704" t="s">
        <v>42101</v>
      </c>
      <c r="K8704" t="s">
        <v>791</v>
      </c>
      <c r="L8704" t="s">
        <v>42102</v>
      </c>
      <c r="M8704">
        <v>574.92100000000005</v>
      </c>
      <c r="N8704" t="s">
        <v>42103</v>
      </c>
      <c r="O8704" t="s">
        <v>26</v>
      </c>
      <c r="Q8704">
        <v>50</v>
      </c>
      <c r="R8704">
        <v>40</v>
      </c>
      <c r="S8704">
        <v>60</v>
      </c>
      <c r="T8704" t="s">
        <v>42104</v>
      </c>
    </row>
    <row r="8705" spans="1:20">
      <c r="A8705">
        <v>4730380</v>
      </c>
      <c r="B8705" t="s">
        <v>42105</v>
      </c>
      <c r="C8705" t="str">
        <f>"9781442631366"</f>
        <v>9781442631366</v>
      </c>
      <c r="D8705" t="str">
        <f>"9781442654037"</f>
        <v>9781442654037</v>
      </c>
      <c r="E8705" t="s">
        <v>31435</v>
      </c>
      <c r="F8705" t="s">
        <v>41890</v>
      </c>
      <c r="G8705" s="1">
        <v>27013</v>
      </c>
      <c r="I8705" t="s">
        <v>31443</v>
      </c>
      <c r="J8705" t="s">
        <v>42106</v>
      </c>
      <c r="K8705" t="s">
        <v>263</v>
      </c>
      <c r="L8705" t="s">
        <v>42107</v>
      </c>
      <c r="M8705">
        <v>398.21</v>
      </c>
      <c r="O8705" t="s">
        <v>26</v>
      </c>
      <c r="Q8705">
        <v>118.75</v>
      </c>
      <c r="R8705">
        <v>95</v>
      </c>
      <c r="S8705">
        <v>142.5</v>
      </c>
      <c r="T8705" t="s">
        <v>42108</v>
      </c>
    </row>
    <row r="8706" spans="1:20">
      <c r="A8706">
        <v>4730383</v>
      </c>
      <c r="B8706" t="s">
        <v>42109</v>
      </c>
      <c r="C8706" t="str">
        <f>"9780802062468"</f>
        <v>9780802062468</v>
      </c>
      <c r="D8706" t="str">
        <f>"9781442654068"</f>
        <v>9781442654068</v>
      </c>
      <c r="E8706" t="s">
        <v>31435</v>
      </c>
      <c r="F8706" t="s">
        <v>41890</v>
      </c>
      <c r="G8706" s="1">
        <v>27378</v>
      </c>
      <c r="I8706" t="s">
        <v>31443</v>
      </c>
      <c r="J8706" t="s">
        <v>42110</v>
      </c>
      <c r="K8706" t="s">
        <v>4347</v>
      </c>
      <c r="L8706" t="s">
        <v>42111</v>
      </c>
      <c r="M8706">
        <v>355.02</v>
      </c>
      <c r="N8706" t="s">
        <v>42112</v>
      </c>
      <c r="O8706" t="s">
        <v>26</v>
      </c>
      <c r="Q8706">
        <v>81.25</v>
      </c>
      <c r="R8706">
        <v>65</v>
      </c>
      <c r="S8706">
        <v>97.5</v>
      </c>
      <c r="T8706" t="s">
        <v>42113</v>
      </c>
    </row>
    <row r="8707" spans="1:20">
      <c r="A8707">
        <v>4730385</v>
      </c>
      <c r="B8707" t="s">
        <v>42114</v>
      </c>
      <c r="C8707" t="str">
        <f>"9781442631403"</f>
        <v>9781442631403</v>
      </c>
      <c r="D8707" t="str">
        <f>"9781442654082"</f>
        <v>9781442654082</v>
      </c>
      <c r="E8707" t="s">
        <v>31435</v>
      </c>
      <c r="F8707" t="s">
        <v>41890</v>
      </c>
      <c r="G8707" s="1">
        <v>25187</v>
      </c>
      <c r="I8707" t="s">
        <v>31443</v>
      </c>
      <c r="J8707" t="s">
        <v>42115</v>
      </c>
      <c r="K8707" t="s">
        <v>42116</v>
      </c>
      <c r="L8707" t="s">
        <v>42117</v>
      </c>
      <c r="M8707">
        <v>388.31</v>
      </c>
      <c r="N8707" t="s">
        <v>42118</v>
      </c>
      <c r="O8707" t="s">
        <v>26</v>
      </c>
      <c r="Q8707">
        <v>75</v>
      </c>
      <c r="R8707">
        <v>60</v>
      </c>
      <c r="S8707">
        <v>90</v>
      </c>
      <c r="T8707" t="s">
        <v>42119</v>
      </c>
    </row>
    <row r="8708" spans="1:20">
      <c r="A8708">
        <v>4730386</v>
      </c>
      <c r="B8708" t="s">
        <v>42120</v>
      </c>
      <c r="C8708" t="str">
        <f>"9781442631410"</f>
        <v>9781442631410</v>
      </c>
      <c r="D8708" t="str">
        <f>"9781442654099"</f>
        <v>9781442654099</v>
      </c>
      <c r="E8708" t="s">
        <v>31435</v>
      </c>
      <c r="F8708" t="s">
        <v>41890</v>
      </c>
      <c r="G8708" s="1">
        <v>34509</v>
      </c>
      <c r="I8708" t="s">
        <v>31443</v>
      </c>
      <c r="J8708" t="s">
        <v>42121</v>
      </c>
      <c r="K8708" t="s">
        <v>291</v>
      </c>
      <c r="L8708" t="s">
        <v>42122</v>
      </c>
      <c r="M8708">
        <v>971.32600000000002</v>
      </c>
      <c r="N8708" t="s">
        <v>42123</v>
      </c>
      <c r="O8708" t="s">
        <v>26</v>
      </c>
      <c r="Q8708">
        <v>131.25</v>
      </c>
      <c r="R8708">
        <v>105</v>
      </c>
      <c r="S8708">
        <v>157.5</v>
      </c>
      <c r="T8708" t="s">
        <v>42124</v>
      </c>
    </row>
    <row r="8709" spans="1:20">
      <c r="A8709">
        <v>4730387</v>
      </c>
      <c r="B8709" t="s">
        <v>42125</v>
      </c>
      <c r="C8709" t="str">
        <f>"9781442631427"</f>
        <v>9781442631427</v>
      </c>
      <c r="D8709" t="str">
        <f>"9781442654105"</f>
        <v>9781442654105</v>
      </c>
      <c r="E8709" t="s">
        <v>31435</v>
      </c>
      <c r="F8709" t="s">
        <v>41890</v>
      </c>
      <c r="G8709" s="1">
        <v>31396</v>
      </c>
      <c r="I8709" t="s">
        <v>31443</v>
      </c>
      <c r="J8709" t="s">
        <v>42126</v>
      </c>
      <c r="K8709" t="s">
        <v>6444</v>
      </c>
      <c r="L8709" t="s">
        <v>42127</v>
      </c>
      <c r="M8709" t="s">
        <v>42128</v>
      </c>
      <c r="N8709" t="s">
        <v>42129</v>
      </c>
      <c r="O8709" t="s">
        <v>26</v>
      </c>
      <c r="Q8709">
        <v>75</v>
      </c>
      <c r="R8709">
        <v>60</v>
      </c>
      <c r="S8709">
        <v>90</v>
      </c>
      <c r="T8709" t="s">
        <v>42130</v>
      </c>
    </row>
    <row r="8710" spans="1:20">
      <c r="A8710">
        <v>4730389</v>
      </c>
      <c r="B8710" t="s">
        <v>42131</v>
      </c>
      <c r="C8710" t="str">
        <f>"9780802063489"</f>
        <v>9780802063489</v>
      </c>
      <c r="D8710" t="str">
        <f>"9781442654112"</f>
        <v>9781442654112</v>
      </c>
      <c r="E8710" t="s">
        <v>31435</v>
      </c>
      <c r="F8710" t="s">
        <v>41890</v>
      </c>
      <c r="G8710" s="1">
        <v>28839</v>
      </c>
      <c r="I8710" t="s">
        <v>31443</v>
      </c>
      <c r="J8710" t="s">
        <v>42132</v>
      </c>
      <c r="K8710" t="s">
        <v>263</v>
      </c>
      <c r="L8710" t="s">
        <v>42133</v>
      </c>
      <c r="M8710">
        <v>301</v>
      </c>
      <c r="N8710" t="s">
        <v>42134</v>
      </c>
      <c r="O8710" t="s">
        <v>26</v>
      </c>
      <c r="Q8710">
        <v>25</v>
      </c>
      <c r="R8710">
        <v>20</v>
      </c>
      <c r="S8710">
        <v>30</v>
      </c>
      <c r="T8710" t="s">
        <v>42135</v>
      </c>
    </row>
    <row r="8711" spans="1:20">
      <c r="A8711">
        <v>4730393</v>
      </c>
      <c r="B8711" t="s">
        <v>42136</v>
      </c>
      <c r="C8711" t="str">
        <f>"9780802081261"</f>
        <v>9780802081261</v>
      </c>
      <c r="D8711" t="str">
        <f>"9781442654174"</f>
        <v>9781442654174</v>
      </c>
      <c r="E8711" t="s">
        <v>31435</v>
      </c>
      <c r="F8711" t="s">
        <v>41890</v>
      </c>
      <c r="G8711" s="1">
        <v>35704</v>
      </c>
      <c r="I8711" t="s">
        <v>36107</v>
      </c>
      <c r="J8711" t="s">
        <v>42137</v>
      </c>
      <c r="K8711" t="s">
        <v>278</v>
      </c>
      <c r="L8711" t="s">
        <v>42138</v>
      </c>
      <c r="M8711">
        <v>337.71050000000002</v>
      </c>
      <c r="N8711" t="s">
        <v>42139</v>
      </c>
      <c r="O8711" t="s">
        <v>26</v>
      </c>
      <c r="Q8711">
        <v>62.5</v>
      </c>
      <c r="R8711">
        <v>50</v>
      </c>
      <c r="S8711">
        <v>75</v>
      </c>
      <c r="T8711" t="s">
        <v>42140</v>
      </c>
    </row>
    <row r="8712" spans="1:20">
      <c r="A8712">
        <v>4730394</v>
      </c>
      <c r="B8712" t="s">
        <v>42141</v>
      </c>
      <c r="C8712" t="str">
        <f>"9781487592783"</f>
        <v>9781487592783</v>
      </c>
      <c r="D8712" t="str">
        <f>"9781487592806"</f>
        <v>9781487592806</v>
      </c>
      <c r="E8712" t="s">
        <v>31435</v>
      </c>
      <c r="F8712" t="s">
        <v>41890</v>
      </c>
      <c r="G8712" s="1">
        <v>23360</v>
      </c>
      <c r="I8712" t="s">
        <v>31443</v>
      </c>
      <c r="J8712" t="s">
        <v>42142</v>
      </c>
      <c r="K8712" t="s">
        <v>257</v>
      </c>
      <c r="L8712" t="s">
        <v>42143</v>
      </c>
      <c r="M8712">
        <v>371.33300000000003</v>
      </c>
      <c r="N8712" t="s">
        <v>42144</v>
      </c>
      <c r="O8712" t="s">
        <v>26</v>
      </c>
      <c r="Q8712">
        <v>68.69</v>
      </c>
      <c r="R8712">
        <v>54.95</v>
      </c>
      <c r="S8712">
        <v>82.43</v>
      </c>
      <c r="T8712" t="s">
        <v>42145</v>
      </c>
    </row>
    <row r="8713" spans="1:20">
      <c r="A8713">
        <v>4730397</v>
      </c>
      <c r="B8713" t="s">
        <v>42146</v>
      </c>
      <c r="C8713" t="str">
        <f>"9781487592691"</f>
        <v>9781487592691</v>
      </c>
      <c r="D8713" t="str">
        <f>"9781487592608"</f>
        <v>9781487592608</v>
      </c>
      <c r="E8713" t="s">
        <v>31435</v>
      </c>
      <c r="F8713" t="s">
        <v>41890</v>
      </c>
      <c r="G8713" s="1">
        <v>24091</v>
      </c>
      <c r="I8713" t="s">
        <v>31443</v>
      </c>
      <c r="J8713" t="s">
        <v>42147</v>
      </c>
      <c r="K8713" t="s">
        <v>1464</v>
      </c>
      <c r="L8713" t="s">
        <v>42148</v>
      </c>
      <c r="M8713">
        <v>821.91399999999896</v>
      </c>
      <c r="N8713" t="s">
        <v>42149</v>
      </c>
      <c r="O8713" t="s">
        <v>26</v>
      </c>
      <c r="Q8713">
        <v>137.5</v>
      </c>
      <c r="R8713">
        <v>110</v>
      </c>
      <c r="S8713">
        <v>165</v>
      </c>
      <c r="T8713" t="s">
        <v>42150</v>
      </c>
    </row>
    <row r="8714" spans="1:20">
      <c r="A8714">
        <v>4730399</v>
      </c>
      <c r="B8714" t="s">
        <v>42151</v>
      </c>
      <c r="C8714" t="str">
        <f>"9781487592714"</f>
        <v>9781487592714</v>
      </c>
      <c r="D8714" t="str">
        <f>"9781487592622"</f>
        <v>9781487592622</v>
      </c>
      <c r="E8714" t="s">
        <v>31435</v>
      </c>
      <c r="F8714" t="s">
        <v>41890</v>
      </c>
      <c r="G8714" s="1">
        <v>22630</v>
      </c>
      <c r="I8714" t="s">
        <v>31443</v>
      </c>
      <c r="J8714" t="s">
        <v>42152</v>
      </c>
      <c r="K8714" t="s">
        <v>155</v>
      </c>
      <c r="L8714" t="s">
        <v>42153</v>
      </c>
      <c r="M8714">
        <v>595.76199999999903</v>
      </c>
      <c r="N8714" t="s">
        <v>42154</v>
      </c>
      <c r="O8714" t="s">
        <v>26</v>
      </c>
      <c r="Q8714">
        <v>56.25</v>
      </c>
      <c r="R8714">
        <v>45</v>
      </c>
      <c r="S8714">
        <v>67.5</v>
      </c>
      <c r="T8714" t="s">
        <v>42155</v>
      </c>
    </row>
    <row r="8715" spans="1:20">
      <c r="A8715">
        <v>4730400</v>
      </c>
      <c r="B8715" t="s">
        <v>42156</v>
      </c>
      <c r="C8715" t="str">
        <f>"9781487592721"</f>
        <v>9781487592721</v>
      </c>
      <c r="D8715" t="str">
        <f>"9781442638921"</f>
        <v>9781442638921</v>
      </c>
      <c r="E8715" t="s">
        <v>31435</v>
      </c>
      <c r="F8715" t="s">
        <v>41890</v>
      </c>
      <c r="G8715" s="1">
        <v>30042</v>
      </c>
      <c r="I8715" t="s">
        <v>33798</v>
      </c>
      <c r="J8715" t="s">
        <v>42157</v>
      </c>
      <c r="K8715" t="s">
        <v>291</v>
      </c>
      <c r="L8715" t="s">
        <v>42158</v>
      </c>
      <c r="M8715" t="s">
        <v>42159</v>
      </c>
      <c r="N8715" t="s">
        <v>42160</v>
      </c>
      <c r="O8715" t="s">
        <v>26</v>
      </c>
      <c r="Q8715">
        <v>187.5</v>
      </c>
      <c r="R8715">
        <v>150</v>
      </c>
      <c r="S8715">
        <v>225</v>
      </c>
      <c r="T8715" t="s">
        <v>42161</v>
      </c>
    </row>
    <row r="8716" spans="1:20">
      <c r="A8716">
        <v>4730401</v>
      </c>
      <c r="B8716" t="s">
        <v>42162</v>
      </c>
      <c r="C8716" t="str">
        <f>"9781487592738"</f>
        <v>9781487592738</v>
      </c>
      <c r="D8716" t="str">
        <f>"9781442639713"</f>
        <v>9781442639713</v>
      </c>
      <c r="E8716" t="s">
        <v>31435</v>
      </c>
      <c r="F8716" t="s">
        <v>41890</v>
      </c>
      <c r="G8716" s="1">
        <v>30042</v>
      </c>
      <c r="I8716" t="s">
        <v>33798</v>
      </c>
      <c r="J8716" t="s">
        <v>42157</v>
      </c>
      <c r="K8716" t="s">
        <v>467</v>
      </c>
      <c r="L8716" t="s">
        <v>42163</v>
      </c>
      <c r="M8716">
        <v>354.41031299999901</v>
      </c>
      <c r="N8716" t="s">
        <v>42160</v>
      </c>
      <c r="O8716" t="s">
        <v>26</v>
      </c>
      <c r="Q8716">
        <v>187.5</v>
      </c>
      <c r="R8716">
        <v>150</v>
      </c>
      <c r="S8716">
        <v>225</v>
      </c>
      <c r="T8716" t="s">
        <v>42164</v>
      </c>
    </row>
    <row r="8717" spans="1:20">
      <c r="A8717">
        <v>4730732</v>
      </c>
      <c r="B8717" t="s">
        <v>42165</v>
      </c>
      <c r="C8717" t="str">
        <f>"9781928096139"</f>
        <v>9781928096139</v>
      </c>
      <c r="D8717" t="str">
        <f>"9781928096443"</f>
        <v>9781928096443</v>
      </c>
      <c r="E8717" t="s">
        <v>12863</v>
      </c>
      <c r="F8717" t="s">
        <v>42166</v>
      </c>
      <c r="G8717" s="1">
        <v>42411</v>
      </c>
      <c r="J8717" t="s">
        <v>42167</v>
      </c>
      <c r="K8717" t="s">
        <v>4347</v>
      </c>
      <c r="L8717" t="s">
        <v>42168</v>
      </c>
      <c r="M8717">
        <v>355.03305</v>
      </c>
      <c r="N8717" t="s">
        <v>42169</v>
      </c>
      <c r="O8717" t="s">
        <v>26</v>
      </c>
      <c r="P8717">
        <v>165</v>
      </c>
      <c r="Q8717">
        <v>137.5</v>
      </c>
      <c r="R8717">
        <v>110</v>
      </c>
      <c r="S8717">
        <v>165</v>
      </c>
      <c r="T8717" t="s">
        <v>42170</v>
      </c>
    </row>
    <row r="8718" spans="1:20">
      <c r="A8718">
        <v>4730741</v>
      </c>
      <c r="B8718" t="s">
        <v>42171</v>
      </c>
      <c r="C8718" t="str">
        <f>"9780986707780"</f>
        <v>9780986707780</v>
      </c>
      <c r="D8718" t="str">
        <f>"9781928096542"</f>
        <v>9781928096542</v>
      </c>
      <c r="E8718" t="s">
        <v>12863</v>
      </c>
      <c r="F8718" t="s">
        <v>42166</v>
      </c>
      <c r="G8718" s="1">
        <v>41547</v>
      </c>
      <c r="J8718" t="s">
        <v>42172</v>
      </c>
      <c r="K8718" t="s">
        <v>778</v>
      </c>
      <c r="L8718" t="s">
        <v>42173</v>
      </c>
      <c r="M8718">
        <v>341.33</v>
      </c>
      <c r="N8718" t="s">
        <v>42174</v>
      </c>
      <c r="O8718" t="s">
        <v>26</v>
      </c>
      <c r="P8718">
        <v>165</v>
      </c>
      <c r="Q8718">
        <v>137.5</v>
      </c>
      <c r="R8718">
        <v>110</v>
      </c>
      <c r="S8718">
        <v>165</v>
      </c>
      <c r="T8718" t="s">
        <v>42175</v>
      </c>
    </row>
    <row r="8719" spans="1:20">
      <c r="A8719">
        <v>4730742</v>
      </c>
      <c r="B8719" t="s">
        <v>42176</v>
      </c>
      <c r="C8719" t="str">
        <f>"9780986707742"</f>
        <v>9780986707742</v>
      </c>
      <c r="D8719" t="str">
        <f>"9781928096559"</f>
        <v>9781928096559</v>
      </c>
      <c r="E8719" t="s">
        <v>12863</v>
      </c>
      <c r="F8719" t="s">
        <v>42166</v>
      </c>
      <c r="G8719" s="1">
        <v>41455</v>
      </c>
      <c r="I8719" t="s">
        <v>42177</v>
      </c>
      <c r="J8719" t="s">
        <v>42178</v>
      </c>
      <c r="K8719" t="s">
        <v>6444</v>
      </c>
      <c r="L8719" t="s">
        <v>42179</v>
      </c>
      <c r="M8719">
        <v>327.71</v>
      </c>
      <c r="O8719" t="s">
        <v>26</v>
      </c>
      <c r="P8719">
        <v>165</v>
      </c>
      <c r="Q8719">
        <v>137.5</v>
      </c>
      <c r="R8719">
        <v>110</v>
      </c>
      <c r="S8719">
        <v>165</v>
      </c>
      <c r="T8719" t="s">
        <v>42180</v>
      </c>
    </row>
    <row r="8720" spans="1:20">
      <c r="A8720">
        <v>4730790</v>
      </c>
      <c r="B8720" t="s">
        <v>42181</v>
      </c>
      <c r="C8720" t="str">
        <f>"9781928096115"</f>
        <v>9781928096115</v>
      </c>
      <c r="D8720" t="str">
        <f>"9781928096122"</f>
        <v>9781928096122</v>
      </c>
      <c r="E8720" t="s">
        <v>12863</v>
      </c>
      <c r="F8720" t="s">
        <v>42166</v>
      </c>
      <c r="G8720" s="1">
        <v>42389</v>
      </c>
      <c r="I8720" t="s">
        <v>42177</v>
      </c>
      <c r="J8720" t="s">
        <v>42182</v>
      </c>
      <c r="K8720" t="s">
        <v>525</v>
      </c>
      <c r="L8720" t="s">
        <v>42183</v>
      </c>
      <c r="M8720">
        <v>341.48</v>
      </c>
      <c r="N8720" t="s">
        <v>42184</v>
      </c>
      <c r="O8720" t="s">
        <v>26</v>
      </c>
      <c r="P8720">
        <v>165</v>
      </c>
      <c r="Q8720">
        <v>137.5</v>
      </c>
      <c r="R8720">
        <v>110</v>
      </c>
      <c r="S8720">
        <v>165</v>
      </c>
      <c r="T8720" t="s">
        <v>42185</v>
      </c>
    </row>
    <row r="8721" spans="1:20">
      <c r="A8721">
        <v>4730794</v>
      </c>
      <c r="B8721" t="s">
        <v>42186</v>
      </c>
      <c r="C8721" t="str">
        <f>"9781928096047"</f>
        <v>9781928096047</v>
      </c>
      <c r="D8721" t="str">
        <f>"9781928096054"</f>
        <v>9781928096054</v>
      </c>
      <c r="E8721" t="s">
        <v>12863</v>
      </c>
      <c r="F8721" t="s">
        <v>42166</v>
      </c>
      <c r="G8721" s="1">
        <v>41850</v>
      </c>
      <c r="J8721" t="s">
        <v>42187</v>
      </c>
      <c r="K8721" t="s">
        <v>263</v>
      </c>
      <c r="L8721" t="s">
        <v>42188</v>
      </c>
      <c r="M8721">
        <v>364.16800000000001</v>
      </c>
      <c r="N8721" t="s">
        <v>42189</v>
      </c>
      <c r="O8721" t="s">
        <v>26</v>
      </c>
      <c r="P8721">
        <v>165</v>
      </c>
      <c r="Q8721">
        <v>137.5</v>
      </c>
      <c r="R8721">
        <v>110</v>
      </c>
      <c r="S8721">
        <v>165</v>
      </c>
      <c r="T8721" t="s">
        <v>42190</v>
      </c>
    </row>
    <row r="8722" spans="1:20">
      <c r="A8722">
        <v>4730795</v>
      </c>
      <c r="B8722" t="s">
        <v>42191</v>
      </c>
      <c r="C8722" t="str">
        <f>"9781928096023"</f>
        <v>9781928096023</v>
      </c>
      <c r="D8722" t="str">
        <f>"9781928096030"</f>
        <v>9781928096030</v>
      </c>
      <c r="E8722" t="s">
        <v>12863</v>
      </c>
      <c r="F8722" t="s">
        <v>42166</v>
      </c>
      <c r="G8722" s="1">
        <v>41820</v>
      </c>
      <c r="J8722" t="s">
        <v>42192</v>
      </c>
      <c r="K8722" t="s">
        <v>467</v>
      </c>
      <c r="L8722" t="s">
        <v>42193</v>
      </c>
      <c r="M8722">
        <v>327.50112999999902</v>
      </c>
      <c r="N8722" t="s">
        <v>42194</v>
      </c>
      <c r="O8722" t="s">
        <v>26</v>
      </c>
      <c r="P8722">
        <v>165</v>
      </c>
      <c r="Q8722">
        <v>137.5</v>
      </c>
      <c r="R8722">
        <v>110</v>
      </c>
      <c r="S8722">
        <v>165</v>
      </c>
      <c r="T8722" t="s">
        <v>42195</v>
      </c>
    </row>
    <row r="8723" spans="1:20">
      <c r="A8723">
        <v>4731533</v>
      </c>
      <c r="B8723" t="s">
        <v>42196</v>
      </c>
      <c r="C8723" t="str">
        <f>"9781771083010"</f>
        <v>9781771083010</v>
      </c>
      <c r="D8723" t="str">
        <f>"9781771083027"</f>
        <v>9781771083027</v>
      </c>
      <c r="E8723" t="s">
        <v>42197</v>
      </c>
      <c r="F8723" t="s">
        <v>42197</v>
      </c>
      <c r="G8723" s="1">
        <v>42271</v>
      </c>
      <c r="J8723" t="s">
        <v>42198</v>
      </c>
      <c r="K8723" t="s">
        <v>291</v>
      </c>
      <c r="L8723" t="s">
        <v>42199</v>
      </c>
      <c r="M8723" t="s">
        <v>42200</v>
      </c>
      <c r="O8723" t="s">
        <v>26</v>
      </c>
      <c r="P8723">
        <v>10.99</v>
      </c>
      <c r="Q8723">
        <v>13.74</v>
      </c>
      <c r="R8723">
        <v>10.99</v>
      </c>
      <c r="S8723">
        <v>16.489999999999998</v>
      </c>
      <c r="T8723" t="s">
        <v>42201</v>
      </c>
    </row>
    <row r="8724" spans="1:20">
      <c r="A8724">
        <v>4733199</v>
      </c>
      <c r="B8724" t="s">
        <v>42202</v>
      </c>
      <c r="C8724" t="str">
        <f>"9780773590557"</f>
        <v>9780773590557</v>
      </c>
      <c r="D8724" t="str">
        <f>"9780773593046"</f>
        <v>9780773593046</v>
      </c>
      <c r="E8724" t="s">
        <v>12863</v>
      </c>
      <c r="F8724" t="s">
        <v>12863</v>
      </c>
      <c r="G8724" s="1">
        <v>23012</v>
      </c>
      <c r="J8724" t="s">
        <v>42203</v>
      </c>
      <c r="K8724" t="s">
        <v>1892</v>
      </c>
      <c r="L8724" t="s">
        <v>42204</v>
      </c>
      <c r="M8724">
        <v>207.714281</v>
      </c>
      <c r="O8724" t="s">
        <v>26</v>
      </c>
      <c r="P8724">
        <v>112.5</v>
      </c>
      <c r="Q8724">
        <v>93.75</v>
      </c>
      <c r="R8724">
        <v>75</v>
      </c>
      <c r="S8724">
        <v>112.5</v>
      </c>
      <c r="T8724" t="s">
        <v>42205</v>
      </c>
    </row>
    <row r="8725" spans="1:20">
      <c r="A8725">
        <v>4737047</v>
      </c>
      <c r="B8725" t="s">
        <v>42206</v>
      </c>
      <c r="C8725" t="str">
        <f>"9780888646491"</f>
        <v>9780888646491</v>
      </c>
      <c r="D8725" t="str">
        <f>"9780888648037"</f>
        <v>9780888648037</v>
      </c>
      <c r="E8725" t="s">
        <v>26075</v>
      </c>
      <c r="F8725" t="s">
        <v>26075</v>
      </c>
      <c r="G8725" s="1">
        <v>41457</v>
      </c>
      <c r="J8725" t="s">
        <v>42207</v>
      </c>
      <c r="K8725" t="s">
        <v>525</v>
      </c>
      <c r="L8725" t="s">
        <v>42208</v>
      </c>
      <c r="M8725" t="s">
        <v>33155</v>
      </c>
      <c r="N8725" t="s">
        <v>33156</v>
      </c>
      <c r="O8725" t="s">
        <v>26</v>
      </c>
      <c r="R8725">
        <v>41.99</v>
      </c>
      <c r="T8725" t="s">
        <v>42209</v>
      </c>
    </row>
    <row r="8726" spans="1:20">
      <c r="A8726">
        <v>4737049</v>
      </c>
      <c r="B8726" t="s">
        <v>42210</v>
      </c>
      <c r="C8726" t="str">
        <f>"9780888646637"</f>
        <v>9780888646637</v>
      </c>
      <c r="D8726" t="str">
        <f>"9780888648129"</f>
        <v>9780888648129</v>
      </c>
      <c r="E8726" t="s">
        <v>26075</v>
      </c>
      <c r="F8726" t="s">
        <v>26075</v>
      </c>
      <c r="G8726" s="1">
        <v>41579</v>
      </c>
      <c r="J8726" t="s">
        <v>42211</v>
      </c>
      <c r="K8726" t="s">
        <v>6444</v>
      </c>
      <c r="L8726" t="s">
        <v>42212</v>
      </c>
      <c r="M8726">
        <v>327.71009199999901</v>
      </c>
      <c r="N8726" t="s">
        <v>42129</v>
      </c>
      <c r="O8726" t="s">
        <v>26</v>
      </c>
      <c r="R8726">
        <v>41.99</v>
      </c>
      <c r="T8726" t="s">
        <v>42213</v>
      </c>
    </row>
    <row r="8727" spans="1:20">
      <c r="A8727">
        <v>4737052</v>
      </c>
      <c r="B8727" t="s">
        <v>42214</v>
      </c>
      <c r="C8727" t="str">
        <f>"9780888646422"</f>
        <v>9780888646422</v>
      </c>
      <c r="D8727" t="str">
        <f>"9780888648044"</f>
        <v>9780888648044</v>
      </c>
      <c r="E8727" t="s">
        <v>26075</v>
      </c>
      <c r="F8727" t="s">
        <v>26075</v>
      </c>
      <c r="G8727" s="1">
        <v>41275</v>
      </c>
      <c r="J8727" t="s">
        <v>42215</v>
      </c>
      <c r="K8727" t="s">
        <v>6444</v>
      </c>
      <c r="L8727" t="s">
        <v>42216</v>
      </c>
      <c r="M8727" t="s">
        <v>42217</v>
      </c>
      <c r="N8727" t="s">
        <v>42218</v>
      </c>
      <c r="O8727" t="s">
        <v>26</v>
      </c>
      <c r="R8727">
        <v>19.989999999999998</v>
      </c>
      <c r="T8727" t="s">
        <v>42219</v>
      </c>
    </row>
    <row r="8728" spans="1:20">
      <c r="A8728">
        <v>4737054</v>
      </c>
      <c r="B8728" t="s">
        <v>42220</v>
      </c>
      <c r="C8728" t="str">
        <f>"9780888646453"</f>
        <v>9780888646453</v>
      </c>
      <c r="D8728" t="str">
        <f>"9781772120332"</f>
        <v>9781772120332</v>
      </c>
      <c r="E8728" t="s">
        <v>26075</v>
      </c>
      <c r="F8728" t="s">
        <v>26075</v>
      </c>
      <c r="G8728" s="1">
        <v>41671</v>
      </c>
      <c r="I8728" t="s">
        <v>41846</v>
      </c>
      <c r="J8728" t="s">
        <v>35440</v>
      </c>
      <c r="K8728" t="s">
        <v>1464</v>
      </c>
      <c r="L8728" t="s">
        <v>42221</v>
      </c>
      <c r="M8728">
        <v>811.00800000000004</v>
      </c>
      <c r="N8728" t="s">
        <v>7851</v>
      </c>
      <c r="O8728" t="s">
        <v>26</v>
      </c>
      <c r="R8728">
        <v>31.98</v>
      </c>
      <c r="T8728" t="s">
        <v>42222</v>
      </c>
    </row>
    <row r="8729" spans="1:20">
      <c r="A8729">
        <v>4737060</v>
      </c>
      <c r="B8729" t="s">
        <v>42223</v>
      </c>
      <c r="C8729" t="str">
        <f>"9780888646743"</f>
        <v>9780888646743</v>
      </c>
      <c r="D8729" t="str">
        <f>"9781772120257"</f>
        <v>9781772120257</v>
      </c>
      <c r="E8729" t="s">
        <v>26075</v>
      </c>
      <c r="F8729" t="s">
        <v>26075</v>
      </c>
      <c r="G8729" s="1">
        <v>41866</v>
      </c>
      <c r="I8729" t="s">
        <v>42224</v>
      </c>
      <c r="J8729" t="s">
        <v>42225</v>
      </c>
      <c r="K8729" t="s">
        <v>543</v>
      </c>
      <c r="L8729" t="s">
        <v>42226</v>
      </c>
      <c r="M8729" t="s">
        <v>42227</v>
      </c>
      <c r="N8729" t="s">
        <v>42228</v>
      </c>
      <c r="O8729" t="s">
        <v>26</v>
      </c>
      <c r="R8729">
        <v>55.49</v>
      </c>
      <c r="T8729" t="s">
        <v>42229</v>
      </c>
    </row>
    <row r="8730" spans="1:20">
      <c r="A8730">
        <v>4749984</v>
      </c>
      <c r="B8730" t="s">
        <v>42230</v>
      </c>
      <c r="C8730" t="str">
        <f>"9782760621961"</f>
        <v>9782760621961</v>
      </c>
      <c r="D8730" t="str">
        <f>"9782760625822"</f>
        <v>9782760625822</v>
      </c>
      <c r="E8730" t="s">
        <v>42231</v>
      </c>
      <c r="F8730" t="s">
        <v>42231</v>
      </c>
      <c r="G8730" s="1">
        <v>40179</v>
      </c>
      <c r="J8730" t="s">
        <v>42232</v>
      </c>
      <c r="K8730" t="s">
        <v>179</v>
      </c>
      <c r="L8730" t="s">
        <v>42233</v>
      </c>
      <c r="M8730">
        <v>574.29300000000001</v>
      </c>
      <c r="N8730" t="s">
        <v>42234</v>
      </c>
      <c r="O8730" t="s">
        <v>94</v>
      </c>
      <c r="P8730">
        <v>19.989999999999998</v>
      </c>
      <c r="R8730">
        <v>19.989999999999998</v>
      </c>
      <c r="T8730" t="s">
        <v>42235</v>
      </c>
    </row>
    <row r="8731" spans="1:20">
      <c r="A8731">
        <v>4749985</v>
      </c>
      <c r="B8731" t="s">
        <v>42236</v>
      </c>
      <c r="C8731" t="str">
        <f>"9782760621800"</f>
        <v>9782760621800</v>
      </c>
      <c r="D8731" t="str">
        <f>"9782760625839"</f>
        <v>9782760625839</v>
      </c>
      <c r="E8731" t="s">
        <v>42231</v>
      </c>
      <c r="F8731" t="s">
        <v>42231</v>
      </c>
      <c r="G8731" s="1">
        <v>40179</v>
      </c>
      <c r="J8731" t="s">
        <v>42237</v>
      </c>
      <c r="K8731" t="s">
        <v>1859</v>
      </c>
      <c r="L8731" t="s">
        <v>42238</v>
      </c>
      <c r="M8731">
        <v>193</v>
      </c>
      <c r="N8731" t="s">
        <v>42239</v>
      </c>
      <c r="O8731" t="s">
        <v>94</v>
      </c>
      <c r="P8731">
        <v>19.989999999999998</v>
      </c>
      <c r="R8731">
        <v>19.989999999999998</v>
      </c>
      <c r="T8731" t="s">
        <v>42240</v>
      </c>
    </row>
    <row r="8732" spans="1:20">
      <c r="A8732">
        <v>4749990</v>
      </c>
      <c r="B8732" t="s">
        <v>42241</v>
      </c>
      <c r="C8732" t="str">
        <f>"9782760607606"</f>
        <v>9782760607606</v>
      </c>
      <c r="D8732" t="str">
        <f>"9782760626072"</f>
        <v>9782760626072</v>
      </c>
      <c r="E8732" t="s">
        <v>42231</v>
      </c>
      <c r="F8732" t="s">
        <v>42231</v>
      </c>
      <c r="G8732" s="1">
        <v>31413</v>
      </c>
      <c r="J8732" t="s">
        <v>42242</v>
      </c>
      <c r="K8732" t="s">
        <v>1835</v>
      </c>
      <c r="L8732" t="s">
        <v>42243</v>
      </c>
      <c r="M8732">
        <v>791.45719999999903</v>
      </c>
      <c r="O8732" t="s">
        <v>94</v>
      </c>
      <c r="P8732">
        <v>19.989999999999998</v>
      </c>
      <c r="Q8732">
        <v>24.99</v>
      </c>
      <c r="R8732">
        <v>19.989999999999998</v>
      </c>
      <c r="S8732">
        <v>29.99</v>
      </c>
      <c r="T8732" t="s">
        <v>42244</v>
      </c>
    </row>
    <row r="8733" spans="1:20">
      <c r="A8733">
        <v>4749991</v>
      </c>
      <c r="B8733" t="s">
        <v>42245</v>
      </c>
      <c r="C8733" t="str">
        <f>"9782760608030"</f>
        <v>9782760608030</v>
      </c>
      <c r="D8733" t="str">
        <f>"9782760626164"</f>
        <v>9782760626164</v>
      </c>
      <c r="E8733" t="s">
        <v>42231</v>
      </c>
      <c r="F8733" t="s">
        <v>42231</v>
      </c>
      <c r="G8733" s="1">
        <v>32509</v>
      </c>
      <c r="J8733" t="s">
        <v>42246</v>
      </c>
      <c r="K8733" t="s">
        <v>1464</v>
      </c>
      <c r="L8733" t="s">
        <v>42247</v>
      </c>
      <c r="M8733">
        <v>843.91200000000003</v>
      </c>
      <c r="O8733" t="s">
        <v>94</v>
      </c>
      <c r="P8733">
        <v>24.99</v>
      </c>
      <c r="Q8733">
        <v>31.24</v>
      </c>
      <c r="R8733">
        <v>24.99</v>
      </c>
      <c r="S8733">
        <v>37.49</v>
      </c>
      <c r="T8733" t="s">
        <v>42248</v>
      </c>
    </row>
    <row r="8734" spans="1:20">
      <c r="A8734">
        <v>4749996</v>
      </c>
      <c r="B8734" t="s">
        <v>42249</v>
      </c>
      <c r="C8734" t="str">
        <f>"9782760615892"</f>
        <v>9782760615892</v>
      </c>
      <c r="D8734" t="str">
        <f>"9782760626300"</f>
        <v>9782760626300</v>
      </c>
      <c r="E8734" t="s">
        <v>42231</v>
      </c>
      <c r="F8734" t="s">
        <v>42231</v>
      </c>
      <c r="G8734" s="1">
        <v>33970</v>
      </c>
      <c r="J8734" t="s">
        <v>42250</v>
      </c>
      <c r="K8734" t="s">
        <v>1464</v>
      </c>
      <c r="L8734" t="s">
        <v>42251</v>
      </c>
      <c r="M8734">
        <v>840.80971</v>
      </c>
      <c r="N8734" t="s">
        <v>42252</v>
      </c>
      <c r="O8734" t="s">
        <v>94</v>
      </c>
      <c r="P8734">
        <v>19.989999999999998</v>
      </c>
      <c r="Q8734">
        <v>24.99</v>
      </c>
      <c r="R8734">
        <v>19.989999999999998</v>
      </c>
      <c r="S8734">
        <v>29.99</v>
      </c>
      <c r="T8734" t="s">
        <v>42253</v>
      </c>
    </row>
    <row r="8735" spans="1:20">
      <c r="A8735">
        <v>4750001</v>
      </c>
      <c r="B8735" t="s">
        <v>42254</v>
      </c>
      <c r="C8735" t="str">
        <f>"9782760616769"</f>
        <v>9782760616769</v>
      </c>
      <c r="D8735" t="str">
        <f>"9782760626362"</f>
        <v>9782760626362</v>
      </c>
      <c r="E8735" t="s">
        <v>42231</v>
      </c>
      <c r="F8735" t="s">
        <v>42231</v>
      </c>
      <c r="G8735" s="1">
        <v>35065</v>
      </c>
      <c r="J8735" t="s">
        <v>42255</v>
      </c>
      <c r="K8735" t="s">
        <v>1464</v>
      </c>
      <c r="L8735" t="s">
        <v>42256</v>
      </c>
      <c r="M8735">
        <v>840.99713999999904</v>
      </c>
      <c r="N8735" t="s">
        <v>42257</v>
      </c>
      <c r="O8735" t="s">
        <v>94</v>
      </c>
      <c r="P8735">
        <v>29.99</v>
      </c>
      <c r="Q8735">
        <v>37.49</v>
      </c>
      <c r="R8735">
        <v>29.99</v>
      </c>
      <c r="S8735">
        <v>44.99</v>
      </c>
      <c r="T8735" t="s">
        <v>42258</v>
      </c>
    </row>
    <row r="8736" spans="1:20">
      <c r="A8736">
        <v>4750006</v>
      </c>
      <c r="B8736" t="s">
        <v>42259</v>
      </c>
      <c r="C8736" t="str">
        <f>"9782760618824"</f>
        <v>9782760618824</v>
      </c>
      <c r="D8736" t="str">
        <f>"9782760626522"</f>
        <v>9782760626522</v>
      </c>
      <c r="E8736" t="s">
        <v>42231</v>
      </c>
      <c r="F8736" t="s">
        <v>42231</v>
      </c>
      <c r="G8736" s="1">
        <v>37622</v>
      </c>
      <c r="J8736" t="s">
        <v>42260</v>
      </c>
      <c r="K8736" t="s">
        <v>1464</v>
      </c>
      <c r="L8736" t="s">
        <v>42261</v>
      </c>
      <c r="M8736">
        <v>848</v>
      </c>
      <c r="O8736" t="s">
        <v>94</v>
      </c>
      <c r="P8736">
        <v>39.99</v>
      </c>
      <c r="Q8736">
        <v>49.99</v>
      </c>
      <c r="R8736">
        <v>39.99</v>
      </c>
      <c r="S8736">
        <v>59.99</v>
      </c>
      <c r="T8736" t="s">
        <v>42262</v>
      </c>
    </row>
    <row r="8737" spans="1:20">
      <c r="A8737">
        <v>4750013</v>
      </c>
      <c r="B8737" t="s">
        <v>42263</v>
      </c>
      <c r="C8737" t="str">
        <f>"9782760619487"</f>
        <v>9782760619487</v>
      </c>
      <c r="D8737" t="str">
        <f>"9782760624214"</f>
        <v>9782760624214</v>
      </c>
      <c r="E8737" t="s">
        <v>42231</v>
      </c>
      <c r="F8737" t="s">
        <v>42231</v>
      </c>
      <c r="G8737" s="1">
        <v>37987</v>
      </c>
      <c r="J8737" t="s">
        <v>13891</v>
      </c>
      <c r="K8737" t="s">
        <v>467</v>
      </c>
      <c r="L8737" t="s">
        <v>42264</v>
      </c>
      <c r="M8737">
        <v>320.01400000000001</v>
      </c>
      <c r="N8737" t="s">
        <v>42265</v>
      </c>
      <c r="O8737" t="s">
        <v>94</v>
      </c>
      <c r="P8737">
        <v>12.99</v>
      </c>
      <c r="Q8737">
        <v>16.239999999999998</v>
      </c>
      <c r="R8737">
        <v>12.99</v>
      </c>
      <c r="S8737">
        <v>19.489999999999998</v>
      </c>
      <c r="T8737" t="s">
        <v>42266</v>
      </c>
    </row>
    <row r="8738" spans="1:20">
      <c r="A8738">
        <v>4750015</v>
      </c>
      <c r="B8738" t="s">
        <v>42267</v>
      </c>
      <c r="C8738" t="str">
        <f>"9782760620988"</f>
        <v>9782760620988</v>
      </c>
      <c r="D8738" t="str">
        <f>"9782760625266"</f>
        <v>9782760625266</v>
      </c>
      <c r="E8738" t="s">
        <v>42231</v>
      </c>
      <c r="F8738" t="s">
        <v>42231</v>
      </c>
      <c r="G8738" s="1">
        <v>39448</v>
      </c>
      <c r="J8738" t="s">
        <v>42268</v>
      </c>
      <c r="K8738" t="s">
        <v>1127</v>
      </c>
      <c r="L8738" t="s">
        <v>42269</v>
      </c>
      <c r="M8738">
        <v>153.12</v>
      </c>
      <c r="N8738" t="s">
        <v>42270</v>
      </c>
      <c r="O8738" t="s">
        <v>94</v>
      </c>
      <c r="P8738">
        <v>11.99</v>
      </c>
      <c r="Q8738">
        <v>14.99</v>
      </c>
      <c r="R8738">
        <v>11.99</v>
      </c>
      <c r="S8738">
        <v>17.989999999999998</v>
      </c>
      <c r="T8738" t="s">
        <v>42271</v>
      </c>
    </row>
    <row r="8739" spans="1:20">
      <c r="A8739">
        <v>4750016</v>
      </c>
      <c r="B8739" t="s">
        <v>42272</v>
      </c>
      <c r="C8739" t="str">
        <f>"9782760621435"</f>
        <v>9782760621435</v>
      </c>
      <c r="D8739" t="str">
        <f>"9782760625495"</f>
        <v>9782760625495</v>
      </c>
      <c r="E8739" t="s">
        <v>42231</v>
      </c>
      <c r="F8739" t="s">
        <v>42231</v>
      </c>
      <c r="G8739" s="1">
        <v>39814</v>
      </c>
      <c r="J8739" t="s">
        <v>42273</v>
      </c>
      <c r="K8739" t="s">
        <v>257</v>
      </c>
      <c r="L8739" t="s">
        <v>42274</v>
      </c>
      <c r="M8739">
        <v>371.20709713999901</v>
      </c>
      <c r="N8739" t="s">
        <v>42275</v>
      </c>
      <c r="O8739" t="s">
        <v>94</v>
      </c>
      <c r="P8739">
        <v>14.99</v>
      </c>
      <c r="R8739">
        <v>14.99</v>
      </c>
      <c r="T8739" t="s">
        <v>42276</v>
      </c>
    </row>
    <row r="8740" spans="1:20">
      <c r="A8740">
        <v>4750018</v>
      </c>
      <c r="B8740" t="s">
        <v>42277</v>
      </c>
      <c r="C8740" t="str">
        <f>"9782760621336"</f>
        <v>9782760621336</v>
      </c>
      <c r="D8740" t="str">
        <f>"9782760626638"</f>
        <v>9782760626638</v>
      </c>
      <c r="E8740" t="s">
        <v>42231</v>
      </c>
      <c r="F8740" t="s">
        <v>42231</v>
      </c>
      <c r="G8740" s="1">
        <v>40179</v>
      </c>
      <c r="J8740" t="s">
        <v>42278</v>
      </c>
      <c r="K8740" t="s">
        <v>291</v>
      </c>
      <c r="L8740" t="s">
        <v>42279</v>
      </c>
      <c r="M8740">
        <v>940.53180943860002</v>
      </c>
      <c r="N8740" t="s">
        <v>42280</v>
      </c>
      <c r="O8740" t="s">
        <v>94</v>
      </c>
      <c r="P8740">
        <v>11.99</v>
      </c>
      <c r="R8740">
        <v>11.99</v>
      </c>
      <c r="T8740" t="s">
        <v>42281</v>
      </c>
    </row>
    <row r="8741" spans="1:20">
      <c r="A8741">
        <v>4750019</v>
      </c>
      <c r="B8741" t="s">
        <v>42282</v>
      </c>
      <c r="C8741" t="str">
        <f>"9782760620513"</f>
        <v>9782760620513</v>
      </c>
      <c r="D8741" t="str">
        <f>"9782760626751"</f>
        <v>9782760626751</v>
      </c>
      <c r="E8741" t="s">
        <v>42231</v>
      </c>
      <c r="F8741" t="s">
        <v>42231</v>
      </c>
      <c r="G8741" s="1">
        <v>40544</v>
      </c>
      <c r="J8741" t="s">
        <v>42283</v>
      </c>
      <c r="K8741" t="s">
        <v>42284</v>
      </c>
      <c r="L8741" t="s">
        <v>42285</v>
      </c>
      <c r="M8741">
        <v>615.89499999999896</v>
      </c>
      <c r="N8741" t="s">
        <v>42286</v>
      </c>
      <c r="O8741" t="s">
        <v>94</v>
      </c>
      <c r="P8741">
        <v>11.99</v>
      </c>
      <c r="R8741">
        <v>11.99</v>
      </c>
      <c r="T8741" t="s">
        <v>42287</v>
      </c>
    </row>
    <row r="8742" spans="1:20">
      <c r="A8742">
        <v>4750020</v>
      </c>
      <c r="B8742" t="s">
        <v>42288</v>
      </c>
      <c r="C8742" t="str">
        <f>"9782760622470"</f>
        <v>9782760622470</v>
      </c>
      <c r="D8742" t="str">
        <f>"9782760626768"</f>
        <v>9782760626768</v>
      </c>
      <c r="E8742" t="s">
        <v>42231</v>
      </c>
      <c r="F8742" t="s">
        <v>42231</v>
      </c>
      <c r="G8742" s="1">
        <v>40544</v>
      </c>
      <c r="J8742" t="s">
        <v>42289</v>
      </c>
      <c r="K8742" t="s">
        <v>263</v>
      </c>
      <c r="L8742" t="s">
        <v>42290</v>
      </c>
      <c r="M8742">
        <v>302.2</v>
      </c>
      <c r="N8742" t="s">
        <v>42291</v>
      </c>
      <c r="O8742" t="s">
        <v>94</v>
      </c>
      <c r="P8742">
        <v>14.99</v>
      </c>
      <c r="R8742">
        <v>14.99</v>
      </c>
      <c r="T8742" t="s">
        <v>42292</v>
      </c>
    </row>
    <row r="8743" spans="1:20">
      <c r="A8743">
        <v>4750021</v>
      </c>
      <c r="B8743" t="s">
        <v>42293</v>
      </c>
      <c r="C8743" t="str">
        <f>"9782760632325"</f>
        <v>9782760632325</v>
      </c>
      <c r="D8743" t="str">
        <f>"9782760632349"</f>
        <v>9782760632349</v>
      </c>
      <c r="E8743" t="s">
        <v>42231</v>
      </c>
      <c r="F8743" t="s">
        <v>42231</v>
      </c>
      <c r="G8743" s="1">
        <v>42005</v>
      </c>
      <c r="J8743" t="s">
        <v>22879</v>
      </c>
      <c r="K8743" t="s">
        <v>10956</v>
      </c>
      <c r="L8743" t="s">
        <v>42294</v>
      </c>
      <c r="M8743">
        <v>70.921999999999898</v>
      </c>
      <c r="N8743" t="s">
        <v>42295</v>
      </c>
      <c r="O8743" t="s">
        <v>94</v>
      </c>
      <c r="P8743">
        <v>16.989999999999998</v>
      </c>
      <c r="R8743">
        <v>16.989999999999998</v>
      </c>
      <c r="T8743" t="s">
        <v>42296</v>
      </c>
    </row>
    <row r="8744" spans="1:20">
      <c r="A8744">
        <v>4750023</v>
      </c>
      <c r="B8744" t="s">
        <v>42297</v>
      </c>
      <c r="C8744" t="str">
        <f>"9782760633186"</f>
        <v>9782760633186</v>
      </c>
      <c r="D8744" t="str">
        <f>"9782760633445"</f>
        <v>9782760633445</v>
      </c>
      <c r="E8744" t="s">
        <v>42231</v>
      </c>
      <c r="F8744" t="s">
        <v>42231</v>
      </c>
      <c r="G8744" s="1">
        <v>42038</v>
      </c>
      <c r="J8744" t="s">
        <v>42298</v>
      </c>
      <c r="K8744" t="s">
        <v>2260</v>
      </c>
      <c r="L8744" t="s">
        <v>42299</v>
      </c>
      <c r="M8744">
        <v>616.85226999999895</v>
      </c>
      <c r="N8744" t="s">
        <v>42300</v>
      </c>
      <c r="O8744" t="s">
        <v>94</v>
      </c>
      <c r="P8744">
        <v>9.99</v>
      </c>
      <c r="R8744">
        <v>9.99</v>
      </c>
      <c r="T8744" t="s">
        <v>42301</v>
      </c>
    </row>
    <row r="8745" spans="1:20">
      <c r="A8745">
        <v>4750024</v>
      </c>
      <c r="B8745" t="s">
        <v>42302</v>
      </c>
      <c r="C8745" t="str">
        <f>"9782760634152"</f>
        <v>9782760634152</v>
      </c>
      <c r="D8745" t="str">
        <f>"9782760634176"</f>
        <v>9782760634176</v>
      </c>
      <c r="E8745" t="s">
        <v>42231</v>
      </c>
      <c r="F8745" t="s">
        <v>42231</v>
      </c>
      <c r="G8745" s="1">
        <v>41640</v>
      </c>
      <c r="J8745" t="s">
        <v>24254</v>
      </c>
      <c r="K8745" t="s">
        <v>1471</v>
      </c>
      <c r="L8745" t="s">
        <v>42303</v>
      </c>
      <c r="M8745">
        <v>791.43658000000005</v>
      </c>
      <c r="N8745" t="s">
        <v>42304</v>
      </c>
      <c r="O8745" t="s">
        <v>94</v>
      </c>
      <c r="P8745">
        <v>15.99</v>
      </c>
      <c r="R8745">
        <v>15.99</v>
      </c>
      <c r="T8745" t="s">
        <v>42305</v>
      </c>
    </row>
    <row r="8746" spans="1:20">
      <c r="A8746">
        <v>4750026</v>
      </c>
      <c r="B8746" t="s">
        <v>42306</v>
      </c>
      <c r="C8746" t="str">
        <f>"9782760635807"</f>
        <v>9782760635807</v>
      </c>
      <c r="D8746" t="str">
        <f>"9782760635814"</f>
        <v>9782760635814</v>
      </c>
      <c r="E8746" t="s">
        <v>42231</v>
      </c>
      <c r="F8746" t="s">
        <v>42231</v>
      </c>
      <c r="G8746" s="1">
        <v>42005</v>
      </c>
      <c r="J8746" t="s">
        <v>42307</v>
      </c>
      <c r="K8746" t="s">
        <v>291</v>
      </c>
      <c r="L8746" t="s">
        <v>42308</v>
      </c>
      <c r="M8746">
        <v>954</v>
      </c>
      <c r="O8746" t="s">
        <v>94</v>
      </c>
      <c r="P8746">
        <v>14.99</v>
      </c>
      <c r="R8746">
        <v>14.99</v>
      </c>
      <c r="T8746" t="s">
        <v>42309</v>
      </c>
    </row>
    <row r="8747" spans="1:20">
      <c r="A8747">
        <v>4750039</v>
      </c>
      <c r="B8747" t="s">
        <v>42310</v>
      </c>
      <c r="C8747" t="str">
        <f>"9782760619906"</f>
        <v>9782760619906</v>
      </c>
      <c r="D8747" t="str">
        <f>"9782760624474"</f>
        <v>9782760624474</v>
      </c>
      <c r="E8747" t="s">
        <v>42231</v>
      </c>
      <c r="F8747" t="s">
        <v>42231</v>
      </c>
      <c r="G8747" s="1">
        <v>38353</v>
      </c>
      <c r="J8747" t="s">
        <v>42311</v>
      </c>
      <c r="K8747" t="s">
        <v>1859</v>
      </c>
      <c r="L8747" t="s">
        <v>42312</v>
      </c>
      <c r="M8747">
        <v>194</v>
      </c>
      <c r="N8747" t="s">
        <v>42313</v>
      </c>
      <c r="O8747" t="s">
        <v>94</v>
      </c>
      <c r="P8747">
        <v>11.99</v>
      </c>
      <c r="Q8747">
        <v>14.99</v>
      </c>
      <c r="R8747">
        <v>11.99</v>
      </c>
      <c r="S8747">
        <v>17.989999999999998</v>
      </c>
      <c r="T8747" t="s">
        <v>42314</v>
      </c>
    </row>
    <row r="8748" spans="1:20">
      <c r="A8748">
        <v>4750042</v>
      </c>
      <c r="B8748" t="s">
        <v>42315</v>
      </c>
      <c r="C8748" t="str">
        <f>"9782760621602"</f>
        <v>9782760621602</v>
      </c>
      <c r="D8748" t="str">
        <f>"9782760625938"</f>
        <v>9782760625938</v>
      </c>
      <c r="E8748" t="s">
        <v>42231</v>
      </c>
      <c r="F8748" t="s">
        <v>42231</v>
      </c>
      <c r="G8748" s="1">
        <v>40179</v>
      </c>
      <c r="J8748" t="s">
        <v>42316</v>
      </c>
      <c r="K8748" t="s">
        <v>1464</v>
      </c>
      <c r="L8748" t="s">
        <v>42317</v>
      </c>
      <c r="M8748">
        <v>841</v>
      </c>
      <c r="O8748" t="s">
        <v>94</v>
      </c>
      <c r="P8748">
        <v>16.989999999999998</v>
      </c>
      <c r="R8748">
        <v>16.989999999999998</v>
      </c>
      <c r="T8748" t="s">
        <v>42318</v>
      </c>
    </row>
    <row r="8749" spans="1:20">
      <c r="A8749">
        <v>4750044</v>
      </c>
      <c r="B8749" t="s">
        <v>42319</v>
      </c>
      <c r="C8749" t="str">
        <f>"9782760622616"</f>
        <v>9782760622616</v>
      </c>
      <c r="D8749" t="str">
        <f>"9782760626973"</f>
        <v>9782760626973</v>
      </c>
      <c r="E8749" t="s">
        <v>42231</v>
      </c>
      <c r="F8749" t="s">
        <v>42231</v>
      </c>
      <c r="G8749" s="1">
        <v>42034</v>
      </c>
      <c r="J8749" t="s">
        <v>42320</v>
      </c>
      <c r="K8749" t="s">
        <v>3848</v>
      </c>
      <c r="L8749" t="s">
        <v>42321</v>
      </c>
      <c r="M8749">
        <v>808.06691999999896</v>
      </c>
      <c r="N8749" t="s">
        <v>42322</v>
      </c>
      <c r="O8749" t="s">
        <v>94</v>
      </c>
      <c r="P8749">
        <v>16.989999999999998</v>
      </c>
      <c r="R8749">
        <v>16.989999999999998</v>
      </c>
      <c r="T8749" t="s">
        <v>42323</v>
      </c>
    </row>
    <row r="8750" spans="1:20">
      <c r="A8750">
        <v>4750046</v>
      </c>
      <c r="B8750" t="s">
        <v>42324</v>
      </c>
      <c r="C8750" t="str">
        <f>"9782760622760"</f>
        <v>9782760622760</v>
      </c>
      <c r="D8750" t="str">
        <f>"9782760627390"</f>
        <v>9782760627390</v>
      </c>
      <c r="E8750" t="s">
        <v>42231</v>
      </c>
      <c r="F8750" t="s">
        <v>42231</v>
      </c>
      <c r="G8750" s="1">
        <v>40909</v>
      </c>
      <c r="J8750" t="s">
        <v>42320</v>
      </c>
      <c r="O8750" t="s">
        <v>94</v>
      </c>
      <c r="P8750">
        <v>16.989999999999998</v>
      </c>
      <c r="R8750">
        <v>16.989999999999998</v>
      </c>
      <c r="T8750" t="s">
        <v>42325</v>
      </c>
    </row>
    <row r="8751" spans="1:20">
      <c r="A8751">
        <v>4750049</v>
      </c>
      <c r="B8751" t="s">
        <v>42326</v>
      </c>
      <c r="C8751" t="str">
        <f>"9782760622791"</f>
        <v>9782760622791</v>
      </c>
      <c r="D8751" t="str">
        <f>"9782760627635"</f>
        <v>9782760627635</v>
      </c>
      <c r="E8751" t="s">
        <v>42231</v>
      </c>
      <c r="F8751" t="s">
        <v>42231</v>
      </c>
      <c r="G8751" s="1">
        <v>40909</v>
      </c>
      <c r="J8751" t="s">
        <v>42327</v>
      </c>
      <c r="K8751" t="s">
        <v>1464</v>
      </c>
      <c r="L8751" t="s">
        <v>42328</v>
      </c>
      <c r="M8751">
        <v>809.93353000000002</v>
      </c>
      <c r="N8751" t="s">
        <v>42329</v>
      </c>
      <c r="O8751" t="s">
        <v>94</v>
      </c>
      <c r="P8751">
        <v>14.99</v>
      </c>
      <c r="R8751">
        <v>14.99</v>
      </c>
      <c r="T8751" t="s">
        <v>42330</v>
      </c>
    </row>
    <row r="8752" spans="1:20">
      <c r="A8752">
        <v>4750055</v>
      </c>
      <c r="B8752" t="s">
        <v>42331</v>
      </c>
      <c r="C8752" t="str">
        <f>"9782760635326"</f>
        <v>9782760635326</v>
      </c>
      <c r="D8752" t="str">
        <f>"9782760635333"</f>
        <v>9782760635333</v>
      </c>
      <c r="E8752" t="s">
        <v>42231</v>
      </c>
      <c r="F8752" t="s">
        <v>42231</v>
      </c>
      <c r="G8752" s="1">
        <v>42370</v>
      </c>
      <c r="J8752" t="s">
        <v>42332</v>
      </c>
      <c r="K8752" t="s">
        <v>1471</v>
      </c>
      <c r="L8752" t="s">
        <v>42333</v>
      </c>
      <c r="M8752">
        <v>709.24</v>
      </c>
      <c r="N8752" t="s">
        <v>42334</v>
      </c>
      <c r="O8752" t="s">
        <v>94</v>
      </c>
      <c r="P8752">
        <v>16.989999999999998</v>
      </c>
      <c r="R8752">
        <v>16.989999999999998</v>
      </c>
      <c r="T8752" t="s">
        <v>42335</v>
      </c>
    </row>
    <row r="8753" spans="1:20">
      <c r="A8753">
        <v>4750058</v>
      </c>
      <c r="B8753" t="s">
        <v>42336</v>
      </c>
      <c r="C8753" t="str">
        <f>"9782760636811"</f>
        <v>9782760636811</v>
      </c>
      <c r="D8753" t="str">
        <f>"9782760636828"</f>
        <v>9782760636828</v>
      </c>
      <c r="E8753" t="s">
        <v>42231</v>
      </c>
      <c r="F8753" t="s">
        <v>42231</v>
      </c>
      <c r="G8753" s="1">
        <v>42370</v>
      </c>
      <c r="J8753" t="s">
        <v>42320</v>
      </c>
      <c r="K8753" t="s">
        <v>1859</v>
      </c>
      <c r="L8753" t="s">
        <v>42337</v>
      </c>
      <c r="M8753">
        <v>194</v>
      </c>
      <c r="N8753" t="s">
        <v>42338</v>
      </c>
      <c r="O8753" t="s">
        <v>94</v>
      </c>
      <c r="P8753">
        <v>13.95</v>
      </c>
      <c r="R8753">
        <v>13.95</v>
      </c>
      <c r="T8753" t="s">
        <v>42339</v>
      </c>
    </row>
    <row r="8754" spans="1:20">
      <c r="A8754">
        <v>4750059</v>
      </c>
      <c r="B8754" t="s">
        <v>42340</v>
      </c>
      <c r="C8754" t="str">
        <f>"9782760635388"</f>
        <v>9782760635388</v>
      </c>
      <c r="D8754" t="str">
        <f>"9782760635401"</f>
        <v>9782760635401</v>
      </c>
      <c r="E8754" t="s">
        <v>42231</v>
      </c>
      <c r="F8754" t="s">
        <v>42231</v>
      </c>
      <c r="G8754" s="1">
        <v>42370</v>
      </c>
      <c r="J8754" t="s">
        <v>42341</v>
      </c>
      <c r="K8754" t="s">
        <v>263</v>
      </c>
      <c r="L8754" t="s">
        <v>42342</v>
      </c>
      <c r="M8754">
        <v>305.42097139999902</v>
      </c>
      <c r="N8754" t="s">
        <v>42343</v>
      </c>
      <c r="O8754" t="s">
        <v>94</v>
      </c>
      <c r="P8754">
        <v>16.989999999999998</v>
      </c>
      <c r="R8754">
        <v>16.989999999999998</v>
      </c>
      <c r="T8754" t="s">
        <v>42344</v>
      </c>
    </row>
    <row r="8755" spans="1:20">
      <c r="A8755">
        <v>4750061</v>
      </c>
      <c r="B8755" t="s">
        <v>42345</v>
      </c>
      <c r="C8755" t="str">
        <f>"9782760618428"</f>
        <v>9782760618428</v>
      </c>
      <c r="D8755" t="str">
        <f>"9782760623880"</f>
        <v>9782760623880</v>
      </c>
      <c r="E8755" t="s">
        <v>42231</v>
      </c>
      <c r="F8755" t="s">
        <v>42231</v>
      </c>
      <c r="G8755" s="1">
        <v>37257</v>
      </c>
      <c r="J8755" t="s">
        <v>42320</v>
      </c>
      <c r="O8755" t="s">
        <v>94</v>
      </c>
      <c r="P8755">
        <v>34.99</v>
      </c>
      <c r="Q8755">
        <v>43.74</v>
      </c>
      <c r="R8755">
        <v>34.99</v>
      </c>
      <c r="S8755">
        <v>52.49</v>
      </c>
      <c r="T8755" t="s">
        <v>42346</v>
      </c>
    </row>
    <row r="8756" spans="1:20">
      <c r="A8756">
        <v>4750062</v>
      </c>
      <c r="B8756" t="s">
        <v>42347</v>
      </c>
      <c r="C8756" t="str">
        <f>"9782760618633"</f>
        <v>9782760618633</v>
      </c>
      <c r="D8756" t="str">
        <f>"9782760624078"</f>
        <v>9782760624078</v>
      </c>
      <c r="E8756" t="s">
        <v>42231</v>
      </c>
      <c r="F8756" t="s">
        <v>42231</v>
      </c>
      <c r="G8756" s="1">
        <v>37622</v>
      </c>
      <c r="J8756" t="s">
        <v>42348</v>
      </c>
      <c r="K8756" t="s">
        <v>1322</v>
      </c>
      <c r="L8756" t="s">
        <v>42349</v>
      </c>
      <c r="M8756">
        <v>616.95899999999904</v>
      </c>
      <c r="N8756" t="s">
        <v>42350</v>
      </c>
      <c r="O8756" t="s">
        <v>94</v>
      </c>
      <c r="P8756">
        <v>44.99</v>
      </c>
      <c r="Q8756">
        <v>56.24</v>
      </c>
      <c r="R8756">
        <v>44.99</v>
      </c>
      <c r="S8756">
        <v>67.489999999999995</v>
      </c>
      <c r="T8756" t="s">
        <v>42351</v>
      </c>
    </row>
    <row r="8757" spans="1:20">
      <c r="A8757">
        <v>4750069</v>
      </c>
      <c r="B8757" t="s">
        <v>42352</v>
      </c>
      <c r="C8757" t="str">
        <f>"9782760632110"</f>
        <v>9782760632110</v>
      </c>
      <c r="D8757" t="str">
        <f>"9782760632127"</f>
        <v>9782760632127</v>
      </c>
      <c r="E8757" t="s">
        <v>42231</v>
      </c>
      <c r="F8757" t="s">
        <v>42231</v>
      </c>
      <c r="G8757" s="1">
        <v>41275</v>
      </c>
      <c r="J8757" t="s">
        <v>42353</v>
      </c>
      <c r="K8757" t="s">
        <v>2260</v>
      </c>
      <c r="L8757" t="s">
        <v>42354</v>
      </c>
      <c r="M8757">
        <v>616.04719999999895</v>
      </c>
      <c r="N8757" t="s">
        <v>42355</v>
      </c>
      <c r="O8757" t="s">
        <v>94</v>
      </c>
      <c r="P8757">
        <v>23.99</v>
      </c>
      <c r="R8757">
        <v>23.99</v>
      </c>
      <c r="T8757" t="s">
        <v>42356</v>
      </c>
    </row>
    <row r="8758" spans="1:20">
      <c r="A8758">
        <v>4750071</v>
      </c>
      <c r="B8758" t="s">
        <v>42357</v>
      </c>
      <c r="C8758" t="str">
        <f>"9782760634527"</f>
        <v>9782760634527</v>
      </c>
      <c r="D8758" t="str">
        <f>"9782760634534"</f>
        <v>9782760634534</v>
      </c>
      <c r="E8758" t="s">
        <v>42231</v>
      </c>
      <c r="F8758" t="s">
        <v>42231</v>
      </c>
      <c r="G8758" s="1">
        <v>42005</v>
      </c>
      <c r="J8758" t="s">
        <v>42320</v>
      </c>
      <c r="K8758" t="s">
        <v>10568</v>
      </c>
      <c r="L8758" t="s">
        <v>42358</v>
      </c>
      <c r="M8758">
        <v>615.1</v>
      </c>
      <c r="N8758" t="s">
        <v>42359</v>
      </c>
      <c r="O8758" t="s">
        <v>94</v>
      </c>
      <c r="P8758">
        <v>45</v>
      </c>
      <c r="R8758">
        <v>45</v>
      </c>
      <c r="T8758" t="s">
        <v>42360</v>
      </c>
    </row>
    <row r="8759" spans="1:20">
      <c r="A8759">
        <v>4750072</v>
      </c>
      <c r="B8759" t="s">
        <v>42361</v>
      </c>
      <c r="C8759" t="str">
        <f>"9782760622104"</f>
        <v>9782760622104</v>
      </c>
      <c r="D8759" t="str">
        <f>"9782760625952"</f>
        <v>9782760625952</v>
      </c>
      <c r="E8759" t="s">
        <v>42231</v>
      </c>
      <c r="F8759" t="s">
        <v>42231</v>
      </c>
      <c r="G8759" s="1">
        <v>40179</v>
      </c>
      <c r="J8759" t="s">
        <v>42362</v>
      </c>
      <c r="K8759" t="s">
        <v>1471</v>
      </c>
      <c r="L8759" t="s">
        <v>42363</v>
      </c>
      <c r="M8759">
        <v>792.01499999999896</v>
      </c>
      <c r="N8759" t="s">
        <v>42364</v>
      </c>
      <c r="O8759" t="s">
        <v>94</v>
      </c>
      <c r="P8759">
        <v>16.989999999999998</v>
      </c>
      <c r="R8759">
        <v>16.989999999999998</v>
      </c>
      <c r="T8759" t="s">
        <v>42365</v>
      </c>
    </row>
    <row r="8760" spans="1:20">
      <c r="A8760">
        <v>4750074</v>
      </c>
      <c r="B8760" t="s">
        <v>42366</v>
      </c>
      <c r="C8760" t="str">
        <f>"9782760636248"</f>
        <v>9782760636248</v>
      </c>
      <c r="D8760" t="str">
        <f>"9782760636279"</f>
        <v>9782760636279</v>
      </c>
      <c r="E8760" t="s">
        <v>42231</v>
      </c>
      <c r="F8760" t="s">
        <v>42231</v>
      </c>
      <c r="G8760" s="1">
        <v>42370</v>
      </c>
      <c r="J8760" t="s">
        <v>42367</v>
      </c>
      <c r="K8760" t="s">
        <v>2260</v>
      </c>
      <c r="L8760" t="s">
        <v>42368</v>
      </c>
      <c r="M8760">
        <v>616.29999999999905</v>
      </c>
      <c r="N8760" t="s">
        <v>42369</v>
      </c>
      <c r="O8760" t="s">
        <v>94</v>
      </c>
      <c r="P8760">
        <v>44.99</v>
      </c>
      <c r="R8760">
        <v>44.99</v>
      </c>
      <c r="T8760" t="s">
        <v>42370</v>
      </c>
    </row>
    <row r="8761" spans="1:20">
      <c r="A8761">
        <v>4750075</v>
      </c>
      <c r="B8761" t="s">
        <v>42371</v>
      </c>
      <c r="C8761" t="str">
        <f>"9782760622562"</f>
        <v>9782760622562</v>
      </c>
      <c r="D8761" t="str">
        <f>"9782760626621"</f>
        <v>9782760626621</v>
      </c>
      <c r="E8761" t="s">
        <v>42231</v>
      </c>
      <c r="F8761" t="s">
        <v>42231</v>
      </c>
      <c r="G8761" s="1">
        <v>40544</v>
      </c>
      <c r="J8761" t="s">
        <v>42372</v>
      </c>
      <c r="K8761" t="s">
        <v>1464</v>
      </c>
      <c r="L8761" t="s">
        <v>42373</v>
      </c>
      <c r="M8761">
        <v>840.99713999999904</v>
      </c>
      <c r="N8761" t="s">
        <v>42374</v>
      </c>
      <c r="O8761" t="s">
        <v>94</v>
      </c>
      <c r="P8761">
        <v>16.989999999999998</v>
      </c>
      <c r="R8761">
        <v>16.989999999999998</v>
      </c>
      <c r="T8761" t="s">
        <v>42375</v>
      </c>
    </row>
    <row r="8762" spans="1:20">
      <c r="A8762">
        <v>4750076</v>
      </c>
      <c r="B8762" t="s">
        <v>42376</v>
      </c>
      <c r="C8762" t="str">
        <f>"9782760622609"</f>
        <v>9782760622609</v>
      </c>
      <c r="D8762" t="str">
        <f>"9782760626935"</f>
        <v>9782760626935</v>
      </c>
      <c r="E8762" t="s">
        <v>42231</v>
      </c>
      <c r="F8762" t="s">
        <v>42231</v>
      </c>
      <c r="G8762" s="1">
        <v>40544</v>
      </c>
      <c r="J8762" t="s">
        <v>42377</v>
      </c>
      <c r="K8762" t="s">
        <v>1464</v>
      </c>
      <c r="L8762" t="s">
        <v>42378</v>
      </c>
      <c r="M8762">
        <v>840.99713999999904</v>
      </c>
      <c r="N8762" t="s">
        <v>42379</v>
      </c>
      <c r="O8762" t="s">
        <v>94</v>
      </c>
      <c r="P8762">
        <v>12.99</v>
      </c>
      <c r="R8762">
        <v>12.99</v>
      </c>
      <c r="T8762" t="s">
        <v>42380</v>
      </c>
    </row>
    <row r="8763" spans="1:20">
      <c r="A8763">
        <v>4750077</v>
      </c>
      <c r="B8763" t="s">
        <v>42381</v>
      </c>
      <c r="C8763" t="str">
        <f>"9782760621923"</f>
        <v>9782760621923</v>
      </c>
      <c r="D8763" t="str">
        <f>"9782760626829"</f>
        <v>9782760626829</v>
      </c>
      <c r="E8763" t="s">
        <v>42231</v>
      </c>
      <c r="F8763" t="s">
        <v>42231</v>
      </c>
      <c r="G8763" s="1">
        <v>40179</v>
      </c>
      <c r="J8763" t="s">
        <v>42382</v>
      </c>
      <c r="K8763" t="s">
        <v>1464</v>
      </c>
      <c r="L8763" t="s">
        <v>42383</v>
      </c>
      <c r="M8763">
        <v>813.00935204309906</v>
      </c>
      <c r="N8763" t="s">
        <v>42384</v>
      </c>
      <c r="O8763" t="s">
        <v>94</v>
      </c>
      <c r="P8763">
        <v>16.989999999999998</v>
      </c>
      <c r="R8763">
        <v>16.989999999999998</v>
      </c>
      <c r="T8763" t="s">
        <v>42385</v>
      </c>
    </row>
    <row r="8764" spans="1:20">
      <c r="A8764">
        <v>4750078</v>
      </c>
      <c r="B8764" t="s">
        <v>42386</v>
      </c>
      <c r="C8764" t="str">
        <f>"9782760622845"</f>
        <v>9782760622845</v>
      </c>
      <c r="D8764" t="str">
        <f>"9782760627369"</f>
        <v>9782760627369</v>
      </c>
      <c r="E8764" t="s">
        <v>42231</v>
      </c>
      <c r="F8764" t="s">
        <v>42231</v>
      </c>
      <c r="G8764" s="1">
        <v>40909</v>
      </c>
      <c r="J8764" t="s">
        <v>42387</v>
      </c>
      <c r="K8764" t="s">
        <v>4081</v>
      </c>
      <c r="L8764" t="s">
        <v>42388</v>
      </c>
      <c r="M8764">
        <v>447.97140000000002</v>
      </c>
      <c r="N8764" t="s">
        <v>42389</v>
      </c>
      <c r="O8764" t="s">
        <v>94</v>
      </c>
      <c r="P8764">
        <v>11.99</v>
      </c>
      <c r="R8764">
        <v>11.99</v>
      </c>
      <c r="T8764" t="s">
        <v>42390</v>
      </c>
    </row>
    <row r="8765" spans="1:20">
      <c r="A8765">
        <v>4750079</v>
      </c>
      <c r="B8765" t="s">
        <v>42391</v>
      </c>
      <c r="C8765" t="str">
        <f>"9782760635708"</f>
        <v>9782760635708</v>
      </c>
      <c r="D8765" t="str">
        <f>"9782760635715"</f>
        <v>9782760635715</v>
      </c>
      <c r="E8765" t="s">
        <v>42231</v>
      </c>
      <c r="F8765" t="s">
        <v>42231</v>
      </c>
      <c r="G8765" s="1">
        <v>42370</v>
      </c>
      <c r="J8765" t="s">
        <v>42320</v>
      </c>
      <c r="K8765" t="s">
        <v>291</v>
      </c>
      <c r="L8765" t="s">
        <v>42392</v>
      </c>
      <c r="M8765">
        <v>971.40300000000002</v>
      </c>
      <c r="N8765" t="s">
        <v>42393</v>
      </c>
      <c r="O8765" t="s">
        <v>94</v>
      </c>
      <c r="P8765">
        <v>24.99</v>
      </c>
      <c r="R8765">
        <v>24.99</v>
      </c>
      <c r="T8765" t="s">
        <v>42394</v>
      </c>
    </row>
    <row r="8766" spans="1:20">
      <c r="A8766">
        <v>4750080</v>
      </c>
      <c r="B8766" t="s">
        <v>42395</v>
      </c>
      <c r="C8766" t="str">
        <f>"9782760636484"</f>
        <v>9782760636484</v>
      </c>
      <c r="D8766" t="str">
        <f>"9782760636491"</f>
        <v>9782760636491</v>
      </c>
      <c r="E8766" t="s">
        <v>42231</v>
      </c>
      <c r="F8766" t="s">
        <v>42231</v>
      </c>
      <c r="G8766" s="1">
        <v>42370</v>
      </c>
      <c r="J8766" t="s">
        <v>42396</v>
      </c>
      <c r="K8766" t="s">
        <v>1464</v>
      </c>
      <c r="L8766" t="s">
        <v>42397</v>
      </c>
      <c r="M8766">
        <v>843</v>
      </c>
      <c r="N8766" t="s">
        <v>42398</v>
      </c>
      <c r="O8766" t="s">
        <v>94</v>
      </c>
      <c r="P8766">
        <v>14.99</v>
      </c>
      <c r="R8766">
        <v>14.99</v>
      </c>
      <c r="T8766" t="s">
        <v>42399</v>
      </c>
    </row>
    <row r="8767" spans="1:20">
      <c r="A8767">
        <v>4750081</v>
      </c>
      <c r="B8767" t="s">
        <v>42400</v>
      </c>
      <c r="C8767" t="str">
        <f>"9782760622234"</f>
        <v>9782760622234</v>
      </c>
      <c r="D8767" t="str">
        <f>"9782760626744"</f>
        <v>9782760626744</v>
      </c>
      <c r="E8767" t="s">
        <v>42231</v>
      </c>
      <c r="F8767" t="s">
        <v>42231</v>
      </c>
      <c r="G8767" s="1">
        <v>40544</v>
      </c>
      <c r="J8767" t="s">
        <v>42401</v>
      </c>
      <c r="K8767" t="s">
        <v>291</v>
      </c>
      <c r="L8767" t="s">
        <v>42402</v>
      </c>
      <c r="M8767">
        <v>941.50810000000001</v>
      </c>
      <c r="O8767" t="s">
        <v>94</v>
      </c>
      <c r="P8767">
        <v>34.99</v>
      </c>
      <c r="R8767">
        <v>34.99</v>
      </c>
      <c r="T8767" t="s">
        <v>42403</v>
      </c>
    </row>
    <row r="8768" spans="1:20">
      <c r="A8768">
        <v>4750083</v>
      </c>
      <c r="B8768" t="s">
        <v>42404</v>
      </c>
      <c r="C8768" t="str">
        <f>"9782760622548"</f>
        <v>9782760622548</v>
      </c>
      <c r="D8768" t="str">
        <f>"9782760626959"</f>
        <v>9782760626959</v>
      </c>
      <c r="E8768" t="s">
        <v>42231</v>
      </c>
      <c r="F8768" t="s">
        <v>42231</v>
      </c>
      <c r="G8768" s="1">
        <v>40544</v>
      </c>
      <c r="O8768" t="s">
        <v>94</v>
      </c>
      <c r="P8768">
        <v>14.99</v>
      </c>
      <c r="R8768">
        <v>14.99</v>
      </c>
      <c r="T8768" t="s">
        <v>42405</v>
      </c>
    </row>
    <row r="8769" spans="1:20">
      <c r="A8769">
        <v>4750085</v>
      </c>
      <c r="B8769" t="s">
        <v>42406</v>
      </c>
      <c r="C8769" t="str">
        <f>"9782760622678"</f>
        <v>9782760622678</v>
      </c>
      <c r="D8769" t="str">
        <f>"9782760627055"</f>
        <v>9782760627055</v>
      </c>
      <c r="E8769" t="s">
        <v>42231</v>
      </c>
      <c r="F8769" t="s">
        <v>42231</v>
      </c>
      <c r="G8769" s="1">
        <v>40833</v>
      </c>
      <c r="J8769" t="s">
        <v>42320</v>
      </c>
      <c r="K8769" t="s">
        <v>1150</v>
      </c>
      <c r="L8769" t="s">
        <v>42407</v>
      </c>
      <c r="M8769">
        <v>794.8</v>
      </c>
      <c r="N8769" t="s">
        <v>42408</v>
      </c>
      <c r="O8769" t="s">
        <v>94</v>
      </c>
      <c r="P8769">
        <v>19.989999999999998</v>
      </c>
      <c r="R8769">
        <v>19.989999999999998</v>
      </c>
      <c r="T8769" t="s">
        <v>42409</v>
      </c>
    </row>
    <row r="8770" spans="1:20">
      <c r="A8770">
        <v>4750086</v>
      </c>
      <c r="B8770" t="s">
        <v>42410</v>
      </c>
      <c r="C8770" t="str">
        <f>"9782760621886"</f>
        <v>9782760621886</v>
      </c>
      <c r="D8770" t="str">
        <f>"9782760627345"</f>
        <v>9782760627345</v>
      </c>
      <c r="E8770" t="s">
        <v>42231</v>
      </c>
      <c r="F8770" t="s">
        <v>42231</v>
      </c>
      <c r="G8770" s="1">
        <v>40909</v>
      </c>
      <c r="J8770" t="s">
        <v>42411</v>
      </c>
      <c r="K8770" t="s">
        <v>291</v>
      </c>
      <c r="L8770" t="s">
        <v>42412</v>
      </c>
      <c r="M8770">
        <v>973.04956000000004</v>
      </c>
      <c r="N8770" t="s">
        <v>42413</v>
      </c>
      <c r="O8770" t="s">
        <v>94</v>
      </c>
      <c r="P8770">
        <v>19.989999999999998</v>
      </c>
      <c r="R8770">
        <v>19.989999999999998</v>
      </c>
      <c r="T8770" t="s">
        <v>42414</v>
      </c>
    </row>
    <row r="8771" spans="1:20">
      <c r="A8771">
        <v>4750087</v>
      </c>
      <c r="B8771" t="s">
        <v>42415</v>
      </c>
      <c r="C8771" t="str">
        <f>"9782760622098"</f>
        <v>9782760622098</v>
      </c>
      <c r="D8771" t="str">
        <f>"9782760627536"</f>
        <v>9782760627536</v>
      </c>
      <c r="E8771" t="s">
        <v>42231</v>
      </c>
      <c r="F8771" t="s">
        <v>42231</v>
      </c>
      <c r="G8771" s="1">
        <v>40909</v>
      </c>
      <c r="J8771" t="s">
        <v>42320</v>
      </c>
      <c r="K8771" t="s">
        <v>291</v>
      </c>
      <c r="L8771" t="s">
        <v>42416</v>
      </c>
      <c r="M8771">
        <v>971.4</v>
      </c>
      <c r="N8771" t="s">
        <v>42417</v>
      </c>
      <c r="O8771" t="s">
        <v>94</v>
      </c>
      <c r="P8771">
        <v>16.989999999999998</v>
      </c>
      <c r="R8771">
        <v>16.989999999999998</v>
      </c>
      <c r="T8771" t="s">
        <v>42418</v>
      </c>
    </row>
    <row r="8772" spans="1:20">
      <c r="A8772">
        <v>4750088</v>
      </c>
      <c r="B8772" t="s">
        <v>42419</v>
      </c>
      <c r="C8772" t="str">
        <f>"9782760622838"</f>
        <v>9782760622838</v>
      </c>
      <c r="D8772" t="str">
        <f>"9782760627437"</f>
        <v>9782760627437</v>
      </c>
      <c r="E8772" t="s">
        <v>42231</v>
      </c>
      <c r="F8772" t="s">
        <v>42231</v>
      </c>
      <c r="G8772" s="1">
        <v>40909</v>
      </c>
      <c r="J8772" t="s">
        <v>42420</v>
      </c>
      <c r="K8772" t="s">
        <v>1471</v>
      </c>
      <c r="L8772" t="s">
        <v>42421</v>
      </c>
      <c r="M8772">
        <v>780.97140000000002</v>
      </c>
      <c r="N8772" t="s">
        <v>42422</v>
      </c>
      <c r="O8772" t="s">
        <v>94</v>
      </c>
      <c r="P8772">
        <v>14.99</v>
      </c>
      <c r="R8772">
        <v>14.99</v>
      </c>
      <c r="T8772" t="s">
        <v>42423</v>
      </c>
    </row>
    <row r="8773" spans="1:20">
      <c r="A8773">
        <v>4750089</v>
      </c>
      <c r="B8773" t="s">
        <v>42424</v>
      </c>
      <c r="C8773" t="str">
        <f>"9782760622081"</f>
        <v>9782760622081</v>
      </c>
      <c r="D8773" t="str">
        <f>"9782760627833"</f>
        <v>9782760627833</v>
      </c>
      <c r="E8773" t="s">
        <v>42231</v>
      </c>
      <c r="F8773" t="s">
        <v>42231</v>
      </c>
      <c r="G8773" s="1">
        <v>41143</v>
      </c>
      <c r="J8773" t="s">
        <v>42425</v>
      </c>
      <c r="K8773" t="s">
        <v>6457</v>
      </c>
      <c r="L8773" t="s">
        <v>42426</v>
      </c>
      <c r="M8773">
        <v>306.27</v>
      </c>
      <c r="N8773" t="s">
        <v>42427</v>
      </c>
      <c r="O8773" t="s">
        <v>94</v>
      </c>
      <c r="P8773">
        <v>16.989999999999998</v>
      </c>
      <c r="R8773">
        <v>16.989999999999998</v>
      </c>
      <c r="T8773" t="s">
        <v>42428</v>
      </c>
    </row>
    <row r="8774" spans="1:20">
      <c r="A8774">
        <v>4750090</v>
      </c>
      <c r="B8774" t="s">
        <v>42429</v>
      </c>
      <c r="C8774" t="str">
        <f>"9782760621947"</f>
        <v>9782760621947</v>
      </c>
      <c r="D8774" t="str">
        <f>"9782760631052"</f>
        <v>9782760631052</v>
      </c>
      <c r="E8774" t="s">
        <v>42231</v>
      </c>
      <c r="F8774" t="s">
        <v>42231</v>
      </c>
      <c r="G8774" s="1">
        <v>40909</v>
      </c>
      <c r="J8774" t="s">
        <v>42430</v>
      </c>
      <c r="K8774" t="s">
        <v>2260</v>
      </c>
      <c r="L8774" t="s">
        <v>42431</v>
      </c>
      <c r="M8774">
        <v>615.85149999999896</v>
      </c>
      <c r="N8774" t="s">
        <v>42432</v>
      </c>
      <c r="O8774" t="s">
        <v>94</v>
      </c>
      <c r="P8774">
        <v>11.99</v>
      </c>
      <c r="R8774">
        <v>11.99</v>
      </c>
      <c r="T8774" t="s">
        <v>42433</v>
      </c>
    </row>
    <row r="8775" spans="1:20">
      <c r="A8775">
        <v>4750093</v>
      </c>
      <c r="B8775" t="s">
        <v>42434</v>
      </c>
      <c r="C8775" t="str">
        <f>"9782760631144"</f>
        <v>9782760631144</v>
      </c>
      <c r="D8775" t="str">
        <f>"9782760631168"</f>
        <v>9782760631168</v>
      </c>
      <c r="E8775" t="s">
        <v>42231</v>
      </c>
      <c r="F8775" t="s">
        <v>42231</v>
      </c>
      <c r="G8775" s="1">
        <v>41474</v>
      </c>
      <c r="J8775" t="s">
        <v>42320</v>
      </c>
      <c r="K8775" t="s">
        <v>6444</v>
      </c>
      <c r="L8775" t="s">
        <v>42435</v>
      </c>
      <c r="M8775">
        <v>323.11970714</v>
      </c>
      <c r="N8775" t="s">
        <v>42436</v>
      </c>
      <c r="O8775" t="s">
        <v>94</v>
      </c>
      <c r="P8775">
        <v>21.99</v>
      </c>
      <c r="R8775">
        <v>21.99</v>
      </c>
      <c r="T8775" t="s">
        <v>42437</v>
      </c>
    </row>
    <row r="8776" spans="1:20">
      <c r="A8776">
        <v>4750095</v>
      </c>
      <c r="B8776" t="s">
        <v>42438</v>
      </c>
      <c r="C8776" t="str">
        <f>"9782760627796"</f>
        <v>9782760627796</v>
      </c>
      <c r="D8776" t="str">
        <f>"9782760631540"</f>
        <v>9782760631540</v>
      </c>
      <c r="E8776" t="s">
        <v>42231</v>
      </c>
      <c r="F8776" t="s">
        <v>42231</v>
      </c>
      <c r="G8776" s="1">
        <v>42035</v>
      </c>
      <c r="J8776" t="s">
        <v>42439</v>
      </c>
      <c r="K8776" t="s">
        <v>2260</v>
      </c>
      <c r="L8776" t="s">
        <v>42440</v>
      </c>
      <c r="M8776">
        <v>615.50710000000004</v>
      </c>
      <c r="N8776" t="s">
        <v>42441</v>
      </c>
      <c r="O8776" t="s">
        <v>94</v>
      </c>
      <c r="P8776">
        <v>16.989999999999998</v>
      </c>
      <c r="R8776">
        <v>16.989999999999998</v>
      </c>
      <c r="T8776" t="s">
        <v>42442</v>
      </c>
    </row>
    <row r="8777" spans="1:20">
      <c r="A8777">
        <v>4750098</v>
      </c>
      <c r="B8777" t="s">
        <v>42443</v>
      </c>
      <c r="C8777" t="str">
        <f>"9782760632387"</f>
        <v>9782760632387</v>
      </c>
      <c r="D8777" t="str">
        <f>"9782760632394"</f>
        <v>9782760632394</v>
      </c>
      <c r="E8777" t="s">
        <v>42231</v>
      </c>
      <c r="F8777" t="s">
        <v>42231</v>
      </c>
      <c r="G8777" s="1">
        <v>41640</v>
      </c>
      <c r="J8777" t="s">
        <v>42320</v>
      </c>
      <c r="K8777" t="s">
        <v>1471</v>
      </c>
      <c r="L8777" t="s">
        <v>42444</v>
      </c>
      <c r="M8777">
        <v>780.82</v>
      </c>
      <c r="N8777" t="s">
        <v>42445</v>
      </c>
      <c r="O8777" t="s">
        <v>94</v>
      </c>
      <c r="P8777">
        <v>24.99</v>
      </c>
      <c r="R8777">
        <v>24.99</v>
      </c>
      <c r="T8777" t="s">
        <v>42446</v>
      </c>
    </row>
    <row r="8778" spans="1:20">
      <c r="A8778">
        <v>4750099</v>
      </c>
      <c r="B8778" t="s">
        <v>42447</v>
      </c>
      <c r="C8778" t="str">
        <f>"9782760632684"</f>
        <v>9782760632684</v>
      </c>
      <c r="D8778" t="str">
        <f>"9782760632707"</f>
        <v>9782760632707</v>
      </c>
      <c r="E8778" t="s">
        <v>42231</v>
      </c>
      <c r="F8778" t="s">
        <v>42231</v>
      </c>
      <c r="G8778" s="1">
        <v>41275</v>
      </c>
      <c r="J8778" t="s">
        <v>42448</v>
      </c>
      <c r="K8778" t="s">
        <v>278</v>
      </c>
      <c r="L8778" t="s">
        <v>42449</v>
      </c>
      <c r="M8778">
        <v>330.97140400000001</v>
      </c>
      <c r="N8778" t="s">
        <v>42450</v>
      </c>
      <c r="O8778" t="s">
        <v>94</v>
      </c>
      <c r="P8778">
        <v>19.989999999999998</v>
      </c>
      <c r="R8778">
        <v>19.989999999999998</v>
      </c>
      <c r="T8778" t="s">
        <v>42451</v>
      </c>
    </row>
    <row r="8779" spans="1:20">
      <c r="A8779">
        <v>4750100</v>
      </c>
      <c r="B8779" t="s">
        <v>42452</v>
      </c>
      <c r="C8779" t="str">
        <f>"9782760632295"</f>
        <v>9782760632295</v>
      </c>
      <c r="D8779" t="str">
        <f>"9782760632301"</f>
        <v>9782760632301</v>
      </c>
      <c r="E8779" t="s">
        <v>42231</v>
      </c>
      <c r="F8779" t="s">
        <v>42231</v>
      </c>
      <c r="G8779" s="1">
        <v>42370</v>
      </c>
      <c r="J8779" t="s">
        <v>42453</v>
      </c>
      <c r="O8779" t="s">
        <v>94</v>
      </c>
      <c r="P8779">
        <v>15.99</v>
      </c>
      <c r="R8779">
        <v>15.99</v>
      </c>
      <c r="T8779" t="s">
        <v>42454</v>
      </c>
    </row>
    <row r="8780" spans="1:20">
      <c r="A8780">
        <v>4750101</v>
      </c>
      <c r="B8780" t="s">
        <v>42455</v>
      </c>
      <c r="C8780" t="str">
        <f>"9782760632806"</f>
        <v>9782760632806</v>
      </c>
      <c r="D8780" t="str">
        <f>"9782760632813"</f>
        <v>9782760632813</v>
      </c>
      <c r="E8780" t="s">
        <v>42231</v>
      </c>
      <c r="F8780" t="s">
        <v>42231</v>
      </c>
      <c r="G8780" s="1">
        <v>42005</v>
      </c>
      <c r="J8780" t="s">
        <v>42456</v>
      </c>
      <c r="K8780" t="s">
        <v>263</v>
      </c>
      <c r="L8780" t="s">
        <v>42457</v>
      </c>
      <c r="M8780">
        <v>394.2</v>
      </c>
      <c r="N8780" t="s">
        <v>42458</v>
      </c>
      <c r="O8780" t="s">
        <v>94</v>
      </c>
      <c r="P8780">
        <v>14.99</v>
      </c>
      <c r="R8780">
        <v>14.99</v>
      </c>
      <c r="T8780" t="s">
        <v>42459</v>
      </c>
    </row>
    <row r="8781" spans="1:20">
      <c r="A8781">
        <v>4750103</v>
      </c>
      <c r="B8781" t="s">
        <v>42460</v>
      </c>
      <c r="C8781" t="str">
        <f>"9782760622821"</f>
        <v>9782760622821</v>
      </c>
      <c r="D8781" t="str">
        <f>"9782760633292"</f>
        <v>9782760633292</v>
      </c>
      <c r="E8781" t="s">
        <v>42231</v>
      </c>
      <c r="F8781" t="s">
        <v>42231</v>
      </c>
      <c r="G8781" s="1">
        <v>42035</v>
      </c>
      <c r="J8781" t="s">
        <v>42320</v>
      </c>
      <c r="K8781" t="s">
        <v>376</v>
      </c>
      <c r="L8781" t="s">
        <v>42461</v>
      </c>
      <c r="M8781">
        <v>362.1</v>
      </c>
      <c r="N8781" t="s">
        <v>42462</v>
      </c>
      <c r="O8781" t="s">
        <v>94</v>
      </c>
      <c r="P8781">
        <v>9.99</v>
      </c>
      <c r="R8781">
        <v>9.99</v>
      </c>
      <c r="T8781" t="s">
        <v>42463</v>
      </c>
    </row>
    <row r="8782" spans="1:20">
      <c r="A8782">
        <v>4750104</v>
      </c>
      <c r="B8782" t="s">
        <v>42464</v>
      </c>
      <c r="C8782" t="str">
        <f>"9782760633483"</f>
        <v>9782760633483</v>
      </c>
      <c r="D8782" t="str">
        <f>"9782760633490"</f>
        <v>9782760633490</v>
      </c>
      <c r="E8782" t="s">
        <v>42231</v>
      </c>
      <c r="F8782" t="s">
        <v>42231</v>
      </c>
      <c r="G8782" s="1">
        <v>41640</v>
      </c>
      <c r="J8782" t="s">
        <v>42320</v>
      </c>
      <c r="K8782" t="s">
        <v>14398</v>
      </c>
      <c r="L8782" t="s">
        <v>42465</v>
      </c>
      <c r="M8782">
        <v>322.109714</v>
      </c>
      <c r="N8782" t="s">
        <v>42466</v>
      </c>
      <c r="O8782" t="s">
        <v>94</v>
      </c>
      <c r="P8782">
        <v>16.989999999999998</v>
      </c>
      <c r="R8782">
        <v>16.989999999999998</v>
      </c>
      <c r="T8782" t="s">
        <v>42467</v>
      </c>
    </row>
    <row r="8783" spans="1:20">
      <c r="A8783">
        <v>4750105</v>
      </c>
      <c r="B8783" t="s">
        <v>42468</v>
      </c>
      <c r="C8783" t="str">
        <f>"9782760632974"</f>
        <v>9782760632974</v>
      </c>
      <c r="D8783" t="str">
        <f>"9782760633711"</f>
        <v>9782760633711</v>
      </c>
      <c r="E8783" t="s">
        <v>42231</v>
      </c>
      <c r="F8783" t="s">
        <v>42231</v>
      </c>
      <c r="G8783" s="1">
        <v>41640</v>
      </c>
      <c r="J8783" t="s">
        <v>42320</v>
      </c>
      <c r="O8783" t="s">
        <v>94</v>
      </c>
      <c r="P8783">
        <v>22.99</v>
      </c>
      <c r="R8783">
        <v>22.99</v>
      </c>
      <c r="T8783" t="s">
        <v>42469</v>
      </c>
    </row>
    <row r="8784" spans="1:20">
      <c r="A8784">
        <v>4750107</v>
      </c>
      <c r="B8784" t="s">
        <v>42470</v>
      </c>
      <c r="C8784" t="str">
        <f>"9782760633834"</f>
        <v>9782760633834</v>
      </c>
      <c r="D8784" t="str">
        <f>"9782760633841"</f>
        <v>9782760633841</v>
      </c>
      <c r="E8784" t="s">
        <v>42231</v>
      </c>
      <c r="F8784" t="s">
        <v>42231</v>
      </c>
      <c r="G8784" s="1">
        <v>42005</v>
      </c>
      <c r="J8784" t="s">
        <v>42320</v>
      </c>
      <c r="O8784" t="s">
        <v>94</v>
      </c>
      <c r="P8784">
        <v>16.989999999999998</v>
      </c>
      <c r="R8784">
        <v>16.989999999999998</v>
      </c>
      <c r="T8784" t="s">
        <v>42471</v>
      </c>
    </row>
    <row r="8785" spans="1:20">
      <c r="A8785">
        <v>4750108</v>
      </c>
      <c r="B8785" t="s">
        <v>42472</v>
      </c>
      <c r="C8785" t="str">
        <f>"9782760634305"</f>
        <v>9782760634305</v>
      </c>
      <c r="D8785" t="str">
        <f>"9782760634312"</f>
        <v>9782760634312</v>
      </c>
      <c r="E8785" t="s">
        <v>42231</v>
      </c>
      <c r="F8785" t="s">
        <v>42231</v>
      </c>
      <c r="G8785" s="1">
        <v>42005</v>
      </c>
      <c r="J8785" t="s">
        <v>42473</v>
      </c>
      <c r="O8785" t="s">
        <v>94</v>
      </c>
      <c r="P8785">
        <v>14.99</v>
      </c>
      <c r="R8785">
        <v>14.99</v>
      </c>
      <c r="T8785" t="s">
        <v>42474</v>
      </c>
    </row>
    <row r="8786" spans="1:20">
      <c r="A8786">
        <v>4750109</v>
      </c>
      <c r="B8786" t="s">
        <v>42475</v>
      </c>
      <c r="C8786" t="str">
        <f>"9782760635296"</f>
        <v>9782760635296</v>
      </c>
      <c r="D8786" t="str">
        <f>"9782760635302"</f>
        <v>9782760635302</v>
      </c>
      <c r="E8786" t="s">
        <v>42231</v>
      </c>
      <c r="F8786" t="s">
        <v>42231</v>
      </c>
      <c r="G8786" s="1">
        <v>42005</v>
      </c>
      <c r="J8786" t="s">
        <v>38817</v>
      </c>
      <c r="K8786" t="s">
        <v>1550</v>
      </c>
      <c r="L8786" t="s">
        <v>42476</v>
      </c>
      <c r="M8786">
        <v>305.80097139999901</v>
      </c>
      <c r="N8786" t="s">
        <v>42477</v>
      </c>
      <c r="O8786" t="s">
        <v>94</v>
      </c>
      <c r="P8786">
        <v>16.989999999999998</v>
      </c>
      <c r="R8786">
        <v>16.989999999999998</v>
      </c>
      <c r="T8786" t="s">
        <v>42478</v>
      </c>
    </row>
    <row r="8787" spans="1:20">
      <c r="A8787">
        <v>4750110</v>
      </c>
      <c r="B8787" t="s">
        <v>42479</v>
      </c>
      <c r="C8787" t="str">
        <f>"9782760635173"</f>
        <v>9782760635173</v>
      </c>
      <c r="D8787" t="str">
        <f>"9782760635180"</f>
        <v>9782760635180</v>
      </c>
      <c r="E8787" t="s">
        <v>42231</v>
      </c>
      <c r="F8787" t="s">
        <v>42231</v>
      </c>
      <c r="G8787" s="1">
        <v>42370</v>
      </c>
      <c r="J8787" t="s">
        <v>42480</v>
      </c>
      <c r="O8787" t="s">
        <v>94</v>
      </c>
      <c r="P8787">
        <v>17.989999999999998</v>
      </c>
      <c r="R8787">
        <v>17.989999999999998</v>
      </c>
      <c r="T8787" t="s">
        <v>42481</v>
      </c>
    </row>
    <row r="8788" spans="1:20">
      <c r="A8788">
        <v>4750111</v>
      </c>
      <c r="B8788" t="s">
        <v>42482</v>
      </c>
      <c r="C8788" t="str">
        <f>"9782760635418"</f>
        <v>9782760635418</v>
      </c>
      <c r="D8788" t="str">
        <f>"9782760635425"</f>
        <v>9782760635425</v>
      </c>
      <c r="E8788" t="s">
        <v>42231</v>
      </c>
      <c r="F8788" t="s">
        <v>42231</v>
      </c>
      <c r="G8788" s="1">
        <v>42005</v>
      </c>
      <c r="J8788" t="s">
        <v>42483</v>
      </c>
      <c r="K8788" t="s">
        <v>257</v>
      </c>
      <c r="L8788" t="s">
        <v>42484</v>
      </c>
      <c r="M8788">
        <v>374</v>
      </c>
      <c r="N8788" t="s">
        <v>42485</v>
      </c>
      <c r="O8788" t="s">
        <v>94</v>
      </c>
      <c r="P8788">
        <v>16.989999999999998</v>
      </c>
      <c r="R8788">
        <v>16.989999999999998</v>
      </c>
      <c r="T8788" t="s">
        <v>42486</v>
      </c>
    </row>
    <row r="8789" spans="1:20">
      <c r="A8789">
        <v>4750113</v>
      </c>
      <c r="B8789" t="s">
        <v>42487</v>
      </c>
      <c r="C8789" t="str">
        <f>"9782760635562"</f>
        <v>9782760635562</v>
      </c>
      <c r="D8789" t="str">
        <f>"9782760635579"</f>
        <v>9782760635579</v>
      </c>
      <c r="E8789" t="s">
        <v>42231</v>
      </c>
      <c r="F8789" t="s">
        <v>42231</v>
      </c>
      <c r="G8789" s="1">
        <v>42370</v>
      </c>
      <c r="J8789" t="s">
        <v>42488</v>
      </c>
      <c r="K8789" t="s">
        <v>263</v>
      </c>
      <c r="L8789" t="s">
        <v>42489</v>
      </c>
      <c r="M8789">
        <v>309.26209710000001</v>
      </c>
      <c r="N8789" t="s">
        <v>42490</v>
      </c>
      <c r="O8789" t="s">
        <v>94</v>
      </c>
      <c r="P8789">
        <v>19.989999999999998</v>
      </c>
      <c r="R8789">
        <v>19.989999999999998</v>
      </c>
      <c r="T8789" t="s">
        <v>42491</v>
      </c>
    </row>
    <row r="8790" spans="1:20">
      <c r="A8790">
        <v>4750114</v>
      </c>
      <c r="B8790" t="s">
        <v>42492</v>
      </c>
      <c r="C8790" t="str">
        <f>"9782760635838"</f>
        <v>9782760635838</v>
      </c>
      <c r="D8790" t="str">
        <f>"9782760635845"</f>
        <v>9782760635845</v>
      </c>
      <c r="E8790" t="s">
        <v>42231</v>
      </c>
      <c r="F8790" t="s">
        <v>42231</v>
      </c>
      <c r="G8790" s="1">
        <v>42005</v>
      </c>
      <c r="J8790" t="s">
        <v>42448</v>
      </c>
      <c r="K8790" t="s">
        <v>263</v>
      </c>
      <c r="L8790" t="s">
        <v>42493</v>
      </c>
      <c r="M8790">
        <v>306.08</v>
      </c>
      <c r="N8790" t="s">
        <v>42494</v>
      </c>
      <c r="O8790" t="s">
        <v>94</v>
      </c>
      <c r="P8790">
        <v>14.99</v>
      </c>
      <c r="R8790">
        <v>14.99</v>
      </c>
      <c r="T8790" t="s">
        <v>42495</v>
      </c>
    </row>
    <row r="8791" spans="1:20">
      <c r="A8791">
        <v>4750115</v>
      </c>
      <c r="B8791" t="s">
        <v>42496</v>
      </c>
      <c r="C8791" t="str">
        <f>"9782760636354"</f>
        <v>9782760636354</v>
      </c>
      <c r="D8791" t="str">
        <f>"9782760636361"</f>
        <v>9782760636361</v>
      </c>
      <c r="E8791" t="s">
        <v>42231</v>
      </c>
      <c r="F8791" t="s">
        <v>42231</v>
      </c>
      <c r="G8791" s="1">
        <v>42370</v>
      </c>
      <c r="J8791" t="s">
        <v>42497</v>
      </c>
      <c r="O8791" t="s">
        <v>94</v>
      </c>
      <c r="P8791">
        <v>22.99</v>
      </c>
      <c r="R8791">
        <v>22.99</v>
      </c>
      <c r="T8791" t="s">
        <v>42498</v>
      </c>
    </row>
    <row r="8792" spans="1:20">
      <c r="A8792">
        <v>4750116</v>
      </c>
      <c r="B8792" t="s">
        <v>42499</v>
      </c>
      <c r="C8792" t="str">
        <f>"9782760636293"</f>
        <v>9782760636293</v>
      </c>
      <c r="D8792" t="str">
        <f>"9782760636309"</f>
        <v>9782760636309</v>
      </c>
      <c r="E8792" t="s">
        <v>42231</v>
      </c>
      <c r="F8792" t="s">
        <v>42231</v>
      </c>
      <c r="G8792" s="1">
        <v>42370</v>
      </c>
      <c r="J8792" t="s">
        <v>42500</v>
      </c>
      <c r="O8792" t="s">
        <v>94</v>
      </c>
      <c r="P8792">
        <v>16.989999999999998</v>
      </c>
      <c r="R8792">
        <v>16.989999999999998</v>
      </c>
      <c r="T8792" t="s">
        <v>42501</v>
      </c>
    </row>
    <row r="8793" spans="1:20">
      <c r="A8793">
        <v>4750117</v>
      </c>
      <c r="B8793" t="s">
        <v>42502</v>
      </c>
      <c r="C8793" t="str">
        <f>"9782760636453"</f>
        <v>9782760636453</v>
      </c>
      <c r="D8793" t="str">
        <f>"9782760636460"</f>
        <v>9782760636460</v>
      </c>
      <c r="E8793" t="s">
        <v>42231</v>
      </c>
      <c r="F8793" t="s">
        <v>42231</v>
      </c>
      <c r="G8793" s="1">
        <v>42370</v>
      </c>
      <c r="J8793" t="s">
        <v>42503</v>
      </c>
      <c r="K8793" t="s">
        <v>2951</v>
      </c>
      <c r="L8793" t="s">
        <v>42504</v>
      </c>
      <c r="M8793">
        <v>306.44900000000001</v>
      </c>
      <c r="N8793" t="s">
        <v>42505</v>
      </c>
      <c r="O8793" t="s">
        <v>94</v>
      </c>
      <c r="P8793">
        <v>14.99</v>
      </c>
      <c r="R8793">
        <v>14.99</v>
      </c>
      <c r="T8793" t="s">
        <v>42506</v>
      </c>
    </row>
    <row r="8794" spans="1:20">
      <c r="A8794">
        <v>4750118</v>
      </c>
      <c r="B8794" t="s">
        <v>42507</v>
      </c>
      <c r="C8794" t="str">
        <f>"9782760636606"</f>
        <v>9782760636606</v>
      </c>
      <c r="D8794" t="str">
        <f>"9782760636613"</f>
        <v>9782760636613</v>
      </c>
      <c r="E8794" t="s">
        <v>42231</v>
      </c>
      <c r="F8794" t="s">
        <v>42231</v>
      </c>
      <c r="G8794" s="1">
        <v>42370</v>
      </c>
      <c r="J8794" t="s">
        <v>42508</v>
      </c>
      <c r="K8794" t="s">
        <v>1859</v>
      </c>
      <c r="L8794" t="s">
        <v>42509</v>
      </c>
      <c r="M8794">
        <v>121</v>
      </c>
      <c r="N8794" t="s">
        <v>22218</v>
      </c>
      <c r="O8794" t="s">
        <v>94</v>
      </c>
      <c r="P8794">
        <v>24.99</v>
      </c>
      <c r="R8794">
        <v>24.99</v>
      </c>
      <c r="T8794" t="s">
        <v>42510</v>
      </c>
    </row>
    <row r="8795" spans="1:20">
      <c r="A8795">
        <v>4750119</v>
      </c>
      <c r="B8795" t="s">
        <v>42511</v>
      </c>
      <c r="C8795" t="str">
        <f>"9782760636385"</f>
        <v>9782760636385</v>
      </c>
      <c r="D8795" t="str">
        <f>"9782760636392"</f>
        <v>9782760636392</v>
      </c>
      <c r="E8795" t="s">
        <v>42231</v>
      </c>
      <c r="F8795" t="s">
        <v>42231</v>
      </c>
      <c r="G8795" s="1">
        <v>42370</v>
      </c>
      <c r="J8795" t="s">
        <v>42512</v>
      </c>
      <c r="K8795" t="s">
        <v>2260</v>
      </c>
      <c r="L8795" t="s">
        <v>42513</v>
      </c>
      <c r="M8795">
        <v>610.904</v>
      </c>
      <c r="N8795" t="s">
        <v>42514</v>
      </c>
      <c r="O8795" t="s">
        <v>94</v>
      </c>
      <c r="P8795">
        <v>17.989999999999998</v>
      </c>
      <c r="R8795">
        <v>17.989999999999998</v>
      </c>
      <c r="T8795" t="s">
        <v>42515</v>
      </c>
    </row>
    <row r="8796" spans="1:20">
      <c r="A8796">
        <v>4750120</v>
      </c>
      <c r="B8796" t="s">
        <v>42516</v>
      </c>
      <c r="C8796" t="str">
        <f>"9782760617476"</f>
        <v>9782760617476</v>
      </c>
      <c r="D8796" t="str">
        <f>"9782760623163"</f>
        <v>9782760623163</v>
      </c>
      <c r="E8796" t="s">
        <v>42231</v>
      </c>
      <c r="F8796" t="s">
        <v>42231</v>
      </c>
      <c r="G8796" s="1">
        <v>39814</v>
      </c>
      <c r="J8796" t="s">
        <v>42517</v>
      </c>
      <c r="K8796" t="s">
        <v>291</v>
      </c>
      <c r="L8796" t="s">
        <v>42518</v>
      </c>
      <c r="M8796">
        <v>971.00411399999905</v>
      </c>
      <c r="N8796" t="s">
        <v>42519</v>
      </c>
      <c r="O8796" t="s">
        <v>94</v>
      </c>
      <c r="P8796">
        <v>16.989999999999998</v>
      </c>
      <c r="R8796">
        <v>16.989999999999998</v>
      </c>
      <c r="T8796" t="s">
        <v>42520</v>
      </c>
    </row>
    <row r="8797" spans="1:20">
      <c r="A8797">
        <v>4750124</v>
      </c>
      <c r="B8797" t="s">
        <v>42521</v>
      </c>
      <c r="C8797" t="str">
        <f>"9782760618312"</f>
        <v>9782760618312</v>
      </c>
      <c r="D8797" t="str">
        <f>"9782760624054"</f>
        <v>9782760624054</v>
      </c>
      <c r="E8797" t="s">
        <v>42231</v>
      </c>
      <c r="F8797" t="s">
        <v>42231</v>
      </c>
      <c r="G8797" s="1">
        <v>37622</v>
      </c>
      <c r="J8797" t="s">
        <v>42522</v>
      </c>
      <c r="O8797" t="s">
        <v>94</v>
      </c>
      <c r="P8797">
        <v>16.989999999999998</v>
      </c>
      <c r="Q8797">
        <v>21.24</v>
      </c>
      <c r="R8797">
        <v>16.989999999999998</v>
      </c>
      <c r="S8797">
        <v>25.49</v>
      </c>
      <c r="T8797" t="s">
        <v>42523</v>
      </c>
    </row>
    <row r="8798" spans="1:20">
      <c r="A8798">
        <v>4750125</v>
      </c>
      <c r="B8798" t="s">
        <v>42524</v>
      </c>
      <c r="C8798" t="str">
        <f>"9782760620094"</f>
        <v>9782760620094</v>
      </c>
      <c r="D8798" t="str">
        <f>"9782760624375"</f>
        <v>9782760624375</v>
      </c>
      <c r="E8798" t="s">
        <v>42231</v>
      </c>
      <c r="F8798" t="s">
        <v>42231</v>
      </c>
      <c r="G8798" s="1">
        <v>38718</v>
      </c>
      <c r="J8798" t="s">
        <v>42525</v>
      </c>
      <c r="O8798" t="s">
        <v>94</v>
      </c>
      <c r="P8798">
        <v>16.989999999999998</v>
      </c>
      <c r="Q8798">
        <v>21.24</v>
      </c>
      <c r="R8798">
        <v>16.989999999999998</v>
      </c>
      <c r="S8798">
        <v>25.49</v>
      </c>
      <c r="T8798" t="s">
        <v>42526</v>
      </c>
    </row>
    <row r="8799" spans="1:20">
      <c r="A8799">
        <v>4750130</v>
      </c>
      <c r="B8799" t="s">
        <v>42527</v>
      </c>
      <c r="C8799" t="str">
        <f>"9782760618114"</f>
        <v>9782760618114</v>
      </c>
      <c r="D8799" t="str">
        <f>"9782760623644"</f>
        <v>9782760623644</v>
      </c>
      <c r="E8799" t="s">
        <v>42231</v>
      </c>
      <c r="F8799" t="s">
        <v>42231</v>
      </c>
      <c r="G8799" s="1">
        <v>36892</v>
      </c>
      <c r="J8799" t="s">
        <v>42528</v>
      </c>
      <c r="K8799" t="s">
        <v>6444</v>
      </c>
      <c r="L8799" t="s">
        <v>42529</v>
      </c>
      <c r="M8799">
        <v>320.54097139999902</v>
      </c>
      <c r="N8799" t="s">
        <v>42530</v>
      </c>
      <c r="O8799" t="s">
        <v>94</v>
      </c>
      <c r="P8799">
        <v>16.989999999999998</v>
      </c>
      <c r="Q8799">
        <v>21.24</v>
      </c>
      <c r="R8799">
        <v>16.989999999999998</v>
      </c>
      <c r="S8799">
        <v>25.49</v>
      </c>
      <c r="T8799" t="s">
        <v>42531</v>
      </c>
    </row>
    <row r="8800" spans="1:20">
      <c r="A8800">
        <v>4750133</v>
      </c>
      <c r="B8800" t="s">
        <v>42532</v>
      </c>
      <c r="C8800" t="str">
        <f>"9782760618329"</f>
        <v>9782760618329</v>
      </c>
      <c r="D8800" t="str">
        <f>"9782760623682"</f>
        <v>9782760623682</v>
      </c>
      <c r="E8800" t="s">
        <v>42231</v>
      </c>
      <c r="F8800" t="s">
        <v>42231</v>
      </c>
      <c r="G8800" s="1">
        <v>37257</v>
      </c>
      <c r="J8800" t="s">
        <v>42533</v>
      </c>
      <c r="K8800" t="s">
        <v>467</v>
      </c>
      <c r="L8800" t="s">
        <v>42534</v>
      </c>
      <c r="M8800">
        <v>352.6</v>
      </c>
      <c r="N8800" t="s">
        <v>42535</v>
      </c>
      <c r="O8800" t="s">
        <v>94</v>
      </c>
      <c r="P8800">
        <v>16.989999999999998</v>
      </c>
      <c r="Q8800">
        <v>21.24</v>
      </c>
      <c r="R8800">
        <v>16.989999999999998</v>
      </c>
      <c r="S8800">
        <v>25.49</v>
      </c>
      <c r="T8800" t="s">
        <v>42536</v>
      </c>
    </row>
    <row r="8801" spans="1:20">
      <c r="A8801">
        <v>4750135</v>
      </c>
      <c r="B8801" t="s">
        <v>42537</v>
      </c>
      <c r="C8801" t="str">
        <f>"9782760618411"</f>
        <v>9782760618411</v>
      </c>
      <c r="D8801" t="str">
        <f>"9782760623781"</f>
        <v>9782760623781</v>
      </c>
      <c r="E8801" t="s">
        <v>42231</v>
      </c>
      <c r="F8801" t="s">
        <v>42231</v>
      </c>
      <c r="G8801" s="1">
        <v>37257</v>
      </c>
      <c r="J8801" t="s">
        <v>42538</v>
      </c>
      <c r="K8801" t="s">
        <v>278</v>
      </c>
      <c r="L8801" t="s">
        <v>42539</v>
      </c>
      <c r="M8801">
        <v>332.10971000000001</v>
      </c>
      <c r="N8801" t="s">
        <v>42540</v>
      </c>
      <c r="O8801" t="s">
        <v>94</v>
      </c>
      <c r="P8801">
        <v>16.989999999999998</v>
      </c>
      <c r="Q8801">
        <v>21.24</v>
      </c>
      <c r="R8801">
        <v>16.989999999999998</v>
      </c>
      <c r="S8801">
        <v>25.49</v>
      </c>
      <c r="T8801" t="s">
        <v>42541</v>
      </c>
    </row>
    <row r="8802" spans="1:20">
      <c r="A8802">
        <v>4750136</v>
      </c>
      <c r="B8802" t="s">
        <v>42542</v>
      </c>
      <c r="C8802" t="str">
        <f>"9782760618503"</f>
        <v>9782760618503</v>
      </c>
      <c r="D8802" t="str">
        <f>"9782760623798"</f>
        <v>9782760623798</v>
      </c>
      <c r="E8802" t="s">
        <v>42231</v>
      </c>
      <c r="F8802" t="s">
        <v>42231</v>
      </c>
      <c r="G8802" s="1">
        <v>37257</v>
      </c>
      <c r="J8802" t="s">
        <v>42543</v>
      </c>
      <c r="K8802" t="s">
        <v>10956</v>
      </c>
      <c r="L8802" t="s">
        <v>42544</v>
      </c>
      <c r="M8802">
        <v>71.14</v>
      </c>
      <c r="N8802" t="s">
        <v>42545</v>
      </c>
      <c r="O8802" t="s">
        <v>94</v>
      </c>
      <c r="P8802">
        <v>12.99</v>
      </c>
      <c r="Q8802">
        <v>16.239999999999998</v>
      </c>
      <c r="R8802">
        <v>12.99</v>
      </c>
      <c r="S8802">
        <v>19.489999999999998</v>
      </c>
      <c r="T8802" t="s">
        <v>42546</v>
      </c>
    </row>
    <row r="8803" spans="1:20">
      <c r="A8803">
        <v>4750137</v>
      </c>
      <c r="B8803" t="s">
        <v>42547</v>
      </c>
      <c r="C8803" t="str">
        <f>"9782760618527"</f>
        <v>9782760618527</v>
      </c>
      <c r="D8803" t="str">
        <f>"9782760623842"</f>
        <v>9782760623842</v>
      </c>
      <c r="E8803" t="s">
        <v>42231</v>
      </c>
      <c r="F8803" t="s">
        <v>42231</v>
      </c>
      <c r="G8803" s="1">
        <v>37257</v>
      </c>
      <c r="J8803" t="s">
        <v>42548</v>
      </c>
      <c r="K8803" t="s">
        <v>278</v>
      </c>
      <c r="L8803" t="s">
        <v>42549</v>
      </c>
      <c r="M8803">
        <v>338.74097139999901</v>
      </c>
      <c r="N8803" t="s">
        <v>42550</v>
      </c>
      <c r="O8803" t="s">
        <v>94</v>
      </c>
      <c r="P8803">
        <v>15.99</v>
      </c>
      <c r="Q8803">
        <v>19.989999999999998</v>
      </c>
      <c r="R8803">
        <v>15.99</v>
      </c>
      <c r="S8803">
        <v>23.99</v>
      </c>
      <c r="T8803" t="s">
        <v>42551</v>
      </c>
    </row>
    <row r="8804" spans="1:20">
      <c r="A8804">
        <v>4750138</v>
      </c>
      <c r="B8804" t="s">
        <v>42552</v>
      </c>
      <c r="C8804" t="str">
        <f>"9782760618671"</f>
        <v>9782760618671</v>
      </c>
      <c r="D8804" t="str">
        <f>"9782760623910"</f>
        <v>9782760623910</v>
      </c>
      <c r="E8804" t="s">
        <v>42231</v>
      </c>
      <c r="F8804" t="s">
        <v>42231</v>
      </c>
      <c r="G8804" s="1">
        <v>37622</v>
      </c>
      <c r="J8804" t="s">
        <v>42553</v>
      </c>
      <c r="K8804" t="s">
        <v>263</v>
      </c>
      <c r="L8804" t="s">
        <v>42554</v>
      </c>
      <c r="M8804">
        <v>364.3</v>
      </c>
      <c r="N8804" t="s">
        <v>42555</v>
      </c>
      <c r="O8804" t="s">
        <v>94</v>
      </c>
      <c r="P8804">
        <v>11.99</v>
      </c>
      <c r="Q8804">
        <v>14.99</v>
      </c>
      <c r="R8804">
        <v>11.99</v>
      </c>
      <c r="S8804">
        <v>17.989999999999998</v>
      </c>
      <c r="T8804" t="s">
        <v>42556</v>
      </c>
    </row>
    <row r="8805" spans="1:20">
      <c r="A8805">
        <v>4750143</v>
      </c>
      <c r="B8805" t="s">
        <v>42557</v>
      </c>
      <c r="C8805" t="str">
        <f>"9782760618718"</f>
        <v>9782760618718</v>
      </c>
      <c r="D8805" t="str">
        <f>"9782760624030"</f>
        <v>9782760624030</v>
      </c>
      <c r="E8805" t="s">
        <v>42231</v>
      </c>
      <c r="F8805" t="s">
        <v>42231</v>
      </c>
      <c r="G8805" s="1">
        <v>37622</v>
      </c>
      <c r="J8805" t="s">
        <v>42558</v>
      </c>
      <c r="K8805" t="s">
        <v>1127</v>
      </c>
      <c r="L8805" t="s">
        <v>42559</v>
      </c>
      <c r="M8805">
        <v>153.6</v>
      </c>
      <c r="N8805" t="s">
        <v>42560</v>
      </c>
      <c r="O8805" t="s">
        <v>94</v>
      </c>
      <c r="P8805">
        <v>14.99</v>
      </c>
      <c r="Q8805">
        <v>18.739999999999998</v>
      </c>
      <c r="R8805">
        <v>14.99</v>
      </c>
      <c r="S8805">
        <v>22.49</v>
      </c>
      <c r="T8805" t="s">
        <v>42561</v>
      </c>
    </row>
    <row r="8806" spans="1:20">
      <c r="A8806">
        <v>4750144</v>
      </c>
      <c r="B8806" t="s">
        <v>42562</v>
      </c>
      <c r="C8806" t="str">
        <f>"9782760618077"</f>
        <v>9782760618077</v>
      </c>
      <c r="D8806" t="str">
        <f>"9782760624085"</f>
        <v>9782760624085</v>
      </c>
      <c r="E8806" t="s">
        <v>42231</v>
      </c>
      <c r="F8806" t="s">
        <v>42231</v>
      </c>
      <c r="G8806" s="1">
        <v>37622</v>
      </c>
      <c r="J8806" t="s">
        <v>42563</v>
      </c>
      <c r="K8806" t="s">
        <v>1127</v>
      </c>
      <c r="L8806" t="s">
        <v>42564</v>
      </c>
      <c r="M8806">
        <v>155.5</v>
      </c>
      <c r="N8806" t="s">
        <v>42565</v>
      </c>
      <c r="O8806" t="s">
        <v>94</v>
      </c>
      <c r="P8806">
        <v>11.99</v>
      </c>
      <c r="Q8806">
        <v>14.99</v>
      </c>
      <c r="R8806">
        <v>11.99</v>
      </c>
      <c r="S8806">
        <v>17.989999999999998</v>
      </c>
      <c r="T8806" t="s">
        <v>42566</v>
      </c>
    </row>
    <row r="8807" spans="1:20">
      <c r="A8807">
        <v>4750145</v>
      </c>
      <c r="B8807" t="s">
        <v>42567</v>
      </c>
      <c r="C8807" t="str">
        <f>"9782760618732"</f>
        <v>9782760618732</v>
      </c>
      <c r="D8807" t="str">
        <f>"9782760624092"</f>
        <v>9782760624092</v>
      </c>
      <c r="E8807" t="s">
        <v>42231</v>
      </c>
      <c r="F8807" t="s">
        <v>42231</v>
      </c>
      <c r="G8807" s="1">
        <v>37622</v>
      </c>
      <c r="J8807" t="s">
        <v>42568</v>
      </c>
      <c r="K8807" t="s">
        <v>263</v>
      </c>
      <c r="L8807" t="s">
        <v>42569</v>
      </c>
      <c r="M8807">
        <v>364</v>
      </c>
      <c r="N8807" t="s">
        <v>42570</v>
      </c>
      <c r="O8807" t="s">
        <v>94</v>
      </c>
      <c r="P8807">
        <v>14.99</v>
      </c>
      <c r="Q8807">
        <v>18.739999999999998</v>
      </c>
      <c r="R8807">
        <v>14.99</v>
      </c>
      <c r="S8807">
        <v>22.49</v>
      </c>
      <c r="T8807" t="s">
        <v>42571</v>
      </c>
    </row>
    <row r="8808" spans="1:20">
      <c r="A8808">
        <v>4750146</v>
      </c>
      <c r="B8808" t="s">
        <v>42572</v>
      </c>
      <c r="C8808" t="str">
        <f>"9782760618688"</f>
        <v>9782760618688</v>
      </c>
      <c r="D8808" t="str">
        <f>"9782760624115"</f>
        <v>9782760624115</v>
      </c>
      <c r="E8808" t="s">
        <v>42231</v>
      </c>
      <c r="F8808" t="s">
        <v>42231</v>
      </c>
      <c r="G8808" s="1">
        <v>37622</v>
      </c>
      <c r="J8808" t="s">
        <v>42573</v>
      </c>
      <c r="K8808" t="s">
        <v>263</v>
      </c>
      <c r="L8808" t="s">
        <v>42574</v>
      </c>
      <c r="M8808">
        <v>302.23014000000001</v>
      </c>
      <c r="N8808" t="s">
        <v>42575</v>
      </c>
      <c r="O8808" t="s">
        <v>94</v>
      </c>
      <c r="P8808">
        <v>11.99</v>
      </c>
      <c r="Q8808">
        <v>14.99</v>
      </c>
      <c r="R8808">
        <v>11.99</v>
      </c>
      <c r="S8808">
        <v>17.989999999999998</v>
      </c>
      <c r="T8808" t="s">
        <v>42576</v>
      </c>
    </row>
    <row r="8809" spans="1:20">
      <c r="A8809">
        <v>4750151</v>
      </c>
      <c r="B8809" t="s">
        <v>42577</v>
      </c>
      <c r="C8809" t="str">
        <f>"9782760618091"</f>
        <v>9782760618091</v>
      </c>
      <c r="D8809" t="str">
        <f>"9782760624191"</f>
        <v>9782760624191</v>
      </c>
      <c r="E8809" t="s">
        <v>42231</v>
      </c>
      <c r="F8809" t="s">
        <v>42231</v>
      </c>
      <c r="G8809" s="1">
        <v>37987</v>
      </c>
      <c r="J8809" t="s">
        <v>42578</v>
      </c>
      <c r="K8809" t="s">
        <v>10436</v>
      </c>
      <c r="L8809" t="s">
        <v>42579</v>
      </c>
      <c r="M8809">
        <v>363.73099999999903</v>
      </c>
      <c r="N8809" t="s">
        <v>42580</v>
      </c>
      <c r="O8809" t="s">
        <v>94</v>
      </c>
      <c r="P8809">
        <v>19.989999999999998</v>
      </c>
      <c r="Q8809">
        <v>24.99</v>
      </c>
      <c r="R8809">
        <v>19.989999999999998</v>
      </c>
      <c r="S8809">
        <v>29.99</v>
      </c>
      <c r="T8809" t="s">
        <v>42581</v>
      </c>
    </row>
    <row r="8810" spans="1:20">
      <c r="A8810">
        <v>4750152</v>
      </c>
      <c r="B8810" t="s">
        <v>42582</v>
      </c>
      <c r="C8810" t="str">
        <f>"9782760618725"</f>
        <v>9782760618725</v>
      </c>
      <c r="D8810" t="str">
        <f>"9782760624221"</f>
        <v>9782760624221</v>
      </c>
      <c r="E8810" t="s">
        <v>42231</v>
      </c>
      <c r="F8810" t="s">
        <v>42231</v>
      </c>
      <c r="G8810" s="1">
        <v>37987</v>
      </c>
      <c r="J8810" t="s">
        <v>42583</v>
      </c>
      <c r="K8810" t="s">
        <v>2260</v>
      </c>
      <c r="L8810" t="s">
        <v>42584</v>
      </c>
      <c r="M8810">
        <v>616.85844499999905</v>
      </c>
      <c r="N8810" t="s">
        <v>42585</v>
      </c>
      <c r="O8810" t="s">
        <v>94</v>
      </c>
      <c r="P8810">
        <v>10.99</v>
      </c>
      <c r="Q8810">
        <v>13.74</v>
      </c>
      <c r="R8810">
        <v>10.99</v>
      </c>
      <c r="S8810">
        <v>16.489999999999998</v>
      </c>
      <c r="T8810" t="s">
        <v>42586</v>
      </c>
    </row>
    <row r="8811" spans="1:20">
      <c r="A8811">
        <v>4750153</v>
      </c>
      <c r="B8811" t="s">
        <v>42587</v>
      </c>
      <c r="C8811" t="str">
        <f>"9782760619494"</f>
        <v>9782760619494</v>
      </c>
      <c r="D8811" t="str">
        <f>"9782760624252"</f>
        <v>9782760624252</v>
      </c>
      <c r="E8811" t="s">
        <v>42231</v>
      </c>
      <c r="F8811" t="s">
        <v>42231</v>
      </c>
      <c r="G8811" s="1">
        <v>37987</v>
      </c>
      <c r="J8811" t="s">
        <v>42588</v>
      </c>
      <c r="K8811" t="s">
        <v>4081</v>
      </c>
      <c r="L8811" t="s">
        <v>42589</v>
      </c>
      <c r="M8811">
        <v>413.02300000000002</v>
      </c>
      <c r="N8811" t="s">
        <v>42590</v>
      </c>
      <c r="O8811" t="s">
        <v>94</v>
      </c>
      <c r="P8811">
        <v>15.99</v>
      </c>
      <c r="Q8811">
        <v>19.989999999999998</v>
      </c>
      <c r="R8811">
        <v>15.99</v>
      </c>
      <c r="S8811">
        <v>23.99</v>
      </c>
      <c r="T8811" t="s">
        <v>42591</v>
      </c>
    </row>
    <row r="8812" spans="1:20">
      <c r="A8812">
        <v>4750154</v>
      </c>
      <c r="B8812" t="s">
        <v>42592</v>
      </c>
      <c r="C8812" t="str">
        <f>"9782760618756"</f>
        <v>9782760618756</v>
      </c>
      <c r="D8812" t="str">
        <f>"9782760624269"</f>
        <v>9782760624269</v>
      </c>
      <c r="E8812" t="s">
        <v>42231</v>
      </c>
      <c r="F8812" t="s">
        <v>42231</v>
      </c>
      <c r="G8812" s="1">
        <v>37987</v>
      </c>
      <c r="J8812" t="s">
        <v>42593</v>
      </c>
      <c r="O8812" t="s">
        <v>94</v>
      </c>
      <c r="P8812">
        <v>15.99</v>
      </c>
      <c r="Q8812">
        <v>19.989999999999998</v>
      </c>
      <c r="R8812">
        <v>15.99</v>
      </c>
      <c r="S8812">
        <v>23.99</v>
      </c>
      <c r="T8812" t="s">
        <v>42594</v>
      </c>
    </row>
    <row r="8813" spans="1:20">
      <c r="A8813">
        <v>4750157</v>
      </c>
      <c r="B8813" t="s">
        <v>42595</v>
      </c>
      <c r="C8813" t="str">
        <f>"9782760619890"</f>
        <v>9782760619890</v>
      </c>
      <c r="D8813" t="str">
        <f>"9782760624412"</f>
        <v>9782760624412</v>
      </c>
      <c r="E8813" t="s">
        <v>42231</v>
      </c>
      <c r="F8813" t="s">
        <v>42231</v>
      </c>
      <c r="G8813" s="1">
        <v>38718</v>
      </c>
      <c r="J8813" t="s">
        <v>42596</v>
      </c>
      <c r="O8813" t="s">
        <v>94</v>
      </c>
      <c r="P8813">
        <v>14.99</v>
      </c>
      <c r="Q8813">
        <v>18.739999999999998</v>
      </c>
      <c r="R8813">
        <v>14.99</v>
      </c>
      <c r="S8813">
        <v>22.49</v>
      </c>
      <c r="T8813" t="s">
        <v>42597</v>
      </c>
    </row>
    <row r="8814" spans="1:20">
      <c r="A8814">
        <v>4750158</v>
      </c>
      <c r="B8814" t="s">
        <v>42598</v>
      </c>
      <c r="C8814" t="str">
        <f>"9782760619913"</f>
        <v>9782760619913</v>
      </c>
      <c r="D8814" t="str">
        <f>"9782760624436"</f>
        <v>9782760624436</v>
      </c>
      <c r="E8814" t="s">
        <v>42231</v>
      </c>
      <c r="F8814" t="s">
        <v>42231</v>
      </c>
      <c r="G8814" s="1">
        <v>38353</v>
      </c>
      <c r="J8814" t="s">
        <v>42599</v>
      </c>
      <c r="O8814" t="s">
        <v>94</v>
      </c>
      <c r="P8814">
        <v>11.99</v>
      </c>
      <c r="Q8814">
        <v>14.99</v>
      </c>
      <c r="R8814">
        <v>11.99</v>
      </c>
      <c r="S8814">
        <v>17.989999999999998</v>
      </c>
      <c r="T8814" t="s">
        <v>42600</v>
      </c>
    </row>
    <row r="8815" spans="1:20">
      <c r="A8815">
        <v>4750159</v>
      </c>
      <c r="B8815" t="s">
        <v>42601</v>
      </c>
      <c r="C8815" t="str">
        <f>"9782760619760"</f>
        <v>9782760619760</v>
      </c>
      <c r="D8815" t="str">
        <f>"9782760624528"</f>
        <v>9782760624528</v>
      </c>
      <c r="E8815" t="s">
        <v>42231</v>
      </c>
      <c r="F8815" t="s">
        <v>42231</v>
      </c>
      <c r="G8815" s="1">
        <v>38353</v>
      </c>
      <c r="J8815" t="s">
        <v>42602</v>
      </c>
      <c r="K8815" t="s">
        <v>263</v>
      </c>
      <c r="L8815" t="s">
        <v>42603</v>
      </c>
      <c r="M8815">
        <v>300.10000000000002</v>
      </c>
      <c r="N8815" t="s">
        <v>42604</v>
      </c>
      <c r="O8815" t="s">
        <v>94</v>
      </c>
      <c r="P8815">
        <v>14.99</v>
      </c>
      <c r="Q8815">
        <v>18.739999999999998</v>
      </c>
      <c r="R8815">
        <v>14.99</v>
      </c>
      <c r="S8815">
        <v>22.49</v>
      </c>
      <c r="T8815" t="s">
        <v>42605</v>
      </c>
    </row>
    <row r="8816" spans="1:20">
      <c r="A8816">
        <v>4750160</v>
      </c>
      <c r="B8816" t="s">
        <v>42606</v>
      </c>
      <c r="C8816" t="str">
        <f>"9782760620209"</f>
        <v>9782760620209</v>
      </c>
      <c r="D8816" t="str">
        <f>"9782760624511"</f>
        <v>9782760624511</v>
      </c>
      <c r="E8816" t="s">
        <v>42231</v>
      </c>
      <c r="F8816" t="s">
        <v>42231</v>
      </c>
      <c r="G8816" s="1">
        <v>38718</v>
      </c>
      <c r="J8816" t="s">
        <v>42607</v>
      </c>
      <c r="K8816" t="s">
        <v>467</v>
      </c>
      <c r="L8816" t="s">
        <v>42608</v>
      </c>
      <c r="M8816" t="s">
        <v>42609</v>
      </c>
      <c r="N8816" t="s">
        <v>42001</v>
      </c>
      <c r="O8816" t="s">
        <v>94</v>
      </c>
      <c r="P8816">
        <v>21.99</v>
      </c>
      <c r="Q8816">
        <v>27.49</v>
      </c>
      <c r="R8816">
        <v>21.99</v>
      </c>
      <c r="S8816">
        <v>32.99</v>
      </c>
      <c r="T8816" t="s">
        <v>42610</v>
      </c>
    </row>
    <row r="8817" spans="1:20">
      <c r="A8817">
        <v>4750161</v>
      </c>
      <c r="B8817" t="s">
        <v>42611</v>
      </c>
      <c r="C8817" t="str">
        <f>"9782760620193"</f>
        <v>9782760620193</v>
      </c>
      <c r="D8817" t="str">
        <f>"9782760624573"</f>
        <v>9782760624573</v>
      </c>
      <c r="E8817" t="s">
        <v>42231</v>
      </c>
      <c r="F8817" t="s">
        <v>42231</v>
      </c>
      <c r="G8817" s="1">
        <v>38718</v>
      </c>
      <c r="J8817" t="s">
        <v>42612</v>
      </c>
      <c r="O8817" t="s">
        <v>94</v>
      </c>
      <c r="P8817">
        <v>14.99</v>
      </c>
      <c r="Q8817">
        <v>18.739999999999998</v>
      </c>
      <c r="R8817">
        <v>14.99</v>
      </c>
      <c r="S8817">
        <v>22.49</v>
      </c>
      <c r="T8817" t="s">
        <v>42613</v>
      </c>
    </row>
    <row r="8818" spans="1:20">
      <c r="A8818">
        <v>4750162</v>
      </c>
      <c r="B8818" t="s">
        <v>42614</v>
      </c>
      <c r="C8818" t="str">
        <f>"9782760619968"</f>
        <v>9782760619968</v>
      </c>
      <c r="D8818" t="str">
        <f>"9782760624641"</f>
        <v>9782760624641</v>
      </c>
      <c r="E8818" t="s">
        <v>42231</v>
      </c>
      <c r="F8818" t="s">
        <v>42231</v>
      </c>
      <c r="G8818" s="1">
        <v>38353</v>
      </c>
      <c r="J8818" t="s">
        <v>42615</v>
      </c>
      <c r="O8818" t="s">
        <v>94</v>
      </c>
      <c r="P8818">
        <v>14.99</v>
      </c>
      <c r="Q8818">
        <v>18.739999999999998</v>
      </c>
      <c r="R8818">
        <v>14.99</v>
      </c>
      <c r="S8818">
        <v>22.49</v>
      </c>
      <c r="T8818" t="s">
        <v>42616</v>
      </c>
    </row>
    <row r="8819" spans="1:20">
      <c r="A8819">
        <v>4750164</v>
      </c>
      <c r="B8819" t="s">
        <v>42617</v>
      </c>
      <c r="C8819" t="str">
        <f>"9782760620001"</f>
        <v>9782760620001</v>
      </c>
      <c r="D8819" t="str">
        <f>"9782760624719"</f>
        <v>9782760624719</v>
      </c>
      <c r="E8819" t="s">
        <v>42231</v>
      </c>
      <c r="F8819" t="s">
        <v>42231</v>
      </c>
      <c r="G8819" s="1">
        <v>38353</v>
      </c>
      <c r="J8819" t="s">
        <v>42618</v>
      </c>
      <c r="O8819" t="s">
        <v>94</v>
      </c>
      <c r="P8819">
        <v>11.99</v>
      </c>
      <c r="Q8819">
        <v>14.99</v>
      </c>
      <c r="R8819">
        <v>11.99</v>
      </c>
      <c r="S8819">
        <v>17.989999999999998</v>
      </c>
      <c r="T8819" t="s">
        <v>42619</v>
      </c>
    </row>
    <row r="8820" spans="1:20">
      <c r="A8820">
        <v>4750165</v>
      </c>
      <c r="B8820" t="s">
        <v>42620</v>
      </c>
      <c r="C8820" t="str">
        <f>"9782760619777"</f>
        <v>9782760619777</v>
      </c>
      <c r="D8820" t="str">
        <f>"9782760624740"</f>
        <v>9782760624740</v>
      </c>
      <c r="E8820" t="s">
        <v>42231</v>
      </c>
      <c r="F8820" t="s">
        <v>42231</v>
      </c>
      <c r="G8820" s="1">
        <v>35064</v>
      </c>
      <c r="J8820" t="s">
        <v>42621</v>
      </c>
      <c r="K8820" t="s">
        <v>263</v>
      </c>
      <c r="L8820" t="s">
        <v>42622</v>
      </c>
      <c r="M8820">
        <v>363.25953199999901</v>
      </c>
      <c r="N8820" t="s">
        <v>42623</v>
      </c>
      <c r="O8820" t="s">
        <v>94</v>
      </c>
      <c r="P8820">
        <v>16.989999999999998</v>
      </c>
      <c r="Q8820">
        <v>21.24</v>
      </c>
      <c r="R8820">
        <v>16.989999999999998</v>
      </c>
      <c r="S8820">
        <v>25.49</v>
      </c>
      <c r="T8820" t="s">
        <v>42624</v>
      </c>
    </row>
    <row r="8821" spans="1:20">
      <c r="A8821">
        <v>4750166</v>
      </c>
      <c r="B8821" t="s">
        <v>42625</v>
      </c>
      <c r="C8821" t="str">
        <f>"9782760620063"</f>
        <v>9782760620063</v>
      </c>
      <c r="D8821" t="str">
        <f>"9782760624801"</f>
        <v>9782760624801</v>
      </c>
      <c r="E8821" t="s">
        <v>42231</v>
      </c>
      <c r="F8821" t="s">
        <v>42231</v>
      </c>
      <c r="G8821" s="1">
        <v>38718</v>
      </c>
      <c r="J8821" t="s">
        <v>42626</v>
      </c>
      <c r="K8821" t="s">
        <v>4081</v>
      </c>
      <c r="L8821" t="s">
        <v>42627</v>
      </c>
      <c r="M8821">
        <v>445</v>
      </c>
      <c r="N8821" t="s">
        <v>42628</v>
      </c>
      <c r="O8821" t="s">
        <v>94</v>
      </c>
      <c r="P8821">
        <v>15.99</v>
      </c>
      <c r="Q8821">
        <v>19.989999999999998</v>
      </c>
      <c r="R8821">
        <v>15.99</v>
      </c>
      <c r="S8821">
        <v>23.99</v>
      </c>
      <c r="T8821" t="s">
        <v>42629</v>
      </c>
    </row>
    <row r="8822" spans="1:20">
      <c r="A8822">
        <v>4750168</v>
      </c>
      <c r="B8822" t="s">
        <v>42630</v>
      </c>
      <c r="C8822" t="str">
        <f>"9782760619821"</f>
        <v>9782760619821</v>
      </c>
      <c r="D8822" t="str">
        <f>"9782760624887"</f>
        <v>9782760624887</v>
      </c>
      <c r="E8822" t="s">
        <v>42231</v>
      </c>
      <c r="F8822" t="s">
        <v>42231</v>
      </c>
      <c r="G8822" s="1">
        <v>39083</v>
      </c>
      <c r="J8822" t="s">
        <v>42631</v>
      </c>
      <c r="K8822" t="s">
        <v>305</v>
      </c>
      <c r="L8822" t="s">
        <v>42632</v>
      </c>
      <c r="M8822">
        <v>658.421019</v>
      </c>
      <c r="N8822" t="s">
        <v>42633</v>
      </c>
      <c r="O8822" t="s">
        <v>94</v>
      </c>
      <c r="P8822">
        <v>16.989999999999998</v>
      </c>
      <c r="Q8822">
        <v>21.24</v>
      </c>
      <c r="R8822">
        <v>16.989999999999998</v>
      </c>
      <c r="S8822">
        <v>25.49</v>
      </c>
      <c r="T8822" t="s">
        <v>42634</v>
      </c>
    </row>
    <row r="8823" spans="1:20">
      <c r="A8823">
        <v>4750170</v>
      </c>
      <c r="B8823" t="s">
        <v>42635</v>
      </c>
      <c r="C8823" t="str">
        <f>"9782760619883"</f>
        <v>9782760619883</v>
      </c>
      <c r="D8823" t="str">
        <f>"9782760624894"</f>
        <v>9782760624894</v>
      </c>
      <c r="E8823" t="s">
        <v>42231</v>
      </c>
      <c r="F8823" t="s">
        <v>42231</v>
      </c>
      <c r="G8823" s="1">
        <v>42034</v>
      </c>
      <c r="J8823" t="s">
        <v>42636</v>
      </c>
      <c r="K8823" t="s">
        <v>467</v>
      </c>
      <c r="L8823" t="s">
        <v>42637</v>
      </c>
      <c r="M8823">
        <v>320.01</v>
      </c>
      <c r="N8823" t="s">
        <v>42638</v>
      </c>
      <c r="O8823" t="s">
        <v>94</v>
      </c>
      <c r="P8823">
        <v>14.99</v>
      </c>
      <c r="Q8823">
        <v>18.739999999999998</v>
      </c>
      <c r="R8823">
        <v>14.99</v>
      </c>
      <c r="S8823">
        <v>22.49</v>
      </c>
      <c r="T8823" t="s">
        <v>42639</v>
      </c>
    </row>
    <row r="8824" spans="1:20">
      <c r="A8824">
        <v>4750171</v>
      </c>
      <c r="B8824" t="s">
        <v>42640</v>
      </c>
      <c r="C8824" t="str">
        <f>"9782760620162"</f>
        <v>9782760620162</v>
      </c>
      <c r="D8824" t="str">
        <f>"9782760624924"</f>
        <v>9782760624924</v>
      </c>
      <c r="E8824" t="s">
        <v>42231</v>
      </c>
      <c r="F8824" t="s">
        <v>42231</v>
      </c>
      <c r="G8824" s="1">
        <v>39083</v>
      </c>
      <c r="J8824" t="s">
        <v>42641</v>
      </c>
      <c r="K8824" t="s">
        <v>10956</v>
      </c>
      <c r="L8824" t="s">
        <v>42642</v>
      </c>
      <c r="M8824">
        <v>70.19</v>
      </c>
      <c r="N8824" t="s">
        <v>42643</v>
      </c>
      <c r="O8824" t="s">
        <v>94</v>
      </c>
      <c r="P8824">
        <v>11.99</v>
      </c>
      <c r="Q8824">
        <v>14.99</v>
      </c>
      <c r="R8824">
        <v>11.99</v>
      </c>
      <c r="S8824">
        <v>17.989999999999998</v>
      </c>
      <c r="T8824" t="s">
        <v>42644</v>
      </c>
    </row>
    <row r="8825" spans="1:20">
      <c r="A8825">
        <v>4750172</v>
      </c>
      <c r="B8825" t="s">
        <v>42645</v>
      </c>
      <c r="C8825" t="str">
        <f>"9782760620520"</f>
        <v>9782760620520</v>
      </c>
      <c r="D8825" t="str">
        <f>"9782760625006"</f>
        <v>9782760625006</v>
      </c>
      <c r="E8825" t="s">
        <v>42231</v>
      </c>
      <c r="F8825" t="s">
        <v>42231</v>
      </c>
      <c r="G8825" s="1">
        <v>39083</v>
      </c>
      <c r="J8825" t="s">
        <v>42646</v>
      </c>
      <c r="K8825" t="s">
        <v>263</v>
      </c>
      <c r="L8825" t="s">
        <v>42647</v>
      </c>
      <c r="M8825">
        <v>364.01</v>
      </c>
      <c r="N8825" t="s">
        <v>42648</v>
      </c>
      <c r="O8825" t="s">
        <v>94</v>
      </c>
      <c r="P8825">
        <v>14.99</v>
      </c>
      <c r="Q8825">
        <v>18.739999999999998</v>
      </c>
      <c r="R8825">
        <v>14.99</v>
      </c>
      <c r="S8825">
        <v>22.49</v>
      </c>
      <c r="T8825" t="s">
        <v>42649</v>
      </c>
    </row>
    <row r="8826" spans="1:20">
      <c r="A8826">
        <v>4750173</v>
      </c>
      <c r="B8826" t="s">
        <v>42650</v>
      </c>
      <c r="C8826" t="str">
        <f>"9782760620537"</f>
        <v>9782760620537</v>
      </c>
      <c r="D8826" t="str">
        <f>"9782760625013"</f>
        <v>9782760625013</v>
      </c>
      <c r="E8826" t="s">
        <v>42231</v>
      </c>
      <c r="F8826" t="s">
        <v>42231</v>
      </c>
      <c r="G8826" s="1">
        <v>39083</v>
      </c>
      <c r="J8826" t="s">
        <v>42651</v>
      </c>
      <c r="K8826" t="s">
        <v>305</v>
      </c>
      <c r="L8826" t="s">
        <v>42652</v>
      </c>
      <c r="M8826">
        <v>658.45</v>
      </c>
      <c r="N8826" t="s">
        <v>42653</v>
      </c>
      <c r="O8826" t="s">
        <v>94</v>
      </c>
      <c r="P8826">
        <v>16.989999999999998</v>
      </c>
      <c r="Q8826">
        <v>21.24</v>
      </c>
      <c r="R8826">
        <v>16.989999999999998</v>
      </c>
      <c r="S8826">
        <v>25.49</v>
      </c>
      <c r="T8826" t="s">
        <v>42654</v>
      </c>
    </row>
    <row r="8827" spans="1:20">
      <c r="A8827">
        <v>4750174</v>
      </c>
      <c r="B8827" t="s">
        <v>42655</v>
      </c>
      <c r="C8827" t="str">
        <f>"9782760620681"</f>
        <v>9782760620681</v>
      </c>
      <c r="D8827" t="str">
        <f>"9782760625068"</f>
        <v>9782760625068</v>
      </c>
      <c r="E8827" t="s">
        <v>42231</v>
      </c>
      <c r="F8827" t="s">
        <v>42231</v>
      </c>
      <c r="G8827" s="1">
        <v>39083</v>
      </c>
      <c r="J8827" t="s">
        <v>25556</v>
      </c>
      <c r="K8827" t="s">
        <v>1471</v>
      </c>
      <c r="L8827" t="s">
        <v>42656</v>
      </c>
      <c r="M8827">
        <v>791.45654999999897</v>
      </c>
      <c r="N8827" t="s">
        <v>42657</v>
      </c>
      <c r="O8827" t="s">
        <v>94</v>
      </c>
      <c r="P8827">
        <v>9.99</v>
      </c>
      <c r="Q8827">
        <v>12.49</v>
      </c>
      <c r="R8827">
        <v>9.99</v>
      </c>
      <c r="S8827">
        <v>14.99</v>
      </c>
      <c r="T8827" t="s">
        <v>42658</v>
      </c>
    </row>
    <row r="8828" spans="1:20">
      <c r="A8828">
        <v>4750175</v>
      </c>
      <c r="B8828" t="s">
        <v>42659</v>
      </c>
      <c r="C8828" t="str">
        <f>"9782760620155"</f>
        <v>9782760620155</v>
      </c>
      <c r="D8828" t="str">
        <f>"9782760625105"</f>
        <v>9782760625105</v>
      </c>
      <c r="E8828" t="s">
        <v>42231</v>
      </c>
      <c r="F8828" t="s">
        <v>42231</v>
      </c>
      <c r="G8828" s="1">
        <v>39448</v>
      </c>
      <c r="J8828" t="s">
        <v>42660</v>
      </c>
      <c r="K8828" t="s">
        <v>4081</v>
      </c>
      <c r="L8828" t="s">
        <v>42661</v>
      </c>
      <c r="M8828">
        <v>443.02800000000002</v>
      </c>
      <c r="N8828" t="s">
        <v>42662</v>
      </c>
      <c r="O8828" t="s">
        <v>94</v>
      </c>
      <c r="P8828">
        <v>14.99</v>
      </c>
      <c r="Q8828">
        <v>18.739999999999998</v>
      </c>
      <c r="R8828">
        <v>14.99</v>
      </c>
      <c r="S8828">
        <v>22.49</v>
      </c>
      <c r="T8828" t="s">
        <v>42663</v>
      </c>
    </row>
    <row r="8829" spans="1:20">
      <c r="A8829">
        <v>4750176</v>
      </c>
      <c r="B8829" t="s">
        <v>42664</v>
      </c>
      <c r="C8829" t="str">
        <f>"9782760620865"</f>
        <v>9782760620865</v>
      </c>
      <c r="D8829" t="str">
        <f>"9782760625082"</f>
        <v>9782760625082</v>
      </c>
      <c r="E8829" t="s">
        <v>42231</v>
      </c>
      <c r="F8829" t="s">
        <v>42231</v>
      </c>
      <c r="G8829" s="1">
        <v>39083</v>
      </c>
      <c r="J8829" t="s">
        <v>32148</v>
      </c>
      <c r="K8829" t="s">
        <v>4347</v>
      </c>
      <c r="L8829" t="s">
        <v>42665</v>
      </c>
      <c r="M8829">
        <v>355.03307100000001</v>
      </c>
      <c r="N8829" t="s">
        <v>42666</v>
      </c>
      <c r="O8829" t="s">
        <v>94</v>
      </c>
      <c r="P8829">
        <v>24.99</v>
      </c>
      <c r="Q8829">
        <v>31.24</v>
      </c>
      <c r="R8829">
        <v>24.99</v>
      </c>
      <c r="S8829">
        <v>37.49</v>
      </c>
      <c r="T8829" t="s">
        <v>42667</v>
      </c>
    </row>
    <row r="8830" spans="1:20">
      <c r="A8830">
        <v>4750177</v>
      </c>
      <c r="B8830" t="s">
        <v>42668</v>
      </c>
      <c r="C8830" t="str">
        <f>"9782760620889"</f>
        <v>9782760620889</v>
      </c>
      <c r="D8830" t="str">
        <f>"9782760625235"</f>
        <v>9782760625235</v>
      </c>
      <c r="E8830" t="s">
        <v>42231</v>
      </c>
      <c r="F8830" t="s">
        <v>42231</v>
      </c>
      <c r="G8830" s="1">
        <v>39448</v>
      </c>
      <c r="J8830" t="s">
        <v>42669</v>
      </c>
      <c r="K8830" t="s">
        <v>42670</v>
      </c>
      <c r="L8830" t="s">
        <v>42671</v>
      </c>
      <c r="M8830">
        <v>1.0680000000000001</v>
      </c>
      <c r="N8830" t="s">
        <v>42672</v>
      </c>
      <c r="O8830" t="s">
        <v>94</v>
      </c>
      <c r="P8830">
        <v>16.989999999999998</v>
      </c>
      <c r="Q8830">
        <v>21.24</v>
      </c>
      <c r="R8830">
        <v>16.989999999999998</v>
      </c>
      <c r="S8830">
        <v>25.49</v>
      </c>
      <c r="T8830" t="s">
        <v>42673</v>
      </c>
    </row>
    <row r="8831" spans="1:20">
      <c r="A8831">
        <v>4750178</v>
      </c>
      <c r="B8831" t="s">
        <v>42674</v>
      </c>
      <c r="C8831" t="str">
        <f>"9782760620872"</f>
        <v>9782760620872</v>
      </c>
      <c r="D8831" t="str">
        <f>"9782760625228"</f>
        <v>9782760625228</v>
      </c>
      <c r="E8831" t="s">
        <v>42231</v>
      </c>
      <c r="F8831" t="s">
        <v>42231</v>
      </c>
      <c r="G8831" s="1">
        <v>39448</v>
      </c>
      <c r="J8831" t="s">
        <v>42675</v>
      </c>
      <c r="K8831" t="s">
        <v>2951</v>
      </c>
      <c r="L8831" t="s">
        <v>42676</v>
      </c>
      <c r="M8831">
        <v>306.44971399999901</v>
      </c>
      <c r="N8831" t="s">
        <v>42389</v>
      </c>
      <c r="O8831" t="s">
        <v>94</v>
      </c>
      <c r="P8831">
        <v>15.99</v>
      </c>
      <c r="Q8831">
        <v>19.989999999999998</v>
      </c>
      <c r="R8831">
        <v>15.99</v>
      </c>
      <c r="S8831">
        <v>23.99</v>
      </c>
      <c r="T8831" t="s">
        <v>42677</v>
      </c>
    </row>
    <row r="8832" spans="1:20">
      <c r="A8832">
        <v>4750179</v>
      </c>
      <c r="B8832" t="s">
        <v>42678</v>
      </c>
      <c r="C8832" t="str">
        <f>"9782760621053"</f>
        <v>9782760621053</v>
      </c>
      <c r="D8832" t="str">
        <f>"9782760625280"</f>
        <v>9782760625280</v>
      </c>
      <c r="E8832" t="s">
        <v>42231</v>
      </c>
      <c r="F8832" t="s">
        <v>42231</v>
      </c>
      <c r="G8832" s="1">
        <v>39448</v>
      </c>
      <c r="J8832" t="s">
        <v>42679</v>
      </c>
      <c r="K8832" t="s">
        <v>416</v>
      </c>
      <c r="L8832" t="s">
        <v>42680</v>
      </c>
      <c r="M8832">
        <v>338.90091724000001</v>
      </c>
      <c r="N8832" t="s">
        <v>42681</v>
      </c>
      <c r="O8832" t="s">
        <v>94</v>
      </c>
      <c r="P8832">
        <v>19.989999999999998</v>
      </c>
      <c r="Q8832">
        <v>24.99</v>
      </c>
      <c r="R8832">
        <v>19.989999999999998</v>
      </c>
      <c r="S8832">
        <v>29.99</v>
      </c>
      <c r="T8832" t="s">
        <v>42682</v>
      </c>
    </row>
    <row r="8833" spans="1:20">
      <c r="A8833">
        <v>4750180</v>
      </c>
      <c r="B8833" t="s">
        <v>42683</v>
      </c>
      <c r="C8833" t="str">
        <f>"9782760621060"</f>
        <v>9782760621060</v>
      </c>
      <c r="D8833" t="str">
        <f>"9782760625297"</f>
        <v>9782760625297</v>
      </c>
      <c r="E8833" t="s">
        <v>42231</v>
      </c>
      <c r="F8833" t="s">
        <v>42231</v>
      </c>
      <c r="G8833" s="1">
        <v>39448</v>
      </c>
      <c r="J8833" t="s">
        <v>42684</v>
      </c>
      <c r="O8833" t="s">
        <v>94</v>
      </c>
      <c r="P8833">
        <v>19.989999999999998</v>
      </c>
      <c r="Q8833">
        <v>24.99</v>
      </c>
      <c r="R8833">
        <v>19.989999999999998</v>
      </c>
      <c r="S8833">
        <v>29.99</v>
      </c>
      <c r="T8833" t="s">
        <v>42685</v>
      </c>
    </row>
    <row r="8834" spans="1:20">
      <c r="A8834">
        <v>4750182</v>
      </c>
      <c r="B8834" t="s">
        <v>42686</v>
      </c>
      <c r="C8834" t="str">
        <f>"9782760621145"</f>
        <v>9782760621145</v>
      </c>
      <c r="D8834" t="str">
        <f>"9782760625433"</f>
        <v>9782760625433</v>
      </c>
      <c r="E8834" t="s">
        <v>42231</v>
      </c>
      <c r="F8834" t="s">
        <v>42231</v>
      </c>
      <c r="G8834" s="1">
        <v>39814</v>
      </c>
      <c r="J8834" t="s">
        <v>42320</v>
      </c>
      <c r="K8834" t="s">
        <v>10860</v>
      </c>
      <c r="L8834" t="s">
        <v>42687</v>
      </c>
      <c r="M8834">
        <v>20.218</v>
      </c>
      <c r="N8834" t="s">
        <v>42688</v>
      </c>
      <c r="O8834" t="s">
        <v>94</v>
      </c>
      <c r="P8834">
        <v>14.99</v>
      </c>
      <c r="R8834">
        <v>14.99</v>
      </c>
      <c r="T8834" t="s">
        <v>42689</v>
      </c>
    </row>
    <row r="8835" spans="1:20">
      <c r="A8835">
        <v>4750183</v>
      </c>
      <c r="B8835" t="s">
        <v>42690</v>
      </c>
      <c r="C8835" t="str">
        <f>"9782760621442"</f>
        <v>9782760621442</v>
      </c>
      <c r="D8835" t="str">
        <f>"9782760625501"</f>
        <v>9782760625501</v>
      </c>
      <c r="E8835" t="s">
        <v>42231</v>
      </c>
      <c r="F8835" t="s">
        <v>42231</v>
      </c>
      <c r="G8835" s="1">
        <v>39814</v>
      </c>
      <c r="J8835" t="s">
        <v>42691</v>
      </c>
      <c r="O8835" t="s">
        <v>94</v>
      </c>
      <c r="P8835">
        <v>11.99</v>
      </c>
      <c r="R8835">
        <v>11.99</v>
      </c>
      <c r="T8835" t="s">
        <v>42692</v>
      </c>
    </row>
    <row r="8836" spans="1:20">
      <c r="A8836">
        <v>4750184</v>
      </c>
      <c r="B8836" t="s">
        <v>42693</v>
      </c>
      <c r="C8836" t="str">
        <f>"9782760621565"</f>
        <v>9782760621565</v>
      </c>
      <c r="D8836" t="str">
        <f>"9782760625532"</f>
        <v>9782760625532</v>
      </c>
      <c r="E8836" t="s">
        <v>42231</v>
      </c>
      <c r="F8836" t="s">
        <v>42231</v>
      </c>
      <c r="G8836" s="1">
        <v>39814</v>
      </c>
      <c r="J8836" t="s">
        <v>42694</v>
      </c>
      <c r="K8836" t="s">
        <v>11854</v>
      </c>
      <c r="L8836" t="s">
        <v>42695</v>
      </c>
      <c r="M8836">
        <v>808</v>
      </c>
      <c r="N8836" t="s">
        <v>42696</v>
      </c>
      <c r="O8836" t="s">
        <v>94</v>
      </c>
      <c r="P8836">
        <v>14.99</v>
      </c>
      <c r="R8836">
        <v>14.99</v>
      </c>
      <c r="T8836" t="s">
        <v>42697</v>
      </c>
    </row>
    <row r="8837" spans="1:20">
      <c r="A8837">
        <v>4750185</v>
      </c>
      <c r="B8837" t="s">
        <v>42698</v>
      </c>
      <c r="C8837" t="str">
        <f>"9782760621633"</f>
        <v>9782760621633</v>
      </c>
      <c r="D8837" t="str">
        <f>"9782760625570"</f>
        <v>9782760625570</v>
      </c>
      <c r="E8837" t="s">
        <v>42231</v>
      </c>
      <c r="F8837" t="s">
        <v>42231</v>
      </c>
      <c r="G8837" s="1">
        <v>39814</v>
      </c>
      <c r="J8837" t="s">
        <v>42558</v>
      </c>
      <c r="K8837" t="s">
        <v>1127</v>
      </c>
      <c r="L8837" t="s">
        <v>42699</v>
      </c>
      <c r="M8837">
        <v>153.6</v>
      </c>
      <c r="N8837" t="s">
        <v>42560</v>
      </c>
      <c r="O8837" t="s">
        <v>94</v>
      </c>
      <c r="P8837">
        <v>19.989999999999998</v>
      </c>
      <c r="R8837">
        <v>19.989999999999998</v>
      </c>
      <c r="T8837" t="s">
        <v>42700</v>
      </c>
    </row>
    <row r="8838" spans="1:20">
      <c r="A8838">
        <v>4750187</v>
      </c>
      <c r="B8838" t="s">
        <v>42701</v>
      </c>
      <c r="C8838" t="str">
        <f>"9782760621138"</f>
        <v>9782760621138</v>
      </c>
      <c r="D8838" t="str">
        <f>"9782760625846"</f>
        <v>9782760625846</v>
      </c>
      <c r="E8838" t="s">
        <v>42231</v>
      </c>
      <c r="F8838" t="s">
        <v>42231</v>
      </c>
      <c r="G8838" s="1">
        <v>39814</v>
      </c>
      <c r="J8838" t="s">
        <v>42702</v>
      </c>
      <c r="K8838" t="s">
        <v>12285</v>
      </c>
      <c r="L8838" t="s">
        <v>42703</v>
      </c>
      <c r="M8838">
        <v>519.5</v>
      </c>
      <c r="N8838" t="s">
        <v>42704</v>
      </c>
      <c r="O8838" t="s">
        <v>94</v>
      </c>
      <c r="P8838">
        <v>4</v>
      </c>
      <c r="R8838">
        <v>4</v>
      </c>
      <c r="T8838" t="s">
        <v>42705</v>
      </c>
    </row>
    <row r="8839" spans="1:20">
      <c r="A8839">
        <v>4750188</v>
      </c>
      <c r="B8839" t="s">
        <v>42706</v>
      </c>
      <c r="C8839" t="str">
        <f>"9782760621640"</f>
        <v>9782760621640</v>
      </c>
      <c r="D8839" t="str">
        <f>"9782760625853"</f>
        <v>9782760625853</v>
      </c>
      <c r="E8839" t="s">
        <v>42231</v>
      </c>
      <c r="F8839" t="s">
        <v>42231</v>
      </c>
      <c r="G8839" s="1">
        <v>40179</v>
      </c>
      <c r="J8839" t="s">
        <v>42707</v>
      </c>
      <c r="K8839" t="s">
        <v>291</v>
      </c>
      <c r="L8839" t="s">
        <v>42708</v>
      </c>
      <c r="M8839">
        <v>960.32</v>
      </c>
      <c r="N8839" t="s">
        <v>42709</v>
      </c>
      <c r="O8839" t="s">
        <v>94</v>
      </c>
      <c r="P8839">
        <v>16.989999999999998</v>
      </c>
      <c r="R8839">
        <v>16.989999999999998</v>
      </c>
      <c r="T8839" t="s">
        <v>42710</v>
      </c>
    </row>
    <row r="8840" spans="1:20">
      <c r="A8840">
        <v>4750190</v>
      </c>
      <c r="B8840" t="s">
        <v>42711</v>
      </c>
      <c r="C8840" t="str">
        <f>"9782760621787"</f>
        <v>9782760621787</v>
      </c>
      <c r="D8840" t="str">
        <f>"9782760625983"</f>
        <v>9782760625983</v>
      </c>
      <c r="E8840" t="s">
        <v>42231</v>
      </c>
      <c r="F8840" t="s">
        <v>42231</v>
      </c>
      <c r="G8840" s="1">
        <v>40179</v>
      </c>
      <c r="J8840" t="s">
        <v>42712</v>
      </c>
      <c r="K8840" t="s">
        <v>305</v>
      </c>
      <c r="L8840" t="s">
        <v>42713</v>
      </c>
      <c r="M8840">
        <v>658.40599999999904</v>
      </c>
      <c r="N8840" t="s">
        <v>33312</v>
      </c>
      <c r="O8840" t="s">
        <v>94</v>
      </c>
      <c r="P8840">
        <v>16.989999999999998</v>
      </c>
      <c r="R8840">
        <v>16.989999999999998</v>
      </c>
      <c r="T8840" t="s">
        <v>42714</v>
      </c>
    </row>
    <row r="8841" spans="1:20">
      <c r="A8841">
        <v>4750191</v>
      </c>
      <c r="B8841" t="s">
        <v>42715</v>
      </c>
      <c r="C8841" t="str">
        <f>"9782760622289"</f>
        <v>9782760622289</v>
      </c>
      <c r="D8841" t="str">
        <f>"9782760626003"</f>
        <v>9782760626003</v>
      </c>
      <c r="E8841" t="s">
        <v>42231</v>
      </c>
      <c r="F8841" t="s">
        <v>42231</v>
      </c>
      <c r="G8841" s="1">
        <v>40179</v>
      </c>
      <c r="J8841" t="s">
        <v>42716</v>
      </c>
      <c r="K8841" t="s">
        <v>305</v>
      </c>
      <c r="L8841" t="s">
        <v>42717</v>
      </c>
      <c r="M8841">
        <v>659.11099999999897</v>
      </c>
      <c r="N8841" t="s">
        <v>42718</v>
      </c>
      <c r="O8841" t="s">
        <v>94</v>
      </c>
      <c r="P8841">
        <v>16.989999999999998</v>
      </c>
      <c r="R8841">
        <v>16.989999999999998</v>
      </c>
      <c r="T8841" t="s">
        <v>42719</v>
      </c>
    </row>
    <row r="8842" spans="1:20">
      <c r="A8842">
        <v>4750193</v>
      </c>
      <c r="B8842" t="s">
        <v>42720</v>
      </c>
      <c r="C8842" t="str">
        <f>"9782760621978"</f>
        <v>9782760621978</v>
      </c>
      <c r="D8842" t="str">
        <f>"9782760625976"</f>
        <v>9782760625976</v>
      </c>
      <c r="E8842" t="s">
        <v>42231</v>
      </c>
      <c r="F8842" t="s">
        <v>42231</v>
      </c>
      <c r="G8842" s="1">
        <v>40179</v>
      </c>
      <c r="J8842" t="s">
        <v>42721</v>
      </c>
      <c r="O8842" t="s">
        <v>94</v>
      </c>
      <c r="P8842">
        <v>16.989999999999998</v>
      </c>
      <c r="R8842">
        <v>16.989999999999998</v>
      </c>
      <c r="T8842" t="s">
        <v>42722</v>
      </c>
    </row>
    <row r="8843" spans="1:20">
      <c r="A8843">
        <v>4750194</v>
      </c>
      <c r="B8843" t="s">
        <v>42723</v>
      </c>
      <c r="C8843" t="str">
        <f>"9782760622494"</f>
        <v>9782760622494</v>
      </c>
      <c r="D8843" t="str">
        <f>"9782760626591"</f>
        <v>9782760626591</v>
      </c>
      <c r="E8843" t="s">
        <v>42231</v>
      </c>
      <c r="F8843" t="s">
        <v>42231</v>
      </c>
      <c r="G8843" s="1">
        <v>40544</v>
      </c>
      <c r="J8843" t="s">
        <v>42724</v>
      </c>
      <c r="K8843" t="s">
        <v>525</v>
      </c>
      <c r="L8843" t="s">
        <v>42725</v>
      </c>
      <c r="M8843">
        <v>343.71099800000002</v>
      </c>
      <c r="N8843" t="s">
        <v>42726</v>
      </c>
      <c r="O8843" t="s">
        <v>94</v>
      </c>
      <c r="P8843">
        <v>11.99</v>
      </c>
      <c r="R8843">
        <v>11.99</v>
      </c>
      <c r="T8843" t="s">
        <v>42727</v>
      </c>
    </row>
    <row r="8844" spans="1:20">
      <c r="A8844">
        <v>4750195</v>
      </c>
      <c r="B8844" t="s">
        <v>42728</v>
      </c>
      <c r="C8844" t="str">
        <f>"9782760622265"</f>
        <v>9782760622265</v>
      </c>
      <c r="D8844" t="str">
        <f>"9782760626577"</f>
        <v>9782760626577</v>
      </c>
      <c r="E8844" t="s">
        <v>42231</v>
      </c>
      <c r="F8844" t="s">
        <v>42231</v>
      </c>
      <c r="G8844" s="1">
        <v>40544</v>
      </c>
      <c r="J8844" t="s">
        <v>42729</v>
      </c>
      <c r="K8844" t="s">
        <v>467</v>
      </c>
      <c r="L8844" t="s">
        <v>42730</v>
      </c>
      <c r="M8844">
        <v>320.601156</v>
      </c>
      <c r="N8844" t="s">
        <v>42731</v>
      </c>
      <c r="O8844" t="s">
        <v>94</v>
      </c>
      <c r="P8844">
        <v>19.989999999999998</v>
      </c>
      <c r="R8844">
        <v>19.989999999999998</v>
      </c>
      <c r="T8844" t="s">
        <v>42732</v>
      </c>
    </row>
    <row r="8845" spans="1:20">
      <c r="A8845">
        <v>4750196</v>
      </c>
      <c r="B8845" t="s">
        <v>42733</v>
      </c>
      <c r="C8845" t="str">
        <f>"9782760622319"</f>
        <v>9782760622319</v>
      </c>
      <c r="D8845" t="str">
        <f>"9782760626584"</f>
        <v>9782760626584</v>
      </c>
      <c r="E8845" t="s">
        <v>42231</v>
      </c>
      <c r="F8845" t="s">
        <v>42231</v>
      </c>
      <c r="G8845" s="1">
        <v>40179</v>
      </c>
      <c r="J8845" t="s">
        <v>42734</v>
      </c>
      <c r="O8845" t="s">
        <v>94</v>
      </c>
      <c r="P8845">
        <v>24.99</v>
      </c>
      <c r="R8845">
        <v>24.99</v>
      </c>
      <c r="T8845" t="s">
        <v>42735</v>
      </c>
    </row>
    <row r="8846" spans="1:20">
      <c r="A8846">
        <v>4750197</v>
      </c>
      <c r="B8846" t="s">
        <v>42736</v>
      </c>
      <c r="C8846" t="str">
        <f>"9782760622487"</f>
        <v>9782760622487</v>
      </c>
      <c r="D8846" t="str">
        <f>"9782760626683"</f>
        <v>9782760626683</v>
      </c>
      <c r="E8846" t="s">
        <v>42231</v>
      </c>
      <c r="F8846" t="s">
        <v>42231</v>
      </c>
      <c r="G8846" s="1">
        <v>40544</v>
      </c>
      <c r="J8846" t="s">
        <v>42737</v>
      </c>
      <c r="K8846" t="s">
        <v>1471</v>
      </c>
      <c r="L8846" t="s">
        <v>42738</v>
      </c>
      <c r="M8846">
        <v>780.71100000000001</v>
      </c>
      <c r="N8846" t="s">
        <v>42739</v>
      </c>
      <c r="O8846" t="s">
        <v>94</v>
      </c>
      <c r="P8846">
        <v>16.989999999999998</v>
      </c>
      <c r="R8846">
        <v>16.989999999999998</v>
      </c>
      <c r="T8846" t="s">
        <v>42740</v>
      </c>
    </row>
    <row r="8847" spans="1:20">
      <c r="A8847">
        <v>4750198</v>
      </c>
      <c r="B8847" t="s">
        <v>42741</v>
      </c>
      <c r="C8847" t="str">
        <f>"9782760622258"</f>
        <v>9782760622258</v>
      </c>
      <c r="D8847" t="str">
        <f>"9782760626713"</f>
        <v>9782760626713</v>
      </c>
      <c r="E8847" t="s">
        <v>42231</v>
      </c>
      <c r="F8847" t="s">
        <v>42231</v>
      </c>
      <c r="G8847" s="1">
        <v>40179</v>
      </c>
      <c r="J8847" t="s">
        <v>42742</v>
      </c>
      <c r="K8847" t="s">
        <v>14879</v>
      </c>
      <c r="L8847" t="s">
        <v>42743</v>
      </c>
      <c r="M8847">
        <v>153.43</v>
      </c>
      <c r="N8847" t="s">
        <v>42744</v>
      </c>
      <c r="O8847" t="s">
        <v>94</v>
      </c>
      <c r="P8847">
        <v>9.99</v>
      </c>
      <c r="R8847">
        <v>9.99</v>
      </c>
      <c r="T8847" t="s">
        <v>42745</v>
      </c>
    </row>
    <row r="8848" spans="1:20">
      <c r="A8848">
        <v>4750199</v>
      </c>
      <c r="B8848" t="s">
        <v>42746</v>
      </c>
      <c r="C8848" t="str">
        <f>"9782760621824"</f>
        <v>9782760621824</v>
      </c>
      <c r="D8848" t="str">
        <f>"9782760626706"</f>
        <v>9782760626706</v>
      </c>
      <c r="E8848" t="s">
        <v>42231</v>
      </c>
      <c r="F8848" t="s">
        <v>42231</v>
      </c>
      <c r="G8848" s="1">
        <v>40179</v>
      </c>
      <c r="J8848" t="s">
        <v>42747</v>
      </c>
      <c r="K8848" t="s">
        <v>467</v>
      </c>
      <c r="L8848" t="s">
        <v>42748</v>
      </c>
      <c r="M8848">
        <v>327.101</v>
      </c>
      <c r="N8848" t="s">
        <v>42749</v>
      </c>
      <c r="O8848" t="s">
        <v>94</v>
      </c>
      <c r="P8848">
        <v>13.99</v>
      </c>
      <c r="R8848">
        <v>13.99</v>
      </c>
      <c r="T8848" t="s">
        <v>42750</v>
      </c>
    </row>
    <row r="8849" spans="1:20">
      <c r="A8849">
        <v>4750200</v>
      </c>
      <c r="B8849" t="s">
        <v>42751</v>
      </c>
      <c r="C8849" t="str">
        <f>"9782760622272"</f>
        <v>9782760622272</v>
      </c>
      <c r="D8849" t="str">
        <f>"9782760626812"</f>
        <v>9782760626812</v>
      </c>
      <c r="E8849" t="s">
        <v>42231</v>
      </c>
      <c r="F8849" t="s">
        <v>42231</v>
      </c>
      <c r="G8849" s="1">
        <v>40179</v>
      </c>
      <c r="J8849" t="s">
        <v>42752</v>
      </c>
      <c r="O8849" t="s">
        <v>94</v>
      </c>
      <c r="P8849">
        <v>16.989999999999998</v>
      </c>
      <c r="R8849">
        <v>16.989999999999998</v>
      </c>
      <c r="T8849" t="s">
        <v>42753</v>
      </c>
    </row>
    <row r="8850" spans="1:20">
      <c r="A8850">
        <v>4750202</v>
      </c>
      <c r="B8850" t="s">
        <v>42754</v>
      </c>
      <c r="C8850" t="str">
        <f>"9782760622210"</f>
        <v>9782760622210</v>
      </c>
      <c r="D8850" t="str">
        <f>"9782760626850"</f>
        <v>9782760626850</v>
      </c>
      <c r="E8850" t="s">
        <v>42231</v>
      </c>
      <c r="F8850" t="s">
        <v>42231</v>
      </c>
      <c r="G8850" s="1">
        <v>40544</v>
      </c>
      <c r="J8850" t="s">
        <v>42320</v>
      </c>
      <c r="K8850" t="s">
        <v>18138</v>
      </c>
      <c r="L8850" t="s">
        <v>42755</v>
      </c>
      <c r="M8850">
        <v>1.4</v>
      </c>
      <c r="N8850" t="s">
        <v>42756</v>
      </c>
      <c r="O8850" t="s">
        <v>94</v>
      </c>
      <c r="P8850">
        <v>21.99</v>
      </c>
      <c r="R8850">
        <v>21.99</v>
      </c>
      <c r="T8850" t="s">
        <v>42757</v>
      </c>
    </row>
    <row r="8851" spans="1:20">
      <c r="A8851">
        <v>4750203</v>
      </c>
      <c r="B8851" t="s">
        <v>42758</v>
      </c>
      <c r="C8851" t="str">
        <f>"9782760621329"</f>
        <v>9782760621329</v>
      </c>
      <c r="D8851" t="str">
        <f>"9782760627512"</f>
        <v>9782760627512</v>
      </c>
      <c r="E8851" t="s">
        <v>42231</v>
      </c>
      <c r="F8851" t="s">
        <v>42231</v>
      </c>
      <c r="G8851" s="1">
        <v>39814</v>
      </c>
      <c r="J8851" t="s">
        <v>42759</v>
      </c>
      <c r="K8851" t="s">
        <v>467</v>
      </c>
      <c r="L8851" t="s">
        <v>42760</v>
      </c>
      <c r="M8851">
        <v>329.01097140000002</v>
      </c>
      <c r="N8851" t="s">
        <v>42761</v>
      </c>
      <c r="O8851" t="s">
        <v>94</v>
      </c>
      <c r="P8851">
        <v>14.99</v>
      </c>
      <c r="R8851">
        <v>14.99</v>
      </c>
      <c r="T8851" t="s">
        <v>42762</v>
      </c>
    </row>
    <row r="8852" spans="1:20">
      <c r="A8852">
        <v>4750204</v>
      </c>
      <c r="B8852" t="s">
        <v>42763</v>
      </c>
      <c r="C8852" t="str">
        <f>"9782760627673"</f>
        <v>9782760627673</v>
      </c>
      <c r="D8852" t="str">
        <f>"9782760627697"</f>
        <v>9782760627697</v>
      </c>
      <c r="E8852" t="s">
        <v>42231</v>
      </c>
      <c r="F8852" t="s">
        <v>42231</v>
      </c>
      <c r="G8852" s="1">
        <v>40909</v>
      </c>
      <c r="J8852" t="s">
        <v>42764</v>
      </c>
      <c r="K8852" t="s">
        <v>12285</v>
      </c>
      <c r="L8852" t="s">
        <v>42765</v>
      </c>
      <c r="M8852">
        <v>515.35076000000004</v>
      </c>
      <c r="N8852" t="s">
        <v>42766</v>
      </c>
      <c r="O8852" t="s">
        <v>94</v>
      </c>
      <c r="P8852">
        <v>11.99</v>
      </c>
      <c r="R8852">
        <v>11.99</v>
      </c>
      <c r="T8852" t="s">
        <v>42767</v>
      </c>
    </row>
    <row r="8853" spans="1:20">
      <c r="A8853">
        <v>4750206</v>
      </c>
      <c r="B8853" t="s">
        <v>42768</v>
      </c>
      <c r="C8853" t="str">
        <f>"9782760627680"</f>
        <v>9782760627680</v>
      </c>
      <c r="D8853" t="str">
        <f>"9782760627710"</f>
        <v>9782760627710</v>
      </c>
      <c r="E8853" t="s">
        <v>42231</v>
      </c>
      <c r="F8853" t="s">
        <v>42231</v>
      </c>
      <c r="G8853" s="1">
        <v>40909</v>
      </c>
      <c r="J8853" t="s">
        <v>42769</v>
      </c>
      <c r="O8853" t="s">
        <v>94</v>
      </c>
      <c r="P8853">
        <v>9.99</v>
      </c>
      <c r="R8853">
        <v>9.99</v>
      </c>
      <c r="T8853" t="s">
        <v>42770</v>
      </c>
    </row>
    <row r="8854" spans="1:20">
      <c r="A8854">
        <v>4750207</v>
      </c>
      <c r="B8854" t="s">
        <v>42771</v>
      </c>
      <c r="C8854" t="str">
        <f>"9782760627758"</f>
        <v>9782760627758</v>
      </c>
      <c r="D8854" t="str">
        <f>"9782760627765"</f>
        <v>9782760627765</v>
      </c>
      <c r="E8854" t="s">
        <v>42231</v>
      </c>
      <c r="F8854" t="s">
        <v>42231</v>
      </c>
      <c r="G8854" s="1">
        <v>40909</v>
      </c>
      <c r="J8854" t="s">
        <v>42772</v>
      </c>
      <c r="O8854" t="s">
        <v>94</v>
      </c>
      <c r="P8854">
        <v>24.99</v>
      </c>
      <c r="R8854">
        <v>24.99</v>
      </c>
      <c r="T8854" t="s">
        <v>42773</v>
      </c>
    </row>
    <row r="8855" spans="1:20">
      <c r="A8855">
        <v>4750208</v>
      </c>
      <c r="B8855" t="s">
        <v>42774</v>
      </c>
      <c r="C8855" t="str">
        <f>"9782760631113"</f>
        <v>9782760631113</v>
      </c>
      <c r="D8855" t="str">
        <f>"9782760631137"</f>
        <v>9782760631137</v>
      </c>
      <c r="E8855" t="s">
        <v>42231</v>
      </c>
      <c r="F8855" t="s">
        <v>42231</v>
      </c>
      <c r="G8855" s="1">
        <v>41241</v>
      </c>
      <c r="J8855" t="s">
        <v>42775</v>
      </c>
      <c r="K8855" t="s">
        <v>376</v>
      </c>
      <c r="M8855">
        <v>362.10899999999998</v>
      </c>
      <c r="O8855" t="s">
        <v>94</v>
      </c>
      <c r="P8855">
        <v>16.989999999999998</v>
      </c>
      <c r="R8855">
        <v>16.989999999999998</v>
      </c>
      <c r="T8855" t="s">
        <v>42776</v>
      </c>
    </row>
    <row r="8856" spans="1:20">
      <c r="A8856">
        <v>4750209</v>
      </c>
      <c r="B8856" t="s">
        <v>42777</v>
      </c>
      <c r="C8856" t="str">
        <f>"9782760627826"</f>
        <v>9782760627826</v>
      </c>
      <c r="D8856" t="str">
        <f>"9782760631250"</f>
        <v>9782760631250</v>
      </c>
      <c r="E8856" t="s">
        <v>42231</v>
      </c>
      <c r="F8856" t="s">
        <v>42231</v>
      </c>
      <c r="G8856" s="1">
        <v>41211</v>
      </c>
      <c r="J8856" t="s">
        <v>42778</v>
      </c>
      <c r="K8856" t="s">
        <v>263</v>
      </c>
      <c r="L8856" t="s">
        <v>42779</v>
      </c>
      <c r="M8856">
        <v>361.61072000000001</v>
      </c>
      <c r="N8856" t="s">
        <v>42756</v>
      </c>
      <c r="O8856" t="s">
        <v>94</v>
      </c>
      <c r="P8856">
        <v>29.99</v>
      </c>
      <c r="R8856">
        <v>29.99</v>
      </c>
      <c r="T8856" t="s">
        <v>42780</v>
      </c>
    </row>
    <row r="8857" spans="1:20">
      <c r="A8857">
        <v>4750210</v>
      </c>
      <c r="B8857" t="s">
        <v>42781</v>
      </c>
      <c r="C8857" t="str">
        <f>"9782760622975"</f>
        <v>9782760622975</v>
      </c>
      <c r="D8857" t="str">
        <f>"9782760627659"</f>
        <v>9782760627659</v>
      </c>
      <c r="E8857" t="s">
        <v>42231</v>
      </c>
      <c r="F8857" t="s">
        <v>42231</v>
      </c>
      <c r="G8857" s="1">
        <v>41241</v>
      </c>
      <c r="J8857" t="s">
        <v>42782</v>
      </c>
      <c r="K8857" t="s">
        <v>263</v>
      </c>
      <c r="M8857">
        <v>364.15300000000002</v>
      </c>
      <c r="O8857" t="s">
        <v>94</v>
      </c>
      <c r="P8857">
        <v>24.99</v>
      </c>
      <c r="R8857">
        <v>24.99</v>
      </c>
      <c r="T8857" t="s">
        <v>42783</v>
      </c>
    </row>
    <row r="8858" spans="1:20">
      <c r="A8858">
        <v>4750213</v>
      </c>
      <c r="B8858" t="s">
        <v>42784</v>
      </c>
      <c r="C8858" t="str">
        <f>"9782760631588"</f>
        <v>9782760631588</v>
      </c>
      <c r="D8858" t="str">
        <f>"9782760631632"</f>
        <v>9782760631632</v>
      </c>
      <c r="E8858" t="s">
        <v>42231</v>
      </c>
      <c r="F8858" t="s">
        <v>42231</v>
      </c>
      <c r="G8858" s="1">
        <v>41297</v>
      </c>
      <c r="J8858" t="s">
        <v>42785</v>
      </c>
      <c r="K8858" t="s">
        <v>42786</v>
      </c>
      <c r="L8858" t="s">
        <v>42787</v>
      </c>
      <c r="M8858">
        <v>613.20880565000004</v>
      </c>
      <c r="N8858" t="s">
        <v>42788</v>
      </c>
      <c r="O8858" t="s">
        <v>94</v>
      </c>
      <c r="P8858">
        <v>14.99</v>
      </c>
      <c r="R8858">
        <v>14.99</v>
      </c>
      <c r="T8858" t="s">
        <v>42789</v>
      </c>
    </row>
    <row r="8859" spans="1:20">
      <c r="A8859">
        <v>4750214</v>
      </c>
      <c r="B8859" t="s">
        <v>42790</v>
      </c>
      <c r="C8859" t="str">
        <f>"9782760631724"</f>
        <v>9782760631724</v>
      </c>
      <c r="D8859" t="str">
        <f>"9782760631748"</f>
        <v>9782760631748</v>
      </c>
      <c r="E8859" t="s">
        <v>42231</v>
      </c>
      <c r="F8859" t="s">
        <v>42231</v>
      </c>
      <c r="G8859" s="1">
        <v>41275</v>
      </c>
      <c r="J8859" t="s">
        <v>42791</v>
      </c>
      <c r="K8859" t="s">
        <v>263</v>
      </c>
      <c r="L8859" t="s">
        <v>42792</v>
      </c>
      <c r="M8859">
        <v>362.60419999999903</v>
      </c>
      <c r="N8859" t="s">
        <v>42793</v>
      </c>
      <c r="O8859" t="s">
        <v>94</v>
      </c>
      <c r="P8859">
        <v>12.99</v>
      </c>
      <c r="R8859">
        <v>12.99</v>
      </c>
      <c r="T8859" t="s">
        <v>42794</v>
      </c>
    </row>
    <row r="8860" spans="1:20">
      <c r="A8860">
        <v>4750215</v>
      </c>
      <c r="B8860" t="s">
        <v>42795</v>
      </c>
      <c r="C8860" t="str">
        <f>"9782760631809"</f>
        <v>9782760631809</v>
      </c>
      <c r="D8860" t="str">
        <f>"9782760631816"</f>
        <v>9782760631816</v>
      </c>
      <c r="E8860" t="s">
        <v>42231</v>
      </c>
      <c r="F8860" t="s">
        <v>42231</v>
      </c>
      <c r="G8860" s="1">
        <v>41275</v>
      </c>
      <c r="J8860" t="s">
        <v>42796</v>
      </c>
      <c r="O8860" t="s">
        <v>94</v>
      </c>
      <c r="P8860">
        <v>19.989999999999998</v>
      </c>
      <c r="R8860">
        <v>19.989999999999998</v>
      </c>
      <c r="T8860" t="s">
        <v>42797</v>
      </c>
    </row>
    <row r="8861" spans="1:20">
      <c r="A8861">
        <v>4750216</v>
      </c>
      <c r="B8861" t="s">
        <v>42798</v>
      </c>
      <c r="C8861" t="str">
        <f>"9782760631557"</f>
        <v>9782760631557</v>
      </c>
      <c r="D8861" t="str">
        <f>"9782760631830"</f>
        <v>9782760631830</v>
      </c>
      <c r="E8861" t="s">
        <v>42231</v>
      </c>
      <c r="F8861" t="s">
        <v>42231</v>
      </c>
      <c r="G8861" s="1">
        <v>41275</v>
      </c>
      <c r="J8861" t="s">
        <v>42799</v>
      </c>
      <c r="O8861" t="s">
        <v>94</v>
      </c>
      <c r="P8861">
        <v>21.99</v>
      </c>
      <c r="R8861">
        <v>21.99</v>
      </c>
      <c r="T8861" t="s">
        <v>42800</v>
      </c>
    </row>
    <row r="8862" spans="1:20">
      <c r="A8862">
        <v>4750217</v>
      </c>
      <c r="B8862" t="s">
        <v>42801</v>
      </c>
      <c r="C8862" t="str">
        <f>"9782760631526"</f>
        <v>9782760631526</v>
      </c>
      <c r="D8862" t="str">
        <f>"9782760631908"</f>
        <v>9782760631908</v>
      </c>
      <c r="E8862" t="s">
        <v>42231</v>
      </c>
      <c r="F8862" t="s">
        <v>42231</v>
      </c>
      <c r="G8862" s="1">
        <v>41275</v>
      </c>
      <c r="J8862" t="s">
        <v>42802</v>
      </c>
      <c r="K8862" t="s">
        <v>305</v>
      </c>
      <c r="L8862" t="s">
        <v>42803</v>
      </c>
      <c r="M8862">
        <v>658.40099999999904</v>
      </c>
      <c r="N8862" t="s">
        <v>42804</v>
      </c>
      <c r="O8862" t="s">
        <v>94</v>
      </c>
      <c r="P8862">
        <v>14.99</v>
      </c>
      <c r="R8862">
        <v>14.99</v>
      </c>
      <c r="T8862" t="s">
        <v>42805</v>
      </c>
    </row>
    <row r="8863" spans="1:20">
      <c r="A8863">
        <v>4750218</v>
      </c>
      <c r="B8863" t="s">
        <v>42806</v>
      </c>
      <c r="C8863" t="str">
        <f>"9782760631953"</f>
        <v>9782760631953</v>
      </c>
      <c r="D8863" t="str">
        <f>"9782760631960"</f>
        <v>9782760631960</v>
      </c>
      <c r="E8863" t="s">
        <v>42231</v>
      </c>
      <c r="F8863" t="s">
        <v>42231</v>
      </c>
      <c r="G8863" s="1">
        <v>42005</v>
      </c>
      <c r="J8863" t="s">
        <v>42807</v>
      </c>
      <c r="O8863" t="s">
        <v>94</v>
      </c>
      <c r="P8863">
        <v>24.99</v>
      </c>
      <c r="R8863">
        <v>24.99</v>
      </c>
      <c r="T8863" t="s">
        <v>42808</v>
      </c>
    </row>
    <row r="8864" spans="1:20">
      <c r="A8864">
        <v>4750219</v>
      </c>
      <c r="B8864" t="s">
        <v>42809</v>
      </c>
      <c r="C8864" t="str">
        <f>"9782760632141"</f>
        <v>9782760632141</v>
      </c>
      <c r="D8864" t="str">
        <f>"9782760632158"</f>
        <v>9782760632158</v>
      </c>
      <c r="E8864" t="s">
        <v>42231</v>
      </c>
      <c r="F8864" t="s">
        <v>42231</v>
      </c>
      <c r="G8864" s="1">
        <v>42005</v>
      </c>
      <c r="J8864" t="s">
        <v>42810</v>
      </c>
      <c r="K8864" t="s">
        <v>416</v>
      </c>
      <c r="L8864" t="s">
        <v>42811</v>
      </c>
      <c r="M8864">
        <v>331</v>
      </c>
      <c r="N8864" t="s">
        <v>42812</v>
      </c>
      <c r="O8864" t="s">
        <v>94</v>
      </c>
      <c r="P8864">
        <v>21.99</v>
      </c>
      <c r="R8864">
        <v>21.99</v>
      </c>
      <c r="T8864" t="s">
        <v>42813</v>
      </c>
    </row>
    <row r="8865" spans="1:20">
      <c r="A8865">
        <v>4750220</v>
      </c>
      <c r="B8865" t="s">
        <v>42814</v>
      </c>
      <c r="C8865" t="str">
        <f>"9782760632561"</f>
        <v>9782760632561</v>
      </c>
      <c r="D8865" t="str">
        <f>"9782760632578"</f>
        <v>9782760632578</v>
      </c>
      <c r="E8865" t="s">
        <v>42231</v>
      </c>
      <c r="F8865" t="s">
        <v>42231</v>
      </c>
      <c r="G8865" s="1">
        <v>41640</v>
      </c>
      <c r="J8865" t="s">
        <v>42815</v>
      </c>
      <c r="K8865" t="s">
        <v>1127</v>
      </c>
      <c r="L8865" t="s">
        <v>42816</v>
      </c>
      <c r="M8865">
        <v>155.5</v>
      </c>
      <c r="N8865" t="s">
        <v>42565</v>
      </c>
      <c r="O8865" t="s">
        <v>94</v>
      </c>
      <c r="P8865">
        <v>19.989999999999998</v>
      </c>
      <c r="R8865">
        <v>19.989999999999998</v>
      </c>
      <c r="T8865" t="s">
        <v>42817</v>
      </c>
    </row>
    <row r="8866" spans="1:20">
      <c r="A8866">
        <v>4750222</v>
      </c>
      <c r="B8866" t="s">
        <v>42818</v>
      </c>
      <c r="C8866" t="str">
        <f>"9782760619838"</f>
        <v>9782760619838</v>
      </c>
      <c r="D8866" t="str">
        <f>"9782760632776"</f>
        <v>9782760632776</v>
      </c>
      <c r="E8866" t="s">
        <v>42231</v>
      </c>
      <c r="F8866" t="s">
        <v>42231</v>
      </c>
      <c r="G8866" s="1">
        <v>39435</v>
      </c>
      <c r="J8866" t="s">
        <v>42819</v>
      </c>
      <c r="K8866" t="s">
        <v>263</v>
      </c>
      <c r="L8866" t="s">
        <v>42820</v>
      </c>
      <c r="M8866">
        <v>365.01900000000001</v>
      </c>
      <c r="N8866" t="s">
        <v>42821</v>
      </c>
      <c r="O8866" t="s">
        <v>94</v>
      </c>
      <c r="P8866">
        <v>14.99</v>
      </c>
      <c r="Q8866">
        <v>18.739999999999998</v>
      </c>
      <c r="R8866">
        <v>14.99</v>
      </c>
      <c r="S8866">
        <v>22.49</v>
      </c>
      <c r="T8866" t="s">
        <v>42822</v>
      </c>
    </row>
    <row r="8867" spans="1:20">
      <c r="A8867">
        <v>4750223</v>
      </c>
      <c r="B8867" t="s">
        <v>42823</v>
      </c>
      <c r="C8867" t="str">
        <f>"9782760632714"</f>
        <v>9782760632714</v>
      </c>
      <c r="D8867" t="str">
        <f>"9782760632721"</f>
        <v>9782760632721</v>
      </c>
      <c r="E8867" t="s">
        <v>42231</v>
      </c>
      <c r="F8867" t="s">
        <v>42231</v>
      </c>
      <c r="G8867" s="1">
        <v>42035</v>
      </c>
      <c r="J8867" t="s">
        <v>42824</v>
      </c>
      <c r="K8867" t="s">
        <v>2260</v>
      </c>
      <c r="L8867" t="s">
        <v>42825</v>
      </c>
      <c r="M8867">
        <v>617.70000000000005</v>
      </c>
      <c r="N8867" t="s">
        <v>42826</v>
      </c>
      <c r="O8867" t="s">
        <v>94</v>
      </c>
      <c r="P8867">
        <v>11.99</v>
      </c>
      <c r="R8867">
        <v>11.99</v>
      </c>
      <c r="T8867" t="s">
        <v>42827</v>
      </c>
    </row>
    <row r="8868" spans="1:20">
      <c r="A8868">
        <v>4750224</v>
      </c>
      <c r="B8868" t="s">
        <v>42828</v>
      </c>
      <c r="C8868" t="str">
        <f>"9782760633155"</f>
        <v>9782760633155</v>
      </c>
      <c r="D8868" t="str">
        <f>"9782760633209"</f>
        <v>9782760633209</v>
      </c>
      <c r="E8868" t="s">
        <v>42231</v>
      </c>
      <c r="F8868" t="s">
        <v>42231</v>
      </c>
      <c r="G8868" s="1">
        <v>36526</v>
      </c>
      <c r="I8868" t="s">
        <v>42829</v>
      </c>
      <c r="J8868" t="s">
        <v>42830</v>
      </c>
      <c r="K8868" t="s">
        <v>525</v>
      </c>
      <c r="M8868" t="s">
        <v>37803</v>
      </c>
      <c r="O8868" t="s">
        <v>94</v>
      </c>
      <c r="P8868">
        <v>29.95</v>
      </c>
      <c r="R8868">
        <v>29.95</v>
      </c>
      <c r="T8868" t="s">
        <v>42831</v>
      </c>
    </row>
    <row r="8869" spans="1:20">
      <c r="A8869">
        <v>4750227</v>
      </c>
      <c r="B8869" t="s">
        <v>42832</v>
      </c>
      <c r="C8869" t="str">
        <f>"9782760632998"</f>
        <v>9782760632998</v>
      </c>
      <c r="D8869" t="str">
        <f>"9782760633001"</f>
        <v>9782760633001</v>
      </c>
      <c r="E8869" t="s">
        <v>42231</v>
      </c>
      <c r="F8869" t="s">
        <v>42231</v>
      </c>
      <c r="G8869" s="1">
        <v>42038</v>
      </c>
      <c r="J8869" t="s">
        <v>42833</v>
      </c>
      <c r="K8869" t="s">
        <v>263</v>
      </c>
      <c r="L8869" t="s">
        <v>42834</v>
      </c>
      <c r="M8869">
        <v>307.12097139999901</v>
      </c>
      <c r="N8869" t="s">
        <v>33199</v>
      </c>
      <c r="O8869" t="s">
        <v>94</v>
      </c>
      <c r="P8869">
        <v>19.989999999999998</v>
      </c>
      <c r="R8869">
        <v>19.989999999999998</v>
      </c>
      <c r="T8869" t="s">
        <v>42835</v>
      </c>
    </row>
    <row r="8870" spans="1:20">
      <c r="A8870">
        <v>4750228</v>
      </c>
      <c r="B8870" t="s">
        <v>42836</v>
      </c>
      <c r="C8870" t="str">
        <f>"9782760633865"</f>
        <v>9782760633865</v>
      </c>
      <c r="D8870" t="str">
        <f>"9782760633872"</f>
        <v>9782760633872</v>
      </c>
      <c r="E8870" t="s">
        <v>42231</v>
      </c>
      <c r="F8870" t="s">
        <v>42231</v>
      </c>
      <c r="G8870" s="1">
        <v>41640</v>
      </c>
      <c r="J8870" t="s">
        <v>42837</v>
      </c>
      <c r="K8870" t="s">
        <v>4093</v>
      </c>
      <c r="L8870" t="s">
        <v>42838</v>
      </c>
      <c r="M8870">
        <v>174.2</v>
      </c>
      <c r="N8870" t="s">
        <v>42839</v>
      </c>
      <c r="O8870" t="s">
        <v>94</v>
      </c>
      <c r="P8870">
        <v>14.99</v>
      </c>
      <c r="R8870">
        <v>14.99</v>
      </c>
      <c r="T8870" t="s">
        <v>42840</v>
      </c>
    </row>
    <row r="8871" spans="1:20">
      <c r="A8871">
        <v>4750229</v>
      </c>
      <c r="B8871" t="s">
        <v>42841</v>
      </c>
      <c r="C8871" t="str">
        <f>"9782760633551"</f>
        <v>9782760633551</v>
      </c>
      <c r="D8871" t="str">
        <f>"9782760633568"</f>
        <v>9782760633568</v>
      </c>
      <c r="E8871" t="s">
        <v>42231</v>
      </c>
      <c r="F8871" t="s">
        <v>42231</v>
      </c>
      <c r="G8871" s="1">
        <v>41640</v>
      </c>
      <c r="J8871" t="s">
        <v>25376</v>
      </c>
      <c r="K8871" t="s">
        <v>1322</v>
      </c>
      <c r="L8871" t="s">
        <v>42842</v>
      </c>
      <c r="M8871">
        <v>362.20420000000001</v>
      </c>
      <c r="N8871" t="s">
        <v>42843</v>
      </c>
      <c r="O8871" t="s">
        <v>94</v>
      </c>
      <c r="P8871">
        <v>14.99</v>
      </c>
      <c r="R8871">
        <v>14.99</v>
      </c>
      <c r="T8871" t="s">
        <v>42844</v>
      </c>
    </row>
    <row r="8872" spans="1:20">
      <c r="A8872">
        <v>4750230</v>
      </c>
      <c r="B8872" t="s">
        <v>42845</v>
      </c>
      <c r="C8872" t="str">
        <f>"9782760633926"</f>
        <v>9782760633926</v>
      </c>
      <c r="D8872" t="str">
        <f>"9782760633933"</f>
        <v>9782760633933</v>
      </c>
      <c r="E8872" t="s">
        <v>42231</v>
      </c>
      <c r="F8872" t="s">
        <v>42231</v>
      </c>
      <c r="G8872" s="1">
        <v>41640</v>
      </c>
      <c r="J8872" t="s">
        <v>42846</v>
      </c>
      <c r="K8872" t="s">
        <v>305</v>
      </c>
      <c r="L8872" t="s">
        <v>42847</v>
      </c>
      <c r="M8872">
        <v>380.5</v>
      </c>
      <c r="N8872" t="s">
        <v>42848</v>
      </c>
      <c r="O8872" t="s">
        <v>94</v>
      </c>
      <c r="P8872">
        <v>21.99</v>
      </c>
      <c r="R8872">
        <v>21.99</v>
      </c>
      <c r="T8872" t="s">
        <v>42849</v>
      </c>
    </row>
    <row r="8873" spans="1:20">
      <c r="A8873">
        <v>4750231</v>
      </c>
      <c r="B8873" t="s">
        <v>42850</v>
      </c>
      <c r="C8873" t="str">
        <f>"9782760634879"</f>
        <v>9782760634879</v>
      </c>
      <c r="D8873" t="str">
        <f>"9782760634886"</f>
        <v>9782760634886</v>
      </c>
      <c r="E8873" t="s">
        <v>42231</v>
      </c>
      <c r="F8873" t="s">
        <v>42231</v>
      </c>
      <c r="G8873" s="1">
        <v>42370</v>
      </c>
      <c r="J8873" t="s">
        <v>42231</v>
      </c>
      <c r="K8873" t="s">
        <v>1082</v>
      </c>
      <c r="L8873" t="s">
        <v>42851</v>
      </c>
      <c r="M8873">
        <v>362.109714</v>
      </c>
      <c r="N8873" t="s">
        <v>42852</v>
      </c>
      <c r="O8873" t="s">
        <v>94</v>
      </c>
      <c r="P8873">
        <v>14.99</v>
      </c>
      <c r="R8873">
        <v>14.99</v>
      </c>
      <c r="T8873" t="s">
        <v>42853</v>
      </c>
    </row>
    <row r="8874" spans="1:20">
      <c r="A8874">
        <v>4750233</v>
      </c>
      <c r="B8874" t="s">
        <v>42854</v>
      </c>
      <c r="C8874" t="str">
        <f>"9782760635678"</f>
        <v>9782760635678</v>
      </c>
      <c r="D8874" t="str">
        <f>"9782760635685"</f>
        <v>9782760635685</v>
      </c>
      <c r="E8874" t="s">
        <v>42231</v>
      </c>
      <c r="F8874" t="s">
        <v>42231</v>
      </c>
      <c r="G8874" s="1">
        <v>42370</v>
      </c>
      <c r="J8874" t="s">
        <v>42855</v>
      </c>
      <c r="K8874" t="s">
        <v>1082</v>
      </c>
      <c r="L8874" t="s">
        <v>42856</v>
      </c>
      <c r="M8874">
        <v>362.10425800000002</v>
      </c>
      <c r="N8874" t="s">
        <v>42857</v>
      </c>
      <c r="O8874" t="s">
        <v>94</v>
      </c>
      <c r="P8874">
        <v>16.989999999999998</v>
      </c>
      <c r="R8874">
        <v>16.989999999999998</v>
      </c>
      <c r="T8874" t="s">
        <v>42858</v>
      </c>
    </row>
    <row r="8875" spans="1:20">
      <c r="A8875">
        <v>4750234</v>
      </c>
      <c r="B8875" t="s">
        <v>42859</v>
      </c>
      <c r="C8875" t="str">
        <f>"9782760635869"</f>
        <v>9782760635869</v>
      </c>
      <c r="D8875" t="str">
        <f>"9782760635876"</f>
        <v>9782760635876</v>
      </c>
      <c r="E8875" t="s">
        <v>42231</v>
      </c>
      <c r="F8875" t="s">
        <v>42231</v>
      </c>
      <c r="G8875" s="1">
        <v>42005</v>
      </c>
      <c r="J8875" t="s">
        <v>42860</v>
      </c>
      <c r="K8875" t="s">
        <v>467</v>
      </c>
      <c r="L8875" t="s">
        <v>42861</v>
      </c>
      <c r="M8875">
        <v>320.3</v>
      </c>
      <c r="N8875" t="s">
        <v>42862</v>
      </c>
      <c r="O8875" t="s">
        <v>94</v>
      </c>
      <c r="P8875">
        <v>14.99</v>
      </c>
      <c r="R8875">
        <v>14.99</v>
      </c>
      <c r="T8875" t="s">
        <v>42863</v>
      </c>
    </row>
    <row r="8876" spans="1:20">
      <c r="A8876">
        <v>4750236</v>
      </c>
      <c r="B8876" t="s">
        <v>42864</v>
      </c>
      <c r="C8876" t="str">
        <f>"9782760636118"</f>
        <v>9782760636118</v>
      </c>
      <c r="D8876" t="str">
        <f>"9782760636125"</f>
        <v>9782760636125</v>
      </c>
      <c r="E8876" t="s">
        <v>42231</v>
      </c>
      <c r="F8876" t="s">
        <v>42231</v>
      </c>
      <c r="G8876" s="1">
        <v>42370</v>
      </c>
      <c r="J8876" t="s">
        <v>42865</v>
      </c>
      <c r="O8876" t="s">
        <v>94</v>
      </c>
      <c r="P8876">
        <v>21.99</v>
      </c>
      <c r="R8876">
        <v>21.99</v>
      </c>
      <c r="T8876" t="s">
        <v>42866</v>
      </c>
    </row>
    <row r="8877" spans="1:20">
      <c r="A8877">
        <v>4750237</v>
      </c>
      <c r="B8877" t="s">
        <v>42867</v>
      </c>
      <c r="C8877" t="str">
        <f>"9782760635265"</f>
        <v>9782760635265</v>
      </c>
      <c r="D8877" t="str">
        <f>"9782760635272"</f>
        <v>9782760635272</v>
      </c>
      <c r="E8877" t="s">
        <v>42231</v>
      </c>
      <c r="F8877" t="s">
        <v>42231</v>
      </c>
      <c r="G8877" s="1">
        <v>42005</v>
      </c>
      <c r="J8877" t="s">
        <v>42868</v>
      </c>
      <c r="K8877" t="s">
        <v>42869</v>
      </c>
      <c r="L8877" t="s">
        <v>42870</v>
      </c>
      <c r="M8877">
        <v>658.40300000000002</v>
      </c>
      <c r="N8877" t="s">
        <v>42871</v>
      </c>
      <c r="O8877" t="s">
        <v>94</v>
      </c>
      <c r="P8877">
        <v>19.989999999999998</v>
      </c>
      <c r="R8877">
        <v>19.989999999999998</v>
      </c>
      <c r="T8877" t="s">
        <v>42872</v>
      </c>
    </row>
    <row r="8878" spans="1:20">
      <c r="A8878">
        <v>4750238</v>
      </c>
      <c r="B8878" t="s">
        <v>42873</v>
      </c>
      <c r="C8878" t="str">
        <f>"9782760636187"</f>
        <v>9782760636187</v>
      </c>
      <c r="D8878" t="str">
        <f>"9782760636194"</f>
        <v>9782760636194</v>
      </c>
      <c r="E8878" t="s">
        <v>42231</v>
      </c>
      <c r="F8878" t="s">
        <v>42231</v>
      </c>
      <c r="G8878" s="1">
        <v>42370</v>
      </c>
      <c r="J8878" t="s">
        <v>42764</v>
      </c>
      <c r="O8878" t="s">
        <v>94</v>
      </c>
      <c r="P8878">
        <v>24.99</v>
      </c>
      <c r="R8878">
        <v>24.99</v>
      </c>
      <c r="T8878" t="s">
        <v>42874</v>
      </c>
    </row>
    <row r="8879" spans="1:20">
      <c r="A8879">
        <v>4750239</v>
      </c>
      <c r="B8879" t="s">
        <v>42875</v>
      </c>
      <c r="C8879" t="str">
        <f>"9782760636699"</f>
        <v>9782760636699</v>
      </c>
      <c r="D8879" t="str">
        <f>"9782760636705"</f>
        <v>9782760636705</v>
      </c>
      <c r="E8879" t="s">
        <v>42231</v>
      </c>
      <c r="F8879" t="s">
        <v>42231</v>
      </c>
      <c r="G8879" s="1">
        <v>42370</v>
      </c>
      <c r="J8879" t="s">
        <v>42876</v>
      </c>
      <c r="O8879" t="s">
        <v>94</v>
      </c>
      <c r="P8879">
        <v>15.99</v>
      </c>
      <c r="R8879">
        <v>15.99</v>
      </c>
      <c r="T8879" t="s">
        <v>42877</v>
      </c>
    </row>
    <row r="8880" spans="1:20">
      <c r="A8880">
        <v>4750240</v>
      </c>
      <c r="B8880" t="s">
        <v>42878</v>
      </c>
      <c r="C8880" t="str">
        <f>"9782760636781"</f>
        <v>9782760636781</v>
      </c>
      <c r="D8880" t="str">
        <f>"9782760636798"</f>
        <v>9782760636798</v>
      </c>
      <c r="E8880" t="s">
        <v>42231</v>
      </c>
      <c r="F8880" t="s">
        <v>42231</v>
      </c>
      <c r="G8880" s="1">
        <v>42370</v>
      </c>
      <c r="J8880" t="s">
        <v>42879</v>
      </c>
      <c r="O8880" t="s">
        <v>94</v>
      </c>
      <c r="P8880">
        <v>19.989999999999998</v>
      </c>
      <c r="R8880">
        <v>19.989999999999998</v>
      </c>
      <c r="T8880" t="s">
        <v>42880</v>
      </c>
    </row>
    <row r="8881" spans="1:20">
      <c r="A8881">
        <v>4750242</v>
      </c>
      <c r="B8881" t="s">
        <v>42881</v>
      </c>
      <c r="C8881" t="str">
        <f>"9782760636545"</f>
        <v>9782760636545</v>
      </c>
      <c r="D8881" t="str">
        <f>"9782760636552"</f>
        <v>9782760636552</v>
      </c>
      <c r="E8881" t="s">
        <v>42231</v>
      </c>
      <c r="F8881" t="s">
        <v>42231</v>
      </c>
      <c r="G8881" s="1">
        <v>42370</v>
      </c>
      <c r="J8881" t="s">
        <v>42882</v>
      </c>
      <c r="O8881" t="s">
        <v>94</v>
      </c>
      <c r="P8881">
        <v>16.989999999999998</v>
      </c>
      <c r="R8881">
        <v>16.989999999999998</v>
      </c>
      <c r="T8881" t="s">
        <v>42883</v>
      </c>
    </row>
    <row r="8882" spans="1:20">
      <c r="A8882">
        <v>4750243</v>
      </c>
      <c r="B8882" t="s">
        <v>42884</v>
      </c>
      <c r="C8882" t="str">
        <f>"9782760636965"</f>
        <v>9782760636965</v>
      </c>
      <c r="D8882" t="str">
        <f>"9782760636972"</f>
        <v>9782760636972</v>
      </c>
      <c r="E8882" t="s">
        <v>42231</v>
      </c>
      <c r="F8882" t="s">
        <v>42231</v>
      </c>
      <c r="G8882" s="1">
        <v>42370</v>
      </c>
      <c r="J8882" t="s">
        <v>42885</v>
      </c>
      <c r="K8882" t="s">
        <v>257</v>
      </c>
      <c r="L8882" t="s">
        <v>42886</v>
      </c>
      <c r="M8882">
        <v>371.33446780000003</v>
      </c>
      <c r="N8882" t="s">
        <v>42887</v>
      </c>
      <c r="O8882" t="s">
        <v>94</v>
      </c>
      <c r="P8882">
        <v>6.99</v>
      </c>
      <c r="R8882">
        <v>6.99</v>
      </c>
      <c r="T8882" t="s">
        <v>42888</v>
      </c>
    </row>
    <row r="8883" spans="1:20">
      <c r="A8883">
        <v>4750245</v>
      </c>
      <c r="B8883" t="s">
        <v>42889</v>
      </c>
      <c r="C8883" t="str">
        <f>"9782760631984"</f>
        <v>9782760631984</v>
      </c>
      <c r="D8883" t="str">
        <f>"9782760632011"</f>
        <v>9782760632011</v>
      </c>
      <c r="E8883" t="s">
        <v>42231</v>
      </c>
      <c r="F8883" t="s">
        <v>42231</v>
      </c>
      <c r="G8883" s="1">
        <v>41275</v>
      </c>
      <c r="J8883" t="s">
        <v>42890</v>
      </c>
      <c r="K8883" t="s">
        <v>1471</v>
      </c>
      <c r="L8883" t="s">
        <v>42891</v>
      </c>
      <c r="M8883">
        <v>770.1</v>
      </c>
      <c r="N8883" t="s">
        <v>42892</v>
      </c>
      <c r="O8883" t="s">
        <v>94</v>
      </c>
      <c r="P8883">
        <v>10.99</v>
      </c>
      <c r="R8883">
        <v>10.99</v>
      </c>
      <c r="T8883" t="s">
        <v>42893</v>
      </c>
    </row>
    <row r="8884" spans="1:20">
      <c r="A8884">
        <v>4750252</v>
      </c>
      <c r="B8884" t="s">
        <v>42894</v>
      </c>
      <c r="C8884" t="str">
        <f>"9782760617360"</f>
        <v>9782760617360</v>
      </c>
      <c r="D8884" t="str">
        <f>"9782760623040"</f>
        <v>9782760623040</v>
      </c>
      <c r="E8884" t="s">
        <v>42231</v>
      </c>
      <c r="F8884" t="s">
        <v>42231</v>
      </c>
      <c r="G8884" s="1">
        <v>36526</v>
      </c>
      <c r="J8884" t="s">
        <v>42320</v>
      </c>
      <c r="K8884" t="s">
        <v>416</v>
      </c>
      <c r="L8884" t="s">
        <v>42895</v>
      </c>
      <c r="M8884">
        <v>338.76291333400002</v>
      </c>
      <c r="N8884" t="s">
        <v>42896</v>
      </c>
      <c r="O8884" t="s">
        <v>94</v>
      </c>
      <c r="P8884">
        <v>16.989999999999998</v>
      </c>
      <c r="Q8884">
        <v>21.24</v>
      </c>
      <c r="R8884">
        <v>16.989999999999998</v>
      </c>
      <c r="S8884">
        <v>25.49</v>
      </c>
      <c r="T8884" t="s">
        <v>42897</v>
      </c>
    </row>
    <row r="8885" spans="1:20">
      <c r="A8885">
        <v>4750254</v>
      </c>
      <c r="B8885" t="s">
        <v>42898</v>
      </c>
      <c r="C8885" t="str">
        <f>"9782760617902"</f>
        <v>9782760617902</v>
      </c>
      <c r="D8885" t="str">
        <f>"9782760623347"</f>
        <v>9782760623347</v>
      </c>
      <c r="E8885" t="s">
        <v>42231</v>
      </c>
      <c r="F8885" t="s">
        <v>42231</v>
      </c>
      <c r="G8885" s="1">
        <v>36526</v>
      </c>
      <c r="J8885" t="s">
        <v>42899</v>
      </c>
      <c r="K8885" t="s">
        <v>10956</v>
      </c>
      <c r="L8885" t="s">
        <v>42900</v>
      </c>
      <c r="M8885">
        <v>70.194999999999894</v>
      </c>
      <c r="N8885" t="s">
        <v>42901</v>
      </c>
      <c r="O8885" t="s">
        <v>94</v>
      </c>
      <c r="P8885">
        <v>19.989999999999998</v>
      </c>
      <c r="Q8885">
        <v>24.99</v>
      </c>
      <c r="R8885">
        <v>19.989999999999998</v>
      </c>
      <c r="S8885">
        <v>29.99</v>
      </c>
      <c r="T8885" t="s">
        <v>42902</v>
      </c>
    </row>
    <row r="8886" spans="1:20">
      <c r="A8886">
        <v>4750256</v>
      </c>
      <c r="B8886" t="s">
        <v>42903</v>
      </c>
      <c r="C8886" t="str">
        <f>"9782760617742"</f>
        <v>9782760617742</v>
      </c>
      <c r="D8886" t="str">
        <f>"9782760623286"</f>
        <v>9782760623286</v>
      </c>
      <c r="E8886" t="s">
        <v>42231</v>
      </c>
      <c r="F8886" t="s">
        <v>42231</v>
      </c>
      <c r="G8886" s="1">
        <v>36526</v>
      </c>
      <c r="J8886" t="s">
        <v>42904</v>
      </c>
      <c r="K8886" t="s">
        <v>263</v>
      </c>
      <c r="L8886" t="s">
        <v>42905</v>
      </c>
      <c r="M8886">
        <v>303.48399999999901</v>
      </c>
      <c r="N8886" t="s">
        <v>42906</v>
      </c>
      <c r="O8886" t="s">
        <v>94</v>
      </c>
      <c r="P8886">
        <v>11.99</v>
      </c>
      <c r="Q8886">
        <v>14.99</v>
      </c>
      <c r="R8886">
        <v>11.99</v>
      </c>
      <c r="S8886">
        <v>17.989999999999998</v>
      </c>
      <c r="T8886" t="s">
        <v>42907</v>
      </c>
    </row>
    <row r="8887" spans="1:20">
      <c r="A8887">
        <v>4750257</v>
      </c>
      <c r="B8887" t="s">
        <v>42908</v>
      </c>
      <c r="C8887" t="str">
        <f>"9782760618374"</f>
        <v>9782760618374</v>
      </c>
      <c r="D8887" t="str">
        <f>"9782760623736"</f>
        <v>9782760623736</v>
      </c>
      <c r="E8887" t="s">
        <v>42231</v>
      </c>
      <c r="F8887" t="s">
        <v>42231</v>
      </c>
      <c r="G8887" s="1">
        <v>37257</v>
      </c>
      <c r="J8887" t="s">
        <v>42909</v>
      </c>
      <c r="K8887" t="s">
        <v>263</v>
      </c>
      <c r="L8887" t="s">
        <v>42910</v>
      </c>
      <c r="M8887">
        <v>305.09710000000001</v>
      </c>
      <c r="N8887" t="s">
        <v>42911</v>
      </c>
      <c r="O8887" t="s">
        <v>94</v>
      </c>
      <c r="P8887">
        <v>11.99</v>
      </c>
      <c r="Q8887">
        <v>14.99</v>
      </c>
      <c r="R8887">
        <v>11.99</v>
      </c>
      <c r="S8887">
        <v>17.989999999999998</v>
      </c>
      <c r="T8887" t="s">
        <v>42912</v>
      </c>
    </row>
    <row r="8888" spans="1:20">
      <c r="A8888">
        <v>4750259</v>
      </c>
      <c r="B8888" t="s">
        <v>42913</v>
      </c>
      <c r="C8888" t="str">
        <f>"9782760617926"</f>
        <v>9782760617926</v>
      </c>
      <c r="D8888" t="str">
        <f>"9782760623934"</f>
        <v>9782760623934</v>
      </c>
      <c r="E8888" t="s">
        <v>42231</v>
      </c>
      <c r="F8888" t="s">
        <v>42231</v>
      </c>
      <c r="G8888" s="1">
        <v>37622</v>
      </c>
      <c r="J8888" t="s">
        <v>42914</v>
      </c>
      <c r="K8888" t="s">
        <v>899</v>
      </c>
      <c r="L8888" t="s">
        <v>42915</v>
      </c>
      <c r="M8888" t="s">
        <v>42916</v>
      </c>
      <c r="N8888" t="s">
        <v>42917</v>
      </c>
      <c r="O8888" t="s">
        <v>94</v>
      </c>
      <c r="P8888">
        <v>14.99</v>
      </c>
      <c r="Q8888">
        <v>18.739999999999998</v>
      </c>
      <c r="R8888">
        <v>14.99</v>
      </c>
      <c r="S8888">
        <v>22.49</v>
      </c>
      <c r="T8888" t="s">
        <v>42918</v>
      </c>
    </row>
    <row r="8889" spans="1:20">
      <c r="A8889">
        <v>4750260</v>
      </c>
      <c r="B8889" t="s">
        <v>42919</v>
      </c>
      <c r="C8889" t="str">
        <f>"9782760631410"</f>
        <v>9782760631410</v>
      </c>
      <c r="D8889" t="str">
        <f>"9782760631786"</f>
        <v>9782760631786</v>
      </c>
      <c r="E8889" t="s">
        <v>42231</v>
      </c>
      <c r="F8889" t="s">
        <v>42231</v>
      </c>
      <c r="G8889" s="1">
        <v>41275</v>
      </c>
      <c r="J8889" t="s">
        <v>42920</v>
      </c>
      <c r="K8889" t="s">
        <v>568</v>
      </c>
      <c r="L8889" t="s">
        <v>42921</v>
      </c>
      <c r="M8889">
        <v>303.48200000000003</v>
      </c>
      <c r="N8889" t="s">
        <v>42922</v>
      </c>
      <c r="O8889" t="s">
        <v>94</v>
      </c>
      <c r="P8889">
        <v>14.99</v>
      </c>
      <c r="R8889">
        <v>14.99</v>
      </c>
      <c r="T8889" t="s">
        <v>42923</v>
      </c>
    </row>
    <row r="8890" spans="1:20">
      <c r="A8890">
        <v>4750261</v>
      </c>
      <c r="B8890" t="s">
        <v>42924</v>
      </c>
      <c r="C8890" t="str">
        <f>"9782760618800"</f>
        <v>9782760618800</v>
      </c>
      <c r="D8890" t="str">
        <f>"9782760624023"</f>
        <v>9782760624023</v>
      </c>
      <c r="E8890" t="s">
        <v>42231</v>
      </c>
      <c r="F8890" t="s">
        <v>42231</v>
      </c>
      <c r="G8890" s="1">
        <v>37622</v>
      </c>
      <c r="J8890" t="s">
        <v>42925</v>
      </c>
      <c r="K8890" t="s">
        <v>550</v>
      </c>
      <c r="L8890" t="s">
        <v>42926</v>
      </c>
      <c r="M8890">
        <v>368.44</v>
      </c>
      <c r="N8890" t="s">
        <v>42927</v>
      </c>
      <c r="O8890" t="s">
        <v>94</v>
      </c>
      <c r="P8890">
        <v>11.99</v>
      </c>
      <c r="Q8890">
        <v>14.99</v>
      </c>
      <c r="R8890">
        <v>11.99</v>
      </c>
      <c r="S8890">
        <v>17.989999999999998</v>
      </c>
      <c r="T8890" t="s">
        <v>42928</v>
      </c>
    </row>
    <row r="8891" spans="1:20">
      <c r="A8891">
        <v>4750262</v>
      </c>
      <c r="B8891" t="s">
        <v>42929</v>
      </c>
      <c r="C8891" t="str">
        <f>"9782760632172"</f>
        <v>9782760632172</v>
      </c>
      <c r="D8891" t="str">
        <f>"9782760632189"</f>
        <v>9782760632189</v>
      </c>
      <c r="E8891" t="s">
        <v>42231</v>
      </c>
      <c r="F8891" t="s">
        <v>42231</v>
      </c>
      <c r="G8891" s="1">
        <v>42005</v>
      </c>
      <c r="J8891" t="s">
        <v>42320</v>
      </c>
      <c r="K8891" t="s">
        <v>291</v>
      </c>
      <c r="L8891" t="s">
        <v>42930</v>
      </c>
      <c r="M8891">
        <v>971.9</v>
      </c>
      <c r="O8891" t="s">
        <v>94</v>
      </c>
      <c r="P8891">
        <v>17.989999999999998</v>
      </c>
      <c r="R8891">
        <v>17.989999999999998</v>
      </c>
      <c r="T8891" t="s">
        <v>42931</v>
      </c>
    </row>
    <row r="8892" spans="1:20">
      <c r="A8892">
        <v>4750268</v>
      </c>
      <c r="B8892" t="s">
        <v>42932</v>
      </c>
      <c r="C8892" t="str">
        <f>"9782760636651"</f>
        <v>9782760636651</v>
      </c>
      <c r="D8892" t="str">
        <f>"9782760636668"</f>
        <v>9782760636668</v>
      </c>
      <c r="E8892" t="s">
        <v>42231</v>
      </c>
      <c r="F8892" t="s">
        <v>42231</v>
      </c>
      <c r="G8892" s="1">
        <v>42370</v>
      </c>
      <c r="J8892" t="s">
        <v>42320</v>
      </c>
      <c r="K8892" t="s">
        <v>416</v>
      </c>
      <c r="L8892" t="s">
        <v>42933</v>
      </c>
      <c r="M8892">
        <v>336.714</v>
      </c>
      <c r="N8892" t="s">
        <v>42934</v>
      </c>
      <c r="O8892" t="s">
        <v>94</v>
      </c>
      <c r="P8892">
        <v>21.99</v>
      </c>
      <c r="R8892">
        <v>21.99</v>
      </c>
      <c r="T8892" t="s">
        <v>42935</v>
      </c>
    </row>
    <row r="8893" spans="1:20">
      <c r="A8893">
        <v>4750270</v>
      </c>
      <c r="B8893" t="s">
        <v>42936</v>
      </c>
      <c r="C8893" t="str">
        <f>"9782760617889"</f>
        <v>9782760617889</v>
      </c>
      <c r="D8893" t="str">
        <f>"9782760623392"</f>
        <v>9782760623392</v>
      </c>
      <c r="E8893" t="s">
        <v>42231</v>
      </c>
      <c r="F8893" t="s">
        <v>42231</v>
      </c>
      <c r="G8893" s="1">
        <v>36526</v>
      </c>
      <c r="J8893" t="s">
        <v>42937</v>
      </c>
      <c r="K8893" t="s">
        <v>1464</v>
      </c>
      <c r="L8893" t="s">
        <v>42938</v>
      </c>
      <c r="M8893" t="s">
        <v>42939</v>
      </c>
      <c r="N8893" t="s">
        <v>42940</v>
      </c>
      <c r="O8893" t="s">
        <v>94</v>
      </c>
      <c r="P8893">
        <v>14.99</v>
      </c>
      <c r="Q8893">
        <v>18.739999999999998</v>
      </c>
      <c r="R8893">
        <v>14.99</v>
      </c>
      <c r="S8893">
        <v>22.49</v>
      </c>
      <c r="T8893" t="s">
        <v>42941</v>
      </c>
    </row>
    <row r="8894" spans="1:20">
      <c r="A8894">
        <v>4750271</v>
      </c>
      <c r="B8894" t="s">
        <v>42942</v>
      </c>
      <c r="C8894" t="str">
        <f>"9782760635623"</f>
        <v>9782760635623</v>
      </c>
      <c r="D8894" t="str">
        <f>"9782760635630"</f>
        <v>9782760635630</v>
      </c>
      <c r="E8894" t="s">
        <v>42231</v>
      </c>
      <c r="F8894" t="s">
        <v>42231</v>
      </c>
      <c r="G8894" s="1">
        <v>42370</v>
      </c>
      <c r="J8894" t="s">
        <v>42943</v>
      </c>
      <c r="K8894" t="s">
        <v>467</v>
      </c>
      <c r="L8894" t="s">
        <v>42944</v>
      </c>
      <c r="M8894">
        <v>325.70999999999901</v>
      </c>
      <c r="N8894" t="s">
        <v>42001</v>
      </c>
      <c r="O8894" t="s">
        <v>94</v>
      </c>
      <c r="P8894">
        <v>16.989999999999998</v>
      </c>
      <c r="R8894">
        <v>16.989999999999998</v>
      </c>
      <c r="T8894" t="s">
        <v>42945</v>
      </c>
    </row>
    <row r="8895" spans="1:20">
      <c r="A8895">
        <v>4750273</v>
      </c>
      <c r="B8895" t="s">
        <v>42946</v>
      </c>
      <c r="C8895" t="str">
        <f>"9782760618275"</f>
        <v>9782760618275</v>
      </c>
      <c r="D8895" t="str">
        <f>"9782760623699"</f>
        <v>9782760623699</v>
      </c>
      <c r="E8895" t="s">
        <v>42231</v>
      </c>
      <c r="F8895" t="s">
        <v>42231</v>
      </c>
      <c r="G8895" s="1">
        <v>37257</v>
      </c>
      <c r="J8895" t="s">
        <v>42947</v>
      </c>
      <c r="K8895" t="s">
        <v>1464</v>
      </c>
      <c r="L8895" t="s">
        <v>42948</v>
      </c>
      <c r="M8895">
        <v>848.70899999999904</v>
      </c>
      <c r="N8895" t="s">
        <v>42949</v>
      </c>
      <c r="O8895" t="s">
        <v>94</v>
      </c>
      <c r="P8895">
        <v>14.99</v>
      </c>
      <c r="Q8895">
        <v>18.739999999999998</v>
      </c>
      <c r="R8895">
        <v>14.99</v>
      </c>
      <c r="S8895">
        <v>22.49</v>
      </c>
      <c r="T8895" t="s">
        <v>42950</v>
      </c>
    </row>
    <row r="8896" spans="1:20">
      <c r="A8896">
        <v>4750274</v>
      </c>
      <c r="B8896" t="s">
        <v>42951</v>
      </c>
      <c r="C8896" t="str">
        <f>"9782760619784"</f>
        <v>9782760619784</v>
      </c>
      <c r="D8896" t="str">
        <f>"9782760624382"</f>
        <v>9782760624382</v>
      </c>
      <c r="E8896" t="s">
        <v>42231</v>
      </c>
      <c r="F8896" t="s">
        <v>42231</v>
      </c>
      <c r="G8896" s="1">
        <v>38353</v>
      </c>
      <c r="J8896" t="s">
        <v>42952</v>
      </c>
      <c r="K8896" t="s">
        <v>1464</v>
      </c>
      <c r="L8896" t="s">
        <v>42953</v>
      </c>
      <c r="M8896">
        <v>809.93353000000002</v>
      </c>
      <c r="N8896" t="s">
        <v>42954</v>
      </c>
      <c r="O8896" t="s">
        <v>94</v>
      </c>
      <c r="P8896">
        <v>16.989999999999998</v>
      </c>
      <c r="Q8896">
        <v>21.24</v>
      </c>
      <c r="R8896">
        <v>16.989999999999998</v>
      </c>
      <c r="S8896">
        <v>25.49</v>
      </c>
      <c r="T8896" t="s">
        <v>42955</v>
      </c>
    </row>
    <row r="8897" spans="1:20">
      <c r="A8897">
        <v>4750284</v>
      </c>
      <c r="B8897" t="s">
        <v>42956</v>
      </c>
      <c r="C8897" t="str">
        <f>"9782760622401"</f>
        <v>9782760622401</v>
      </c>
      <c r="D8897" t="str">
        <f>"9782760626997"</f>
        <v>9782760626997</v>
      </c>
      <c r="E8897" t="s">
        <v>42231</v>
      </c>
      <c r="F8897" t="s">
        <v>42231</v>
      </c>
      <c r="G8897" s="1">
        <v>40544</v>
      </c>
      <c r="J8897" t="s">
        <v>42957</v>
      </c>
      <c r="K8897" t="s">
        <v>1471</v>
      </c>
      <c r="L8897" t="s">
        <v>42958</v>
      </c>
      <c r="M8897">
        <v>792.95097129999897</v>
      </c>
      <c r="N8897" t="s">
        <v>42959</v>
      </c>
      <c r="O8897" t="s">
        <v>94</v>
      </c>
      <c r="P8897">
        <v>12.99</v>
      </c>
      <c r="R8897">
        <v>12.99</v>
      </c>
      <c r="T8897" t="s">
        <v>42960</v>
      </c>
    </row>
    <row r="8898" spans="1:20">
      <c r="A8898">
        <v>4750293</v>
      </c>
      <c r="B8898" t="s">
        <v>42961</v>
      </c>
      <c r="C8898" t="str">
        <f>"9782760620902"</f>
        <v>9782760620902</v>
      </c>
      <c r="D8898" t="str">
        <f>"9782760625402"</f>
        <v>9782760625402</v>
      </c>
      <c r="E8898" t="s">
        <v>42231</v>
      </c>
      <c r="F8898" t="s">
        <v>42231</v>
      </c>
      <c r="G8898" s="1">
        <v>39814</v>
      </c>
      <c r="J8898" t="s">
        <v>42962</v>
      </c>
      <c r="K8898" t="s">
        <v>899</v>
      </c>
      <c r="L8898" t="s">
        <v>42963</v>
      </c>
      <c r="M8898">
        <v>363.11095204999901</v>
      </c>
      <c r="N8898" t="s">
        <v>42964</v>
      </c>
      <c r="O8898" t="s">
        <v>94</v>
      </c>
      <c r="P8898">
        <v>16.989999999999998</v>
      </c>
      <c r="R8898">
        <v>16.989999999999998</v>
      </c>
      <c r="T8898" t="s">
        <v>42965</v>
      </c>
    </row>
    <row r="8899" spans="1:20">
      <c r="A8899">
        <v>4750295</v>
      </c>
      <c r="B8899" t="s">
        <v>42966</v>
      </c>
      <c r="C8899" t="str">
        <f>"9782760622920"</f>
        <v>9782760622920</v>
      </c>
      <c r="D8899" t="str">
        <f>"9782760627734"</f>
        <v>9782760627734</v>
      </c>
      <c r="E8899" t="s">
        <v>42231</v>
      </c>
      <c r="F8899" t="s">
        <v>42231</v>
      </c>
      <c r="G8899" s="1">
        <v>40909</v>
      </c>
      <c r="J8899" t="s">
        <v>42320</v>
      </c>
      <c r="K8899" t="s">
        <v>1464</v>
      </c>
      <c r="L8899" t="s">
        <v>42967</v>
      </c>
      <c r="M8899">
        <v>840.8</v>
      </c>
      <c r="N8899" t="s">
        <v>42968</v>
      </c>
      <c r="O8899" t="s">
        <v>94</v>
      </c>
      <c r="P8899">
        <v>18.989999999999998</v>
      </c>
      <c r="R8899">
        <v>18.989999999999998</v>
      </c>
      <c r="T8899" t="s">
        <v>42969</v>
      </c>
    </row>
    <row r="8900" spans="1:20">
      <c r="A8900">
        <v>4750297</v>
      </c>
      <c r="B8900" t="s">
        <v>42970</v>
      </c>
      <c r="C8900" t="str">
        <f>"9782760618299"</f>
        <v>9782760618299</v>
      </c>
      <c r="D8900" t="str">
        <f>"9782760623606"</f>
        <v>9782760623606</v>
      </c>
      <c r="E8900" t="s">
        <v>42231</v>
      </c>
      <c r="F8900" t="s">
        <v>42231</v>
      </c>
      <c r="G8900" s="1">
        <v>36892</v>
      </c>
      <c r="J8900" t="s">
        <v>42320</v>
      </c>
      <c r="K8900" t="s">
        <v>1011</v>
      </c>
      <c r="L8900" t="s">
        <v>42971</v>
      </c>
      <c r="M8900">
        <v>333.7</v>
      </c>
      <c r="N8900" t="s">
        <v>42972</v>
      </c>
      <c r="O8900" t="s">
        <v>94</v>
      </c>
      <c r="P8900">
        <v>11.99</v>
      </c>
      <c r="Q8900">
        <v>14.99</v>
      </c>
      <c r="R8900">
        <v>11.99</v>
      </c>
      <c r="S8900">
        <v>17.989999999999998</v>
      </c>
      <c r="T8900" t="s">
        <v>42973</v>
      </c>
    </row>
    <row r="8901" spans="1:20">
      <c r="A8901">
        <v>4750299</v>
      </c>
      <c r="B8901" t="s">
        <v>42974</v>
      </c>
      <c r="C8901" t="str">
        <f>"9782760618350"</f>
        <v>9782760618350</v>
      </c>
      <c r="D8901" t="str">
        <f>"9782760623729"</f>
        <v>9782760623729</v>
      </c>
      <c r="E8901" t="s">
        <v>42231</v>
      </c>
      <c r="F8901" t="s">
        <v>42231</v>
      </c>
      <c r="G8901" s="1">
        <v>37257</v>
      </c>
      <c r="J8901" t="s">
        <v>42320</v>
      </c>
      <c r="K8901" t="s">
        <v>467</v>
      </c>
      <c r="L8901" t="s">
        <v>42975</v>
      </c>
      <c r="M8901">
        <v>321.8</v>
      </c>
      <c r="N8901" t="s">
        <v>42976</v>
      </c>
      <c r="O8901" t="s">
        <v>94</v>
      </c>
      <c r="P8901">
        <v>11.99</v>
      </c>
      <c r="Q8901">
        <v>14.99</v>
      </c>
      <c r="R8901">
        <v>11.99</v>
      </c>
      <c r="S8901">
        <v>17.989999999999998</v>
      </c>
      <c r="T8901" t="s">
        <v>42977</v>
      </c>
    </row>
    <row r="8902" spans="1:20">
      <c r="A8902">
        <v>4750305</v>
      </c>
      <c r="B8902" t="s">
        <v>42978</v>
      </c>
      <c r="C8902" t="str">
        <f>"9782760620995"</f>
        <v>9782760620995</v>
      </c>
      <c r="D8902" t="str">
        <f>"9782760625273"</f>
        <v>9782760625273</v>
      </c>
      <c r="E8902" t="s">
        <v>42231</v>
      </c>
      <c r="F8902" t="s">
        <v>42231</v>
      </c>
      <c r="G8902" s="1">
        <v>39448</v>
      </c>
      <c r="J8902" t="s">
        <v>42320</v>
      </c>
      <c r="O8902" t="s">
        <v>94</v>
      </c>
      <c r="P8902">
        <v>21.99</v>
      </c>
      <c r="Q8902">
        <v>27.49</v>
      </c>
      <c r="R8902">
        <v>21.99</v>
      </c>
      <c r="S8902">
        <v>32.99</v>
      </c>
      <c r="T8902" t="s">
        <v>42979</v>
      </c>
    </row>
    <row r="8903" spans="1:20">
      <c r="A8903">
        <v>4750306</v>
      </c>
      <c r="B8903" t="s">
        <v>42980</v>
      </c>
      <c r="C8903" t="str">
        <f>"9782760617445"</f>
        <v>9782760617445</v>
      </c>
      <c r="D8903" t="str">
        <f>"9782760623095"</f>
        <v>9782760623095</v>
      </c>
      <c r="E8903" t="s">
        <v>42231</v>
      </c>
      <c r="F8903" t="s">
        <v>42231</v>
      </c>
      <c r="G8903" s="1">
        <v>36161</v>
      </c>
      <c r="J8903" t="s">
        <v>42981</v>
      </c>
      <c r="K8903" t="s">
        <v>291</v>
      </c>
      <c r="L8903" t="s">
        <v>42982</v>
      </c>
      <c r="M8903">
        <v>946.72</v>
      </c>
      <c r="N8903" t="s">
        <v>42983</v>
      </c>
      <c r="O8903" t="s">
        <v>94</v>
      </c>
      <c r="P8903">
        <v>19.989999999999998</v>
      </c>
      <c r="Q8903">
        <v>24.99</v>
      </c>
      <c r="R8903">
        <v>19.989999999999998</v>
      </c>
      <c r="S8903">
        <v>29.99</v>
      </c>
      <c r="T8903" t="s">
        <v>42984</v>
      </c>
    </row>
    <row r="8904" spans="1:20">
      <c r="A8904">
        <v>4750308</v>
      </c>
      <c r="B8904" t="s">
        <v>42985</v>
      </c>
      <c r="C8904" t="str">
        <f>"9782760622012"</f>
        <v>9782760622012</v>
      </c>
      <c r="D8904" t="str">
        <f>"9782760626607"</f>
        <v>9782760626607</v>
      </c>
      <c r="E8904" t="s">
        <v>42231</v>
      </c>
      <c r="F8904" t="s">
        <v>42231</v>
      </c>
      <c r="G8904" s="1">
        <v>40544</v>
      </c>
      <c r="J8904" t="s">
        <v>42986</v>
      </c>
      <c r="K8904" t="s">
        <v>42987</v>
      </c>
      <c r="L8904" t="s">
        <v>42988</v>
      </c>
      <c r="M8904">
        <v>303.483</v>
      </c>
      <c r="N8904" t="s">
        <v>42989</v>
      </c>
      <c r="O8904" t="s">
        <v>94</v>
      </c>
      <c r="P8904">
        <v>21.99</v>
      </c>
      <c r="R8904">
        <v>21.99</v>
      </c>
      <c r="T8904" t="s">
        <v>42990</v>
      </c>
    </row>
    <row r="8905" spans="1:20">
      <c r="A8905">
        <v>4750309</v>
      </c>
      <c r="B8905" t="s">
        <v>42991</v>
      </c>
      <c r="C8905" t="str">
        <f>"9782760634817"</f>
        <v>9782760634817</v>
      </c>
      <c r="D8905" t="str">
        <f>"9782760634824"</f>
        <v>9782760634824</v>
      </c>
      <c r="E8905" t="s">
        <v>42231</v>
      </c>
      <c r="F8905" t="s">
        <v>42231</v>
      </c>
      <c r="G8905" s="1">
        <v>42005</v>
      </c>
      <c r="J8905" t="s">
        <v>42833</v>
      </c>
      <c r="K8905" t="s">
        <v>3176</v>
      </c>
      <c r="L8905" t="s">
        <v>42992</v>
      </c>
      <c r="M8905">
        <v>307.72000000000003</v>
      </c>
      <c r="N8905" t="s">
        <v>42993</v>
      </c>
      <c r="O8905" t="s">
        <v>94</v>
      </c>
      <c r="P8905">
        <v>18.989999999999998</v>
      </c>
      <c r="R8905">
        <v>18.989999999999998</v>
      </c>
      <c r="T8905" t="s">
        <v>42994</v>
      </c>
    </row>
    <row r="8906" spans="1:20">
      <c r="A8906">
        <v>4750310</v>
      </c>
      <c r="B8906" t="s">
        <v>42995</v>
      </c>
      <c r="C8906" t="str">
        <f>"9782760636286"</f>
        <v>9782760636286</v>
      </c>
      <c r="D8906" t="str">
        <f>"9782760635227"</f>
        <v>9782760635227</v>
      </c>
      <c r="E8906" t="s">
        <v>42231</v>
      </c>
      <c r="F8906" t="s">
        <v>42231</v>
      </c>
      <c r="G8906" s="1">
        <v>42370</v>
      </c>
      <c r="J8906" t="s">
        <v>42996</v>
      </c>
      <c r="K8906" t="s">
        <v>7838</v>
      </c>
      <c r="L8906" t="s">
        <v>42997</v>
      </c>
      <c r="M8906">
        <v>720.97142799999904</v>
      </c>
      <c r="N8906" t="s">
        <v>42998</v>
      </c>
      <c r="O8906" t="s">
        <v>94</v>
      </c>
      <c r="P8906">
        <v>12.99</v>
      </c>
      <c r="R8906">
        <v>12.99</v>
      </c>
      <c r="T8906" t="s">
        <v>42999</v>
      </c>
    </row>
    <row r="8907" spans="1:20">
      <c r="A8907">
        <v>4750315</v>
      </c>
      <c r="B8907" t="s">
        <v>43000</v>
      </c>
      <c r="C8907" t="str">
        <f>"9782760632592"</f>
        <v>9782760632592</v>
      </c>
      <c r="D8907" t="str">
        <f>"9782760632608"</f>
        <v>9782760632608</v>
      </c>
      <c r="E8907" t="s">
        <v>42231</v>
      </c>
      <c r="F8907" t="s">
        <v>42231</v>
      </c>
      <c r="G8907" s="1">
        <v>41640</v>
      </c>
      <c r="J8907" t="s">
        <v>43001</v>
      </c>
      <c r="K8907" t="s">
        <v>9092</v>
      </c>
      <c r="L8907" t="s">
        <v>43002</v>
      </c>
      <c r="M8907">
        <v>712.09829999999897</v>
      </c>
      <c r="N8907" t="s">
        <v>43003</v>
      </c>
      <c r="O8907" t="s">
        <v>94</v>
      </c>
      <c r="P8907">
        <v>29.99</v>
      </c>
      <c r="R8907">
        <v>29.99</v>
      </c>
      <c r="T8907" t="s">
        <v>43004</v>
      </c>
    </row>
    <row r="8908" spans="1:20">
      <c r="A8908">
        <v>4750321</v>
      </c>
      <c r="B8908" t="s">
        <v>43005</v>
      </c>
      <c r="C8908" t="str">
        <f>"9782760617681"</f>
        <v>9782760617681</v>
      </c>
      <c r="D8908" t="str">
        <f>"9782760624290"</f>
        <v>9782760624290</v>
      </c>
      <c r="E8908" t="s">
        <v>42231</v>
      </c>
      <c r="F8908" t="s">
        <v>42231</v>
      </c>
      <c r="G8908" s="1">
        <v>37987</v>
      </c>
      <c r="J8908" t="s">
        <v>42320</v>
      </c>
      <c r="O8908" t="s">
        <v>94</v>
      </c>
      <c r="P8908">
        <v>36.99</v>
      </c>
      <c r="Q8908">
        <v>46.24</v>
      </c>
      <c r="R8908">
        <v>36.99</v>
      </c>
      <c r="S8908">
        <v>55.49</v>
      </c>
      <c r="T8908" t="s">
        <v>43006</v>
      </c>
    </row>
    <row r="8909" spans="1:20">
      <c r="A8909">
        <v>4750322</v>
      </c>
      <c r="B8909" t="s">
        <v>43007</v>
      </c>
      <c r="C8909" t="str">
        <f>"9782760619876"</f>
        <v>9782760619876</v>
      </c>
      <c r="D8909" t="str">
        <f>"9782760624665"</f>
        <v>9782760624665</v>
      </c>
      <c r="E8909" t="s">
        <v>42231</v>
      </c>
      <c r="F8909" t="s">
        <v>42231</v>
      </c>
      <c r="G8909" s="1">
        <v>38353</v>
      </c>
      <c r="J8909" t="s">
        <v>43008</v>
      </c>
      <c r="K8909" t="s">
        <v>1464</v>
      </c>
      <c r="L8909" t="s">
        <v>43009</v>
      </c>
      <c r="M8909">
        <v>840.93271000000004</v>
      </c>
      <c r="N8909" t="s">
        <v>43010</v>
      </c>
      <c r="O8909" t="s">
        <v>94</v>
      </c>
      <c r="P8909">
        <v>11.99</v>
      </c>
      <c r="Q8909">
        <v>14.99</v>
      </c>
      <c r="R8909">
        <v>11.99</v>
      </c>
      <c r="S8909">
        <v>17.989999999999998</v>
      </c>
      <c r="T8909" t="s">
        <v>43011</v>
      </c>
    </row>
    <row r="8910" spans="1:20">
      <c r="A8910">
        <v>4750324</v>
      </c>
      <c r="B8910" t="s">
        <v>43012</v>
      </c>
      <c r="C8910" t="str">
        <f>"9782760621695"</f>
        <v>9782760621695</v>
      </c>
      <c r="D8910" t="str">
        <f>"9782760625617"</f>
        <v>9782760625617</v>
      </c>
      <c r="E8910" t="s">
        <v>42231</v>
      </c>
      <c r="F8910" t="s">
        <v>42231</v>
      </c>
      <c r="G8910" s="1">
        <v>39814</v>
      </c>
      <c r="J8910" t="s">
        <v>43013</v>
      </c>
      <c r="K8910" t="s">
        <v>1464</v>
      </c>
      <c r="L8910" t="s">
        <v>43014</v>
      </c>
      <c r="M8910">
        <v>841.91399999999896</v>
      </c>
      <c r="N8910" t="s">
        <v>43015</v>
      </c>
      <c r="O8910" t="s">
        <v>94</v>
      </c>
      <c r="P8910">
        <v>9.99</v>
      </c>
      <c r="R8910">
        <v>9.99</v>
      </c>
      <c r="T8910" t="s">
        <v>43016</v>
      </c>
    </row>
    <row r="8911" spans="1:20">
      <c r="A8911">
        <v>4750325</v>
      </c>
      <c r="B8911" t="s">
        <v>43017</v>
      </c>
      <c r="C8911" t="str">
        <f>"9782760619739"</f>
        <v>9782760619739</v>
      </c>
      <c r="D8911" t="str">
        <f>"9782760624627"</f>
        <v>9782760624627</v>
      </c>
      <c r="E8911" t="s">
        <v>42231</v>
      </c>
      <c r="F8911" t="s">
        <v>42231</v>
      </c>
      <c r="G8911" s="1">
        <v>38353</v>
      </c>
      <c r="J8911" t="s">
        <v>43018</v>
      </c>
      <c r="K8911" t="s">
        <v>22527</v>
      </c>
      <c r="L8911" t="s">
        <v>43019</v>
      </c>
      <c r="M8911">
        <v>70.509709999999899</v>
      </c>
      <c r="N8911" t="s">
        <v>43020</v>
      </c>
      <c r="O8911" t="s">
        <v>94</v>
      </c>
      <c r="P8911">
        <v>41.99</v>
      </c>
      <c r="Q8911">
        <v>52.49</v>
      </c>
      <c r="R8911">
        <v>41.99</v>
      </c>
      <c r="S8911">
        <v>62.99</v>
      </c>
      <c r="T8911" t="s">
        <v>43021</v>
      </c>
    </row>
    <row r="8912" spans="1:20">
      <c r="A8912">
        <v>4750330</v>
      </c>
      <c r="B8912" t="s">
        <v>43022</v>
      </c>
      <c r="C8912" t="str">
        <f>"9782760622722"</f>
        <v>9782760622722</v>
      </c>
      <c r="D8912" t="str">
        <f>"9782760627093"</f>
        <v>9782760627093</v>
      </c>
      <c r="E8912" t="s">
        <v>42231</v>
      </c>
      <c r="F8912" t="s">
        <v>42231</v>
      </c>
      <c r="G8912" s="1">
        <v>40544</v>
      </c>
      <c r="J8912" t="s">
        <v>42320</v>
      </c>
      <c r="O8912" t="s">
        <v>94</v>
      </c>
      <c r="P8912">
        <v>24.99</v>
      </c>
      <c r="R8912">
        <v>24.99</v>
      </c>
      <c r="T8912" t="s">
        <v>43023</v>
      </c>
    </row>
    <row r="8913" spans="1:20">
      <c r="A8913">
        <v>4750332</v>
      </c>
      <c r="B8913" t="s">
        <v>43024</v>
      </c>
      <c r="C8913" t="str">
        <f>"9782760631304"</f>
        <v>9782760631304</v>
      </c>
      <c r="D8913" t="str">
        <f>"9782760631298"</f>
        <v>9782760631298</v>
      </c>
      <c r="E8913" t="s">
        <v>42231</v>
      </c>
      <c r="F8913" t="s">
        <v>42231</v>
      </c>
      <c r="G8913" s="1">
        <v>41275</v>
      </c>
      <c r="J8913" t="s">
        <v>42320</v>
      </c>
      <c r="K8913" t="s">
        <v>1464</v>
      </c>
      <c r="L8913" t="s">
        <v>43025</v>
      </c>
      <c r="M8913">
        <v>843.91200000000003</v>
      </c>
      <c r="O8913" t="s">
        <v>94</v>
      </c>
      <c r="P8913">
        <v>19.989999999999998</v>
      </c>
      <c r="R8913">
        <v>19.989999999999998</v>
      </c>
      <c r="T8913" t="s">
        <v>43026</v>
      </c>
    </row>
    <row r="8914" spans="1:20">
      <c r="A8914">
        <v>4750333</v>
      </c>
      <c r="B8914" t="s">
        <v>43027</v>
      </c>
      <c r="C8914" t="str">
        <f>"9782760622883"</f>
        <v>9782760622883</v>
      </c>
      <c r="D8914" t="str">
        <f>"9782760627864"</f>
        <v>9782760627864</v>
      </c>
      <c r="E8914" t="s">
        <v>42231</v>
      </c>
      <c r="F8914" t="s">
        <v>42231</v>
      </c>
      <c r="G8914" s="1">
        <v>40909</v>
      </c>
      <c r="J8914" t="s">
        <v>42320</v>
      </c>
      <c r="O8914" t="s">
        <v>94</v>
      </c>
      <c r="P8914">
        <v>24.99</v>
      </c>
      <c r="R8914">
        <v>24.99</v>
      </c>
      <c r="T8914" t="s">
        <v>43028</v>
      </c>
    </row>
    <row r="8915" spans="1:20">
      <c r="A8915">
        <v>4750334</v>
      </c>
      <c r="B8915" t="s">
        <v>43029</v>
      </c>
      <c r="C8915" t="str">
        <f>""</f>
        <v/>
      </c>
      <c r="D8915" t="str">
        <f>"9782760632783"</f>
        <v>9782760632783</v>
      </c>
      <c r="E8915" t="s">
        <v>42231</v>
      </c>
      <c r="F8915" t="s">
        <v>42231</v>
      </c>
      <c r="G8915" s="1">
        <v>36526</v>
      </c>
      <c r="J8915" t="s">
        <v>43030</v>
      </c>
      <c r="K8915" t="s">
        <v>1464</v>
      </c>
      <c r="L8915" t="s">
        <v>43031</v>
      </c>
      <c r="M8915" t="s">
        <v>7820</v>
      </c>
      <c r="N8915" t="s">
        <v>43032</v>
      </c>
      <c r="O8915" t="s">
        <v>94</v>
      </c>
      <c r="P8915">
        <v>19.989999999999998</v>
      </c>
      <c r="R8915">
        <v>19.989999999999998</v>
      </c>
      <c r="T8915" t="s">
        <v>43033</v>
      </c>
    </row>
    <row r="8916" spans="1:20">
      <c r="A8916">
        <v>4750336</v>
      </c>
      <c r="B8916" t="s">
        <v>43034</v>
      </c>
      <c r="C8916" t="str">
        <f>"9782760617551"</f>
        <v>9782760617551</v>
      </c>
      <c r="D8916" t="str">
        <f>"9782760623446"</f>
        <v>9782760623446</v>
      </c>
      <c r="E8916" t="s">
        <v>42231</v>
      </c>
      <c r="F8916" t="s">
        <v>42231</v>
      </c>
      <c r="G8916" s="1">
        <v>36892</v>
      </c>
      <c r="J8916" t="s">
        <v>42320</v>
      </c>
      <c r="O8916" t="s">
        <v>94</v>
      </c>
      <c r="P8916">
        <v>7.99</v>
      </c>
      <c r="Q8916">
        <v>9.99</v>
      </c>
      <c r="R8916">
        <v>7.99</v>
      </c>
      <c r="S8916">
        <v>11.99</v>
      </c>
      <c r="T8916" t="s">
        <v>43035</v>
      </c>
    </row>
    <row r="8917" spans="1:20">
      <c r="A8917">
        <v>4750338</v>
      </c>
      <c r="B8917" t="s">
        <v>43036</v>
      </c>
      <c r="C8917" t="str">
        <f>"9782760619562"</f>
        <v>9782760619562</v>
      </c>
      <c r="D8917" t="str">
        <f>"9782760624245"</f>
        <v>9782760624245</v>
      </c>
      <c r="E8917" t="s">
        <v>42231</v>
      </c>
      <c r="F8917" t="s">
        <v>42231</v>
      </c>
      <c r="G8917" s="1">
        <v>37987</v>
      </c>
      <c r="J8917" t="s">
        <v>43037</v>
      </c>
      <c r="K8917" t="s">
        <v>10860</v>
      </c>
      <c r="L8917" t="s">
        <v>43038</v>
      </c>
      <c r="M8917">
        <v>20.72</v>
      </c>
      <c r="N8917" t="s">
        <v>43039</v>
      </c>
      <c r="O8917" t="s">
        <v>94</v>
      </c>
      <c r="P8917">
        <v>3.99</v>
      </c>
      <c r="Q8917">
        <v>4.99</v>
      </c>
      <c r="R8917">
        <v>3.99</v>
      </c>
      <c r="S8917">
        <v>5.99</v>
      </c>
      <c r="T8917" t="s">
        <v>43040</v>
      </c>
    </row>
    <row r="8918" spans="1:20">
      <c r="A8918">
        <v>4750339</v>
      </c>
      <c r="B8918" t="s">
        <v>43041</v>
      </c>
      <c r="C8918" t="str">
        <f>"9782760622647"</f>
        <v>9782760622647</v>
      </c>
      <c r="D8918" t="str">
        <f>"9782760627031"</f>
        <v>9782760627031</v>
      </c>
      <c r="E8918" t="s">
        <v>42231</v>
      </c>
      <c r="F8918" t="s">
        <v>42231</v>
      </c>
      <c r="G8918" s="1">
        <v>42034</v>
      </c>
      <c r="J8918" t="s">
        <v>43042</v>
      </c>
      <c r="K8918" t="s">
        <v>257</v>
      </c>
      <c r="L8918" t="s">
        <v>43043</v>
      </c>
      <c r="M8918">
        <v>371.30281000000002</v>
      </c>
      <c r="N8918" t="s">
        <v>43044</v>
      </c>
      <c r="O8918" t="s">
        <v>94</v>
      </c>
      <c r="P8918">
        <v>6.99</v>
      </c>
      <c r="R8918">
        <v>6.99</v>
      </c>
      <c r="T8918" t="s">
        <v>43045</v>
      </c>
    </row>
    <row r="8919" spans="1:20">
      <c r="A8919">
        <v>4750341</v>
      </c>
      <c r="B8919" t="s">
        <v>43046</v>
      </c>
      <c r="C8919" t="str">
        <f>"9782760617698"</f>
        <v>9782760617698</v>
      </c>
      <c r="D8919" t="str">
        <f>"9782760623279"</f>
        <v>9782760623279</v>
      </c>
      <c r="E8919" t="s">
        <v>42231</v>
      </c>
      <c r="F8919" t="s">
        <v>42231</v>
      </c>
      <c r="G8919" s="1">
        <v>36526</v>
      </c>
      <c r="J8919" t="s">
        <v>43047</v>
      </c>
      <c r="K8919" t="s">
        <v>8624</v>
      </c>
      <c r="L8919" t="s">
        <v>43048</v>
      </c>
      <c r="M8919">
        <v>621.38499999999897</v>
      </c>
      <c r="N8919" t="s">
        <v>43049</v>
      </c>
      <c r="O8919" t="s">
        <v>94</v>
      </c>
      <c r="P8919">
        <v>16.989999999999998</v>
      </c>
      <c r="Q8919">
        <v>21.24</v>
      </c>
      <c r="R8919">
        <v>16.989999999999998</v>
      </c>
      <c r="S8919">
        <v>25.49</v>
      </c>
      <c r="T8919" t="s">
        <v>43050</v>
      </c>
    </row>
    <row r="8920" spans="1:20">
      <c r="A8920">
        <v>4750342</v>
      </c>
      <c r="B8920" t="s">
        <v>43051</v>
      </c>
      <c r="C8920" t="str">
        <f>"9782760622241"</f>
        <v>9782760622241</v>
      </c>
      <c r="D8920" t="str">
        <f>"9782760625990"</f>
        <v>9782760625990</v>
      </c>
      <c r="E8920" t="s">
        <v>42231</v>
      </c>
      <c r="F8920" t="s">
        <v>42231</v>
      </c>
      <c r="G8920" s="1">
        <v>40179</v>
      </c>
      <c r="J8920" t="s">
        <v>43052</v>
      </c>
      <c r="K8920" t="s">
        <v>305</v>
      </c>
      <c r="L8920" t="s">
        <v>43053</v>
      </c>
      <c r="M8920">
        <v>658.40599999999904</v>
      </c>
      <c r="N8920" t="s">
        <v>43054</v>
      </c>
      <c r="O8920" t="s">
        <v>94</v>
      </c>
      <c r="P8920">
        <v>11.99</v>
      </c>
      <c r="R8920">
        <v>11.99</v>
      </c>
      <c r="T8920" t="s">
        <v>43055</v>
      </c>
    </row>
    <row r="8921" spans="1:20">
      <c r="A8921">
        <v>4750344</v>
      </c>
      <c r="B8921" t="s">
        <v>43056</v>
      </c>
      <c r="C8921" t="str">
        <f>"9782760634336"</f>
        <v>9782760634336</v>
      </c>
      <c r="D8921" t="str">
        <f>"9782760634343"</f>
        <v>9782760634343</v>
      </c>
      <c r="E8921" t="s">
        <v>42231</v>
      </c>
      <c r="F8921" t="s">
        <v>42231</v>
      </c>
      <c r="G8921" s="1">
        <v>41640</v>
      </c>
      <c r="J8921" t="s">
        <v>43057</v>
      </c>
      <c r="K8921" t="s">
        <v>110</v>
      </c>
      <c r="L8921" t="s">
        <v>43058</v>
      </c>
      <c r="M8921">
        <v>589.20000000000005</v>
      </c>
      <c r="N8921" t="s">
        <v>43059</v>
      </c>
      <c r="O8921" t="s">
        <v>94</v>
      </c>
      <c r="P8921">
        <v>6.99</v>
      </c>
      <c r="R8921">
        <v>6.99</v>
      </c>
      <c r="T8921" t="s">
        <v>43060</v>
      </c>
    </row>
    <row r="8922" spans="1:20">
      <c r="A8922">
        <v>4750345</v>
      </c>
      <c r="B8922" t="s">
        <v>43061</v>
      </c>
      <c r="C8922" t="str">
        <f>"9782760636842"</f>
        <v>9782760636842</v>
      </c>
      <c r="D8922" t="str">
        <f>"9782760636859"</f>
        <v>9782760636859</v>
      </c>
      <c r="E8922" t="s">
        <v>42231</v>
      </c>
      <c r="F8922" t="s">
        <v>42231</v>
      </c>
      <c r="G8922" s="1">
        <v>42370</v>
      </c>
      <c r="J8922" t="s">
        <v>43062</v>
      </c>
      <c r="K8922" t="s">
        <v>43063</v>
      </c>
      <c r="L8922" t="s">
        <v>43064</v>
      </c>
      <c r="M8922">
        <v>808.02</v>
      </c>
      <c r="N8922" t="s">
        <v>43065</v>
      </c>
      <c r="O8922" t="s">
        <v>94</v>
      </c>
      <c r="P8922">
        <v>13.99</v>
      </c>
      <c r="R8922">
        <v>13.99</v>
      </c>
      <c r="T8922" t="s">
        <v>43066</v>
      </c>
    </row>
    <row r="8923" spans="1:20">
      <c r="A8923">
        <v>4750348</v>
      </c>
      <c r="B8923" t="s">
        <v>43067</v>
      </c>
      <c r="C8923" t="str">
        <f>"9782760627581"</f>
        <v>9782760627581</v>
      </c>
      <c r="D8923" t="str">
        <f>"9782760627598"</f>
        <v>9782760627598</v>
      </c>
      <c r="E8923" t="s">
        <v>42231</v>
      </c>
      <c r="F8923" t="s">
        <v>42231</v>
      </c>
      <c r="G8923" s="1">
        <v>40969</v>
      </c>
      <c r="J8923" t="s">
        <v>43068</v>
      </c>
      <c r="K8923" t="s">
        <v>305</v>
      </c>
      <c r="L8923" t="s">
        <v>43069</v>
      </c>
      <c r="M8923">
        <v>658.42100000000005</v>
      </c>
      <c r="N8923" t="s">
        <v>43070</v>
      </c>
      <c r="O8923" t="s">
        <v>94</v>
      </c>
      <c r="P8923">
        <v>6.99</v>
      </c>
      <c r="R8923">
        <v>6.99</v>
      </c>
      <c r="T8923" t="s">
        <v>43071</v>
      </c>
    </row>
    <row r="8924" spans="1:20">
      <c r="A8924">
        <v>4750352</v>
      </c>
      <c r="B8924" t="s">
        <v>43072</v>
      </c>
      <c r="C8924" t="str">
        <f>"9782760617582"</f>
        <v>9782760617582</v>
      </c>
      <c r="D8924" t="str">
        <f>"9782760623200"</f>
        <v>9782760623200</v>
      </c>
      <c r="E8924" t="s">
        <v>42231</v>
      </c>
      <c r="F8924" t="s">
        <v>42231</v>
      </c>
      <c r="G8924" s="1">
        <v>36161</v>
      </c>
      <c r="J8924" t="s">
        <v>42320</v>
      </c>
      <c r="K8924" t="s">
        <v>330</v>
      </c>
      <c r="L8924" t="s">
        <v>43073</v>
      </c>
      <c r="M8924">
        <v>363.7</v>
      </c>
      <c r="N8924" t="s">
        <v>43074</v>
      </c>
      <c r="O8924" t="s">
        <v>94</v>
      </c>
      <c r="P8924">
        <v>13.99</v>
      </c>
      <c r="Q8924">
        <v>17.489999999999998</v>
      </c>
      <c r="R8924">
        <v>13.99</v>
      </c>
      <c r="S8924">
        <v>20.99</v>
      </c>
      <c r="T8924" t="s">
        <v>43075</v>
      </c>
    </row>
    <row r="8925" spans="1:20">
      <c r="A8925">
        <v>4750354</v>
      </c>
      <c r="B8925" t="s">
        <v>43076</v>
      </c>
      <c r="C8925" t="str">
        <f>"9782760617735"</f>
        <v>9782760617735</v>
      </c>
      <c r="D8925" t="str">
        <f>"9782760623224"</f>
        <v>9782760623224</v>
      </c>
      <c r="E8925" t="s">
        <v>42231</v>
      </c>
      <c r="F8925" t="s">
        <v>42231</v>
      </c>
      <c r="G8925" s="1">
        <v>36526</v>
      </c>
      <c r="J8925" t="s">
        <v>43077</v>
      </c>
      <c r="K8925" t="s">
        <v>3230</v>
      </c>
      <c r="L8925" t="s">
        <v>43078</v>
      </c>
      <c r="M8925">
        <v>910.71199999999897</v>
      </c>
      <c r="N8925" t="s">
        <v>43079</v>
      </c>
      <c r="O8925" t="s">
        <v>94</v>
      </c>
      <c r="P8925">
        <v>19.989999999999998</v>
      </c>
      <c r="Q8925">
        <v>24.99</v>
      </c>
      <c r="R8925">
        <v>19.989999999999998</v>
      </c>
      <c r="S8925">
        <v>29.99</v>
      </c>
      <c r="T8925" t="s">
        <v>43080</v>
      </c>
    </row>
    <row r="8926" spans="1:20">
      <c r="A8926">
        <v>4750355</v>
      </c>
      <c r="B8926" t="s">
        <v>43081</v>
      </c>
      <c r="C8926" t="str">
        <f>"9782760617759"</f>
        <v>9782760617759</v>
      </c>
      <c r="D8926" t="str">
        <f>"9782760623248"</f>
        <v>9782760623248</v>
      </c>
      <c r="E8926" t="s">
        <v>42231</v>
      </c>
      <c r="F8926" t="s">
        <v>42231</v>
      </c>
      <c r="G8926" s="1">
        <v>36526</v>
      </c>
      <c r="J8926" t="s">
        <v>42320</v>
      </c>
      <c r="K8926" t="s">
        <v>1550</v>
      </c>
      <c r="L8926" t="s">
        <v>43082</v>
      </c>
      <c r="M8926">
        <v>305.800971</v>
      </c>
      <c r="N8926" t="s">
        <v>43083</v>
      </c>
      <c r="O8926" t="s">
        <v>94</v>
      </c>
      <c r="P8926">
        <v>11.99</v>
      </c>
      <c r="Q8926">
        <v>14.99</v>
      </c>
      <c r="R8926">
        <v>11.99</v>
      </c>
      <c r="S8926">
        <v>17.989999999999998</v>
      </c>
      <c r="T8926" t="s">
        <v>43084</v>
      </c>
    </row>
    <row r="8927" spans="1:20">
      <c r="A8927">
        <v>4750363</v>
      </c>
      <c r="B8927" t="s">
        <v>43085</v>
      </c>
      <c r="C8927" t="str">
        <f>"9782760618131"</f>
        <v>9782760618131</v>
      </c>
      <c r="D8927" t="str">
        <f>"9782760623996"</f>
        <v>9782760623996</v>
      </c>
      <c r="E8927" t="s">
        <v>42231</v>
      </c>
      <c r="F8927" t="s">
        <v>42231</v>
      </c>
      <c r="G8927" s="1">
        <v>36526</v>
      </c>
      <c r="J8927" t="s">
        <v>43086</v>
      </c>
      <c r="K8927" t="s">
        <v>695</v>
      </c>
      <c r="L8927" t="s">
        <v>43087</v>
      </c>
      <c r="M8927">
        <v>333.7</v>
      </c>
      <c r="N8927" t="s">
        <v>43088</v>
      </c>
      <c r="O8927" t="s">
        <v>94</v>
      </c>
      <c r="P8927">
        <v>39.950000000000003</v>
      </c>
      <c r="Q8927">
        <v>49.94</v>
      </c>
      <c r="R8927">
        <v>39.950000000000003</v>
      </c>
      <c r="S8927">
        <v>59.93</v>
      </c>
      <c r="T8927" t="s">
        <v>43089</v>
      </c>
    </row>
    <row r="8928" spans="1:20">
      <c r="A8928">
        <v>4750364</v>
      </c>
      <c r="B8928" t="s">
        <v>43090</v>
      </c>
      <c r="C8928" t="str">
        <f>"9782760620247"</f>
        <v>9782760620247</v>
      </c>
      <c r="D8928" t="str">
        <f>"9782760624597"</f>
        <v>9782760624597</v>
      </c>
      <c r="E8928" t="s">
        <v>42231</v>
      </c>
      <c r="F8928" t="s">
        <v>42231</v>
      </c>
      <c r="G8928" s="1">
        <v>38718</v>
      </c>
      <c r="J8928" t="s">
        <v>43091</v>
      </c>
      <c r="K8928" t="s">
        <v>4433</v>
      </c>
      <c r="L8928" t="s">
        <v>43092</v>
      </c>
      <c r="M8928">
        <v>354.71230087006001</v>
      </c>
      <c r="N8928" t="s">
        <v>43093</v>
      </c>
      <c r="O8928" t="s">
        <v>94</v>
      </c>
      <c r="P8928">
        <v>9.99</v>
      </c>
      <c r="Q8928">
        <v>12.49</v>
      </c>
      <c r="R8928">
        <v>9.99</v>
      </c>
      <c r="S8928">
        <v>14.99</v>
      </c>
      <c r="T8928" t="s">
        <v>43094</v>
      </c>
    </row>
    <row r="8929" spans="1:20">
      <c r="A8929">
        <v>4750366</v>
      </c>
      <c r="B8929" t="s">
        <v>43095</v>
      </c>
      <c r="C8929" t="str">
        <f>"9782760620391"</f>
        <v>9782760620391</v>
      </c>
      <c r="D8929" t="str">
        <f>"9782760624856"</f>
        <v>9782760624856</v>
      </c>
      <c r="E8929" t="s">
        <v>42231</v>
      </c>
      <c r="F8929" t="s">
        <v>42231</v>
      </c>
      <c r="G8929" s="1">
        <v>39083</v>
      </c>
      <c r="J8929" t="s">
        <v>43096</v>
      </c>
      <c r="K8929" t="s">
        <v>467</v>
      </c>
      <c r="L8929" t="s">
        <v>43097</v>
      </c>
      <c r="M8929">
        <v>323.60000000000002</v>
      </c>
      <c r="N8929" t="s">
        <v>43098</v>
      </c>
      <c r="O8929" t="s">
        <v>94</v>
      </c>
      <c r="P8929">
        <v>19.989999999999998</v>
      </c>
      <c r="Q8929">
        <v>24.99</v>
      </c>
      <c r="R8929">
        <v>19.989999999999998</v>
      </c>
      <c r="S8929">
        <v>29.99</v>
      </c>
      <c r="T8929" t="s">
        <v>43099</v>
      </c>
    </row>
    <row r="8930" spans="1:20">
      <c r="A8930">
        <v>4750369</v>
      </c>
      <c r="B8930" t="s">
        <v>43100</v>
      </c>
      <c r="C8930" t="str">
        <f>"9782760620322"</f>
        <v>9782760620322</v>
      </c>
      <c r="D8930" t="str">
        <f>"9782760624931"</f>
        <v>9782760624931</v>
      </c>
      <c r="E8930" t="s">
        <v>42231</v>
      </c>
      <c r="F8930" t="s">
        <v>42231</v>
      </c>
      <c r="G8930" s="1">
        <v>39083</v>
      </c>
      <c r="J8930" t="s">
        <v>43101</v>
      </c>
      <c r="K8930" t="s">
        <v>3219</v>
      </c>
      <c r="L8930" t="s">
        <v>43102</v>
      </c>
      <c r="M8930">
        <v>909</v>
      </c>
      <c r="N8930" t="s">
        <v>43103</v>
      </c>
      <c r="O8930" t="s">
        <v>94</v>
      </c>
      <c r="P8930">
        <v>19.989999999999998</v>
      </c>
      <c r="Q8930">
        <v>24.99</v>
      </c>
      <c r="R8930">
        <v>19.989999999999998</v>
      </c>
      <c r="S8930">
        <v>29.99</v>
      </c>
      <c r="T8930" t="s">
        <v>43104</v>
      </c>
    </row>
    <row r="8931" spans="1:20">
      <c r="A8931">
        <v>4750370</v>
      </c>
      <c r="B8931" t="s">
        <v>43105</v>
      </c>
      <c r="C8931" t="str">
        <f>"9782760620445"</f>
        <v>9782760620445</v>
      </c>
      <c r="D8931" t="str">
        <f>"9782760624979"</f>
        <v>9782760624979</v>
      </c>
      <c r="E8931" t="s">
        <v>42231</v>
      </c>
      <c r="F8931" t="s">
        <v>42231</v>
      </c>
      <c r="G8931" s="1">
        <v>39083</v>
      </c>
      <c r="J8931" t="s">
        <v>43106</v>
      </c>
      <c r="K8931" t="s">
        <v>2260</v>
      </c>
      <c r="L8931" t="s">
        <v>43107</v>
      </c>
      <c r="M8931">
        <v>617.03</v>
      </c>
      <c r="N8931" t="s">
        <v>43108</v>
      </c>
      <c r="O8931" t="s">
        <v>94</v>
      </c>
      <c r="P8931">
        <v>14.99</v>
      </c>
      <c r="Q8931">
        <v>18.739999999999998</v>
      </c>
      <c r="R8931">
        <v>14.99</v>
      </c>
      <c r="S8931">
        <v>22.49</v>
      </c>
      <c r="T8931" t="s">
        <v>43109</v>
      </c>
    </row>
    <row r="8932" spans="1:20">
      <c r="A8932">
        <v>4750373</v>
      </c>
      <c r="B8932" t="s">
        <v>43110</v>
      </c>
      <c r="C8932" t="str">
        <f>"9782760621152"</f>
        <v>9782760621152</v>
      </c>
      <c r="D8932" t="str">
        <f>"9782760625327"</f>
        <v>9782760625327</v>
      </c>
      <c r="E8932" t="s">
        <v>42231</v>
      </c>
      <c r="F8932" t="s">
        <v>42231</v>
      </c>
      <c r="G8932" s="1">
        <v>39448</v>
      </c>
      <c r="J8932" t="s">
        <v>43111</v>
      </c>
      <c r="O8932" t="s">
        <v>94</v>
      </c>
      <c r="P8932">
        <v>14.99</v>
      </c>
      <c r="Q8932">
        <v>18.739999999999998</v>
      </c>
      <c r="R8932">
        <v>14.99</v>
      </c>
      <c r="S8932">
        <v>22.49</v>
      </c>
      <c r="T8932" t="s">
        <v>43112</v>
      </c>
    </row>
    <row r="8933" spans="1:20">
      <c r="A8933">
        <v>4750374</v>
      </c>
      <c r="B8933" t="s">
        <v>43113</v>
      </c>
      <c r="C8933" t="str">
        <f>"9782760621251"</f>
        <v>9782760621251</v>
      </c>
      <c r="D8933" t="str">
        <f>"9782760625457"</f>
        <v>9782760625457</v>
      </c>
      <c r="E8933" t="s">
        <v>42231</v>
      </c>
      <c r="F8933" t="s">
        <v>42231</v>
      </c>
      <c r="G8933" s="1">
        <v>39814</v>
      </c>
      <c r="J8933" t="s">
        <v>43114</v>
      </c>
      <c r="O8933" t="s">
        <v>94</v>
      </c>
      <c r="P8933">
        <v>19.989999999999998</v>
      </c>
      <c r="R8933">
        <v>19.989999999999998</v>
      </c>
      <c r="T8933" t="s">
        <v>43115</v>
      </c>
    </row>
    <row r="8934" spans="1:20">
      <c r="A8934">
        <v>4750375</v>
      </c>
      <c r="B8934" t="s">
        <v>43116</v>
      </c>
      <c r="C8934" t="str">
        <f>"9782760621664"</f>
        <v>9782760621664</v>
      </c>
      <c r="D8934" t="str">
        <f>"9782760625587"</f>
        <v>9782760625587</v>
      </c>
      <c r="E8934" t="s">
        <v>42231</v>
      </c>
      <c r="F8934" t="s">
        <v>42231</v>
      </c>
      <c r="G8934" s="1">
        <v>39814</v>
      </c>
      <c r="J8934" t="s">
        <v>43111</v>
      </c>
      <c r="O8934" t="s">
        <v>94</v>
      </c>
      <c r="P8934">
        <v>14.99</v>
      </c>
      <c r="R8934">
        <v>14.99</v>
      </c>
      <c r="T8934" t="s">
        <v>43117</v>
      </c>
    </row>
    <row r="8935" spans="1:20">
      <c r="A8935">
        <v>4750376</v>
      </c>
      <c r="B8935" t="s">
        <v>43118</v>
      </c>
      <c r="C8935" t="str">
        <f>"9782760621671"</f>
        <v>9782760621671</v>
      </c>
      <c r="D8935" t="str">
        <f>"9782760625594"</f>
        <v>9782760625594</v>
      </c>
      <c r="E8935" t="s">
        <v>42231</v>
      </c>
      <c r="F8935" t="s">
        <v>42231</v>
      </c>
      <c r="G8935" s="1">
        <v>39814</v>
      </c>
      <c r="J8935" t="s">
        <v>43119</v>
      </c>
      <c r="O8935" t="s">
        <v>94</v>
      </c>
      <c r="P8935">
        <v>14.99</v>
      </c>
      <c r="R8935">
        <v>14.99</v>
      </c>
      <c r="T8935" t="s">
        <v>43120</v>
      </c>
    </row>
    <row r="8936" spans="1:20">
      <c r="A8936">
        <v>4750378</v>
      </c>
      <c r="B8936" t="s">
        <v>43121</v>
      </c>
      <c r="C8936" t="str">
        <f>"9782760621688"</f>
        <v>9782760621688</v>
      </c>
      <c r="D8936" t="str">
        <f>"9782760625648"</f>
        <v>9782760625648</v>
      </c>
      <c r="E8936" t="s">
        <v>42231</v>
      </c>
      <c r="F8936" t="s">
        <v>42231</v>
      </c>
      <c r="G8936" s="1">
        <v>39814</v>
      </c>
      <c r="J8936" t="s">
        <v>43122</v>
      </c>
      <c r="K8936" t="s">
        <v>40145</v>
      </c>
      <c r="L8936" t="s">
        <v>43123</v>
      </c>
      <c r="M8936">
        <v>303.483</v>
      </c>
      <c r="N8936" t="s">
        <v>43124</v>
      </c>
      <c r="O8936" t="s">
        <v>94</v>
      </c>
      <c r="P8936">
        <v>19.989999999999998</v>
      </c>
      <c r="R8936">
        <v>19.989999999999998</v>
      </c>
      <c r="T8936" t="s">
        <v>43125</v>
      </c>
    </row>
    <row r="8937" spans="1:20">
      <c r="A8937">
        <v>4750380</v>
      </c>
      <c r="B8937" t="s">
        <v>43126</v>
      </c>
      <c r="C8937" t="str">
        <f>"9782760620841"</f>
        <v>9782760620841</v>
      </c>
      <c r="D8937" t="str">
        <f>"9782760626775"</f>
        <v>9782760626775</v>
      </c>
      <c r="E8937" t="s">
        <v>42231</v>
      </c>
      <c r="F8937" t="s">
        <v>42231</v>
      </c>
      <c r="G8937" s="1">
        <v>40179</v>
      </c>
      <c r="J8937" t="s">
        <v>43127</v>
      </c>
      <c r="K8937" t="s">
        <v>263</v>
      </c>
      <c r="L8937" t="s">
        <v>43128</v>
      </c>
      <c r="M8937">
        <v>305.8</v>
      </c>
      <c r="N8937" t="s">
        <v>43129</v>
      </c>
      <c r="O8937" t="s">
        <v>94</v>
      </c>
      <c r="P8937">
        <v>14.99</v>
      </c>
      <c r="R8937">
        <v>14.99</v>
      </c>
      <c r="T8937" t="s">
        <v>43130</v>
      </c>
    </row>
    <row r="8938" spans="1:20">
      <c r="A8938">
        <v>4750382</v>
      </c>
      <c r="B8938" t="s">
        <v>43131</v>
      </c>
      <c r="C8938" t="str">
        <f>"9782760627819"</f>
        <v>9782760627819</v>
      </c>
      <c r="D8938" t="str">
        <f>"9782760631083"</f>
        <v>9782760631083</v>
      </c>
      <c r="E8938" t="s">
        <v>42231</v>
      </c>
      <c r="F8938" t="s">
        <v>42231</v>
      </c>
      <c r="G8938" s="1">
        <v>42035</v>
      </c>
      <c r="J8938" t="s">
        <v>43132</v>
      </c>
      <c r="K8938" t="s">
        <v>467</v>
      </c>
      <c r="M8938">
        <v>327.17200000000003</v>
      </c>
      <c r="O8938" t="s">
        <v>94</v>
      </c>
      <c r="P8938">
        <v>16.989999999999998</v>
      </c>
      <c r="R8938">
        <v>16.989999999999998</v>
      </c>
      <c r="T8938" t="s">
        <v>43133</v>
      </c>
    </row>
    <row r="8939" spans="1:20">
      <c r="A8939">
        <v>4750383</v>
      </c>
      <c r="B8939" t="s">
        <v>43134</v>
      </c>
      <c r="C8939" t="str">
        <f>"9782760631359"</f>
        <v>9782760631359</v>
      </c>
      <c r="D8939" t="str">
        <f>"9782760631441"</f>
        <v>9782760631441</v>
      </c>
      <c r="E8939" t="s">
        <v>42231</v>
      </c>
      <c r="F8939" t="s">
        <v>42231</v>
      </c>
      <c r="G8939" s="1">
        <v>42035</v>
      </c>
      <c r="J8939" t="s">
        <v>42612</v>
      </c>
      <c r="K8939" t="s">
        <v>4347</v>
      </c>
      <c r="L8939" t="s">
        <v>43135</v>
      </c>
      <c r="M8939">
        <v>355.03307100000001</v>
      </c>
      <c r="N8939" t="s">
        <v>42265</v>
      </c>
      <c r="O8939" t="s">
        <v>94</v>
      </c>
      <c r="P8939">
        <v>19.989999999999998</v>
      </c>
      <c r="R8939">
        <v>19.989999999999998</v>
      </c>
      <c r="T8939" t="s">
        <v>43136</v>
      </c>
    </row>
    <row r="8940" spans="1:20">
      <c r="A8940">
        <v>4750386</v>
      </c>
      <c r="B8940" t="s">
        <v>43137</v>
      </c>
      <c r="C8940" t="str">
        <f>"9782760634039"</f>
        <v>9782760634039</v>
      </c>
      <c r="D8940" t="str">
        <f>"9782760634046"</f>
        <v>9782760634046</v>
      </c>
      <c r="E8940" t="s">
        <v>42231</v>
      </c>
      <c r="F8940" t="s">
        <v>42231</v>
      </c>
      <c r="G8940" s="1">
        <v>41640</v>
      </c>
      <c r="J8940" t="s">
        <v>43138</v>
      </c>
      <c r="K8940" t="s">
        <v>1082</v>
      </c>
      <c r="L8940" t="s">
        <v>43139</v>
      </c>
      <c r="M8940">
        <v>362.29309711000002</v>
      </c>
      <c r="N8940" t="s">
        <v>43140</v>
      </c>
      <c r="O8940" t="s">
        <v>94</v>
      </c>
      <c r="P8940">
        <v>14.99</v>
      </c>
      <c r="R8940">
        <v>14.99</v>
      </c>
      <c r="T8940" t="s">
        <v>43141</v>
      </c>
    </row>
    <row r="8941" spans="1:20">
      <c r="A8941">
        <v>4750387</v>
      </c>
      <c r="B8941" t="s">
        <v>43142</v>
      </c>
      <c r="C8941" t="str">
        <f>"9782760634183"</f>
        <v>9782760634183</v>
      </c>
      <c r="D8941" t="str">
        <f>"9782760634190"</f>
        <v>9782760634190</v>
      </c>
      <c r="E8941" t="s">
        <v>42231</v>
      </c>
      <c r="F8941" t="s">
        <v>42231</v>
      </c>
      <c r="G8941" s="1">
        <v>42035</v>
      </c>
      <c r="J8941" t="s">
        <v>43143</v>
      </c>
      <c r="K8941" t="s">
        <v>11437</v>
      </c>
      <c r="L8941" t="s">
        <v>43144</v>
      </c>
      <c r="M8941">
        <v>500</v>
      </c>
      <c r="N8941" t="s">
        <v>43145</v>
      </c>
      <c r="O8941" t="s">
        <v>94</v>
      </c>
      <c r="P8941">
        <v>6.99</v>
      </c>
      <c r="R8941">
        <v>6.99</v>
      </c>
      <c r="T8941" t="s">
        <v>43146</v>
      </c>
    </row>
    <row r="8942" spans="1:20">
      <c r="A8942">
        <v>4750388</v>
      </c>
      <c r="B8942" t="s">
        <v>43147</v>
      </c>
      <c r="C8942" t="str">
        <f>"9782760633957"</f>
        <v>9782760633957</v>
      </c>
      <c r="D8942" t="str">
        <f>"9782760633964"</f>
        <v>9782760633964</v>
      </c>
      <c r="E8942" t="s">
        <v>42231</v>
      </c>
      <c r="F8942" t="s">
        <v>42231</v>
      </c>
      <c r="G8942" s="1">
        <v>42005</v>
      </c>
      <c r="J8942" t="s">
        <v>43148</v>
      </c>
      <c r="K8942" t="s">
        <v>257</v>
      </c>
      <c r="L8942" t="s">
        <v>43149</v>
      </c>
      <c r="M8942">
        <v>378</v>
      </c>
      <c r="N8942" t="s">
        <v>43150</v>
      </c>
      <c r="O8942" t="s">
        <v>94</v>
      </c>
      <c r="P8942">
        <v>16.989999999999998</v>
      </c>
      <c r="R8942">
        <v>16.989999999999998</v>
      </c>
      <c r="T8942" t="s">
        <v>43151</v>
      </c>
    </row>
    <row r="8943" spans="1:20">
      <c r="A8943">
        <v>4750389</v>
      </c>
      <c r="B8943" t="s">
        <v>43152</v>
      </c>
      <c r="C8943" t="str">
        <f>"9782760617384"</f>
        <v>9782760617384</v>
      </c>
      <c r="D8943" t="str">
        <f>"9782760623101"</f>
        <v>9782760623101</v>
      </c>
      <c r="E8943" t="s">
        <v>42231</v>
      </c>
      <c r="F8943" t="s">
        <v>42231</v>
      </c>
      <c r="G8943" s="1">
        <v>36161</v>
      </c>
      <c r="J8943" t="s">
        <v>43153</v>
      </c>
      <c r="K8943" t="s">
        <v>4081</v>
      </c>
      <c r="L8943" t="s">
        <v>43154</v>
      </c>
      <c r="M8943">
        <v>440.14299999999901</v>
      </c>
      <c r="N8943" t="s">
        <v>43155</v>
      </c>
      <c r="O8943" t="s">
        <v>94</v>
      </c>
      <c r="P8943">
        <v>31.99</v>
      </c>
      <c r="Q8943">
        <v>39.99</v>
      </c>
      <c r="R8943">
        <v>31.99</v>
      </c>
      <c r="S8943">
        <v>47.99</v>
      </c>
      <c r="T8943" t="s">
        <v>43156</v>
      </c>
    </row>
    <row r="8944" spans="1:20">
      <c r="A8944">
        <v>4750399</v>
      </c>
      <c r="B8944" t="s">
        <v>43157</v>
      </c>
      <c r="C8944" t="str">
        <f>"9782760619654"</f>
        <v>9782760619654</v>
      </c>
      <c r="D8944" t="str">
        <f>"9782760624788"</f>
        <v>9782760624788</v>
      </c>
      <c r="E8944" t="s">
        <v>42231</v>
      </c>
      <c r="F8944" t="s">
        <v>42231</v>
      </c>
      <c r="G8944" s="1">
        <v>38353</v>
      </c>
      <c r="J8944" t="s">
        <v>13193</v>
      </c>
      <c r="K8944" t="s">
        <v>4081</v>
      </c>
      <c r="L8944" t="s">
        <v>43158</v>
      </c>
      <c r="M8944">
        <v>417.7</v>
      </c>
      <c r="N8944" t="s">
        <v>43159</v>
      </c>
      <c r="O8944" t="s">
        <v>94</v>
      </c>
      <c r="P8944">
        <v>21.99</v>
      </c>
      <c r="Q8944">
        <v>27.49</v>
      </c>
      <c r="R8944">
        <v>21.99</v>
      </c>
      <c r="S8944">
        <v>32.99</v>
      </c>
      <c r="T8944" t="s">
        <v>43160</v>
      </c>
    </row>
    <row r="8945" spans="1:20">
      <c r="A8945">
        <v>4750400</v>
      </c>
      <c r="B8945" t="s">
        <v>43161</v>
      </c>
      <c r="C8945" t="str">
        <f>"9782760621237"</f>
        <v>9782760621237</v>
      </c>
      <c r="D8945" t="str">
        <f>"9782760625358"</f>
        <v>9782760625358</v>
      </c>
      <c r="E8945" t="s">
        <v>42231</v>
      </c>
      <c r="F8945" t="s">
        <v>42231</v>
      </c>
      <c r="G8945" s="1">
        <v>39448</v>
      </c>
      <c r="J8945" t="s">
        <v>42320</v>
      </c>
      <c r="K8945" t="s">
        <v>22527</v>
      </c>
      <c r="L8945" t="s">
        <v>43162</v>
      </c>
      <c r="M8945">
        <v>70.579700000000003</v>
      </c>
      <c r="N8945" t="s">
        <v>43163</v>
      </c>
      <c r="O8945" t="s">
        <v>94</v>
      </c>
      <c r="P8945">
        <v>14.99</v>
      </c>
      <c r="Q8945">
        <v>18.739999999999998</v>
      </c>
      <c r="R8945">
        <v>14.99</v>
      </c>
      <c r="S8945">
        <v>22.49</v>
      </c>
      <c r="T8945" t="s">
        <v>43164</v>
      </c>
    </row>
    <row r="8946" spans="1:20">
      <c r="A8946">
        <v>4750401</v>
      </c>
      <c r="B8946" t="s">
        <v>43165</v>
      </c>
      <c r="C8946" t="str">
        <f>"9782760621596"</f>
        <v>9782760621596</v>
      </c>
      <c r="D8946" t="str">
        <f>"9782760625563"</f>
        <v>9782760625563</v>
      </c>
      <c r="E8946" t="s">
        <v>42231</v>
      </c>
      <c r="F8946" t="s">
        <v>42231</v>
      </c>
      <c r="G8946" s="1">
        <v>39814</v>
      </c>
      <c r="J8946" t="s">
        <v>43018</v>
      </c>
      <c r="K8946" t="s">
        <v>6444</v>
      </c>
      <c r="L8946" t="s">
        <v>43166</v>
      </c>
      <c r="M8946">
        <v>328.71091999999902</v>
      </c>
      <c r="O8946" t="s">
        <v>94</v>
      </c>
      <c r="P8946">
        <v>16.989999999999998</v>
      </c>
      <c r="R8946">
        <v>16.989999999999998</v>
      </c>
      <c r="T8946" t="s">
        <v>43167</v>
      </c>
    </row>
    <row r="8947" spans="1:20">
      <c r="A8947">
        <v>4750402</v>
      </c>
      <c r="B8947" t="s">
        <v>43168</v>
      </c>
      <c r="C8947" t="str">
        <f>"9782760621169"</f>
        <v>9782760621169</v>
      </c>
      <c r="D8947" t="str">
        <f>"9782760625334"</f>
        <v>9782760625334</v>
      </c>
      <c r="E8947" t="s">
        <v>42231</v>
      </c>
      <c r="F8947" t="s">
        <v>42231</v>
      </c>
      <c r="G8947" s="1">
        <v>39448</v>
      </c>
      <c r="J8947" t="s">
        <v>42320</v>
      </c>
      <c r="K8947" t="s">
        <v>6444</v>
      </c>
      <c r="L8947" t="s">
        <v>43169</v>
      </c>
      <c r="M8947">
        <v>327.714044</v>
      </c>
      <c r="O8947" t="s">
        <v>94</v>
      </c>
      <c r="P8947">
        <v>16.989999999999998</v>
      </c>
      <c r="Q8947">
        <v>21.24</v>
      </c>
      <c r="R8947">
        <v>16.989999999999998</v>
      </c>
      <c r="S8947">
        <v>25.49</v>
      </c>
      <c r="T8947" t="s">
        <v>43170</v>
      </c>
    </row>
    <row r="8948" spans="1:20">
      <c r="A8948">
        <v>4750403</v>
      </c>
      <c r="B8948" t="s">
        <v>43171</v>
      </c>
      <c r="C8948" t="str">
        <f>"9782760621657"</f>
        <v>9782760621657</v>
      </c>
      <c r="D8948" t="str">
        <f>"9782760625808"</f>
        <v>9782760625808</v>
      </c>
      <c r="E8948" t="s">
        <v>42231</v>
      </c>
      <c r="F8948" t="s">
        <v>42231</v>
      </c>
      <c r="G8948" s="1">
        <v>40179</v>
      </c>
      <c r="J8948" t="s">
        <v>42320</v>
      </c>
      <c r="K8948" t="s">
        <v>3219</v>
      </c>
      <c r="L8948" t="s">
        <v>43172</v>
      </c>
      <c r="M8948">
        <v>909.83100000000002</v>
      </c>
      <c r="N8948" t="s">
        <v>43173</v>
      </c>
      <c r="O8948" t="s">
        <v>94</v>
      </c>
      <c r="P8948">
        <v>16.989999999999998</v>
      </c>
      <c r="R8948">
        <v>16.989999999999998</v>
      </c>
      <c r="T8948" t="s">
        <v>43174</v>
      </c>
    </row>
    <row r="8949" spans="1:20">
      <c r="A8949">
        <v>4750408</v>
      </c>
      <c r="B8949" t="s">
        <v>43175</v>
      </c>
      <c r="C8949" t="str">
        <f>"9782760619982"</f>
        <v>9782760619982</v>
      </c>
      <c r="D8949" t="str">
        <f>"9782760631311"</f>
        <v>9782760631311</v>
      </c>
      <c r="E8949" t="s">
        <v>42231</v>
      </c>
      <c r="F8949" t="s">
        <v>42231</v>
      </c>
      <c r="G8949" s="1">
        <v>39083</v>
      </c>
      <c r="J8949" t="s">
        <v>42320</v>
      </c>
      <c r="K8949" t="s">
        <v>7075</v>
      </c>
      <c r="L8949" t="s">
        <v>43176</v>
      </c>
      <c r="M8949">
        <v>28.909714000000001</v>
      </c>
      <c r="N8949" t="s">
        <v>43177</v>
      </c>
      <c r="O8949" t="s">
        <v>94</v>
      </c>
      <c r="P8949">
        <v>41.99</v>
      </c>
      <c r="Q8949">
        <v>52.49</v>
      </c>
      <c r="R8949">
        <v>41.99</v>
      </c>
      <c r="S8949">
        <v>62.99</v>
      </c>
      <c r="T8949" t="s">
        <v>43178</v>
      </c>
    </row>
    <row r="8950" spans="1:20">
      <c r="A8950">
        <v>4750409</v>
      </c>
      <c r="B8950" t="s">
        <v>43179</v>
      </c>
      <c r="C8950" t="str">
        <f>"9782760631694"</f>
        <v>9782760631694</v>
      </c>
      <c r="D8950" t="str">
        <f>"9782760631700"</f>
        <v>9782760631700</v>
      </c>
      <c r="E8950" t="s">
        <v>42231</v>
      </c>
      <c r="F8950" t="s">
        <v>42231</v>
      </c>
      <c r="G8950" s="1">
        <v>41275</v>
      </c>
      <c r="J8950" t="s">
        <v>43180</v>
      </c>
      <c r="K8950" t="s">
        <v>1471</v>
      </c>
      <c r="L8950" t="s">
        <v>43181</v>
      </c>
      <c r="M8950">
        <v>786.20920000000001</v>
      </c>
      <c r="O8950" t="s">
        <v>94</v>
      </c>
      <c r="P8950">
        <v>11.99</v>
      </c>
      <c r="R8950">
        <v>11.99</v>
      </c>
      <c r="T8950" t="s">
        <v>43182</v>
      </c>
    </row>
    <row r="8951" spans="1:20">
      <c r="A8951">
        <v>4750410</v>
      </c>
      <c r="B8951" t="s">
        <v>43183</v>
      </c>
      <c r="C8951" t="str">
        <f>"9782760632080"</f>
        <v>9782760632080</v>
      </c>
      <c r="D8951" t="str">
        <f>"9782760632097"</f>
        <v>9782760632097</v>
      </c>
      <c r="E8951" t="s">
        <v>42231</v>
      </c>
      <c r="F8951" t="s">
        <v>42231</v>
      </c>
      <c r="G8951" s="1">
        <v>42035</v>
      </c>
      <c r="J8951" t="s">
        <v>43184</v>
      </c>
      <c r="K8951" t="s">
        <v>1550</v>
      </c>
      <c r="L8951" t="s">
        <v>43185</v>
      </c>
      <c r="M8951">
        <v>306.09509050999901</v>
      </c>
      <c r="O8951" t="s">
        <v>94</v>
      </c>
      <c r="P8951">
        <v>24.99</v>
      </c>
      <c r="R8951">
        <v>24.99</v>
      </c>
      <c r="T8951" t="s">
        <v>43186</v>
      </c>
    </row>
    <row r="8952" spans="1:20">
      <c r="A8952">
        <v>4750413</v>
      </c>
      <c r="B8952" t="s">
        <v>43187</v>
      </c>
      <c r="C8952" t="str">
        <f>"9782760617780"</f>
        <v>9782760617780</v>
      </c>
      <c r="D8952" t="str">
        <f>"9782760623231"</f>
        <v>9782760623231</v>
      </c>
      <c r="E8952" t="s">
        <v>42231</v>
      </c>
      <c r="F8952" t="s">
        <v>42231</v>
      </c>
      <c r="G8952" s="1">
        <v>36526</v>
      </c>
      <c r="J8952" t="s">
        <v>43188</v>
      </c>
      <c r="K8952" t="s">
        <v>76</v>
      </c>
      <c r="L8952" t="s">
        <v>43189</v>
      </c>
      <c r="M8952">
        <v>639.29999999999905</v>
      </c>
      <c r="N8952" t="s">
        <v>43190</v>
      </c>
      <c r="O8952" t="s">
        <v>94</v>
      </c>
      <c r="P8952">
        <v>16.989999999999998</v>
      </c>
      <c r="Q8952">
        <v>21.24</v>
      </c>
      <c r="R8952">
        <v>16.989999999999998</v>
      </c>
      <c r="S8952">
        <v>25.49</v>
      </c>
      <c r="T8952" t="s">
        <v>43191</v>
      </c>
    </row>
    <row r="8953" spans="1:20">
      <c r="A8953">
        <v>4751038</v>
      </c>
      <c r="B8953" t="s">
        <v>43192</v>
      </c>
      <c r="C8953" t="str">
        <f>"9782760633803"</f>
        <v>9782760633803</v>
      </c>
      <c r="D8953" t="str">
        <f>"9782760633810"</f>
        <v>9782760633810</v>
      </c>
      <c r="E8953" t="s">
        <v>42231</v>
      </c>
      <c r="F8953" t="s">
        <v>42231</v>
      </c>
      <c r="G8953" s="1">
        <v>41640</v>
      </c>
      <c r="J8953" t="s">
        <v>43193</v>
      </c>
      <c r="O8953" t="s">
        <v>94</v>
      </c>
      <c r="P8953">
        <v>19.989999999999998</v>
      </c>
      <c r="R8953">
        <v>19.989999999999998</v>
      </c>
      <c r="T8953" t="s">
        <v>43194</v>
      </c>
    </row>
    <row r="8954" spans="1:20">
      <c r="A8954">
        <v>4767136</v>
      </c>
      <c r="B8954" t="s">
        <v>43195</v>
      </c>
      <c r="C8954" t="str">
        <f>"9780888645968"</f>
        <v>9780888645968</v>
      </c>
      <c r="D8954" t="str">
        <f>"9780888646644"</f>
        <v>9780888646644</v>
      </c>
      <c r="E8954" t="s">
        <v>26075</v>
      </c>
      <c r="F8954" t="s">
        <v>26075</v>
      </c>
      <c r="G8954" s="1">
        <v>41021</v>
      </c>
      <c r="I8954" t="s">
        <v>41846</v>
      </c>
      <c r="J8954" t="s">
        <v>43196</v>
      </c>
      <c r="K8954" t="s">
        <v>1464</v>
      </c>
      <c r="L8954" t="s">
        <v>43197</v>
      </c>
      <c r="M8954">
        <v>811.00800000000004</v>
      </c>
      <c r="N8954" t="s">
        <v>7851</v>
      </c>
      <c r="O8954" t="s">
        <v>26</v>
      </c>
      <c r="R8954">
        <v>31.98</v>
      </c>
      <c r="T8954" t="s">
        <v>43198</v>
      </c>
    </row>
    <row r="8955" spans="1:20">
      <c r="A8955">
        <v>4767137</v>
      </c>
      <c r="B8955" t="s">
        <v>43199</v>
      </c>
      <c r="C8955" t="str">
        <f>"9780888645975"</f>
        <v>9780888645975</v>
      </c>
      <c r="D8955" t="str">
        <f>"9780888646651"</f>
        <v>9780888646651</v>
      </c>
      <c r="E8955" t="s">
        <v>26075</v>
      </c>
      <c r="F8955" t="s">
        <v>26075</v>
      </c>
      <c r="G8955" s="1">
        <v>40972</v>
      </c>
      <c r="I8955" t="s">
        <v>41846</v>
      </c>
      <c r="J8955" t="s">
        <v>43200</v>
      </c>
      <c r="K8955" t="s">
        <v>1464</v>
      </c>
      <c r="L8955" t="s">
        <v>43201</v>
      </c>
      <c r="M8955">
        <v>811.00800000000004</v>
      </c>
      <c r="N8955" t="s">
        <v>7851</v>
      </c>
      <c r="O8955" t="s">
        <v>26</v>
      </c>
      <c r="R8955">
        <v>31.98</v>
      </c>
      <c r="T8955" t="s">
        <v>43202</v>
      </c>
    </row>
    <row r="8956" spans="1:20">
      <c r="A8956">
        <v>4767139</v>
      </c>
      <c r="B8956" t="s">
        <v>43203</v>
      </c>
      <c r="C8956" t="str">
        <f>"9780888645951"</f>
        <v>9780888645951</v>
      </c>
      <c r="D8956" t="str">
        <f>"9780888647887"</f>
        <v>9780888647887</v>
      </c>
      <c r="E8956" t="s">
        <v>26075</v>
      </c>
      <c r="F8956" t="s">
        <v>26075</v>
      </c>
      <c r="G8956" s="1">
        <v>40831</v>
      </c>
      <c r="J8956" t="s">
        <v>43204</v>
      </c>
      <c r="K8956" t="s">
        <v>1464</v>
      </c>
      <c r="L8956" t="s">
        <v>43205</v>
      </c>
      <c r="M8956">
        <v>811.54</v>
      </c>
      <c r="N8956" t="s">
        <v>43206</v>
      </c>
      <c r="O8956" t="s">
        <v>26</v>
      </c>
      <c r="R8956">
        <v>35.99</v>
      </c>
      <c r="T8956" t="s">
        <v>43207</v>
      </c>
    </row>
    <row r="8957" spans="1:20">
      <c r="A8957">
        <v>4767141</v>
      </c>
      <c r="B8957" t="s">
        <v>43208</v>
      </c>
      <c r="C8957" t="str">
        <f>"9780888645944"</f>
        <v>9780888645944</v>
      </c>
      <c r="D8957" t="str">
        <f>"9780888647801"</f>
        <v>9780888647801</v>
      </c>
      <c r="E8957" t="s">
        <v>26075</v>
      </c>
      <c r="F8957" t="s">
        <v>26075</v>
      </c>
      <c r="G8957" s="1">
        <v>41201</v>
      </c>
      <c r="J8957" t="s">
        <v>43209</v>
      </c>
      <c r="K8957" t="s">
        <v>3270</v>
      </c>
      <c r="L8957" t="s">
        <v>43210</v>
      </c>
      <c r="M8957">
        <v>306.48309712299903</v>
      </c>
      <c r="N8957" t="s">
        <v>43211</v>
      </c>
      <c r="O8957" t="s">
        <v>26</v>
      </c>
      <c r="R8957">
        <v>47.99</v>
      </c>
      <c r="T8957" t="s">
        <v>43212</v>
      </c>
    </row>
    <row r="8958" spans="1:20">
      <c r="A8958">
        <v>4767142</v>
      </c>
      <c r="B8958" t="s">
        <v>43213</v>
      </c>
      <c r="C8958" t="str">
        <f>"9780888646002"</f>
        <v>9780888646002</v>
      </c>
      <c r="D8958" t="str">
        <f>"9780888647894"</f>
        <v>9780888647894</v>
      </c>
      <c r="E8958" t="s">
        <v>26075</v>
      </c>
      <c r="F8958" t="s">
        <v>26075</v>
      </c>
      <c r="G8958" s="1">
        <v>40968</v>
      </c>
      <c r="J8958" t="s">
        <v>42211</v>
      </c>
      <c r="K8958" t="s">
        <v>291</v>
      </c>
      <c r="L8958" t="s">
        <v>43214</v>
      </c>
      <c r="M8958">
        <v>951.05092000000002</v>
      </c>
      <c r="N8958" t="s">
        <v>43215</v>
      </c>
      <c r="O8958" t="s">
        <v>26</v>
      </c>
      <c r="R8958">
        <v>41.99</v>
      </c>
      <c r="T8958" t="s">
        <v>43216</v>
      </c>
    </row>
    <row r="8959" spans="1:20">
      <c r="A8959">
        <v>4767143</v>
      </c>
      <c r="B8959" t="s">
        <v>43217</v>
      </c>
      <c r="C8959" t="str">
        <f>"9780888646040"</f>
        <v>9780888646040</v>
      </c>
      <c r="D8959" t="str">
        <f>"9780888647917"</f>
        <v>9780888647917</v>
      </c>
      <c r="E8959" t="s">
        <v>26075</v>
      </c>
      <c r="F8959" t="s">
        <v>26075</v>
      </c>
      <c r="G8959" s="1">
        <v>40992</v>
      </c>
      <c r="J8959" t="s">
        <v>43218</v>
      </c>
      <c r="K8959" t="s">
        <v>1892</v>
      </c>
      <c r="L8959" t="s">
        <v>43219</v>
      </c>
      <c r="M8959">
        <v>282.09219999999902</v>
      </c>
      <c r="N8959" t="s">
        <v>43220</v>
      </c>
      <c r="O8959" t="s">
        <v>26</v>
      </c>
      <c r="R8959">
        <v>41.99</v>
      </c>
      <c r="T8959" t="s">
        <v>43221</v>
      </c>
    </row>
    <row r="8960" spans="1:20">
      <c r="A8960">
        <v>4767144</v>
      </c>
      <c r="B8960" t="s">
        <v>43222</v>
      </c>
      <c r="C8960" t="str">
        <f>"9780888646026"</f>
        <v>9780888646026</v>
      </c>
      <c r="D8960" t="str">
        <f>"9780888647900"</f>
        <v>9780888647900</v>
      </c>
      <c r="E8960" t="s">
        <v>26075</v>
      </c>
      <c r="F8960" t="s">
        <v>26075</v>
      </c>
      <c r="G8960" s="1">
        <v>40889</v>
      </c>
      <c r="J8960" t="s">
        <v>43223</v>
      </c>
      <c r="K8960" t="s">
        <v>1150</v>
      </c>
      <c r="L8960" t="s">
        <v>43224</v>
      </c>
      <c r="M8960" t="s">
        <v>43225</v>
      </c>
      <c r="N8960" t="s">
        <v>43226</v>
      </c>
      <c r="O8960" t="s">
        <v>26</v>
      </c>
      <c r="R8960">
        <v>35.99</v>
      </c>
      <c r="T8960" t="s">
        <v>43227</v>
      </c>
    </row>
    <row r="8961" spans="1:20">
      <c r="A8961">
        <v>4767145</v>
      </c>
      <c r="B8961" t="s">
        <v>43228</v>
      </c>
      <c r="C8961" t="str">
        <f>"9780888646057"</f>
        <v>9780888646057</v>
      </c>
      <c r="D8961" t="str">
        <f>"9780888648501"</f>
        <v>9780888648501</v>
      </c>
      <c r="E8961" t="s">
        <v>26075</v>
      </c>
      <c r="F8961" t="s">
        <v>26075</v>
      </c>
      <c r="G8961" s="1">
        <v>41153</v>
      </c>
      <c r="J8961" t="s">
        <v>43229</v>
      </c>
      <c r="K8961" t="s">
        <v>10956</v>
      </c>
      <c r="L8961" t="s">
        <v>43230</v>
      </c>
      <c r="M8961" t="s">
        <v>27732</v>
      </c>
      <c r="N8961" t="s">
        <v>43231</v>
      </c>
      <c r="O8961" t="s">
        <v>26</v>
      </c>
      <c r="R8961">
        <v>41.99</v>
      </c>
      <c r="T8961" t="s">
        <v>43232</v>
      </c>
    </row>
    <row r="8962" spans="1:20">
      <c r="A8962">
        <v>4767147</v>
      </c>
      <c r="B8962" t="s">
        <v>43233</v>
      </c>
      <c r="C8962" t="str">
        <f>"9780888646064"</f>
        <v>9780888646064</v>
      </c>
      <c r="D8962" t="str">
        <f>"9780888647924"</f>
        <v>9780888647924</v>
      </c>
      <c r="E8962" t="s">
        <v>26075</v>
      </c>
      <c r="F8962" t="s">
        <v>26075</v>
      </c>
      <c r="G8962" s="1">
        <v>41105</v>
      </c>
      <c r="I8962" t="s">
        <v>41846</v>
      </c>
      <c r="J8962" t="s">
        <v>43234</v>
      </c>
      <c r="K8962" t="s">
        <v>1464</v>
      </c>
      <c r="L8962" t="s">
        <v>43235</v>
      </c>
      <c r="M8962" t="s">
        <v>1466</v>
      </c>
      <c r="N8962" t="s">
        <v>43236</v>
      </c>
      <c r="O8962" t="s">
        <v>26</v>
      </c>
      <c r="R8962">
        <v>31.98</v>
      </c>
      <c r="T8962" t="s">
        <v>43237</v>
      </c>
    </row>
    <row r="8963" spans="1:20">
      <c r="A8963">
        <v>4767153</v>
      </c>
      <c r="B8963" t="s">
        <v>43238</v>
      </c>
      <c r="C8963" t="str">
        <f>"9780888644022"</f>
        <v>9780888644022</v>
      </c>
      <c r="D8963" t="str">
        <f>"9781772123388"</f>
        <v>9781772123388</v>
      </c>
      <c r="E8963" t="s">
        <v>26075</v>
      </c>
      <c r="F8963" t="s">
        <v>26075</v>
      </c>
      <c r="G8963" s="1">
        <v>37862</v>
      </c>
      <c r="H8963">
        <v>2</v>
      </c>
      <c r="J8963" t="s">
        <v>43239</v>
      </c>
      <c r="K8963" t="s">
        <v>257</v>
      </c>
      <c r="L8963" t="s">
        <v>43240</v>
      </c>
      <c r="M8963">
        <v>372.67700000000002</v>
      </c>
      <c r="N8963" t="s">
        <v>43241</v>
      </c>
      <c r="O8963" t="s">
        <v>26</v>
      </c>
      <c r="R8963">
        <v>35.99</v>
      </c>
      <c r="T8963" t="s">
        <v>43242</v>
      </c>
    </row>
    <row r="8964" spans="1:20">
      <c r="A8964">
        <v>4772202</v>
      </c>
      <c r="B8964" t="s">
        <v>43243</v>
      </c>
      <c r="C8964" t="str">
        <f>"9781771080224"</f>
        <v>9781771080224</v>
      </c>
      <c r="D8964" t="str">
        <f>"9781771080231"</f>
        <v>9781771080231</v>
      </c>
      <c r="E8964" t="s">
        <v>42197</v>
      </c>
      <c r="F8964" t="s">
        <v>42197</v>
      </c>
      <c r="G8964" s="1">
        <v>41365</v>
      </c>
      <c r="J8964" t="s">
        <v>43244</v>
      </c>
      <c r="K8964" t="s">
        <v>291</v>
      </c>
      <c r="L8964" t="s">
        <v>43245</v>
      </c>
      <c r="M8964" t="s">
        <v>43246</v>
      </c>
      <c r="N8964" t="s">
        <v>43247</v>
      </c>
      <c r="O8964" t="s">
        <v>26</v>
      </c>
      <c r="P8964">
        <v>10.99</v>
      </c>
      <c r="Q8964">
        <v>13.74</v>
      </c>
      <c r="R8964">
        <v>10.99</v>
      </c>
      <c r="S8964">
        <v>16.489999999999998</v>
      </c>
      <c r="T8964" t="s">
        <v>43248</v>
      </c>
    </row>
    <row r="8965" spans="1:20">
      <c r="A8965">
        <v>4772204</v>
      </c>
      <c r="B8965" t="s">
        <v>43249</v>
      </c>
      <c r="C8965" t="str">
        <f>"9781771080767"</f>
        <v>9781771080767</v>
      </c>
      <c r="D8965" t="str">
        <f>"9781771080781"</f>
        <v>9781771080781</v>
      </c>
      <c r="E8965" t="s">
        <v>42197</v>
      </c>
      <c r="F8965" t="s">
        <v>42197</v>
      </c>
      <c r="G8965" s="1">
        <v>41558</v>
      </c>
      <c r="J8965" t="s">
        <v>43250</v>
      </c>
      <c r="K8965" t="s">
        <v>263</v>
      </c>
      <c r="L8965" t="s">
        <v>43251</v>
      </c>
      <c r="M8965">
        <v>306.87420924000003</v>
      </c>
      <c r="N8965" t="s">
        <v>43252</v>
      </c>
      <c r="O8965" t="s">
        <v>26</v>
      </c>
      <c r="P8965">
        <v>10.99</v>
      </c>
      <c r="Q8965">
        <v>13.74</v>
      </c>
      <c r="R8965">
        <v>10.99</v>
      </c>
      <c r="S8965">
        <v>16.489999999999998</v>
      </c>
      <c r="T8965" t="s">
        <v>43253</v>
      </c>
    </row>
    <row r="8966" spans="1:20">
      <c r="A8966">
        <v>4772208</v>
      </c>
      <c r="B8966" t="s">
        <v>43254</v>
      </c>
      <c r="C8966" t="str">
        <f>"9781771081528"</f>
        <v>9781771081528</v>
      </c>
      <c r="D8966" t="str">
        <f>"9781771081559"</f>
        <v>9781771081559</v>
      </c>
      <c r="E8966" t="s">
        <v>42197</v>
      </c>
      <c r="F8966" t="s">
        <v>42197</v>
      </c>
      <c r="G8966" s="1">
        <v>41813</v>
      </c>
      <c r="J8966" t="s">
        <v>43255</v>
      </c>
      <c r="K8966" t="s">
        <v>291</v>
      </c>
      <c r="L8966" t="s">
        <v>43256</v>
      </c>
      <c r="M8966" t="s">
        <v>43257</v>
      </c>
      <c r="O8966" t="s">
        <v>26</v>
      </c>
      <c r="P8966">
        <v>10.99</v>
      </c>
      <c r="Q8966">
        <v>13.74</v>
      </c>
      <c r="R8966">
        <v>10.99</v>
      </c>
      <c r="S8966">
        <v>16.489999999999998</v>
      </c>
      <c r="T8966" t="s">
        <v>43258</v>
      </c>
    </row>
    <row r="8967" spans="1:20">
      <c r="A8967">
        <v>4772211</v>
      </c>
      <c r="B8967" t="s">
        <v>43259</v>
      </c>
      <c r="C8967" t="str">
        <f>"9781771081849"</f>
        <v>9781771081849</v>
      </c>
      <c r="D8967" t="str">
        <f>"9781771081870"</f>
        <v>9781771081870</v>
      </c>
      <c r="E8967" t="s">
        <v>42197</v>
      </c>
      <c r="F8967" t="s">
        <v>42197</v>
      </c>
      <c r="G8967" s="1">
        <v>41730</v>
      </c>
      <c r="J8967" t="s">
        <v>42198</v>
      </c>
      <c r="K8967" t="s">
        <v>291</v>
      </c>
      <c r="L8967" t="s">
        <v>43260</v>
      </c>
      <c r="M8967" t="s">
        <v>43261</v>
      </c>
      <c r="O8967" t="s">
        <v>26</v>
      </c>
      <c r="P8967">
        <v>10.99</v>
      </c>
      <c r="Q8967">
        <v>13.74</v>
      </c>
      <c r="R8967">
        <v>10.99</v>
      </c>
      <c r="S8967">
        <v>16.489999999999998</v>
      </c>
      <c r="T8967" t="s">
        <v>43262</v>
      </c>
    </row>
    <row r="8968" spans="1:20">
      <c r="A8968">
        <v>4772215</v>
      </c>
      <c r="B8968" t="s">
        <v>43263</v>
      </c>
      <c r="C8968" t="str">
        <f>"9781771082136"</f>
        <v>9781771082136</v>
      </c>
      <c r="D8968" t="str">
        <f>"9781771082150"</f>
        <v>9781771082150</v>
      </c>
      <c r="E8968" t="s">
        <v>42197</v>
      </c>
      <c r="F8968" t="s">
        <v>42197</v>
      </c>
      <c r="G8968" s="1">
        <v>41897</v>
      </c>
      <c r="J8968" t="s">
        <v>43264</v>
      </c>
      <c r="K8968" t="s">
        <v>2975</v>
      </c>
      <c r="L8968" t="s">
        <v>43265</v>
      </c>
      <c r="M8968" t="s">
        <v>43266</v>
      </c>
      <c r="N8968" t="s">
        <v>43267</v>
      </c>
      <c r="O8968" t="s">
        <v>26</v>
      </c>
      <c r="P8968">
        <v>10.99</v>
      </c>
      <c r="Q8968">
        <v>13.74</v>
      </c>
      <c r="R8968">
        <v>10.99</v>
      </c>
      <c r="S8968">
        <v>16.489999999999998</v>
      </c>
      <c r="T8968" t="s">
        <v>43268</v>
      </c>
    </row>
    <row r="8969" spans="1:20">
      <c r="A8969">
        <v>4772223</v>
      </c>
      <c r="B8969" t="s">
        <v>43269</v>
      </c>
      <c r="C8969" t="str">
        <f>"9781771083447"</f>
        <v>9781771083447</v>
      </c>
      <c r="D8969" t="str">
        <f>"9781771083454"</f>
        <v>9781771083454</v>
      </c>
      <c r="E8969" t="s">
        <v>42197</v>
      </c>
      <c r="F8969" t="s">
        <v>42197</v>
      </c>
      <c r="G8969" s="1">
        <v>42286</v>
      </c>
      <c r="J8969" t="s">
        <v>43270</v>
      </c>
      <c r="K8969" t="s">
        <v>291</v>
      </c>
      <c r="L8969" t="s">
        <v>43271</v>
      </c>
      <c r="M8969" t="s">
        <v>43272</v>
      </c>
      <c r="N8969" t="s">
        <v>43273</v>
      </c>
      <c r="O8969" t="s">
        <v>26</v>
      </c>
      <c r="P8969">
        <v>10.99</v>
      </c>
      <c r="Q8969">
        <v>13.74</v>
      </c>
      <c r="R8969">
        <v>10.99</v>
      </c>
      <c r="S8969">
        <v>16.489999999999998</v>
      </c>
      <c r="T8969" t="s">
        <v>43274</v>
      </c>
    </row>
    <row r="8970" spans="1:20">
      <c r="A8970">
        <v>4772224</v>
      </c>
      <c r="B8970" t="s">
        <v>43275</v>
      </c>
      <c r="C8970" t="str">
        <f>"9781771083461"</f>
        <v>9781771083461</v>
      </c>
      <c r="D8970" t="str">
        <f>"9781771083478"</f>
        <v>9781771083478</v>
      </c>
      <c r="E8970" t="s">
        <v>42197</v>
      </c>
      <c r="F8970" t="s">
        <v>42197</v>
      </c>
      <c r="G8970" s="1">
        <v>42311</v>
      </c>
      <c r="J8970" t="s">
        <v>43276</v>
      </c>
      <c r="K8970" t="s">
        <v>291</v>
      </c>
      <c r="L8970" t="s">
        <v>43277</v>
      </c>
      <c r="M8970" t="s">
        <v>43278</v>
      </c>
      <c r="N8970" t="s">
        <v>43279</v>
      </c>
      <c r="O8970" t="s">
        <v>26</v>
      </c>
      <c r="P8970">
        <v>10.99</v>
      </c>
      <c r="Q8970">
        <v>13.74</v>
      </c>
      <c r="R8970">
        <v>10.99</v>
      </c>
      <c r="S8970">
        <v>16.489999999999998</v>
      </c>
      <c r="T8970" t="s">
        <v>43280</v>
      </c>
    </row>
    <row r="8971" spans="1:20">
      <c r="A8971">
        <v>4787238</v>
      </c>
      <c r="B8971" t="s">
        <v>43281</v>
      </c>
      <c r="C8971" t="str">
        <f>"9782763725956"</f>
        <v>9782763725956</v>
      </c>
      <c r="D8971" t="str">
        <f>"9782763725963"</f>
        <v>9782763725963</v>
      </c>
      <c r="E8971" t="s">
        <v>43282</v>
      </c>
      <c r="F8971" t="s">
        <v>43282</v>
      </c>
      <c r="G8971" s="1">
        <v>42376</v>
      </c>
      <c r="I8971" t="s">
        <v>43283</v>
      </c>
      <c r="J8971" t="s">
        <v>43284</v>
      </c>
      <c r="O8971" t="s">
        <v>94</v>
      </c>
      <c r="P8971">
        <v>27.96</v>
      </c>
      <c r="Q8971">
        <v>34.950000000000003</v>
      </c>
      <c r="R8971">
        <v>27.96</v>
      </c>
      <c r="S8971">
        <v>41.94</v>
      </c>
      <c r="T8971" t="s">
        <v>43285</v>
      </c>
    </row>
    <row r="8972" spans="1:20">
      <c r="A8972">
        <v>4787241</v>
      </c>
      <c r="B8972" t="s">
        <v>43286</v>
      </c>
      <c r="C8972" t="str">
        <f>"9782763726618"</f>
        <v>9782763726618</v>
      </c>
      <c r="D8972" t="str">
        <f>"9782763726625"</f>
        <v>9782763726625</v>
      </c>
      <c r="E8972" t="s">
        <v>43282</v>
      </c>
      <c r="F8972" t="s">
        <v>43282</v>
      </c>
      <c r="G8972" s="1">
        <v>42419</v>
      </c>
      <c r="J8972" t="s">
        <v>43287</v>
      </c>
      <c r="O8972" t="s">
        <v>94</v>
      </c>
      <c r="P8972">
        <v>23.96</v>
      </c>
      <c r="Q8972">
        <v>29.95</v>
      </c>
      <c r="R8972">
        <v>23.96</v>
      </c>
      <c r="S8972">
        <v>35.94</v>
      </c>
      <c r="T8972" t="s">
        <v>43288</v>
      </c>
    </row>
    <row r="8973" spans="1:20">
      <c r="A8973">
        <v>4787242</v>
      </c>
      <c r="B8973" t="s">
        <v>43289</v>
      </c>
      <c r="C8973" t="str">
        <f>"9782763728117"</f>
        <v>9782763728117</v>
      </c>
      <c r="D8973" t="str">
        <f>"9782763728124"</f>
        <v>9782763728124</v>
      </c>
      <c r="E8973" t="s">
        <v>43282</v>
      </c>
      <c r="F8973" t="s">
        <v>43282</v>
      </c>
      <c r="G8973" s="1">
        <v>42391</v>
      </c>
      <c r="I8973" t="s">
        <v>43290</v>
      </c>
      <c r="J8973" t="s">
        <v>43291</v>
      </c>
      <c r="K8973" t="s">
        <v>1892</v>
      </c>
      <c r="L8973" t="s">
        <v>43292</v>
      </c>
      <c r="M8973">
        <v>297.09660000000002</v>
      </c>
      <c r="N8973" t="s">
        <v>43293</v>
      </c>
      <c r="O8973" t="s">
        <v>94</v>
      </c>
      <c r="P8973">
        <v>23.96</v>
      </c>
      <c r="Q8973">
        <v>29.95</v>
      </c>
      <c r="R8973">
        <v>23.96</v>
      </c>
      <c r="S8973">
        <v>35.94</v>
      </c>
      <c r="T8973" t="s">
        <v>43294</v>
      </c>
    </row>
    <row r="8974" spans="1:20">
      <c r="A8974">
        <v>4787244</v>
      </c>
      <c r="B8974" t="s">
        <v>43295</v>
      </c>
      <c r="C8974" t="str">
        <f>"9782763727486"</f>
        <v>9782763727486</v>
      </c>
      <c r="D8974" t="str">
        <f>"9782763727493"</f>
        <v>9782763727493</v>
      </c>
      <c r="E8974" t="s">
        <v>43282</v>
      </c>
      <c r="F8974" t="s">
        <v>43282</v>
      </c>
      <c r="G8974" s="1">
        <v>42390</v>
      </c>
      <c r="J8974" t="s">
        <v>43296</v>
      </c>
      <c r="K8974" t="s">
        <v>263</v>
      </c>
      <c r="L8974" t="s">
        <v>43297</v>
      </c>
      <c r="M8974">
        <v>303.3</v>
      </c>
      <c r="N8974" t="s">
        <v>43298</v>
      </c>
      <c r="O8974" t="s">
        <v>94</v>
      </c>
      <c r="P8974">
        <v>19.96</v>
      </c>
      <c r="Q8974">
        <v>24.95</v>
      </c>
      <c r="R8974">
        <v>19.96</v>
      </c>
      <c r="S8974">
        <v>29.94</v>
      </c>
      <c r="T8974" t="s">
        <v>43299</v>
      </c>
    </row>
    <row r="8975" spans="1:20">
      <c r="A8975">
        <v>4787263</v>
      </c>
      <c r="B8975" t="s">
        <v>43300</v>
      </c>
      <c r="C8975" t="str">
        <f>"9782763727271"</f>
        <v>9782763727271</v>
      </c>
      <c r="D8975" t="str">
        <f>"9782763727288"</f>
        <v>9782763727288</v>
      </c>
      <c r="E8975" t="s">
        <v>43282</v>
      </c>
      <c r="F8975" t="s">
        <v>43282</v>
      </c>
      <c r="G8975" s="1">
        <v>42443</v>
      </c>
      <c r="I8975" t="s">
        <v>43301</v>
      </c>
      <c r="J8975" t="s">
        <v>43302</v>
      </c>
      <c r="O8975" t="s">
        <v>94</v>
      </c>
      <c r="P8975">
        <v>27.96</v>
      </c>
      <c r="Q8975">
        <v>34.950000000000003</v>
      </c>
      <c r="R8975">
        <v>27.96</v>
      </c>
      <c r="S8975">
        <v>41.94</v>
      </c>
      <c r="T8975" t="s">
        <v>43303</v>
      </c>
    </row>
    <row r="8976" spans="1:20">
      <c r="A8976">
        <v>4795588</v>
      </c>
      <c r="B8976" t="s">
        <v>43304</v>
      </c>
      <c r="C8976" t="str">
        <f>"9780776601151"</f>
        <v>9780776601151</v>
      </c>
      <c r="D8976" t="str">
        <f>"9780776616650"</f>
        <v>9780776616650</v>
      </c>
      <c r="E8976" t="s">
        <v>43305</v>
      </c>
      <c r="F8976" t="s">
        <v>3342</v>
      </c>
      <c r="G8976" s="1">
        <v>36526</v>
      </c>
      <c r="J8976" t="s">
        <v>43306</v>
      </c>
      <c r="K8976" t="s">
        <v>9858</v>
      </c>
      <c r="L8976" t="s">
        <v>43307</v>
      </c>
      <c r="M8976" t="s">
        <v>43308</v>
      </c>
      <c r="O8976" t="s">
        <v>26</v>
      </c>
      <c r="P8976">
        <v>58</v>
      </c>
      <c r="Q8976">
        <v>36.25</v>
      </c>
      <c r="R8976">
        <v>29</v>
      </c>
      <c r="S8976">
        <v>43.5</v>
      </c>
      <c r="T8976" t="s">
        <v>43309</v>
      </c>
    </row>
    <row r="8977" spans="1:20">
      <c r="A8977">
        <v>4795589</v>
      </c>
      <c r="B8977" t="s">
        <v>43310</v>
      </c>
      <c r="C8977" t="str">
        <f>"9780776602271"</f>
        <v>9780776602271</v>
      </c>
      <c r="D8977" t="str">
        <f>"9780776617015"</f>
        <v>9780776617015</v>
      </c>
      <c r="E8977" t="s">
        <v>43305</v>
      </c>
      <c r="F8977" t="s">
        <v>3342</v>
      </c>
      <c r="G8977" s="1">
        <v>36526</v>
      </c>
      <c r="J8977" t="s">
        <v>43311</v>
      </c>
      <c r="K8977" t="s">
        <v>1892</v>
      </c>
      <c r="M8977" t="s">
        <v>43312</v>
      </c>
      <c r="O8977" t="s">
        <v>26</v>
      </c>
      <c r="P8977">
        <v>32</v>
      </c>
      <c r="Q8977">
        <v>20</v>
      </c>
      <c r="R8977">
        <v>16</v>
      </c>
      <c r="S8977">
        <v>24</v>
      </c>
      <c r="T8977" t="s">
        <v>43313</v>
      </c>
    </row>
    <row r="8978" spans="1:20">
      <c r="A8978">
        <v>4795590</v>
      </c>
      <c r="B8978" t="s">
        <v>43314</v>
      </c>
      <c r="C8978" t="str">
        <f>"9780776603001"</f>
        <v>9780776603001</v>
      </c>
      <c r="D8978" t="str">
        <f>"9780776616575"</f>
        <v>9780776616575</v>
      </c>
      <c r="E8978" t="s">
        <v>43305</v>
      </c>
      <c r="F8978" t="s">
        <v>3342</v>
      </c>
      <c r="G8978" s="1">
        <v>36526</v>
      </c>
      <c r="J8978" t="s">
        <v>43315</v>
      </c>
      <c r="K8978" t="s">
        <v>1892</v>
      </c>
      <c r="M8978" t="s">
        <v>43316</v>
      </c>
      <c r="O8978" t="s">
        <v>26</v>
      </c>
      <c r="P8978">
        <v>38</v>
      </c>
      <c r="Q8978">
        <v>23.75</v>
      </c>
      <c r="R8978">
        <v>19</v>
      </c>
      <c r="S8978">
        <v>28.5</v>
      </c>
      <c r="T8978" t="s">
        <v>43317</v>
      </c>
    </row>
    <row r="8979" spans="1:20">
      <c r="A8979">
        <v>4795594</v>
      </c>
      <c r="B8979" t="s">
        <v>43318</v>
      </c>
      <c r="C8979" t="str">
        <f>"9780776604695"</f>
        <v>9780776604695</v>
      </c>
      <c r="D8979" t="str">
        <f>"9780776616087"</f>
        <v>9780776616087</v>
      </c>
      <c r="E8979" t="s">
        <v>43305</v>
      </c>
      <c r="F8979" t="s">
        <v>3342</v>
      </c>
      <c r="G8979" s="1">
        <v>36526</v>
      </c>
      <c r="H8979">
        <v>2</v>
      </c>
      <c r="J8979" t="s">
        <v>43319</v>
      </c>
      <c r="K8979" t="s">
        <v>4081</v>
      </c>
      <c r="M8979" t="s">
        <v>43320</v>
      </c>
      <c r="O8979" t="s">
        <v>26</v>
      </c>
      <c r="P8979">
        <v>76</v>
      </c>
      <c r="Q8979">
        <v>47.5</v>
      </c>
      <c r="R8979">
        <v>38</v>
      </c>
      <c r="S8979">
        <v>57</v>
      </c>
      <c r="T8979" t="s">
        <v>43321</v>
      </c>
    </row>
    <row r="8980" spans="1:20">
      <c r="A8980">
        <v>4795596</v>
      </c>
      <c r="B8980" t="s">
        <v>43322</v>
      </c>
      <c r="C8980" t="str">
        <f>"9780776603698"</f>
        <v>9780776603698</v>
      </c>
      <c r="D8980" t="str">
        <f>"9780776616063"</f>
        <v>9780776616063</v>
      </c>
      <c r="E8980" t="s">
        <v>43305</v>
      </c>
      <c r="F8980" t="s">
        <v>3342</v>
      </c>
      <c r="G8980" s="1">
        <v>36526</v>
      </c>
      <c r="J8980" t="s">
        <v>43323</v>
      </c>
      <c r="K8980" t="s">
        <v>263</v>
      </c>
      <c r="M8980" t="s">
        <v>43324</v>
      </c>
      <c r="O8980" t="s">
        <v>26</v>
      </c>
      <c r="P8980">
        <v>54</v>
      </c>
      <c r="Q8980">
        <v>33.75</v>
      </c>
      <c r="R8980">
        <v>27</v>
      </c>
      <c r="S8980">
        <v>40.5</v>
      </c>
      <c r="T8980" t="s">
        <v>43325</v>
      </c>
    </row>
    <row r="8981" spans="1:20">
      <c r="A8981">
        <v>4795598</v>
      </c>
      <c r="B8981" t="s">
        <v>43326</v>
      </c>
      <c r="C8981" t="str">
        <f>"9780776604022"</f>
        <v>9780776604022</v>
      </c>
      <c r="D8981" t="str">
        <f>"9780776617183"</f>
        <v>9780776617183</v>
      </c>
      <c r="E8981" t="s">
        <v>43305</v>
      </c>
      <c r="F8981" t="s">
        <v>3342</v>
      </c>
      <c r="G8981" s="1">
        <v>36526</v>
      </c>
      <c r="J8981" t="s">
        <v>4324</v>
      </c>
      <c r="K8981" t="s">
        <v>1892</v>
      </c>
      <c r="M8981" t="s">
        <v>43327</v>
      </c>
      <c r="O8981" t="s">
        <v>26</v>
      </c>
      <c r="P8981">
        <v>54</v>
      </c>
      <c r="Q8981">
        <v>33.75</v>
      </c>
      <c r="R8981">
        <v>27</v>
      </c>
      <c r="S8981">
        <v>40.5</v>
      </c>
      <c r="T8981" t="s">
        <v>43328</v>
      </c>
    </row>
    <row r="8982" spans="1:20">
      <c r="A8982">
        <v>4795603</v>
      </c>
      <c r="B8982" t="s">
        <v>43329</v>
      </c>
      <c r="C8982" t="str">
        <f>"9780776603902"</f>
        <v>9780776603902</v>
      </c>
      <c r="D8982" t="str">
        <f>"9780776616964"</f>
        <v>9780776616964</v>
      </c>
      <c r="E8982" t="s">
        <v>43305</v>
      </c>
      <c r="F8982" t="s">
        <v>3342</v>
      </c>
      <c r="G8982" s="1">
        <v>36526</v>
      </c>
      <c r="J8982" t="s">
        <v>43330</v>
      </c>
      <c r="K8982" t="s">
        <v>6444</v>
      </c>
      <c r="L8982" t="s">
        <v>43331</v>
      </c>
      <c r="M8982" t="s">
        <v>43332</v>
      </c>
      <c r="O8982" t="s">
        <v>26</v>
      </c>
      <c r="P8982">
        <v>56</v>
      </c>
      <c r="Q8982">
        <v>35</v>
      </c>
      <c r="R8982">
        <v>28</v>
      </c>
      <c r="S8982">
        <v>42</v>
      </c>
      <c r="T8982" t="s">
        <v>43333</v>
      </c>
    </row>
    <row r="8983" spans="1:20">
      <c r="A8983">
        <v>4795604</v>
      </c>
      <c r="B8983" t="s">
        <v>43334</v>
      </c>
      <c r="C8983" t="str">
        <f>"9782760300996"</f>
        <v>9782760300996</v>
      </c>
      <c r="D8983" t="str">
        <f>"9782760315358"</f>
        <v>9782760315358</v>
      </c>
      <c r="E8983" t="s">
        <v>43305</v>
      </c>
      <c r="F8983" t="s">
        <v>3361</v>
      </c>
      <c r="G8983" s="1">
        <v>36526</v>
      </c>
      <c r="J8983" t="s">
        <v>43335</v>
      </c>
      <c r="K8983" t="s">
        <v>1464</v>
      </c>
      <c r="M8983" t="s">
        <v>7820</v>
      </c>
      <c r="O8983" t="s">
        <v>94</v>
      </c>
      <c r="P8983">
        <v>38</v>
      </c>
      <c r="Q8983">
        <v>23.75</v>
      </c>
      <c r="R8983">
        <v>19</v>
      </c>
      <c r="S8983">
        <v>28.5</v>
      </c>
      <c r="T8983" t="s">
        <v>43336</v>
      </c>
    </row>
    <row r="8984" spans="1:20">
      <c r="A8984">
        <v>4795605</v>
      </c>
      <c r="B8984" t="s">
        <v>43337</v>
      </c>
      <c r="C8984" t="str">
        <f>"9782760301108"</f>
        <v>9782760301108</v>
      </c>
      <c r="D8984" t="str">
        <f>"9782760316188"</f>
        <v>9782760316188</v>
      </c>
      <c r="E8984" t="s">
        <v>43305</v>
      </c>
      <c r="F8984" t="s">
        <v>3361</v>
      </c>
      <c r="G8984" s="1">
        <v>36526</v>
      </c>
      <c r="J8984" t="s">
        <v>43338</v>
      </c>
      <c r="K8984" t="s">
        <v>7838</v>
      </c>
      <c r="M8984" t="s">
        <v>43339</v>
      </c>
      <c r="O8984" t="s">
        <v>94</v>
      </c>
      <c r="P8984">
        <v>70</v>
      </c>
      <c r="Q8984">
        <v>43.75</v>
      </c>
      <c r="R8984">
        <v>35</v>
      </c>
      <c r="S8984">
        <v>52.5</v>
      </c>
      <c r="T8984" t="s">
        <v>43340</v>
      </c>
    </row>
    <row r="8985" spans="1:20">
      <c r="A8985">
        <v>4795606</v>
      </c>
      <c r="B8985" t="s">
        <v>43341</v>
      </c>
      <c r="C8985" t="str">
        <f>"9782760301382"</f>
        <v>9782760301382</v>
      </c>
      <c r="D8985" t="str">
        <f>"9782760316300"</f>
        <v>9782760316300</v>
      </c>
      <c r="E8985" t="s">
        <v>43305</v>
      </c>
      <c r="F8985" t="s">
        <v>3361</v>
      </c>
      <c r="G8985" s="1">
        <v>36526</v>
      </c>
      <c r="J8985" t="s">
        <v>43342</v>
      </c>
      <c r="K8985" t="s">
        <v>1127</v>
      </c>
      <c r="M8985">
        <v>155.6</v>
      </c>
      <c r="O8985" t="s">
        <v>94</v>
      </c>
      <c r="P8985">
        <v>30</v>
      </c>
      <c r="Q8985">
        <v>18.75</v>
      </c>
      <c r="R8985">
        <v>15</v>
      </c>
      <c r="S8985">
        <v>22.5</v>
      </c>
      <c r="T8985" t="s">
        <v>43343</v>
      </c>
    </row>
    <row r="8986" spans="1:20">
      <c r="A8986">
        <v>4795607</v>
      </c>
      <c r="B8986" t="s">
        <v>43344</v>
      </c>
      <c r="C8986" t="str">
        <f>"9782760302730"</f>
        <v>9782760302730</v>
      </c>
      <c r="D8986" t="str">
        <f>"9782760315631"</f>
        <v>9782760315631</v>
      </c>
      <c r="E8986" t="s">
        <v>43305</v>
      </c>
      <c r="F8986" t="s">
        <v>3361</v>
      </c>
      <c r="G8986" s="1">
        <v>36526</v>
      </c>
      <c r="J8986" t="s">
        <v>43345</v>
      </c>
      <c r="K8986" t="s">
        <v>257</v>
      </c>
      <c r="M8986" t="s">
        <v>13747</v>
      </c>
      <c r="O8986" t="s">
        <v>94</v>
      </c>
      <c r="P8986">
        <v>48</v>
      </c>
      <c r="Q8986">
        <v>30</v>
      </c>
      <c r="R8986">
        <v>24</v>
      </c>
      <c r="S8986">
        <v>36</v>
      </c>
      <c r="T8986" t="s">
        <v>43346</v>
      </c>
    </row>
    <row r="8987" spans="1:20">
      <c r="A8987">
        <v>4795608</v>
      </c>
      <c r="B8987" t="s">
        <v>43347</v>
      </c>
      <c r="C8987" t="str">
        <f>"9782760303508"</f>
        <v>9782760303508</v>
      </c>
      <c r="D8987" t="str">
        <f>"9782760316522"</f>
        <v>9782760316522</v>
      </c>
      <c r="E8987" t="s">
        <v>43305</v>
      </c>
      <c r="F8987" t="s">
        <v>3361</v>
      </c>
      <c r="G8987" s="1">
        <v>36526</v>
      </c>
      <c r="J8987" t="s">
        <v>43348</v>
      </c>
      <c r="K8987" t="s">
        <v>1892</v>
      </c>
      <c r="M8987" t="s">
        <v>43349</v>
      </c>
      <c r="O8987" t="s">
        <v>94</v>
      </c>
      <c r="P8987">
        <v>50</v>
      </c>
      <c r="Q8987">
        <v>31.25</v>
      </c>
      <c r="R8987">
        <v>25</v>
      </c>
      <c r="S8987">
        <v>37.5</v>
      </c>
      <c r="T8987" t="s">
        <v>43350</v>
      </c>
    </row>
    <row r="8988" spans="1:20">
      <c r="A8988">
        <v>4795610</v>
      </c>
      <c r="B8988" t="s">
        <v>43351</v>
      </c>
      <c r="C8988" t="str">
        <f>"9782760303621"</f>
        <v>9782760303621</v>
      </c>
      <c r="D8988" t="str">
        <f>"9782760315662"</f>
        <v>9782760315662</v>
      </c>
      <c r="E8988" t="s">
        <v>43305</v>
      </c>
      <c r="F8988" t="s">
        <v>3361</v>
      </c>
      <c r="G8988" s="1">
        <v>36526</v>
      </c>
      <c r="J8988" t="s">
        <v>43345</v>
      </c>
      <c r="K8988" t="s">
        <v>257</v>
      </c>
      <c r="M8988" t="s">
        <v>13747</v>
      </c>
      <c r="O8988" t="s">
        <v>94</v>
      </c>
      <c r="P8988">
        <v>58</v>
      </c>
      <c r="Q8988">
        <v>36.25</v>
      </c>
      <c r="R8988">
        <v>29</v>
      </c>
      <c r="S8988">
        <v>43.5</v>
      </c>
      <c r="T8988" t="s">
        <v>43352</v>
      </c>
    </row>
    <row r="8989" spans="1:20">
      <c r="A8989">
        <v>4795611</v>
      </c>
      <c r="B8989" t="s">
        <v>43353</v>
      </c>
      <c r="C8989" t="str">
        <f>"9782760303706"</f>
        <v>9782760303706</v>
      </c>
      <c r="D8989" t="str">
        <f>"9782760316843"</f>
        <v>9782760316843</v>
      </c>
      <c r="E8989" t="s">
        <v>43305</v>
      </c>
      <c r="F8989" t="s">
        <v>3361</v>
      </c>
      <c r="G8989" s="1">
        <v>36526</v>
      </c>
      <c r="J8989" t="s">
        <v>43354</v>
      </c>
      <c r="K8989" t="s">
        <v>263</v>
      </c>
      <c r="M8989" t="s">
        <v>43355</v>
      </c>
      <c r="O8989" t="s">
        <v>94</v>
      </c>
      <c r="P8989">
        <v>54</v>
      </c>
      <c r="Q8989">
        <v>33.75</v>
      </c>
      <c r="R8989">
        <v>27</v>
      </c>
      <c r="S8989">
        <v>40.5</v>
      </c>
      <c r="T8989" t="s">
        <v>43356</v>
      </c>
    </row>
    <row r="8990" spans="1:20">
      <c r="A8990">
        <v>4795612</v>
      </c>
      <c r="B8990" t="s">
        <v>43357</v>
      </c>
      <c r="C8990" t="str">
        <f>"9782760303782"</f>
        <v>9782760303782</v>
      </c>
      <c r="D8990" t="str">
        <f>"9782760317390"</f>
        <v>9782760317390</v>
      </c>
      <c r="E8990" t="s">
        <v>43305</v>
      </c>
      <c r="F8990" t="s">
        <v>3361</v>
      </c>
      <c r="G8990" s="1">
        <v>36526</v>
      </c>
      <c r="J8990" t="s">
        <v>43358</v>
      </c>
      <c r="K8990" t="s">
        <v>263</v>
      </c>
      <c r="M8990" t="s">
        <v>43359</v>
      </c>
      <c r="O8990" t="s">
        <v>94</v>
      </c>
      <c r="P8990">
        <v>40</v>
      </c>
      <c r="Q8990">
        <v>25</v>
      </c>
      <c r="R8990">
        <v>20</v>
      </c>
      <c r="S8990">
        <v>30</v>
      </c>
      <c r="T8990" t="s">
        <v>43360</v>
      </c>
    </row>
    <row r="8991" spans="1:20">
      <c r="A8991">
        <v>4795613</v>
      </c>
      <c r="B8991" t="s">
        <v>43361</v>
      </c>
      <c r="C8991" t="str">
        <f>"9782760303799"</f>
        <v>9782760303799</v>
      </c>
      <c r="D8991" t="str">
        <f>"9782760316416"</f>
        <v>9782760316416</v>
      </c>
      <c r="E8991" t="s">
        <v>43305</v>
      </c>
      <c r="F8991" t="s">
        <v>3361</v>
      </c>
      <c r="G8991" s="1">
        <v>36526</v>
      </c>
      <c r="J8991" t="s">
        <v>43362</v>
      </c>
      <c r="K8991" t="s">
        <v>467</v>
      </c>
      <c r="M8991" t="s">
        <v>43363</v>
      </c>
      <c r="O8991" t="s">
        <v>94</v>
      </c>
      <c r="P8991">
        <v>64</v>
      </c>
      <c r="Q8991">
        <v>40</v>
      </c>
      <c r="R8991">
        <v>32</v>
      </c>
      <c r="S8991">
        <v>48</v>
      </c>
      <c r="T8991" t="s">
        <v>43364</v>
      </c>
    </row>
    <row r="8992" spans="1:20">
      <c r="A8992">
        <v>4795614</v>
      </c>
      <c r="B8992" t="s">
        <v>43365</v>
      </c>
      <c r="C8992" t="str">
        <f>"9782760304079"</f>
        <v>9782760304079</v>
      </c>
      <c r="D8992" t="str">
        <f>"9782760315877"</f>
        <v>9782760315877</v>
      </c>
      <c r="E8992" t="s">
        <v>43305</v>
      </c>
      <c r="F8992" t="s">
        <v>3361</v>
      </c>
      <c r="G8992" s="1">
        <v>36526</v>
      </c>
      <c r="J8992" t="s">
        <v>43366</v>
      </c>
      <c r="K8992" t="s">
        <v>291</v>
      </c>
      <c r="M8992" t="s">
        <v>43367</v>
      </c>
      <c r="O8992" t="s">
        <v>94</v>
      </c>
      <c r="P8992">
        <v>56</v>
      </c>
      <c r="Q8992">
        <v>35</v>
      </c>
      <c r="R8992">
        <v>28</v>
      </c>
      <c r="S8992">
        <v>42</v>
      </c>
      <c r="T8992" t="s">
        <v>43368</v>
      </c>
    </row>
    <row r="8993" spans="1:20">
      <c r="A8993">
        <v>4795616</v>
      </c>
      <c r="B8993" t="s">
        <v>43369</v>
      </c>
      <c r="C8993" t="str">
        <f>"9782760304123"</f>
        <v>9782760304123</v>
      </c>
      <c r="D8993" t="str">
        <f>"9782760316515"</f>
        <v>9782760316515</v>
      </c>
      <c r="E8993" t="s">
        <v>43305</v>
      </c>
      <c r="F8993" t="s">
        <v>3361</v>
      </c>
      <c r="G8993" s="1">
        <v>36526</v>
      </c>
      <c r="J8993" t="s">
        <v>33567</v>
      </c>
      <c r="K8993" t="s">
        <v>4081</v>
      </c>
      <c r="M8993" t="s">
        <v>43370</v>
      </c>
      <c r="O8993" t="s">
        <v>94</v>
      </c>
      <c r="P8993">
        <v>74</v>
      </c>
      <c r="Q8993">
        <v>46.25</v>
      </c>
      <c r="R8993">
        <v>37</v>
      </c>
      <c r="S8993">
        <v>55.5</v>
      </c>
      <c r="T8993" t="s">
        <v>43371</v>
      </c>
    </row>
    <row r="8994" spans="1:20">
      <c r="A8994">
        <v>4795617</v>
      </c>
      <c r="B8994" t="s">
        <v>43372</v>
      </c>
      <c r="C8994" t="str">
        <f>"9782760304536"</f>
        <v>9782760304536</v>
      </c>
      <c r="D8994" t="str">
        <f>"9782760315792"</f>
        <v>9782760315792</v>
      </c>
      <c r="E8994" t="s">
        <v>43305</v>
      </c>
      <c r="F8994" t="s">
        <v>3361</v>
      </c>
      <c r="G8994" s="1">
        <v>36526</v>
      </c>
      <c r="J8994" t="s">
        <v>16803</v>
      </c>
      <c r="K8994" t="s">
        <v>291</v>
      </c>
      <c r="M8994">
        <v>971</v>
      </c>
      <c r="O8994" t="s">
        <v>94</v>
      </c>
      <c r="P8994">
        <v>74</v>
      </c>
      <c r="Q8994">
        <v>46.25</v>
      </c>
      <c r="R8994">
        <v>37</v>
      </c>
      <c r="S8994">
        <v>55.5</v>
      </c>
      <c r="T8994" t="s">
        <v>43373</v>
      </c>
    </row>
    <row r="8995" spans="1:20">
      <c r="A8995">
        <v>4795619</v>
      </c>
      <c r="B8995" t="s">
        <v>43374</v>
      </c>
      <c r="C8995" t="str">
        <f>"9782760343856"</f>
        <v>9782760343856</v>
      </c>
      <c r="D8995" t="str">
        <f>"9780776617077"</f>
        <v>9780776617077</v>
      </c>
      <c r="E8995" t="s">
        <v>43305</v>
      </c>
      <c r="F8995" t="s">
        <v>3342</v>
      </c>
      <c r="G8995" s="1">
        <v>36526</v>
      </c>
      <c r="J8995" t="s">
        <v>43375</v>
      </c>
      <c r="K8995" t="s">
        <v>1464</v>
      </c>
      <c r="M8995" t="s">
        <v>15595</v>
      </c>
      <c r="O8995" t="s">
        <v>26</v>
      </c>
      <c r="P8995">
        <v>30</v>
      </c>
      <c r="Q8995">
        <v>18.75</v>
      </c>
      <c r="R8995">
        <v>15</v>
      </c>
      <c r="S8995">
        <v>22.5</v>
      </c>
      <c r="T8995" t="s">
        <v>43376</v>
      </c>
    </row>
    <row r="8996" spans="1:20">
      <c r="A8996">
        <v>4795620</v>
      </c>
      <c r="B8996" t="s">
        <v>43377</v>
      </c>
      <c r="C8996" t="str">
        <f>"9782760343870"</f>
        <v>9782760343870</v>
      </c>
      <c r="D8996" t="str">
        <f>"9780776617022"</f>
        <v>9780776617022</v>
      </c>
      <c r="E8996" t="s">
        <v>43305</v>
      </c>
      <c r="F8996" t="s">
        <v>3342</v>
      </c>
      <c r="G8996" s="1">
        <v>36526</v>
      </c>
      <c r="J8996" t="s">
        <v>4176</v>
      </c>
      <c r="O8996" t="s">
        <v>26</v>
      </c>
      <c r="P8996">
        <v>30</v>
      </c>
      <c r="Q8996">
        <v>18.75</v>
      </c>
      <c r="R8996">
        <v>15</v>
      </c>
      <c r="S8996">
        <v>22.5</v>
      </c>
      <c r="T8996" t="s">
        <v>43378</v>
      </c>
    </row>
    <row r="8997" spans="1:20">
      <c r="A8997">
        <v>4795622</v>
      </c>
      <c r="B8997" t="s">
        <v>43379</v>
      </c>
      <c r="C8997" t="str">
        <f>"9782760620261"</f>
        <v>9782760620261</v>
      </c>
      <c r="D8997" t="str">
        <f>"9782760624825"</f>
        <v>9782760624825</v>
      </c>
      <c r="E8997" t="s">
        <v>42231</v>
      </c>
      <c r="F8997" t="s">
        <v>42231</v>
      </c>
      <c r="G8997" s="1">
        <v>36526</v>
      </c>
      <c r="J8997" t="s">
        <v>43380</v>
      </c>
      <c r="K8997" t="s">
        <v>1859</v>
      </c>
      <c r="M8997">
        <v>170.23</v>
      </c>
      <c r="O8997" t="s">
        <v>94</v>
      </c>
      <c r="P8997">
        <v>9.9499999999999993</v>
      </c>
      <c r="Q8997">
        <v>12.44</v>
      </c>
      <c r="R8997">
        <v>9.9499999999999993</v>
      </c>
      <c r="S8997">
        <v>14.93</v>
      </c>
      <c r="T8997" t="s">
        <v>43381</v>
      </c>
    </row>
    <row r="8998" spans="1:20">
      <c r="A8998">
        <v>4795623</v>
      </c>
      <c r="B8998" t="s">
        <v>43382</v>
      </c>
      <c r="C8998" t="str">
        <f>"9782760620056"</f>
        <v>9782760620056</v>
      </c>
      <c r="D8998" t="str">
        <f>"9782760624832"</f>
        <v>9782760624832</v>
      </c>
      <c r="E8998" t="s">
        <v>42231</v>
      </c>
      <c r="F8998" t="s">
        <v>42231</v>
      </c>
      <c r="G8998" s="1">
        <v>36526</v>
      </c>
      <c r="J8998" t="s">
        <v>43383</v>
      </c>
      <c r="K8998" t="s">
        <v>16769</v>
      </c>
      <c r="M8998" t="s">
        <v>43384</v>
      </c>
      <c r="O8998" t="s">
        <v>94</v>
      </c>
      <c r="P8998">
        <v>9.9499999999999993</v>
      </c>
      <c r="Q8998">
        <v>12.44</v>
      </c>
      <c r="R8998">
        <v>9.9499999999999993</v>
      </c>
      <c r="S8998">
        <v>14.93</v>
      </c>
      <c r="T8998" t="s">
        <v>43385</v>
      </c>
    </row>
    <row r="8999" spans="1:20">
      <c r="A8999">
        <v>4795626</v>
      </c>
      <c r="B8999" t="s">
        <v>43386</v>
      </c>
      <c r="C8999" t="str">
        <f>"9782760617643"</f>
        <v>9782760617643</v>
      </c>
      <c r="D8999" t="str">
        <f>"9782760623255"</f>
        <v>9782760623255</v>
      </c>
      <c r="E8999" t="s">
        <v>42231</v>
      </c>
      <c r="F8999" t="s">
        <v>42231</v>
      </c>
      <c r="G8999" s="1">
        <v>36526</v>
      </c>
      <c r="J8999" t="s">
        <v>43387</v>
      </c>
      <c r="K8999" t="s">
        <v>3994</v>
      </c>
      <c r="M8999" t="s">
        <v>43388</v>
      </c>
      <c r="O8999" t="s">
        <v>94</v>
      </c>
      <c r="P8999">
        <v>29.95</v>
      </c>
      <c r="Q8999">
        <v>37.44</v>
      </c>
      <c r="R8999">
        <v>29.95</v>
      </c>
      <c r="S8999">
        <v>44.93</v>
      </c>
      <c r="T8999" t="s">
        <v>43389</v>
      </c>
    </row>
    <row r="9000" spans="1:20">
      <c r="A9000">
        <v>4795628</v>
      </c>
      <c r="B9000" t="s">
        <v>43390</v>
      </c>
      <c r="C9000" t="str">
        <f>"9782760618183"</f>
        <v>9782760618183</v>
      </c>
      <c r="D9000" t="str">
        <f>"9782760623484"</f>
        <v>9782760623484</v>
      </c>
      <c r="E9000" t="s">
        <v>42231</v>
      </c>
      <c r="F9000" t="s">
        <v>42231</v>
      </c>
      <c r="G9000" s="1">
        <v>36526</v>
      </c>
      <c r="I9000" t="s">
        <v>42829</v>
      </c>
      <c r="J9000" t="s">
        <v>43391</v>
      </c>
      <c r="K9000" t="s">
        <v>12285</v>
      </c>
      <c r="M9000">
        <v>511.3</v>
      </c>
      <c r="O9000" t="s">
        <v>94</v>
      </c>
      <c r="P9000">
        <v>29.95</v>
      </c>
      <c r="Q9000">
        <v>37.44</v>
      </c>
      <c r="R9000">
        <v>29.95</v>
      </c>
      <c r="S9000">
        <v>44.93</v>
      </c>
      <c r="T9000" t="s">
        <v>43392</v>
      </c>
    </row>
    <row r="9001" spans="1:20">
      <c r="A9001">
        <v>4795630</v>
      </c>
      <c r="B9001" t="s">
        <v>43393</v>
      </c>
      <c r="C9001" t="str">
        <f>"9782760620032"</f>
        <v>9782760620032</v>
      </c>
      <c r="D9001" t="str">
        <f>"9782760624795"</f>
        <v>9782760624795</v>
      </c>
      <c r="E9001" t="s">
        <v>42231</v>
      </c>
      <c r="F9001" t="s">
        <v>42231</v>
      </c>
      <c r="G9001" s="1">
        <v>36526</v>
      </c>
      <c r="J9001" t="s">
        <v>13193</v>
      </c>
      <c r="K9001" t="s">
        <v>1859</v>
      </c>
      <c r="M9001">
        <v>101</v>
      </c>
      <c r="O9001" t="s">
        <v>94</v>
      </c>
      <c r="P9001">
        <v>9.9499999999999993</v>
      </c>
      <c r="Q9001">
        <v>12.44</v>
      </c>
      <c r="R9001">
        <v>9.9499999999999993</v>
      </c>
      <c r="S9001">
        <v>14.93</v>
      </c>
      <c r="T9001" t="s">
        <v>43394</v>
      </c>
    </row>
    <row r="9002" spans="1:20">
      <c r="A9002">
        <v>4795631</v>
      </c>
      <c r="B9002" t="s">
        <v>43395</v>
      </c>
      <c r="C9002" t="str">
        <f>"9782760618213"</f>
        <v>9782760618213</v>
      </c>
      <c r="D9002" t="str">
        <f>"9782760623545"</f>
        <v>9782760623545</v>
      </c>
      <c r="E9002" t="s">
        <v>42231</v>
      </c>
      <c r="F9002" t="s">
        <v>42231</v>
      </c>
      <c r="G9002" s="1">
        <v>36526</v>
      </c>
      <c r="J9002" t="s">
        <v>43396</v>
      </c>
      <c r="K9002" t="s">
        <v>1464</v>
      </c>
      <c r="M9002" t="s">
        <v>43397</v>
      </c>
      <c r="O9002" t="s">
        <v>94</v>
      </c>
      <c r="P9002">
        <v>24.95</v>
      </c>
      <c r="Q9002">
        <v>31.19</v>
      </c>
      <c r="R9002">
        <v>24.95</v>
      </c>
      <c r="S9002">
        <v>37.43</v>
      </c>
      <c r="T9002" t="s">
        <v>43398</v>
      </c>
    </row>
    <row r="9003" spans="1:20">
      <c r="A9003">
        <v>4795635</v>
      </c>
      <c r="B9003" t="s">
        <v>43399</v>
      </c>
      <c r="C9003" t="str">
        <f>"9782760618657"</f>
        <v>9782760618657</v>
      </c>
      <c r="D9003" t="str">
        <f>"9782760623972"</f>
        <v>9782760623972</v>
      </c>
      <c r="E9003" t="s">
        <v>42231</v>
      </c>
      <c r="F9003" t="s">
        <v>42231</v>
      </c>
      <c r="G9003" s="1">
        <v>36526</v>
      </c>
      <c r="I9003" t="s">
        <v>42829</v>
      </c>
      <c r="J9003" t="s">
        <v>43400</v>
      </c>
      <c r="K9003" t="s">
        <v>263</v>
      </c>
      <c r="M9003">
        <v>363.2</v>
      </c>
      <c r="O9003" t="s">
        <v>94</v>
      </c>
      <c r="P9003">
        <v>39.950000000000003</v>
      </c>
      <c r="Q9003">
        <v>49.94</v>
      </c>
      <c r="R9003">
        <v>39.950000000000003</v>
      </c>
      <c r="S9003">
        <v>59.93</v>
      </c>
      <c r="T9003" t="s">
        <v>43401</v>
      </c>
    </row>
    <row r="9004" spans="1:20">
      <c r="A9004">
        <v>4795639</v>
      </c>
      <c r="B9004" t="s">
        <v>43402</v>
      </c>
      <c r="C9004" t="str">
        <f>"9782760620285"</f>
        <v>9782760620285</v>
      </c>
      <c r="D9004" t="str">
        <f>"9782760624757"</f>
        <v>9782760624757</v>
      </c>
      <c r="E9004" t="s">
        <v>42231</v>
      </c>
      <c r="F9004" t="s">
        <v>42231</v>
      </c>
      <c r="G9004" s="1">
        <v>42034</v>
      </c>
      <c r="J9004" t="s">
        <v>43403</v>
      </c>
      <c r="K9004" t="s">
        <v>263</v>
      </c>
      <c r="M9004">
        <v>364.02300000000002</v>
      </c>
      <c r="O9004" t="s">
        <v>94</v>
      </c>
      <c r="P9004">
        <v>9.9499999999999993</v>
      </c>
      <c r="Q9004">
        <v>12.44</v>
      </c>
      <c r="R9004">
        <v>9.9499999999999993</v>
      </c>
      <c r="S9004">
        <v>14.93</v>
      </c>
      <c r="T9004" t="s">
        <v>43404</v>
      </c>
    </row>
    <row r="9005" spans="1:20">
      <c r="A9005">
        <v>4795640</v>
      </c>
      <c r="B9005" t="s">
        <v>43405</v>
      </c>
      <c r="C9005" t="str">
        <f>"9782760618435"</f>
        <v>9782760618435</v>
      </c>
      <c r="D9005" t="str">
        <f>"9782760623866"</f>
        <v>9782760623866</v>
      </c>
      <c r="E9005" t="s">
        <v>42231</v>
      </c>
      <c r="F9005" t="s">
        <v>42231</v>
      </c>
      <c r="G9005" s="1">
        <v>36526</v>
      </c>
      <c r="J9005" t="s">
        <v>43406</v>
      </c>
      <c r="K9005" t="s">
        <v>10568</v>
      </c>
      <c r="M9005" t="s">
        <v>43407</v>
      </c>
      <c r="O9005" t="s">
        <v>94</v>
      </c>
      <c r="P9005">
        <v>125</v>
      </c>
      <c r="Q9005">
        <v>156.25</v>
      </c>
      <c r="R9005">
        <v>125</v>
      </c>
      <c r="S9005">
        <v>187.5</v>
      </c>
      <c r="T9005" t="s">
        <v>43408</v>
      </c>
    </row>
    <row r="9006" spans="1:20">
      <c r="A9006">
        <v>4795641</v>
      </c>
      <c r="B9006" t="s">
        <v>43409</v>
      </c>
      <c r="C9006" t="str">
        <f>"9782760619807"</f>
        <v>9782760619807</v>
      </c>
      <c r="D9006" t="str">
        <f>"9782760624689"</f>
        <v>9782760624689</v>
      </c>
      <c r="E9006" t="s">
        <v>42231</v>
      </c>
      <c r="F9006" t="s">
        <v>42231</v>
      </c>
      <c r="G9006" s="1">
        <v>36526</v>
      </c>
      <c r="J9006" t="s">
        <v>43410</v>
      </c>
      <c r="K9006" t="s">
        <v>22527</v>
      </c>
      <c r="M9006" t="s">
        <v>43411</v>
      </c>
      <c r="O9006" t="s">
        <v>94</v>
      </c>
      <c r="P9006">
        <v>34.950000000000003</v>
      </c>
      <c r="Q9006">
        <v>43.69</v>
      </c>
      <c r="R9006">
        <v>34.950000000000003</v>
      </c>
      <c r="S9006">
        <v>52.43</v>
      </c>
      <c r="T9006" t="s">
        <v>43412</v>
      </c>
    </row>
    <row r="9007" spans="1:20">
      <c r="A9007">
        <v>4795649</v>
      </c>
      <c r="B9007" t="s">
        <v>43413</v>
      </c>
      <c r="C9007" t="str">
        <f>"9782760618589"</f>
        <v>9782760618589</v>
      </c>
      <c r="D9007" t="str">
        <f>"9782760624160"</f>
        <v>9782760624160</v>
      </c>
      <c r="E9007" t="s">
        <v>42231</v>
      </c>
      <c r="F9007" t="s">
        <v>42231</v>
      </c>
      <c r="G9007" s="1">
        <v>36526</v>
      </c>
      <c r="H9007">
        <v>3</v>
      </c>
      <c r="I9007" t="s">
        <v>42829</v>
      </c>
      <c r="K9007" t="s">
        <v>263</v>
      </c>
      <c r="M9007">
        <v>364.97140000000002</v>
      </c>
      <c r="O9007" t="s">
        <v>94</v>
      </c>
      <c r="P9007">
        <v>49.95</v>
      </c>
      <c r="Q9007">
        <v>62.44</v>
      </c>
      <c r="R9007">
        <v>49.95</v>
      </c>
      <c r="S9007">
        <v>74.930000000000007</v>
      </c>
      <c r="T9007" t="s">
        <v>43414</v>
      </c>
    </row>
    <row r="9008" spans="1:20">
      <c r="A9008">
        <v>4795651</v>
      </c>
      <c r="B9008" t="s">
        <v>43415</v>
      </c>
      <c r="C9008" t="str">
        <f>"9782760620049"</f>
        <v>9782760620049</v>
      </c>
      <c r="D9008" t="str">
        <f>"9782760624467"</f>
        <v>9782760624467</v>
      </c>
      <c r="E9008" t="s">
        <v>42231</v>
      </c>
      <c r="F9008" t="s">
        <v>42231</v>
      </c>
      <c r="G9008" s="1">
        <v>36526</v>
      </c>
      <c r="J9008" t="s">
        <v>43416</v>
      </c>
      <c r="K9008" t="s">
        <v>4081</v>
      </c>
      <c r="M9008">
        <v>413.02800000000002</v>
      </c>
      <c r="O9008" t="s">
        <v>94</v>
      </c>
      <c r="P9008">
        <v>9.9499999999999993</v>
      </c>
      <c r="Q9008">
        <v>12.44</v>
      </c>
      <c r="R9008">
        <v>9.9499999999999993</v>
      </c>
      <c r="S9008">
        <v>14.93</v>
      </c>
      <c r="T9008" t="s">
        <v>43417</v>
      </c>
    </row>
    <row r="9009" spans="1:20">
      <c r="A9009">
        <v>4795654</v>
      </c>
      <c r="B9009" t="s">
        <v>43418</v>
      </c>
      <c r="C9009" t="str">
        <f>"9782760620278"</f>
        <v>9782760620278</v>
      </c>
      <c r="D9009" t="str">
        <f>"9782760624849"</f>
        <v>9782760624849</v>
      </c>
      <c r="E9009" t="s">
        <v>42231</v>
      </c>
      <c r="F9009" t="s">
        <v>42231</v>
      </c>
      <c r="G9009" s="1">
        <v>36526</v>
      </c>
      <c r="J9009" t="s">
        <v>33604</v>
      </c>
      <c r="K9009" t="s">
        <v>291</v>
      </c>
      <c r="M9009">
        <v>951.00720000000001</v>
      </c>
      <c r="O9009" t="s">
        <v>94</v>
      </c>
      <c r="P9009">
        <v>9.9499999999999993</v>
      </c>
      <c r="Q9009">
        <v>12.44</v>
      </c>
      <c r="R9009">
        <v>9.9499999999999993</v>
      </c>
      <c r="S9009">
        <v>14.93</v>
      </c>
      <c r="T9009" t="s">
        <v>43419</v>
      </c>
    </row>
    <row r="9010" spans="1:20">
      <c r="A9010">
        <v>4795656</v>
      </c>
      <c r="B9010" t="s">
        <v>43420</v>
      </c>
      <c r="C9010" t="str">
        <f>"9782760620223"</f>
        <v>9782760620223</v>
      </c>
      <c r="D9010" t="str">
        <f>"9782760624504"</f>
        <v>9782760624504</v>
      </c>
      <c r="E9010" t="s">
        <v>42231</v>
      </c>
      <c r="F9010" t="s">
        <v>42231</v>
      </c>
      <c r="G9010" s="1">
        <v>36526</v>
      </c>
      <c r="J9010" t="s">
        <v>42747</v>
      </c>
      <c r="K9010" t="s">
        <v>467</v>
      </c>
      <c r="M9010">
        <v>327</v>
      </c>
      <c r="O9010" t="s">
        <v>94</v>
      </c>
      <c r="P9010">
        <v>29.95</v>
      </c>
      <c r="Q9010">
        <v>37.44</v>
      </c>
      <c r="R9010">
        <v>29.95</v>
      </c>
      <c r="S9010">
        <v>44.93</v>
      </c>
      <c r="T9010" t="s">
        <v>43421</v>
      </c>
    </row>
    <row r="9011" spans="1:20">
      <c r="A9011">
        <v>4795660</v>
      </c>
      <c r="B9011" t="s">
        <v>43422</v>
      </c>
      <c r="C9011" t="str">
        <f>"9782760509962"</f>
        <v>9782760509962</v>
      </c>
      <c r="D9011" t="str">
        <f>"9782760521438"</f>
        <v>9782760521438</v>
      </c>
      <c r="E9011" t="s">
        <v>43423</v>
      </c>
      <c r="F9011" t="s">
        <v>33376</v>
      </c>
      <c r="G9011" s="1">
        <v>36526</v>
      </c>
      <c r="H9011">
        <v>2</v>
      </c>
      <c r="J9011" t="s">
        <v>43424</v>
      </c>
      <c r="K9011" t="s">
        <v>2260</v>
      </c>
      <c r="M9011" t="s">
        <v>43425</v>
      </c>
      <c r="O9011" t="s">
        <v>94</v>
      </c>
      <c r="P9011">
        <v>75</v>
      </c>
      <c r="Q9011">
        <v>93.75</v>
      </c>
      <c r="R9011">
        <v>75</v>
      </c>
      <c r="S9011">
        <v>112.5</v>
      </c>
      <c r="T9011" t="s">
        <v>43426</v>
      </c>
    </row>
    <row r="9012" spans="1:20">
      <c r="A9012">
        <v>4795662</v>
      </c>
      <c r="B9012" t="s">
        <v>43427</v>
      </c>
      <c r="C9012" t="str">
        <f>"9782760514881"</f>
        <v>9782760514881</v>
      </c>
      <c r="D9012" t="str">
        <f>"9782760521858"</f>
        <v>9782760521858</v>
      </c>
      <c r="E9012" t="s">
        <v>43423</v>
      </c>
      <c r="F9012" t="s">
        <v>33376</v>
      </c>
      <c r="G9012" s="1">
        <v>36526</v>
      </c>
      <c r="J9012" t="s">
        <v>43428</v>
      </c>
      <c r="K9012" t="s">
        <v>1471</v>
      </c>
      <c r="M9012" t="s">
        <v>43429</v>
      </c>
      <c r="O9012" t="s">
        <v>94</v>
      </c>
      <c r="P9012">
        <v>38</v>
      </c>
      <c r="Q9012">
        <v>47.5</v>
      </c>
      <c r="R9012">
        <v>38</v>
      </c>
      <c r="S9012">
        <v>57</v>
      </c>
      <c r="T9012" t="s">
        <v>43430</v>
      </c>
    </row>
    <row r="9013" spans="1:20">
      <c r="A9013">
        <v>4795665</v>
      </c>
      <c r="B9013" t="s">
        <v>43431</v>
      </c>
      <c r="C9013" t="str">
        <f>"9782760509085"</f>
        <v>9782760509085</v>
      </c>
      <c r="D9013" t="str">
        <f>"9782760521278"</f>
        <v>9782760521278</v>
      </c>
      <c r="E9013" t="s">
        <v>43423</v>
      </c>
      <c r="F9013" t="s">
        <v>33376</v>
      </c>
      <c r="G9013" s="1">
        <v>36526</v>
      </c>
      <c r="J9013" t="s">
        <v>43432</v>
      </c>
      <c r="K9013" t="s">
        <v>305</v>
      </c>
      <c r="M9013" t="s">
        <v>43433</v>
      </c>
      <c r="O9013" t="s">
        <v>94</v>
      </c>
      <c r="P9013">
        <v>32</v>
      </c>
      <c r="Q9013">
        <v>40</v>
      </c>
      <c r="R9013">
        <v>32</v>
      </c>
      <c r="S9013">
        <v>48</v>
      </c>
      <c r="T9013" t="s">
        <v>43434</v>
      </c>
    </row>
    <row r="9014" spans="1:20">
      <c r="A9014">
        <v>4795667</v>
      </c>
      <c r="B9014" t="s">
        <v>43435</v>
      </c>
      <c r="C9014" t="str">
        <f>"9782760510159"</f>
        <v>9782760510159</v>
      </c>
      <c r="D9014" t="str">
        <f>"9782760516175"</f>
        <v>9782760516175</v>
      </c>
      <c r="E9014" t="s">
        <v>43423</v>
      </c>
      <c r="F9014" t="s">
        <v>33376</v>
      </c>
      <c r="G9014" s="1">
        <v>36526</v>
      </c>
      <c r="H9014">
        <v>2</v>
      </c>
      <c r="J9014" t="s">
        <v>43436</v>
      </c>
      <c r="K9014" t="s">
        <v>1471</v>
      </c>
      <c r="M9014" t="s">
        <v>43437</v>
      </c>
      <c r="O9014" t="s">
        <v>94</v>
      </c>
      <c r="P9014">
        <v>60</v>
      </c>
      <c r="Q9014">
        <v>75</v>
      </c>
      <c r="R9014">
        <v>60</v>
      </c>
      <c r="S9014">
        <v>90</v>
      </c>
      <c r="T9014" t="s">
        <v>43438</v>
      </c>
    </row>
    <row r="9015" spans="1:20">
      <c r="A9015">
        <v>4795668</v>
      </c>
      <c r="B9015" t="s">
        <v>43439</v>
      </c>
      <c r="C9015" t="str">
        <f>"9782760510722"</f>
        <v>9782760510722</v>
      </c>
      <c r="D9015" t="str">
        <f>"9782760516502"</f>
        <v>9782760516502</v>
      </c>
      <c r="E9015" t="s">
        <v>43423</v>
      </c>
      <c r="F9015" t="s">
        <v>33376</v>
      </c>
      <c r="G9015" s="1">
        <v>36526</v>
      </c>
      <c r="J9015" t="s">
        <v>43440</v>
      </c>
      <c r="K9015" t="s">
        <v>31967</v>
      </c>
      <c r="M9015" t="s">
        <v>43441</v>
      </c>
      <c r="O9015" t="s">
        <v>94</v>
      </c>
      <c r="P9015">
        <v>40</v>
      </c>
      <c r="Q9015">
        <v>50</v>
      </c>
      <c r="R9015">
        <v>40</v>
      </c>
      <c r="S9015">
        <v>60</v>
      </c>
      <c r="T9015" t="s">
        <v>43442</v>
      </c>
    </row>
    <row r="9016" spans="1:20">
      <c r="A9016">
        <v>4795669</v>
      </c>
      <c r="B9016" t="s">
        <v>43443</v>
      </c>
      <c r="C9016" t="str">
        <f>"9782760510517"</f>
        <v>9782760510517</v>
      </c>
      <c r="D9016" t="str">
        <f>"9782760516380"</f>
        <v>9782760516380</v>
      </c>
      <c r="E9016" t="s">
        <v>43423</v>
      </c>
      <c r="F9016" t="s">
        <v>33376</v>
      </c>
      <c r="G9016" s="1">
        <v>36526</v>
      </c>
      <c r="J9016" t="s">
        <v>43444</v>
      </c>
      <c r="K9016" t="s">
        <v>305</v>
      </c>
      <c r="M9016" t="s">
        <v>43445</v>
      </c>
      <c r="O9016" t="s">
        <v>94</v>
      </c>
      <c r="P9016">
        <v>49</v>
      </c>
      <c r="Q9016">
        <v>61.25</v>
      </c>
      <c r="R9016">
        <v>49</v>
      </c>
      <c r="S9016">
        <v>73.5</v>
      </c>
      <c r="T9016" t="s">
        <v>43446</v>
      </c>
    </row>
    <row r="9017" spans="1:20">
      <c r="A9017">
        <v>4795672</v>
      </c>
      <c r="B9017" t="s">
        <v>43447</v>
      </c>
      <c r="C9017" t="str">
        <f>"9782760510913"</f>
        <v>9782760510913</v>
      </c>
      <c r="D9017" t="str">
        <f>"9782760516618"</f>
        <v>9782760516618</v>
      </c>
      <c r="E9017" t="s">
        <v>43423</v>
      </c>
      <c r="F9017" t="s">
        <v>33376</v>
      </c>
      <c r="G9017" s="1">
        <v>36526</v>
      </c>
      <c r="J9017" t="s">
        <v>43448</v>
      </c>
      <c r="K9017" t="s">
        <v>1127</v>
      </c>
      <c r="M9017" t="s">
        <v>43449</v>
      </c>
      <c r="O9017" t="s">
        <v>94</v>
      </c>
      <c r="P9017">
        <v>40</v>
      </c>
      <c r="Q9017">
        <v>50</v>
      </c>
      <c r="R9017">
        <v>40</v>
      </c>
      <c r="S9017">
        <v>60</v>
      </c>
      <c r="T9017" t="s">
        <v>43450</v>
      </c>
    </row>
    <row r="9018" spans="1:20">
      <c r="A9018">
        <v>4795678</v>
      </c>
      <c r="B9018" t="s">
        <v>43451</v>
      </c>
      <c r="C9018" t="str">
        <f>"9782760505650"</f>
        <v>9782760505650</v>
      </c>
      <c r="D9018" t="str">
        <f>"9782760523005"</f>
        <v>9782760523005</v>
      </c>
      <c r="E9018" t="s">
        <v>43423</v>
      </c>
      <c r="F9018" t="s">
        <v>33376</v>
      </c>
      <c r="G9018" s="1">
        <v>36526</v>
      </c>
      <c r="J9018" t="s">
        <v>43452</v>
      </c>
      <c r="K9018" t="s">
        <v>278</v>
      </c>
      <c r="M9018" t="s">
        <v>43453</v>
      </c>
      <c r="O9018" t="s">
        <v>94</v>
      </c>
      <c r="P9018">
        <v>38</v>
      </c>
      <c r="Q9018">
        <v>47.5</v>
      </c>
      <c r="R9018">
        <v>38</v>
      </c>
      <c r="S9018">
        <v>57</v>
      </c>
      <c r="T9018" t="s">
        <v>43454</v>
      </c>
    </row>
    <row r="9019" spans="1:20">
      <c r="A9019">
        <v>4795682</v>
      </c>
      <c r="B9019" t="s">
        <v>43455</v>
      </c>
      <c r="C9019" t="str">
        <f>"9782760508316"</f>
        <v>9782760508316</v>
      </c>
      <c r="D9019" t="str">
        <f>"9782760521155"</f>
        <v>9782760521155</v>
      </c>
      <c r="E9019" t="s">
        <v>43423</v>
      </c>
      <c r="F9019" t="s">
        <v>33376</v>
      </c>
      <c r="G9019" s="1">
        <v>36526</v>
      </c>
      <c r="J9019" t="s">
        <v>43456</v>
      </c>
      <c r="K9019" t="s">
        <v>263</v>
      </c>
      <c r="M9019" t="s">
        <v>43457</v>
      </c>
      <c r="O9019" t="s">
        <v>94</v>
      </c>
      <c r="P9019">
        <v>28</v>
      </c>
      <c r="Q9019">
        <v>35</v>
      </c>
      <c r="R9019">
        <v>28</v>
      </c>
      <c r="S9019">
        <v>42</v>
      </c>
      <c r="T9019" t="s">
        <v>43458</v>
      </c>
    </row>
    <row r="9020" spans="1:20">
      <c r="A9020">
        <v>4795683</v>
      </c>
      <c r="B9020" t="s">
        <v>43459</v>
      </c>
      <c r="C9020" t="str">
        <f>"9782760509917"</f>
        <v>9782760509917</v>
      </c>
      <c r="D9020" t="str">
        <f>"9782760521414"</f>
        <v>9782760521414</v>
      </c>
      <c r="E9020" t="s">
        <v>43423</v>
      </c>
      <c r="F9020" t="s">
        <v>33376</v>
      </c>
      <c r="G9020" s="1">
        <v>36526</v>
      </c>
      <c r="H9020">
        <v>2</v>
      </c>
      <c r="J9020" t="s">
        <v>43460</v>
      </c>
      <c r="K9020" t="s">
        <v>305</v>
      </c>
      <c r="M9020" t="s">
        <v>43461</v>
      </c>
      <c r="O9020" t="s">
        <v>94</v>
      </c>
      <c r="P9020">
        <v>50</v>
      </c>
      <c r="Q9020">
        <v>62.5</v>
      </c>
      <c r="R9020">
        <v>50</v>
      </c>
      <c r="S9020">
        <v>75</v>
      </c>
      <c r="T9020" t="s">
        <v>43462</v>
      </c>
    </row>
    <row r="9021" spans="1:20">
      <c r="A9021">
        <v>4795685</v>
      </c>
      <c r="B9021" t="s">
        <v>43463</v>
      </c>
      <c r="C9021" t="str">
        <f>"9782760506152"</f>
        <v>9782760506152</v>
      </c>
      <c r="D9021" t="str">
        <f>"9782760520790"</f>
        <v>9782760520790</v>
      </c>
      <c r="E9021" t="s">
        <v>43423</v>
      </c>
      <c r="F9021" t="s">
        <v>33376</v>
      </c>
      <c r="G9021" s="1">
        <v>36526</v>
      </c>
      <c r="J9021" t="s">
        <v>43464</v>
      </c>
      <c r="K9021" t="s">
        <v>10956</v>
      </c>
      <c r="M9021">
        <v>70.400000000000006</v>
      </c>
      <c r="O9021" t="s">
        <v>94</v>
      </c>
      <c r="P9021">
        <v>30</v>
      </c>
      <c r="Q9021">
        <v>37.5</v>
      </c>
      <c r="R9021">
        <v>30</v>
      </c>
      <c r="S9021">
        <v>45</v>
      </c>
      <c r="T9021" t="s">
        <v>43465</v>
      </c>
    </row>
    <row r="9022" spans="1:20">
      <c r="A9022">
        <v>4795686</v>
      </c>
      <c r="B9022" t="s">
        <v>43466</v>
      </c>
      <c r="C9022" t="str">
        <f>"9782760514577"</f>
        <v>9782760514577</v>
      </c>
      <c r="D9022" t="str">
        <f>"9782760521735"</f>
        <v>9782760521735</v>
      </c>
      <c r="E9022" t="s">
        <v>43423</v>
      </c>
      <c r="F9022" t="s">
        <v>33376</v>
      </c>
      <c r="G9022" s="1">
        <v>36526</v>
      </c>
      <c r="J9022" t="s">
        <v>43467</v>
      </c>
      <c r="K9022" t="s">
        <v>695</v>
      </c>
      <c r="M9022" t="s">
        <v>43468</v>
      </c>
      <c r="O9022" t="s">
        <v>94</v>
      </c>
      <c r="P9022">
        <v>49</v>
      </c>
      <c r="Q9022">
        <v>61.25</v>
      </c>
      <c r="R9022">
        <v>49</v>
      </c>
      <c r="S9022">
        <v>73.5</v>
      </c>
      <c r="T9022" t="s">
        <v>43469</v>
      </c>
    </row>
    <row r="9023" spans="1:20">
      <c r="A9023">
        <v>4795689</v>
      </c>
      <c r="B9023" t="s">
        <v>43470</v>
      </c>
      <c r="C9023" t="str">
        <f>"9782760512344"</f>
        <v>9782760512344</v>
      </c>
      <c r="D9023" t="str">
        <f>"9782760517509"</f>
        <v>9782760517509</v>
      </c>
      <c r="E9023" t="s">
        <v>43423</v>
      </c>
      <c r="F9023" t="s">
        <v>33376</v>
      </c>
      <c r="G9023" s="1">
        <v>36526</v>
      </c>
      <c r="J9023" t="s">
        <v>43471</v>
      </c>
      <c r="K9023" t="s">
        <v>1127</v>
      </c>
      <c r="M9023" t="s">
        <v>43472</v>
      </c>
      <c r="O9023" t="s">
        <v>94</v>
      </c>
      <c r="P9023">
        <v>29</v>
      </c>
      <c r="Q9023">
        <v>36.25</v>
      </c>
      <c r="R9023">
        <v>29</v>
      </c>
      <c r="S9023">
        <v>43.5</v>
      </c>
      <c r="T9023" t="s">
        <v>43473</v>
      </c>
    </row>
    <row r="9024" spans="1:20">
      <c r="A9024">
        <v>4795692</v>
      </c>
      <c r="B9024" t="s">
        <v>43474</v>
      </c>
      <c r="C9024" t="str">
        <f>"9782760511637"</f>
        <v>9782760511637</v>
      </c>
      <c r="D9024" t="str">
        <f>"9782760517035"</f>
        <v>9782760517035</v>
      </c>
      <c r="E9024" t="s">
        <v>43423</v>
      </c>
      <c r="F9024" t="s">
        <v>33376</v>
      </c>
      <c r="G9024" s="1">
        <v>36526</v>
      </c>
      <c r="J9024" t="s">
        <v>43475</v>
      </c>
      <c r="K9024" t="s">
        <v>16707</v>
      </c>
      <c r="M9024" t="s">
        <v>43476</v>
      </c>
      <c r="O9024" t="s">
        <v>94</v>
      </c>
      <c r="P9024">
        <v>49</v>
      </c>
      <c r="Q9024">
        <v>61.25</v>
      </c>
      <c r="R9024">
        <v>49</v>
      </c>
      <c r="S9024">
        <v>73.5</v>
      </c>
      <c r="T9024" t="s">
        <v>43477</v>
      </c>
    </row>
    <row r="9025" spans="1:20">
      <c r="A9025">
        <v>4795694</v>
      </c>
      <c r="B9025" t="s">
        <v>43478</v>
      </c>
      <c r="C9025" t="str">
        <f>"9782760510241"</f>
        <v>9782760510241</v>
      </c>
      <c r="D9025" t="str">
        <f>"9782760516243"</f>
        <v>9782760516243</v>
      </c>
      <c r="E9025" t="s">
        <v>43423</v>
      </c>
      <c r="F9025" t="s">
        <v>33376</v>
      </c>
      <c r="G9025" s="1">
        <v>36526</v>
      </c>
      <c r="J9025" t="s">
        <v>43479</v>
      </c>
      <c r="K9025" t="s">
        <v>1127</v>
      </c>
      <c r="M9025" t="s">
        <v>43480</v>
      </c>
      <c r="O9025" t="s">
        <v>94</v>
      </c>
      <c r="P9025">
        <v>28</v>
      </c>
      <c r="Q9025">
        <v>35</v>
      </c>
      <c r="R9025">
        <v>28</v>
      </c>
      <c r="S9025">
        <v>42</v>
      </c>
      <c r="T9025" t="s">
        <v>43481</v>
      </c>
    </row>
    <row r="9026" spans="1:20">
      <c r="A9026">
        <v>4795697</v>
      </c>
      <c r="B9026" t="s">
        <v>43482</v>
      </c>
      <c r="C9026" t="str">
        <f>"9782760511439"</f>
        <v>9782760511439</v>
      </c>
      <c r="D9026" t="str">
        <f>"9782760516885"</f>
        <v>9782760516885</v>
      </c>
      <c r="E9026" t="s">
        <v>43423</v>
      </c>
      <c r="F9026" t="s">
        <v>33376</v>
      </c>
      <c r="G9026" s="1">
        <v>36526</v>
      </c>
      <c r="J9026" t="s">
        <v>43483</v>
      </c>
      <c r="K9026" t="s">
        <v>1471</v>
      </c>
      <c r="M9026" t="s">
        <v>43484</v>
      </c>
      <c r="O9026" t="s">
        <v>94</v>
      </c>
      <c r="P9026">
        <v>16</v>
      </c>
      <c r="Q9026">
        <v>20</v>
      </c>
      <c r="R9026">
        <v>16</v>
      </c>
      <c r="S9026">
        <v>24</v>
      </c>
      <c r="T9026" t="s">
        <v>43485</v>
      </c>
    </row>
    <row r="9027" spans="1:20">
      <c r="A9027">
        <v>4795698</v>
      </c>
      <c r="B9027" t="s">
        <v>43486</v>
      </c>
      <c r="C9027" t="str">
        <f>"9782760510197"</f>
        <v>9782760510197</v>
      </c>
      <c r="D9027" t="str">
        <f>"9782760516205"</f>
        <v>9782760516205</v>
      </c>
      <c r="E9027" t="s">
        <v>43423</v>
      </c>
      <c r="F9027" t="s">
        <v>33376</v>
      </c>
      <c r="G9027" s="1">
        <v>36526</v>
      </c>
      <c r="H9027">
        <v>2</v>
      </c>
      <c r="J9027" t="s">
        <v>43487</v>
      </c>
      <c r="K9027" t="s">
        <v>278</v>
      </c>
      <c r="M9027">
        <v>336.3</v>
      </c>
      <c r="O9027" t="s">
        <v>94</v>
      </c>
      <c r="P9027">
        <v>19</v>
      </c>
      <c r="Q9027">
        <v>23.75</v>
      </c>
      <c r="R9027">
        <v>19</v>
      </c>
      <c r="S9027">
        <v>28.5</v>
      </c>
      <c r="T9027" t="s">
        <v>43488</v>
      </c>
    </row>
    <row r="9028" spans="1:20">
      <c r="A9028">
        <v>4795701</v>
      </c>
      <c r="B9028" t="s">
        <v>43489</v>
      </c>
      <c r="C9028" t="str">
        <f>"9782760511651"</f>
        <v>9782760511651</v>
      </c>
      <c r="D9028" t="str">
        <f>"9782760517042"</f>
        <v>9782760517042</v>
      </c>
      <c r="E9028" t="s">
        <v>43423</v>
      </c>
      <c r="F9028" t="s">
        <v>33376</v>
      </c>
      <c r="G9028" s="1">
        <v>36526</v>
      </c>
      <c r="J9028" t="s">
        <v>43490</v>
      </c>
      <c r="K9028" t="s">
        <v>305</v>
      </c>
      <c r="M9028">
        <v>659.2</v>
      </c>
      <c r="O9028" t="s">
        <v>94</v>
      </c>
      <c r="P9028">
        <v>39</v>
      </c>
      <c r="Q9028">
        <v>48.75</v>
      </c>
      <c r="R9028">
        <v>39</v>
      </c>
      <c r="S9028">
        <v>58.5</v>
      </c>
      <c r="T9028" t="s">
        <v>43491</v>
      </c>
    </row>
    <row r="9029" spans="1:20">
      <c r="A9029">
        <v>4795702</v>
      </c>
      <c r="B9029" t="s">
        <v>43492</v>
      </c>
      <c r="C9029" t="str">
        <f>"9782760512573"</f>
        <v>9782760512573</v>
      </c>
      <c r="D9029" t="str">
        <f>"9782760517622"</f>
        <v>9782760517622</v>
      </c>
      <c r="E9029" t="s">
        <v>43423</v>
      </c>
      <c r="F9029" t="s">
        <v>43423</v>
      </c>
      <c r="G9029" s="1">
        <v>36526</v>
      </c>
      <c r="J9029" t="s">
        <v>43493</v>
      </c>
      <c r="K9029" t="s">
        <v>1471</v>
      </c>
      <c r="M9029" t="s">
        <v>43494</v>
      </c>
      <c r="O9029" t="s">
        <v>94</v>
      </c>
      <c r="P9029">
        <v>43</v>
      </c>
      <c r="Q9029">
        <v>53.75</v>
      </c>
      <c r="R9029">
        <v>43</v>
      </c>
      <c r="S9029">
        <v>64.5</v>
      </c>
      <c r="T9029" t="s">
        <v>43495</v>
      </c>
    </row>
    <row r="9030" spans="1:20">
      <c r="A9030">
        <v>4795705</v>
      </c>
      <c r="B9030" t="s">
        <v>43496</v>
      </c>
      <c r="C9030" t="str">
        <f>"9782760513372"</f>
        <v>9782760513372</v>
      </c>
      <c r="D9030" t="str">
        <f>"9782760518292"</f>
        <v>9782760518292</v>
      </c>
      <c r="E9030" t="s">
        <v>43423</v>
      </c>
      <c r="F9030" t="s">
        <v>33376</v>
      </c>
      <c r="G9030" s="1">
        <v>36526</v>
      </c>
      <c r="J9030" t="s">
        <v>43497</v>
      </c>
      <c r="K9030" t="s">
        <v>416</v>
      </c>
      <c r="M9030" t="s">
        <v>43498</v>
      </c>
      <c r="O9030" t="s">
        <v>94</v>
      </c>
      <c r="P9030">
        <v>27</v>
      </c>
      <c r="Q9030">
        <v>33.75</v>
      </c>
      <c r="R9030">
        <v>27</v>
      </c>
      <c r="S9030">
        <v>40.5</v>
      </c>
      <c r="T9030" t="s">
        <v>43499</v>
      </c>
    </row>
    <row r="9031" spans="1:20">
      <c r="A9031">
        <v>4795706</v>
      </c>
      <c r="B9031" t="s">
        <v>43500</v>
      </c>
      <c r="C9031" t="str">
        <f>"9782760510593"</f>
        <v>9782760510593</v>
      </c>
      <c r="D9031" t="str">
        <f>"9782760516427"</f>
        <v>9782760516427</v>
      </c>
      <c r="E9031" t="s">
        <v>43423</v>
      </c>
      <c r="F9031" t="s">
        <v>33376</v>
      </c>
      <c r="G9031" s="1">
        <v>36526</v>
      </c>
      <c r="H9031">
        <v>2</v>
      </c>
      <c r="J9031" t="s">
        <v>43501</v>
      </c>
      <c r="K9031" t="s">
        <v>31967</v>
      </c>
      <c r="M9031" t="s">
        <v>43502</v>
      </c>
      <c r="O9031" t="s">
        <v>94</v>
      </c>
      <c r="P9031">
        <v>44</v>
      </c>
      <c r="Q9031">
        <v>55</v>
      </c>
      <c r="R9031">
        <v>44</v>
      </c>
      <c r="S9031">
        <v>66</v>
      </c>
      <c r="T9031" t="s">
        <v>43503</v>
      </c>
    </row>
    <row r="9032" spans="1:20">
      <c r="A9032">
        <v>4795709</v>
      </c>
      <c r="B9032" t="s">
        <v>43504</v>
      </c>
      <c r="C9032" t="str">
        <f>"9782760511279"</f>
        <v>9782760511279</v>
      </c>
      <c r="D9032" t="str">
        <f>"9782760516786"</f>
        <v>9782760516786</v>
      </c>
      <c r="E9032" t="s">
        <v>43423</v>
      </c>
      <c r="F9032" t="s">
        <v>33376</v>
      </c>
      <c r="G9032" s="1">
        <v>36526</v>
      </c>
      <c r="J9032" t="s">
        <v>43505</v>
      </c>
      <c r="K9032" t="s">
        <v>263</v>
      </c>
      <c r="M9032">
        <v>361.1</v>
      </c>
      <c r="O9032" t="s">
        <v>94</v>
      </c>
      <c r="P9032">
        <v>69</v>
      </c>
      <c r="Q9032">
        <v>86.25</v>
      </c>
      <c r="R9032">
        <v>69</v>
      </c>
      <c r="S9032">
        <v>103.5</v>
      </c>
      <c r="T9032" t="s">
        <v>43506</v>
      </c>
    </row>
    <row r="9033" spans="1:20">
      <c r="A9033">
        <v>4795711</v>
      </c>
      <c r="B9033" t="s">
        <v>43507</v>
      </c>
      <c r="C9033" t="str">
        <f>"9782760512153"</f>
        <v>9782760512153</v>
      </c>
      <c r="D9033" t="str">
        <f>"9782760517363"</f>
        <v>9782760517363</v>
      </c>
      <c r="E9033" t="s">
        <v>43423</v>
      </c>
      <c r="F9033" t="s">
        <v>33376</v>
      </c>
      <c r="G9033" s="1">
        <v>36526</v>
      </c>
      <c r="J9033" t="s">
        <v>43508</v>
      </c>
      <c r="K9033" t="s">
        <v>1859</v>
      </c>
      <c r="M9033">
        <v>174</v>
      </c>
      <c r="O9033" t="s">
        <v>94</v>
      </c>
      <c r="P9033">
        <v>30</v>
      </c>
      <c r="Q9033">
        <v>37.5</v>
      </c>
      <c r="R9033">
        <v>30</v>
      </c>
      <c r="S9033">
        <v>45</v>
      </c>
      <c r="T9033" t="s">
        <v>43509</v>
      </c>
    </row>
    <row r="9034" spans="1:20">
      <c r="A9034">
        <v>4795712</v>
      </c>
      <c r="B9034" t="s">
        <v>43510</v>
      </c>
      <c r="C9034" t="str">
        <f>"9782760514522"</f>
        <v>9782760514522</v>
      </c>
      <c r="D9034" t="str">
        <f>"9782760521711"</f>
        <v>9782760521711</v>
      </c>
      <c r="E9034" t="s">
        <v>43423</v>
      </c>
      <c r="F9034" t="s">
        <v>33376</v>
      </c>
      <c r="G9034" s="1">
        <v>36526</v>
      </c>
      <c r="J9034" t="s">
        <v>43511</v>
      </c>
      <c r="K9034" t="s">
        <v>2260</v>
      </c>
      <c r="M9034" t="s">
        <v>43512</v>
      </c>
      <c r="O9034" t="s">
        <v>94</v>
      </c>
      <c r="P9034">
        <v>27</v>
      </c>
      <c r="Q9034">
        <v>33.75</v>
      </c>
      <c r="R9034">
        <v>27</v>
      </c>
      <c r="S9034">
        <v>40.5</v>
      </c>
      <c r="T9034" t="s">
        <v>43513</v>
      </c>
    </row>
    <row r="9035" spans="1:20">
      <c r="A9035">
        <v>4795713</v>
      </c>
      <c r="B9035" t="s">
        <v>43514</v>
      </c>
      <c r="C9035" t="str">
        <f>"9782760512368"</f>
        <v>9782760512368</v>
      </c>
      <c r="D9035" t="str">
        <f>"9782760517516"</f>
        <v>9782760517516</v>
      </c>
      <c r="E9035" t="s">
        <v>43423</v>
      </c>
      <c r="F9035" t="s">
        <v>33376</v>
      </c>
      <c r="G9035" s="1">
        <v>36526</v>
      </c>
      <c r="J9035" t="s">
        <v>43515</v>
      </c>
      <c r="K9035" t="s">
        <v>467</v>
      </c>
      <c r="M9035" t="s">
        <v>31346</v>
      </c>
      <c r="O9035" t="s">
        <v>94</v>
      </c>
      <c r="P9035">
        <v>45</v>
      </c>
      <c r="Q9035">
        <v>56.25</v>
      </c>
      <c r="R9035">
        <v>45</v>
      </c>
      <c r="S9035">
        <v>67.5</v>
      </c>
      <c r="T9035" t="s">
        <v>43516</v>
      </c>
    </row>
    <row r="9036" spans="1:20">
      <c r="A9036">
        <v>4795718</v>
      </c>
      <c r="B9036" t="s">
        <v>43517</v>
      </c>
      <c r="C9036" t="str">
        <f>"9782760511620"</f>
        <v>9782760511620</v>
      </c>
      <c r="D9036" t="str">
        <f>"9782760517028"</f>
        <v>9782760517028</v>
      </c>
      <c r="E9036" t="s">
        <v>43423</v>
      </c>
      <c r="F9036" t="s">
        <v>33376</v>
      </c>
      <c r="G9036" s="1">
        <v>36526</v>
      </c>
      <c r="J9036" t="s">
        <v>43475</v>
      </c>
      <c r="K9036" t="s">
        <v>257</v>
      </c>
      <c r="M9036" t="s">
        <v>43518</v>
      </c>
      <c r="O9036" t="s">
        <v>94</v>
      </c>
      <c r="P9036">
        <v>49</v>
      </c>
      <c r="Q9036">
        <v>61.25</v>
      </c>
      <c r="R9036">
        <v>49</v>
      </c>
      <c r="S9036">
        <v>73.5</v>
      </c>
      <c r="T9036" t="s">
        <v>43519</v>
      </c>
    </row>
    <row r="9037" spans="1:20">
      <c r="A9037">
        <v>4795720</v>
      </c>
      <c r="B9037" t="s">
        <v>43520</v>
      </c>
      <c r="C9037" t="str">
        <f>"9782760510401"</f>
        <v>9782760510401</v>
      </c>
      <c r="D9037" t="str">
        <f>"9782760516342"</f>
        <v>9782760516342</v>
      </c>
      <c r="E9037" t="s">
        <v>43423</v>
      </c>
      <c r="F9037" t="s">
        <v>33376</v>
      </c>
      <c r="G9037" s="1">
        <v>36526</v>
      </c>
      <c r="J9037" t="s">
        <v>43521</v>
      </c>
      <c r="K9037" t="s">
        <v>2260</v>
      </c>
      <c r="M9037" t="s">
        <v>43522</v>
      </c>
      <c r="O9037" t="s">
        <v>94</v>
      </c>
      <c r="P9037">
        <v>69</v>
      </c>
      <c r="Q9037">
        <v>86.25</v>
      </c>
      <c r="R9037">
        <v>69</v>
      </c>
      <c r="S9037">
        <v>103.5</v>
      </c>
      <c r="T9037" t="s">
        <v>43523</v>
      </c>
    </row>
    <row r="9038" spans="1:20">
      <c r="A9038">
        <v>4795721</v>
      </c>
      <c r="B9038" t="s">
        <v>43524</v>
      </c>
      <c r="C9038" t="str">
        <f>"9782760514836"</f>
        <v>9782760514836</v>
      </c>
      <c r="D9038" t="str">
        <f>"9782760521834"</f>
        <v>9782760521834</v>
      </c>
      <c r="E9038" t="s">
        <v>43423</v>
      </c>
      <c r="F9038" t="s">
        <v>33376</v>
      </c>
      <c r="G9038" s="1">
        <v>36526</v>
      </c>
      <c r="J9038" t="s">
        <v>43525</v>
      </c>
      <c r="K9038" t="s">
        <v>1859</v>
      </c>
      <c r="M9038" t="s">
        <v>43526</v>
      </c>
      <c r="O9038" t="s">
        <v>94</v>
      </c>
      <c r="P9038">
        <v>25</v>
      </c>
      <c r="Q9038">
        <v>31.25</v>
      </c>
      <c r="R9038">
        <v>25</v>
      </c>
      <c r="S9038">
        <v>37.5</v>
      </c>
      <c r="T9038" t="s">
        <v>43527</v>
      </c>
    </row>
    <row r="9039" spans="1:20">
      <c r="A9039">
        <v>4795722</v>
      </c>
      <c r="B9039" t="s">
        <v>43528</v>
      </c>
      <c r="C9039" t="str">
        <f>"9782760512320"</f>
        <v>9782760512320</v>
      </c>
      <c r="D9039" t="str">
        <f>"9782760517493"</f>
        <v>9782760517493</v>
      </c>
      <c r="E9039" t="s">
        <v>43423</v>
      </c>
      <c r="F9039" t="s">
        <v>33376</v>
      </c>
      <c r="G9039" s="1">
        <v>36526</v>
      </c>
      <c r="J9039" t="s">
        <v>43529</v>
      </c>
      <c r="K9039" t="s">
        <v>305</v>
      </c>
      <c r="M9039" t="s">
        <v>43530</v>
      </c>
      <c r="O9039" t="s">
        <v>94</v>
      </c>
      <c r="P9039">
        <v>33</v>
      </c>
      <c r="Q9039">
        <v>41.25</v>
      </c>
      <c r="R9039">
        <v>33</v>
      </c>
      <c r="S9039">
        <v>49.5</v>
      </c>
      <c r="T9039" t="s">
        <v>43531</v>
      </c>
    </row>
    <row r="9040" spans="1:20">
      <c r="A9040">
        <v>4795723</v>
      </c>
      <c r="B9040" t="s">
        <v>43532</v>
      </c>
      <c r="C9040" t="str">
        <f>"9782760511231"</f>
        <v>9782760511231</v>
      </c>
      <c r="D9040" t="str">
        <f>"9782760516748"</f>
        <v>9782760516748</v>
      </c>
      <c r="E9040" t="s">
        <v>43423</v>
      </c>
      <c r="F9040" t="s">
        <v>33376</v>
      </c>
      <c r="G9040" s="1">
        <v>36526</v>
      </c>
      <c r="J9040" t="s">
        <v>43533</v>
      </c>
      <c r="K9040" t="s">
        <v>31967</v>
      </c>
      <c r="M9040" t="s">
        <v>43534</v>
      </c>
      <c r="O9040" t="s">
        <v>94</v>
      </c>
      <c r="P9040">
        <v>40</v>
      </c>
      <c r="Q9040">
        <v>50</v>
      </c>
      <c r="R9040">
        <v>40</v>
      </c>
      <c r="S9040">
        <v>60</v>
      </c>
      <c r="T9040" t="s">
        <v>43535</v>
      </c>
    </row>
    <row r="9041" spans="1:20">
      <c r="A9041">
        <v>4795730</v>
      </c>
      <c r="B9041" t="s">
        <v>43536</v>
      </c>
      <c r="C9041" t="str">
        <f>"9782760510333"</f>
        <v>9782760510333</v>
      </c>
      <c r="D9041" t="str">
        <f>"9782760516298"</f>
        <v>9782760516298</v>
      </c>
      <c r="E9041" t="s">
        <v>43423</v>
      </c>
      <c r="F9041" t="s">
        <v>33376</v>
      </c>
      <c r="G9041" s="1">
        <v>36526</v>
      </c>
      <c r="J9041" t="s">
        <v>43508</v>
      </c>
      <c r="K9041" t="s">
        <v>1859</v>
      </c>
      <c r="M9041">
        <v>174</v>
      </c>
      <c r="O9041" t="s">
        <v>94</v>
      </c>
      <c r="P9041">
        <v>32</v>
      </c>
      <c r="Q9041">
        <v>40</v>
      </c>
      <c r="R9041">
        <v>32</v>
      </c>
      <c r="S9041">
        <v>48</v>
      </c>
      <c r="T9041" t="s">
        <v>43537</v>
      </c>
    </row>
    <row r="9042" spans="1:20">
      <c r="A9042">
        <v>4795731</v>
      </c>
      <c r="B9042" t="s">
        <v>43538</v>
      </c>
      <c r="C9042" t="str">
        <f>"9782760510395"</f>
        <v>9782760510395</v>
      </c>
      <c r="D9042" t="str">
        <f>"9782760516335"</f>
        <v>9782760516335</v>
      </c>
      <c r="E9042" t="s">
        <v>43423</v>
      </c>
      <c r="F9042" t="s">
        <v>33376</v>
      </c>
      <c r="G9042" s="1">
        <v>36526</v>
      </c>
      <c r="J9042" t="s">
        <v>43521</v>
      </c>
      <c r="K9042" t="s">
        <v>2260</v>
      </c>
      <c r="M9042" t="s">
        <v>43522</v>
      </c>
      <c r="O9042" t="s">
        <v>94</v>
      </c>
      <c r="P9042">
        <v>61</v>
      </c>
      <c r="Q9042">
        <v>76.25</v>
      </c>
      <c r="R9042">
        <v>61</v>
      </c>
      <c r="S9042">
        <v>91.5</v>
      </c>
      <c r="T9042" t="s">
        <v>43539</v>
      </c>
    </row>
    <row r="9043" spans="1:20">
      <c r="A9043">
        <v>4795733</v>
      </c>
      <c r="B9043" t="s">
        <v>43540</v>
      </c>
      <c r="C9043" t="str">
        <f>"9782760509818"</f>
        <v>9782760509818</v>
      </c>
      <c r="D9043" t="str">
        <f>"9782760521377"</f>
        <v>9782760521377</v>
      </c>
      <c r="E9043" t="s">
        <v>43423</v>
      </c>
      <c r="F9043" t="s">
        <v>33376</v>
      </c>
      <c r="G9043" s="1">
        <v>36526</v>
      </c>
      <c r="J9043" t="s">
        <v>43541</v>
      </c>
      <c r="K9043" t="s">
        <v>305</v>
      </c>
      <c r="M9043" t="s">
        <v>43542</v>
      </c>
      <c r="O9043" t="s">
        <v>94</v>
      </c>
      <c r="P9043">
        <v>32</v>
      </c>
      <c r="Q9043">
        <v>40</v>
      </c>
      <c r="R9043">
        <v>32</v>
      </c>
      <c r="S9043">
        <v>48</v>
      </c>
      <c r="T9043" t="s">
        <v>43543</v>
      </c>
    </row>
    <row r="9044" spans="1:20">
      <c r="A9044">
        <v>4795734</v>
      </c>
      <c r="B9044" t="s">
        <v>43544</v>
      </c>
      <c r="C9044" t="str">
        <f>"9782760512184"</f>
        <v>9782760512184</v>
      </c>
      <c r="D9044" t="str">
        <f>"9782760517394"</f>
        <v>9782760517394</v>
      </c>
      <c r="E9044" t="s">
        <v>43423</v>
      </c>
      <c r="F9044" t="s">
        <v>33376</v>
      </c>
      <c r="G9044" s="1">
        <v>36526</v>
      </c>
      <c r="J9044" t="s">
        <v>33282</v>
      </c>
      <c r="K9044" t="s">
        <v>467</v>
      </c>
      <c r="M9044" t="s">
        <v>43545</v>
      </c>
      <c r="O9044" t="s">
        <v>94</v>
      </c>
      <c r="P9044">
        <v>37</v>
      </c>
      <c r="Q9044">
        <v>46.25</v>
      </c>
      <c r="R9044">
        <v>37</v>
      </c>
      <c r="S9044">
        <v>55.5</v>
      </c>
      <c r="T9044" t="s">
        <v>43546</v>
      </c>
    </row>
    <row r="9045" spans="1:20">
      <c r="A9045">
        <v>4795736</v>
      </c>
      <c r="B9045" t="s">
        <v>43547</v>
      </c>
      <c r="C9045" t="str">
        <f>"9782760512375"</f>
        <v>9782760512375</v>
      </c>
      <c r="D9045" t="str">
        <f>"9782760517523"</f>
        <v>9782760517523</v>
      </c>
      <c r="E9045" t="s">
        <v>43423</v>
      </c>
      <c r="F9045" t="s">
        <v>33376</v>
      </c>
      <c r="G9045" s="1">
        <v>36526</v>
      </c>
      <c r="J9045" t="s">
        <v>43548</v>
      </c>
      <c r="K9045" t="s">
        <v>257</v>
      </c>
      <c r="M9045" t="s">
        <v>43549</v>
      </c>
      <c r="O9045" t="s">
        <v>94</v>
      </c>
      <c r="P9045">
        <v>55</v>
      </c>
      <c r="Q9045">
        <v>68.75</v>
      </c>
      <c r="R9045">
        <v>55</v>
      </c>
      <c r="S9045">
        <v>82.5</v>
      </c>
      <c r="T9045" t="s">
        <v>43550</v>
      </c>
    </row>
    <row r="9046" spans="1:20">
      <c r="A9046">
        <v>4795737</v>
      </c>
      <c r="B9046" t="s">
        <v>43551</v>
      </c>
      <c r="C9046" t="str">
        <f>"9782760511965"</f>
        <v>9782760511965</v>
      </c>
      <c r="D9046" t="str">
        <f>"9782760517264"</f>
        <v>9782760517264</v>
      </c>
      <c r="E9046" t="s">
        <v>43423</v>
      </c>
      <c r="F9046" t="s">
        <v>43423</v>
      </c>
      <c r="G9046" s="1">
        <v>36526</v>
      </c>
      <c r="H9046">
        <v>3</v>
      </c>
      <c r="J9046" t="s">
        <v>43552</v>
      </c>
      <c r="K9046" t="s">
        <v>1127</v>
      </c>
      <c r="M9046">
        <v>152.30000000000001</v>
      </c>
      <c r="O9046" t="s">
        <v>94</v>
      </c>
      <c r="P9046">
        <v>79</v>
      </c>
      <c r="Q9046">
        <v>98.75</v>
      </c>
      <c r="R9046">
        <v>79</v>
      </c>
      <c r="S9046">
        <v>118.5</v>
      </c>
      <c r="T9046" t="s">
        <v>43553</v>
      </c>
    </row>
    <row r="9047" spans="1:20">
      <c r="A9047">
        <v>4795738</v>
      </c>
      <c r="B9047" t="s">
        <v>43554</v>
      </c>
      <c r="C9047" t="str">
        <f>"9782760512801"</f>
        <v>9782760512801</v>
      </c>
      <c r="D9047" t="str">
        <f>"9782760517820"</f>
        <v>9782760517820</v>
      </c>
      <c r="E9047" t="s">
        <v>43423</v>
      </c>
      <c r="F9047" t="s">
        <v>33376</v>
      </c>
      <c r="G9047" s="1">
        <v>36526</v>
      </c>
      <c r="J9047" t="s">
        <v>43555</v>
      </c>
      <c r="K9047" t="s">
        <v>257</v>
      </c>
      <c r="M9047" t="s">
        <v>43556</v>
      </c>
      <c r="O9047" t="s">
        <v>94</v>
      </c>
      <c r="P9047">
        <v>39</v>
      </c>
      <c r="Q9047">
        <v>48.75</v>
      </c>
      <c r="R9047">
        <v>39</v>
      </c>
      <c r="S9047">
        <v>58.5</v>
      </c>
      <c r="T9047" t="s">
        <v>43557</v>
      </c>
    </row>
    <row r="9048" spans="1:20">
      <c r="A9048">
        <v>4795739</v>
      </c>
      <c r="B9048" t="s">
        <v>43558</v>
      </c>
      <c r="C9048" t="str">
        <f>"9782760505070"</f>
        <v>9782760505070</v>
      </c>
      <c r="D9048" t="str">
        <f>"9782760520622"</f>
        <v>9782760520622</v>
      </c>
      <c r="E9048" t="s">
        <v>43423</v>
      </c>
      <c r="F9048" t="s">
        <v>33376</v>
      </c>
      <c r="G9048" s="1">
        <v>36526</v>
      </c>
      <c r="J9048" t="s">
        <v>43559</v>
      </c>
      <c r="K9048" t="s">
        <v>4081</v>
      </c>
      <c r="M9048" t="s">
        <v>43560</v>
      </c>
      <c r="O9048" t="s">
        <v>94</v>
      </c>
      <c r="P9048">
        <v>19</v>
      </c>
      <c r="Q9048">
        <v>23.75</v>
      </c>
      <c r="R9048">
        <v>19</v>
      </c>
      <c r="S9048">
        <v>28.5</v>
      </c>
      <c r="T9048" t="s">
        <v>43561</v>
      </c>
    </row>
    <row r="9049" spans="1:20">
      <c r="A9049">
        <v>4795743</v>
      </c>
      <c r="B9049" t="s">
        <v>43562</v>
      </c>
      <c r="C9049" t="str">
        <f>"9782760513747"</f>
        <v>9782760513747</v>
      </c>
      <c r="D9049" t="str">
        <f>"9782760521650"</f>
        <v>9782760521650</v>
      </c>
      <c r="E9049" t="s">
        <v>43423</v>
      </c>
      <c r="F9049" t="s">
        <v>33376</v>
      </c>
      <c r="G9049" s="1">
        <v>36526</v>
      </c>
      <c r="J9049" t="s">
        <v>43563</v>
      </c>
      <c r="K9049" t="s">
        <v>263</v>
      </c>
      <c r="M9049" t="s">
        <v>3097</v>
      </c>
      <c r="O9049" t="s">
        <v>94</v>
      </c>
      <c r="P9049">
        <v>42</v>
      </c>
      <c r="Q9049">
        <v>52.5</v>
      </c>
      <c r="R9049">
        <v>42</v>
      </c>
      <c r="S9049">
        <v>63</v>
      </c>
      <c r="T9049" t="s">
        <v>43564</v>
      </c>
    </row>
    <row r="9050" spans="1:20">
      <c r="A9050">
        <v>4795745</v>
      </c>
      <c r="B9050" t="s">
        <v>43565</v>
      </c>
      <c r="C9050" t="str">
        <f>"9782760506312"</f>
        <v>9782760506312</v>
      </c>
      <c r="D9050" t="str">
        <f>"9782760520851"</f>
        <v>9782760520851</v>
      </c>
      <c r="E9050" t="s">
        <v>43423</v>
      </c>
      <c r="F9050" t="s">
        <v>33376</v>
      </c>
      <c r="G9050" s="1">
        <v>36526</v>
      </c>
      <c r="J9050" t="s">
        <v>43566</v>
      </c>
      <c r="K9050" t="s">
        <v>257</v>
      </c>
      <c r="M9050">
        <v>372.21</v>
      </c>
      <c r="O9050" t="s">
        <v>94</v>
      </c>
      <c r="P9050">
        <v>48</v>
      </c>
      <c r="Q9050">
        <v>60</v>
      </c>
      <c r="R9050">
        <v>48</v>
      </c>
      <c r="S9050">
        <v>72</v>
      </c>
      <c r="T9050" t="s">
        <v>43567</v>
      </c>
    </row>
    <row r="9051" spans="1:20">
      <c r="A9051">
        <v>4795746</v>
      </c>
      <c r="B9051" t="s">
        <v>43568</v>
      </c>
      <c r="C9051" t="str">
        <f>"9782760512603"</f>
        <v>9782760512603</v>
      </c>
      <c r="D9051" t="str">
        <f>"9782760517653"</f>
        <v>9782760517653</v>
      </c>
      <c r="E9051" t="s">
        <v>43423</v>
      </c>
      <c r="F9051" t="s">
        <v>33376</v>
      </c>
      <c r="G9051" s="1">
        <v>36526</v>
      </c>
      <c r="J9051" t="s">
        <v>43569</v>
      </c>
      <c r="K9051" t="s">
        <v>467</v>
      </c>
      <c r="M9051">
        <v>351.714</v>
      </c>
      <c r="O9051" t="s">
        <v>94</v>
      </c>
      <c r="P9051">
        <v>65</v>
      </c>
      <c r="Q9051">
        <v>81.25</v>
      </c>
      <c r="R9051">
        <v>65</v>
      </c>
      <c r="S9051">
        <v>97.5</v>
      </c>
      <c r="T9051" t="s">
        <v>43570</v>
      </c>
    </row>
    <row r="9052" spans="1:20">
      <c r="A9052">
        <v>4795748</v>
      </c>
      <c r="B9052" t="s">
        <v>43571</v>
      </c>
      <c r="C9052" t="str">
        <f>"9782760514737"</f>
        <v>9782760514737</v>
      </c>
      <c r="D9052" t="str">
        <f>"9782760521773"</f>
        <v>9782760521773</v>
      </c>
      <c r="E9052" t="s">
        <v>43423</v>
      </c>
      <c r="F9052" t="s">
        <v>33376</v>
      </c>
      <c r="G9052" s="1">
        <v>36526</v>
      </c>
      <c r="J9052" t="s">
        <v>43572</v>
      </c>
      <c r="K9052" t="s">
        <v>7075</v>
      </c>
      <c r="M9052">
        <v>28.7</v>
      </c>
      <c r="O9052" t="s">
        <v>94</v>
      </c>
      <c r="P9052">
        <v>28</v>
      </c>
      <c r="Q9052">
        <v>35</v>
      </c>
      <c r="R9052">
        <v>28</v>
      </c>
      <c r="S9052">
        <v>42</v>
      </c>
      <c r="T9052" t="s">
        <v>43573</v>
      </c>
    </row>
    <row r="9053" spans="1:20">
      <c r="A9053">
        <v>4795751</v>
      </c>
      <c r="B9053" t="s">
        <v>43574</v>
      </c>
      <c r="C9053" t="str">
        <f>"9782760513044"</f>
        <v>9782760513044</v>
      </c>
      <c r="D9053" t="str">
        <f>"9782760518018"</f>
        <v>9782760518018</v>
      </c>
      <c r="E9053" t="s">
        <v>43423</v>
      </c>
      <c r="F9053" t="s">
        <v>33376</v>
      </c>
      <c r="G9053" s="1">
        <v>36526</v>
      </c>
      <c r="I9053" t="s">
        <v>43575</v>
      </c>
      <c r="J9053" t="s">
        <v>43576</v>
      </c>
      <c r="K9053" t="s">
        <v>305</v>
      </c>
      <c r="M9053" t="s">
        <v>43577</v>
      </c>
      <c r="O9053" t="s">
        <v>94</v>
      </c>
      <c r="P9053">
        <v>39</v>
      </c>
      <c r="Q9053">
        <v>48.75</v>
      </c>
      <c r="R9053">
        <v>39</v>
      </c>
      <c r="S9053">
        <v>58.5</v>
      </c>
      <c r="T9053" t="s">
        <v>43578</v>
      </c>
    </row>
    <row r="9054" spans="1:20">
      <c r="A9054">
        <v>4795753</v>
      </c>
      <c r="B9054" t="s">
        <v>43579</v>
      </c>
      <c r="C9054" t="str">
        <f>"9782760514584"</f>
        <v>9782760514584</v>
      </c>
      <c r="D9054" t="str">
        <f>"9782760519183"</f>
        <v>9782760519183</v>
      </c>
      <c r="E9054" t="s">
        <v>43423</v>
      </c>
      <c r="F9054" t="s">
        <v>33376</v>
      </c>
      <c r="G9054" s="1">
        <v>36526</v>
      </c>
      <c r="J9054" t="s">
        <v>43580</v>
      </c>
      <c r="K9054" t="s">
        <v>1471</v>
      </c>
      <c r="M9054">
        <v>700.72</v>
      </c>
      <c r="O9054" t="s">
        <v>94</v>
      </c>
      <c r="P9054">
        <v>20</v>
      </c>
      <c r="Q9054">
        <v>25</v>
      </c>
      <c r="R9054">
        <v>20</v>
      </c>
      <c r="S9054">
        <v>30</v>
      </c>
      <c r="T9054" t="s">
        <v>43581</v>
      </c>
    </row>
    <row r="9055" spans="1:20">
      <c r="A9055">
        <v>4795754</v>
      </c>
      <c r="B9055" t="s">
        <v>43582</v>
      </c>
      <c r="C9055" t="str">
        <f>"9782760511507"</f>
        <v>9782760511507</v>
      </c>
      <c r="D9055" t="str">
        <f>"9782760516922"</f>
        <v>9782760516922</v>
      </c>
      <c r="E9055" t="s">
        <v>43423</v>
      </c>
      <c r="F9055" t="s">
        <v>43423</v>
      </c>
      <c r="G9055" s="1">
        <v>36526</v>
      </c>
      <c r="H9055">
        <v>3</v>
      </c>
      <c r="J9055" t="s">
        <v>43552</v>
      </c>
      <c r="K9055" t="s">
        <v>1127</v>
      </c>
      <c r="M9055">
        <v>152.30000000000001</v>
      </c>
      <c r="O9055" t="s">
        <v>94</v>
      </c>
      <c r="P9055">
        <v>52</v>
      </c>
      <c r="Q9055">
        <v>65</v>
      </c>
      <c r="R9055">
        <v>52</v>
      </c>
      <c r="S9055">
        <v>78</v>
      </c>
      <c r="T9055" t="s">
        <v>43583</v>
      </c>
    </row>
    <row r="9056" spans="1:20">
      <c r="A9056">
        <v>4795755</v>
      </c>
      <c r="B9056" t="s">
        <v>43584</v>
      </c>
      <c r="C9056" t="str">
        <f>"9782760509412"</f>
        <v>9782760509412</v>
      </c>
      <c r="D9056" t="str">
        <f>"9782760521315"</f>
        <v>9782760521315</v>
      </c>
      <c r="E9056" t="s">
        <v>43423</v>
      </c>
      <c r="F9056" t="s">
        <v>43423</v>
      </c>
      <c r="G9056" s="1">
        <v>36526</v>
      </c>
      <c r="J9056" t="s">
        <v>43585</v>
      </c>
      <c r="K9056" t="s">
        <v>10860</v>
      </c>
      <c r="M9056" t="s">
        <v>43586</v>
      </c>
      <c r="O9056" t="s">
        <v>94</v>
      </c>
      <c r="P9056">
        <v>57</v>
      </c>
      <c r="Q9056">
        <v>71.25</v>
      </c>
      <c r="R9056">
        <v>57</v>
      </c>
      <c r="S9056">
        <v>85.5</v>
      </c>
      <c r="T9056" t="s">
        <v>43587</v>
      </c>
    </row>
    <row r="9057" spans="1:20">
      <c r="A9057">
        <v>4795756</v>
      </c>
      <c r="B9057" t="s">
        <v>43588</v>
      </c>
      <c r="C9057" t="str">
        <f>"9782760512160"</f>
        <v>9782760512160</v>
      </c>
      <c r="D9057" t="str">
        <f>"9782760517370"</f>
        <v>9782760517370</v>
      </c>
      <c r="E9057" t="s">
        <v>43423</v>
      </c>
      <c r="F9057" t="s">
        <v>33376</v>
      </c>
      <c r="G9057" s="1">
        <v>36526</v>
      </c>
      <c r="J9057" t="s">
        <v>43589</v>
      </c>
      <c r="K9057" t="s">
        <v>263</v>
      </c>
      <c r="M9057" t="s">
        <v>29067</v>
      </c>
      <c r="O9057" t="s">
        <v>94</v>
      </c>
      <c r="P9057">
        <v>49</v>
      </c>
      <c r="Q9057">
        <v>61.25</v>
      </c>
      <c r="R9057">
        <v>49</v>
      </c>
      <c r="S9057">
        <v>73.5</v>
      </c>
      <c r="T9057" t="s">
        <v>43590</v>
      </c>
    </row>
    <row r="9058" spans="1:20">
      <c r="A9058">
        <v>4795757</v>
      </c>
      <c r="B9058" t="s">
        <v>43591</v>
      </c>
      <c r="C9058" t="str">
        <f>"9782760504325"</f>
        <v>9782760504325</v>
      </c>
      <c r="D9058" t="str">
        <f>"9782760522824"</f>
        <v>9782760522824</v>
      </c>
      <c r="E9058" t="s">
        <v>43423</v>
      </c>
      <c r="F9058" t="s">
        <v>33376</v>
      </c>
      <c r="G9058" s="1">
        <v>36526</v>
      </c>
      <c r="J9058" t="s">
        <v>43592</v>
      </c>
      <c r="K9058" t="s">
        <v>467</v>
      </c>
      <c r="M9058" t="s">
        <v>43593</v>
      </c>
      <c r="O9058" t="s">
        <v>94</v>
      </c>
      <c r="P9058">
        <v>15</v>
      </c>
      <c r="Q9058">
        <v>18.75</v>
      </c>
      <c r="R9058">
        <v>15</v>
      </c>
      <c r="S9058">
        <v>22.5</v>
      </c>
      <c r="T9058" t="s">
        <v>43594</v>
      </c>
    </row>
    <row r="9059" spans="1:20">
      <c r="A9059">
        <v>4795760</v>
      </c>
      <c r="B9059" t="s">
        <v>43595</v>
      </c>
      <c r="C9059" t="str">
        <f>"9782760506718"</f>
        <v>9782760506718</v>
      </c>
      <c r="D9059" t="str">
        <f>"9782760520882"</f>
        <v>9782760520882</v>
      </c>
      <c r="E9059" t="s">
        <v>43423</v>
      </c>
      <c r="F9059" t="s">
        <v>33376</v>
      </c>
      <c r="G9059" s="1">
        <v>36526</v>
      </c>
      <c r="J9059" t="s">
        <v>43596</v>
      </c>
      <c r="K9059" t="s">
        <v>416</v>
      </c>
      <c r="M9059">
        <v>338.5</v>
      </c>
      <c r="O9059" t="s">
        <v>94</v>
      </c>
      <c r="P9059">
        <v>40</v>
      </c>
      <c r="Q9059">
        <v>50</v>
      </c>
      <c r="R9059">
        <v>40</v>
      </c>
      <c r="S9059">
        <v>60</v>
      </c>
      <c r="T9059" t="s">
        <v>43597</v>
      </c>
    </row>
    <row r="9060" spans="1:20">
      <c r="A9060">
        <v>4795761</v>
      </c>
      <c r="B9060" t="s">
        <v>43598</v>
      </c>
      <c r="C9060" t="str">
        <f>"9782760510524"</f>
        <v>9782760510524</v>
      </c>
      <c r="D9060" t="str">
        <f>"9782760516397"</f>
        <v>9782760516397</v>
      </c>
      <c r="E9060" t="s">
        <v>43423</v>
      </c>
      <c r="F9060" t="s">
        <v>33376</v>
      </c>
      <c r="G9060" s="1">
        <v>36526</v>
      </c>
      <c r="H9060">
        <v>2</v>
      </c>
      <c r="J9060" t="s">
        <v>43599</v>
      </c>
      <c r="K9060" t="s">
        <v>263</v>
      </c>
      <c r="M9060" t="s">
        <v>43600</v>
      </c>
      <c r="O9060" t="s">
        <v>94</v>
      </c>
      <c r="P9060">
        <v>28</v>
      </c>
      <c r="Q9060">
        <v>35</v>
      </c>
      <c r="R9060">
        <v>28</v>
      </c>
      <c r="S9060">
        <v>42</v>
      </c>
      <c r="T9060" t="s">
        <v>43601</v>
      </c>
    </row>
    <row r="9061" spans="1:20">
      <c r="A9061">
        <v>4795762</v>
      </c>
      <c r="B9061" t="s">
        <v>43602</v>
      </c>
      <c r="C9061" t="str">
        <f>"9782760511262"</f>
        <v>9782760511262</v>
      </c>
      <c r="D9061" t="str">
        <f>"9782760516779"</f>
        <v>9782760516779</v>
      </c>
      <c r="E9061" t="s">
        <v>43423</v>
      </c>
      <c r="F9061" t="s">
        <v>33376</v>
      </c>
      <c r="G9061" s="1">
        <v>36526</v>
      </c>
      <c r="I9061" t="s">
        <v>43603</v>
      </c>
      <c r="J9061" t="s">
        <v>43505</v>
      </c>
      <c r="K9061" t="s">
        <v>263</v>
      </c>
      <c r="L9061" t="s">
        <v>43604</v>
      </c>
      <c r="M9061">
        <v>361.1</v>
      </c>
      <c r="O9061" t="s">
        <v>94</v>
      </c>
      <c r="P9061">
        <v>61</v>
      </c>
      <c r="Q9061">
        <v>76.25</v>
      </c>
      <c r="R9061">
        <v>61</v>
      </c>
      <c r="S9061">
        <v>91.5</v>
      </c>
      <c r="T9061" t="s">
        <v>43605</v>
      </c>
    </row>
    <row r="9062" spans="1:20">
      <c r="A9062">
        <v>4795763</v>
      </c>
      <c r="B9062" t="s">
        <v>43606</v>
      </c>
      <c r="C9062" t="str">
        <f>"9782760512900"</f>
        <v>9782760512900</v>
      </c>
      <c r="D9062" t="str">
        <f>"9782760517912"</f>
        <v>9782760517912</v>
      </c>
      <c r="E9062" t="s">
        <v>43423</v>
      </c>
      <c r="F9062" t="s">
        <v>33376</v>
      </c>
      <c r="G9062" s="1">
        <v>36526</v>
      </c>
      <c r="J9062" t="s">
        <v>33409</v>
      </c>
      <c r="K9062" t="s">
        <v>257</v>
      </c>
      <c r="M9062" t="s">
        <v>43607</v>
      </c>
      <c r="O9062" t="s">
        <v>94</v>
      </c>
      <c r="P9062">
        <v>25</v>
      </c>
      <c r="Q9062">
        <v>31.25</v>
      </c>
      <c r="R9062">
        <v>25</v>
      </c>
      <c r="S9062">
        <v>37.5</v>
      </c>
      <c r="T9062" t="s">
        <v>43608</v>
      </c>
    </row>
    <row r="9063" spans="1:20">
      <c r="A9063">
        <v>4795767</v>
      </c>
      <c r="B9063" t="s">
        <v>43609</v>
      </c>
      <c r="C9063" t="str">
        <f>"9782760512511"</f>
        <v>9782760512511</v>
      </c>
      <c r="D9063" t="str">
        <f>"9782760517608"</f>
        <v>9782760517608</v>
      </c>
      <c r="E9063" t="s">
        <v>43423</v>
      </c>
      <c r="F9063" t="s">
        <v>43423</v>
      </c>
      <c r="G9063" s="1">
        <v>36526</v>
      </c>
      <c r="J9063" t="s">
        <v>43493</v>
      </c>
      <c r="K9063" t="s">
        <v>1471</v>
      </c>
      <c r="M9063" t="s">
        <v>43494</v>
      </c>
      <c r="O9063" t="s">
        <v>94</v>
      </c>
      <c r="P9063">
        <v>45</v>
      </c>
      <c r="Q9063">
        <v>56.25</v>
      </c>
      <c r="R9063">
        <v>45</v>
      </c>
      <c r="S9063">
        <v>67.5</v>
      </c>
      <c r="T9063" t="s">
        <v>43610</v>
      </c>
    </row>
    <row r="9064" spans="1:20">
      <c r="A9064">
        <v>4795768</v>
      </c>
      <c r="B9064" t="s">
        <v>43611</v>
      </c>
      <c r="C9064" t="str">
        <f>"9782760505971"</f>
        <v>9782760505971</v>
      </c>
      <c r="D9064" t="str">
        <f>"9782760520769"</f>
        <v>9782760520769</v>
      </c>
      <c r="E9064" t="s">
        <v>43423</v>
      </c>
      <c r="F9064" t="s">
        <v>33376</v>
      </c>
      <c r="G9064" s="1">
        <v>36526</v>
      </c>
      <c r="J9064" t="s">
        <v>43612</v>
      </c>
      <c r="K9064" t="s">
        <v>257</v>
      </c>
      <c r="M9064" t="s">
        <v>43613</v>
      </c>
      <c r="O9064" t="s">
        <v>94</v>
      </c>
      <c r="P9064">
        <v>30</v>
      </c>
      <c r="Q9064">
        <v>37.5</v>
      </c>
      <c r="R9064">
        <v>30</v>
      </c>
      <c r="S9064">
        <v>45</v>
      </c>
      <c r="T9064" t="s">
        <v>43614</v>
      </c>
    </row>
    <row r="9065" spans="1:20">
      <c r="A9065">
        <v>4795769</v>
      </c>
      <c r="B9065" t="s">
        <v>43615</v>
      </c>
      <c r="C9065" t="str">
        <f>"9782760511880"</f>
        <v>9782760511880</v>
      </c>
      <c r="D9065" t="str">
        <f>"9782760517196"</f>
        <v>9782760517196</v>
      </c>
      <c r="E9065" t="s">
        <v>43423</v>
      </c>
      <c r="F9065" t="s">
        <v>33376</v>
      </c>
      <c r="G9065" s="1">
        <v>36526</v>
      </c>
      <c r="J9065" t="s">
        <v>43616</v>
      </c>
      <c r="K9065" t="s">
        <v>10860</v>
      </c>
      <c r="M9065" t="s">
        <v>43586</v>
      </c>
      <c r="O9065" t="s">
        <v>94</v>
      </c>
      <c r="P9065">
        <v>45</v>
      </c>
      <c r="Q9065">
        <v>56.25</v>
      </c>
      <c r="R9065">
        <v>45</v>
      </c>
      <c r="S9065">
        <v>67.5</v>
      </c>
      <c r="T9065" t="s">
        <v>43617</v>
      </c>
    </row>
    <row r="9066" spans="1:20">
      <c r="A9066">
        <v>4795775</v>
      </c>
      <c r="B9066" t="s">
        <v>43618</v>
      </c>
      <c r="C9066" t="str">
        <f>"9782760514164"</f>
        <v>9782760514164</v>
      </c>
      <c r="D9066" t="str">
        <f>"9782760521674"</f>
        <v>9782760521674</v>
      </c>
      <c r="E9066" t="s">
        <v>43423</v>
      </c>
      <c r="F9066" t="s">
        <v>33376</v>
      </c>
      <c r="G9066" s="1">
        <v>36526</v>
      </c>
      <c r="J9066" t="s">
        <v>43619</v>
      </c>
      <c r="K9066" t="s">
        <v>467</v>
      </c>
      <c r="M9066">
        <v>328.73</v>
      </c>
      <c r="O9066" t="s">
        <v>94</v>
      </c>
      <c r="P9066">
        <v>40</v>
      </c>
      <c r="Q9066">
        <v>50</v>
      </c>
      <c r="R9066">
        <v>40</v>
      </c>
      <c r="S9066">
        <v>60</v>
      </c>
      <c r="T9066" t="s">
        <v>43620</v>
      </c>
    </row>
    <row r="9067" spans="1:20">
      <c r="A9067">
        <v>4795776</v>
      </c>
      <c r="B9067" t="s">
        <v>43621</v>
      </c>
      <c r="C9067" t="str">
        <f>"9782760514744"</f>
        <v>9782760514744</v>
      </c>
      <c r="D9067" t="str">
        <f>"9782760521780"</f>
        <v>9782760521780</v>
      </c>
      <c r="E9067" t="s">
        <v>43423</v>
      </c>
      <c r="F9067" t="s">
        <v>33376</v>
      </c>
      <c r="G9067" s="1">
        <v>36526</v>
      </c>
      <c r="J9067" t="s">
        <v>43622</v>
      </c>
      <c r="K9067" t="s">
        <v>31967</v>
      </c>
      <c r="M9067" t="s">
        <v>43623</v>
      </c>
      <c r="O9067" t="s">
        <v>94</v>
      </c>
      <c r="P9067">
        <v>40</v>
      </c>
      <c r="Q9067">
        <v>50</v>
      </c>
      <c r="R9067">
        <v>40</v>
      </c>
      <c r="S9067">
        <v>60</v>
      </c>
      <c r="T9067" t="s">
        <v>43624</v>
      </c>
    </row>
    <row r="9068" spans="1:20">
      <c r="A9068">
        <v>4795778</v>
      </c>
      <c r="B9068" t="s">
        <v>43625</v>
      </c>
      <c r="C9068" t="str">
        <f>"9782760514621"</f>
        <v>9782760514621</v>
      </c>
      <c r="D9068" t="str">
        <f>"9782760521759"</f>
        <v>9782760521759</v>
      </c>
      <c r="E9068" t="s">
        <v>43423</v>
      </c>
      <c r="F9068" t="s">
        <v>33376</v>
      </c>
      <c r="G9068" s="1">
        <v>36526</v>
      </c>
      <c r="J9068" t="s">
        <v>43626</v>
      </c>
      <c r="K9068" t="s">
        <v>263</v>
      </c>
      <c r="M9068" t="s">
        <v>43627</v>
      </c>
      <c r="O9068" t="s">
        <v>94</v>
      </c>
      <c r="P9068">
        <v>37</v>
      </c>
      <c r="Q9068">
        <v>46.25</v>
      </c>
      <c r="R9068">
        <v>37</v>
      </c>
      <c r="S9068">
        <v>55.5</v>
      </c>
      <c r="T9068" t="s">
        <v>43628</v>
      </c>
    </row>
    <row r="9069" spans="1:20">
      <c r="A9069">
        <v>4795782</v>
      </c>
      <c r="B9069" t="s">
        <v>43629</v>
      </c>
      <c r="C9069" t="str">
        <f>"9782760617919"</f>
        <v>9782760617919</v>
      </c>
      <c r="D9069" t="str">
        <f>"9782760626478"</f>
        <v>9782760626478</v>
      </c>
      <c r="E9069" t="s">
        <v>42231</v>
      </c>
      <c r="F9069" t="s">
        <v>42231</v>
      </c>
      <c r="G9069" s="1">
        <v>36526</v>
      </c>
      <c r="I9069" t="s">
        <v>43630</v>
      </c>
      <c r="J9069" t="s">
        <v>43631</v>
      </c>
      <c r="K9069" t="s">
        <v>467</v>
      </c>
      <c r="M9069" t="s">
        <v>38308</v>
      </c>
      <c r="O9069" t="s">
        <v>94</v>
      </c>
      <c r="P9069">
        <v>60</v>
      </c>
      <c r="Q9069">
        <v>75</v>
      </c>
      <c r="R9069">
        <v>60</v>
      </c>
      <c r="S9069">
        <v>90</v>
      </c>
      <c r="T9069" t="s">
        <v>43632</v>
      </c>
    </row>
    <row r="9070" spans="1:20">
      <c r="A9070">
        <v>4795785</v>
      </c>
      <c r="B9070" t="s">
        <v>43633</v>
      </c>
      <c r="C9070" t="str">
        <f>"9782760615700"</f>
        <v>9782760615700</v>
      </c>
      <c r="D9070" t="str">
        <f>"9782760626263"</f>
        <v>9782760626263</v>
      </c>
      <c r="E9070" t="s">
        <v>42231</v>
      </c>
      <c r="F9070" t="s">
        <v>42231</v>
      </c>
      <c r="G9070" s="1">
        <v>36526</v>
      </c>
      <c r="I9070" t="s">
        <v>43630</v>
      </c>
      <c r="J9070" t="s">
        <v>12805</v>
      </c>
      <c r="K9070" t="s">
        <v>291</v>
      </c>
      <c r="M9070" t="s">
        <v>43634</v>
      </c>
      <c r="O9070" t="s">
        <v>94</v>
      </c>
      <c r="P9070">
        <v>80</v>
      </c>
      <c r="Q9070">
        <v>100</v>
      </c>
      <c r="R9070">
        <v>80</v>
      </c>
      <c r="S9070">
        <v>120</v>
      </c>
      <c r="T9070" t="s">
        <v>43635</v>
      </c>
    </row>
    <row r="9071" spans="1:20">
      <c r="A9071">
        <v>4795786</v>
      </c>
      <c r="B9071" t="s">
        <v>43636</v>
      </c>
      <c r="C9071" t="str">
        <f>"9782760607507"</f>
        <v>9782760607507</v>
      </c>
      <c r="D9071" t="str">
        <f>"9782760626089"</f>
        <v>9782760626089</v>
      </c>
      <c r="E9071" t="s">
        <v>42231</v>
      </c>
      <c r="F9071" t="s">
        <v>42231</v>
      </c>
      <c r="G9071" s="1">
        <v>36526</v>
      </c>
      <c r="I9071" t="s">
        <v>43630</v>
      </c>
      <c r="J9071" t="s">
        <v>43637</v>
      </c>
      <c r="K9071" t="s">
        <v>291</v>
      </c>
      <c r="M9071" t="s">
        <v>22871</v>
      </c>
      <c r="O9071" t="s">
        <v>94</v>
      </c>
      <c r="P9071">
        <v>60</v>
      </c>
      <c r="Q9071">
        <v>75</v>
      </c>
      <c r="R9071">
        <v>60</v>
      </c>
      <c r="S9071">
        <v>90</v>
      </c>
      <c r="T9071" t="s">
        <v>43638</v>
      </c>
    </row>
    <row r="9072" spans="1:20">
      <c r="A9072">
        <v>4795788</v>
      </c>
      <c r="B9072" t="s">
        <v>43639</v>
      </c>
      <c r="C9072" t="str">
        <f>"9782760616905"</f>
        <v>9782760616905</v>
      </c>
      <c r="D9072" t="str">
        <f>"9782760626324"</f>
        <v>9782760626324</v>
      </c>
      <c r="E9072" t="s">
        <v>42231</v>
      </c>
      <c r="F9072" t="s">
        <v>42231</v>
      </c>
      <c r="G9072" s="1">
        <v>36526</v>
      </c>
      <c r="I9072" t="s">
        <v>43630</v>
      </c>
      <c r="J9072" t="s">
        <v>43640</v>
      </c>
      <c r="K9072" t="s">
        <v>1471</v>
      </c>
      <c r="M9072">
        <v>759.11</v>
      </c>
      <c r="O9072" t="s">
        <v>94</v>
      </c>
      <c r="P9072">
        <v>70</v>
      </c>
      <c r="Q9072">
        <v>87.5</v>
      </c>
      <c r="R9072">
        <v>70</v>
      </c>
      <c r="S9072">
        <v>105</v>
      </c>
      <c r="T9072" t="s">
        <v>43641</v>
      </c>
    </row>
    <row r="9073" spans="1:20">
      <c r="A9073">
        <v>4795789</v>
      </c>
      <c r="B9073" t="s">
        <v>43642</v>
      </c>
      <c r="C9073" t="str">
        <f>"9782760618152"</f>
        <v>9782760618152</v>
      </c>
      <c r="D9073" t="str">
        <f>"9782760626485"</f>
        <v>9782760626485</v>
      </c>
      <c r="E9073" t="s">
        <v>42231</v>
      </c>
      <c r="F9073" t="s">
        <v>42231</v>
      </c>
      <c r="G9073" s="1">
        <v>36526</v>
      </c>
      <c r="I9073" t="s">
        <v>43630</v>
      </c>
      <c r="J9073" t="s">
        <v>43643</v>
      </c>
      <c r="K9073" t="s">
        <v>1464</v>
      </c>
      <c r="M9073" t="s">
        <v>43644</v>
      </c>
      <c r="O9073" t="s">
        <v>94</v>
      </c>
      <c r="P9073">
        <v>80</v>
      </c>
      <c r="Q9073">
        <v>100</v>
      </c>
      <c r="R9073">
        <v>80</v>
      </c>
      <c r="S9073">
        <v>120</v>
      </c>
      <c r="T9073" t="s">
        <v>43645</v>
      </c>
    </row>
    <row r="9074" spans="1:20">
      <c r="A9074">
        <v>4795790</v>
      </c>
      <c r="B9074" t="s">
        <v>43646</v>
      </c>
      <c r="C9074" t="str">
        <f>"9782760607750"</f>
        <v>9782760607750</v>
      </c>
      <c r="D9074" t="str">
        <f>"9782760626096"</f>
        <v>9782760626096</v>
      </c>
      <c r="E9074" t="s">
        <v>42231</v>
      </c>
      <c r="F9074" t="s">
        <v>42231</v>
      </c>
      <c r="G9074" s="1">
        <v>36526</v>
      </c>
      <c r="I9074" t="s">
        <v>43630</v>
      </c>
      <c r="J9074" t="s">
        <v>43647</v>
      </c>
      <c r="K9074" t="s">
        <v>1464</v>
      </c>
      <c r="M9074" t="s">
        <v>43648</v>
      </c>
      <c r="O9074" t="s">
        <v>94</v>
      </c>
      <c r="P9074">
        <v>80</v>
      </c>
      <c r="Q9074">
        <v>100</v>
      </c>
      <c r="R9074">
        <v>80</v>
      </c>
      <c r="S9074">
        <v>120</v>
      </c>
      <c r="T9074" t="s">
        <v>43649</v>
      </c>
    </row>
    <row r="9075" spans="1:20">
      <c r="A9075">
        <v>4795792</v>
      </c>
      <c r="B9075" t="s">
        <v>43650</v>
      </c>
      <c r="C9075" t="str">
        <f>"9782760616219"</f>
        <v>9782760616219</v>
      </c>
      <c r="D9075" t="str">
        <f>"9782760626287"</f>
        <v>9782760626287</v>
      </c>
      <c r="E9075" t="s">
        <v>42231</v>
      </c>
      <c r="F9075" t="s">
        <v>42231</v>
      </c>
      <c r="G9075" s="1">
        <v>36526</v>
      </c>
      <c r="I9075" t="s">
        <v>43630</v>
      </c>
      <c r="J9075" t="s">
        <v>43651</v>
      </c>
      <c r="K9075" t="s">
        <v>291</v>
      </c>
      <c r="M9075">
        <v>970.03</v>
      </c>
      <c r="O9075" t="s">
        <v>94</v>
      </c>
      <c r="P9075">
        <v>60</v>
      </c>
      <c r="Q9075">
        <v>75</v>
      </c>
      <c r="R9075">
        <v>60</v>
      </c>
      <c r="S9075">
        <v>90</v>
      </c>
      <c r="T9075" t="s">
        <v>43652</v>
      </c>
    </row>
    <row r="9076" spans="1:20">
      <c r="A9076">
        <v>4795793</v>
      </c>
      <c r="B9076" t="s">
        <v>43653</v>
      </c>
      <c r="C9076" t="str">
        <f>"9782760615519"</f>
        <v>9782760615519</v>
      </c>
      <c r="D9076" t="str">
        <f>"9782760626232"</f>
        <v>9782760626232</v>
      </c>
      <c r="E9076" t="s">
        <v>42231</v>
      </c>
      <c r="F9076" t="s">
        <v>42231</v>
      </c>
      <c r="G9076" s="1">
        <v>36526</v>
      </c>
      <c r="I9076" t="s">
        <v>43630</v>
      </c>
      <c r="J9076" t="s">
        <v>43647</v>
      </c>
      <c r="K9076" t="s">
        <v>1464</v>
      </c>
      <c r="M9076" t="s">
        <v>43648</v>
      </c>
      <c r="O9076" t="s">
        <v>94</v>
      </c>
      <c r="P9076">
        <v>60</v>
      </c>
      <c r="Q9076">
        <v>75</v>
      </c>
      <c r="R9076">
        <v>60</v>
      </c>
      <c r="S9076">
        <v>90</v>
      </c>
      <c r="T9076" t="s">
        <v>43654</v>
      </c>
    </row>
    <row r="9077" spans="1:20">
      <c r="A9077">
        <v>4795794</v>
      </c>
      <c r="B9077" t="s">
        <v>43655</v>
      </c>
      <c r="C9077" t="str">
        <f>"9782760617155"</f>
        <v>9782760617155</v>
      </c>
      <c r="D9077" t="str">
        <f>"9782760626423"</f>
        <v>9782760626423</v>
      </c>
      <c r="E9077" t="s">
        <v>42231</v>
      </c>
      <c r="F9077" t="s">
        <v>42231</v>
      </c>
      <c r="G9077" s="1">
        <v>36526</v>
      </c>
      <c r="I9077" t="s">
        <v>43630</v>
      </c>
      <c r="J9077" t="s">
        <v>43656</v>
      </c>
      <c r="K9077" t="s">
        <v>291</v>
      </c>
      <c r="M9077" t="s">
        <v>43657</v>
      </c>
      <c r="O9077" t="s">
        <v>94</v>
      </c>
      <c r="P9077">
        <v>70</v>
      </c>
      <c r="Q9077">
        <v>87.5</v>
      </c>
      <c r="R9077">
        <v>70</v>
      </c>
      <c r="S9077">
        <v>105</v>
      </c>
      <c r="T9077" t="s">
        <v>43658</v>
      </c>
    </row>
    <row r="9078" spans="1:20">
      <c r="A9078">
        <v>4795796</v>
      </c>
      <c r="B9078" t="s">
        <v>43659</v>
      </c>
      <c r="C9078" t="str">
        <f>"9782760615168"</f>
        <v>9782760615168</v>
      </c>
      <c r="D9078" t="str">
        <f>"9782760626188"</f>
        <v>9782760626188</v>
      </c>
      <c r="E9078" t="s">
        <v>42231</v>
      </c>
      <c r="F9078" t="s">
        <v>42231</v>
      </c>
      <c r="G9078" s="1">
        <v>36526</v>
      </c>
      <c r="I9078" t="s">
        <v>43630</v>
      </c>
      <c r="J9078" t="s">
        <v>43660</v>
      </c>
      <c r="K9078" t="s">
        <v>3230</v>
      </c>
      <c r="M9078" t="s">
        <v>43661</v>
      </c>
      <c r="O9078" t="s">
        <v>94</v>
      </c>
      <c r="P9078">
        <v>80</v>
      </c>
      <c r="Q9078">
        <v>100</v>
      </c>
      <c r="R9078">
        <v>80</v>
      </c>
      <c r="S9078">
        <v>120</v>
      </c>
      <c r="T9078" t="s">
        <v>43662</v>
      </c>
    </row>
    <row r="9079" spans="1:20">
      <c r="A9079">
        <v>4795797</v>
      </c>
      <c r="B9079" t="s">
        <v>43663</v>
      </c>
      <c r="C9079" t="str">
        <f>"9782760607408"</f>
        <v>9782760607408</v>
      </c>
      <c r="D9079" t="str">
        <f>"9782760626102"</f>
        <v>9782760626102</v>
      </c>
      <c r="E9079" t="s">
        <v>42231</v>
      </c>
      <c r="F9079" t="s">
        <v>42231</v>
      </c>
      <c r="G9079" s="1">
        <v>36526</v>
      </c>
      <c r="I9079" t="s">
        <v>43630</v>
      </c>
      <c r="J9079" t="s">
        <v>43664</v>
      </c>
      <c r="K9079" t="s">
        <v>1464</v>
      </c>
      <c r="M9079" t="s">
        <v>43665</v>
      </c>
      <c r="O9079" t="s">
        <v>94</v>
      </c>
      <c r="P9079">
        <v>40</v>
      </c>
      <c r="Q9079">
        <v>50</v>
      </c>
      <c r="R9079">
        <v>40</v>
      </c>
      <c r="S9079">
        <v>60</v>
      </c>
      <c r="T9079" t="s">
        <v>43666</v>
      </c>
    </row>
    <row r="9080" spans="1:20">
      <c r="A9080">
        <v>4795799</v>
      </c>
      <c r="B9080" t="s">
        <v>43667</v>
      </c>
      <c r="C9080" t="str">
        <f>"9782760617650"</f>
        <v>9782760617650</v>
      </c>
      <c r="D9080" t="str">
        <f>"9782760626454"</f>
        <v>9782760626454</v>
      </c>
      <c r="E9080" t="s">
        <v>42231</v>
      </c>
      <c r="F9080" t="s">
        <v>42231</v>
      </c>
      <c r="G9080" s="1">
        <v>36526</v>
      </c>
      <c r="I9080" t="s">
        <v>43630</v>
      </c>
      <c r="J9080" t="s">
        <v>43668</v>
      </c>
      <c r="K9080" t="s">
        <v>1464</v>
      </c>
      <c r="M9080" t="s">
        <v>43644</v>
      </c>
      <c r="O9080" t="s">
        <v>94</v>
      </c>
      <c r="P9080">
        <v>80</v>
      </c>
      <c r="Q9080">
        <v>100</v>
      </c>
      <c r="R9080">
        <v>80</v>
      </c>
      <c r="S9080">
        <v>120</v>
      </c>
      <c r="T9080" t="s">
        <v>43669</v>
      </c>
    </row>
    <row r="9081" spans="1:20">
      <c r="A9081">
        <v>4795801</v>
      </c>
      <c r="B9081" t="s">
        <v>43670</v>
      </c>
      <c r="C9081" t="str">
        <f>"9782760617278"</f>
        <v>9782760617278</v>
      </c>
      <c r="D9081" t="str">
        <f>"9782760626393"</f>
        <v>9782760626393</v>
      </c>
      <c r="E9081" t="s">
        <v>42231</v>
      </c>
      <c r="F9081" t="s">
        <v>42231</v>
      </c>
      <c r="G9081" s="1">
        <v>36526</v>
      </c>
      <c r="I9081" t="s">
        <v>43630</v>
      </c>
      <c r="J9081" t="s">
        <v>43671</v>
      </c>
      <c r="K9081" t="s">
        <v>1464</v>
      </c>
      <c r="M9081" t="s">
        <v>43644</v>
      </c>
      <c r="O9081" t="s">
        <v>94</v>
      </c>
      <c r="P9081">
        <v>70</v>
      </c>
      <c r="Q9081">
        <v>87.5</v>
      </c>
      <c r="R9081">
        <v>70</v>
      </c>
      <c r="S9081">
        <v>105</v>
      </c>
      <c r="T9081" t="s">
        <v>43672</v>
      </c>
    </row>
    <row r="9082" spans="1:20">
      <c r="A9082">
        <v>4795803</v>
      </c>
      <c r="B9082" t="s">
        <v>43673</v>
      </c>
      <c r="C9082" t="str">
        <f>"9782760618831"</f>
        <v>9782760618831</v>
      </c>
      <c r="D9082" t="str">
        <f>"9782760626539"</f>
        <v>9782760626539</v>
      </c>
      <c r="E9082" t="s">
        <v>42231</v>
      </c>
      <c r="F9082" t="s">
        <v>42231</v>
      </c>
      <c r="G9082" s="1">
        <v>36526</v>
      </c>
      <c r="I9082" t="s">
        <v>43630</v>
      </c>
      <c r="J9082" t="s">
        <v>43674</v>
      </c>
      <c r="K9082" t="s">
        <v>291</v>
      </c>
      <c r="M9082" t="s">
        <v>6633</v>
      </c>
      <c r="O9082" t="s">
        <v>94</v>
      </c>
      <c r="P9082">
        <v>70</v>
      </c>
      <c r="Q9082">
        <v>87.5</v>
      </c>
      <c r="R9082">
        <v>70</v>
      </c>
      <c r="S9082">
        <v>105</v>
      </c>
      <c r="T9082" t="s">
        <v>43675</v>
      </c>
    </row>
    <row r="9083" spans="1:20">
      <c r="A9083">
        <v>4795806</v>
      </c>
      <c r="B9083" t="s">
        <v>43676</v>
      </c>
      <c r="C9083" t="str">
        <f>"9782760615175"</f>
        <v>9782760615175</v>
      </c>
      <c r="D9083" t="str">
        <f>"9782760626171"</f>
        <v>9782760626171</v>
      </c>
      <c r="E9083" t="s">
        <v>42231</v>
      </c>
      <c r="F9083" t="s">
        <v>42231</v>
      </c>
      <c r="G9083" s="1">
        <v>36526</v>
      </c>
      <c r="I9083" t="s">
        <v>43630</v>
      </c>
      <c r="J9083" t="s">
        <v>43660</v>
      </c>
      <c r="K9083" t="s">
        <v>3230</v>
      </c>
      <c r="M9083" t="s">
        <v>43661</v>
      </c>
      <c r="O9083" t="s">
        <v>94</v>
      </c>
      <c r="P9083">
        <v>80</v>
      </c>
      <c r="Q9083">
        <v>100</v>
      </c>
      <c r="R9083">
        <v>80</v>
      </c>
      <c r="S9083">
        <v>120</v>
      </c>
      <c r="T9083" t="s">
        <v>43677</v>
      </c>
    </row>
    <row r="9084" spans="1:20">
      <c r="A9084">
        <v>4795807</v>
      </c>
      <c r="B9084" t="s">
        <v>43678</v>
      </c>
      <c r="C9084" t="str">
        <f>"9782760617414"</f>
        <v>9782760617414</v>
      </c>
      <c r="D9084" t="str">
        <f>"9782760626430"</f>
        <v>9782760626430</v>
      </c>
      <c r="E9084" t="s">
        <v>42231</v>
      </c>
      <c r="F9084" t="s">
        <v>42231</v>
      </c>
      <c r="G9084" s="1">
        <v>36526</v>
      </c>
      <c r="I9084" t="s">
        <v>43630</v>
      </c>
      <c r="J9084" t="s">
        <v>43679</v>
      </c>
      <c r="K9084" t="s">
        <v>3230</v>
      </c>
      <c r="M9084" t="s">
        <v>43680</v>
      </c>
      <c r="O9084" t="s">
        <v>94</v>
      </c>
      <c r="P9084">
        <v>40</v>
      </c>
      <c r="Q9084">
        <v>50</v>
      </c>
      <c r="R9084">
        <v>40</v>
      </c>
      <c r="S9084">
        <v>60</v>
      </c>
      <c r="T9084" t="s">
        <v>43681</v>
      </c>
    </row>
    <row r="9085" spans="1:20">
      <c r="A9085">
        <v>4795810</v>
      </c>
      <c r="B9085" t="s">
        <v>43682</v>
      </c>
      <c r="C9085" t="str">
        <f>"9782760514805"</f>
        <v>9782760514805</v>
      </c>
      <c r="D9085" t="str">
        <f>"9782760521810"</f>
        <v>9782760521810</v>
      </c>
      <c r="E9085" t="s">
        <v>33376</v>
      </c>
      <c r="F9085" t="s">
        <v>43423</v>
      </c>
      <c r="G9085" s="1">
        <v>36526</v>
      </c>
      <c r="J9085" t="s">
        <v>43683</v>
      </c>
      <c r="K9085" t="s">
        <v>263</v>
      </c>
      <c r="M9085">
        <v>302.2</v>
      </c>
      <c r="O9085" t="s">
        <v>94</v>
      </c>
      <c r="P9085">
        <v>22</v>
      </c>
      <c r="Q9085">
        <v>27.5</v>
      </c>
      <c r="R9085">
        <v>22</v>
      </c>
      <c r="S9085">
        <v>33</v>
      </c>
      <c r="T9085" t="s">
        <v>43684</v>
      </c>
    </row>
    <row r="9086" spans="1:20">
      <c r="A9086">
        <v>4795811</v>
      </c>
      <c r="B9086" t="s">
        <v>43685</v>
      </c>
      <c r="C9086" t="str">
        <f>"9782760617513"</f>
        <v>9782760617513</v>
      </c>
      <c r="D9086" t="str">
        <f>"9782760626447"</f>
        <v>9782760626447</v>
      </c>
      <c r="E9086" t="s">
        <v>42231</v>
      </c>
      <c r="F9086" t="s">
        <v>42231</v>
      </c>
      <c r="G9086" s="1">
        <v>36526</v>
      </c>
      <c r="I9086" t="s">
        <v>43630</v>
      </c>
      <c r="J9086" t="s">
        <v>43686</v>
      </c>
      <c r="K9086" t="s">
        <v>3230</v>
      </c>
      <c r="M9086" t="s">
        <v>43687</v>
      </c>
      <c r="O9086" t="s">
        <v>94</v>
      </c>
      <c r="P9086">
        <v>80</v>
      </c>
      <c r="Q9086">
        <v>100</v>
      </c>
      <c r="R9086">
        <v>80</v>
      </c>
      <c r="S9086">
        <v>120</v>
      </c>
      <c r="T9086" t="s">
        <v>43688</v>
      </c>
    </row>
    <row r="9087" spans="1:20">
      <c r="A9087">
        <v>4795814</v>
      </c>
      <c r="B9087" t="s">
        <v>43689</v>
      </c>
      <c r="C9087" t="str">
        <f>"9782760620018"</f>
        <v>9782760620018</v>
      </c>
      <c r="D9087" t="str">
        <f>"9782760624917"</f>
        <v>9782760624917</v>
      </c>
      <c r="E9087" t="s">
        <v>42231</v>
      </c>
      <c r="F9087" t="s">
        <v>42231</v>
      </c>
      <c r="G9087" s="1">
        <v>36526</v>
      </c>
      <c r="I9087" t="s">
        <v>43630</v>
      </c>
      <c r="J9087" t="s">
        <v>43690</v>
      </c>
      <c r="K9087" t="s">
        <v>1464</v>
      </c>
      <c r="M9087" t="s">
        <v>43691</v>
      </c>
      <c r="O9087" t="s">
        <v>94</v>
      </c>
      <c r="P9087">
        <v>80</v>
      </c>
      <c r="Q9087">
        <v>100</v>
      </c>
      <c r="R9087">
        <v>80</v>
      </c>
      <c r="S9087">
        <v>120</v>
      </c>
      <c r="T9087" t="s">
        <v>43692</v>
      </c>
    </row>
    <row r="9088" spans="1:20">
      <c r="A9088">
        <v>4795815</v>
      </c>
      <c r="B9088" t="s">
        <v>43693</v>
      </c>
      <c r="C9088" t="str">
        <f>"9782760616202"</f>
        <v>9782760616202</v>
      </c>
      <c r="D9088" t="str">
        <f>"9782760626294"</f>
        <v>9782760626294</v>
      </c>
      <c r="E9088" t="s">
        <v>42231</v>
      </c>
      <c r="F9088" t="s">
        <v>42231</v>
      </c>
      <c r="G9088" s="1">
        <v>36526</v>
      </c>
      <c r="I9088" t="s">
        <v>43630</v>
      </c>
      <c r="J9088" t="s">
        <v>43651</v>
      </c>
      <c r="K9088" t="s">
        <v>291</v>
      </c>
      <c r="M9088">
        <v>970.03</v>
      </c>
      <c r="O9088" t="s">
        <v>94</v>
      </c>
      <c r="P9088">
        <v>70</v>
      </c>
      <c r="Q9088">
        <v>87.5</v>
      </c>
      <c r="R9088">
        <v>70</v>
      </c>
      <c r="S9088">
        <v>105</v>
      </c>
      <c r="T9088" t="s">
        <v>43694</v>
      </c>
    </row>
    <row r="9089" spans="1:20">
      <c r="A9089">
        <v>4795816</v>
      </c>
      <c r="B9089" t="s">
        <v>43695</v>
      </c>
      <c r="C9089" t="str">
        <f>"9782760617100"</f>
        <v>9782760617100</v>
      </c>
      <c r="D9089" t="str">
        <f>"9782760626386"</f>
        <v>9782760626386</v>
      </c>
      <c r="E9089" t="s">
        <v>42231</v>
      </c>
      <c r="F9089" t="s">
        <v>42231</v>
      </c>
      <c r="G9089" s="1">
        <v>36526</v>
      </c>
      <c r="I9089" t="s">
        <v>43630</v>
      </c>
      <c r="J9089" t="s">
        <v>43696</v>
      </c>
      <c r="K9089" t="s">
        <v>3230</v>
      </c>
      <c r="M9089" t="s">
        <v>43697</v>
      </c>
      <c r="O9089" t="s">
        <v>94</v>
      </c>
      <c r="P9089">
        <v>70</v>
      </c>
      <c r="Q9089">
        <v>87.5</v>
      </c>
      <c r="R9089">
        <v>70</v>
      </c>
      <c r="S9089">
        <v>105</v>
      </c>
      <c r="T9089" t="s">
        <v>43698</v>
      </c>
    </row>
    <row r="9090" spans="1:20">
      <c r="A9090">
        <v>4795819</v>
      </c>
      <c r="B9090" t="s">
        <v>43699</v>
      </c>
      <c r="C9090" t="str">
        <f>"9782760515277"</f>
        <v>9782760515277</v>
      </c>
      <c r="D9090" t="str">
        <f>"9781459334588"</f>
        <v>9781459334588</v>
      </c>
      <c r="E9090" t="s">
        <v>33376</v>
      </c>
      <c r="F9090" t="s">
        <v>43423</v>
      </c>
      <c r="G9090" s="1">
        <v>36526</v>
      </c>
      <c r="J9090" t="s">
        <v>33418</v>
      </c>
      <c r="K9090" t="s">
        <v>1892</v>
      </c>
      <c r="M9090">
        <v>280</v>
      </c>
      <c r="O9090" t="s">
        <v>94</v>
      </c>
      <c r="P9090">
        <v>25</v>
      </c>
      <c r="Q9090">
        <v>31.25</v>
      </c>
      <c r="R9090">
        <v>25</v>
      </c>
      <c r="S9090">
        <v>37.5</v>
      </c>
      <c r="T9090" t="s">
        <v>43700</v>
      </c>
    </row>
    <row r="9091" spans="1:20">
      <c r="A9091">
        <v>4795822</v>
      </c>
      <c r="B9091" t="s">
        <v>43701</v>
      </c>
      <c r="C9091" t="str">
        <f>"9782760515185"</f>
        <v>9782760515185</v>
      </c>
      <c r="D9091" t="str">
        <f>"9781459334632"</f>
        <v>9781459334632</v>
      </c>
      <c r="E9091" t="s">
        <v>33376</v>
      </c>
      <c r="F9091" t="s">
        <v>43423</v>
      </c>
      <c r="G9091" s="1">
        <v>36526</v>
      </c>
      <c r="J9091" t="s">
        <v>33256</v>
      </c>
      <c r="K9091" t="s">
        <v>1464</v>
      </c>
      <c r="M9091" t="s">
        <v>43702</v>
      </c>
      <c r="O9091" t="s">
        <v>94</v>
      </c>
      <c r="P9091">
        <v>32</v>
      </c>
      <c r="Q9091">
        <v>40</v>
      </c>
      <c r="R9091">
        <v>32</v>
      </c>
      <c r="S9091">
        <v>48</v>
      </c>
      <c r="T9091" t="s">
        <v>43703</v>
      </c>
    </row>
    <row r="9092" spans="1:20">
      <c r="A9092">
        <v>4795824</v>
      </c>
      <c r="B9092" t="s">
        <v>43704</v>
      </c>
      <c r="C9092" t="str">
        <f>"9782760515130"</f>
        <v>9782760515130</v>
      </c>
      <c r="D9092" t="str">
        <f>"9781459334557"</f>
        <v>9781459334557</v>
      </c>
      <c r="E9092" t="s">
        <v>43423</v>
      </c>
      <c r="F9092" t="s">
        <v>33376</v>
      </c>
      <c r="G9092" s="1">
        <v>36526</v>
      </c>
      <c r="J9092" t="s">
        <v>43705</v>
      </c>
      <c r="K9092" t="s">
        <v>25745</v>
      </c>
      <c r="M9092" t="s">
        <v>43706</v>
      </c>
      <c r="O9092" t="s">
        <v>94</v>
      </c>
      <c r="P9092">
        <v>25</v>
      </c>
      <c r="Q9092">
        <v>31.25</v>
      </c>
      <c r="R9092">
        <v>25</v>
      </c>
      <c r="S9092">
        <v>37.5</v>
      </c>
      <c r="T9092" t="s">
        <v>43707</v>
      </c>
    </row>
    <row r="9093" spans="1:20">
      <c r="A9093">
        <v>4795827</v>
      </c>
      <c r="B9093" t="s">
        <v>43708</v>
      </c>
      <c r="C9093" t="str">
        <f>"9782760514690"</f>
        <v>9782760514690</v>
      </c>
      <c r="D9093" t="str">
        <f>"9781459334601"</f>
        <v>9781459334601</v>
      </c>
      <c r="E9093" t="s">
        <v>33376</v>
      </c>
      <c r="F9093" t="s">
        <v>43423</v>
      </c>
      <c r="G9093" s="1">
        <v>36526</v>
      </c>
      <c r="J9093" t="s">
        <v>43709</v>
      </c>
      <c r="K9093" t="s">
        <v>416</v>
      </c>
      <c r="M9093">
        <v>338.9</v>
      </c>
      <c r="O9093" t="s">
        <v>94</v>
      </c>
      <c r="P9093">
        <v>30</v>
      </c>
      <c r="Q9093">
        <v>37.5</v>
      </c>
      <c r="R9093">
        <v>30</v>
      </c>
      <c r="S9093">
        <v>45</v>
      </c>
      <c r="T9093" t="s">
        <v>43710</v>
      </c>
    </row>
    <row r="9094" spans="1:20">
      <c r="A9094">
        <v>4795830</v>
      </c>
      <c r="B9094" t="s">
        <v>43711</v>
      </c>
      <c r="C9094" t="str">
        <f>"9782760514973"</f>
        <v>9782760514973</v>
      </c>
      <c r="D9094" t="str">
        <f>"9781459334595"</f>
        <v>9781459334595</v>
      </c>
      <c r="E9094" t="s">
        <v>43423</v>
      </c>
      <c r="F9094" t="s">
        <v>33376</v>
      </c>
      <c r="G9094" s="1">
        <v>36526</v>
      </c>
      <c r="J9094" t="s">
        <v>43712</v>
      </c>
      <c r="K9094" t="s">
        <v>263</v>
      </c>
      <c r="M9094">
        <v>307.76</v>
      </c>
      <c r="O9094" t="s">
        <v>94</v>
      </c>
      <c r="P9094">
        <v>20</v>
      </c>
      <c r="Q9094">
        <v>25</v>
      </c>
      <c r="R9094">
        <v>20</v>
      </c>
      <c r="S9094">
        <v>30</v>
      </c>
      <c r="T9094" t="s">
        <v>43713</v>
      </c>
    </row>
    <row r="9095" spans="1:20">
      <c r="A9095">
        <v>4795833</v>
      </c>
      <c r="B9095" t="s">
        <v>43714</v>
      </c>
      <c r="C9095" t="str">
        <f>"9782760515611"</f>
        <v>9782760515611</v>
      </c>
      <c r="D9095" t="str">
        <f>"9782760519886"</f>
        <v>9782760519886</v>
      </c>
      <c r="E9095" t="s">
        <v>43423</v>
      </c>
      <c r="F9095" t="s">
        <v>33376</v>
      </c>
      <c r="G9095" s="1">
        <v>36526</v>
      </c>
      <c r="J9095" t="s">
        <v>43715</v>
      </c>
      <c r="K9095" t="s">
        <v>263</v>
      </c>
      <c r="L9095" t="s">
        <v>43716</v>
      </c>
      <c r="M9095">
        <v>362.88082000000003</v>
      </c>
      <c r="O9095" t="s">
        <v>26</v>
      </c>
      <c r="P9095">
        <v>50</v>
      </c>
      <c r="Q9095">
        <v>62.5</v>
      </c>
      <c r="R9095">
        <v>50</v>
      </c>
      <c r="S9095">
        <v>75</v>
      </c>
      <c r="T9095" t="s">
        <v>43717</v>
      </c>
    </row>
    <row r="9096" spans="1:20">
      <c r="A9096">
        <v>4795836</v>
      </c>
      <c r="B9096" t="s">
        <v>43718</v>
      </c>
      <c r="C9096" t="str">
        <f>"9782760515499"</f>
        <v>9782760515499</v>
      </c>
      <c r="D9096" t="str">
        <f>"9781459334618"</f>
        <v>9781459334618</v>
      </c>
      <c r="E9096" t="s">
        <v>33376</v>
      </c>
      <c r="F9096" t="s">
        <v>43423</v>
      </c>
      <c r="G9096" s="1">
        <v>36526</v>
      </c>
      <c r="J9096" t="s">
        <v>43719</v>
      </c>
      <c r="K9096" t="s">
        <v>695</v>
      </c>
      <c r="M9096">
        <v>333.79</v>
      </c>
      <c r="O9096" t="s">
        <v>94</v>
      </c>
      <c r="P9096">
        <v>30</v>
      </c>
      <c r="Q9096">
        <v>37.5</v>
      </c>
      <c r="R9096">
        <v>30</v>
      </c>
      <c r="S9096">
        <v>45</v>
      </c>
      <c r="T9096" t="s">
        <v>43720</v>
      </c>
    </row>
    <row r="9097" spans="1:20">
      <c r="A9097">
        <v>4795839</v>
      </c>
      <c r="B9097" t="s">
        <v>43721</v>
      </c>
      <c r="C9097" t="str">
        <f>"9782760515383"</f>
        <v>9782760515383</v>
      </c>
      <c r="D9097" t="str">
        <f>"9781459334847"</f>
        <v>9781459334847</v>
      </c>
      <c r="E9097" t="s">
        <v>43423</v>
      </c>
      <c r="F9097" t="s">
        <v>33376</v>
      </c>
      <c r="G9097" s="1">
        <v>36526</v>
      </c>
      <c r="J9097" t="s">
        <v>43722</v>
      </c>
      <c r="K9097" t="s">
        <v>263</v>
      </c>
      <c r="M9097">
        <v>361.80971399999999</v>
      </c>
      <c r="O9097" t="s">
        <v>94</v>
      </c>
      <c r="P9097">
        <v>40</v>
      </c>
      <c r="Q9097">
        <v>50</v>
      </c>
      <c r="R9097">
        <v>40</v>
      </c>
      <c r="S9097">
        <v>60</v>
      </c>
      <c r="T9097" t="s">
        <v>43723</v>
      </c>
    </row>
    <row r="9098" spans="1:20">
      <c r="A9098">
        <v>4795840</v>
      </c>
      <c r="B9098" t="s">
        <v>43724</v>
      </c>
      <c r="C9098" t="str">
        <f>"9782760515574"</f>
        <v>9782760515574</v>
      </c>
      <c r="D9098" t="str">
        <f>"9782760519848"</f>
        <v>9782760519848</v>
      </c>
      <c r="E9098" t="s">
        <v>43423</v>
      </c>
      <c r="F9098" t="s">
        <v>33376</v>
      </c>
      <c r="G9098" s="1">
        <v>36526</v>
      </c>
      <c r="J9098" t="s">
        <v>43725</v>
      </c>
      <c r="K9098" t="s">
        <v>43726</v>
      </c>
      <c r="L9098" t="s">
        <v>43727</v>
      </c>
      <c r="M9098" t="s">
        <v>43728</v>
      </c>
      <c r="O9098" t="s">
        <v>94</v>
      </c>
      <c r="P9098">
        <v>49</v>
      </c>
      <c r="Q9098">
        <v>61.25</v>
      </c>
      <c r="R9098">
        <v>49</v>
      </c>
      <c r="S9098">
        <v>73.5</v>
      </c>
      <c r="T9098" t="s">
        <v>43729</v>
      </c>
    </row>
    <row r="9099" spans="1:20">
      <c r="A9099">
        <v>4795843</v>
      </c>
      <c r="B9099" t="s">
        <v>43730</v>
      </c>
      <c r="C9099" t="str">
        <f>"9782760515444"</f>
        <v>9782760515444</v>
      </c>
      <c r="D9099" t="str">
        <f>"9781459334502"</f>
        <v>9781459334502</v>
      </c>
      <c r="E9099" t="s">
        <v>33376</v>
      </c>
      <c r="F9099" t="s">
        <v>43423</v>
      </c>
      <c r="G9099" s="1">
        <v>36526</v>
      </c>
      <c r="J9099" t="s">
        <v>43731</v>
      </c>
      <c r="K9099" t="s">
        <v>1464</v>
      </c>
      <c r="M9099" t="s">
        <v>6604</v>
      </c>
      <c r="O9099" t="s">
        <v>94</v>
      </c>
      <c r="P9099">
        <v>22</v>
      </c>
      <c r="Q9099">
        <v>27.5</v>
      </c>
      <c r="R9099">
        <v>22</v>
      </c>
      <c r="S9099">
        <v>33</v>
      </c>
      <c r="T9099" t="s">
        <v>43732</v>
      </c>
    </row>
    <row r="9100" spans="1:20">
      <c r="A9100">
        <v>4795850</v>
      </c>
      <c r="B9100" t="s">
        <v>43733</v>
      </c>
      <c r="C9100" t="str">
        <f>"9782760515413"</f>
        <v>9782760515413</v>
      </c>
      <c r="D9100" t="str">
        <f>"9781459334496"</f>
        <v>9781459334496</v>
      </c>
      <c r="E9100" t="s">
        <v>33376</v>
      </c>
      <c r="F9100" t="s">
        <v>43423</v>
      </c>
      <c r="G9100" s="1">
        <v>36526</v>
      </c>
      <c r="J9100" t="s">
        <v>43734</v>
      </c>
      <c r="K9100" t="s">
        <v>1471</v>
      </c>
      <c r="M9100" t="s">
        <v>43735</v>
      </c>
      <c r="O9100" t="s">
        <v>26</v>
      </c>
      <c r="P9100">
        <v>48</v>
      </c>
      <c r="Q9100">
        <v>60</v>
      </c>
      <c r="R9100">
        <v>48</v>
      </c>
      <c r="S9100">
        <v>72</v>
      </c>
      <c r="T9100" t="s">
        <v>43736</v>
      </c>
    </row>
    <row r="9101" spans="1:20">
      <c r="A9101">
        <v>4795851</v>
      </c>
      <c r="B9101" t="s">
        <v>43737</v>
      </c>
      <c r="C9101" t="str">
        <f>"9782760514348"</f>
        <v>9782760514348</v>
      </c>
      <c r="D9101" t="str">
        <f>"9782760519015"</f>
        <v>9782760519015</v>
      </c>
      <c r="E9101" t="s">
        <v>43423</v>
      </c>
      <c r="F9101" t="s">
        <v>33376</v>
      </c>
      <c r="G9101" s="1">
        <v>38916</v>
      </c>
      <c r="J9101" t="s">
        <v>43738</v>
      </c>
      <c r="K9101" t="s">
        <v>263</v>
      </c>
      <c r="M9101">
        <v>302.2</v>
      </c>
      <c r="O9101" t="s">
        <v>94</v>
      </c>
      <c r="P9101">
        <v>35</v>
      </c>
      <c r="Q9101">
        <v>43.75</v>
      </c>
      <c r="R9101">
        <v>35</v>
      </c>
      <c r="S9101">
        <v>52.5</v>
      </c>
      <c r="T9101" t="s">
        <v>43739</v>
      </c>
    </row>
    <row r="9102" spans="1:20">
      <c r="A9102">
        <v>4795853</v>
      </c>
      <c r="B9102" t="s">
        <v>43740</v>
      </c>
      <c r="C9102" t="str">
        <f>"9782760523500"</f>
        <v>9782760523500</v>
      </c>
      <c r="D9102" t="str">
        <f>"9782760523517"</f>
        <v>9782760523517</v>
      </c>
      <c r="E9102" t="s">
        <v>33376</v>
      </c>
      <c r="F9102" t="s">
        <v>43423</v>
      </c>
      <c r="G9102" s="1">
        <v>41809</v>
      </c>
      <c r="J9102" t="s">
        <v>43741</v>
      </c>
      <c r="K9102" t="s">
        <v>3421</v>
      </c>
      <c r="L9102" t="s">
        <v>43742</v>
      </c>
      <c r="M9102">
        <v>372.60489999999999</v>
      </c>
      <c r="O9102" t="s">
        <v>94</v>
      </c>
      <c r="P9102">
        <v>24</v>
      </c>
      <c r="Q9102">
        <v>30</v>
      </c>
      <c r="R9102">
        <v>24</v>
      </c>
      <c r="S9102">
        <v>36</v>
      </c>
      <c r="T9102" t="s">
        <v>43743</v>
      </c>
    </row>
    <row r="9103" spans="1:20">
      <c r="A9103">
        <v>4795856</v>
      </c>
      <c r="B9103" t="s">
        <v>43744</v>
      </c>
      <c r="C9103" t="str">
        <f>"9782760516045"</f>
        <v>9782760516045</v>
      </c>
      <c r="D9103" t="str">
        <f>"9782760520110"</f>
        <v>9782760520110</v>
      </c>
      <c r="E9103" t="s">
        <v>33376</v>
      </c>
      <c r="F9103" t="s">
        <v>43423</v>
      </c>
      <c r="G9103" s="1">
        <v>36526</v>
      </c>
      <c r="J9103" t="s">
        <v>43745</v>
      </c>
      <c r="K9103" t="s">
        <v>36851</v>
      </c>
      <c r="L9103" t="s">
        <v>43746</v>
      </c>
      <c r="M9103" t="s">
        <v>43586</v>
      </c>
      <c r="O9103" t="s">
        <v>94</v>
      </c>
      <c r="P9103">
        <v>49</v>
      </c>
      <c r="Q9103">
        <v>61.25</v>
      </c>
      <c r="R9103">
        <v>49</v>
      </c>
      <c r="S9103">
        <v>73.5</v>
      </c>
      <c r="T9103" t="s">
        <v>43747</v>
      </c>
    </row>
    <row r="9104" spans="1:20">
      <c r="A9104">
        <v>4795857</v>
      </c>
      <c r="B9104" t="s">
        <v>43748</v>
      </c>
      <c r="C9104" t="str">
        <f>"9782760515789"</f>
        <v>9782760515789</v>
      </c>
      <c r="D9104" t="str">
        <f>"9782760522046"</f>
        <v>9782760522046</v>
      </c>
      <c r="E9104" t="s">
        <v>33376</v>
      </c>
      <c r="F9104" t="s">
        <v>43423</v>
      </c>
      <c r="G9104" s="1">
        <v>36526</v>
      </c>
      <c r="J9104" t="s">
        <v>33409</v>
      </c>
      <c r="K9104" t="s">
        <v>305</v>
      </c>
      <c r="L9104" t="s">
        <v>43749</v>
      </c>
      <c r="M9104" t="s">
        <v>43750</v>
      </c>
      <c r="O9104" t="s">
        <v>94</v>
      </c>
      <c r="P9104">
        <v>22</v>
      </c>
      <c r="Q9104">
        <v>27.5</v>
      </c>
      <c r="R9104">
        <v>22</v>
      </c>
      <c r="S9104">
        <v>33</v>
      </c>
      <c r="T9104" t="s">
        <v>43751</v>
      </c>
    </row>
    <row r="9105" spans="1:20">
      <c r="A9105">
        <v>4795860</v>
      </c>
      <c r="B9105" t="s">
        <v>43752</v>
      </c>
      <c r="C9105" t="str">
        <f>"9782760515536"</f>
        <v>9782760515536</v>
      </c>
      <c r="D9105" t="str">
        <f>"9782760519817"</f>
        <v>9782760519817</v>
      </c>
      <c r="E9105" t="s">
        <v>33376</v>
      </c>
      <c r="F9105" t="s">
        <v>43423</v>
      </c>
      <c r="G9105" s="1">
        <v>36526</v>
      </c>
      <c r="J9105" t="s">
        <v>43753</v>
      </c>
      <c r="K9105" t="s">
        <v>263</v>
      </c>
      <c r="L9105" t="s">
        <v>43754</v>
      </c>
      <c r="M9105">
        <v>306.85097139999999</v>
      </c>
      <c r="O9105" t="s">
        <v>94</v>
      </c>
      <c r="P9105">
        <v>32</v>
      </c>
      <c r="Q9105">
        <v>40</v>
      </c>
      <c r="R9105">
        <v>32</v>
      </c>
      <c r="S9105">
        <v>48</v>
      </c>
      <c r="T9105" t="s">
        <v>43755</v>
      </c>
    </row>
    <row r="9106" spans="1:20">
      <c r="A9106">
        <v>4795863</v>
      </c>
      <c r="B9106" t="s">
        <v>43756</v>
      </c>
      <c r="C9106" t="str">
        <f>"9782760523616"</f>
        <v>9782760523616</v>
      </c>
      <c r="D9106" t="str">
        <f>"9782760523623"</f>
        <v>9782760523623</v>
      </c>
      <c r="E9106" t="s">
        <v>33376</v>
      </c>
      <c r="F9106" t="s">
        <v>43423</v>
      </c>
      <c r="G9106" s="1">
        <v>36526</v>
      </c>
      <c r="J9106" t="s">
        <v>43757</v>
      </c>
      <c r="K9106" t="s">
        <v>4403</v>
      </c>
      <c r="L9106" t="s">
        <v>43758</v>
      </c>
      <c r="M9106">
        <v>304.20940000000002</v>
      </c>
      <c r="O9106" t="s">
        <v>94</v>
      </c>
      <c r="P9106">
        <v>35</v>
      </c>
      <c r="Q9106">
        <v>43.75</v>
      </c>
      <c r="R9106">
        <v>35</v>
      </c>
      <c r="S9106">
        <v>52.5</v>
      </c>
      <c r="T9106" t="s">
        <v>43759</v>
      </c>
    </row>
    <row r="9107" spans="1:20">
      <c r="A9107">
        <v>4795864</v>
      </c>
      <c r="B9107" t="s">
        <v>43760</v>
      </c>
      <c r="C9107" t="str">
        <f>"9782760523630"</f>
        <v>9782760523630</v>
      </c>
      <c r="D9107" t="str">
        <f>"9782760523647"</f>
        <v>9782760523647</v>
      </c>
      <c r="E9107" t="s">
        <v>33376</v>
      </c>
      <c r="F9107" t="s">
        <v>43423</v>
      </c>
      <c r="G9107" s="1">
        <v>36526</v>
      </c>
      <c r="J9107" t="s">
        <v>43761</v>
      </c>
      <c r="K9107" t="s">
        <v>7175</v>
      </c>
      <c r="L9107" t="s">
        <v>43762</v>
      </c>
      <c r="M9107" t="s">
        <v>23443</v>
      </c>
      <c r="O9107" t="s">
        <v>94</v>
      </c>
      <c r="P9107">
        <v>25</v>
      </c>
      <c r="Q9107">
        <v>31.25</v>
      </c>
      <c r="R9107">
        <v>25</v>
      </c>
      <c r="S9107">
        <v>37.5</v>
      </c>
      <c r="T9107" t="s">
        <v>43763</v>
      </c>
    </row>
    <row r="9108" spans="1:20">
      <c r="A9108">
        <v>4795865</v>
      </c>
      <c r="B9108" t="s">
        <v>43764</v>
      </c>
      <c r="C9108" t="str">
        <f>"9782760515505"</f>
        <v>9782760515505</v>
      </c>
      <c r="D9108" t="str">
        <f>"9782760519794"</f>
        <v>9782760519794</v>
      </c>
      <c r="E9108" t="s">
        <v>33376</v>
      </c>
      <c r="F9108" t="s">
        <v>43423</v>
      </c>
      <c r="G9108" s="1">
        <v>36526</v>
      </c>
      <c r="J9108" t="s">
        <v>43765</v>
      </c>
      <c r="K9108" t="s">
        <v>263</v>
      </c>
      <c r="M9108">
        <v>305.23099999999999</v>
      </c>
      <c r="O9108" t="s">
        <v>94</v>
      </c>
      <c r="P9108">
        <v>48</v>
      </c>
      <c r="Q9108">
        <v>60</v>
      </c>
      <c r="R9108">
        <v>48</v>
      </c>
      <c r="S9108">
        <v>72</v>
      </c>
      <c r="T9108" t="s">
        <v>43766</v>
      </c>
    </row>
    <row r="9109" spans="1:20">
      <c r="A9109">
        <v>4795866</v>
      </c>
      <c r="B9109" t="s">
        <v>43767</v>
      </c>
      <c r="C9109" t="str">
        <f>"9782760515826"</f>
        <v>9782760515826</v>
      </c>
      <c r="D9109" t="str">
        <f>"9782760522053"</f>
        <v>9782760522053</v>
      </c>
      <c r="E9109" t="s">
        <v>33376</v>
      </c>
      <c r="F9109" t="s">
        <v>43423</v>
      </c>
      <c r="G9109" s="1">
        <v>36526</v>
      </c>
      <c r="J9109" t="s">
        <v>43768</v>
      </c>
      <c r="K9109" t="s">
        <v>263</v>
      </c>
      <c r="L9109" t="s">
        <v>43769</v>
      </c>
      <c r="M9109" t="s">
        <v>1440</v>
      </c>
      <c r="O9109" t="s">
        <v>94</v>
      </c>
      <c r="P9109">
        <v>17</v>
      </c>
      <c r="Q9109">
        <v>21.25</v>
      </c>
      <c r="R9109">
        <v>17</v>
      </c>
      <c r="S9109">
        <v>25.5</v>
      </c>
      <c r="T9109" t="s">
        <v>43770</v>
      </c>
    </row>
    <row r="9110" spans="1:20">
      <c r="A9110">
        <v>4795867</v>
      </c>
      <c r="B9110" t="s">
        <v>43771</v>
      </c>
      <c r="C9110" t="str">
        <f>"9782760523579"</f>
        <v>9782760523579</v>
      </c>
      <c r="D9110" t="str">
        <f>"9782760523586"</f>
        <v>9782760523586</v>
      </c>
      <c r="E9110" t="s">
        <v>33376</v>
      </c>
      <c r="F9110" t="s">
        <v>43423</v>
      </c>
      <c r="G9110" s="1">
        <v>36526</v>
      </c>
      <c r="J9110" t="s">
        <v>43772</v>
      </c>
      <c r="K9110" t="s">
        <v>263</v>
      </c>
      <c r="L9110" t="s">
        <v>43773</v>
      </c>
      <c r="M9110" t="s">
        <v>43774</v>
      </c>
      <c r="O9110" t="s">
        <v>94</v>
      </c>
      <c r="P9110">
        <v>35</v>
      </c>
      <c r="Q9110">
        <v>43.75</v>
      </c>
      <c r="R9110">
        <v>35</v>
      </c>
      <c r="S9110">
        <v>52.5</v>
      </c>
      <c r="T9110" t="s">
        <v>43775</v>
      </c>
    </row>
    <row r="9111" spans="1:20">
      <c r="A9111">
        <v>4795868</v>
      </c>
      <c r="B9111" t="s">
        <v>43776</v>
      </c>
      <c r="C9111" t="str">
        <f>"9782760523593"</f>
        <v>9782760523593</v>
      </c>
      <c r="D9111" t="str">
        <f>"9782760523609"</f>
        <v>9782760523609</v>
      </c>
      <c r="E9111" t="s">
        <v>33376</v>
      </c>
      <c r="F9111" t="s">
        <v>43423</v>
      </c>
      <c r="G9111" s="1">
        <v>36526</v>
      </c>
      <c r="J9111" t="s">
        <v>43777</v>
      </c>
      <c r="K9111" t="s">
        <v>43778</v>
      </c>
      <c r="L9111" t="s">
        <v>43779</v>
      </c>
      <c r="M9111">
        <v>338.9</v>
      </c>
      <c r="O9111" t="s">
        <v>94</v>
      </c>
      <c r="P9111">
        <v>33</v>
      </c>
      <c r="Q9111">
        <v>41.25</v>
      </c>
      <c r="R9111">
        <v>33</v>
      </c>
      <c r="S9111">
        <v>49.5</v>
      </c>
      <c r="T9111" t="s">
        <v>43780</v>
      </c>
    </row>
    <row r="9112" spans="1:20">
      <c r="A9112">
        <v>4795869</v>
      </c>
      <c r="B9112" t="s">
        <v>43781</v>
      </c>
      <c r="C9112" t="str">
        <f>"9782760516106"</f>
        <v>9782760516106</v>
      </c>
      <c r="D9112" t="str">
        <f>"9782760522152"</f>
        <v>9782760522152</v>
      </c>
      <c r="E9112" t="s">
        <v>33376</v>
      </c>
      <c r="F9112" t="s">
        <v>43423</v>
      </c>
      <c r="G9112" s="1">
        <v>36526</v>
      </c>
      <c r="J9112" t="s">
        <v>33409</v>
      </c>
      <c r="K9112" t="s">
        <v>305</v>
      </c>
      <c r="L9112" t="s">
        <v>43782</v>
      </c>
      <c r="M9112" t="s">
        <v>43750</v>
      </c>
      <c r="O9112" t="s">
        <v>26</v>
      </c>
      <c r="P9112">
        <v>24</v>
      </c>
      <c r="Q9112">
        <v>30</v>
      </c>
      <c r="R9112">
        <v>24</v>
      </c>
      <c r="S9112">
        <v>36</v>
      </c>
      <c r="T9112" t="s">
        <v>43783</v>
      </c>
    </row>
    <row r="9113" spans="1:20">
      <c r="A9113">
        <v>4795871</v>
      </c>
      <c r="B9113" t="s">
        <v>43784</v>
      </c>
      <c r="C9113" t="str">
        <f>"9782760515628"</f>
        <v>9782760515628</v>
      </c>
      <c r="D9113" t="str">
        <f>"9782760519893"</f>
        <v>9782760519893</v>
      </c>
      <c r="E9113" t="s">
        <v>33376</v>
      </c>
      <c r="F9113" t="s">
        <v>43423</v>
      </c>
      <c r="G9113" s="1">
        <v>36526</v>
      </c>
      <c r="J9113" t="s">
        <v>43785</v>
      </c>
      <c r="K9113" t="s">
        <v>1127</v>
      </c>
      <c r="L9113" t="s">
        <v>43786</v>
      </c>
      <c r="M9113">
        <v>155.41820000000001</v>
      </c>
      <c r="O9113" t="s">
        <v>94</v>
      </c>
      <c r="P9113">
        <v>39</v>
      </c>
      <c r="Q9113">
        <v>48.75</v>
      </c>
      <c r="R9113">
        <v>39</v>
      </c>
      <c r="S9113">
        <v>58.5</v>
      </c>
      <c r="T9113" t="s">
        <v>43787</v>
      </c>
    </row>
    <row r="9114" spans="1:20">
      <c r="A9114">
        <v>4795874</v>
      </c>
      <c r="B9114" t="s">
        <v>43788</v>
      </c>
      <c r="C9114" t="str">
        <f>"9782760523463"</f>
        <v>9782760523463</v>
      </c>
      <c r="D9114" t="str">
        <f>"9782760523470"</f>
        <v>9782760523470</v>
      </c>
      <c r="E9114" t="s">
        <v>33376</v>
      </c>
      <c r="F9114" t="s">
        <v>43423</v>
      </c>
      <c r="G9114" s="1">
        <v>36526</v>
      </c>
      <c r="J9114" t="s">
        <v>43789</v>
      </c>
      <c r="K9114" t="s">
        <v>263</v>
      </c>
      <c r="L9114" t="s">
        <v>43790</v>
      </c>
      <c r="M9114">
        <v>361.0068</v>
      </c>
      <c r="O9114" t="s">
        <v>94</v>
      </c>
      <c r="P9114">
        <v>39</v>
      </c>
      <c r="Q9114">
        <v>48.75</v>
      </c>
      <c r="R9114">
        <v>39</v>
      </c>
      <c r="S9114">
        <v>58.5</v>
      </c>
      <c r="T9114" t="s">
        <v>43791</v>
      </c>
    </row>
    <row r="9115" spans="1:20">
      <c r="A9115">
        <v>4795875</v>
      </c>
      <c r="B9115" t="s">
        <v>43792</v>
      </c>
      <c r="C9115" t="str">
        <f>"9782760515796"</f>
        <v>9782760515796</v>
      </c>
      <c r="D9115" t="str">
        <f>"9782760519985"</f>
        <v>9782760519985</v>
      </c>
      <c r="E9115" t="s">
        <v>33376</v>
      </c>
      <c r="F9115" t="s">
        <v>43423</v>
      </c>
      <c r="G9115" s="1">
        <v>36526</v>
      </c>
      <c r="J9115" t="s">
        <v>43793</v>
      </c>
      <c r="K9115" t="s">
        <v>263</v>
      </c>
      <c r="L9115" t="s">
        <v>43794</v>
      </c>
      <c r="M9115" t="s">
        <v>43795</v>
      </c>
      <c r="O9115" t="s">
        <v>94</v>
      </c>
      <c r="P9115">
        <v>19</v>
      </c>
      <c r="Q9115">
        <v>23.75</v>
      </c>
      <c r="R9115">
        <v>19</v>
      </c>
      <c r="S9115">
        <v>28.5</v>
      </c>
      <c r="T9115" t="s">
        <v>43796</v>
      </c>
    </row>
    <row r="9116" spans="1:20">
      <c r="A9116">
        <v>4795878</v>
      </c>
      <c r="B9116" t="s">
        <v>43797</v>
      </c>
      <c r="C9116" t="str">
        <f>"9782760516007"</f>
        <v>9782760516007</v>
      </c>
      <c r="D9116" t="str">
        <f>"9782760520080"</f>
        <v>9782760520080</v>
      </c>
      <c r="E9116" t="s">
        <v>33376</v>
      </c>
      <c r="F9116" t="s">
        <v>43423</v>
      </c>
      <c r="G9116" s="1">
        <v>36526</v>
      </c>
      <c r="H9116">
        <v>5</v>
      </c>
      <c r="J9116" t="s">
        <v>43798</v>
      </c>
      <c r="K9116" t="s">
        <v>263</v>
      </c>
      <c r="L9116" t="s">
        <v>43799</v>
      </c>
      <c r="M9116">
        <v>300.72000000000003</v>
      </c>
      <c r="O9116" t="s">
        <v>94</v>
      </c>
      <c r="P9116">
        <v>53</v>
      </c>
      <c r="Q9116">
        <v>66.25</v>
      </c>
      <c r="R9116">
        <v>53</v>
      </c>
      <c r="S9116">
        <v>79.5</v>
      </c>
      <c r="T9116" t="s">
        <v>43800</v>
      </c>
    </row>
    <row r="9117" spans="1:20">
      <c r="A9117">
        <v>4795880</v>
      </c>
      <c r="B9117" t="s">
        <v>43801</v>
      </c>
      <c r="C9117" t="str">
        <f>"9782760523838"</f>
        <v>9782760523838</v>
      </c>
      <c r="D9117" t="str">
        <f>"9782760523845"</f>
        <v>9782760523845</v>
      </c>
      <c r="E9117" t="s">
        <v>33376</v>
      </c>
      <c r="F9117" t="s">
        <v>43423</v>
      </c>
      <c r="G9117" s="1">
        <v>36526</v>
      </c>
      <c r="J9117" t="s">
        <v>43802</v>
      </c>
      <c r="K9117" t="s">
        <v>33366</v>
      </c>
      <c r="L9117" t="s">
        <v>43803</v>
      </c>
      <c r="M9117" t="s">
        <v>43804</v>
      </c>
      <c r="O9117" t="s">
        <v>94</v>
      </c>
      <c r="P9117">
        <v>32</v>
      </c>
      <c r="Q9117">
        <v>40</v>
      </c>
      <c r="R9117">
        <v>32</v>
      </c>
      <c r="S9117">
        <v>48</v>
      </c>
      <c r="T9117" t="s">
        <v>43805</v>
      </c>
    </row>
    <row r="9118" spans="1:20">
      <c r="A9118">
        <v>4795881</v>
      </c>
      <c r="B9118" t="s">
        <v>43806</v>
      </c>
      <c r="C9118" t="str">
        <f>"9782760515819"</f>
        <v>9782760515819</v>
      </c>
      <c r="D9118" t="str">
        <f>"9782760519992"</f>
        <v>9782760519992</v>
      </c>
      <c r="E9118" t="s">
        <v>33376</v>
      </c>
      <c r="F9118" t="s">
        <v>43423</v>
      </c>
      <c r="G9118" s="1">
        <v>36526</v>
      </c>
      <c r="J9118" t="s">
        <v>43807</v>
      </c>
      <c r="K9118" t="s">
        <v>263</v>
      </c>
      <c r="L9118" t="s">
        <v>43808</v>
      </c>
      <c r="M9118">
        <v>306.76097099999998</v>
      </c>
      <c r="O9118" t="s">
        <v>94</v>
      </c>
      <c r="P9118">
        <v>47</v>
      </c>
      <c r="Q9118">
        <v>58.75</v>
      </c>
      <c r="R9118">
        <v>47</v>
      </c>
      <c r="S9118">
        <v>70.5</v>
      </c>
      <c r="T9118" t="s">
        <v>43809</v>
      </c>
    </row>
    <row r="9119" spans="1:20">
      <c r="A9119">
        <v>4795884</v>
      </c>
      <c r="B9119" t="s">
        <v>43810</v>
      </c>
      <c r="C9119" t="str">
        <f>"9782760515833"</f>
        <v>9782760515833</v>
      </c>
      <c r="D9119" t="str">
        <f>"9782760520004"</f>
        <v>9782760520004</v>
      </c>
      <c r="E9119" t="s">
        <v>33376</v>
      </c>
      <c r="F9119" t="s">
        <v>43423</v>
      </c>
      <c r="G9119" s="1">
        <v>36526</v>
      </c>
      <c r="J9119" t="s">
        <v>43811</v>
      </c>
      <c r="K9119" t="s">
        <v>257</v>
      </c>
      <c r="L9119" t="s">
        <v>43812</v>
      </c>
      <c r="M9119" t="s">
        <v>5913</v>
      </c>
      <c r="O9119" t="s">
        <v>94</v>
      </c>
      <c r="P9119">
        <v>27</v>
      </c>
      <c r="Q9119">
        <v>33.75</v>
      </c>
      <c r="R9119">
        <v>27</v>
      </c>
      <c r="S9119">
        <v>40.5</v>
      </c>
      <c r="T9119" t="s">
        <v>43813</v>
      </c>
    </row>
    <row r="9120" spans="1:20">
      <c r="A9120">
        <v>4795885</v>
      </c>
      <c r="B9120" t="s">
        <v>43814</v>
      </c>
      <c r="C9120" t="str">
        <f>"9782760523920"</f>
        <v>9782760523920</v>
      </c>
      <c r="D9120" t="str">
        <f>"9782760523937"</f>
        <v>9782760523937</v>
      </c>
      <c r="E9120" t="s">
        <v>33376</v>
      </c>
      <c r="F9120" t="s">
        <v>43423</v>
      </c>
      <c r="G9120" s="1">
        <v>36526</v>
      </c>
      <c r="J9120" t="s">
        <v>43815</v>
      </c>
      <c r="K9120" t="s">
        <v>1150</v>
      </c>
      <c r="L9120" t="s">
        <v>43816</v>
      </c>
      <c r="M9120" t="s">
        <v>43817</v>
      </c>
      <c r="O9120" t="s">
        <v>94</v>
      </c>
      <c r="P9120">
        <v>26</v>
      </c>
      <c r="Q9120">
        <v>32.5</v>
      </c>
      <c r="R9120">
        <v>26</v>
      </c>
      <c r="S9120">
        <v>39</v>
      </c>
      <c r="T9120" t="s">
        <v>43818</v>
      </c>
    </row>
    <row r="9121" spans="1:20">
      <c r="A9121">
        <v>4795889</v>
      </c>
      <c r="B9121" t="s">
        <v>43819</v>
      </c>
      <c r="C9121" t="str">
        <f>"9782760515949"</f>
        <v>9782760515949</v>
      </c>
      <c r="D9121" t="str">
        <f>"9782760520035"</f>
        <v>9782760520035</v>
      </c>
      <c r="E9121" t="s">
        <v>33376</v>
      </c>
      <c r="F9121" t="s">
        <v>43423</v>
      </c>
      <c r="G9121" s="1">
        <v>36526</v>
      </c>
      <c r="J9121" t="s">
        <v>43820</v>
      </c>
      <c r="K9121" t="s">
        <v>305</v>
      </c>
      <c r="L9121" t="s">
        <v>43821</v>
      </c>
      <c r="M9121" t="s">
        <v>43822</v>
      </c>
      <c r="O9121" t="s">
        <v>94</v>
      </c>
      <c r="P9121">
        <v>39</v>
      </c>
      <c r="Q9121">
        <v>48.75</v>
      </c>
      <c r="R9121">
        <v>39</v>
      </c>
      <c r="S9121">
        <v>58.5</v>
      </c>
      <c r="T9121" t="s">
        <v>43823</v>
      </c>
    </row>
    <row r="9122" spans="1:20">
      <c r="A9122">
        <v>4795890</v>
      </c>
      <c r="B9122" t="s">
        <v>43824</v>
      </c>
      <c r="C9122" t="str">
        <f>"9782760523746"</f>
        <v>9782760523746</v>
      </c>
      <c r="D9122" t="str">
        <f>"9782760523753"</f>
        <v>9782760523753</v>
      </c>
      <c r="E9122" t="s">
        <v>33376</v>
      </c>
      <c r="F9122" t="s">
        <v>43423</v>
      </c>
      <c r="G9122" s="1">
        <v>36526</v>
      </c>
      <c r="J9122" t="s">
        <v>43825</v>
      </c>
      <c r="K9122" t="s">
        <v>2260</v>
      </c>
      <c r="L9122" t="s">
        <v>43826</v>
      </c>
      <c r="M9122">
        <v>616.803</v>
      </c>
      <c r="O9122" t="s">
        <v>94</v>
      </c>
      <c r="P9122">
        <v>40</v>
      </c>
      <c r="Q9122">
        <v>50</v>
      </c>
      <c r="R9122">
        <v>40</v>
      </c>
      <c r="S9122">
        <v>60</v>
      </c>
      <c r="T9122" t="s">
        <v>43827</v>
      </c>
    </row>
    <row r="9123" spans="1:20">
      <c r="A9123">
        <v>4795891</v>
      </c>
      <c r="B9123" t="s">
        <v>43828</v>
      </c>
      <c r="C9123" t="str">
        <f>"9782760515741"</f>
        <v>9782760515741</v>
      </c>
      <c r="D9123" t="str">
        <f>"9782760522015"</f>
        <v>9782760522015</v>
      </c>
      <c r="E9123" t="s">
        <v>33376</v>
      </c>
      <c r="F9123" t="s">
        <v>43423</v>
      </c>
      <c r="G9123" s="1">
        <v>36526</v>
      </c>
      <c r="J9123" t="s">
        <v>43829</v>
      </c>
      <c r="K9123" t="s">
        <v>3825</v>
      </c>
      <c r="L9123" t="s">
        <v>43830</v>
      </c>
      <c r="M9123">
        <v>790.09713999999997</v>
      </c>
      <c r="O9123" t="s">
        <v>94</v>
      </c>
      <c r="P9123">
        <v>30</v>
      </c>
      <c r="Q9123">
        <v>37.5</v>
      </c>
      <c r="R9123">
        <v>30</v>
      </c>
      <c r="S9123">
        <v>45</v>
      </c>
      <c r="T9123" t="s">
        <v>43831</v>
      </c>
    </row>
    <row r="9124" spans="1:20">
      <c r="A9124">
        <v>4795892</v>
      </c>
      <c r="B9124" t="s">
        <v>43832</v>
      </c>
      <c r="C9124" t="str">
        <f>"9782760516090"</f>
        <v>9782760516090</v>
      </c>
      <c r="D9124" t="str">
        <f>"9782760523876"</f>
        <v>9782760523876</v>
      </c>
      <c r="E9124" t="s">
        <v>33376</v>
      </c>
      <c r="F9124" t="s">
        <v>43423</v>
      </c>
      <c r="G9124" s="1">
        <v>36526</v>
      </c>
      <c r="J9124" t="s">
        <v>33409</v>
      </c>
      <c r="K9124" t="s">
        <v>305</v>
      </c>
      <c r="L9124" t="s">
        <v>43833</v>
      </c>
      <c r="M9124" t="s">
        <v>43750</v>
      </c>
      <c r="O9124" t="s">
        <v>26</v>
      </c>
      <c r="P9124">
        <v>24</v>
      </c>
      <c r="Q9124">
        <v>30</v>
      </c>
      <c r="R9124">
        <v>24</v>
      </c>
      <c r="S9124">
        <v>36</v>
      </c>
      <c r="T9124" t="s">
        <v>43834</v>
      </c>
    </row>
    <row r="9125" spans="1:20">
      <c r="A9125">
        <v>4795893</v>
      </c>
      <c r="B9125" t="s">
        <v>43835</v>
      </c>
      <c r="C9125" t="str">
        <f>"9782760515352"</f>
        <v>9782760515352</v>
      </c>
      <c r="D9125" t="str">
        <f>"9782760519688"</f>
        <v>9782760519688</v>
      </c>
      <c r="E9125" t="s">
        <v>33376</v>
      </c>
      <c r="F9125" t="s">
        <v>43423</v>
      </c>
      <c r="G9125" s="1">
        <v>36526</v>
      </c>
      <c r="J9125" t="s">
        <v>43836</v>
      </c>
      <c r="K9125" t="s">
        <v>263</v>
      </c>
      <c r="L9125" t="s">
        <v>43837</v>
      </c>
      <c r="M9125" t="s">
        <v>43838</v>
      </c>
      <c r="O9125" t="s">
        <v>94</v>
      </c>
      <c r="P9125">
        <v>32</v>
      </c>
      <c r="Q9125">
        <v>40</v>
      </c>
      <c r="R9125">
        <v>32</v>
      </c>
      <c r="S9125">
        <v>48</v>
      </c>
      <c r="T9125" t="s">
        <v>43839</v>
      </c>
    </row>
    <row r="9126" spans="1:20">
      <c r="A9126">
        <v>4795894</v>
      </c>
      <c r="B9126" t="s">
        <v>43840</v>
      </c>
      <c r="C9126" t="str">
        <f>"9782760515918"</f>
        <v>9782760515918</v>
      </c>
      <c r="D9126" t="str">
        <f>"9782760520028"</f>
        <v>9782760520028</v>
      </c>
      <c r="E9126" t="s">
        <v>33376</v>
      </c>
      <c r="F9126" t="s">
        <v>43423</v>
      </c>
      <c r="G9126" s="1">
        <v>36526</v>
      </c>
      <c r="J9126" t="s">
        <v>43841</v>
      </c>
      <c r="K9126" t="s">
        <v>263</v>
      </c>
      <c r="L9126" t="s">
        <v>43842</v>
      </c>
      <c r="M9126">
        <v>306.87400000000002</v>
      </c>
      <c r="O9126" t="s">
        <v>94</v>
      </c>
      <c r="P9126">
        <v>46</v>
      </c>
      <c r="Q9126">
        <v>57.5</v>
      </c>
      <c r="R9126">
        <v>46</v>
      </c>
      <c r="S9126">
        <v>69</v>
      </c>
      <c r="T9126" t="s">
        <v>43843</v>
      </c>
    </row>
    <row r="9127" spans="1:20">
      <c r="A9127">
        <v>4795895</v>
      </c>
      <c r="B9127" t="s">
        <v>43844</v>
      </c>
      <c r="C9127" t="str">
        <f>"9782760515840"</f>
        <v>9782760515840</v>
      </c>
      <c r="D9127" t="str">
        <f>"9782760522060"</f>
        <v>9782760522060</v>
      </c>
      <c r="E9127" t="s">
        <v>33376</v>
      </c>
      <c r="F9127" t="s">
        <v>43423</v>
      </c>
      <c r="G9127" s="1">
        <v>36526</v>
      </c>
      <c r="J9127" t="s">
        <v>43845</v>
      </c>
      <c r="K9127" t="s">
        <v>43846</v>
      </c>
      <c r="L9127" t="s">
        <v>43847</v>
      </c>
      <c r="M9127" t="s">
        <v>43848</v>
      </c>
      <c r="O9127" t="s">
        <v>94</v>
      </c>
      <c r="P9127">
        <v>32</v>
      </c>
      <c r="Q9127">
        <v>40</v>
      </c>
      <c r="R9127">
        <v>32</v>
      </c>
      <c r="S9127">
        <v>48</v>
      </c>
      <c r="T9127" t="s">
        <v>43849</v>
      </c>
    </row>
    <row r="9128" spans="1:20">
      <c r="A9128">
        <v>4795900</v>
      </c>
      <c r="B9128" t="s">
        <v>43850</v>
      </c>
      <c r="C9128" t="str">
        <f>"9782760515581"</f>
        <v>9782760515581</v>
      </c>
      <c r="D9128" t="str">
        <f>"9782760519855"</f>
        <v>9782760519855</v>
      </c>
      <c r="E9128" t="s">
        <v>33376</v>
      </c>
      <c r="F9128" t="s">
        <v>43423</v>
      </c>
      <c r="G9128" s="1">
        <v>36526</v>
      </c>
      <c r="J9128" t="s">
        <v>43851</v>
      </c>
      <c r="K9128" t="s">
        <v>263</v>
      </c>
      <c r="L9128" t="s">
        <v>43852</v>
      </c>
      <c r="M9128">
        <v>362.82819999999998</v>
      </c>
      <c r="O9128" t="s">
        <v>94</v>
      </c>
      <c r="P9128">
        <v>27</v>
      </c>
      <c r="Q9128">
        <v>33.75</v>
      </c>
      <c r="R9128">
        <v>27</v>
      </c>
      <c r="S9128">
        <v>40.5</v>
      </c>
      <c r="T9128" t="s">
        <v>43853</v>
      </c>
    </row>
    <row r="9129" spans="1:20">
      <c r="A9129">
        <v>4795901</v>
      </c>
      <c r="B9129" t="s">
        <v>43854</v>
      </c>
      <c r="C9129" t="str">
        <f>"9782760523678"</f>
        <v>9782760523678</v>
      </c>
      <c r="D9129" t="str">
        <f>"9782760523685"</f>
        <v>9782760523685</v>
      </c>
      <c r="E9129" t="s">
        <v>33376</v>
      </c>
      <c r="F9129" t="s">
        <v>43423</v>
      </c>
      <c r="G9129" s="1">
        <v>36526</v>
      </c>
      <c r="J9129" t="s">
        <v>43855</v>
      </c>
      <c r="K9129" t="s">
        <v>2312</v>
      </c>
      <c r="L9129" t="s">
        <v>43856</v>
      </c>
      <c r="M9129" t="s">
        <v>43857</v>
      </c>
      <c r="O9129" t="s">
        <v>94</v>
      </c>
      <c r="P9129">
        <v>45</v>
      </c>
      <c r="Q9129">
        <v>56.25</v>
      </c>
      <c r="R9129">
        <v>45</v>
      </c>
      <c r="S9129">
        <v>67.5</v>
      </c>
      <c r="T9129" t="s">
        <v>43858</v>
      </c>
    </row>
    <row r="9130" spans="1:20">
      <c r="A9130">
        <v>4795902</v>
      </c>
      <c r="B9130" t="s">
        <v>43859</v>
      </c>
      <c r="C9130" t="str">
        <f>"9782760523722"</f>
        <v>9782760523722</v>
      </c>
      <c r="D9130" t="str">
        <f>"9782760523739"</f>
        <v>9782760523739</v>
      </c>
      <c r="E9130" t="s">
        <v>33376</v>
      </c>
      <c r="F9130" t="s">
        <v>43423</v>
      </c>
      <c r="G9130" s="1">
        <v>36526</v>
      </c>
      <c r="J9130" t="s">
        <v>43860</v>
      </c>
      <c r="K9130" t="s">
        <v>467</v>
      </c>
      <c r="L9130" t="s">
        <v>43861</v>
      </c>
      <c r="M9130">
        <v>325.70999999999998</v>
      </c>
      <c r="O9130" t="s">
        <v>94</v>
      </c>
      <c r="P9130">
        <v>29</v>
      </c>
      <c r="Q9130">
        <v>36.25</v>
      </c>
      <c r="R9130">
        <v>29</v>
      </c>
      <c r="S9130">
        <v>43.5</v>
      </c>
      <c r="T9130" t="s">
        <v>43862</v>
      </c>
    </row>
    <row r="9131" spans="1:20">
      <c r="A9131">
        <v>4795903</v>
      </c>
      <c r="B9131" t="s">
        <v>43863</v>
      </c>
      <c r="C9131" t="str">
        <f>"9782760523654"</f>
        <v>9782760523654</v>
      </c>
      <c r="D9131" t="str">
        <f>"9782760523661"</f>
        <v>9782760523661</v>
      </c>
      <c r="E9131" t="s">
        <v>33376</v>
      </c>
      <c r="F9131" t="s">
        <v>43423</v>
      </c>
      <c r="G9131" s="1">
        <v>36526</v>
      </c>
      <c r="J9131" t="s">
        <v>43683</v>
      </c>
      <c r="K9131" t="s">
        <v>525</v>
      </c>
      <c r="L9131" t="s">
        <v>43864</v>
      </c>
      <c r="M9131" t="s">
        <v>43865</v>
      </c>
      <c r="O9131" t="s">
        <v>94</v>
      </c>
      <c r="P9131">
        <v>26</v>
      </c>
      <c r="Q9131">
        <v>32.5</v>
      </c>
      <c r="R9131">
        <v>26</v>
      </c>
      <c r="S9131">
        <v>39</v>
      </c>
      <c r="T9131" t="s">
        <v>43866</v>
      </c>
    </row>
    <row r="9132" spans="1:20">
      <c r="A9132">
        <v>4795904</v>
      </c>
      <c r="B9132" t="s">
        <v>43867</v>
      </c>
      <c r="C9132" t="str">
        <f>"9782760515710"</f>
        <v>9782760515710</v>
      </c>
      <c r="D9132" t="str">
        <f>"9782760522008"</f>
        <v>9782760522008</v>
      </c>
      <c r="E9132" t="s">
        <v>33376</v>
      </c>
      <c r="F9132" t="s">
        <v>43423</v>
      </c>
      <c r="G9132" s="1">
        <v>36526</v>
      </c>
      <c r="J9132" t="s">
        <v>43868</v>
      </c>
      <c r="K9132" t="s">
        <v>467</v>
      </c>
      <c r="L9132" t="s">
        <v>43869</v>
      </c>
      <c r="M9132" t="s">
        <v>629</v>
      </c>
      <c r="O9132" t="s">
        <v>94</v>
      </c>
      <c r="P9132">
        <v>20</v>
      </c>
      <c r="Q9132">
        <v>25</v>
      </c>
      <c r="R9132">
        <v>20</v>
      </c>
      <c r="S9132">
        <v>30</v>
      </c>
      <c r="T9132" t="s">
        <v>43870</v>
      </c>
    </row>
    <row r="9133" spans="1:20">
      <c r="A9133">
        <v>4795905</v>
      </c>
      <c r="B9133" t="s">
        <v>43871</v>
      </c>
      <c r="C9133" t="str">
        <f>"9782760515765"</f>
        <v>9782760515765</v>
      </c>
      <c r="D9133" t="str">
        <f>"9782760522039"</f>
        <v>9782760522039</v>
      </c>
      <c r="E9133" t="s">
        <v>33376</v>
      </c>
      <c r="F9133" t="s">
        <v>43423</v>
      </c>
      <c r="G9133" s="1">
        <v>36526</v>
      </c>
      <c r="J9133" t="s">
        <v>43872</v>
      </c>
      <c r="K9133" t="s">
        <v>263</v>
      </c>
      <c r="L9133" t="s">
        <v>43873</v>
      </c>
      <c r="M9133" t="s">
        <v>43874</v>
      </c>
      <c r="O9133" t="s">
        <v>94</v>
      </c>
      <c r="P9133">
        <v>44</v>
      </c>
      <c r="Q9133">
        <v>55</v>
      </c>
      <c r="R9133">
        <v>44</v>
      </c>
      <c r="S9133">
        <v>66</v>
      </c>
      <c r="T9133" t="s">
        <v>43875</v>
      </c>
    </row>
    <row r="9134" spans="1:20">
      <c r="A9134">
        <v>4795906</v>
      </c>
      <c r="B9134" t="s">
        <v>43876</v>
      </c>
      <c r="C9134" t="str">
        <f>"9782763785103"</f>
        <v>9782763785103</v>
      </c>
      <c r="D9134" t="str">
        <f>"9782763705101"</f>
        <v>9782763705101</v>
      </c>
      <c r="E9134" t="s">
        <v>43877</v>
      </c>
      <c r="F9134" t="s">
        <v>43877</v>
      </c>
      <c r="G9134" s="1">
        <v>40822</v>
      </c>
      <c r="I9134" t="s">
        <v>43283</v>
      </c>
      <c r="J9134" t="s">
        <v>20439</v>
      </c>
      <c r="K9134" t="s">
        <v>291</v>
      </c>
      <c r="M9134">
        <v>971</v>
      </c>
      <c r="O9134" t="s">
        <v>94</v>
      </c>
      <c r="P9134">
        <v>45</v>
      </c>
      <c r="Q9134">
        <v>56.25</v>
      </c>
      <c r="R9134">
        <v>45</v>
      </c>
      <c r="S9134">
        <v>67.5</v>
      </c>
      <c r="T9134" t="s">
        <v>43878</v>
      </c>
    </row>
    <row r="9135" spans="1:20">
      <c r="A9135">
        <v>4795910</v>
      </c>
      <c r="B9135" t="s">
        <v>43879</v>
      </c>
      <c r="C9135" t="str">
        <f>"9782763785066"</f>
        <v>9782763785066</v>
      </c>
      <c r="D9135" t="str">
        <f>"9782763705064"</f>
        <v>9782763705064</v>
      </c>
      <c r="E9135" t="s">
        <v>43877</v>
      </c>
      <c r="F9135" t="s">
        <v>43877</v>
      </c>
      <c r="G9135" s="1">
        <v>40822</v>
      </c>
      <c r="I9135" t="s">
        <v>43283</v>
      </c>
      <c r="J9135" t="s">
        <v>43880</v>
      </c>
      <c r="K9135" t="s">
        <v>1859</v>
      </c>
      <c r="M9135">
        <v>177.1</v>
      </c>
      <c r="O9135" t="s">
        <v>94</v>
      </c>
      <c r="P9135">
        <v>40</v>
      </c>
      <c r="Q9135">
        <v>50</v>
      </c>
      <c r="R9135">
        <v>40</v>
      </c>
      <c r="S9135">
        <v>60</v>
      </c>
      <c r="T9135" t="s">
        <v>43881</v>
      </c>
    </row>
    <row r="9136" spans="1:20">
      <c r="A9136">
        <v>4795911</v>
      </c>
      <c r="B9136" t="s">
        <v>43882</v>
      </c>
      <c r="C9136" t="str">
        <f>"9782763784335"</f>
        <v>9782763784335</v>
      </c>
      <c r="D9136" t="str">
        <f>"9782763704333"</f>
        <v>9782763704333</v>
      </c>
      <c r="E9136" t="s">
        <v>43877</v>
      </c>
      <c r="F9136" t="s">
        <v>43877</v>
      </c>
      <c r="G9136" s="1">
        <v>40822</v>
      </c>
      <c r="I9136" t="s">
        <v>43283</v>
      </c>
      <c r="J9136" t="s">
        <v>43883</v>
      </c>
      <c r="K9136" t="s">
        <v>263</v>
      </c>
      <c r="M9136" t="s">
        <v>43884</v>
      </c>
      <c r="O9136" t="s">
        <v>94</v>
      </c>
      <c r="P9136">
        <v>43</v>
      </c>
      <c r="Q9136">
        <v>53.75</v>
      </c>
      <c r="R9136">
        <v>43</v>
      </c>
      <c r="S9136">
        <v>64.5</v>
      </c>
      <c r="T9136" t="s">
        <v>43885</v>
      </c>
    </row>
    <row r="9137" spans="1:20">
      <c r="A9137">
        <v>4795913</v>
      </c>
      <c r="B9137" t="s">
        <v>43886</v>
      </c>
      <c r="C9137" t="str">
        <f>"9782763785424"</f>
        <v>9782763785424</v>
      </c>
      <c r="D9137" t="str">
        <f>"9782763705422"</f>
        <v>9782763705422</v>
      </c>
      <c r="E9137" t="s">
        <v>43877</v>
      </c>
      <c r="F9137" t="s">
        <v>43877</v>
      </c>
      <c r="G9137" s="1">
        <v>40822</v>
      </c>
      <c r="I9137" t="s">
        <v>43887</v>
      </c>
      <c r="J9137" t="s">
        <v>43888</v>
      </c>
      <c r="K9137" t="s">
        <v>263</v>
      </c>
      <c r="M9137">
        <v>305</v>
      </c>
      <c r="O9137" t="s">
        <v>94</v>
      </c>
      <c r="P9137">
        <v>45</v>
      </c>
      <c r="Q9137">
        <v>56.25</v>
      </c>
      <c r="R9137">
        <v>45</v>
      </c>
      <c r="S9137">
        <v>67.5</v>
      </c>
      <c r="T9137" t="s">
        <v>43889</v>
      </c>
    </row>
    <row r="9138" spans="1:20">
      <c r="A9138">
        <v>4795916</v>
      </c>
      <c r="B9138" t="s">
        <v>43890</v>
      </c>
      <c r="C9138" t="str">
        <f>"9782763785936"</f>
        <v>9782763785936</v>
      </c>
      <c r="D9138" t="str">
        <f>"9782763705934"</f>
        <v>9782763705934</v>
      </c>
      <c r="E9138" t="s">
        <v>43877</v>
      </c>
      <c r="F9138" t="s">
        <v>43877</v>
      </c>
      <c r="G9138" s="1">
        <v>40822</v>
      </c>
      <c r="I9138" t="s">
        <v>43891</v>
      </c>
      <c r="J9138" t="s">
        <v>43892</v>
      </c>
      <c r="K9138" t="s">
        <v>1471</v>
      </c>
      <c r="M9138">
        <v>709.04</v>
      </c>
      <c r="O9138" t="s">
        <v>94</v>
      </c>
      <c r="P9138">
        <v>35</v>
      </c>
      <c r="Q9138">
        <v>43.75</v>
      </c>
      <c r="R9138">
        <v>35</v>
      </c>
      <c r="S9138">
        <v>52.5</v>
      </c>
      <c r="T9138" t="s">
        <v>43893</v>
      </c>
    </row>
    <row r="9139" spans="1:20">
      <c r="A9139">
        <v>4795917</v>
      </c>
      <c r="B9139" t="s">
        <v>43894</v>
      </c>
      <c r="C9139" t="str">
        <f>"9782763785714"</f>
        <v>9782763785714</v>
      </c>
      <c r="D9139" t="str">
        <f>"9782763705712"</f>
        <v>9782763705712</v>
      </c>
      <c r="E9139" t="s">
        <v>43877</v>
      </c>
      <c r="F9139" t="s">
        <v>43877</v>
      </c>
      <c r="G9139" s="1">
        <v>40822</v>
      </c>
      <c r="I9139" t="s">
        <v>43283</v>
      </c>
      <c r="J9139" t="s">
        <v>43895</v>
      </c>
      <c r="K9139" t="s">
        <v>291</v>
      </c>
      <c r="M9139">
        <v>971.40049732</v>
      </c>
      <c r="O9139" t="s">
        <v>94</v>
      </c>
      <c r="P9139">
        <v>35</v>
      </c>
      <c r="Q9139">
        <v>43.75</v>
      </c>
      <c r="R9139">
        <v>35</v>
      </c>
      <c r="S9139">
        <v>52.5</v>
      </c>
      <c r="T9139" t="s">
        <v>43896</v>
      </c>
    </row>
    <row r="9140" spans="1:20">
      <c r="A9140">
        <v>4795919</v>
      </c>
      <c r="B9140" t="s">
        <v>43897</v>
      </c>
      <c r="C9140" t="str">
        <f>"9782763790169"</f>
        <v>9782763790169</v>
      </c>
      <c r="D9140" t="str">
        <f>"9782763710167"</f>
        <v>9782763710167</v>
      </c>
      <c r="E9140" t="s">
        <v>43877</v>
      </c>
      <c r="F9140" t="s">
        <v>43877</v>
      </c>
      <c r="G9140" s="1">
        <v>40162</v>
      </c>
      <c r="J9140" t="s">
        <v>43898</v>
      </c>
      <c r="K9140" t="s">
        <v>263</v>
      </c>
      <c r="M9140">
        <v>304.23</v>
      </c>
      <c r="O9140" t="s">
        <v>94</v>
      </c>
      <c r="P9140">
        <v>25</v>
      </c>
      <c r="Q9140">
        <v>31.25</v>
      </c>
      <c r="R9140">
        <v>25</v>
      </c>
      <c r="S9140">
        <v>37.5</v>
      </c>
      <c r="T9140" t="s">
        <v>43899</v>
      </c>
    </row>
    <row r="9141" spans="1:20">
      <c r="A9141">
        <v>4795920</v>
      </c>
      <c r="B9141" t="s">
        <v>43900</v>
      </c>
      <c r="C9141" t="str">
        <f>"9782763785615"</f>
        <v>9782763785615</v>
      </c>
      <c r="D9141" t="str">
        <f>"9782763705613"</f>
        <v>9782763705613</v>
      </c>
      <c r="E9141" t="s">
        <v>43877</v>
      </c>
      <c r="F9141" t="s">
        <v>43877</v>
      </c>
      <c r="G9141" s="1">
        <v>40828</v>
      </c>
      <c r="I9141" t="s">
        <v>43283</v>
      </c>
      <c r="J9141" t="s">
        <v>43901</v>
      </c>
      <c r="K9141" t="s">
        <v>291</v>
      </c>
      <c r="M9141">
        <v>971.01880000000006</v>
      </c>
      <c r="O9141" t="s">
        <v>94</v>
      </c>
      <c r="P9141">
        <v>30</v>
      </c>
      <c r="Q9141">
        <v>37.5</v>
      </c>
      <c r="R9141">
        <v>30</v>
      </c>
      <c r="S9141">
        <v>45</v>
      </c>
      <c r="T9141" t="s">
        <v>43902</v>
      </c>
    </row>
    <row r="9142" spans="1:20">
      <c r="A9142">
        <v>4795921</v>
      </c>
      <c r="B9142" t="s">
        <v>43903</v>
      </c>
      <c r="C9142" t="str">
        <f>"9782763785172"</f>
        <v>9782763785172</v>
      </c>
      <c r="D9142" t="str">
        <f>"9782763705170"</f>
        <v>9782763705170</v>
      </c>
      <c r="E9142" t="s">
        <v>43877</v>
      </c>
      <c r="F9142" t="s">
        <v>43877</v>
      </c>
      <c r="G9142" s="1">
        <v>40544</v>
      </c>
      <c r="I9142" t="s">
        <v>43283</v>
      </c>
      <c r="J9142" t="s">
        <v>43904</v>
      </c>
      <c r="K9142" t="s">
        <v>1859</v>
      </c>
      <c r="M9142">
        <v>121</v>
      </c>
      <c r="O9142" t="s">
        <v>94</v>
      </c>
      <c r="P9142">
        <v>35</v>
      </c>
      <c r="Q9142">
        <v>43.75</v>
      </c>
      <c r="R9142">
        <v>35</v>
      </c>
      <c r="S9142">
        <v>52.5</v>
      </c>
      <c r="T9142" t="s">
        <v>43905</v>
      </c>
    </row>
    <row r="9143" spans="1:20">
      <c r="A9143">
        <v>4795924</v>
      </c>
      <c r="B9143" t="s">
        <v>43906</v>
      </c>
      <c r="C9143" t="str">
        <f>"9782763789941"</f>
        <v>9782763789941</v>
      </c>
      <c r="D9143" t="str">
        <f>"9782763709949"</f>
        <v>9782763709949</v>
      </c>
      <c r="E9143" t="s">
        <v>43877</v>
      </c>
      <c r="F9143" t="s">
        <v>43877</v>
      </c>
      <c r="G9143" s="1">
        <v>40161</v>
      </c>
      <c r="J9143" t="s">
        <v>43898</v>
      </c>
      <c r="K9143" t="s">
        <v>1859</v>
      </c>
      <c r="M9143" t="s">
        <v>43907</v>
      </c>
      <c r="O9143" t="s">
        <v>26</v>
      </c>
      <c r="P9143">
        <v>50</v>
      </c>
      <c r="Q9143">
        <v>62.5</v>
      </c>
      <c r="R9143">
        <v>50</v>
      </c>
      <c r="S9143">
        <v>75</v>
      </c>
      <c r="T9143" t="s">
        <v>43908</v>
      </c>
    </row>
    <row r="9144" spans="1:20">
      <c r="A9144">
        <v>4795925</v>
      </c>
      <c r="B9144" t="s">
        <v>43909</v>
      </c>
      <c r="C9144" t="str">
        <f>"9782763790176"</f>
        <v>9782763790176</v>
      </c>
      <c r="D9144" t="str">
        <f>"9782763710174"</f>
        <v>9782763710174</v>
      </c>
      <c r="E9144" t="s">
        <v>43877</v>
      </c>
      <c r="F9144" t="s">
        <v>43877</v>
      </c>
      <c r="G9144" s="1">
        <v>40269</v>
      </c>
      <c r="J9144" t="s">
        <v>43910</v>
      </c>
      <c r="K9144" t="s">
        <v>291</v>
      </c>
      <c r="M9144">
        <v>971</v>
      </c>
      <c r="O9144" t="s">
        <v>94</v>
      </c>
      <c r="P9144">
        <v>25</v>
      </c>
      <c r="Q9144">
        <v>31.25</v>
      </c>
      <c r="R9144">
        <v>25</v>
      </c>
      <c r="S9144">
        <v>37.5</v>
      </c>
      <c r="T9144" t="s">
        <v>43911</v>
      </c>
    </row>
    <row r="9145" spans="1:20">
      <c r="A9145">
        <v>4795926</v>
      </c>
      <c r="B9145" t="s">
        <v>43912</v>
      </c>
      <c r="C9145" t="str">
        <f>"9782763788517"</f>
        <v>9782763788517</v>
      </c>
      <c r="D9145" t="str">
        <f>"9782763712079"</f>
        <v>9782763712079</v>
      </c>
      <c r="E9145" t="s">
        <v>43877</v>
      </c>
      <c r="F9145" t="s">
        <v>43877</v>
      </c>
      <c r="G9145" s="1">
        <v>40030</v>
      </c>
      <c r="J9145" t="s">
        <v>43913</v>
      </c>
      <c r="K9145" t="s">
        <v>1471</v>
      </c>
      <c r="M9145">
        <v>701.03</v>
      </c>
      <c r="O9145" t="s">
        <v>94</v>
      </c>
      <c r="P9145">
        <v>30</v>
      </c>
      <c r="Q9145">
        <v>37.5</v>
      </c>
      <c r="R9145">
        <v>30</v>
      </c>
      <c r="S9145">
        <v>45</v>
      </c>
      <c r="T9145" t="s">
        <v>43914</v>
      </c>
    </row>
    <row r="9146" spans="1:20">
      <c r="A9146">
        <v>4795932</v>
      </c>
      <c r="B9146" t="s">
        <v>43915</v>
      </c>
      <c r="C9146" t="str">
        <f>"9782763786568"</f>
        <v>9782763786568</v>
      </c>
      <c r="D9146" t="str">
        <f>"9782763706566"</f>
        <v>9782763706566</v>
      </c>
      <c r="E9146" t="s">
        <v>43877</v>
      </c>
      <c r="F9146" t="s">
        <v>43877</v>
      </c>
      <c r="G9146" s="1">
        <v>40822</v>
      </c>
      <c r="I9146" t="s">
        <v>43916</v>
      </c>
      <c r="J9146" t="s">
        <v>43917</v>
      </c>
      <c r="K9146" t="s">
        <v>1464</v>
      </c>
      <c r="M9146">
        <v>809</v>
      </c>
      <c r="O9146" t="s">
        <v>94</v>
      </c>
      <c r="P9146">
        <v>50</v>
      </c>
      <c r="Q9146">
        <v>62.5</v>
      </c>
      <c r="R9146">
        <v>50</v>
      </c>
      <c r="S9146">
        <v>75</v>
      </c>
      <c r="T9146" t="s">
        <v>43918</v>
      </c>
    </row>
    <row r="9147" spans="1:20">
      <c r="A9147">
        <v>4795939</v>
      </c>
      <c r="B9147" t="s">
        <v>43919</v>
      </c>
      <c r="C9147" t="str">
        <f>"9782763786421"</f>
        <v>9782763786421</v>
      </c>
      <c r="D9147" t="str">
        <f>"9782763706429"</f>
        <v>9782763706429</v>
      </c>
      <c r="E9147" t="s">
        <v>43877</v>
      </c>
      <c r="F9147" t="s">
        <v>43877</v>
      </c>
      <c r="G9147" s="1">
        <v>40193</v>
      </c>
      <c r="J9147" t="s">
        <v>43920</v>
      </c>
      <c r="K9147" t="s">
        <v>291</v>
      </c>
      <c r="M9147">
        <v>971.404</v>
      </c>
      <c r="O9147" t="s">
        <v>94</v>
      </c>
      <c r="P9147">
        <v>25</v>
      </c>
      <c r="Q9147">
        <v>31.25</v>
      </c>
      <c r="R9147">
        <v>25</v>
      </c>
      <c r="S9147">
        <v>37.5</v>
      </c>
      <c r="T9147" t="s">
        <v>43921</v>
      </c>
    </row>
    <row r="9148" spans="1:20">
      <c r="A9148">
        <v>4795954</v>
      </c>
      <c r="B9148" t="s">
        <v>43922</v>
      </c>
      <c r="C9148" t="str">
        <f>"9782763787572"</f>
        <v>9782763787572</v>
      </c>
      <c r="D9148" t="str">
        <f>"9782763702575"</f>
        <v>9782763702575</v>
      </c>
      <c r="E9148" t="s">
        <v>43877</v>
      </c>
      <c r="F9148" t="s">
        <v>43877</v>
      </c>
      <c r="G9148" s="1">
        <v>39904</v>
      </c>
      <c r="J9148" t="s">
        <v>43923</v>
      </c>
      <c r="K9148" t="s">
        <v>263</v>
      </c>
      <c r="M9148">
        <v>306</v>
      </c>
      <c r="O9148" t="s">
        <v>94</v>
      </c>
      <c r="P9148">
        <v>43</v>
      </c>
      <c r="Q9148">
        <v>53.75</v>
      </c>
      <c r="R9148">
        <v>43</v>
      </c>
      <c r="S9148">
        <v>64.5</v>
      </c>
      <c r="T9148" t="s">
        <v>43924</v>
      </c>
    </row>
    <row r="9149" spans="1:20">
      <c r="A9149">
        <v>4795959</v>
      </c>
      <c r="B9149" t="s">
        <v>43925</v>
      </c>
      <c r="C9149" t="str">
        <f>"9782763786223"</f>
        <v>9782763786223</v>
      </c>
      <c r="D9149" t="str">
        <f>"9782763706221"</f>
        <v>9782763706221</v>
      </c>
      <c r="E9149" t="s">
        <v>43877</v>
      </c>
      <c r="F9149" t="s">
        <v>43877</v>
      </c>
      <c r="G9149" s="1">
        <v>40822</v>
      </c>
      <c r="I9149" t="s">
        <v>43283</v>
      </c>
      <c r="J9149" t="s">
        <v>43926</v>
      </c>
      <c r="K9149" t="s">
        <v>42284</v>
      </c>
      <c r="M9149" t="s">
        <v>43927</v>
      </c>
      <c r="O9149" t="s">
        <v>94</v>
      </c>
      <c r="P9149">
        <v>35</v>
      </c>
      <c r="Q9149">
        <v>43.75</v>
      </c>
      <c r="R9149">
        <v>35</v>
      </c>
      <c r="S9149">
        <v>52.5</v>
      </c>
      <c r="T9149" t="s">
        <v>43928</v>
      </c>
    </row>
    <row r="9150" spans="1:20">
      <c r="A9150">
        <v>4795962</v>
      </c>
      <c r="B9150" t="s">
        <v>43929</v>
      </c>
      <c r="C9150" t="str">
        <f>"9782763788166"</f>
        <v>9782763788166</v>
      </c>
      <c r="D9150" t="str">
        <f>"9782763712017"</f>
        <v>9782763712017</v>
      </c>
      <c r="E9150" t="s">
        <v>43877</v>
      </c>
      <c r="F9150" t="s">
        <v>43877</v>
      </c>
      <c r="G9150" s="1">
        <v>39864</v>
      </c>
      <c r="J9150" t="s">
        <v>35099</v>
      </c>
      <c r="K9150" t="s">
        <v>263</v>
      </c>
      <c r="M9150">
        <v>306.44900000000001</v>
      </c>
      <c r="O9150" t="s">
        <v>94</v>
      </c>
      <c r="P9150">
        <v>43</v>
      </c>
      <c r="Q9150">
        <v>53.75</v>
      </c>
      <c r="R9150">
        <v>43</v>
      </c>
      <c r="S9150">
        <v>64.5</v>
      </c>
      <c r="T9150" t="s">
        <v>43930</v>
      </c>
    </row>
    <row r="9151" spans="1:20">
      <c r="A9151">
        <v>4795964</v>
      </c>
      <c r="B9151" t="s">
        <v>43931</v>
      </c>
      <c r="C9151" t="str">
        <f>"9782763787800"</f>
        <v>9782763787800</v>
      </c>
      <c r="D9151" t="str">
        <f>"9782763707808"</f>
        <v>9782763707808</v>
      </c>
      <c r="E9151" t="s">
        <v>43877</v>
      </c>
      <c r="F9151" t="s">
        <v>43877</v>
      </c>
      <c r="G9151" s="1">
        <v>40822</v>
      </c>
      <c r="I9151" t="s">
        <v>43932</v>
      </c>
      <c r="J9151" t="s">
        <v>43933</v>
      </c>
      <c r="K9151" t="s">
        <v>467</v>
      </c>
      <c r="M9151">
        <v>354.81</v>
      </c>
      <c r="O9151" t="s">
        <v>94</v>
      </c>
      <c r="P9151">
        <v>35</v>
      </c>
      <c r="Q9151">
        <v>43.75</v>
      </c>
      <c r="R9151">
        <v>35</v>
      </c>
      <c r="S9151">
        <v>52.5</v>
      </c>
      <c r="T9151" t="s">
        <v>43934</v>
      </c>
    </row>
    <row r="9152" spans="1:20">
      <c r="A9152">
        <v>4795973</v>
      </c>
      <c r="B9152" t="s">
        <v>43935</v>
      </c>
      <c r="C9152" t="str">
        <f>"9782763787923"</f>
        <v>9782763787923</v>
      </c>
      <c r="D9152" t="str">
        <f>"9782763707921"</f>
        <v>9782763707921</v>
      </c>
      <c r="E9152" t="s">
        <v>43877</v>
      </c>
      <c r="F9152" t="s">
        <v>43877</v>
      </c>
      <c r="G9152" s="1">
        <v>40822</v>
      </c>
      <c r="I9152" t="s">
        <v>43936</v>
      </c>
      <c r="J9152" t="s">
        <v>43937</v>
      </c>
      <c r="K9152" t="s">
        <v>1464</v>
      </c>
      <c r="M9152" t="s">
        <v>43938</v>
      </c>
      <c r="O9152" t="s">
        <v>94</v>
      </c>
      <c r="P9152">
        <v>65</v>
      </c>
      <c r="Q9152">
        <v>81.25</v>
      </c>
      <c r="R9152">
        <v>65</v>
      </c>
      <c r="S9152">
        <v>97.5</v>
      </c>
      <c r="T9152" t="s">
        <v>43939</v>
      </c>
    </row>
    <row r="9153" spans="1:20">
      <c r="A9153">
        <v>4795978</v>
      </c>
      <c r="B9153" t="s">
        <v>43940</v>
      </c>
      <c r="C9153" t="str">
        <f>"9782763788500"</f>
        <v>9782763788500</v>
      </c>
      <c r="D9153" t="str">
        <f>"9782763712062"</f>
        <v>9782763712062</v>
      </c>
      <c r="E9153" t="s">
        <v>43877</v>
      </c>
      <c r="F9153" t="s">
        <v>43877</v>
      </c>
      <c r="G9153" s="1">
        <v>39974</v>
      </c>
      <c r="J9153" t="s">
        <v>43941</v>
      </c>
      <c r="K9153" t="s">
        <v>467</v>
      </c>
      <c r="M9153">
        <v>323</v>
      </c>
      <c r="O9153" t="s">
        <v>94</v>
      </c>
      <c r="P9153">
        <v>30</v>
      </c>
      <c r="Q9153">
        <v>37.5</v>
      </c>
      <c r="R9153">
        <v>30</v>
      </c>
      <c r="S9153">
        <v>45</v>
      </c>
      <c r="T9153" t="s">
        <v>43942</v>
      </c>
    </row>
    <row r="9154" spans="1:20">
      <c r="A9154">
        <v>4795982</v>
      </c>
      <c r="B9154" t="s">
        <v>43943</v>
      </c>
      <c r="C9154" t="str">
        <f>"9782763788487"</f>
        <v>9782763788487</v>
      </c>
      <c r="D9154" t="str">
        <f>"9782763708867"</f>
        <v>9782763708867</v>
      </c>
      <c r="E9154" t="s">
        <v>43877</v>
      </c>
      <c r="F9154" t="s">
        <v>43877</v>
      </c>
      <c r="G9154" s="1">
        <v>36526</v>
      </c>
      <c r="J9154" t="s">
        <v>43944</v>
      </c>
      <c r="K9154" t="s">
        <v>467</v>
      </c>
      <c r="M9154">
        <v>320.54097139999999</v>
      </c>
      <c r="O9154" t="s">
        <v>94</v>
      </c>
      <c r="P9154">
        <v>25</v>
      </c>
      <c r="Q9154">
        <v>31.25</v>
      </c>
      <c r="R9154">
        <v>25</v>
      </c>
      <c r="S9154">
        <v>37.5</v>
      </c>
      <c r="T9154" t="s">
        <v>43945</v>
      </c>
    </row>
    <row r="9155" spans="1:20">
      <c r="A9155">
        <v>4796004</v>
      </c>
      <c r="B9155" t="s">
        <v>43946</v>
      </c>
      <c r="C9155" t="str">
        <f>"9782763787404"</f>
        <v>9782763787404</v>
      </c>
      <c r="D9155" t="str">
        <f>"9782763707402"</f>
        <v>9782763707402</v>
      </c>
      <c r="E9155" t="s">
        <v>43877</v>
      </c>
      <c r="F9155" t="s">
        <v>43877</v>
      </c>
      <c r="G9155" s="1">
        <v>40822</v>
      </c>
      <c r="I9155" t="s">
        <v>43947</v>
      </c>
      <c r="J9155" t="s">
        <v>43948</v>
      </c>
      <c r="K9155" t="s">
        <v>2260</v>
      </c>
      <c r="M9155">
        <v>616.86</v>
      </c>
      <c r="O9155" t="s">
        <v>94</v>
      </c>
      <c r="P9155">
        <v>30</v>
      </c>
      <c r="Q9155">
        <v>37.5</v>
      </c>
      <c r="R9155">
        <v>30</v>
      </c>
      <c r="S9155">
        <v>45</v>
      </c>
      <c r="T9155" t="s">
        <v>43949</v>
      </c>
    </row>
    <row r="9156" spans="1:20">
      <c r="A9156">
        <v>4796007</v>
      </c>
      <c r="B9156" t="s">
        <v>43950</v>
      </c>
      <c r="C9156" t="str">
        <f>"9782763786070"</f>
        <v>9782763786070</v>
      </c>
      <c r="D9156" t="str">
        <f>"9782763706078"</f>
        <v>9782763706078</v>
      </c>
      <c r="E9156" t="s">
        <v>43877</v>
      </c>
      <c r="F9156" t="s">
        <v>43877</v>
      </c>
      <c r="G9156" s="1">
        <v>36526</v>
      </c>
      <c r="I9156" t="s">
        <v>43951</v>
      </c>
      <c r="J9156" t="s">
        <v>43952</v>
      </c>
      <c r="K9156" t="s">
        <v>291</v>
      </c>
      <c r="M9156">
        <v>971.01880000000006</v>
      </c>
      <c r="O9156" t="s">
        <v>94</v>
      </c>
      <c r="P9156">
        <v>25</v>
      </c>
      <c r="Q9156">
        <v>31.25</v>
      </c>
      <c r="R9156">
        <v>25</v>
      </c>
      <c r="S9156">
        <v>37.5</v>
      </c>
      <c r="T9156" t="s">
        <v>43953</v>
      </c>
    </row>
    <row r="9157" spans="1:20">
      <c r="A9157">
        <v>4796010</v>
      </c>
      <c r="B9157" t="s">
        <v>43954</v>
      </c>
      <c r="C9157" t="str">
        <f>"9782763788685"</f>
        <v>9782763788685</v>
      </c>
      <c r="D9157" t="str">
        <f>"9782763712130"</f>
        <v>9782763712130</v>
      </c>
      <c r="E9157" t="s">
        <v>43877</v>
      </c>
      <c r="F9157" t="s">
        <v>43877</v>
      </c>
      <c r="G9157" s="1">
        <v>39974</v>
      </c>
      <c r="J9157" t="s">
        <v>42273</v>
      </c>
      <c r="K9157" t="s">
        <v>1150</v>
      </c>
      <c r="M9157">
        <v>796</v>
      </c>
      <c r="O9157" t="s">
        <v>94</v>
      </c>
      <c r="P9157">
        <v>20</v>
      </c>
      <c r="Q9157">
        <v>25</v>
      </c>
      <c r="R9157">
        <v>20</v>
      </c>
      <c r="S9157">
        <v>30</v>
      </c>
      <c r="T9157" t="s">
        <v>43955</v>
      </c>
    </row>
    <row r="9158" spans="1:20">
      <c r="A9158">
        <v>4796016</v>
      </c>
      <c r="B9158" t="s">
        <v>43956</v>
      </c>
      <c r="C9158" t="str">
        <f>"9782763787398"</f>
        <v>9782763787398</v>
      </c>
      <c r="D9158" t="str">
        <f>"9782763707396"</f>
        <v>9782763707396</v>
      </c>
      <c r="E9158" t="s">
        <v>43877</v>
      </c>
      <c r="F9158" t="s">
        <v>43877</v>
      </c>
      <c r="G9158" s="1">
        <v>40822</v>
      </c>
      <c r="I9158" t="s">
        <v>43283</v>
      </c>
      <c r="J9158" t="s">
        <v>43957</v>
      </c>
      <c r="K9158" t="s">
        <v>467</v>
      </c>
      <c r="M9158">
        <v>320.97000000000003</v>
      </c>
      <c r="O9158" t="s">
        <v>94</v>
      </c>
      <c r="P9158">
        <v>35</v>
      </c>
      <c r="Q9158">
        <v>43.75</v>
      </c>
      <c r="R9158">
        <v>35</v>
      </c>
      <c r="S9158">
        <v>52.5</v>
      </c>
      <c r="T9158" t="s">
        <v>43958</v>
      </c>
    </row>
    <row r="9159" spans="1:20">
      <c r="A9159">
        <v>4796018</v>
      </c>
      <c r="B9159" t="s">
        <v>43959</v>
      </c>
      <c r="C9159" t="str">
        <f>"9782763788197"</f>
        <v>9782763788197</v>
      </c>
      <c r="D9159" t="str">
        <f>"9782763708195"</f>
        <v>9782763708195</v>
      </c>
      <c r="E9159" t="s">
        <v>43877</v>
      </c>
      <c r="F9159" t="s">
        <v>43877</v>
      </c>
      <c r="G9159" s="1">
        <v>36526</v>
      </c>
      <c r="J9159" t="s">
        <v>42615</v>
      </c>
      <c r="K9159" t="s">
        <v>1892</v>
      </c>
      <c r="M9159">
        <v>200.97139999999999</v>
      </c>
      <c r="O9159" t="s">
        <v>94</v>
      </c>
      <c r="P9159">
        <v>50</v>
      </c>
      <c r="Q9159">
        <v>62.5</v>
      </c>
      <c r="R9159">
        <v>50</v>
      </c>
      <c r="S9159">
        <v>75</v>
      </c>
      <c r="T9159" t="s">
        <v>43960</v>
      </c>
    </row>
    <row r="9160" spans="1:20">
      <c r="A9160">
        <v>4796022</v>
      </c>
      <c r="B9160" t="s">
        <v>43961</v>
      </c>
      <c r="C9160" t="str">
        <f>"9782763788920"</f>
        <v>9782763788920</v>
      </c>
      <c r="D9160" t="str">
        <f>"9782763712161"</f>
        <v>9782763712161</v>
      </c>
      <c r="E9160" t="s">
        <v>43877</v>
      </c>
      <c r="F9160" t="s">
        <v>43877</v>
      </c>
      <c r="G9160" s="1">
        <v>36526</v>
      </c>
      <c r="J9160" t="s">
        <v>20603</v>
      </c>
      <c r="K9160" t="s">
        <v>263</v>
      </c>
      <c r="M9160" t="s">
        <v>43962</v>
      </c>
      <c r="O9160" t="s">
        <v>94</v>
      </c>
      <c r="P9160">
        <v>30</v>
      </c>
      <c r="Q9160">
        <v>37.5</v>
      </c>
      <c r="R9160">
        <v>30</v>
      </c>
      <c r="S9160">
        <v>45</v>
      </c>
      <c r="T9160" t="s">
        <v>43963</v>
      </c>
    </row>
    <row r="9161" spans="1:20">
      <c r="A9161">
        <v>4796025</v>
      </c>
      <c r="B9161" t="s">
        <v>43964</v>
      </c>
      <c r="C9161" t="str">
        <f>"9782763789002"</f>
        <v>9782763789002</v>
      </c>
      <c r="D9161" t="str">
        <f>"9782763711355"</f>
        <v>9782763711355</v>
      </c>
      <c r="E9161" t="s">
        <v>43877</v>
      </c>
      <c r="F9161" t="s">
        <v>43877</v>
      </c>
      <c r="G9161" s="1">
        <v>41103</v>
      </c>
      <c r="I9161" t="s">
        <v>43283</v>
      </c>
      <c r="J9161" t="s">
        <v>43965</v>
      </c>
      <c r="K9161" t="s">
        <v>263</v>
      </c>
      <c r="M9161">
        <v>306.3</v>
      </c>
      <c r="O9161" t="s">
        <v>94</v>
      </c>
      <c r="P9161">
        <v>30</v>
      </c>
      <c r="Q9161">
        <v>37.5</v>
      </c>
      <c r="R9161">
        <v>30</v>
      </c>
      <c r="S9161">
        <v>45</v>
      </c>
      <c r="T9161" t="s">
        <v>43966</v>
      </c>
    </row>
    <row r="9162" spans="1:20">
      <c r="A9162">
        <v>4796031</v>
      </c>
      <c r="B9162" t="s">
        <v>43967</v>
      </c>
      <c r="C9162" t="str">
        <f>"9782763787626"</f>
        <v>9782763787626</v>
      </c>
      <c r="D9162" t="str">
        <f>"9782763707624"</f>
        <v>9782763707624</v>
      </c>
      <c r="E9162" t="s">
        <v>43877</v>
      </c>
      <c r="F9162" t="s">
        <v>43877</v>
      </c>
      <c r="G9162" s="1">
        <v>40822</v>
      </c>
      <c r="I9162" t="s">
        <v>43968</v>
      </c>
      <c r="J9162" t="s">
        <v>43969</v>
      </c>
      <c r="K9162" t="s">
        <v>467</v>
      </c>
      <c r="M9162" t="s">
        <v>43970</v>
      </c>
      <c r="O9162" t="s">
        <v>94</v>
      </c>
      <c r="P9162">
        <v>27</v>
      </c>
      <c r="Q9162">
        <v>33.75</v>
      </c>
      <c r="R9162">
        <v>27</v>
      </c>
      <c r="S9162">
        <v>40.5</v>
      </c>
      <c r="T9162" t="s">
        <v>43971</v>
      </c>
    </row>
    <row r="9163" spans="1:20">
      <c r="A9163">
        <v>4796033</v>
      </c>
      <c r="B9163" t="s">
        <v>43972</v>
      </c>
      <c r="C9163" t="str">
        <f>"9782763787770"</f>
        <v>9782763787770</v>
      </c>
      <c r="D9163" t="str">
        <f>"9782763707778"</f>
        <v>9782763707778</v>
      </c>
      <c r="E9163" t="s">
        <v>43877</v>
      </c>
      <c r="F9163" t="s">
        <v>43877</v>
      </c>
      <c r="G9163" s="1">
        <v>40822</v>
      </c>
      <c r="I9163" t="s">
        <v>43973</v>
      </c>
      <c r="J9163" t="s">
        <v>43974</v>
      </c>
      <c r="K9163" t="s">
        <v>2260</v>
      </c>
      <c r="M9163">
        <v>616.89</v>
      </c>
      <c r="O9163" t="s">
        <v>94</v>
      </c>
      <c r="P9163">
        <v>30</v>
      </c>
      <c r="Q9163">
        <v>37.5</v>
      </c>
      <c r="R9163">
        <v>30</v>
      </c>
      <c r="S9163">
        <v>45</v>
      </c>
      <c r="T9163" t="s">
        <v>43975</v>
      </c>
    </row>
    <row r="9164" spans="1:20">
      <c r="A9164">
        <v>4796036</v>
      </c>
      <c r="B9164" t="s">
        <v>43976</v>
      </c>
      <c r="C9164" t="str">
        <f>"9782763788180"</f>
        <v>9782763788180</v>
      </c>
      <c r="D9164" t="str">
        <f>"9782763712024"</f>
        <v>9782763712024</v>
      </c>
      <c r="E9164" t="s">
        <v>43877</v>
      </c>
      <c r="F9164" t="s">
        <v>43877</v>
      </c>
      <c r="G9164" s="1">
        <v>39975</v>
      </c>
      <c r="J9164" t="s">
        <v>19592</v>
      </c>
      <c r="K9164" t="s">
        <v>467</v>
      </c>
      <c r="M9164">
        <v>322</v>
      </c>
      <c r="O9164" t="s">
        <v>94</v>
      </c>
      <c r="P9164">
        <v>40</v>
      </c>
      <c r="Q9164">
        <v>50</v>
      </c>
      <c r="R9164">
        <v>40</v>
      </c>
      <c r="S9164">
        <v>60</v>
      </c>
      <c r="T9164" t="s">
        <v>43977</v>
      </c>
    </row>
    <row r="9165" spans="1:20">
      <c r="A9165">
        <v>4796038</v>
      </c>
      <c r="B9165" t="s">
        <v>43978</v>
      </c>
      <c r="C9165" t="str">
        <f>"9782763788937"</f>
        <v>9782763788937</v>
      </c>
      <c r="D9165" t="str">
        <f>"9782763708935"</f>
        <v>9782763708935</v>
      </c>
      <c r="E9165" t="s">
        <v>43877</v>
      </c>
      <c r="F9165" t="s">
        <v>43877</v>
      </c>
      <c r="G9165" s="1">
        <v>40822</v>
      </c>
      <c r="I9165" t="s">
        <v>43979</v>
      </c>
      <c r="J9165" t="s">
        <v>43980</v>
      </c>
      <c r="K9165" t="s">
        <v>467</v>
      </c>
      <c r="M9165">
        <v>323.04199999999997</v>
      </c>
      <c r="O9165" t="s">
        <v>94</v>
      </c>
      <c r="P9165">
        <v>33</v>
      </c>
      <c r="Q9165">
        <v>41.25</v>
      </c>
      <c r="R9165">
        <v>33</v>
      </c>
      <c r="S9165">
        <v>49.5</v>
      </c>
      <c r="T9165" t="s">
        <v>43981</v>
      </c>
    </row>
    <row r="9166" spans="1:20">
      <c r="A9166">
        <v>4796040</v>
      </c>
      <c r="B9166" t="s">
        <v>43982</v>
      </c>
      <c r="C9166" t="str">
        <f>"9782763787374"</f>
        <v>9782763787374</v>
      </c>
      <c r="D9166" t="str">
        <f>"9782763707372"</f>
        <v>9782763707372</v>
      </c>
      <c r="E9166" t="s">
        <v>43877</v>
      </c>
      <c r="F9166" t="s">
        <v>43877</v>
      </c>
      <c r="G9166" s="1">
        <v>40822</v>
      </c>
      <c r="I9166" t="s">
        <v>43283</v>
      </c>
      <c r="J9166" t="s">
        <v>43983</v>
      </c>
      <c r="K9166" t="s">
        <v>263</v>
      </c>
      <c r="M9166">
        <v>305.89999999999998</v>
      </c>
      <c r="O9166" t="s">
        <v>94</v>
      </c>
      <c r="P9166">
        <v>40</v>
      </c>
      <c r="Q9166">
        <v>50</v>
      </c>
      <c r="R9166">
        <v>40</v>
      </c>
      <c r="S9166">
        <v>60</v>
      </c>
      <c r="T9166" t="s">
        <v>43984</v>
      </c>
    </row>
    <row r="9167" spans="1:20">
      <c r="A9167">
        <v>4796043</v>
      </c>
      <c r="B9167" t="s">
        <v>43985</v>
      </c>
      <c r="C9167" t="str">
        <f>"9782763789385"</f>
        <v>9782763789385</v>
      </c>
      <c r="D9167" t="str">
        <f>"9782763709383"</f>
        <v>9782763709383</v>
      </c>
      <c r="E9167" t="s">
        <v>43877</v>
      </c>
      <c r="F9167" t="s">
        <v>43877</v>
      </c>
      <c r="G9167" s="1">
        <v>40822</v>
      </c>
      <c r="I9167" t="s">
        <v>43887</v>
      </c>
      <c r="J9167" t="s">
        <v>43986</v>
      </c>
      <c r="K9167" t="s">
        <v>263</v>
      </c>
      <c r="M9167">
        <v>305.90809999999999</v>
      </c>
      <c r="O9167" t="s">
        <v>94</v>
      </c>
      <c r="P9167">
        <v>25</v>
      </c>
      <c r="Q9167">
        <v>31.25</v>
      </c>
      <c r="R9167">
        <v>25</v>
      </c>
      <c r="S9167">
        <v>37.5</v>
      </c>
      <c r="T9167" t="s">
        <v>43987</v>
      </c>
    </row>
    <row r="9168" spans="1:20">
      <c r="A9168">
        <v>4796045</v>
      </c>
      <c r="B9168" t="s">
        <v>43988</v>
      </c>
      <c r="C9168" t="str">
        <f>"9782763788333"</f>
        <v>9782763788333</v>
      </c>
      <c r="D9168" t="str">
        <f>"9782763708331"</f>
        <v>9782763708331</v>
      </c>
      <c r="E9168" t="s">
        <v>43877</v>
      </c>
      <c r="F9168" t="s">
        <v>43877</v>
      </c>
      <c r="G9168" s="1">
        <v>40822</v>
      </c>
      <c r="I9168" t="s">
        <v>43989</v>
      </c>
      <c r="J9168" t="s">
        <v>43990</v>
      </c>
      <c r="K9168" t="s">
        <v>1464</v>
      </c>
      <c r="M9168" t="s">
        <v>43991</v>
      </c>
      <c r="O9168" t="s">
        <v>94</v>
      </c>
      <c r="P9168">
        <v>30</v>
      </c>
      <c r="Q9168">
        <v>37.5</v>
      </c>
      <c r="R9168">
        <v>30</v>
      </c>
      <c r="S9168">
        <v>45</v>
      </c>
      <c r="T9168" t="s">
        <v>43992</v>
      </c>
    </row>
    <row r="9169" spans="1:20">
      <c r="A9169">
        <v>4796055</v>
      </c>
      <c r="B9169" t="s">
        <v>43993</v>
      </c>
      <c r="C9169" t="str">
        <f>"9782763788470"</f>
        <v>9782763788470</v>
      </c>
      <c r="D9169" t="str">
        <f>"9782763712048"</f>
        <v>9782763712048</v>
      </c>
      <c r="E9169" t="s">
        <v>43877</v>
      </c>
      <c r="F9169" t="s">
        <v>43877</v>
      </c>
      <c r="G9169" s="1">
        <v>36526</v>
      </c>
      <c r="J9169" t="s">
        <v>43994</v>
      </c>
      <c r="K9169" t="s">
        <v>1859</v>
      </c>
      <c r="M9169" t="s">
        <v>43995</v>
      </c>
      <c r="O9169" t="s">
        <v>94</v>
      </c>
      <c r="P9169">
        <v>20</v>
      </c>
      <c r="Q9169">
        <v>25</v>
      </c>
      <c r="R9169">
        <v>20</v>
      </c>
      <c r="S9169">
        <v>30</v>
      </c>
      <c r="T9169" t="s">
        <v>43996</v>
      </c>
    </row>
    <row r="9170" spans="1:20">
      <c r="A9170">
        <v>4796061</v>
      </c>
      <c r="B9170" t="s">
        <v>43997</v>
      </c>
      <c r="C9170" t="str">
        <f>"9782763788715"</f>
        <v>9782763788715</v>
      </c>
      <c r="D9170" t="str">
        <f>"9782763712147"</f>
        <v>9782763712147</v>
      </c>
      <c r="E9170" t="s">
        <v>43877</v>
      </c>
      <c r="F9170" t="s">
        <v>43877</v>
      </c>
      <c r="G9170" s="1">
        <v>36526</v>
      </c>
      <c r="J9170" t="s">
        <v>43998</v>
      </c>
      <c r="K9170" t="s">
        <v>291</v>
      </c>
      <c r="M9170">
        <v>973.3</v>
      </c>
      <c r="O9170" t="s">
        <v>94</v>
      </c>
      <c r="P9170">
        <v>40</v>
      </c>
      <c r="Q9170">
        <v>50</v>
      </c>
      <c r="R9170">
        <v>40</v>
      </c>
      <c r="S9170">
        <v>60</v>
      </c>
      <c r="T9170" t="s">
        <v>43999</v>
      </c>
    </row>
    <row r="9171" spans="1:20">
      <c r="A9171">
        <v>4796064</v>
      </c>
      <c r="B9171" t="s">
        <v>44000</v>
      </c>
      <c r="C9171" t="str">
        <f>"9782763790084"</f>
        <v>9782763790084</v>
      </c>
      <c r="D9171" t="str">
        <f>"9782763710082"</f>
        <v>9782763710082</v>
      </c>
      <c r="E9171" t="s">
        <v>43877</v>
      </c>
      <c r="F9171" t="s">
        <v>43877</v>
      </c>
      <c r="G9171" s="1">
        <v>36526</v>
      </c>
      <c r="J9171" t="s">
        <v>44001</v>
      </c>
      <c r="K9171" t="s">
        <v>291</v>
      </c>
      <c r="M9171" t="s">
        <v>21138</v>
      </c>
      <c r="O9171" t="s">
        <v>94</v>
      </c>
      <c r="P9171">
        <v>10</v>
      </c>
      <c r="Q9171">
        <v>12.5</v>
      </c>
      <c r="R9171">
        <v>10</v>
      </c>
      <c r="S9171">
        <v>15</v>
      </c>
      <c r="T9171" t="s">
        <v>44002</v>
      </c>
    </row>
    <row r="9172" spans="1:20">
      <c r="A9172">
        <v>4796065</v>
      </c>
      <c r="B9172" t="s">
        <v>44003</v>
      </c>
      <c r="C9172" t="str">
        <f>"9782763790121"</f>
        <v>9782763790121</v>
      </c>
      <c r="D9172" t="str">
        <f>"9782763710129"</f>
        <v>9782763710129</v>
      </c>
      <c r="E9172" t="s">
        <v>43877</v>
      </c>
      <c r="F9172" t="s">
        <v>43877</v>
      </c>
      <c r="G9172" s="1">
        <v>40249</v>
      </c>
      <c r="J9172" t="s">
        <v>44004</v>
      </c>
      <c r="K9172" t="s">
        <v>467</v>
      </c>
      <c r="M9172">
        <v>325</v>
      </c>
      <c r="O9172" t="s">
        <v>94</v>
      </c>
      <c r="P9172">
        <v>15</v>
      </c>
      <c r="Q9172">
        <v>18.75</v>
      </c>
      <c r="R9172">
        <v>15</v>
      </c>
      <c r="S9172">
        <v>22.5</v>
      </c>
      <c r="T9172" t="s">
        <v>44005</v>
      </c>
    </row>
    <row r="9173" spans="1:20">
      <c r="A9173">
        <v>4796067</v>
      </c>
      <c r="B9173" t="s">
        <v>44006</v>
      </c>
      <c r="C9173" t="str">
        <f>"9782763790091"</f>
        <v>9782763790091</v>
      </c>
      <c r="D9173" t="str">
        <f>"9782763710099"</f>
        <v>9782763710099</v>
      </c>
      <c r="E9173" t="s">
        <v>43877</v>
      </c>
      <c r="F9173" t="s">
        <v>43877</v>
      </c>
      <c r="G9173" s="1">
        <v>40220</v>
      </c>
      <c r="J9173" t="s">
        <v>44007</v>
      </c>
      <c r="K9173" t="s">
        <v>263</v>
      </c>
      <c r="M9173">
        <v>303.37200000000001</v>
      </c>
      <c r="O9173" t="s">
        <v>94</v>
      </c>
      <c r="P9173">
        <v>15</v>
      </c>
      <c r="Q9173">
        <v>18.75</v>
      </c>
      <c r="R9173">
        <v>15</v>
      </c>
      <c r="S9173">
        <v>22.5</v>
      </c>
      <c r="T9173" t="s">
        <v>44008</v>
      </c>
    </row>
    <row r="9174" spans="1:20">
      <c r="A9174">
        <v>4796071</v>
      </c>
      <c r="B9174" t="s">
        <v>44009</v>
      </c>
      <c r="C9174" t="str">
        <f>"9782763786698"</f>
        <v>9782763786698</v>
      </c>
      <c r="D9174" t="str">
        <f>"9782763706696"</f>
        <v>9782763706696</v>
      </c>
      <c r="E9174" t="s">
        <v>43877</v>
      </c>
      <c r="F9174" t="s">
        <v>43877</v>
      </c>
      <c r="G9174" s="1">
        <v>41327</v>
      </c>
      <c r="I9174" t="s">
        <v>44010</v>
      </c>
      <c r="J9174" t="s">
        <v>44011</v>
      </c>
      <c r="K9174" t="s">
        <v>467</v>
      </c>
      <c r="M9174">
        <v>323.60000000000002</v>
      </c>
      <c r="O9174" t="s">
        <v>94</v>
      </c>
      <c r="P9174">
        <v>29.95</v>
      </c>
      <c r="Q9174">
        <v>37.44</v>
      </c>
      <c r="R9174">
        <v>29.95</v>
      </c>
      <c r="S9174">
        <v>44.93</v>
      </c>
      <c r="T9174" t="s">
        <v>44012</v>
      </c>
    </row>
    <row r="9175" spans="1:20">
      <c r="A9175">
        <v>4796074</v>
      </c>
      <c r="B9175" t="s">
        <v>44013</v>
      </c>
      <c r="C9175" t="str">
        <f>"9782763790077"</f>
        <v>9782763790077</v>
      </c>
      <c r="D9175" t="str">
        <f>"9782763710075"</f>
        <v>9782763710075</v>
      </c>
      <c r="E9175" t="s">
        <v>43877</v>
      </c>
      <c r="F9175" t="s">
        <v>43877</v>
      </c>
      <c r="G9175" s="1">
        <v>40241</v>
      </c>
      <c r="J9175" t="s">
        <v>29920</v>
      </c>
      <c r="K9175" t="s">
        <v>467</v>
      </c>
      <c r="M9175">
        <v>323</v>
      </c>
      <c r="O9175" t="s">
        <v>94</v>
      </c>
      <c r="P9175">
        <v>8</v>
      </c>
      <c r="Q9175">
        <v>10</v>
      </c>
      <c r="R9175">
        <v>8</v>
      </c>
      <c r="S9175">
        <v>12</v>
      </c>
      <c r="T9175" t="s">
        <v>44014</v>
      </c>
    </row>
    <row r="9176" spans="1:20">
      <c r="A9176">
        <v>4796078</v>
      </c>
      <c r="B9176" t="s">
        <v>44015</v>
      </c>
      <c r="C9176" t="str">
        <f>"9782763788739"</f>
        <v>9782763788739</v>
      </c>
      <c r="D9176" t="str">
        <f>"9782763708737"</f>
        <v>9782763708737</v>
      </c>
      <c r="E9176" t="s">
        <v>43877</v>
      </c>
      <c r="F9176" t="s">
        <v>43877</v>
      </c>
      <c r="G9176" s="1">
        <v>40235</v>
      </c>
      <c r="J9176" t="s">
        <v>44016</v>
      </c>
      <c r="K9176" t="s">
        <v>1892</v>
      </c>
      <c r="M9176">
        <v>282</v>
      </c>
      <c r="O9176" t="s">
        <v>94</v>
      </c>
      <c r="P9176">
        <v>39.950000000000003</v>
      </c>
      <c r="Q9176">
        <v>49.94</v>
      </c>
      <c r="R9176">
        <v>39.950000000000003</v>
      </c>
      <c r="S9176">
        <v>59.93</v>
      </c>
      <c r="T9176" t="s">
        <v>44017</v>
      </c>
    </row>
    <row r="9177" spans="1:20">
      <c r="A9177">
        <v>4796084</v>
      </c>
      <c r="B9177" t="s">
        <v>44018</v>
      </c>
      <c r="C9177" t="str">
        <f>"9782763786667"</f>
        <v>9782763786667</v>
      </c>
      <c r="D9177" t="str">
        <f>"9782763706665"</f>
        <v>9782763706665</v>
      </c>
      <c r="E9177" t="s">
        <v>43877</v>
      </c>
      <c r="F9177" t="s">
        <v>43877</v>
      </c>
      <c r="G9177" s="1">
        <v>40239</v>
      </c>
      <c r="J9177" t="s">
        <v>44019</v>
      </c>
      <c r="K9177" t="s">
        <v>257</v>
      </c>
      <c r="M9177">
        <v>371</v>
      </c>
      <c r="O9177" t="s">
        <v>26</v>
      </c>
      <c r="P9177">
        <v>45</v>
      </c>
      <c r="Q9177">
        <v>56.25</v>
      </c>
      <c r="R9177">
        <v>45</v>
      </c>
      <c r="S9177">
        <v>67.5</v>
      </c>
      <c r="T9177" t="s">
        <v>44020</v>
      </c>
    </row>
    <row r="9178" spans="1:20">
      <c r="A9178">
        <v>4796086</v>
      </c>
      <c r="B9178" t="s">
        <v>44021</v>
      </c>
      <c r="C9178" t="str">
        <f>"9782763789514"</f>
        <v>9782763789514</v>
      </c>
      <c r="D9178" t="str">
        <f>"9782763709512"</f>
        <v>9782763709512</v>
      </c>
      <c r="E9178" t="s">
        <v>43877</v>
      </c>
      <c r="F9178" t="s">
        <v>43877</v>
      </c>
      <c r="G9178" s="1">
        <v>40283</v>
      </c>
      <c r="J9178" t="s">
        <v>44022</v>
      </c>
      <c r="K9178" t="s">
        <v>263</v>
      </c>
      <c r="M9178">
        <v>305.8</v>
      </c>
      <c r="O9178" t="s">
        <v>94</v>
      </c>
      <c r="P9178">
        <v>19.95</v>
      </c>
      <c r="Q9178">
        <v>24.94</v>
      </c>
      <c r="R9178">
        <v>19.95</v>
      </c>
      <c r="S9178">
        <v>29.93</v>
      </c>
      <c r="T9178" t="s">
        <v>44023</v>
      </c>
    </row>
    <row r="9179" spans="1:20">
      <c r="A9179">
        <v>4796087</v>
      </c>
      <c r="B9179" t="s">
        <v>44024</v>
      </c>
      <c r="C9179" t="str">
        <f>"9782763786643"</f>
        <v>9782763786643</v>
      </c>
      <c r="D9179" t="str">
        <f>"9782763706641"</f>
        <v>9782763706641</v>
      </c>
      <c r="E9179" t="s">
        <v>43877</v>
      </c>
      <c r="F9179" t="s">
        <v>43877</v>
      </c>
      <c r="G9179" s="1">
        <v>40193</v>
      </c>
      <c r="J9179" t="s">
        <v>44025</v>
      </c>
      <c r="K9179" t="s">
        <v>263</v>
      </c>
      <c r="M9179">
        <v>363</v>
      </c>
      <c r="O9179" t="s">
        <v>94</v>
      </c>
      <c r="P9179">
        <v>24.95</v>
      </c>
      <c r="Q9179">
        <v>31.19</v>
      </c>
      <c r="R9179">
        <v>24.95</v>
      </c>
      <c r="S9179">
        <v>37.43</v>
      </c>
      <c r="T9179" t="s">
        <v>44026</v>
      </c>
    </row>
    <row r="9180" spans="1:20">
      <c r="A9180">
        <v>4796089</v>
      </c>
      <c r="B9180" t="s">
        <v>44027</v>
      </c>
      <c r="C9180" t="str">
        <f>"9782763787725"</f>
        <v>9782763787725</v>
      </c>
      <c r="D9180" t="str">
        <f>"9782763707723"</f>
        <v>9782763707723</v>
      </c>
      <c r="E9180" t="s">
        <v>43877</v>
      </c>
      <c r="F9180" t="s">
        <v>43877</v>
      </c>
      <c r="G9180" s="1">
        <v>40378</v>
      </c>
      <c r="J9180" t="s">
        <v>44028</v>
      </c>
      <c r="K9180" t="s">
        <v>257</v>
      </c>
      <c r="M9180">
        <v>371.3</v>
      </c>
      <c r="O9180" t="s">
        <v>94</v>
      </c>
      <c r="P9180">
        <v>34.950000000000003</v>
      </c>
      <c r="Q9180">
        <v>43.69</v>
      </c>
      <c r="R9180">
        <v>34.950000000000003</v>
      </c>
      <c r="S9180">
        <v>52.43</v>
      </c>
      <c r="T9180" t="s">
        <v>44029</v>
      </c>
    </row>
    <row r="9181" spans="1:20">
      <c r="A9181">
        <v>4796095</v>
      </c>
      <c r="B9181" t="s">
        <v>44030</v>
      </c>
      <c r="C9181" t="str">
        <f>"9782763789415"</f>
        <v>9782763789415</v>
      </c>
      <c r="D9181" t="str">
        <f>"9782763709413"</f>
        <v>9782763709413</v>
      </c>
      <c r="E9181" t="s">
        <v>43877</v>
      </c>
      <c r="F9181" t="s">
        <v>43877</v>
      </c>
      <c r="G9181" s="1">
        <v>40871</v>
      </c>
      <c r="I9181" t="s">
        <v>43283</v>
      </c>
      <c r="J9181" t="s">
        <v>44031</v>
      </c>
      <c r="K9181" t="s">
        <v>1892</v>
      </c>
      <c r="M9181">
        <v>282.714</v>
      </c>
      <c r="O9181" t="s">
        <v>94</v>
      </c>
      <c r="P9181">
        <v>34.950000000000003</v>
      </c>
      <c r="Q9181">
        <v>43.69</v>
      </c>
      <c r="R9181">
        <v>34.950000000000003</v>
      </c>
      <c r="S9181">
        <v>52.43</v>
      </c>
      <c r="T9181" t="s">
        <v>44032</v>
      </c>
    </row>
    <row r="9182" spans="1:20">
      <c r="A9182">
        <v>4796098</v>
      </c>
      <c r="B9182" t="s">
        <v>44033</v>
      </c>
      <c r="C9182" t="str">
        <f>"9782763789477"</f>
        <v>9782763789477</v>
      </c>
      <c r="D9182" t="str">
        <f>"9782763709475"</f>
        <v>9782763709475</v>
      </c>
      <c r="E9182" t="s">
        <v>43877</v>
      </c>
      <c r="F9182" t="s">
        <v>43877</v>
      </c>
      <c r="G9182" s="1">
        <v>36526</v>
      </c>
      <c r="J9182" t="s">
        <v>44034</v>
      </c>
      <c r="K9182" t="s">
        <v>1471</v>
      </c>
      <c r="M9182">
        <v>700.1</v>
      </c>
      <c r="O9182" t="s">
        <v>94</v>
      </c>
      <c r="P9182">
        <v>45</v>
      </c>
      <c r="Q9182">
        <v>56.25</v>
      </c>
      <c r="R9182">
        <v>45</v>
      </c>
      <c r="S9182">
        <v>67.5</v>
      </c>
      <c r="T9182" t="s">
        <v>44035</v>
      </c>
    </row>
    <row r="9183" spans="1:20">
      <c r="A9183">
        <v>4796099</v>
      </c>
      <c r="B9183" t="s">
        <v>44036</v>
      </c>
      <c r="C9183" t="str">
        <f>"9782763789644"</f>
        <v>9782763789644</v>
      </c>
      <c r="D9183" t="str">
        <f>"9782763709642"</f>
        <v>9782763709642</v>
      </c>
      <c r="E9183" t="s">
        <v>43877</v>
      </c>
      <c r="F9183" t="s">
        <v>43877</v>
      </c>
      <c r="G9183" s="1">
        <v>40822</v>
      </c>
      <c r="I9183" t="s">
        <v>44037</v>
      </c>
      <c r="J9183" t="s">
        <v>44038</v>
      </c>
      <c r="K9183" t="s">
        <v>263</v>
      </c>
      <c r="M9183">
        <v>306</v>
      </c>
      <c r="O9183" t="s">
        <v>94</v>
      </c>
      <c r="P9183">
        <v>39.950000000000003</v>
      </c>
      <c r="Q9183">
        <v>49.94</v>
      </c>
      <c r="R9183">
        <v>39.950000000000003</v>
      </c>
      <c r="S9183">
        <v>59.93</v>
      </c>
      <c r="T9183" t="s">
        <v>44039</v>
      </c>
    </row>
    <row r="9184" spans="1:20">
      <c r="A9184">
        <v>4796102</v>
      </c>
      <c r="B9184" t="s">
        <v>44040</v>
      </c>
      <c r="C9184" t="str">
        <f>"9782763788401"</f>
        <v>9782763788401</v>
      </c>
      <c r="D9184" t="str">
        <f>"9782763708409"</f>
        <v>9782763708409</v>
      </c>
      <c r="E9184" t="s">
        <v>43877</v>
      </c>
      <c r="F9184" t="s">
        <v>43877</v>
      </c>
      <c r="G9184" s="1">
        <v>40209</v>
      </c>
      <c r="J9184" t="s">
        <v>44041</v>
      </c>
      <c r="K9184" t="s">
        <v>263</v>
      </c>
      <c r="M9184">
        <v>306.815</v>
      </c>
      <c r="O9184" t="s">
        <v>94</v>
      </c>
      <c r="P9184">
        <v>25</v>
      </c>
      <c r="Q9184">
        <v>31.25</v>
      </c>
      <c r="R9184">
        <v>25</v>
      </c>
      <c r="S9184">
        <v>37.5</v>
      </c>
      <c r="T9184" t="s">
        <v>44042</v>
      </c>
    </row>
    <row r="9185" spans="1:20">
      <c r="A9185">
        <v>4796104</v>
      </c>
      <c r="B9185" t="s">
        <v>44043</v>
      </c>
      <c r="C9185" t="str">
        <f>"9782763783536"</f>
        <v>9782763783536</v>
      </c>
      <c r="D9185" t="str">
        <f>"9782763703534"</f>
        <v>9782763703534</v>
      </c>
      <c r="E9185" t="s">
        <v>43877</v>
      </c>
      <c r="F9185" t="s">
        <v>43877</v>
      </c>
      <c r="G9185" s="1">
        <v>40822</v>
      </c>
      <c r="I9185" t="s">
        <v>44037</v>
      </c>
      <c r="J9185" t="s">
        <v>44044</v>
      </c>
      <c r="K9185" t="s">
        <v>291</v>
      </c>
      <c r="M9185">
        <v>952</v>
      </c>
      <c r="O9185" t="s">
        <v>94</v>
      </c>
      <c r="P9185">
        <v>49.95</v>
      </c>
      <c r="Q9185">
        <v>62.44</v>
      </c>
      <c r="R9185">
        <v>49.95</v>
      </c>
      <c r="S9185">
        <v>74.930000000000007</v>
      </c>
      <c r="T9185" t="s">
        <v>44045</v>
      </c>
    </row>
    <row r="9186" spans="1:20">
      <c r="A9186">
        <v>4796106</v>
      </c>
      <c r="B9186" t="s">
        <v>44046</v>
      </c>
      <c r="C9186" t="str">
        <f>"9782763789873"</f>
        <v>9782763789873</v>
      </c>
      <c r="D9186" t="str">
        <f>"9782763709871"</f>
        <v>9782763709871</v>
      </c>
      <c r="E9186" t="s">
        <v>43877</v>
      </c>
      <c r="F9186" t="s">
        <v>43877</v>
      </c>
      <c r="G9186" s="1">
        <v>40323</v>
      </c>
      <c r="J9186" t="s">
        <v>44047</v>
      </c>
      <c r="K9186" t="s">
        <v>330</v>
      </c>
      <c r="M9186">
        <v>363.69</v>
      </c>
      <c r="O9186" t="s">
        <v>94</v>
      </c>
      <c r="P9186">
        <v>34.950000000000003</v>
      </c>
      <c r="Q9186">
        <v>43.69</v>
      </c>
      <c r="R9186">
        <v>34.950000000000003</v>
      </c>
      <c r="S9186">
        <v>52.43</v>
      </c>
      <c r="T9186" t="s">
        <v>44048</v>
      </c>
    </row>
    <row r="9187" spans="1:20">
      <c r="A9187">
        <v>4796112</v>
      </c>
      <c r="B9187" t="s">
        <v>44049</v>
      </c>
      <c r="C9187" t="str">
        <f>"9782763787909"</f>
        <v>9782763787909</v>
      </c>
      <c r="D9187" t="str">
        <f>"9782763707907"</f>
        <v>9782763707907</v>
      </c>
      <c r="E9187" t="s">
        <v>43877</v>
      </c>
      <c r="F9187" t="s">
        <v>43877</v>
      </c>
      <c r="G9187" s="1">
        <v>40374</v>
      </c>
      <c r="J9187" t="s">
        <v>44050</v>
      </c>
      <c r="K9187" t="s">
        <v>1892</v>
      </c>
      <c r="M9187">
        <v>282</v>
      </c>
      <c r="O9187" t="s">
        <v>94</v>
      </c>
      <c r="P9187">
        <v>39.950000000000003</v>
      </c>
      <c r="Q9187">
        <v>49.94</v>
      </c>
      <c r="R9187">
        <v>39.950000000000003</v>
      </c>
      <c r="S9187">
        <v>59.93</v>
      </c>
      <c r="T9187" t="s">
        <v>44051</v>
      </c>
    </row>
    <row r="9188" spans="1:20">
      <c r="A9188">
        <v>4796113</v>
      </c>
      <c r="B9188" t="s">
        <v>44052</v>
      </c>
      <c r="C9188" t="str">
        <f>"9782763788012"</f>
        <v>9782763788012</v>
      </c>
      <c r="D9188" t="str">
        <f>"9782763708010"</f>
        <v>9782763708010</v>
      </c>
      <c r="E9188" t="s">
        <v>43877</v>
      </c>
      <c r="F9188" t="s">
        <v>43877</v>
      </c>
      <c r="G9188" s="1">
        <v>36526</v>
      </c>
      <c r="J9188" t="s">
        <v>44053</v>
      </c>
      <c r="K9188" t="s">
        <v>263</v>
      </c>
      <c r="M9188">
        <v>398.2</v>
      </c>
      <c r="O9188" t="s">
        <v>94</v>
      </c>
      <c r="P9188">
        <v>24.95</v>
      </c>
      <c r="Q9188">
        <v>31.19</v>
      </c>
      <c r="R9188">
        <v>24.95</v>
      </c>
      <c r="S9188">
        <v>37.43</v>
      </c>
      <c r="T9188" t="s">
        <v>44054</v>
      </c>
    </row>
    <row r="9189" spans="1:20">
      <c r="A9189">
        <v>4796116</v>
      </c>
      <c r="B9189" t="s">
        <v>44055</v>
      </c>
      <c r="C9189" t="str">
        <f>"9782760516014"</f>
        <v>9782760516014</v>
      </c>
      <c r="D9189" t="str">
        <f>"9782760520097"</f>
        <v>9782760520097</v>
      </c>
      <c r="E9189" t="s">
        <v>43423</v>
      </c>
      <c r="F9189" t="s">
        <v>33376</v>
      </c>
      <c r="G9189" s="1">
        <v>36526</v>
      </c>
      <c r="J9189" t="s">
        <v>44056</v>
      </c>
      <c r="K9189" t="s">
        <v>2136</v>
      </c>
      <c r="M9189">
        <v>628</v>
      </c>
      <c r="O9189" t="s">
        <v>94</v>
      </c>
      <c r="P9189">
        <v>44</v>
      </c>
      <c r="Q9189">
        <v>55</v>
      </c>
      <c r="R9189">
        <v>44</v>
      </c>
      <c r="S9189">
        <v>66</v>
      </c>
      <c r="T9189" t="s">
        <v>44057</v>
      </c>
    </row>
    <row r="9190" spans="1:20">
      <c r="A9190">
        <v>4796117</v>
      </c>
      <c r="B9190" t="s">
        <v>44058</v>
      </c>
      <c r="C9190" t="str">
        <f>"9782760524026"</f>
        <v>9782760524026</v>
      </c>
      <c r="D9190" t="str">
        <f>"9782760524033"</f>
        <v>9782760524033</v>
      </c>
      <c r="E9190" t="s">
        <v>43423</v>
      </c>
      <c r="F9190" t="s">
        <v>33376</v>
      </c>
      <c r="G9190" s="1">
        <v>36526</v>
      </c>
      <c r="J9190" t="s">
        <v>44059</v>
      </c>
      <c r="K9190" t="s">
        <v>467</v>
      </c>
      <c r="M9190">
        <v>320.609714</v>
      </c>
      <c r="O9190" t="s">
        <v>94</v>
      </c>
      <c r="P9190">
        <v>36</v>
      </c>
      <c r="Q9190">
        <v>45</v>
      </c>
      <c r="R9190">
        <v>36</v>
      </c>
      <c r="S9190">
        <v>54</v>
      </c>
      <c r="T9190" t="s">
        <v>44060</v>
      </c>
    </row>
    <row r="9191" spans="1:20">
      <c r="A9191">
        <v>4796119</v>
      </c>
      <c r="B9191" t="s">
        <v>44061</v>
      </c>
      <c r="C9191" t="str">
        <f>"9782760515390"</f>
        <v>9782760515390</v>
      </c>
      <c r="D9191" t="str">
        <f>"9782760519718"</f>
        <v>9782760519718</v>
      </c>
      <c r="E9191" t="s">
        <v>43423</v>
      </c>
      <c r="F9191" t="s">
        <v>33376</v>
      </c>
      <c r="G9191" s="1">
        <v>36526</v>
      </c>
      <c r="H9191">
        <v>2</v>
      </c>
      <c r="J9191" t="s">
        <v>44062</v>
      </c>
      <c r="K9191" t="s">
        <v>69</v>
      </c>
      <c r="M9191" t="s">
        <v>44063</v>
      </c>
      <c r="O9191" t="s">
        <v>94</v>
      </c>
      <c r="P9191">
        <v>80</v>
      </c>
      <c r="Q9191">
        <v>100</v>
      </c>
      <c r="R9191">
        <v>80</v>
      </c>
      <c r="S9191">
        <v>120</v>
      </c>
      <c r="T9191" t="s">
        <v>44064</v>
      </c>
    </row>
    <row r="9192" spans="1:20">
      <c r="A9192">
        <v>4796120</v>
      </c>
      <c r="B9192" t="s">
        <v>44065</v>
      </c>
      <c r="C9192" t="str">
        <f>"9782760523555"</f>
        <v>9782760523555</v>
      </c>
      <c r="D9192" t="str">
        <f>"9782760523562"</f>
        <v>9782760523562</v>
      </c>
      <c r="E9192" t="s">
        <v>43423</v>
      </c>
      <c r="F9192" t="s">
        <v>33376</v>
      </c>
      <c r="G9192" s="1">
        <v>36526</v>
      </c>
      <c r="J9192" t="s">
        <v>44066</v>
      </c>
      <c r="K9192" t="s">
        <v>257</v>
      </c>
      <c r="M9192">
        <v>370.11709710000002</v>
      </c>
      <c r="O9192" t="s">
        <v>94</v>
      </c>
      <c r="P9192">
        <v>39</v>
      </c>
      <c r="Q9192">
        <v>48.75</v>
      </c>
      <c r="R9192">
        <v>39</v>
      </c>
      <c r="S9192">
        <v>58.5</v>
      </c>
      <c r="T9192" t="s">
        <v>44067</v>
      </c>
    </row>
    <row r="9193" spans="1:20">
      <c r="A9193">
        <v>4796121</v>
      </c>
      <c r="B9193" t="s">
        <v>44068</v>
      </c>
      <c r="C9193" t="str">
        <f>"9782760523883"</f>
        <v>9782760523883</v>
      </c>
      <c r="D9193" t="str">
        <f>"9782760523890"</f>
        <v>9782760523890</v>
      </c>
      <c r="E9193" t="s">
        <v>43423</v>
      </c>
      <c r="F9193" t="s">
        <v>33376</v>
      </c>
      <c r="G9193" s="1">
        <v>36526</v>
      </c>
      <c r="H9193">
        <v>3</v>
      </c>
      <c r="J9193" t="s">
        <v>33282</v>
      </c>
      <c r="K9193" t="s">
        <v>263</v>
      </c>
      <c r="M9193">
        <v>302.23</v>
      </c>
      <c r="O9193" t="s">
        <v>94</v>
      </c>
      <c r="P9193">
        <v>34</v>
      </c>
      <c r="Q9193">
        <v>42.5</v>
      </c>
      <c r="R9193">
        <v>34</v>
      </c>
      <c r="S9193">
        <v>51</v>
      </c>
      <c r="T9193" t="s">
        <v>44069</v>
      </c>
    </row>
    <row r="9194" spans="1:20">
      <c r="A9194">
        <v>4796123</v>
      </c>
      <c r="B9194" t="s">
        <v>44070</v>
      </c>
      <c r="C9194" t="str">
        <f>"9782760524002"</f>
        <v>9782760524002</v>
      </c>
      <c r="D9194" t="str">
        <f>"9782760524019"</f>
        <v>9782760524019</v>
      </c>
      <c r="E9194" t="s">
        <v>43423</v>
      </c>
      <c r="F9194" t="s">
        <v>33376</v>
      </c>
      <c r="G9194" s="1">
        <v>36526</v>
      </c>
      <c r="J9194" t="s">
        <v>44071</v>
      </c>
      <c r="K9194" t="s">
        <v>263</v>
      </c>
      <c r="M9194">
        <v>304.80971399999999</v>
      </c>
      <c r="O9194" t="s">
        <v>94</v>
      </c>
      <c r="P9194">
        <v>33</v>
      </c>
      <c r="Q9194">
        <v>41.25</v>
      </c>
      <c r="R9194">
        <v>33</v>
      </c>
      <c r="S9194">
        <v>49.5</v>
      </c>
      <c r="T9194" t="s">
        <v>44072</v>
      </c>
    </row>
    <row r="9195" spans="1:20">
      <c r="A9195">
        <v>4796124</v>
      </c>
      <c r="B9195" t="s">
        <v>44073</v>
      </c>
      <c r="C9195" t="str">
        <f>"9782760523906"</f>
        <v>9782760523906</v>
      </c>
      <c r="D9195" t="str">
        <f>"9782760523913"</f>
        <v>9782760523913</v>
      </c>
      <c r="E9195" t="s">
        <v>43423</v>
      </c>
      <c r="F9195" t="s">
        <v>33376</v>
      </c>
      <c r="G9195" s="1">
        <v>36526</v>
      </c>
      <c r="J9195" t="s">
        <v>44074</v>
      </c>
      <c r="K9195" t="s">
        <v>305</v>
      </c>
      <c r="M9195">
        <v>387.70920000000001</v>
      </c>
      <c r="O9195" t="s">
        <v>94</v>
      </c>
      <c r="P9195">
        <v>40</v>
      </c>
      <c r="Q9195">
        <v>50</v>
      </c>
      <c r="R9195">
        <v>40</v>
      </c>
      <c r="S9195">
        <v>60</v>
      </c>
      <c r="T9195" t="s">
        <v>44075</v>
      </c>
    </row>
    <row r="9196" spans="1:20">
      <c r="A9196">
        <v>4796126</v>
      </c>
      <c r="B9196" t="s">
        <v>44076</v>
      </c>
      <c r="C9196" t="str">
        <f>"9782760516038"</f>
        <v>9782760516038</v>
      </c>
      <c r="D9196" t="str">
        <f>"9782760520103"</f>
        <v>9782760520103</v>
      </c>
      <c r="E9196" t="s">
        <v>43423</v>
      </c>
      <c r="F9196" t="s">
        <v>33376</v>
      </c>
      <c r="G9196" s="1">
        <v>36526</v>
      </c>
      <c r="J9196" t="s">
        <v>44077</v>
      </c>
      <c r="K9196" t="s">
        <v>263</v>
      </c>
      <c r="M9196">
        <v>305.800971</v>
      </c>
      <c r="O9196" t="s">
        <v>94</v>
      </c>
      <c r="P9196">
        <v>24</v>
      </c>
      <c r="Q9196">
        <v>30</v>
      </c>
      <c r="R9196">
        <v>24</v>
      </c>
      <c r="S9196">
        <v>36</v>
      </c>
      <c r="T9196" t="s">
        <v>44078</v>
      </c>
    </row>
    <row r="9197" spans="1:20">
      <c r="A9197">
        <v>4796127</v>
      </c>
      <c r="B9197" t="s">
        <v>44079</v>
      </c>
      <c r="C9197" t="str">
        <f>"9782760515864"</f>
        <v>9782760515864</v>
      </c>
      <c r="D9197" t="str">
        <f>"9782760522077"</f>
        <v>9782760522077</v>
      </c>
      <c r="E9197" t="s">
        <v>43423</v>
      </c>
      <c r="F9197" t="s">
        <v>33376</v>
      </c>
      <c r="G9197" s="1">
        <v>36526</v>
      </c>
      <c r="J9197" t="s">
        <v>44080</v>
      </c>
      <c r="K9197" t="s">
        <v>263</v>
      </c>
      <c r="M9197">
        <v>395</v>
      </c>
      <c r="O9197" t="s">
        <v>94</v>
      </c>
      <c r="P9197">
        <v>29</v>
      </c>
      <c r="Q9197">
        <v>36.25</v>
      </c>
      <c r="R9197">
        <v>29</v>
      </c>
      <c r="S9197">
        <v>43.5</v>
      </c>
      <c r="T9197" t="s">
        <v>44081</v>
      </c>
    </row>
    <row r="9198" spans="1:20">
      <c r="A9198">
        <v>4796128</v>
      </c>
      <c r="B9198" t="s">
        <v>44082</v>
      </c>
      <c r="C9198" t="str">
        <f>"9782760523852"</f>
        <v>9782760523852</v>
      </c>
      <c r="D9198" t="str">
        <f>"9782760523869"</f>
        <v>9782760523869</v>
      </c>
      <c r="E9198" t="s">
        <v>43423</v>
      </c>
      <c r="F9198" t="s">
        <v>33376</v>
      </c>
      <c r="G9198" s="1">
        <v>36526</v>
      </c>
      <c r="J9198" t="s">
        <v>44083</v>
      </c>
      <c r="K9198" t="s">
        <v>1127</v>
      </c>
      <c r="M9198" t="s">
        <v>44084</v>
      </c>
      <c r="O9198" t="s">
        <v>94</v>
      </c>
      <c r="P9198">
        <v>39</v>
      </c>
      <c r="Q9198">
        <v>48.75</v>
      </c>
      <c r="R9198">
        <v>39</v>
      </c>
      <c r="S9198">
        <v>58.5</v>
      </c>
      <c r="T9198" t="s">
        <v>44085</v>
      </c>
    </row>
    <row r="9199" spans="1:20">
      <c r="A9199">
        <v>4796129</v>
      </c>
      <c r="B9199" t="s">
        <v>44086</v>
      </c>
      <c r="C9199" t="str">
        <f>"9782760524156"</f>
        <v>9782760524156</v>
      </c>
      <c r="D9199" t="str">
        <f>"9782760524163"</f>
        <v>9782760524163</v>
      </c>
      <c r="E9199" t="s">
        <v>43423</v>
      </c>
      <c r="F9199" t="s">
        <v>33376</v>
      </c>
      <c r="G9199" s="1">
        <v>36526</v>
      </c>
      <c r="J9199" t="s">
        <v>43552</v>
      </c>
      <c r="K9199" t="s">
        <v>257</v>
      </c>
      <c r="M9199">
        <v>372.86</v>
      </c>
      <c r="O9199" t="s">
        <v>94</v>
      </c>
      <c r="P9199">
        <v>45</v>
      </c>
      <c r="Q9199">
        <v>56.25</v>
      </c>
      <c r="R9199">
        <v>45</v>
      </c>
      <c r="S9199">
        <v>67.5</v>
      </c>
      <c r="T9199" t="s">
        <v>44087</v>
      </c>
    </row>
    <row r="9200" spans="1:20">
      <c r="A9200">
        <v>4796130</v>
      </c>
      <c r="B9200" t="s">
        <v>44088</v>
      </c>
      <c r="C9200" t="str">
        <f>"9782760524811"</f>
        <v>9782760524811</v>
      </c>
      <c r="D9200" t="str">
        <f>"9782760524828"</f>
        <v>9782760524828</v>
      </c>
      <c r="E9200" t="s">
        <v>43423</v>
      </c>
      <c r="F9200" t="s">
        <v>33376</v>
      </c>
      <c r="G9200" s="1">
        <v>36526</v>
      </c>
      <c r="J9200" t="s">
        <v>44089</v>
      </c>
      <c r="K9200" t="s">
        <v>257</v>
      </c>
      <c r="M9200" t="s">
        <v>44090</v>
      </c>
      <c r="O9200" t="s">
        <v>94</v>
      </c>
      <c r="P9200">
        <v>28</v>
      </c>
      <c r="Q9200">
        <v>35</v>
      </c>
      <c r="R9200">
        <v>28</v>
      </c>
      <c r="S9200">
        <v>42</v>
      </c>
      <c r="T9200" t="s">
        <v>44091</v>
      </c>
    </row>
    <row r="9201" spans="1:20">
      <c r="A9201">
        <v>4796131</v>
      </c>
      <c r="B9201" t="s">
        <v>44092</v>
      </c>
      <c r="C9201" t="str">
        <f>"9782760524538"</f>
        <v>9782760524538</v>
      </c>
      <c r="D9201" t="str">
        <f>"9782760524545"</f>
        <v>9782760524545</v>
      </c>
      <c r="E9201" t="s">
        <v>43423</v>
      </c>
      <c r="F9201" t="s">
        <v>33376</v>
      </c>
      <c r="G9201" s="1">
        <v>36526</v>
      </c>
      <c r="J9201" t="s">
        <v>44093</v>
      </c>
      <c r="K9201" t="s">
        <v>1464</v>
      </c>
      <c r="M9201" t="s">
        <v>6604</v>
      </c>
      <c r="O9201" t="s">
        <v>94</v>
      </c>
      <c r="P9201">
        <v>18</v>
      </c>
      <c r="Q9201">
        <v>22.5</v>
      </c>
      <c r="R9201">
        <v>18</v>
      </c>
      <c r="S9201">
        <v>27</v>
      </c>
      <c r="T9201" t="s">
        <v>44094</v>
      </c>
    </row>
    <row r="9202" spans="1:20">
      <c r="A9202">
        <v>4796134</v>
      </c>
      <c r="B9202" t="s">
        <v>44095</v>
      </c>
      <c r="C9202" t="str">
        <f>"9782760524859"</f>
        <v>9782760524859</v>
      </c>
      <c r="D9202" t="str">
        <f>"9782760524866"</f>
        <v>9782760524866</v>
      </c>
      <c r="E9202" t="s">
        <v>43423</v>
      </c>
      <c r="F9202" t="s">
        <v>33376</v>
      </c>
      <c r="G9202" s="1">
        <v>36526</v>
      </c>
      <c r="J9202" t="s">
        <v>43734</v>
      </c>
      <c r="K9202" t="s">
        <v>1471</v>
      </c>
      <c r="M9202" t="s">
        <v>44096</v>
      </c>
      <c r="O9202" t="s">
        <v>26</v>
      </c>
      <c r="P9202">
        <v>49</v>
      </c>
      <c r="Q9202">
        <v>61.25</v>
      </c>
      <c r="R9202">
        <v>49</v>
      </c>
      <c r="S9202">
        <v>73.5</v>
      </c>
      <c r="T9202" t="s">
        <v>44097</v>
      </c>
    </row>
    <row r="9203" spans="1:20">
      <c r="A9203">
        <v>4796140</v>
      </c>
      <c r="B9203" t="s">
        <v>44098</v>
      </c>
      <c r="C9203" t="str">
        <f>"9782760524132"</f>
        <v>9782760524132</v>
      </c>
      <c r="D9203" t="str">
        <f>"9782760524149"</f>
        <v>9782760524149</v>
      </c>
      <c r="E9203" t="s">
        <v>43423</v>
      </c>
      <c r="F9203" t="s">
        <v>33376</v>
      </c>
      <c r="G9203" s="1">
        <v>36526</v>
      </c>
      <c r="J9203" t="s">
        <v>44099</v>
      </c>
      <c r="K9203" t="s">
        <v>263</v>
      </c>
      <c r="M9203" t="s">
        <v>44100</v>
      </c>
      <c r="O9203" t="s">
        <v>94</v>
      </c>
      <c r="P9203">
        <v>38</v>
      </c>
      <c r="Q9203">
        <v>47.5</v>
      </c>
      <c r="R9203">
        <v>38</v>
      </c>
      <c r="S9203">
        <v>57</v>
      </c>
      <c r="T9203" t="s">
        <v>44101</v>
      </c>
    </row>
    <row r="9204" spans="1:20">
      <c r="A9204">
        <v>4796153</v>
      </c>
      <c r="B9204" t="s">
        <v>44102</v>
      </c>
      <c r="C9204" t="str">
        <f>"9782760525252"</f>
        <v>9782760525252</v>
      </c>
      <c r="D9204" t="str">
        <f>"9782760525269"</f>
        <v>9782760525269</v>
      </c>
      <c r="E9204" t="s">
        <v>43423</v>
      </c>
      <c r="F9204" t="s">
        <v>33376</v>
      </c>
      <c r="G9204" s="1">
        <v>36526</v>
      </c>
      <c r="J9204" t="s">
        <v>44103</v>
      </c>
      <c r="K9204" t="s">
        <v>257</v>
      </c>
      <c r="M9204" t="s">
        <v>44104</v>
      </c>
      <c r="O9204" t="s">
        <v>94</v>
      </c>
      <c r="P9204">
        <v>40</v>
      </c>
      <c r="Q9204">
        <v>50</v>
      </c>
      <c r="R9204">
        <v>40</v>
      </c>
      <c r="S9204">
        <v>60</v>
      </c>
      <c r="T9204" t="s">
        <v>44105</v>
      </c>
    </row>
    <row r="9205" spans="1:20">
      <c r="A9205">
        <v>4796155</v>
      </c>
      <c r="B9205" t="s">
        <v>44106</v>
      </c>
      <c r="C9205" t="str">
        <f>"9782760524040"</f>
        <v>9782760524040</v>
      </c>
      <c r="D9205" t="str">
        <f>"9782760524057"</f>
        <v>9782760524057</v>
      </c>
      <c r="E9205" t="s">
        <v>43423</v>
      </c>
      <c r="F9205" t="s">
        <v>33376</v>
      </c>
      <c r="G9205" s="1">
        <v>36526</v>
      </c>
      <c r="J9205" t="s">
        <v>44107</v>
      </c>
      <c r="K9205" t="s">
        <v>263</v>
      </c>
      <c r="M9205">
        <v>302</v>
      </c>
      <c r="O9205" t="s">
        <v>94</v>
      </c>
      <c r="P9205">
        <v>20</v>
      </c>
      <c r="Q9205">
        <v>25</v>
      </c>
      <c r="R9205">
        <v>20</v>
      </c>
      <c r="S9205">
        <v>30</v>
      </c>
      <c r="T9205" t="s">
        <v>44108</v>
      </c>
    </row>
    <row r="9206" spans="1:20">
      <c r="A9206">
        <v>4796157</v>
      </c>
      <c r="B9206" t="s">
        <v>44109</v>
      </c>
      <c r="C9206" t="str">
        <f>"9782760524910"</f>
        <v>9782760524910</v>
      </c>
      <c r="D9206" t="str">
        <f>"9782760524927"</f>
        <v>9782760524927</v>
      </c>
      <c r="E9206" t="s">
        <v>43423</v>
      </c>
      <c r="F9206" t="s">
        <v>33376</v>
      </c>
      <c r="G9206" s="1">
        <v>36526</v>
      </c>
      <c r="J9206" t="s">
        <v>44110</v>
      </c>
      <c r="K9206" t="s">
        <v>1464</v>
      </c>
      <c r="M9206" t="s">
        <v>44111</v>
      </c>
      <c r="O9206" t="s">
        <v>94</v>
      </c>
      <c r="P9206">
        <v>26</v>
      </c>
      <c r="Q9206">
        <v>32.5</v>
      </c>
      <c r="R9206">
        <v>26</v>
      </c>
      <c r="S9206">
        <v>39</v>
      </c>
      <c r="T9206" t="s">
        <v>44112</v>
      </c>
    </row>
    <row r="9207" spans="1:20">
      <c r="A9207">
        <v>4796163</v>
      </c>
      <c r="B9207" t="s">
        <v>44113</v>
      </c>
      <c r="C9207" t="str">
        <f>"9782760524620"</f>
        <v>9782760524620</v>
      </c>
      <c r="D9207" t="str">
        <f>"9782760524637"</f>
        <v>9782760524637</v>
      </c>
      <c r="E9207" t="s">
        <v>43423</v>
      </c>
      <c r="F9207" t="s">
        <v>33376</v>
      </c>
      <c r="G9207" s="1">
        <v>36526</v>
      </c>
      <c r="J9207" t="s">
        <v>44114</v>
      </c>
      <c r="K9207" t="s">
        <v>263</v>
      </c>
      <c r="M9207">
        <v>306.76</v>
      </c>
      <c r="O9207" t="s">
        <v>94</v>
      </c>
      <c r="P9207">
        <v>40</v>
      </c>
      <c r="Q9207">
        <v>50</v>
      </c>
      <c r="R9207">
        <v>40</v>
      </c>
      <c r="S9207">
        <v>60</v>
      </c>
      <c r="T9207" t="s">
        <v>44115</v>
      </c>
    </row>
    <row r="9208" spans="1:20">
      <c r="A9208">
        <v>4796166</v>
      </c>
      <c r="B9208" t="s">
        <v>44116</v>
      </c>
      <c r="C9208" t="str">
        <f>"9782760524774"</f>
        <v>9782760524774</v>
      </c>
      <c r="D9208" t="str">
        <f>"9782760524781"</f>
        <v>9782760524781</v>
      </c>
      <c r="E9208" t="s">
        <v>43423</v>
      </c>
      <c r="F9208" t="s">
        <v>33376</v>
      </c>
      <c r="G9208" s="1">
        <v>36526</v>
      </c>
      <c r="J9208" t="s">
        <v>44117</v>
      </c>
      <c r="K9208" t="s">
        <v>263</v>
      </c>
      <c r="M9208" t="s">
        <v>24927</v>
      </c>
      <c r="O9208" t="s">
        <v>94</v>
      </c>
      <c r="P9208">
        <v>19</v>
      </c>
      <c r="Q9208">
        <v>23.75</v>
      </c>
      <c r="R9208">
        <v>19</v>
      </c>
      <c r="S9208">
        <v>28.5</v>
      </c>
      <c r="T9208" t="s">
        <v>44118</v>
      </c>
    </row>
    <row r="9209" spans="1:20">
      <c r="A9209">
        <v>4796169</v>
      </c>
      <c r="B9209" t="s">
        <v>44119</v>
      </c>
      <c r="C9209" t="str">
        <f>"9782760524484"</f>
        <v>9782760524484</v>
      </c>
      <c r="D9209" t="str">
        <f>"9782760524491"</f>
        <v>9782760524491</v>
      </c>
      <c r="E9209" t="s">
        <v>43423</v>
      </c>
      <c r="F9209" t="s">
        <v>33376</v>
      </c>
      <c r="G9209" s="1">
        <v>36526</v>
      </c>
      <c r="J9209" t="s">
        <v>44120</v>
      </c>
      <c r="K9209" t="s">
        <v>263</v>
      </c>
      <c r="M9209">
        <v>302.2</v>
      </c>
      <c r="O9209" t="s">
        <v>94</v>
      </c>
      <c r="P9209">
        <v>30</v>
      </c>
      <c r="Q9209">
        <v>37.5</v>
      </c>
      <c r="R9209">
        <v>30</v>
      </c>
      <c r="S9209">
        <v>45</v>
      </c>
      <c r="T9209" t="s">
        <v>44121</v>
      </c>
    </row>
    <row r="9210" spans="1:20">
      <c r="A9210">
        <v>4796171</v>
      </c>
      <c r="B9210" t="s">
        <v>44122</v>
      </c>
      <c r="C9210" t="str">
        <f>"9782760524972"</f>
        <v>9782760524972</v>
      </c>
      <c r="D9210" t="str">
        <f>"9782760524989"</f>
        <v>9782760524989</v>
      </c>
      <c r="E9210" t="s">
        <v>43423</v>
      </c>
      <c r="F9210" t="s">
        <v>33376</v>
      </c>
      <c r="G9210" s="1">
        <v>40247</v>
      </c>
      <c r="J9210" t="s">
        <v>44123</v>
      </c>
      <c r="K9210" t="s">
        <v>263</v>
      </c>
      <c r="M9210">
        <v>303.48329999999999</v>
      </c>
      <c r="O9210" t="s">
        <v>94</v>
      </c>
      <c r="P9210">
        <v>37</v>
      </c>
      <c r="Q9210">
        <v>46.25</v>
      </c>
      <c r="R9210">
        <v>37</v>
      </c>
      <c r="S9210">
        <v>55.5</v>
      </c>
      <c r="T9210" t="s">
        <v>44124</v>
      </c>
    </row>
    <row r="9211" spans="1:20">
      <c r="A9211">
        <v>4796174</v>
      </c>
      <c r="B9211" t="s">
        <v>44125</v>
      </c>
      <c r="C9211" t="str">
        <f>"9782760525092"</f>
        <v>9782760525092</v>
      </c>
      <c r="D9211" t="str">
        <f>"9782760525108"</f>
        <v>9782760525108</v>
      </c>
      <c r="E9211" t="s">
        <v>43423</v>
      </c>
      <c r="F9211" t="s">
        <v>33376</v>
      </c>
      <c r="G9211" s="1">
        <v>36526</v>
      </c>
      <c r="J9211" t="s">
        <v>44126</v>
      </c>
      <c r="K9211" t="s">
        <v>263</v>
      </c>
      <c r="M9211">
        <v>307.76</v>
      </c>
      <c r="O9211" t="s">
        <v>94</v>
      </c>
      <c r="P9211">
        <v>28</v>
      </c>
      <c r="Q9211">
        <v>35</v>
      </c>
      <c r="R9211">
        <v>28</v>
      </c>
      <c r="S9211">
        <v>42</v>
      </c>
      <c r="T9211" t="s">
        <v>44127</v>
      </c>
    </row>
    <row r="9212" spans="1:20">
      <c r="A9212">
        <v>4796175</v>
      </c>
      <c r="B9212" t="s">
        <v>44128</v>
      </c>
      <c r="C9212" t="str">
        <f>"9782760524668"</f>
        <v>9782760524668</v>
      </c>
      <c r="D9212" t="str">
        <f>"9782760524675"</f>
        <v>9782760524675</v>
      </c>
      <c r="E9212" t="s">
        <v>43423</v>
      </c>
      <c r="F9212" t="s">
        <v>33376</v>
      </c>
      <c r="G9212" s="1">
        <v>36526</v>
      </c>
      <c r="J9212" t="s">
        <v>44129</v>
      </c>
      <c r="K9212" t="s">
        <v>305</v>
      </c>
      <c r="M9212">
        <v>658.8</v>
      </c>
      <c r="O9212" t="s">
        <v>94</v>
      </c>
      <c r="P9212">
        <v>28</v>
      </c>
      <c r="Q9212">
        <v>35</v>
      </c>
      <c r="R9212">
        <v>28</v>
      </c>
      <c r="S9212">
        <v>42</v>
      </c>
      <c r="T9212" t="s">
        <v>44130</v>
      </c>
    </row>
    <row r="9213" spans="1:20">
      <c r="A9213">
        <v>4796177</v>
      </c>
      <c r="B9213" t="s">
        <v>44131</v>
      </c>
      <c r="C9213" t="str">
        <f>"9782760525030"</f>
        <v>9782760525030</v>
      </c>
      <c r="D9213" t="str">
        <f>"9782760525047"</f>
        <v>9782760525047</v>
      </c>
      <c r="E9213" t="s">
        <v>43423</v>
      </c>
      <c r="F9213" t="s">
        <v>33376</v>
      </c>
      <c r="G9213" s="1">
        <v>36526</v>
      </c>
      <c r="J9213" t="s">
        <v>44132</v>
      </c>
      <c r="K9213" t="s">
        <v>3230</v>
      </c>
      <c r="M9213" t="s">
        <v>44133</v>
      </c>
      <c r="O9213" t="s">
        <v>94</v>
      </c>
      <c r="P9213">
        <v>37</v>
      </c>
      <c r="Q9213">
        <v>46.25</v>
      </c>
      <c r="R9213">
        <v>37</v>
      </c>
      <c r="S9213">
        <v>55.5</v>
      </c>
      <c r="T9213" t="s">
        <v>44134</v>
      </c>
    </row>
    <row r="9214" spans="1:20">
      <c r="A9214">
        <v>4796179</v>
      </c>
      <c r="B9214" t="s">
        <v>44135</v>
      </c>
      <c r="C9214" t="str">
        <f>"9782760524347"</f>
        <v>9782760524347</v>
      </c>
      <c r="D9214" t="str">
        <f>"9782760524354"</f>
        <v>9782760524354</v>
      </c>
      <c r="E9214" t="s">
        <v>43423</v>
      </c>
      <c r="F9214" t="s">
        <v>33376</v>
      </c>
      <c r="G9214" s="1">
        <v>36526</v>
      </c>
      <c r="J9214" t="s">
        <v>44136</v>
      </c>
      <c r="K9214" t="s">
        <v>278</v>
      </c>
      <c r="M9214">
        <v>338.1</v>
      </c>
      <c r="O9214" t="s">
        <v>94</v>
      </c>
      <c r="P9214">
        <v>24</v>
      </c>
      <c r="Q9214">
        <v>30</v>
      </c>
      <c r="R9214">
        <v>24</v>
      </c>
      <c r="S9214">
        <v>36</v>
      </c>
      <c r="T9214" t="s">
        <v>44137</v>
      </c>
    </row>
    <row r="9215" spans="1:20">
      <c r="A9215">
        <v>4796182</v>
      </c>
      <c r="B9215" t="s">
        <v>44138</v>
      </c>
      <c r="C9215" t="str">
        <f>"9782760523548"</f>
        <v>9782760523548</v>
      </c>
      <c r="D9215" t="str">
        <f>"9782760524071"</f>
        <v>9782760524071</v>
      </c>
      <c r="E9215" t="s">
        <v>43423</v>
      </c>
      <c r="F9215" t="s">
        <v>33376</v>
      </c>
      <c r="G9215" s="1">
        <v>36526</v>
      </c>
      <c r="J9215" t="s">
        <v>44139</v>
      </c>
      <c r="K9215" t="s">
        <v>291</v>
      </c>
      <c r="M9215">
        <v>971.4</v>
      </c>
      <c r="O9215" t="s">
        <v>94</v>
      </c>
      <c r="P9215">
        <v>24</v>
      </c>
      <c r="Q9215">
        <v>30</v>
      </c>
      <c r="R9215">
        <v>24</v>
      </c>
      <c r="S9215">
        <v>36</v>
      </c>
      <c r="T9215" t="s">
        <v>44140</v>
      </c>
    </row>
    <row r="9216" spans="1:20">
      <c r="A9216">
        <v>4796184</v>
      </c>
      <c r="B9216" t="s">
        <v>44141</v>
      </c>
      <c r="C9216" t="str">
        <f>"9782763788203"</f>
        <v>9782763788203</v>
      </c>
      <c r="D9216" t="str">
        <f>"9782763708201"</f>
        <v>9782763708201</v>
      </c>
      <c r="E9216" t="s">
        <v>43877</v>
      </c>
      <c r="F9216" t="s">
        <v>43877</v>
      </c>
      <c r="G9216" s="1">
        <v>40483</v>
      </c>
      <c r="I9216" t="s">
        <v>43283</v>
      </c>
      <c r="J9216" t="s">
        <v>44142</v>
      </c>
      <c r="K9216" t="s">
        <v>1892</v>
      </c>
      <c r="M9216">
        <v>200.71</v>
      </c>
      <c r="O9216" t="s">
        <v>94</v>
      </c>
      <c r="P9216">
        <v>24.95</v>
      </c>
      <c r="Q9216">
        <v>31.19</v>
      </c>
      <c r="R9216">
        <v>24.95</v>
      </c>
      <c r="S9216">
        <v>37.43</v>
      </c>
      <c r="T9216" t="s">
        <v>44143</v>
      </c>
    </row>
    <row r="9217" spans="1:20">
      <c r="A9217">
        <v>4796185</v>
      </c>
      <c r="B9217" t="s">
        <v>44144</v>
      </c>
      <c r="C9217" t="str">
        <f>"9782763790978"</f>
        <v>9782763790978</v>
      </c>
      <c r="D9217" t="str">
        <f>"9782763710976"</f>
        <v>9782763710976</v>
      </c>
      <c r="E9217" t="s">
        <v>43877</v>
      </c>
      <c r="F9217" t="s">
        <v>43877</v>
      </c>
      <c r="G9217" s="1">
        <v>40512</v>
      </c>
      <c r="I9217" t="s">
        <v>44145</v>
      </c>
      <c r="J9217" t="s">
        <v>44146</v>
      </c>
      <c r="K9217" t="s">
        <v>257</v>
      </c>
      <c r="M9217">
        <v>371.1</v>
      </c>
      <c r="O9217" t="s">
        <v>94</v>
      </c>
      <c r="P9217">
        <v>39.950000000000003</v>
      </c>
      <c r="Q9217">
        <v>49.94</v>
      </c>
      <c r="R9217">
        <v>39.950000000000003</v>
      </c>
      <c r="S9217">
        <v>59.93</v>
      </c>
      <c r="T9217" t="s">
        <v>44147</v>
      </c>
    </row>
    <row r="9218" spans="1:20">
      <c r="A9218">
        <v>4796188</v>
      </c>
      <c r="B9218" t="s">
        <v>44148</v>
      </c>
      <c r="C9218" t="str">
        <f>"9782763790275"</f>
        <v>9782763790275</v>
      </c>
      <c r="D9218" t="str">
        <f>"9782763710273"</f>
        <v>9782763710273</v>
      </c>
      <c r="E9218" t="s">
        <v>43877</v>
      </c>
      <c r="F9218" t="s">
        <v>43877</v>
      </c>
      <c r="G9218" s="1">
        <v>40483</v>
      </c>
      <c r="I9218" t="s">
        <v>43283</v>
      </c>
      <c r="J9218" t="s">
        <v>44149</v>
      </c>
      <c r="K9218" t="s">
        <v>291</v>
      </c>
      <c r="M9218">
        <v>971.4</v>
      </c>
      <c r="O9218" t="s">
        <v>94</v>
      </c>
      <c r="P9218">
        <v>39.950000000000003</v>
      </c>
      <c r="Q9218">
        <v>49.94</v>
      </c>
      <c r="R9218">
        <v>39.950000000000003</v>
      </c>
      <c r="S9218">
        <v>59.93</v>
      </c>
      <c r="T9218" t="s">
        <v>44150</v>
      </c>
    </row>
    <row r="9219" spans="1:20">
      <c r="A9219">
        <v>4796189</v>
      </c>
      <c r="B9219" t="s">
        <v>44151</v>
      </c>
      <c r="C9219" t="str">
        <f>"9782763789309"</f>
        <v>9782763789309</v>
      </c>
      <c r="D9219" t="str">
        <f>"9782763709307"</f>
        <v>9782763709307</v>
      </c>
      <c r="E9219" t="s">
        <v>43877</v>
      </c>
      <c r="F9219" t="s">
        <v>43877</v>
      </c>
      <c r="G9219" s="1">
        <v>40483</v>
      </c>
      <c r="I9219" t="s">
        <v>44152</v>
      </c>
      <c r="J9219" t="s">
        <v>44153</v>
      </c>
      <c r="K9219" t="s">
        <v>257</v>
      </c>
      <c r="M9219">
        <v>370.1</v>
      </c>
      <c r="O9219" t="s">
        <v>94</v>
      </c>
      <c r="P9219">
        <v>42.95</v>
      </c>
      <c r="Q9219">
        <v>53.69</v>
      </c>
      <c r="R9219">
        <v>42.95</v>
      </c>
      <c r="S9219">
        <v>64.430000000000007</v>
      </c>
      <c r="T9219" t="s">
        <v>44154</v>
      </c>
    </row>
    <row r="9220" spans="1:20">
      <c r="A9220">
        <v>4796190</v>
      </c>
      <c r="B9220" t="s">
        <v>44155</v>
      </c>
      <c r="C9220" t="str">
        <f>"9782763790503"</f>
        <v>9782763790503</v>
      </c>
      <c r="D9220" t="str">
        <f>"9782763710501"</f>
        <v>9782763710501</v>
      </c>
      <c r="E9220" t="s">
        <v>43877</v>
      </c>
      <c r="F9220" t="s">
        <v>43877</v>
      </c>
      <c r="G9220" s="1">
        <v>40527</v>
      </c>
      <c r="I9220" t="s">
        <v>43283</v>
      </c>
      <c r="J9220" t="s">
        <v>44156</v>
      </c>
      <c r="K9220" t="s">
        <v>263</v>
      </c>
      <c r="M9220">
        <v>301.09199999999998</v>
      </c>
      <c r="O9220" t="s">
        <v>94</v>
      </c>
      <c r="P9220">
        <v>19.95</v>
      </c>
      <c r="Q9220">
        <v>24.94</v>
      </c>
      <c r="R9220">
        <v>19.95</v>
      </c>
      <c r="S9220">
        <v>29.93</v>
      </c>
      <c r="T9220" t="s">
        <v>44157</v>
      </c>
    </row>
    <row r="9221" spans="1:20">
      <c r="A9221">
        <v>4796191</v>
      </c>
      <c r="B9221" t="s">
        <v>44158</v>
      </c>
      <c r="C9221" t="str">
        <f>"9782763789576"</f>
        <v>9782763789576</v>
      </c>
      <c r="D9221" t="str">
        <f>"9782763709574"</f>
        <v>9782763709574</v>
      </c>
      <c r="E9221" t="s">
        <v>43877</v>
      </c>
      <c r="F9221" t="s">
        <v>43877</v>
      </c>
      <c r="G9221" s="1">
        <v>40483</v>
      </c>
      <c r="I9221" t="s">
        <v>44159</v>
      </c>
      <c r="J9221" t="s">
        <v>44160</v>
      </c>
      <c r="K9221" t="s">
        <v>1859</v>
      </c>
      <c r="M9221">
        <v>146.41999999999999</v>
      </c>
      <c r="O9221" t="s">
        <v>94</v>
      </c>
      <c r="P9221">
        <v>24.95</v>
      </c>
      <c r="Q9221">
        <v>31.19</v>
      </c>
      <c r="R9221">
        <v>24.95</v>
      </c>
      <c r="S9221">
        <v>37.43</v>
      </c>
      <c r="T9221" t="s">
        <v>44161</v>
      </c>
    </row>
    <row r="9222" spans="1:20">
      <c r="A9222">
        <v>4796192</v>
      </c>
      <c r="B9222" t="s">
        <v>44162</v>
      </c>
      <c r="C9222" t="str">
        <f>"9782763789903"</f>
        <v>9782763789903</v>
      </c>
      <c r="D9222" t="str">
        <f>"9782763708904"</f>
        <v>9782763708904</v>
      </c>
      <c r="E9222" t="s">
        <v>43877</v>
      </c>
      <c r="F9222" t="s">
        <v>43877</v>
      </c>
      <c r="G9222" s="1">
        <v>40491</v>
      </c>
      <c r="I9222" t="s">
        <v>44163</v>
      </c>
      <c r="J9222" t="s">
        <v>44164</v>
      </c>
      <c r="K9222" t="s">
        <v>291</v>
      </c>
      <c r="M9222">
        <v>971.4</v>
      </c>
      <c r="O9222" t="s">
        <v>94</v>
      </c>
      <c r="P9222">
        <v>39.950000000000003</v>
      </c>
      <c r="Q9222">
        <v>49.94</v>
      </c>
      <c r="R9222">
        <v>39.950000000000003</v>
      </c>
      <c r="S9222">
        <v>59.93</v>
      </c>
      <c r="T9222" t="s">
        <v>44165</v>
      </c>
    </row>
    <row r="9223" spans="1:20">
      <c r="A9223">
        <v>4796194</v>
      </c>
      <c r="B9223" t="s">
        <v>44166</v>
      </c>
      <c r="C9223" t="str">
        <f>"9782763790527"</f>
        <v>9782763790527</v>
      </c>
      <c r="D9223" t="str">
        <f>"9782763710525"</f>
        <v>9782763710525</v>
      </c>
      <c r="E9223" t="s">
        <v>43877</v>
      </c>
      <c r="F9223" t="s">
        <v>43877</v>
      </c>
      <c r="G9223" s="1">
        <v>40485</v>
      </c>
      <c r="I9223" t="s">
        <v>43283</v>
      </c>
      <c r="J9223" t="s">
        <v>44167</v>
      </c>
      <c r="K9223" t="s">
        <v>291</v>
      </c>
      <c r="M9223">
        <v>971</v>
      </c>
      <c r="O9223" t="s">
        <v>94</v>
      </c>
      <c r="P9223">
        <v>39.950000000000003</v>
      </c>
      <c r="Q9223">
        <v>49.94</v>
      </c>
      <c r="R9223">
        <v>39.950000000000003</v>
      </c>
      <c r="S9223">
        <v>59.93</v>
      </c>
      <c r="T9223" t="s">
        <v>44168</v>
      </c>
    </row>
    <row r="9224" spans="1:20">
      <c r="A9224">
        <v>4796196</v>
      </c>
      <c r="B9224" t="s">
        <v>44169</v>
      </c>
      <c r="C9224" t="str">
        <f>"9782763791029"</f>
        <v>9782763791029</v>
      </c>
      <c r="D9224" t="str">
        <f>"9782763711027"</f>
        <v>9782763711027</v>
      </c>
      <c r="E9224" t="s">
        <v>43877</v>
      </c>
      <c r="F9224" t="s">
        <v>43877</v>
      </c>
      <c r="G9224" s="1">
        <v>40483</v>
      </c>
      <c r="I9224" t="s">
        <v>43283</v>
      </c>
      <c r="J9224" t="s">
        <v>44170</v>
      </c>
      <c r="K9224" t="s">
        <v>1859</v>
      </c>
      <c r="M9224">
        <v>179.7</v>
      </c>
      <c r="O9224" t="s">
        <v>94</v>
      </c>
      <c r="P9224">
        <v>29.95</v>
      </c>
      <c r="Q9224">
        <v>37.44</v>
      </c>
      <c r="R9224">
        <v>29.95</v>
      </c>
      <c r="S9224">
        <v>44.93</v>
      </c>
      <c r="T9224" t="s">
        <v>44171</v>
      </c>
    </row>
    <row r="9225" spans="1:20">
      <c r="A9225">
        <v>4796199</v>
      </c>
      <c r="B9225" t="s">
        <v>44172</v>
      </c>
      <c r="C9225" t="str">
        <f>"9782763787718"</f>
        <v>9782763787718</v>
      </c>
      <c r="D9225" t="str">
        <f>"9782763707716"</f>
        <v>9782763707716</v>
      </c>
      <c r="E9225" t="s">
        <v>43877</v>
      </c>
      <c r="F9225" t="s">
        <v>43877</v>
      </c>
      <c r="G9225" s="1">
        <v>40620</v>
      </c>
      <c r="I9225" t="s">
        <v>44173</v>
      </c>
      <c r="J9225" t="s">
        <v>44174</v>
      </c>
      <c r="K9225" t="s">
        <v>31967</v>
      </c>
      <c r="M9225">
        <v>331</v>
      </c>
      <c r="O9225" t="s">
        <v>94</v>
      </c>
      <c r="P9225">
        <v>39.950000000000003</v>
      </c>
      <c r="Q9225">
        <v>49.94</v>
      </c>
      <c r="R9225">
        <v>39.950000000000003</v>
      </c>
      <c r="S9225">
        <v>59.93</v>
      </c>
      <c r="T9225" t="s">
        <v>44175</v>
      </c>
    </row>
    <row r="9226" spans="1:20">
      <c r="A9226">
        <v>4796200</v>
      </c>
      <c r="B9226" t="s">
        <v>44176</v>
      </c>
      <c r="C9226" t="str">
        <f>"9782763787817"</f>
        <v>9782763787817</v>
      </c>
      <c r="D9226" t="str">
        <f>"9782763707815"</f>
        <v>9782763707815</v>
      </c>
      <c r="E9226" t="s">
        <v>43877</v>
      </c>
      <c r="F9226" t="s">
        <v>43877</v>
      </c>
      <c r="G9226" s="1">
        <v>40617</v>
      </c>
      <c r="I9226" t="s">
        <v>44177</v>
      </c>
      <c r="J9226" t="s">
        <v>44178</v>
      </c>
      <c r="K9226" t="s">
        <v>263</v>
      </c>
      <c r="M9226">
        <v>305.26</v>
      </c>
      <c r="O9226" t="s">
        <v>94</v>
      </c>
      <c r="P9226">
        <v>39.950000000000003</v>
      </c>
      <c r="Q9226">
        <v>49.94</v>
      </c>
      <c r="R9226">
        <v>39.950000000000003</v>
      </c>
      <c r="S9226">
        <v>59.93</v>
      </c>
      <c r="T9226" t="s">
        <v>44179</v>
      </c>
    </row>
    <row r="9227" spans="1:20">
      <c r="A9227">
        <v>4796201</v>
      </c>
      <c r="B9227" t="s">
        <v>44180</v>
      </c>
      <c r="C9227" t="str">
        <f>"9782763790442"</f>
        <v>9782763790442</v>
      </c>
      <c r="D9227" t="str">
        <f>"9782763710440"</f>
        <v>9782763710440</v>
      </c>
      <c r="E9227" t="s">
        <v>43877</v>
      </c>
      <c r="F9227" t="s">
        <v>43877</v>
      </c>
      <c r="G9227" s="1">
        <v>40483</v>
      </c>
      <c r="I9227" t="s">
        <v>44181</v>
      </c>
      <c r="J9227" t="s">
        <v>44182</v>
      </c>
      <c r="K9227" t="s">
        <v>257</v>
      </c>
      <c r="M9227">
        <v>370.1</v>
      </c>
      <c r="O9227" t="s">
        <v>94</v>
      </c>
      <c r="P9227">
        <v>19.95</v>
      </c>
      <c r="Q9227">
        <v>24.94</v>
      </c>
      <c r="R9227">
        <v>19.95</v>
      </c>
      <c r="S9227">
        <v>29.93</v>
      </c>
      <c r="T9227" t="s">
        <v>44183</v>
      </c>
    </row>
    <row r="9228" spans="1:20">
      <c r="A9228">
        <v>4796202</v>
      </c>
      <c r="B9228" t="s">
        <v>44184</v>
      </c>
      <c r="C9228" t="str">
        <f>"9782763787886"</f>
        <v>9782763787886</v>
      </c>
      <c r="D9228" t="str">
        <f>"9782763707884"</f>
        <v>9782763707884</v>
      </c>
      <c r="E9228" t="s">
        <v>43877</v>
      </c>
      <c r="F9228" t="s">
        <v>43877</v>
      </c>
      <c r="G9228" s="1">
        <v>40483</v>
      </c>
      <c r="I9228" t="s">
        <v>44159</v>
      </c>
      <c r="J9228" t="s">
        <v>44160</v>
      </c>
      <c r="K9228" t="s">
        <v>1859</v>
      </c>
      <c r="M9228">
        <v>146.41999999999999</v>
      </c>
      <c r="O9228" t="s">
        <v>94</v>
      </c>
      <c r="P9228">
        <v>24.95</v>
      </c>
      <c r="Q9228">
        <v>31.19</v>
      </c>
      <c r="R9228">
        <v>24.95</v>
      </c>
      <c r="S9228">
        <v>37.43</v>
      </c>
      <c r="T9228" t="s">
        <v>44185</v>
      </c>
    </row>
    <row r="9229" spans="1:20">
      <c r="A9229">
        <v>4796203</v>
      </c>
      <c r="B9229" t="s">
        <v>44186</v>
      </c>
      <c r="C9229" t="str">
        <f>"9782763790060"</f>
        <v>9782763790060</v>
      </c>
      <c r="D9229" t="str">
        <f>"9782763710068"</f>
        <v>9782763710068</v>
      </c>
      <c r="E9229" t="s">
        <v>43877</v>
      </c>
      <c r="F9229" t="s">
        <v>43877</v>
      </c>
      <c r="G9229" s="1">
        <v>40483</v>
      </c>
      <c r="I9229" t="s">
        <v>43887</v>
      </c>
      <c r="J9229" t="s">
        <v>44187</v>
      </c>
      <c r="K9229" t="s">
        <v>263</v>
      </c>
      <c r="M9229">
        <v>362.4</v>
      </c>
      <c r="O9229" t="s">
        <v>94</v>
      </c>
      <c r="P9229">
        <v>39.950000000000003</v>
      </c>
      <c r="Q9229">
        <v>49.94</v>
      </c>
      <c r="R9229">
        <v>39.950000000000003</v>
      </c>
      <c r="S9229">
        <v>59.93</v>
      </c>
      <c r="T9229" t="s">
        <v>44188</v>
      </c>
    </row>
    <row r="9230" spans="1:20">
      <c r="A9230">
        <v>4796204</v>
      </c>
      <c r="B9230" t="s">
        <v>44189</v>
      </c>
      <c r="C9230" t="str">
        <f>"9782763790282"</f>
        <v>9782763790282</v>
      </c>
      <c r="D9230" t="str">
        <f>"9782763710280"</f>
        <v>9782763710280</v>
      </c>
      <c r="E9230" t="s">
        <v>43877</v>
      </c>
      <c r="F9230" t="s">
        <v>43877</v>
      </c>
      <c r="G9230" s="1">
        <v>40483</v>
      </c>
      <c r="I9230" t="s">
        <v>44145</v>
      </c>
      <c r="J9230" t="s">
        <v>44190</v>
      </c>
      <c r="K9230" t="s">
        <v>257</v>
      </c>
      <c r="M9230">
        <v>370</v>
      </c>
      <c r="O9230" t="s">
        <v>94</v>
      </c>
      <c r="P9230">
        <v>34.950000000000003</v>
      </c>
      <c r="Q9230">
        <v>43.69</v>
      </c>
      <c r="R9230">
        <v>34.950000000000003</v>
      </c>
      <c r="S9230">
        <v>52.43</v>
      </c>
      <c r="T9230" t="s">
        <v>44191</v>
      </c>
    </row>
    <row r="9231" spans="1:20">
      <c r="A9231">
        <v>4796205</v>
      </c>
      <c r="B9231" t="s">
        <v>44192</v>
      </c>
      <c r="C9231" t="str">
        <f>"9782763788494"</f>
        <v>9782763788494</v>
      </c>
      <c r="D9231" t="str">
        <f>"9782763708492"</f>
        <v>9782763708492</v>
      </c>
      <c r="E9231" t="s">
        <v>43877</v>
      </c>
      <c r="F9231" t="s">
        <v>43877</v>
      </c>
      <c r="G9231" s="1">
        <v>40483</v>
      </c>
      <c r="I9231" t="s">
        <v>44193</v>
      </c>
      <c r="J9231" t="s">
        <v>44194</v>
      </c>
      <c r="K9231" t="s">
        <v>291</v>
      </c>
      <c r="M9231">
        <v>940.5308</v>
      </c>
      <c r="O9231" t="s">
        <v>94</v>
      </c>
      <c r="P9231">
        <v>17.95</v>
      </c>
      <c r="Q9231">
        <v>22.44</v>
      </c>
      <c r="R9231">
        <v>17.95</v>
      </c>
      <c r="S9231">
        <v>26.93</v>
      </c>
      <c r="T9231" t="s">
        <v>44195</v>
      </c>
    </row>
    <row r="9232" spans="1:20">
      <c r="A9232">
        <v>4796206</v>
      </c>
      <c r="B9232" t="s">
        <v>44196</v>
      </c>
      <c r="C9232" t="str">
        <f>"9782763790640"</f>
        <v>9782763790640</v>
      </c>
      <c r="D9232" t="str">
        <f>"9782763710648"</f>
        <v>9782763710648</v>
      </c>
      <c r="E9232" t="s">
        <v>43877</v>
      </c>
      <c r="F9232" t="s">
        <v>43877</v>
      </c>
      <c r="G9232" s="1">
        <v>41108</v>
      </c>
      <c r="I9232" t="s">
        <v>44197</v>
      </c>
      <c r="J9232" t="s">
        <v>44198</v>
      </c>
      <c r="K9232" t="s">
        <v>263</v>
      </c>
      <c r="M9232">
        <v>303.48200000000003</v>
      </c>
      <c r="O9232" t="s">
        <v>94</v>
      </c>
      <c r="P9232">
        <v>39.950000000000003</v>
      </c>
      <c r="Q9232">
        <v>49.94</v>
      </c>
      <c r="R9232">
        <v>39.950000000000003</v>
      </c>
      <c r="S9232">
        <v>59.93</v>
      </c>
      <c r="T9232" t="s">
        <v>44199</v>
      </c>
    </row>
    <row r="9233" spans="1:20">
      <c r="A9233">
        <v>4796207</v>
      </c>
      <c r="B9233" t="s">
        <v>44200</v>
      </c>
      <c r="C9233" t="str">
        <f>"9782763790497"</f>
        <v>9782763790497</v>
      </c>
      <c r="D9233" t="str">
        <f>"9782763710495"</f>
        <v>9782763710495</v>
      </c>
      <c r="E9233" t="s">
        <v>43877</v>
      </c>
      <c r="F9233" t="s">
        <v>43877</v>
      </c>
      <c r="G9233" s="1">
        <v>40486</v>
      </c>
      <c r="I9233" t="s">
        <v>43283</v>
      </c>
      <c r="K9233" t="s">
        <v>291</v>
      </c>
      <c r="M9233">
        <v>971.01130000000001</v>
      </c>
      <c r="O9233" t="s">
        <v>94</v>
      </c>
      <c r="P9233">
        <v>34.950000000000003</v>
      </c>
      <c r="Q9233">
        <v>43.69</v>
      </c>
      <c r="R9233">
        <v>34.950000000000003</v>
      </c>
      <c r="S9233">
        <v>52.43</v>
      </c>
      <c r="T9233" t="s">
        <v>44201</v>
      </c>
    </row>
    <row r="9234" spans="1:20">
      <c r="A9234">
        <v>4796209</v>
      </c>
      <c r="B9234" t="s">
        <v>44202</v>
      </c>
      <c r="C9234" t="str">
        <f>"9782763790459"</f>
        <v>9782763790459</v>
      </c>
      <c r="D9234" t="str">
        <f>"9782763710457"</f>
        <v>9782763710457</v>
      </c>
      <c r="E9234" t="s">
        <v>43877</v>
      </c>
      <c r="F9234" t="s">
        <v>43877</v>
      </c>
      <c r="G9234" s="1">
        <v>40486</v>
      </c>
      <c r="I9234" t="s">
        <v>44203</v>
      </c>
      <c r="J9234" t="s">
        <v>44204</v>
      </c>
      <c r="K9234" t="s">
        <v>291</v>
      </c>
      <c r="M9234">
        <v>980.03300000000002</v>
      </c>
      <c r="O9234" t="s">
        <v>94</v>
      </c>
      <c r="P9234">
        <v>42.95</v>
      </c>
      <c r="Q9234">
        <v>53.69</v>
      </c>
      <c r="R9234">
        <v>42.95</v>
      </c>
      <c r="S9234">
        <v>64.430000000000007</v>
      </c>
      <c r="T9234" t="s">
        <v>44205</v>
      </c>
    </row>
    <row r="9235" spans="1:20">
      <c r="A9235">
        <v>4796210</v>
      </c>
      <c r="B9235" t="s">
        <v>44206</v>
      </c>
      <c r="C9235" t="str">
        <f>"9782763790541"</f>
        <v>9782763790541</v>
      </c>
      <c r="D9235" t="str">
        <f>"9782763710549"</f>
        <v>9782763710549</v>
      </c>
      <c r="E9235" t="s">
        <v>43877</v>
      </c>
      <c r="F9235" t="s">
        <v>43877</v>
      </c>
      <c r="G9235" s="1">
        <v>40486</v>
      </c>
      <c r="I9235" t="s">
        <v>44207</v>
      </c>
      <c r="J9235" t="s">
        <v>44208</v>
      </c>
      <c r="K9235" t="s">
        <v>1127</v>
      </c>
      <c r="M9235">
        <v>155.5</v>
      </c>
      <c r="O9235" t="s">
        <v>94</v>
      </c>
      <c r="P9235">
        <v>29.95</v>
      </c>
      <c r="Q9235">
        <v>37.44</v>
      </c>
      <c r="R9235">
        <v>29.95</v>
      </c>
      <c r="S9235">
        <v>44.93</v>
      </c>
      <c r="T9235" t="s">
        <v>44209</v>
      </c>
    </row>
    <row r="9236" spans="1:20">
      <c r="A9236">
        <v>4796211</v>
      </c>
      <c r="B9236" t="s">
        <v>44210</v>
      </c>
      <c r="C9236" t="str">
        <f>"9782763789965"</f>
        <v>9782763789965</v>
      </c>
      <c r="D9236" t="str">
        <f>"9782763709963"</f>
        <v>9782763709963</v>
      </c>
      <c r="E9236" t="s">
        <v>43877</v>
      </c>
      <c r="F9236" t="s">
        <v>43877</v>
      </c>
      <c r="G9236" s="1">
        <v>40483</v>
      </c>
      <c r="I9236" t="s">
        <v>44211</v>
      </c>
      <c r="J9236" t="s">
        <v>42602</v>
      </c>
      <c r="K9236" t="s">
        <v>1859</v>
      </c>
      <c r="M9236">
        <v>193</v>
      </c>
      <c r="O9236" t="s">
        <v>94</v>
      </c>
      <c r="P9236">
        <v>19.95</v>
      </c>
      <c r="Q9236">
        <v>24.94</v>
      </c>
      <c r="R9236">
        <v>19.95</v>
      </c>
      <c r="S9236">
        <v>29.93</v>
      </c>
      <c r="T9236" t="s">
        <v>44212</v>
      </c>
    </row>
    <row r="9237" spans="1:20">
      <c r="A9237">
        <v>4796216</v>
      </c>
      <c r="B9237" t="s">
        <v>44213</v>
      </c>
      <c r="C9237" t="str">
        <f>"9782763786650"</f>
        <v>9782763786650</v>
      </c>
      <c r="D9237" t="str">
        <f>"9782763706658"</f>
        <v>9782763706658</v>
      </c>
      <c r="E9237" t="s">
        <v>43877</v>
      </c>
      <c r="F9237" t="s">
        <v>43877</v>
      </c>
      <c r="G9237" s="1">
        <v>41324</v>
      </c>
      <c r="J9237" t="s">
        <v>44214</v>
      </c>
      <c r="K9237" t="s">
        <v>257</v>
      </c>
      <c r="M9237">
        <v>371.2</v>
      </c>
      <c r="O9237" t="s">
        <v>94</v>
      </c>
      <c r="P9237">
        <v>35</v>
      </c>
      <c r="Q9237">
        <v>43.75</v>
      </c>
      <c r="R9237">
        <v>35</v>
      </c>
      <c r="S9237">
        <v>52.5</v>
      </c>
      <c r="T9237" t="s">
        <v>44215</v>
      </c>
    </row>
    <row r="9238" spans="1:20">
      <c r="A9238">
        <v>4796217</v>
      </c>
      <c r="B9238" t="s">
        <v>44216</v>
      </c>
      <c r="C9238" t="str">
        <f>"9782763790701"</f>
        <v>9782763790701</v>
      </c>
      <c r="D9238" t="str">
        <f>"9782763710709"</f>
        <v>9782763710709</v>
      </c>
      <c r="E9238" t="s">
        <v>43877</v>
      </c>
      <c r="F9238" t="s">
        <v>43877</v>
      </c>
      <c r="G9238" s="1">
        <v>40690</v>
      </c>
      <c r="I9238" t="s">
        <v>44217</v>
      </c>
      <c r="J9238" t="s">
        <v>44218</v>
      </c>
      <c r="K9238" t="s">
        <v>1859</v>
      </c>
      <c r="M9238">
        <v>193</v>
      </c>
      <c r="O9238" t="s">
        <v>94</v>
      </c>
      <c r="P9238">
        <v>39.950000000000003</v>
      </c>
      <c r="Q9238">
        <v>49.94</v>
      </c>
      <c r="R9238">
        <v>39.950000000000003</v>
      </c>
      <c r="S9238">
        <v>59.93</v>
      </c>
      <c r="T9238" t="s">
        <v>44219</v>
      </c>
    </row>
    <row r="9239" spans="1:20">
      <c r="A9239">
        <v>4796218</v>
      </c>
      <c r="B9239" t="s">
        <v>44220</v>
      </c>
      <c r="C9239" t="str">
        <f>"9782763786094"</f>
        <v>9782763786094</v>
      </c>
      <c r="D9239" t="str">
        <f>"9782763706092"</f>
        <v>9782763706092</v>
      </c>
      <c r="E9239" t="s">
        <v>43877</v>
      </c>
      <c r="F9239" t="s">
        <v>43877</v>
      </c>
      <c r="G9239" s="1">
        <v>40483</v>
      </c>
      <c r="I9239" t="s">
        <v>43951</v>
      </c>
      <c r="J9239" t="s">
        <v>44221</v>
      </c>
      <c r="K9239" t="s">
        <v>10956</v>
      </c>
      <c r="M9239">
        <v>71.099999999999994</v>
      </c>
      <c r="O9239" t="s">
        <v>94</v>
      </c>
      <c r="P9239">
        <v>49.95</v>
      </c>
      <c r="Q9239">
        <v>62.44</v>
      </c>
      <c r="R9239">
        <v>49.95</v>
      </c>
      <c r="S9239">
        <v>74.930000000000007</v>
      </c>
      <c r="T9239" t="s">
        <v>44222</v>
      </c>
    </row>
    <row r="9240" spans="1:20">
      <c r="A9240">
        <v>4796219</v>
      </c>
      <c r="B9240" t="s">
        <v>44223</v>
      </c>
      <c r="C9240" t="str">
        <f>"9782763789989"</f>
        <v>9782763789989</v>
      </c>
      <c r="D9240" t="str">
        <f>"9782763709987"</f>
        <v>9782763709987</v>
      </c>
      <c r="E9240" t="s">
        <v>43877</v>
      </c>
      <c r="F9240" t="s">
        <v>43877</v>
      </c>
      <c r="G9240" s="1">
        <v>40483</v>
      </c>
      <c r="I9240" t="s">
        <v>44224</v>
      </c>
      <c r="J9240" t="s">
        <v>44225</v>
      </c>
      <c r="K9240" t="s">
        <v>416</v>
      </c>
      <c r="M9240">
        <v>338.1</v>
      </c>
      <c r="O9240" t="s">
        <v>94</v>
      </c>
      <c r="P9240">
        <v>39.950000000000003</v>
      </c>
      <c r="Q9240">
        <v>49.94</v>
      </c>
      <c r="R9240">
        <v>39.950000000000003</v>
      </c>
      <c r="S9240">
        <v>59.93</v>
      </c>
      <c r="T9240" t="s">
        <v>44226</v>
      </c>
    </row>
    <row r="9241" spans="1:20">
      <c r="A9241">
        <v>4796221</v>
      </c>
      <c r="B9241" t="s">
        <v>44227</v>
      </c>
      <c r="C9241" t="str">
        <f>"9782763791081"</f>
        <v>9782763791081</v>
      </c>
      <c r="D9241" t="str">
        <f>"9782763711089"</f>
        <v>9782763711089</v>
      </c>
      <c r="E9241" t="s">
        <v>43877</v>
      </c>
      <c r="F9241" t="s">
        <v>43877</v>
      </c>
      <c r="G9241" s="1">
        <v>41325</v>
      </c>
      <c r="I9241" t="s">
        <v>44203</v>
      </c>
      <c r="J9241" t="s">
        <v>29920</v>
      </c>
      <c r="K9241" t="s">
        <v>305</v>
      </c>
      <c r="M9241">
        <v>382.91699999999997</v>
      </c>
      <c r="O9241" t="s">
        <v>94</v>
      </c>
      <c r="P9241">
        <v>32.950000000000003</v>
      </c>
      <c r="Q9241">
        <v>41.19</v>
      </c>
      <c r="R9241">
        <v>32.950000000000003</v>
      </c>
      <c r="S9241">
        <v>49.43</v>
      </c>
      <c r="T9241" t="s">
        <v>44228</v>
      </c>
    </row>
    <row r="9242" spans="1:20">
      <c r="A9242">
        <v>4796222</v>
      </c>
      <c r="B9242" t="s">
        <v>44229</v>
      </c>
      <c r="C9242" t="str">
        <f>"9782763791371"</f>
        <v>9782763791371</v>
      </c>
      <c r="D9242" t="str">
        <f>"9782763791388"</f>
        <v>9782763791388</v>
      </c>
      <c r="E9242" t="s">
        <v>43877</v>
      </c>
      <c r="F9242" t="s">
        <v>43877</v>
      </c>
      <c r="G9242" s="1">
        <v>40822</v>
      </c>
      <c r="I9242" t="s">
        <v>44230</v>
      </c>
      <c r="J9242" t="s">
        <v>44231</v>
      </c>
      <c r="K9242" t="s">
        <v>291</v>
      </c>
      <c r="M9242">
        <v>952.04</v>
      </c>
      <c r="O9242" t="s">
        <v>94</v>
      </c>
      <c r="P9242">
        <v>29.95</v>
      </c>
      <c r="Q9242">
        <v>37.44</v>
      </c>
      <c r="R9242">
        <v>29.95</v>
      </c>
      <c r="S9242">
        <v>44.93</v>
      </c>
      <c r="T9242" t="s">
        <v>44232</v>
      </c>
    </row>
    <row r="9243" spans="1:20">
      <c r="A9243">
        <v>4796224</v>
      </c>
      <c r="B9243" t="s">
        <v>44233</v>
      </c>
      <c r="C9243" t="str">
        <f>"9782763791586"</f>
        <v>9782763791586</v>
      </c>
      <c r="D9243" t="str">
        <f>"9782763791593"</f>
        <v>9782763791593</v>
      </c>
      <c r="E9243" t="s">
        <v>43877</v>
      </c>
      <c r="F9243" t="s">
        <v>43877</v>
      </c>
      <c r="G9243" s="1">
        <v>40512</v>
      </c>
      <c r="I9243" t="s">
        <v>44234</v>
      </c>
      <c r="J9243" t="s">
        <v>44235</v>
      </c>
      <c r="K9243" t="s">
        <v>263</v>
      </c>
      <c r="M9243">
        <v>305.23500000000001</v>
      </c>
      <c r="O9243" t="s">
        <v>94</v>
      </c>
      <c r="P9243">
        <v>26.95</v>
      </c>
      <c r="Q9243">
        <v>33.69</v>
      </c>
      <c r="R9243">
        <v>26.95</v>
      </c>
      <c r="S9243">
        <v>40.43</v>
      </c>
      <c r="T9243" t="s">
        <v>44236</v>
      </c>
    </row>
    <row r="9244" spans="1:20">
      <c r="A9244">
        <v>4796228</v>
      </c>
      <c r="B9244" t="s">
        <v>44237</v>
      </c>
      <c r="C9244" t="str">
        <f>"9782763790893"</f>
        <v>9782763790893</v>
      </c>
      <c r="D9244" t="str">
        <f>"9782763710891"</f>
        <v>9782763710891</v>
      </c>
      <c r="E9244" t="s">
        <v>43877</v>
      </c>
      <c r="F9244" t="s">
        <v>43877</v>
      </c>
      <c r="G9244" s="1">
        <v>40506</v>
      </c>
      <c r="I9244" t="s">
        <v>44238</v>
      </c>
      <c r="J9244" t="s">
        <v>44239</v>
      </c>
      <c r="K9244" t="s">
        <v>31967</v>
      </c>
      <c r="M9244">
        <v>331.34136999999998</v>
      </c>
      <c r="O9244" t="s">
        <v>94</v>
      </c>
      <c r="P9244">
        <v>39.950000000000003</v>
      </c>
      <c r="Q9244">
        <v>49.94</v>
      </c>
      <c r="R9244">
        <v>39.950000000000003</v>
      </c>
      <c r="S9244">
        <v>59.93</v>
      </c>
      <c r="T9244" t="s">
        <v>44240</v>
      </c>
    </row>
    <row r="9245" spans="1:20">
      <c r="A9245">
        <v>4796231</v>
      </c>
      <c r="B9245" t="s">
        <v>44241</v>
      </c>
      <c r="C9245" t="str">
        <f>"9782763792392"</f>
        <v>9782763792392</v>
      </c>
      <c r="D9245" t="str">
        <f>"9782763792408"</f>
        <v>9782763792408</v>
      </c>
      <c r="E9245" t="s">
        <v>43877</v>
      </c>
      <c r="F9245" t="s">
        <v>43877</v>
      </c>
      <c r="G9245" s="1">
        <v>40482</v>
      </c>
      <c r="I9245" t="s">
        <v>43283</v>
      </c>
      <c r="J9245" t="s">
        <v>44242</v>
      </c>
      <c r="K9245" t="s">
        <v>291</v>
      </c>
      <c r="M9245">
        <v>971</v>
      </c>
      <c r="O9245" t="s">
        <v>94</v>
      </c>
      <c r="P9245">
        <v>30</v>
      </c>
      <c r="Q9245">
        <v>37.5</v>
      </c>
      <c r="R9245">
        <v>30</v>
      </c>
      <c r="S9245">
        <v>45</v>
      </c>
      <c r="T9245" t="s">
        <v>44243</v>
      </c>
    </row>
    <row r="9246" spans="1:20">
      <c r="A9246">
        <v>4796232</v>
      </c>
      <c r="B9246" t="s">
        <v>44244</v>
      </c>
      <c r="C9246" t="str">
        <f>"9782763789699"</f>
        <v>9782763789699</v>
      </c>
      <c r="D9246" t="str">
        <f>"9782763709697"</f>
        <v>9782763709697</v>
      </c>
      <c r="E9246" t="s">
        <v>43877</v>
      </c>
      <c r="F9246" t="s">
        <v>43877</v>
      </c>
      <c r="G9246" s="1">
        <v>40533</v>
      </c>
      <c r="I9246" t="s">
        <v>43283</v>
      </c>
      <c r="J9246" t="s">
        <v>44245</v>
      </c>
      <c r="K9246" t="s">
        <v>291</v>
      </c>
      <c r="M9246">
        <v>971.4</v>
      </c>
      <c r="O9246" t="s">
        <v>94</v>
      </c>
      <c r="P9246">
        <v>29.95</v>
      </c>
      <c r="Q9246">
        <v>37.44</v>
      </c>
      <c r="R9246">
        <v>29.95</v>
      </c>
      <c r="S9246">
        <v>44.93</v>
      </c>
      <c r="T9246" t="s">
        <v>44246</v>
      </c>
    </row>
    <row r="9247" spans="1:20">
      <c r="A9247">
        <v>4796233</v>
      </c>
      <c r="B9247" t="s">
        <v>44247</v>
      </c>
      <c r="C9247" t="str">
        <f>"9782763790909"</f>
        <v>9782763790909</v>
      </c>
      <c r="D9247" t="str">
        <f>"9782763710907"</f>
        <v>9782763710907</v>
      </c>
      <c r="E9247" t="s">
        <v>43877</v>
      </c>
      <c r="F9247" t="s">
        <v>43877</v>
      </c>
      <c r="G9247" s="1">
        <v>40871</v>
      </c>
      <c r="J9247" t="s">
        <v>44248</v>
      </c>
      <c r="K9247" t="s">
        <v>1464</v>
      </c>
      <c r="M9247">
        <v>840.9</v>
      </c>
      <c r="O9247" t="s">
        <v>94</v>
      </c>
      <c r="P9247">
        <v>25</v>
      </c>
      <c r="Q9247">
        <v>31.25</v>
      </c>
      <c r="R9247">
        <v>25</v>
      </c>
      <c r="S9247">
        <v>37.5</v>
      </c>
      <c r="T9247" t="s">
        <v>44249</v>
      </c>
    </row>
    <row r="9248" spans="1:20">
      <c r="A9248">
        <v>4796234</v>
      </c>
      <c r="B9248" t="s">
        <v>44250</v>
      </c>
      <c r="C9248" t="str">
        <f>"9782763794310"</f>
        <v>9782763794310</v>
      </c>
      <c r="D9248" t="str">
        <f>"9782763791838"</f>
        <v>9782763791838</v>
      </c>
      <c r="E9248" t="s">
        <v>43877</v>
      </c>
      <c r="F9248" t="s">
        <v>43877</v>
      </c>
      <c r="G9248" s="1">
        <v>40512</v>
      </c>
      <c r="H9248">
        <v>2</v>
      </c>
      <c r="I9248" t="s">
        <v>44251</v>
      </c>
      <c r="J9248" t="s">
        <v>44252</v>
      </c>
      <c r="K9248" t="s">
        <v>1859</v>
      </c>
      <c r="M9248">
        <v>170</v>
      </c>
      <c r="O9248" t="s">
        <v>94</v>
      </c>
      <c r="P9248">
        <v>19.95</v>
      </c>
      <c r="Q9248">
        <v>24.94</v>
      </c>
      <c r="R9248">
        <v>19.95</v>
      </c>
      <c r="S9248">
        <v>29.93</v>
      </c>
      <c r="T9248" t="s">
        <v>44253</v>
      </c>
    </row>
    <row r="9249" spans="1:20">
      <c r="A9249">
        <v>4796235</v>
      </c>
      <c r="B9249" t="s">
        <v>44254</v>
      </c>
      <c r="C9249" t="str">
        <f>"9782763788159"</f>
        <v>9782763788159</v>
      </c>
      <c r="D9249" t="str">
        <f>"9782763708157"</f>
        <v>9782763708157</v>
      </c>
      <c r="E9249" t="s">
        <v>43877</v>
      </c>
      <c r="F9249" t="s">
        <v>43877</v>
      </c>
      <c r="G9249" s="1">
        <v>40506</v>
      </c>
      <c r="I9249" t="s">
        <v>44255</v>
      </c>
      <c r="J9249" t="s">
        <v>44256</v>
      </c>
      <c r="K9249" t="s">
        <v>291</v>
      </c>
      <c r="M9249">
        <v>971.404</v>
      </c>
      <c r="O9249" t="s">
        <v>94</v>
      </c>
      <c r="P9249">
        <v>49.95</v>
      </c>
      <c r="Q9249">
        <v>62.44</v>
      </c>
      <c r="R9249">
        <v>49.95</v>
      </c>
      <c r="S9249">
        <v>74.930000000000007</v>
      </c>
      <c r="T9249" t="s">
        <v>44257</v>
      </c>
    </row>
    <row r="9250" spans="1:20">
      <c r="A9250">
        <v>4796236</v>
      </c>
      <c r="B9250" t="s">
        <v>44258</v>
      </c>
      <c r="C9250" t="str">
        <f>"9782763791135"</f>
        <v>9782763791135</v>
      </c>
      <c r="D9250" t="str">
        <f>"9782763711133"</f>
        <v>9782763711133</v>
      </c>
      <c r="E9250" t="s">
        <v>43877</v>
      </c>
      <c r="F9250" t="s">
        <v>43877</v>
      </c>
      <c r="G9250" s="1">
        <v>40512</v>
      </c>
      <c r="I9250" t="s">
        <v>43283</v>
      </c>
      <c r="J9250" t="s">
        <v>44259</v>
      </c>
      <c r="K9250" t="s">
        <v>1471</v>
      </c>
      <c r="L9250" t="s">
        <v>44260</v>
      </c>
      <c r="M9250">
        <v>791.43010000000004</v>
      </c>
      <c r="O9250" t="s">
        <v>94</v>
      </c>
      <c r="P9250">
        <v>32.950000000000003</v>
      </c>
      <c r="Q9250">
        <v>41.19</v>
      </c>
      <c r="R9250">
        <v>32.950000000000003</v>
      </c>
      <c r="S9250">
        <v>49.43</v>
      </c>
      <c r="T9250" t="s">
        <v>44261</v>
      </c>
    </row>
    <row r="9251" spans="1:20">
      <c r="A9251">
        <v>4796238</v>
      </c>
      <c r="B9251" t="s">
        <v>44262</v>
      </c>
      <c r="C9251" t="str">
        <f>"9782763792217"</f>
        <v>9782763792217</v>
      </c>
      <c r="D9251" t="str">
        <f>"9782763792224"</f>
        <v>9782763792224</v>
      </c>
      <c r="E9251" t="s">
        <v>43877</v>
      </c>
      <c r="F9251" t="s">
        <v>43877</v>
      </c>
      <c r="G9251" s="1">
        <v>40828</v>
      </c>
      <c r="J9251" t="s">
        <v>44263</v>
      </c>
      <c r="K9251" t="s">
        <v>330</v>
      </c>
      <c r="M9251">
        <v>363.69</v>
      </c>
      <c r="O9251" t="s">
        <v>26</v>
      </c>
      <c r="P9251">
        <v>30</v>
      </c>
      <c r="Q9251">
        <v>37.5</v>
      </c>
      <c r="R9251">
        <v>30</v>
      </c>
      <c r="S9251">
        <v>45</v>
      </c>
      <c r="T9251" t="s">
        <v>44264</v>
      </c>
    </row>
    <row r="9252" spans="1:20">
      <c r="A9252">
        <v>4796239</v>
      </c>
      <c r="B9252" t="s">
        <v>44265</v>
      </c>
      <c r="C9252" t="str">
        <f>"9782763790930"</f>
        <v>9782763790930</v>
      </c>
      <c r="D9252" t="str">
        <f>"9782763710938"</f>
        <v>9782763710938</v>
      </c>
      <c r="E9252" t="s">
        <v>43877</v>
      </c>
      <c r="F9252" t="s">
        <v>43877</v>
      </c>
      <c r="G9252" s="1">
        <v>40512</v>
      </c>
      <c r="I9252" t="s">
        <v>44255</v>
      </c>
      <c r="J9252" t="s">
        <v>44266</v>
      </c>
      <c r="K9252" t="s">
        <v>1892</v>
      </c>
      <c r="M9252">
        <v>282</v>
      </c>
      <c r="O9252" t="s">
        <v>94</v>
      </c>
      <c r="P9252">
        <v>27.95</v>
      </c>
      <c r="Q9252">
        <v>34.94</v>
      </c>
      <c r="R9252">
        <v>27.95</v>
      </c>
      <c r="S9252">
        <v>41.93</v>
      </c>
      <c r="T9252" t="s">
        <v>44267</v>
      </c>
    </row>
    <row r="9253" spans="1:20">
      <c r="A9253">
        <v>4796240</v>
      </c>
      <c r="B9253" t="s">
        <v>44268</v>
      </c>
      <c r="C9253" t="str">
        <f>"9782763790985"</f>
        <v>9782763790985</v>
      </c>
      <c r="D9253" t="str">
        <f>"9782763710983"</f>
        <v>9782763710983</v>
      </c>
      <c r="E9253" t="s">
        <v>43877</v>
      </c>
      <c r="F9253" t="s">
        <v>43877</v>
      </c>
      <c r="G9253" s="1">
        <v>40512</v>
      </c>
      <c r="I9253" t="s">
        <v>44269</v>
      </c>
      <c r="J9253" t="s">
        <v>44270</v>
      </c>
      <c r="K9253" t="s">
        <v>291</v>
      </c>
      <c r="M9253">
        <v>971.404</v>
      </c>
      <c r="O9253" t="s">
        <v>94</v>
      </c>
      <c r="P9253">
        <v>29.95</v>
      </c>
      <c r="Q9253">
        <v>37.44</v>
      </c>
      <c r="R9253">
        <v>29.95</v>
      </c>
      <c r="S9253">
        <v>44.93</v>
      </c>
      <c r="T9253" t="s">
        <v>44271</v>
      </c>
    </row>
    <row r="9254" spans="1:20">
      <c r="A9254">
        <v>4796242</v>
      </c>
      <c r="B9254" t="s">
        <v>44272</v>
      </c>
      <c r="C9254" t="str">
        <f>"9782763790381"</f>
        <v>9782763790381</v>
      </c>
      <c r="D9254" t="str">
        <f>"9782763710396"</f>
        <v>9782763710396</v>
      </c>
      <c r="E9254" t="s">
        <v>43877</v>
      </c>
      <c r="F9254" t="s">
        <v>43877</v>
      </c>
      <c r="G9254" s="1">
        <v>40533</v>
      </c>
      <c r="I9254" t="s">
        <v>43283</v>
      </c>
      <c r="J9254" t="s">
        <v>3871</v>
      </c>
      <c r="K9254" t="s">
        <v>263</v>
      </c>
      <c r="M9254">
        <v>303.48200000000003</v>
      </c>
      <c r="O9254" t="s">
        <v>94</v>
      </c>
      <c r="P9254">
        <v>19.95</v>
      </c>
      <c r="Q9254">
        <v>24.94</v>
      </c>
      <c r="R9254">
        <v>19.95</v>
      </c>
      <c r="S9254">
        <v>29.93</v>
      </c>
      <c r="T9254" t="s">
        <v>44273</v>
      </c>
    </row>
    <row r="9255" spans="1:20">
      <c r="A9255">
        <v>4796246</v>
      </c>
      <c r="B9255" t="s">
        <v>44274</v>
      </c>
      <c r="C9255" t="str">
        <f>"9782763785943"</f>
        <v>9782763785943</v>
      </c>
      <c r="D9255" t="str">
        <f>"9782763705941"</f>
        <v>9782763705941</v>
      </c>
      <c r="E9255" t="s">
        <v>43877</v>
      </c>
      <c r="F9255" t="s">
        <v>43877</v>
      </c>
      <c r="G9255" s="1">
        <v>40506</v>
      </c>
      <c r="I9255" t="s">
        <v>44255</v>
      </c>
      <c r="J9255" t="s">
        <v>44275</v>
      </c>
      <c r="K9255" t="s">
        <v>291</v>
      </c>
      <c r="M9255">
        <v>971.40200000000004</v>
      </c>
      <c r="O9255" t="s">
        <v>94</v>
      </c>
      <c r="P9255">
        <v>19.95</v>
      </c>
      <c r="Q9255">
        <v>24.94</v>
      </c>
      <c r="R9255">
        <v>19.95</v>
      </c>
      <c r="S9255">
        <v>29.93</v>
      </c>
      <c r="T9255" t="s">
        <v>44276</v>
      </c>
    </row>
    <row r="9256" spans="1:20">
      <c r="A9256">
        <v>4796247</v>
      </c>
      <c r="B9256" t="s">
        <v>44277</v>
      </c>
      <c r="C9256" t="str">
        <f>"9782763791555"</f>
        <v>9782763791555</v>
      </c>
      <c r="D9256" t="str">
        <f>"9782763791562"</f>
        <v>9782763791562</v>
      </c>
      <c r="E9256" t="s">
        <v>43877</v>
      </c>
      <c r="F9256" t="s">
        <v>43877</v>
      </c>
      <c r="G9256" s="1">
        <v>40512</v>
      </c>
      <c r="I9256" t="s">
        <v>44163</v>
      </c>
      <c r="J9256" t="s">
        <v>44278</v>
      </c>
      <c r="K9256" t="s">
        <v>291</v>
      </c>
      <c r="M9256">
        <v>971.404</v>
      </c>
      <c r="O9256" t="s">
        <v>94</v>
      </c>
      <c r="P9256">
        <v>39.950000000000003</v>
      </c>
      <c r="Q9256">
        <v>49.94</v>
      </c>
      <c r="R9256">
        <v>39.950000000000003</v>
      </c>
      <c r="S9256">
        <v>59.93</v>
      </c>
      <c r="T9256" t="s">
        <v>44279</v>
      </c>
    </row>
    <row r="9257" spans="1:20">
      <c r="A9257">
        <v>4796250</v>
      </c>
      <c r="B9257" t="s">
        <v>44280</v>
      </c>
      <c r="C9257" t="str">
        <f>"9782763790916"</f>
        <v>9782763790916</v>
      </c>
      <c r="D9257" t="str">
        <f>"9782763710914"</f>
        <v>9782763710914</v>
      </c>
      <c r="E9257" t="s">
        <v>43877</v>
      </c>
      <c r="F9257" t="s">
        <v>43877</v>
      </c>
      <c r="G9257" s="1">
        <v>40512</v>
      </c>
      <c r="I9257" t="s">
        <v>44197</v>
      </c>
      <c r="J9257" t="s">
        <v>44281</v>
      </c>
      <c r="K9257" t="s">
        <v>263</v>
      </c>
      <c r="M9257">
        <v>306.36</v>
      </c>
      <c r="O9257" t="s">
        <v>94</v>
      </c>
      <c r="P9257">
        <v>39.950000000000003</v>
      </c>
      <c r="Q9257">
        <v>49.94</v>
      </c>
      <c r="R9257">
        <v>39.950000000000003</v>
      </c>
      <c r="S9257">
        <v>59.93</v>
      </c>
      <c r="T9257" t="s">
        <v>44282</v>
      </c>
    </row>
    <row r="9258" spans="1:20">
      <c r="A9258">
        <v>4796251</v>
      </c>
      <c r="B9258" t="s">
        <v>44283</v>
      </c>
      <c r="C9258" t="str">
        <f>"9782763792033"</f>
        <v>9782763792033</v>
      </c>
      <c r="D9258" t="str">
        <f>"9782763792040"</f>
        <v>9782763792040</v>
      </c>
      <c r="E9258" t="s">
        <v>43877</v>
      </c>
      <c r="F9258" t="s">
        <v>43877</v>
      </c>
      <c r="G9258" s="1">
        <v>40512</v>
      </c>
      <c r="I9258" t="s">
        <v>43283</v>
      </c>
      <c r="J9258" t="s">
        <v>44284</v>
      </c>
      <c r="K9258" t="s">
        <v>291</v>
      </c>
      <c r="M9258">
        <v>971.40200000000004</v>
      </c>
      <c r="O9258" t="s">
        <v>94</v>
      </c>
      <c r="P9258">
        <v>19.95</v>
      </c>
      <c r="Q9258">
        <v>24.94</v>
      </c>
      <c r="R9258">
        <v>19.95</v>
      </c>
      <c r="S9258">
        <v>29.93</v>
      </c>
      <c r="T9258" t="s">
        <v>44285</v>
      </c>
    </row>
    <row r="9259" spans="1:20">
      <c r="A9259">
        <v>4796267</v>
      </c>
      <c r="B9259" t="s">
        <v>44286</v>
      </c>
      <c r="C9259" t="str">
        <f>"9782760620797"</f>
        <v>9782760620797</v>
      </c>
      <c r="D9259" t="str">
        <f>"9782760625204"</f>
        <v>9782760625204</v>
      </c>
      <c r="E9259" t="s">
        <v>42231</v>
      </c>
      <c r="F9259" t="s">
        <v>42231</v>
      </c>
      <c r="G9259" s="1">
        <v>36526</v>
      </c>
      <c r="I9259" t="s">
        <v>44287</v>
      </c>
      <c r="J9259" t="s">
        <v>44288</v>
      </c>
      <c r="K9259" t="s">
        <v>3230</v>
      </c>
      <c r="M9259">
        <v>902.3</v>
      </c>
      <c r="O9259" t="s">
        <v>94</v>
      </c>
      <c r="P9259">
        <v>9.9499999999999993</v>
      </c>
      <c r="Q9259">
        <v>12.44</v>
      </c>
      <c r="R9259">
        <v>9.9499999999999993</v>
      </c>
      <c r="S9259">
        <v>14.93</v>
      </c>
      <c r="T9259" t="s">
        <v>44289</v>
      </c>
    </row>
    <row r="9260" spans="1:20">
      <c r="A9260">
        <v>4796269</v>
      </c>
      <c r="B9260" t="s">
        <v>44290</v>
      </c>
      <c r="C9260" t="str">
        <f>"9782760620490"</f>
        <v>9782760620490</v>
      </c>
      <c r="D9260" t="str">
        <f>"9782760624993"</f>
        <v>9782760624993</v>
      </c>
      <c r="E9260" t="s">
        <v>42231</v>
      </c>
      <c r="F9260" t="s">
        <v>42231</v>
      </c>
      <c r="G9260" s="1">
        <v>36526</v>
      </c>
      <c r="I9260" t="s">
        <v>44287</v>
      </c>
      <c r="J9260" t="s">
        <v>44291</v>
      </c>
      <c r="K9260" t="s">
        <v>1471</v>
      </c>
      <c r="M9260" t="s">
        <v>44292</v>
      </c>
      <c r="O9260" t="s">
        <v>94</v>
      </c>
      <c r="P9260">
        <v>9.9499999999999993</v>
      </c>
      <c r="Q9260">
        <v>12.44</v>
      </c>
      <c r="R9260">
        <v>9.9499999999999993</v>
      </c>
      <c r="S9260">
        <v>14.93</v>
      </c>
      <c r="T9260" t="s">
        <v>44293</v>
      </c>
    </row>
    <row r="9261" spans="1:20">
      <c r="A9261">
        <v>4796271</v>
      </c>
      <c r="B9261" t="s">
        <v>44294</v>
      </c>
      <c r="C9261" t="str">
        <f>"9782760620506"</f>
        <v>9782760620506</v>
      </c>
      <c r="D9261" t="str">
        <f>"9782760625129"</f>
        <v>9782760625129</v>
      </c>
      <c r="E9261" t="s">
        <v>42231</v>
      </c>
      <c r="F9261" t="s">
        <v>42231</v>
      </c>
      <c r="G9261" s="1">
        <v>36526</v>
      </c>
      <c r="I9261" t="s">
        <v>44287</v>
      </c>
      <c r="J9261" t="s">
        <v>10743</v>
      </c>
      <c r="K9261" t="s">
        <v>3230</v>
      </c>
      <c r="M9261">
        <v>910.23</v>
      </c>
      <c r="O9261" t="s">
        <v>94</v>
      </c>
      <c r="P9261">
        <v>9.9499999999999993</v>
      </c>
      <c r="Q9261">
        <v>12.44</v>
      </c>
      <c r="R9261">
        <v>9.9499999999999993</v>
      </c>
      <c r="S9261">
        <v>14.93</v>
      </c>
      <c r="T9261" t="s">
        <v>44295</v>
      </c>
    </row>
    <row r="9262" spans="1:20">
      <c r="A9262">
        <v>4796277</v>
      </c>
      <c r="B9262" t="s">
        <v>44296</v>
      </c>
      <c r="C9262" t="str">
        <f>"9782763790404"</f>
        <v>9782763790404</v>
      </c>
      <c r="D9262" t="str">
        <f>"9782763710402"</f>
        <v>9782763710402</v>
      </c>
      <c r="E9262" t="s">
        <v>43877</v>
      </c>
      <c r="F9262" t="s">
        <v>43877</v>
      </c>
      <c r="G9262" s="1">
        <v>40871</v>
      </c>
      <c r="J9262" t="s">
        <v>44297</v>
      </c>
      <c r="K9262" t="s">
        <v>330</v>
      </c>
      <c r="M9262">
        <v>363.69</v>
      </c>
      <c r="O9262" t="s">
        <v>94</v>
      </c>
      <c r="P9262">
        <v>29.95</v>
      </c>
      <c r="Q9262">
        <v>37.44</v>
      </c>
      <c r="R9262">
        <v>29.95</v>
      </c>
      <c r="S9262">
        <v>44.93</v>
      </c>
      <c r="T9262" t="s">
        <v>44298</v>
      </c>
    </row>
    <row r="9263" spans="1:20">
      <c r="A9263">
        <v>4796282</v>
      </c>
      <c r="B9263" t="s">
        <v>44299</v>
      </c>
      <c r="C9263" t="str">
        <f>"9782763789460"</f>
        <v>9782763789460</v>
      </c>
      <c r="D9263" t="str">
        <f>"9782763709468"</f>
        <v>9782763709468</v>
      </c>
      <c r="E9263" t="s">
        <v>43877</v>
      </c>
      <c r="F9263" t="s">
        <v>43877</v>
      </c>
      <c r="G9263" s="1">
        <v>40871</v>
      </c>
      <c r="J9263" t="s">
        <v>44300</v>
      </c>
      <c r="K9263" t="s">
        <v>291</v>
      </c>
      <c r="M9263">
        <v>971</v>
      </c>
      <c r="O9263" t="s">
        <v>94</v>
      </c>
      <c r="P9263">
        <v>40</v>
      </c>
      <c r="Q9263">
        <v>50</v>
      </c>
      <c r="R9263">
        <v>40</v>
      </c>
      <c r="S9263">
        <v>60</v>
      </c>
      <c r="T9263" t="s">
        <v>44301</v>
      </c>
    </row>
    <row r="9264" spans="1:20">
      <c r="A9264">
        <v>4796289</v>
      </c>
      <c r="B9264" t="s">
        <v>44302</v>
      </c>
      <c r="C9264" t="str">
        <f>"9782763790152"</f>
        <v>9782763790152</v>
      </c>
      <c r="D9264" t="str">
        <f>"9782763710952"</f>
        <v>9782763710952</v>
      </c>
      <c r="E9264" t="s">
        <v>43877</v>
      </c>
      <c r="F9264" t="s">
        <v>43877</v>
      </c>
      <c r="G9264" s="1">
        <v>40591</v>
      </c>
      <c r="I9264" t="s">
        <v>44269</v>
      </c>
      <c r="J9264" t="s">
        <v>44303</v>
      </c>
      <c r="K9264" t="s">
        <v>3230</v>
      </c>
      <c r="M9264">
        <v>909.82</v>
      </c>
      <c r="O9264" t="s">
        <v>94</v>
      </c>
      <c r="P9264">
        <v>42.95</v>
      </c>
      <c r="Q9264">
        <v>53.69</v>
      </c>
      <c r="R9264">
        <v>42.95</v>
      </c>
      <c r="S9264">
        <v>64.430000000000007</v>
      </c>
      <c r="T9264" t="s">
        <v>44304</v>
      </c>
    </row>
    <row r="9265" spans="1:20">
      <c r="A9265">
        <v>4796291</v>
      </c>
      <c r="B9265" t="s">
        <v>44305</v>
      </c>
      <c r="C9265" t="str">
        <f>"9782763791289"</f>
        <v>9782763791289</v>
      </c>
      <c r="D9265" t="str">
        <f>"9782763791296"</f>
        <v>9782763791296</v>
      </c>
      <c r="E9265" t="s">
        <v>43877</v>
      </c>
      <c r="F9265" t="s">
        <v>43877</v>
      </c>
      <c r="G9265" s="1">
        <v>40591</v>
      </c>
      <c r="I9265" t="s">
        <v>44255</v>
      </c>
      <c r="J9265" t="s">
        <v>44306</v>
      </c>
      <c r="K9265" t="s">
        <v>263</v>
      </c>
      <c r="M9265">
        <v>303.48200000000003</v>
      </c>
      <c r="O9265" t="s">
        <v>94</v>
      </c>
      <c r="P9265">
        <v>39.950000000000003</v>
      </c>
      <c r="Q9265">
        <v>49.94</v>
      </c>
      <c r="R9265">
        <v>39.950000000000003</v>
      </c>
      <c r="S9265">
        <v>59.93</v>
      </c>
      <c r="T9265" t="s">
        <v>44307</v>
      </c>
    </row>
    <row r="9266" spans="1:20">
      <c r="A9266">
        <v>4796293</v>
      </c>
      <c r="B9266" t="s">
        <v>44308</v>
      </c>
      <c r="C9266" t="str">
        <f>"9782763792361"</f>
        <v>9782763792361</v>
      </c>
      <c r="D9266" t="str">
        <f>"9782763792378"</f>
        <v>9782763792378</v>
      </c>
      <c r="E9266" t="s">
        <v>43877</v>
      </c>
      <c r="F9266" t="s">
        <v>43877</v>
      </c>
      <c r="G9266" s="1">
        <v>40819</v>
      </c>
      <c r="J9266" t="s">
        <v>44309</v>
      </c>
      <c r="K9266" t="s">
        <v>291</v>
      </c>
      <c r="M9266">
        <v>944.03099999999995</v>
      </c>
      <c r="O9266" t="s">
        <v>94</v>
      </c>
      <c r="P9266">
        <v>32.950000000000003</v>
      </c>
      <c r="Q9266">
        <v>41.19</v>
      </c>
      <c r="R9266">
        <v>32.950000000000003</v>
      </c>
      <c r="S9266">
        <v>49.43</v>
      </c>
      <c r="T9266" t="s">
        <v>44310</v>
      </c>
    </row>
    <row r="9267" spans="1:20">
      <c r="A9267">
        <v>4796294</v>
      </c>
      <c r="B9267" t="s">
        <v>44311</v>
      </c>
      <c r="C9267" t="str">
        <f>"9782763789859"</f>
        <v>9782763789859</v>
      </c>
      <c r="D9267" t="str">
        <f>"9782763709857"</f>
        <v>9782763709857</v>
      </c>
      <c r="E9267" t="s">
        <v>43877</v>
      </c>
      <c r="F9267" t="s">
        <v>43877</v>
      </c>
      <c r="G9267" s="1">
        <v>40609</v>
      </c>
      <c r="I9267" t="s">
        <v>44312</v>
      </c>
      <c r="J9267" t="s">
        <v>44313</v>
      </c>
      <c r="K9267" t="s">
        <v>1464</v>
      </c>
      <c r="M9267">
        <v>840.99713999999994</v>
      </c>
      <c r="O9267" t="s">
        <v>94</v>
      </c>
      <c r="P9267">
        <v>49.95</v>
      </c>
      <c r="Q9267">
        <v>62.44</v>
      </c>
      <c r="R9267">
        <v>49.95</v>
      </c>
      <c r="S9267">
        <v>74.930000000000007</v>
      </c>
      <c r="T9267" t="s">
        <v>44314</v>
      </c>
    </row>
    <row r="9268" spans="1:20">
      <c r="A9268">
        <v>4796295</v>
      </c>
      <c r="B9268" t="s">
        <v>44315</v>
      </c>
      <c r="C9268" t="str">
        <f>"9782763793597"</f>
        <v>9782763793597</v>
      </c>
      <c r="D9268" t="str">
        <f>"9782763793603"</f>
        <v>9782763793603</v>
      </c>
      <c r="E9268" t="s">
        <v>43877</v>
      </c>
      <c r="F9268" t="s">
        <v>43877</v>
      </c>
      <c r="G9268" s="1">
        <v>40591</v>
      </c>
      <c r="I9268" t="s">
        <v>44316</v>
      </c>
      <c r="J9268" t="s">
        <v>44317</v>
      </c>
      <c r="K9268" t="s">
        <v>263</v>
      </c>
      <c r="M9268">
        <v>363.34949999999998</v>
      </c>
      <c r="O9268" t="s">
        <v>94</v>
      </c>
      <c r="P9268">
        <v>19.95</v>
      </c>
      <c r="Q9268">
        <v>24.94</v>
      </c>
      <c r="R9268">
        <v>19.95</v>
      </c>
      <c r="S9268">
        <v>29.93</v>
      </c>
      <c r="T9268" t="s">
        <v>44318</v>
      </c>
    </row>
    <row r="9269" spans="1:20">
      <c r="A9269">
        <v>4796300</v>
      </c>
      <c r="B9269" t="s">
        <v>44319</v>
      </c>
      <c r="C9269" t="str">
        <f>"9782763791258"</f>
        <v>9782763791258</v>
      </c>
      <c r="D9269" t="str">
        <f>"9782763791265"</f>
        <v>9782763791265</v>
      </c>
      <c r="E9269" t="s">
        <v>43877</v>
      </c>
      <c r="F9269" t="s">
        <v>43877</v>
      </c>
      <c r="G9269" s="1">
        <v>40591</v>
      </c>
      <c r="I9269" t="s">
        <v>43283</v>
      </c>
      <c r="J9269" t="s">
        <v>44320</v>
      </c>
      <c r="K9269" t="s">
        <v>1464</v>
      </c>
      <c r="M9269">
        <v>809.89206909999996</v>
      </c>
      <c r="O9269" t="s">
        <v>94</v>
      </c>
      <c r="P9269">
        <v>49.95</v>
      </c>
      <c r="Q9269">
        <v>62.44</v>
      </c>
      <c r="R9269">
        <v>49.95</v>
      </c>
      <c r="S9269">
        <v>74.930000000000007</v>
      </c>
      <c r="T9269" t="s">
        <v>44321</v>
      </c>
    </row>
    <row r="9270" spans="1:20">
      <c r="A9270">
        <v>4796301</v>
      </c>
      <c r="B9270" t="s">
        <v>44322</v>
      </c>
      <c r="C9270" t="str">
        <f>"9782760525535"</f>
        <v>9782760525535</v>
      </c>
      <c r="D9270" t="str">
        <f>"9782760525542"</f>
        <v>9782760525542</v>
      </c>
      <c r="E9270" t="s">
        <v>43423</v>
      </c>
      <c r="F9270" t="s">
        <v>33376</v>
      </c>
      <c r="G9270" s="1">
        <v>36526</v>
      </c>
      <c r="H9270">
        <v>4</v>
      </c>
      <c r="J9270" t="s">
        <v>44323</v>
      </c>
      <c r="K9270" t="s">
        <v>305</v>
      </c>
      <c r="L9270" t="s">
        <v>44324</v>
      </c>
      <c r="M9270">
        <v>382</v>
      </c>
      <c r="O9270" t="s">
        <v>94</v>
      </c>
      <c r="P9270">
        <v>89</v>
      </c>
      <c r="Q9270">
        <v>111.25</v>
      </c>
      <c r="R9270">
        <v>89</v>
      </c>
      <c r="S9270">
        <v>133.5</v>
      </c>
      <c r="T9270" t="s">
        <v>44325</v>
      </c>
    </row>
    <row r="9271" spans="1:20">
      <c r="A9271">
        <v>4796303</v>
      </c>
      <c r="B9271" t="s">
        <v>44326</v>
      </c>
      <c r="C9271" t="str">
        <f>"9782760524576"</f>
        <v>9782760524576</v>
      </c>
      <c r="D9271" t="str">
        <f>"9782760524583"</f>
        <v>9782760524583</v>
      </c>
      <c r="E9271" t="s">
        <v>43423</v>
      </c>
      <c r="F9271" t="s">
        <v>33376</v>
      </c>
      <c r="G9271" s="1">
        <v>36526</v>
      </c>
      <c r="J9271" t="s">
        <v>44327</v>
      </c>
      <c r="K9271" t="s">
        <v>2260</v>
      </c>
      <c r="M9271" t="s">
        <v>44328</v>
      </c>
      <c r="O9271" t="s">
        <v>94</v>
      </c>
      <c r="P9271">
        <v>35</v>
      </c>
      <c r="Q9271">
        <v>43.75</v>
      </c>
      <c r="R9271">
        <v>35</v>
      </c>
      <c r="S9271">
        <v>52.5</v>
      </c>
      <c r="T9271" t="s">
        <v>44329</v>
      </c>
    </row>
    <row r="9272" spans="1:20">
      <c r="A9272">
        <v>4796308</v>
      </c>
      <c r="B9272" t="s">
        <v>44330</v>
      </c>
      <c r="C9272" t="str">
        <f>"9782760525313"</f>
        <v>9782760525313</v>
      </c>
      <c r="D9272" t="str">
        <f>"9782760525320"</f>
        <v>9782760525320</v>
      </c>
      <c r="E9272" t="s">
        <v>43423</v>
      </c>
      <c r="F9272" t="s">
        <v>33376</v>
      </c>
      <c r="G9272" s="1">
        <v>36526</v>
      </c>
      <c r="J9272" t="s">
        <v>33429</v>
      </c>
      <c r="K9272" t="s">
        <v>263</v>
      </c>
      <c r="M9272">
        <v>306.85097139999999</v>
      </c>
      <c r="O9272" t="s">
        <v>94</v>
      </c>
      <c r="P9272">
        <v>31</v>
      </c>
      <c r="Q9272">
        <v>38.75</v>
      </c>
      <c r="R9272">
        <v>31</v>
      </c>
      <c r="S9272">
        <v>46.5</v>
      </c>
      <c r="T9272" t="s">
        <v>44331</v>
      </c>
    </row>
    <row r="9273" spans="1:20">
      <c r="A9273">
        <v>4796313</v>
      </c>
      <c r="B9273" t="s">
        <v>44332</v>
      </c>
      <c r="C9273" t="str">
        <f>"9782760525474"</f>
        <v>9782760525474</v>
      </c>
      <c r="D9273" t="str">
        <f>"9782760525481"</f>
        <v>9782760525481</v>
      </c>
      <c r="E9273" t="s">
        <v>43423</v>
      </c>
      <c r="F9273" t="s">
        <v>33376</v>
      </c>
      <c r="G9273" s="1">
        <v>36526</v>
      </c>
      <c r="J9273" t="s">
        <v>44333</v>
      </c>
      <c r="K9273" t="s">
        <v>31967</v>
      </c>
      <c r="M9273" t="s">
        <v>44334</v>
      </c>
      <c r="O9273" t="s">
        <v>94</v>
      </c>
      <c r="P9273">
        <v>50</v>
      </c>
      <c r="Q9273">
        <v>62.5</v>
      </c>
      <c r="R9273">
        <v>50</v>
      </c>
      <c r="S9273">
        <v>75</v>
      </c>
      <c r="T9273" t="s">
        <v>44335</v>
      </c>
    </row>
    <row r="9274" spans="1:20">
      <c r="A9274">
        <v>4796315</v>
      </c>
      <c r="B9274" t="s">
        <v>44336</v>
      </c>
      <c r="C9274" t="str">
        <f>"9782760529212"</f>
        <v>9782760529212</v>
      </c>
      <c r="D9274" t="str">
        <f>"9782760530072"</f>
        <v>9782760530072</v>
      </c>
      <c r="E9274" t="s">
        <v>43423</v>
      </c>
      <c r="F9274" t="s">
        <v>33376</v>
      </c>
      <c r="G9274" s="1">
        <v>36526</v>
      </c>
      <c r="J9274" t="s">
        <v>44337</v>
      </c>
      <c r="K9274" t="s">
        <v>257</v>
      </c>
      <c r="M9274" t="s">
        <v>44338</v>
      </c>
      <c r="O9274" t="s">
        <v>94</v>
      </c>
      <c r="P9274">
        <v>15</v>
      </c>
      <c r="Q9274">
        <v>18.75</v>
      </c>
      <c r="R9274">
        <v>15</v>
      </c>
      <c r="S9274">
        <v>22.5</v>
      </c>
      <c r="T9274" t="s">
        <v>44339</v>
      </c>
    </row>
    <row r="9275" spans="1:20">
      <c r="A9275">
        <v>4796316</v>
      </c>
      <c r="B9275" t="s">
        <v>44340</v>
      </c>
      <c r="C9275" t="str">
        <f>"9782760525375"</f>
        <v>9782760525375</v>
      </c>
      <c r="D9275" t="str">
        <f>"9782760525382"</f>
        <v>9782760525382</v>
      </c>
      <c r="E9275" t="s">
        <v>43423</v>
      </c>
      <c r="F9275" t="s">
        <v>33376</v>
      </c>
      <c r="G9275" s="1">
        <v>36526</v>
      </c>
      <c r="J9275" t="s">
        <v>44341</v>
      </c>
      <c r="K9275" t="s">
        <v>278</v>
      </c>
      <c r="M9275" t="s">
        <v>44342</v>
      </c>
      <c r="O9275" t="s">
        <v>94</v>
      </c>
      <c r="P9275">
        <v>22</v>
      </c>
      <c r="Q9275">
        <v>27.5</v>
      </c>
      <c r="R9275">
        <v>22</v>
      </c>
      <c r="S9275">
        <v>33</v>
      </c>
      <c r="T9275" t="s">
        <v>44343</v>
      </c>
    </row>
    <row r="9276" spans="1:20">
      <c r="A9276">
        <v>4796318</v>
      </c>
      <c r="B9276" t="s">
        <v>44344</v>
      </c>
      <c r="C9276" t="str">
        <f>"9782760530379"</f>
        <v>9782760530379</v>
      </c>
      <c r="D9276" t="str">
        <f>"9782760530386"</f>
        <v>9782760530386</v>
      </c>
      <c r="E9276" t="s">
        <v>43423</v>
      </c>
      <c r="F9276" t="s">
        <v>33376</v>
      </c>
      <c r="G9276" s="1">
        <v>36526</v>
      </c>
      <c r="J9276" t="s">
        <v>44345</v>
      </c>
      <c r="K9276" t="s">
        <v>257</v>
      </c>
      <c r="M9276" t="s">
        <v>44346</v>
      </c>
      <c r="O9276" t="s">
        <v>94</v>
      </c>
      <c r="P9276">
        <v>20</v>
      </c>
      <c r="Q9276">
        <v>25</v>
      </c>
      <c r="R9276">
        <v>20</v>
      </c>
      <c r="S9276">
        <v>30</v>
      </c>
      <c r="T9276" t="s">
        <v>44347</v>
      </c>
    </row>
    <row r="9277" spans="1:20">
      <c r="A9277">
        <v>4796323</v>
      </c>
      <c r="B9277" t="s">
        <v>44348</v>
      </c>
      <c r="C9277" t="str">
        <f>"9782760524446"</f>
        <v>9782760524446</v>
      </c>
      <c r="D9277" t="str">
        <f>"9782760524453"</f>
        <v>9782760524453</v>
      </c>
      <c r="E9277" t="s">
        <v>43423</v>
      </c>
      <c r="F9277" t="s">
        <v>33376</v>
      </c>
      <c r="G9277" s="1">
        <v>36526</v>
      </c>
      <c r="J9277" t="s">
        <v>44349</v>
      </c>
      <c r="K9277" t="s">
        <v>263</v>
      </c>
      <c r="L9277" t="s">
        <v>44350</v>
      </c>
      <c r="M9277">
        <v>305.23099999999999</v>
      </c>
      <c r="O9277" t="s">
        <v>94</v>
      </c>
      <c r="P9277">
        <v>52</v>
      </c>
      <c r="Q9277">
        <v>65</v>
      </c>
      <c r="R9277">
        <v>52</v>
      </c>
      <c r="S9277">
        <v>78</v>
      </c>
      <c r="T9277" t="s">
        <v>44351</v>
      </c>
    </row>
    <row r="9278" spans="1:20">
      <c r="A9278">
        <v>4796325</v>
      </c>
      <c r="B9278" t="s">
        <v>44352</v>
      </c>
      <c r="C9278" t="str">
        <f>"9782760526259"</f>
        <v>9782760526259</v>
      </c>
      <c r="D9278" t="str">
        <f>"9782760526266"</f>
        <v>9782760526266</v>
      </c>
      <c r="E9278" t="s">
        <v>43423</v>
      </c>
      <c r="F9278" t="s">
        <v>33376</v>
      </c>
      <c r="G9278" s="1">
        <v>36526</v>
      </c>
      <c r="J9278" t="s">
        <v>44353</v>
      </c>
      <c r="K9278" t="s">
        <v>263</v>
      </c>
      <c r="M9278">
        <v>305.26</v>
      </c>
      <c r="O9278" t="s">
        <v>94</v>
      </c>
      <c r="P9278">
        <v>48</v>
      </c>
      <c r="Q9278">
        <v>60</v>
      </c>
      <c r="R9278">
        <v>48</v>
      </c>
      <c r="S9278">
        <v>72</v>
      </c>
      <c r="T9278" t="s">
        <v>44354</v>
      </c>
    </row>
    <row r="9279" spans="1:20">
      <c r="A9279">
        <v>4796327</v>
      </c>
      <c r="B9279" t="s">
        <v>44355</v>
      </c>
      <c r="C9279" t="str">
        <f>"9782760529458"</f>
        <v>9782760529458</v>
      </c>
      <c r="D9279" t="str">
        <f>"9782760529465"</f>
        <v>9782760529465</v>
      </c>
      <c r="E9279" t="s">
        <v>43423</v>
      </c>
      <c r="F9279" t="s">
        <v>33376</v>
      </c>
      <c r="G9279" s="1">
        <v>36526</v>
      </c>
      <c r="J9279" t="s">
        <v>44356</v>
      </c>
      <c r="K9279" t="s">
        <v>257</v>
      </c>
      <c r="M9279" t="s">
        <v>44357</v>
      </c>
      <c r="O9279" t="s">
        <v>94</v>
      </c>
      <c r="P9279">
        <v>10</v>
      </c>
      <c r="Q9279">
        <v>12.5</v>
      </c>
      <c r="R9279">
        <v>10</v>
      </c>
      <c r="S9279">
        <v>15</v>
      </c>
      <c r="T9279" t="s">
        <v>44358</v>
      </c>
    </row>
    <row r="9280" spans="1:20">
      <c r="A9280">
        <v>4796333</v>
      </c>
      <c r="B9280" t="s">
        <v>44359</v>
      </c>
      <c r="C9280" t="str">
        <f>"9782760526594"</f>
        <v>9782760526594</v>
      </c>
      <c r="D9280" t="str">
        <f>"9782760526600"</f>
        <v>9782760526600</v>
      </c>
      <c r="E9280" t="s">
        <v>43423</v>
      </c>
      <c r="F9280" t="s">
        <v>33376</v>
      </c>
      <c r="G9280" s="1">
        <v>36526</v>
      </c>
      <c r="J9280" t="s">
        <v>44360</v>
      </c>
      <c r="K9280" t="s">
        <v>263</v>
      </c>
      <c r="L9280" t="s">
        <v>44361</v>
      </c>
      <c r="M9280" t="s">
        <v>28928</v>
      </c>
      <c r="O9280" t="s">
        <v>94</v>
      </c>
      <c r="P9280">
        <v>29</v>
      </c>
      <c r="Q9280">
        <v>36.25</v>
      </c>
      <c r="R9280">
        <v>29</v>
      </c>
      <c r="S9280">
        <v>43.5</v>
      </c>
      <c r="T9280" t="s">
        <v>44362</v>
      </c>
    </row>
    <row r="9281" spans="1:20">
      <c r="A9281">
        <v>4796337</v>
      </c>
      <c r="B9281" t="s">
        <v>44363</v>
      </c>
      <c r="C9281" t="str">
        <f>"9782760526518"</f>
        <v>9782760526518</v>
      </c>
      <c r="D9281" t="str">
        <f>"9782760526525"</f>
        <v>9782760526525</v>
      </c>
      <c r="E9281" t="s">
        <v>43423</v>
      </c>
      <c r="F9281" t="s">
        <v>33376</v>
      </c>
      <c r="G9281" s="1">
        <v>36526</v>
      </c>
      <c r="J9281" t="s">
        <v>33251</v>
      </c>
      <c r="K9281" t="s">
        <v>305</v>
      </c>
      <c r="M9281">
        <v>659.2</v>
      </c>
      <c r="O9281" t="s">
        <v>94</v>
      </c>
      <c r="P9281">
        <v>25</v>
      </c>
      <c r="Q9281">
        <v>31.25</v>
      </c>
      <c r="R9281">
        <v>25</v>
      </c>
      <c r="S9281">
        <v>37.5</v>
      </c>
      <c r="T9281" t="s">
        <v>44364</v>
      </c>
    </row>
    <row r="9282" spans="1:20">
      <c r="A9282">
        <v>4796339</v>
      </c>
      <c r="B9282" t="s">
        <v>44365</v>
      </c>
      <c r="C9282" t="str">
        <f>"9782760526235"</f>
        <v>9782760526235</v>
      </c>
      <c r="D9282" t="str">
        <f>"9782760526242"</f>
        <v>9782760526242</v>
      </c>
      <c r="E9282" t="s">
        <v>43423</v>
      </c>
      <c r="F9282" t="s">
        <v>33376</v>
      </c>
      <c r="G9282" s="1">
        <v>36526</v>
      </c>
      <c r="J9282" t="s">
        <v>44366</v>
      </c>
      <c r="K9282" t="s">
        <v>305</v>
      </c>
      <c r="M9282" t="s">
        <v>44367</v>
      </c>
      <c r="O9282" t="s">
        <v>94</v>
      </c>
      <c r="P9282">
        <v>39</v>
      </c>
      <c r="Q9282">
        <v>48.75</v>
      </c>
      <c r="R9282">
        <v>39</v>
      </c>
      <c r="S9282">
        <v>58.5</v>
      </c>
      <c r="T9282" t="s">
        <v>44368</v>
      </c>
    </row>
    <row r="9283" spans="1:20">
      <c r="A9283">
        <v>4796340</v>
      </c>
      <c r="B9283" t="s">
        <v>44369</v>
      </c>
      <c r="C9283" t="str">
        <f>"9782760526617"</f>
        <v>9782760526617</v>
      </c>
      <c r="D9283" t="str">
        <f>"9782760526624"</f>
        <v>9782760526624</v>
      </c>
      <c r="E9283" t="s">
        <v>43423</v>
      </c>
      <c r="F9283" t="s">
        <v>33376</v>
      </c>
      <c r="G9283" s="1">
        <v>36526</v>
      </c>
      <c r="J9283" t="s">
        <v>44370</v>
      </c>
      <c r="K9283" t="s">
        <v>305</v>
      </c>
      <c r="L9283" t="s">
        <v>44371</v>
      </c>
      <c r="M9283" t="s">
        <v>44372</v>
      </c>
      <c r="O9283" t="s">
        <v>94</v>
      </c>
      <c r="P9283">
        <v>32</v>
      </c>
      <c r="Q9283">
        <v>40</v>
      </c>
      <c r="R9283">
        <v>32</v>
      </c>
      <c r="S9283">
        <v>48</v>
      </c>
      <c r="T9283" t="s">
        <v>44373</v>
      </c>
    </row>
    <row r="9284" spans="1:20">
      <c r="A9284">
        <v>4796342</v>
      </c>
      <c r="B9284" t="s">
        <v>44374</v>
      </c>
      <c r="C9284" t="str">
        <f>"9782760526471"</f>
        <v>9782760526471</v>
      </c>
      <c r="D9284" t="str">
        <f>"9782760526488"</f>
        <v>9782760526488</v>
      </c>
      <c r="E9284" t="s">
        <v>43423</v>
      </c>
      <c r="F9284" t="s">
        <v>33376</v>
      </c>
      <c r="G9284" s="1">
        <v>36526</v>
      </c>
      <c r="J9284" t="s">
        <v>44375</v>
      </c>
      <c r="K9284" t="s">
        <v>467</v>
      </c>
      <c r="M9284">
        <v>320.471</v>
      </c>
      <c r="O9284" t="s">
        <v>94</v>
      </c>
      <c r="P9284">
        <v>25</v>
      </c>
      <c r="Q9284">
        <v>31.25</v>
      </c>
      <c r="R9284">
        <v>25</v>
      </c>
      <c r="S9284">
        <v>37.5</v>
      </c>
      <c r="T9284" t="s">
        <v>44376</v>
      </c>
    </row>
    <row r="9285" spans="1:20">
      <c r="A9285">
        <v>4796343</v>
      </c>
      <c r="B9285" t="s">
        <v>44377</v>
      </c>
      <c r="C9285" t="str">
        <f>"9782760529540"</f>
        <v>9782760529540</v>
      </c>
      <c r="D9285" t="str">
        <f>"9782760529557"</f>
        <v>9782760529557</v>
      </c>
      <c r="E9285" t="s">
        <v>43423</v>
      </c>
      <c r="F9285" t="s">
        <v>33376</v>
      </c>
      <c r="G9285" s="1">
        <v>36526</v>
      </c>
      <c r="J9285" t="s">
        <v>44378</v>
      </c>
      <c r="K9285" t="s">
        <v>1471</v>
      </c>
      <c r="M9285">
        <v>700.92</v>
      </c>
      <c r="O9285" t="s">
        <v>94</v>
      </c>
      <c r="P9285">
        <v>20</v>
      </c>
      <c r="Q9285">
        <v>25</v>
      </c>
      <c r="R9285">
        <v>20</v>
      </c>
      <c r="S9285">
        <v>30</v>
      </c>
      <c r="T9285" t="s">
        <v>44379</v>
      </c>
    </row>
    <row r="9286" spans="1:20">
      <c r="A9286">
        <v>4796345</v>
      </c>
      <c r="B9286" t="s">
        <v>44380</v>
      </c>
      <c r="C9286" t="str">
        <f>"9782760526297"</f>
        <v>9782760526297</v>
      </c>
      <c r="D9286" t="str">
        <f>"9782760526303"</f>
        <v>9782760526303</v>
      </c>
      <c r="E9286" t="s">
        <v>43423</v>
      </c>
      <c r="F9286" t="s">
        <v>33376</v>
      </c>
      <c r="G9286" s="1">
        <v>36526</v>
      </c>
      <c r="J9286" t="s">
        <v>44381</v>
      </c>
      <c r="K9286" t="s">
        <v>1464</v>
      </c>
      <c r="M9286" t="s">
        <v>6604</v>
      </c>
      <c r="O9286" t="s">
        <v>94</v>
      </c>
      <c r="P9286">
        <v>18</v>
      </c>
      <c r="Q9286">
        <v>22.5</v>
      </c>
      <c r="R9286">
        <v>18</v>
      </c>
      <c r="S9286">
        <v>27</v>
      </c>
      <c r="T9286" t="s">
        <v>44382</v>
      </c>
    </row>
    <row r="9287" spans="1:20">
      <c r="A9287">
        <v>4796346</v>
      </c>
      <c r="B9287" t="s">
        <v>44383</v>
      </c>
      <c r="C9287" t="str">
        <f>"9782760526006"</f>
        <v>9782760526006</v>
      </c>
      <c r="D9287" t="str">
        <f>"9782760526013"</f>
        <v>9782760526013</v>
      </c>
      <c r="E9287" t="s">
        <v>43423</v>
      </c>
      <c r="F9287" t="s">
        <v>33376</v>
      </c>
      <c r="G9287" s="1">
        <v>36526</v>
      </c>
      <c r="J9287" t="s">
        <v>43490</v>
      </c>
      <c r="K9287" t="s">
        <v>305</v>
      </c>
      <c r="M9287">
        <v>659.2</v>
      </c>
      <c r="O9287" t="s">
        <v>94</v>
      </c>
      <c r="P9287">
        <v>39</v>
      </c>
      <c r="Q9287">
        <v>48.75</v>
      </c>
      <c r="R9287">
        <v>39</v>
      </c>
      <c r="S9287">
        <v>58.5</v>
      </c>
      <c r="T9287" t="s">
        <v>44384</v>
      </c>
    </row>
    <row r="9288" spans="1:20">
      <c r="A9288">
        <v>4796347</v>
      </c>
      <c r="B9288" t="s">
        <v>44385</v>
      </c>
      <c r="C9288" t="str">
        <f>"9782760526570"</f>
        <v>9782760526570</v>
      </c>
      <c r="D9288" t="str">
        <f>"9782760526587"</f>
        <v>9782760526587</v>
      </c>
      <c r="E9288" t="s">
        <v>43423</v>
      </c>
      <c r="F9288" t="s">
        <v>33376</v>
      </c>
      <c r="G9288" s="1">
        <v>36526</v>
      </c>
      <c r="J9288" t="s">
        <v>44386</v>
      </c>
      <c r="K9288" t="s">
        <v>263</v>
      </c>
      <c r="L9288" t="s">
        <v>44387</v>
      </c>
      <c r="M9288">
        <v>307.76</v>
      </c>
      <c r="O9288" t="s">
        <v>94</v>
      </c>
      <c r="P9288">
        <v>39</v>
      </c>
      <c r="Q9288">
        <v>48.75</v>
      </c>
      <c r="R9288">
        <v>39</v>
      </c>
      <c r="S9288">
        <v>58.5</v>
      </c>
      <c r="T9288" t="s">
        <v>44388</v>
      </c>
    </row>
    <row r="9289" spans="1:20">
      <c r="A9289">
        <v>4796349</v>
      </c>
      <c r="B9289" t="s">
        <v>44389</v>
      </c>
      <c r="C9289" t="str">
        <f>"9782760529809"</f>
        <v>9782760529809</v>
      </c>
      <c r="D9289" t="str">
        <f>"9782760529816"</f>
        <v>9782760529816</v>
      </c>
      <c r="E9289" t="s">
        <v>43423</v>
      </c>
      <c r="F9289" t="s">
        <v>33376</v>
      </c>
      <c r="G9289" s="1">
        <v>36526</v>
      </c>
      <c r="J9289" t="s">
        <v>44390</v>
      </c>
      <c r="K9289" t="s">
        <v>1150</v>
      </c>
      <c r="M9289" t="s">
        <v>44391</v>
      </c>
      <c r="O9289" t="s">
        <v>94</v>
      </c>
      <c r="P9289">
        <v>29</v>
      </c>
      <c r="Q9289">
        <v>36.25</v>
      </c>
      <c r="R9289">
        <v>29</v>
      </c>
      <c r="S9289">
        <v>43.5</v>
      </c>
      <c r="T9289" t="s">
        <v>44392</v>
      </c>
    </row>
    <row r="9290" spans="1:20">
      <c r="A9290">
        <v>4796353</v>
      </c>
      <c r="B9290" t="s">
        <v>44393</v>
      </c>
      <c r="C9290" t="str">
        <f>"9782760526310"</f>
        <v>9782760526310</v>
      </c>
      <c r="D9290" t="str">
        <f>"9782760526327"</f>
        <v>9782760526327</v>
      </c>
      <c r="E9290" t="s">
        <v>43423</v>
      </c>
      <c r="F9290" t="s">
        <v>33376</v>
      </c>
      <c r="G9290" s="1">
        <v>36526</v>
      </c>
      <c r="J9290" t="s">
        <v>43761</v>
      </c>
      <c r="K9290" t="s">
        <v>7175</v>
      </c>
      <c r="L9290" t="s">
        <v>44394</v>
      </c>
      <c r="M9290">
        <v>172</v>
      </c>
      <c r="O9290" t="s">
        <v>94</v>
      </c>
      <c r="P9290">
        <v>25</v>
      </c>
      <c r="Q9290">
        <v>31.25</v>
      </c>
      <c r="R9290">
        <v>25</v>
      </c>
      <c r="S9290">
        <v>37.5</v>
      </c>
      <c r="T9290" t="s">
        <v>44395</v>
      </c>
    </row>
    <row r="9291" spans="1:20">
      <c r="A9291">
        <v>4796354</v>
      </c>
      <c r="B9291" t="s">
        <v>44396</v>
      </c>
      <c r="C9291" t="str">
        <f>"9782760526433"</f>
        <v>9782760526433</v>
      </c>
      <c r="D9291" t="str">
        <f>"9782760526440"</f>
        <v>9782760526440</v>
      </c>
      <c r="E9291" t="s">
        <v>43423</v>
      </c>
      <c r="F9291" t="s">
        <v>33376</v>
      </c>
      <c r="G9291" s="1">
        <v>36526</v>
      </c>
      <c r="H9291">
        <v>2</v>
      </c>
      <c r="J9291" t="s">
        <v>44397</v>
      </c>
      <c r="K9291" t="s">
        <v>257</v>
      </c>
      <c r="M9291" t="s">
        <v>44104</v>
      </c>
      <c r="O9291" t="s">
        <v>94</v>
      </c>
      <c r="P9291">
        <v>49</v>
      </c>
      <c r="Q9291">
        <v>61.25</v>
      </c>
      <c r="R9291">
        <v>49</v>
      </c>
      <c r="S9291">
        <v>73.5</v>
      </c>
      <c r="T9291" t="s">
        <v>44398</v>
      </c>
    </row>
    <row r="9292" spans="1:20">
      <c r="A9292">
        <v>4796357</v>
      </c>
      <c r="B9292" t="s">
        <v>44399</v>
      </c>
      <c r="C9292" t="str">
        <f>"9782760526891"</f>
        <v>9782760526891</v>
      </c>
      <c r="D9292" t="str">
        <f>"9782760526907"</f>
        <v>9782760526907</v>
      </c>
      <c r="E9292" t="s">
        <v>43423</v>
      </c>
      <c r="F9292" t="s">
        <v>33376</v>
      </c>
      <c r="G9292" s="1">
        <v>36526</v>
      </c>
      <c r="J9292" t="s">
        <v>44400</v>
      </c>
      <c r="K9292" t="s">
        <v>291</v>
      </c>
      <c r="M9292" t="s">
        <v>44401</v>
      </c>
      <c r="O9292" t="s">
        <v>94</v>
      </c>
      <c r="P9292">
        <v>39</v>
      </c>
      <c r="Q9292">
        <v>48.75</v>
      </c>
      <c r="R9292">
        <v>39</v>
      </c>
      <c r="S9292">
        <v>58.5</v>
      </c>
      <c r="T9292" t="s">
        <v>44402</v>
      </c>
    </row>
    <row r="9293" spans="1:20">
      <c r="A9293">
        <v>4796358</v>
      </c>
      <c r="B9293" t="s">
        <v>44403</v>
      </c>
      <c r="C9293" t="str">
        <f>"9782760526020"</f>
        <v>9782760526020</v>
      </c>
      <c r="D9293" t="str">
        <f>"9782760526037"</f>
        <v>9782760526037</v>
      </c>
      <c r="E9293" t="s">
        <v>43423</v>
      </c>
      <c r="F9293" t="s">
        <v>33376</v>
      </c>
      <c r="G9293" s="1">
        <v>36526</v>
      </c>
      <c r="H9293">
        <v>3</v>
      </c>
      <c r="J9293" t="s">
        <v>44404</v>
      </c>
      <c r="K9293" t="s">
        <v>2267</v>
      </c>
      <c r="L9293" t="s">
        <v>44405</v>
      </c>
      <c r="M9293" t="s">
        <v>44406</v>
      </c>
      <c r="O9293" t="s">
        <v>94</v>
      </c>
      <c r="P9293">
        <v>50</v>
      </c>
      <c r="Q9293">
        <v>62.5</v>
      </c>
      <c r="R9293">
        <v>50</v>
      </c>
      <c r="S9293">
        <v>75</v>
      </c>
      <c r="T9293" t="s">
        <v>44407</v>
      </c>
    </row>
    <row r="9294" spans="1:20">
      <c r="A9294">
        <v>4796360</v>
      </c>
      <c r="B9294" t="s">
        <v>44408</v>
      </c>
      <c r="C9294" t="str">
        <f>"9782760526532"</f>
        <v>9782760526532</v>
      </c>
      <c r="D9294" t="str">
        <f>"9782760526549"</f>
        <v>9782760526549</v>
      </c>
      <c r="E9294" t="s">
        <v>43423</v>
      </c>
      <c r="F9294" t="s">
        <v>33376</v>
      </c>
      <c r="G9294" s="1">
        <v>36526</v>
      </c>
      <c r="J9294" t="s">
        <v>44409</v>
      </c>
      <c r="K9294" t="s">
        <v>263</v>
      </c>
      <c r="M9294" t="s">
        <v>44410</v>
      </c>
      <c r="O9294" t="s">
        <v>94</v>
      </c>
      <c r="P9294">
        <v>39</v>
      </c>
      <c r="Q9294">
        <v>48.75</v>
      </c>
      <c r="R9294">
        <v>39</v>
      </c>
      <c r="S9294">
        <v>58.5</v>
      </c>
      <c r="T9294" t="s">
        <v>44411</v>
      </c>
    </row>
    <row r="9295" spans="1:20">
      <c r="A9295">
        <v>4796361</v>
      </c>
      <c r="B9295" t="s">
        <v>44412</v>
      </c>
      <c r="C9295" t="str">
        <f>"9782760529830"</f>
        <v>9782760529830</v>
      </c>
      <c r="D9295" t="str">
        <f>"9782760529847"</f>
        <v>9782760529847</v>
      </c>
      <c r="E9295" t="s">
        <v>43423</v>
      </c>
      <c r="F9295" t="s">
        <v>33376</v>
      </c>
      <c r="G9295" s="1">
        <v>36526</v>
      </c>
      <c r="J9295" t="s">
        <v>44413</v>
      </c>
      <c r="K9295" t="s">
        <v>263</v>
      </c>
      <c r="M9295">
        <v>306.39999999999998</v>
      </c>
      <c r="O9295" t="s">
        <v>94</v>
      </c>
      <c r="P9295">
        <v>29</v>
      </c>
      <c r="Q9295">
        <v>36.25</v>
      </c>
      <c r="R9295">
        <v>29</v>
      </c>
      <c r="S9295">
        <v>43.5</v>
      </c>
      <c r="T9295" t="s">
        <v>44414</v>
      </c>
    </row>
    <row r="9296" spans="1:20">
      <c r="A9296">
        <v>4796365</v>
      </c>
      <c r="B9296" t="s">
        <v>44415</v>
      </c>
      <c r="C9296" t="str">
        <f>"9782760525870"</f>
        <v>9782760525870</v>
      </c>
      <c r="D9296" t="str">
        <f>"9782760525887"</f>
        <v>9782760525887</v>
      </c>
      <c r="E9296" t="s">
        <v>33376</v>
      </c>
      <c r="F9296" t="s">
        <v>43423</v>
      </c>
      <c r="G9296" s="1">
        <v>36526</v>
      </c>
      <c r="J9296" t="s">
        <v>44416</v>
      </c>
      <c r="K9296" t="s">
        <v>525</v>
      </c>
      <c r="M9296" t="s">
        <v>829</v>
      </c>
      <c r="O9296" t="s">
        <v>94</v>
      </c>
      <c r="P9296">
        <v>35</v>
      </c>
      <c r="Q9296">
        <v>43.75</v>
      </c>
      <c r="R9296">
        <v>35</v>
      </c>
      <c r="S9296">
        <v>52.5</v>
      </c>
      <c r="T9296" t="s">
        <v>44417</v>
      </c>
    </row>
    <row r="9297" spans="1:20">
      <c r="A9297">
        <v>4796366</v>
      </c>
      <c r="B9297" t="s">
        <v>44418</v>
      </c>
      <c r="C9297" t="str">
        <f>"9782760525894"</f>
        <v>9782760525894</v>
      </c>
      <c r="D9297" t="str">
        <f>"9782760525900"</f>
        <v>9782760525900</v>
      </c>
      <c r="E9297" t="s">
        <v>43423</v>
      </c>
      <c r="F9297" t="s">
        <v>33376</v>
      </c>
      <c r="G9297" s="1">
        <v>36526</v>
      </c>
      <c r="J9297" t="s">
        <v>44419</v>
      </c>
      <c r="K9297" t="s">
        <v>305</v>
      </c>
      <c r="M9297">
        <v>659.2</v>
      </c>
      <c r="O9297" t="s">
        <v>94</v>
      </c>
      <c r="P9297">
        <v>19</v>
      </c>
      <c r="Q9297">
        <v>23.75</v>
      </c>
      <c r="R9297">
        <v>19</v>
      </c>
      <c r="S9297">
        <v>28.5</v>
      </c>
      <c r="T9297" t="s">
        <v>44420</v>
      </c>
    </row>
    <row r="9298" spans="1:20">
      <c r="A9298">
        <v>4796370</v>
      </c>
      <c r="B9298" t="s">
        <v>44421</v>
      </c>
      <c r="C9298" t="str">
        <f>"9782760526747"</f>
        <v>9782760526747</v>
      </c>
      <c r="D9298" t="str">
        <f>"9782760526754"</f>
        <v>9782760526754</v>
      </c>
      <c r="E9298" t="s">
        <v>43423</v>
      </c>
      <c r="F9298" t="s">
        <v>33376</v>
      </c>
      <c r="G9298" s="1">
        <v>36526</v>
      </c>
      <c r="H9298">
        <v>3</v>
      </c>
      <c r="J9298" t="s">
        <v>44422</v>
      </c>
      <c r="K9298" t="s">
        <v>257</v>
      </c>
      <c r="M9298">
        <v>370.15199999999999</v>
      </c>
      <c r="O9298" t="s">
        <v>94</v>
      </c>
      <c r="P9298">
        <v>29</v>
      </c>
      <c r="Q9298">
        <v>36.25</v>
      </c>
      <c r="R9298">
        <v>29</v>
      </c>
      <c r="S9298">
        <v>43.5</v>
      </c>
      <c r="T9298" t="s">
        <v>44423</v>
      </c>
    </row>
    <row r="9299" spans="1:20">
      <c r="A9299">
        <v>4796371</v>
      </c>
      <c r="B9299" t="s">
        <v>44424</v>
      </c>
      <c r="C9299" t="str">
        <f>"9782760529762"</f>
        <v>9782760529762</v>
      </c>
      <c r="D9299" t="str">
        <f>"9782760529779"</f>
        <v>9782760529779</v>
      </c>
      <c r="E9299" t="s">
        <v>43423</v>
      </c>
      <c r="F9299" t="s">
        <v>33376</v>
      </c>
      <c r="G9299" s="1">
        <v>36526</v>
      </c>
      <c r="J9299" t="s">
        <v>44425</v>
      </c>
      <c r="K9299" t="s">
        <v>1471</v>
      </c>
      <c r="M9299" t="s">
        <v>44426</v>
      </c>
      <c r="O9299" t="s">
        <v>94</v>
      </c>
      <c r="P9299">
        <v>22</v>
      </c>
      <c r="Q9299">
        <v>27.5</v>
      </c>
      <c r="R9299">
        <v>22</v>
      </c>
      <c r="S9299">
        <v>33</v>
      </c>
      <c r="T9299" t="s">
        <v>44427</v>
      </c>
    </row>
    <row r="9300" spans="1:20">
      <c r="A9300">
        <v>4796372</v>
      </c>
      <c r="B9300" t="s">
        <v>44428</v>
      </c>
      <c r="C9300" t="str">
        <f>"9782760526358"</f>
        <v>9782760526358</v>
      </c>
      <c r="D9300" t="str">
        <f>"9782760526365"</f>
        <v>9782760526365</v>
      </c>
      <c r="E9300" t="s">
        <v>43423</v>
      </c>
      <c r="F9300" t="s">
        <v>33376</v>
      </c>
      <c r="G9300" s="1">
        <v>36526</v>
      </c>
      <c r="K9300" t="s">
        <v>257</v>
      </c>
      <c r="M9300" t="s">
        <v>44429</v>
      </c>
      <c r="O9300" t="s">
        <v>94</v>
      </c>
      <c r="P9300">
        <v>18</v>
      </c>
      <c r="Q9300">
        <v>22.5</v>
      </c>
      <c r="R9300">
        <v>18</v>
      </c>
      <c r="S9300">
        <v>27</v>
      </c>
      <c r="T9300" t="s">
        <v>44430</v>
      </c>
    </row>
    <row r="9301" spans="1:20">
      <c r="A9301">
        <v>4796373</v>
      </c>
      <c r="B9301" t="s">
        <v>44431</v>
      </c>
      <c r="C9301" t="str">
        <f>"9782760526761"</f>
        <v>9782760526761</v>
      </c>
      <c r="D9301" t="str">
        <f>"9782760526778"</f>
        <v>9782760526778</v>
      </c>
      <c r="E9301" t="s">
        <v>43423</v>
      </c>
      <c r="F9301" t="s">
        <v>33376</v>
      </c>
      <c r="G9301" s="1">
        <v>36526</v>
      </c>
      <c r="H9301">
        <v>2</v>
      </c>
      <c r="J9301" t="s">
        <v>44432</v>
      </c>
      <c r="K9301" t="s">
        <v>467</v>
      </c>
      <c r="M9301">
        <v>327.714</v>
      </c>
      <c r="O9301" t="s">
        <v>94</v>
      </c>
      <c r="P9301">
        <v>20</v>
      </c>
      <c r="Q9301">
        <v>25</v>
      </c>
      <c r="R9301">
        <v>20</v>
      </c>
      <c r="S9301">
        <v>30</v>
      </c>
      <c r="T9301" t="s">
        <v>44433</v>
      </c>
    </row>
    <row r="9302" spans="1:20">
      <c r="A9302">
        <v>4796374</v>
      </c>
      <c r="B9302" t="s">
        <v>44434</v>
      </c>
      <c r="C9302" t="str">
        <f>"9782760526419"</f>
        <v>9782760526419</v>
      </c>
      <c r="D9302" t="str">
        <f>"9782760526426"</f>
        <v>9782760526426</v>
      </c>
      <c r="E9302" t="s">
        <v>43423</v>
      </c>
      <c r="F9302" t="s">
        <v>33376</v>
      </c>
      <c r="G9302" s="1">
        <v>36526</v>
      </c>
      <c r="J9302" t="s">
        <v>44435</v>
      </c>
      <c r="K9302" t="s">
        <v>263</v>
      </c>
      <c r="M9302" t="s">
        <v>44436</v>
      </c>
      <c r="O9302" t="s">
        <v>94</v>
      </c>
      <c r="P9302">
        <v>20</v>
      </c>
      <c r="Q9302">
        <v>25</v>
      </c>
      <c r="R9302">
        <v>20</v>
      </c>
      <c r="S9302">
        <v>30</v>
      </c>
      <c r="T9302" t="s">
        <v>44437</v>
      </c>
    </row>
    <row r="9303" spans="1:20">
      <c r="A9303">
        <v>4796376</v>
      </c>
      <c r="B9303" t="s">
        <v>44438</v>
      </c>
      <c r="C9303" t="str">
        <f>"9782760527010"</f>
        <v>9782760527010</v>
      </c>
      <c r="D9303" t="str">
        <f>"9782760527027"</f>
        <v>9782760527027</v>
      </c>
      <c r="E9303" t="s">
        <v>43423</v>
      </c>
      <c r="F9303" t="s">
        <v>33376</v>
      </c>
      <c r="G9303" s="1">
        <v>36526</v>
      </c>
      <c r="J9303" t="s">
        <v>44439</v>
      </c>
      <c r="K9303" t="s">
        <v>1892</v>
      </c>
      <c r="L9303" t="s">
        <v>44440</v>
      </c>
      <c r="M9303" t="s">
        <v>44441</v>
      </c>
      <c r="O9303" t="s">
        <v>94</v>
      </c>
      <c r="P9303">
        <v>24</v>
      </c>
      <c r="Q9303">
        <v>30</v>
      </c>
      <c r="R9303">
        <v>24</v>
      </c>
      <c r="S9303">
        <v>36</v>
      </c>
      <c r="T9303" t="s">
        <v>44442</v>
      </c>
    </row>
    <row r="9304" spans="1:20">
      <c r="A9304">
        <v>4796377</v>
      </c>
      <c r="B9304" t="s">
        <v>44443</v>
      </c>
      <c r="C9304" t="str">
        <f>"9782760526785"</f>
        <v>9782760526785</v>
      </c>
      <c r="D9304" t="str">
        <f>"9782760526792"</f>
        <v>9782760526792</v>
      </c>
      <c r="E9304" t="s">
        <v>43423</v>
      </c>
      <c r="F9304" t="s">
        <v>33376</v>
      </c>
      <c r="G9304" s="1">
        <v>36526</v>
      </c>
      <c r="J9304" t="s">
        <v>44444</v>
      </c>
      <c r="K9304" t="s">
        <v>263</v>
      </c>
      <c r="L9304" t="s">
        <v>44445</v>
      </c>
      <c r="M9304" t="s">
        <v>44446</v>
      </c>
      <c r="O9304" t="s">
        <v>94</v>
      </c>
      <c r="P9304">
        <v>20</v>
      </c>
      <c r="Q9304">
        <v>25</v>
      </c>
      <c r="R9304">
        <v>20</v>
      </c>
      <c r="S9304">
        <v>30</v>
      </c>
      <c r="T9304" t="s">
        <v>44447</v>
      </c>
    </row>
    <row r="9305" spans="1:20">
      <c r="A9305">
        <v>4796378</v>
      </c>
      <c r="B9305" t="s">
        <v>44448</v>
      </c>
      <c r="C9305" t="str">
        <f>"9782760529144"</f>
        <v>9782760529144</v>
      </c>
      <c r="D9305" t="str">
        <f>"9782760529151"</f>
        <v>9782760529151</v>
      </c>
      <c r="E9305" t="s">
        <v>43423</v>
      </c>
      <c r="F9305" t="s">
        <v>33376</v>
      </c>
      <c r="G9305" s="1">
        <v>36526</v>
      </c>
      <c r="J9305" t="s">
        <v>44449</v>
      </c>
      <c r="K9305" t="s">
        <v>263</v>
      </c>
      <c r="M9305" t="s">
        <v>44450</v>
      </c>
      <c r="O9305" t="s">
        <v>94</v>
      </c>
      <c r="P9305">
        <v>25</v>
      </c>
      <c r="Q9305">
        <v>31.25</v>
      </c>
      <c r="R9305">
        <v>25</v>
      </c>
      <c r="S9305">
        <v>37.5</v>
      </c>
      <c r="T9305" t="s">
        <v>44451</v>
      </c>
    </row>
    <row r="9306" spans="1:20">
      <c r="A9306">
        <v>4796379</v>
      </c>
      <c r="B9306" t="s">
        <v>44452</v>
      </c>
      <c r="C9306" t="str">
        <f>"9782760529861"</f>
        <v>9782760529861</v>
      </c>
      <c r="D9306" t="str">
        <f>"9782760526051"</f>
        <v>9782760526051</v>
      </c>
      <c r="E9306" t="s">
        <v>43423</v>
      </c>
      <c r="F9306" t="s">
        <v>33376</v>
      </c>
      <c r="G9306" s="1">
        <v>36526</v>
      </c>
      <c r="J9306" t="s">
        <v>44453</v>
      </c>
      <c r="K9306" t="s">
        <v>467</v>
      </c>
      <c r="M9306" t="s">
        <v>44454</v>
      </c>
      <c r="O9306" t="s">
        <v>94</v>
      </c>
      <c r="P9306">
        <v>29</v>
      </c>
      <c r="Q9306">
        <v>36.25</v>
      </c>
      <c r="R9306">
        <v>29</v>
      </c>
      <c r="S9306">
        <v>43.5</v>
      </c>
      <c r="T9306" t="s">
        <v>44455</v>
      </c>
    </row>
    <row r="9307" spans="1:20">
      <c r="A9307">
        <v>4796380</v>
      </c>
      <c r="B9307" t="s">
        <v>44456</v>
      </c>
      <c r="C9307" t="str">
        <f>"9782760526334"</f>
        <v>9782760526334</v>
      </c>
      <c r="D9307" t="str">
        <f>"9782760526341"</f>
        <v>9782760526341</v>
      </c>
      <c r="E9307" t="s">
        <v>43423</v>
      </c>
      <c r="F9307" t="s">
        <v>33376</v>
      </c>
      <c r="G9307" s="1">
        <v>36526</v>
      </c>
      <c r="J9307" t="s">
        <v>44457</v>
      </c>
      <c r="K9307" t="s">
        <v>263</v>
      </c>
      <c r="L9307" t="s">
        <v>44458</v>
      </c>
      <c r="M9307" t="s">
        <v>44459</v>
      </c>
      <c r="O9307" t="s">
        <v>94</v>
      </c>
      <c r="P9307">
        <v>29</v>
      </c>
      <c r="Q9307">
        <v>36.25</v>
      </c>
      <c r="R9307">
        <v>29</v>
      </c>
      <c r="S9307">
        <v>43.5</v>
      </c>
      <c r="T9307" t="s">
        <v>44460</v>
      </c>
    </row>
    <row r="9308" spans="1:20">
      <c r="A9308">
        <v>4796383</v>
      </c>
      <c r="B9308" t="s">
        <v>44461</v>
      </c>
      <c r="C9308" t="str">
        <f>"9782760526990"</f>
        <v>9782760526990</v>
      </c>
      <c r="D9308" t="str">
        <f>"9782760527003"</f>
        <v>9782760527003</v>
      </c>
      <c r="E9308" t="s">
        <v>43423</v>
      </c>
      <c r="F9308" t="s">
        <v>33376</v>
      </c>
      <c r="G9308" s="1">
        <v>36526</v>
      </c>
      <c r="J9308" t="s">
        <v>42260</v>
      </c>
      <c r="K9308" t="s">
        <v>1471</v>
      </c>
      <c r="M9308" t="s">
        <v>44462</v>
      </c>
      <c r="O9308" t="s">
        <v>94</v>
      </c>
      <c r="P9308">
        <v>25</v>
      </c>
      <c r="Q9308">
        <v>31.25</v>
      </c>
      <c r="R9308">
        <v>25</v>
      </c>
      <c r="S9308">
        <v>37.5</v>
      </c>
      <c r="T9308" t="s">
        <v>44463</v>
      </c>
    </row>
    <row r="9309" spans="1:20">
      <c r="A9309">
        <v>4796385</v>
      </c>
      <c r="B9309" t="s">
        <v>44464</v>
      </c>
      <c r="C9309" t="str">
        <f>"9782763788692"</f>
        <v>9782763788692</v>
      </c>
      <c r="D9309" t="str">
        <f>"9782763711744"</f>
        <v>9782763711744</v>
      </c>
      <c r="E9309" t="s">
        <v>43877</v>
      </c>
      <c r="F9309" t="s">
        <v>43877</v>
      </c>
      <c r="G9309" s="1">
        <v>40809</v>
      </c>
      <c r="I9309" t="s">
        <v>43283</v>
      </c>
      <c r="J9309" t="s">
        <v>44465</v>
      </c>
      <c r="K9309" t="s">
        <v>257</v>
      </c>
      <c r="M9309">
        <v>378.15429999999998</v>
      </c>
      <c r="O9309" t="s">
        <v>94</v>
      </c>
      <c r="P9309">
        <v>29.95</v>
      </c>
      <c r="Q9309">
        <v>37.44</v>
      </c>
      <c r="R9309">
        <v>29.95</v>
      </c>
      <c r="S9309">
        <v>44.93</v>
      </c>
      <c r="T9309" t="s">
        <v>44466</v>
      </c>
    </row>
    <row r="9310" spans="1:20">
      <c r="A9310">
        <v>4796387</v>
      </c>
      <c r="B9310" t="s">
        <v>44467</v>
      </c>
      <c r="C9310" t="str">
        <f>"9782763790602"</f>
        <v>9782763790602</v>
      </c>
      <c r="D9310" t="str">
        <f>"9782763710600"</f>
        <v>9782763710600</v>
      </c>
      <c r="E9310" t="s">
        <v>43877</v>
      </c>
      <c r="F9310" t="s">
        <v>43877</v>
      </c>
      <c r="G9310" s="1">
        <v>40821</v>
      </c>
      <c r="I9310" t="s">
        <v>43283</v>
      </c>
      <c r="J9310" t="s">
        <v>44468</v>
      </c>
      <c r="K9310" t="s">
        <v>291</v>
      </c>
      <c r="M9310">
        <v>971.6</v>
      </c>
      <c r="O9310" t="s">
        <v>94</v>
      </c>
      <c r="P9310">
        <v>39.950000000000003</v>
      </c>
      <c r="Q9310">
        <v>49.94</v>
      </c>
      <c r="R9310">
        <v>39.950000000000003</v>
      </c>
      <c r="S9310">
        <v>59.93</v>
      </c>
      <c r="T9310" t="s">
        <v>44469</v>
      </c>
    </row>
    <row r="9311" spans="1:20">
      <c r="A9311">
        <v>4796390</v>
      </c>
      <c r="B9311" t="s">
        <v>44470</v>
      </c>
      <c r="C9311" t="str">
        <f>"9782763794075"</f>
        <v>9782763794075</v>
      </c>
      <c r="D9311" t="str">
        <f>"9782763794082"</f>
        <v>9782763794082</v>
      </c>
      <c r="E9311" t="s">
        <v>43877</v>
      </c>
      <c r="F9311" t="s">
        <v>43877</v>
      </c>
      <c r="G9311" s="1">
        <v>40821</v>
      </c>
      <c r="I9311" t="s">
        <v>43973</v>
      </c>
      <c r="J9311" t="s">
        <v>44471</v>
      </c>
      <c r="K9311" t="s">
        <v>257</v>
      </c>
      <c r="L9311" t="s">
        <v>44472</v>
      </c>
      <c r="M9311">
        <v>371.1</v>
      </c>
      <c r="N9311" t="s">
        <v>44473</v>
      </c>
      <c r="O9311" t="s">
        <v>94</v>
      </c>
      <c r="P9311">
        <v>24.95</v>
      </c>
      <c r="Q9311">
        <v>31.19</v>
      </c>
      <c r="R9311">
        <v>24.95</v>
      </c>
      <c r="S9311">
        <v>37.43</v>
      </c>
      <c r="T9311" t="s">
        <v>44474</v>
      </c>
    </row>
    <row r="9312" spans="1:20">
      <c r="A9312">
        <v>4796392</v>
      </c>
      <c r="B9312" t="s">
        <v>44475</v>
      </c>
      <c r="C9312" t="str">
        <f>"9782763788661"</f>
        <v>9782763788661</v>
      </c>
      <c r="D9312" t="str">
        <f>"9782763708669"</f>
        <v>9782763708669</v>
      </c>
      <c r="E9312" t="s">
        <v>43877</v>
      </c>
      <c r="F9312" t="s">
        <v>43877</v>
      </c>
      <c r="G9312" s="1">
        <v>40809</v>
      </c>
      <c r="I9312" t="s">
        <v>44255</v>
      </c>
      <c r="J9312" t="s">
        <v>44476</v>
      </c>
      <c r="K9312" t="s">
        <v>467</v>
      </c>
      <c r="M9312">
        <v>327</v>
      </c>
      <c r="O9312" t="s">
        <v>94</v>
      </c>
      <c r="P9312">
        <v>24.95</v>
      </c>
      <c r="Q9312">
        <v>31.19</v>
      </c>
      <c r="R9312">
        <v>24.95</v>
      </c>
      <c r="S9312">
        <v>37.43</v>
      </c>
      <c r="T9312" t="s">
        <v>44477</v>
      </c>
    </row>
    <row r="9313" spans="1:20">
      <c r="A9313">
        <v>4796394</v>
      </c>
      <c r="B9313" t="s">
        <v>44478</v>
      </c>
      <c r="C9313" t="str">
        <f>"9782763794198"</f>
        <v>9782763794198</v>
      </c>
      <c r="D9313" t="str">
        <f>"9782763794204"</f>
        <v>9782763794204</v>
      </c>
      <c r="E9313" t="s">
        <v>43877</v>
      </c>
      <c r="F9313" t="s">
        <v>43877</v>
      </c>
      <c r="G9313" s="1">
        <v>41163</v>
      </c>
      <c r="I9313" t="s">
        <v>44255</v>
      </c>
      <c r="J9313" t="s">
        <v>44479</v>
      </c>
      <c r="K9313" t="s">
        <v>467</v>
      </c>
      <c r="M9313">
        <v>321.02</v>
      </c>
      <c r="O9313" t="s">
        <v>94</v>
      </c>
      <c r="P9313">
        <v>29.95</v>
      </c>
      <c r="Q9313">
        <v>37.44</v>
      </c>
      <c r="R9313">
        <v>29.95</v>
      </c>
      <c r="S9313">
        <v>44.93</v>
      </c>
      <c r="T9313" t="s">
        <v>44480</v>
      </c>
    </row>
    <row r="9314" spans="1:20">
      <c r="A9314">
        <v>4796395</v>
      </c>
      <c r="B9314" t="s">
        <v>44481</v>
      </c>
      <c r="C9314" t="str">
        <f>"9782763792996"</f>
        <v>9782763792996</v>
      </c>
      <c r="D9314" t="str">
        <f>"9782763793009"</f>
        <v>9782763793009</v>
      </c>
      <c r="E9314" t="s">
        <v>43877</v>
      </c>
      <c r="F9314" t="s">
        <v>43877</v>
      </c>
      <c r="G9314" s="1">
        <v>40820</v>
      </c>
      <c r="I9314" t="s">
        <v>44238</v>
      </c>
      <c r="J9314" t="s">
        <v>44482</v>
      </c>
      <c r="K9314" t="s">
        <v>1127</v>
      </c>
      <c r="M9314">
        <v>158</v>
      </c>
      <c r="O9314" t="s">
        <v>94</v>
      </c>
      <c r="P9314">
        <v>29.95</v>
      </c>
      <c r="Q9314">
        <v>37.44</v>
      </c>
      <c r="R9314">
        <v>29.95</v>
      </c>
      <c r="S9314">
        <v>44.93</v>
      </c>
      <c r="T9314" t="s">
        <v>44483</v>
      </c>
    </row>
    <row r="9315" spans="1:20">
      <c r="A9315">
        <v>4796415</v>
      </c>
      <c r="B9315" t="s">
        <v>44484</v>
      </c>
      <c r="C9315" t="str">
        <f>"9782763794792"</f>
        <v>9782763794792</v>
      </c>
      <c r="D9315" t="str">
        <f>"9782763794808"</f>
        <v>9782763794808</v>
      </c>
      <c r="E9315" t="s">
        <v>43877</v>
      </c>
      <c r="F9315" t="s">
        <v>43877</v>
      </c>
      <c r="G9315" s="1">
        <v>40544</v>
      </c>
      <c r="I9315" t="s">
        <v>43283</v>
      </c>
      <c r="J9315" t="s">
        <v>44485</v>
      </c>
      <c r="K9315" t="s">
        <v>31967</v>
      </c>
      <c r="M9315">
        <v>331.25920000000002</v>
      </c>
      <c r="O9315" t="s">
        <v>94</v>
      </c>
      <c r="P9315">
        <v>24.95</v>
      </c>
      <c r="Q9315">
        <v>31.19</v>
      </c>
      <c r="R9315">
        <v>24.95</v>
      </c>
      <c r="S9315">
        <v>37.43</v>
      </c>
      <c r="T9315" t="s">
        <v>44486</v>
      </c>
    </row>
    <row r="9316" spans="1:20">
      <c r="A9316">
        <v>4796419</v>
      </c>
      <c r="B9316" t="s">
        <v>44487</v>
      </c>
      <c r="C9316" t="str">
        <f>"9782763792248"</f>
        <v>9782763792248</v>
      </c>
      <c r="D9316" t="str">
        <f>"9782763792255"</f>
        <v>9782763792255</v>
      </c>
      <c r="E9316" t="s">
        <v>43877</v>
      </c>
      <c r="F9316" t="s">
        <v>43877</v>
      </c>
      <c r="G9316" s="1">
        <v>40816</v>
      </c>
      <c r="I9316" t="s">
        <v>43283</v>
      </c>
      <c r="J9316" t="s">
        <v>44488</v>
      </c>
      <c r="K9316" t="s">
        <v>467</v>
      </c>
      <c r="M9316">
        <v>354.33499999999998</v>
      </c>
      <c r="O9316" t="s">
        <v>94</v>
      </c>
      <c r="P9316">
        <v>39.950000000000003</v>
      </c>
      <c r="Q9316">
        <v>49.94</v>
      </c>
      <c r="R9316">
        <v>39.950000000000003</v>
      </c>
      <c r="S9316">
        <v>59.93</v>
      </c>
      <c r="T9316" t="s">
        <v>44489</v>
      </c>
    </row>
    <row r="9317" spans="1:20">
      <c r="A9317">
        <v>4796422</v>
      </c>
      <c r="B9317" t="s">
        <v>44490</v>
      </c>
      <c r="C9317" t="str">
        <f>"9782763791913"</f>
        <v>9782763791913</v>
      </c>
      <c r="D9317" t="str">
        <f>"9782763791920"</f>
        <v>9782763791920</v>
      </c>
      <c r="E9317" t="s">
        <v>43877</v>
      </c>
      <c r="F9317" t="s">
        <v>43877</v>
      </c>
      <c r="G9317" s="1">
        <v>41773</v>
      </c>
      <c r="I9317" t="s">
        <v>43951</v>
      </c>
      <c r="J9317" t="s">
        <v>44491</v>
      </c>
      <c r="K9317" t="s">
        <v>10860</v>
      </c>
      <c r="M9317">
        <v>25.17</v>
      </c>
      <c r="O9317" t="s">
        <v>94</v>
      </c>
      <c r="P9317">
        <v>32.950000000000003</v>
      </c>
      <c r="Q9317">
        <v>41.19</v>
      </c>
      <c r="R9317">
        <v>32.950000000000003</v>
      </c>
      <c r="S9317">
        <v>49.43</v>
      </c>
      <c r="T9317" t="s">
        <v>44492</v>
      </c>
    </row>
    <row r="9318" spans="1:20">
      <c r="A9318">
        <v>4796423</v>
      </c>
      <c r="B9318" t="s">
        <v>44493</v>
      </c>
      <c r="C9318" t="str">
        <f>"9782763791012"</f>
        <v>9782763791012</v>
      </c>
      <c r="D9318" t="str">
        <f>"9782763711010"</f>
        <v>9782763711010</v>
      </c>
      <c r="E9318" t="s">
        <v>43877</v>
      </c>
      <c r="F9318" t="s">
        <v>43877</v>
      </c>
      <c r="G9318" s="1">
        <v>40821</v>
      </c>
      <c r="I9318" t="s">
        <v>44197</v>
      </c>
      <c r="J9318" t="s">
        <v>44494</v>
      </c>
      <c r="K9318" t="s">
        <v>31967</v>
      </c>
      <c r="M9318">
        <v>331.34</v>
      </c>
      <c r="O9318" t="s">
        <v>94</v>
      </c>
      <c r="P9318">
        <v>29.95</v>
      </c>
      <c r="Q9318">
        <v>37.44</v>
      </c>
      <c r="R9318">
        <v>29.95</v>
      </c>
      <c r="S9318">
        <v>44.93</v>
      </c>
      <c r="T9318" t="s">
        <v>44495</v>
      </c>
    </row>
    <row r="9319" spans="1:20">
      <c r="A9319">
        <v>4796426</v>
      </c>
      <c r="B9319" t="s">
        <v>44496</v>
      </c>
      <c r="C9319" t="str">
        <f>"9782763794587"</f>
        <v>9782763794587</v>
      </c>
      <c r="D9319" t="str">
        <f>"9782763794594"</f>
        <v>9782763794594</v>
      </c>
      <c r="E9319" t="s">
        <v>43877</v>
      </c>
      <c r="F9319" t="s">
        <v>43877</v>
      </c>
      <c r="G9319" s="1">
        <v>40821</v>
      </c>
      <c r="I9319" t="s">
        <v>44497</v>
      </c>
      <c r="J9319" t="s">
        <v>44498</v>
      </c>
      <c r="K9319" t="s">
        <v>330</v>
      </c>
      <c r="M9319">
        <v>363.7</v>
      </c>
      <c r="O9319" t="s">
        <v>94</v>
      </c>
      <c r="P9319">
        <v>34.950000000000003</v>
      </c>
      <c r="Q9319">
        <v>43.69</v>
      </c>
      <c r="R9319">
        <v>34.950000000000003</v>
      </c>
      <c r="S9319">
        <v>52.43</v>
      </c>
      <c r="T9319" t="s">
        <v>44499</v>
      </c>
    </row>
    <row r="9320" spans="1:20">
      <c r="A9320">
        <v>4796428</v>
      </c>
      <c r="B9320" t="s">
        <v>44500</v>
      </c>
      <c r="C9320" t="str">
        <f>"9782763791944"</f>
        <v>9782763791944</v>
      </c>
      <c r="D9320" t="str">
        <f>"9782763791951"</f>
        <v>9782763791951</v>
      </c>
      <c r="E9320" t="s">
        <v>43877</v>
      </c>
      <c r="F9320" t="s">
        <v>43877</v>
      </c>
      <c r="G9320" s="1">
        <v>40821</v>
      </c>
      <c r="I9320" t="s">
        <v>44501</v>
      </c>
      <c r="J9320" t="s">
        <v>44502</v>
      </c>
      <c r="K9320" t="s">
        <v>1859</v>
      </c>
      <c r="M9320">
        <v>107</v>
      </c>
      <c r="O9320" t="s">
        <v>94</v>
      </c>
      <c r="P9320">
        <v>45</v>
      </c>
      <c r="Q9320">
        <v>56.25</v>
      </c>
      <c r="R9320">
        <v>45</v>
      </c>
      <c r="S9320">
        <v>67.5</v>
      </c>
      <c r="T9320" t="s">
        <v>44503</v>
      </c>
    </row>
    <row r="9321" spans="1:20">
      <c r="A9321">
        <v>4796429</v>
      </c>
      <c r="B9321" t="s">
        <v>44504</v>
      </c>
      <c r="C9321" t="str">
        <f>"9782763790817"</f>
        <v>9782763790817</v>
      </c>
      <c r="D9321" t="str">
        <f>"9782763710815"</f>
        <v>9782763710815</v>
      </c>
      <c r="E9321" t="s">
        <v>43877</v>
      </c>
      <c r="F9321" t="s">
        <v>43877</v>
      </c>
      <c r="G9321" s="1">
        <v>40704</v>
      </c>
      <c r="I9321" t="s">
        <v>43887</v>
      </c>
      <c r="J9321" t="s">
        <v>44505</v>
      </c>
      <c r="K9321" t="s">
        <v>376</v>
      </c>
      <c r="M9321">
        <v>362.10899999999998</v>
      </c>
      <c r="O9321" t="s">
        <v>94</v>
      </c>
      <c r="P9321">
        <v>40</v>
      </c>
      <c r="Q9321">
        <v>50</v>
      </c>
      <c r="R9321">
        <v>40</v>
      </c>
      <c r="S9321">
        <v>60</v>
      </c>
      <c r="T9321" t="s">
        <v>44506</v>
      </c>
    </row>
    <row r="9322" spans="1:20">
      <c r="A9322">
        <v>4796434</v>
      </c>
      <c r="B9322" t="s">
        <v>44507</v>
      </c>
      <c r="C9322" t="str">
        <f>"9782763792422"</f>
        <v>9782763792422</v>
      </c>
      <c r="D9322" t="str">
        <f>"9782763792439"</f>
        <v>9782763792439</v>
      </c>
      <c r="E9322" t="s">
        <v>43877</v>
      </c>
      <c r="F9322" t="s">
        <v>43877</v>
      </c>
      <c r="G9322" s="1">
        <v>40820</v>
      </c>
      <c r="I9322" t="s">
        <v>44255</v>
      </c>
      <c r="J9322" t="s">
        <v>43296</v>
      </c>
      <c r="K9322" t="s">
        <v>263</v>
      </c>
      <c r="M9322">
        <v>306.2</v>
      </c>
      <c r="O9322" t="s">
        <v>94</v>
      </c>
      <c r="P9322">
        <v>19.95</v>
      </c>
      <c r="Q9322">
        <v>24.94</v>
      </c>
      <c r="R9322">
        <v>19.95</v>
      </c>
      <c r="S9322">
        <v>29.93</v>
      </c>
      <c r="T9322" t="s">
        <v>44508</v>
      </c>
    </row>
    <row r="9323" spans="1:20">
      <c r="A9323">
        <v>4796436</v>
      </c>
      <c r="B9323" t="s">
        <v>44509</v>
      </c>
      <c r="C9323" t="str">
        <f>"9782763790947"</f>
        <v>9782763790947</v>
      </c>
      <c r="D9323" t="str">
        <f>"9782763710945"</f>
        <v>9782763710945</v>
      </c>
      <c r="E9323" t="s">
        <v>43877</v>
      </c>
      <c r="F9323" t="s">
        <v>43877</v>
      </c>
      <c r="G9323" s="1">
        <v>40821</v>
      </c>
      <c r="I9323" t="s">
        <v>44193</v>
      </c>
      <c r="J9323" t="s">
        <v>44510</v>
      </c>
      <c r="K9323" t="s">
        <v>263</v>
      </c>
      <c r="M9323">
        <v>306.483</v>
      </c>
      <c r="O9323" t="s">
        <v>94</v>
      </c>
      <c r="P9323">
        <v>19.95</v>
      </c>
      <c r="Q9323">
        <v>24.94</v>
      </c>
      <c r="R9323">
        <v>19.95</v>
      </c>
      <c r="S9323">
        <v>29.93</v>
      </c>
      <c r="T9323" t="s">
        <v>44511</v>
      </c>
    </row>
    <row r="9324" spans="1:20">
      <c r="A9324">
        <v>4796438</v>
      </c>
      <c r="B9324" t="s">
        <v>44512</v>
      </c>
      <c r="C9324" t="str">
        <f>"9782763789439"</f>
        <v>9782763789439</v>
      </c>
      <c r="D9324" t="str">
        <f>"9782763709437"</f>
        <v>9782763709437</v>
      </c>
      <c r="E9324" t="s">
        <v>43877</v>
      </c>
      <c r="F9324" t="s">
        <v>43877</v>
      </c>
      <c r="G9324" s="1">
        <v>40820</v>
      </c>
      <c r="I9324" t="s">
        <v>43283</v>
      </c>
      <c r="J9324" t="s">
        <v>44513</v>
      </c>
      <c r="K9324" t="s">
        <v>1892</v>
      </c>
      <c r="M9324">
        <v>266</v>
      </c>
      <c r="O9324" t="s">
        <v>94</v>
      </c>
      <c r="P9324">
        <v>39.950000000000003</v>
      </c>
      <c r="Q9324">
        <v>49.94</v>
      </c>
      <c r="R9324">
        <v>39.950000000000003</v>
      </c>
      <c r="S9324">
        <v>59.93</v>
      </c>
      <c r="T9324" t="s">
        <v>44514</v>
      </c>
    </row>
    <row r="9325" spans="1:20">
      <c r="A9325">
        <v>4796439</v>
      </c>
      <c r="B9325" t="s">
        <v>44515</v>
      </c>
      <c r="C9325" t="str">
        <f>"9782763794228"</f>
        <v>9782763794228</v>
      </c>
      <c r="D9325" t="str">
        <f>"9782763794235"</f>
        <v>9782763794235</v>
      </c>
      <c r="E9325" t="s">
        <v>43877</v>
      </c>
      <c r="F9325" t="s">
        <v>43877</v>
      </c>
      <c r="G9325" s="1">
        <v>40821</v>
      </c>
      <c r="I9325" t="s">
        <v>44238</v>
      </c>
      <c r="J9325" t="s">
        <v>44516</v>
      </c>
      <c r="K9325" t="s">
        <v>263</v>
      </c>
      <c r="M9325">
        <v>305.23500000000001</v>
      </c>
      <c r="O9325" t="s">
        <v>94</v>
      </c>
      <c r="P9325">
        <v>19.95</v>
      </c>
      <c r="Q9325">
        <v>24.94</v>
      </c>
      <c r="R9325">
        <v>19.95</v>
      </c>
      <c r="S9325">
        <v>29.93</v>
      </c>
      <c r="T9325" t="s">
        <v>44517</v>
      </c>
    </row>
    <row r="9326" spans="1:20">
      <c r="A9326">
        <v>4796442</v>
      </c>
      <c r="B9326" t="s">
        <v>44518</v>
      </c>
      <c r="C9326" t="str">
        <f>"9782763793238"</f>
        <v>9782763793238</v>
      </c>
      <c r="D9326" t="str">
        <f>"9782763793245"</f>
        <v>9782763793245</v>
      </c>
      <c r="E9326" t="s">
        <v>43877</v>
      </c>
      <c r="F9326" t="s">
        <v>43877</v>
      </c>
      <c r="G9326" s="1">
        <v>40820</v>
      </c>
      <c r="I9326" t="s">
        <v>44519</v>
      </c>
      <c r="J9326" t="s">
        <v>44520</v>
      </c>
      <c r="K9326" t="s">
        <v>1892</v>
      </c>
      <c r="M9326">
        <v>232.93299999999999</v>
      </c>
      <c r="O9326" t="s">
        <v>94</v>
      </c>
      <c r="P9326">
        <v>39.950000000000003</v>
      </c>
      <c r="Q9326">
        <v>49.94</v>
      </c>
      <c r="R9326">
        <v>39.950000000000003</v>
      </c>
      <c r="S9326">
        <v>59.93</v>
      </c>
      <c r="T9326" t="s">
        <v>44521</v>
      </c>
    </row>
    <row r="9327" spans="1:20">
      <c r="A9327">
        <v>4796447</v>
      </c>
      <c r="B9327" t="s">
        <v>44522</v>
      </c>
      <c r="C9327" t="str">
        <f>"9782763794464"</f>
        <v>9782763794464</v>
      </c>
      <c r="D9327" t="str">
        <f>"9782763794471"</f>
        <v>9782763794471</v>
      </c>
      <c r="E9327" t="s">
        <v>43877</v>
      </c>
      <c r="F9327" t="s">
        <v>43877</v>
      </c>
      <c r="G9327" s="1">
        <v>40821</v>
      </c>
      <c r="I9327" t="s">
        <v>43979</v>
      </c>
      <c r="J9327" t="s">
        <v>44523</v>
      </c>
      <c r="K9327" t="s">
        <v>467</v>
      </c>
      <c r="M9327">
        <v>320.39999999999998</v>
      </c>
      <c r="O9327" t="s">
        <v>94</v>
      </c>
      <c r="P9327">
        <v>39.950000000000003</v>
      </c>
      <c r="Q9327">
        <v>49.94</v>
      </c>
      <c r="R9327">
        <v>39.950000000000003</v>
      </c>
      <c r="S9327">
        <v>59.93</v>
      </c>
      <c r="T9327" t="s">
        <v>44524</v>
      </c>
    </row>
    <row r="9328" spans="1:20">
      <c r="A9328">
        <v>4796448</v>
      </c>
      <c r="B9328" t="s">
        <v>44525</v>
      </c>
      <c r="C9328" t="str">
        <f>"9782763789200"</f>
        <v>9782763789200</v>
      </c>
      <c r="D9328" t="str">
        <f>"9782763709208"</f>
        <v>9782763709208</v>
      </c>
      <c r="E9328" t="s">
        <v>43877</v>
      </c>
      <c r="F9328" t="s">
        <v>43877</v>
      </c>
      <c r="G9328" s="1">
        <v>40809</v>
      </c>
      <c r="I9328" t="s">
        <v>43887</v>
      </c>
      <c r="J9328" t="s">
        <v>44526</v>
      </c>
      <c r="K9328" t="s">
        <v>467</v>
      </c>
      <c r="L9328" t="s">
        <v>44527</v>
      </c>
      <c r="M9328">
        <v>320.947</v>
      </c>
      <c r="O9328" t="s">
        <v>94</v>
      </c>
      <c r="P9328">
        <v>29.95</v>
      </c>
      <c r="Q9328">
        <v>37.44</v>
      </c>
      <c r="R9328">
        <v>29.95</v>
      </c>
      <c r="S9328">
        <v>44.93</v>
      </c>
      <c r="T9328" t="s">
        <v>44528</v>
      </c>
    </row>
    <row r="9329" spans="1:20">
      <c r="A9329">
        <v>4796451</v>
      </c>
      <c r="B9329" t="s">
        <v>44529</v>
      </c>
      <c r="C9329" t="str">
        <f>"9782760514706"</f>
        <v>9782760514706</v>
      </c>
      <c r="D9329" t="str">
        <f>"9782760533202"</f>
        <v>9782760533202</v>
      </c>
      <c r="E9329" t="s">
        <v>43423</v>
      </c>
      <c r="F9329" t="s">
        <v>33376</v>
      </c>
      <c r="G9329" s="1">
        <v>36526</v>
      </c>
      <c r="J9329" t="s">
        <v>44530</v>
      </c>
      <c r="K9329" t="s">
        <v>305</v>
      </c>
      <c r="M9329" t="s">
        <v>43750</v>
      </c>
      <c r="O9329" t="s">
        <v>94</v>
      </c>
      <c r="P9329">
        <v>39</v>
      </c>
      <c r="Q9329">
        <v>48.75</v>
      </c>
      <c r="R9329">
        <v>39</v>
      </c>
      <c r="S9329">
        <v>58.5</v>
      </c>
      <c r="T9329" t="s">
        <v>44531</v>
      </c>
    </row>
    <row r="9330" spans="1:20">
      <c r="A9330">
        <v>4796452</v>
      </c>
      <c r="B9330" t="s">
        <v>44532</v>
      </c>
      <c r="C9330" t="str">
        <f>"9782760531185"</f>
        <v>9782760531185</v>
      </c>
      <c r="D9330" t="str">
        <f>"9782760531192"</f>
        <v>9782760531192</v>
      </c>
      <c r="E9330" t="s">
        <v>43423</v>
      </c>
      <c r="F9330" t="s">
        <v>33376</v>
      </c>
      <c r="G9330" s="1">
        <v>36526</v>
      </c>
      <c r="J9330" t="s">
        <v>44120</v>
      </c>
      <c r="K9330" t="s">
        <v>263</v>
      </c>
      <c r="M9330" t="s">
        <v>26864</v>
      </c>
      <c r="O9330" t="s">
        <v>94</v>
      </c>
      <c r="P9330">
        <v>29</v>
      </c>
      <c r="Q9330">
        <v>36.25</v>
      </c>
      <c r="R9330">
        <v>29</v>
      </c>
      <c r="S9330">
        <v>43.5</v>
      </c>
      <c r="T9330" t="s">
        <v>44533</v>
      </c>
    </row>
    <row r="9331" spans="1:20">
      <c r="A9331">
        <v>4796455</v>
      </c>
      <c r="B9331" t="s">
        <v>44534</v>
      </c>
      <c r="C9331" t="str">
        <f>"9782760530911"</f>
        <v>9782760530911</v>
      </c>
      <c r="D9331" t="str">
        <f>"9782760530928"</f>
        <v>9782760530928</v>
      </c>
      <c r="E9331" t="s">
        <v>43423</v>
      </c>
      <c r="F9331" t="s">
        <v>33376</v>
      </c>
      <c r="G9331" s="1">
        <v>36526</v>
      </c>
      <c r="J9331" t="s">
        <v>43622</v>
      </c>
      <c r="K9331" t="s">
        <v>263</v>
      </c>
      <c r="M9331" t="s">
        <v>43874</v>
      </c>
      <c r="O9331" t="s">
        <v>94</v>
      </c>
      <c r="P9331">
        <v>42</v>
      </c>
      <c r="Q9331">
        <v>52.5</v>
      </c>
      <c r="R9331">
        <v>42</v>
      </c>
      <c r="S9331">
        <v>63</v>
      </c>
      <c r="T9331" t="s">
        <v>44535</v>
      </c>
    </row>
    <row r="9332" spans="1:20">
      <c r="A9332">
        <v>4796456</v>
      </c>
      <c r="B9332" t="s">
        <v>44536</v>
      </c>
      <c r="C9332" t="str">
        <f>"9782760531307"</f>
        <v>9782760531307</v>
      </c>
      <c r="D9332" t="str">
        <f>"9782760531314"</f>
        <v>9782760531314</v>
      </c>
      <c r="E9332" t="s">
        <v>43423</v>
      </c>
      <c r="F9332" t="s">
        <v>33376</v>
      </c>
      <c r="G9332" s="1">
        <v>36526</v>
      </c>
      <c r="J9332" t="s">
        <v>33239</v>
      </c>
      <c r="K9332" t="s">
        <v>257</v>
      </c>
      <c r="M9332" t="s">
        <v>44537</v>
      </c>
      <c r="O9332" t="s">
        <v>94</v>
      </c>
      <c r="P9332">
        <v>32</v>
      </c>
      <c r="Q9332">
        <v>40</v>
      </c>
      <c r="R9332">
        <v>32</v>
      </c>
      <c r="S9332">
        <v>48</v>
      </c>
      <c r="T9332" t="s">
        <v>44538</v>
      </c>
    </row>
    <row r="9333" spans="1:20">
      <c r="A9333">
        <v>4796458</v>
      </c>
      <c r="B9333" t="s">
        <v>44539</v>
      </c>
      <c r="C9333" t="str">
        <f>"9782760530218"</f>
        <v>9782760530218</v>
      </c>
      <c r="D9333" t="str">
        <f>"9782760530225"</f>
        <v>9782760530225</v>
      </c>
      <c r="E9333" t="s">
        <v>43423</v>
      </c>
      <c r="F9333" t="s">
        <v>33376</v>
      </c>
      <c r="G9333" s="1">
        <v>36526</v>
      </c>
      <c r="J9333" t="s">
        <v>44540</v>
      </c>
      <c r="K9333" t="s">
        <v>263</v>
      </c>
      <c r="M9333" t="s">
        <v>44541</v>
      </c>
      <c r="O9333" t="s">
        <v>94</v>
      </c>
      <c r="P9333">
        <v>20</v>
      </c>
      <c r="Q9333">
        <v>25</v>
      </c>
      <c r="R9333">
        <v>20</v>
      </c>
      <c r="S9333">
        <v>30</v>
      </c>
      <c r="T9333" t="s">
        <v>44542</v>
      </c>
    </row>
    <row r="9334" spans="1:20">
      <c r="A9334">
        <v>4796461</v>
      </c>
      <c r="B9334" t="s">
        <v>44543</v>
      </c>
      <c r="C9334" t="str">
        <f>"9782760530607"</f>
        <v>9782760530607</v>
      </c>
      <c r="D9334" t="str">
        <f>"9782760530614"</f>
        <v>9782760530614</v>
      </c>
      <c r="E9334" t="s">
        <v>43423</v>
      </c>
      <c r="F9334" t="s">
        <v>33376</v>
      </c>
      <c r="G9334" s="1">
        <v>36526</v>
      </c>
      <c r="J9334" t="s">
        <v>44544</v>
      </c>
      <c r="K9334" t="s">
        <v>263</v>
      </c>
      <c r="M9334">
        <v>306.30971399999999</v>
      </c>
      <c r="O9334" t="s">
        <v>94</v>
      </c>
      <c r="P9334">
        <v>32</v>
      </c>
      <c r="Q9334">
        <v>40</v>
      </c>
      <c r="R9334">
        <v>32</v>
      </c>
      <c r="S9334">
        <v>48</v>
      </c>
      <c r="T9334" t="s">
        <v>44545</v>
      </c>
    </row>
    <row r="9335" spans="1:20">
      <c r="A9335">
        <v>4796464</v>
      </c>
      <c r="B9335" t="s">
        <v>44546</v>
      </c>
      <c r="C9335" t="str">
        <f>"9782760531277"</f>
        <v>9782760531277</v>
      </c>
      <c r="D9335" t="str">
        <f>"9782760531284"</f>
        <v>9782760531284</v>
      </c>
      <c r="E9335" t="s">
        <v>43423</v>
      </c>
      <c r="F9335" t="s">
        <v>33376</v>
      </c>
      <c r="G9335" s="1">
        <v>36526</v>
      </c>
      <c r="J9335" t="s">
        <v>44547</v>
      </c>
      <c r="K9335" t="s">
        <v>467</v>
      </c>
      <c r="M9335">
        <v>354.75096000000002</v>
      </c>
      <c r="O9335" t="s">
        <v>94</v>
      </c>
      <c r="P9335">
        <v>20</v>
      </c>
      <c r="Q9335">
        <v>25</v>
      </c>
      <c r="R9335">
        <v>20</v>
      </c>
      <c r="S9335">
        <v>30</v>
      </c>
      <c r="T9335" t="s">
        <v>44548</v>
      </c>
    </row>
    <row r="9336" spans="1:20">
      <c r="A9336">
        <v>4796465</v>
      </c>
      <c r="B9336" t="s">
        <v>44549</v>
      </c>
      <c r="C9336" t="str">
        <f>"9782760531970"</f>
        <v>9782760531970</v>
      </c>
      <c r="D9336" t="str">
        <f>"9782760531987"</f>
        <v>9782760531987</v>
      </c>
      <c r="E9336" t="s">
        <v>43423</v>
      </c>
      <c r="F9336" t="s">
        <v>33376</v>
      </c>
      <c r="G9336" s="1">
        <v>40891</v>
      </c>
      <c r="J9336" t="s">
        <v>44550</v>
      </c>
      <c r="K9336" t="s">
        <v>376</v>
      </c>
      <c r="M9336">
        <v>362.10971000000001</v>
      </c>
      <c r="O9336" t="s">
        <v>94</v>
      </c>
      <c r="P9336">
        <v>17</v>
      </c>
      <c r="Q9336">
        <v>21.25</v>
      </c>
      <c r="R9336">
        <v>17</v>
      </c>
      <c r="S9336">
        <v>25.5</v>
      </c>
      <c r="T9336" t="s">
        <v>44551</v>
      </c>
    </row>
    <row r="9337" spans="1:20">
      <c r="A9337">
        <v>4796467</v>
      </c>
      <c r="B9337" t="s">
        <v>44552</v>
      </c>
      <c r="C9337" t="str">
        <f>"9782760531123"</f>
        <v>9782760531123</v>
      </c>
      <c r="D9337" t="str">
        <f>"9782760531130"</f>
        <v>9782760531130</v>
      </c>
      <c r="E9337" t="s">
        <v>33376</v>
      </c>
      <c r="F9337" t="s">
        <v>43423</v>
      </c>
      <c r="G9337" s="1">
        <v>36526</v>
      </c>
      <c r="J9337" t="s">
        <v>44553</v>
      </c>
      <c r="K9337" t="s">
        <v>305</v>
      </c>
      <c r="M9337" t="s">
        <v>43822</v>
      </c>
      <c r="O9337" t="s">
        <v>94</v>
      </c>
      <c r="P9337">
        <v>39</v>
      </c>
      <c r="Q9337">
        <v>48.75</v>
      </c>
      <c r="R9337">
        <v>39</v>
      </c>
      <c r="S9337">
        <v>58.5</v>
      </c>
      <c r="T9337" t="s">
        <v>44554</v>
      </c>
    </row>
    <row r="9338" spans="1:20">
      <c r="A9338">
        <v>4796468</v>
      </c>
      <c r="B9338" t="s">
        <v>44555</v>
      </c>
      <c r="C9338" t="str">
        <f>"9782760530232"</f>
        <v>9782760530232</v>
      </c>
      <c r="D9338" t="str">
        <f>"9782760530249"</f>
        <v>9782760530249</v>
      </c>
      <c r="E9338" t="s">
        <v>43423</v>
      </c>
      <c r="F9338" t="s">
        <v>33376</v>
      </c>
      <c r="G9338" s="1">
        <v>36526</v>
      </c>
      <c r="J9338" t="s">
        <v>44556</v>
      </c>
      <c r="K9338" t="s">
        <v>467</v>
      </c>
      <c r="M9338">
        <v>352.6</v>
      </c>
      <c r="O9338" t="s">
        <v>94</v>
      </c>
      <c r="P9338">
        <v>59</v>
      </c>
      <c r="Q9338">
        <v>73.75</v>
      </c>
      <c r="R9338">
        <v>59</v>
      </c>
      <c r="S9338">
        <v>88.5</v>
      </c>
      <c r="T9338" t="s">
        <v>44557</v>
      </c>
    </row>
    <row r="9339" spans="1:20">
      <c r="A9339">
        <v>4796470</v>
      </c>
      <c r="B9339" t="s">
        <v>44558</v>
      </c>
      <c r="C9339" t="str">
        <f>"9782760530638"</f>
        <v>9782760530638</v>
      </c>
      <c r="D9339" t="str">
        <f>"9782760530645"</f>
        <v>9782760530645</v>
      </c>
      <c r="E9339" t="s">
        <v>43423</v>
      </c>
      <c r="F9339" t="s">
        <v>33376</v>
      </c>
      <c r="G9339" s="1">
        <v>36526</v>
      </c>
      <c r="J9339" t="s">
        <v>44559</v>
      </c>
      <c r="K9339" t="s">
        <v>257</v>
      </c>
      <c r="M9339" t="s">
        <v>44560</v>
      </c>
      <c r="O9339" t="s">
        <v>94</v>
      </c>
      <c r="P9339">
        <v>7</v>
      </c>
      <c r="Q9339">
        <v>8.75</v>
      </c>
      <c r="R9339">
        <v>7</v>
      </c>
      <c r="S9339">
        <v>10.5</v>
      </c>
      <c r="T9339" t="s">
        <v>44561</v>
      </c>
    </row>
    <row r="9340" spans="1:20">
      <c r="A9340">
        <v>4796471</v>
      </c>
      <c r="B9340" t="s">
        <v>44562</v>
      </c>
      <c r="C9340" t="str">
        <f>"9782760530577"</f>
        <v>9782760530577</v>
      </c>
      <c r="D9340" t="str">
        <f>"9782760530584"</f>
        <v>9782760530584</v>
      </c>
      <c r="E9340" t="s">
        <v>43423</v>
      </c>
      <c r="F9340" t="s">
        <v>33376</v>
      </c>
      <c r="G9340" s="1">
        <v>36526</v>
      </c>
      <c r="J9340" t="s">
        <v>44563</v>
      </c>
      <c r="K9340" t="s">
        <v>257</v>
      </c>
      <c r="M9340">
        <v>372.11020000000002</v>
      </c>
      <c r="O9340" t="s">
        <v>94</v>
      </c>
      <c r="P9340">
        <v>39</v>
      </c>
      <c r="Q9340">
        <v>48.75</v>
      </c>
      <c r="R9340">
        <v>39</v>
      </c>
      <c r="S9340">
        <v>58.5</v>
      </c>
      <c r="T9340" t="s">
        <v>44564</v>
      </c>
    </row>
    <row r="9341" spans="1:20">
      <c r="A9341">
        <v>4796472</v>
      </c>
      <c r="B9341" t="s">
        <v>44565</v>
      </c>
      <c r="C9341" t="str">
        <f>"9782760532304"</f>
        <v>9782760532304</v>
      </c>
      <c r="D9341" t="str">
        <f>"9782760532311"</f>
        <v>9782760532311</v>
      </c>
      <c r="E9341" t="s">
        <v>43423</v>
      </c>
      <c r="F9341" t="s">
        <v>33376</v>
      </c>
      <c r="G9341" s="1">
        <v>36526</v>
      </c>
      <c r="J9341" t="s">
        <v>44566</v>
      </c>
      <c r="K9341" t="s">
        <v>263</v>
      </c>
      <c r="M9341">
        <v>306.3</v>
      </c>
      <c r="O9341" t="s">
        <v>94</v>
      </c>
      <c r="P9341">
        <v>18</v>
      </c>
      <c r="Q9341">
        <v>22.5</v>
      </c>
      <c r="R9341">
        <v>18</v>
      </c>
      <c r="S9341">
        <v>27</v>
      </c>
      <c r="T9341" t="s">
        <v>44567</v>
      </c>
    </row>
    <row r="9342" spans="1:20">
      <c r="A9342">
        <v>4796473</v>
      </c>
      <c r="B9342" t="s">
        <v>44568</v>
      </c>
      <c r="C9342" t="str">
        <f>"9782760532038"</f>
        <v>9782760532038</v>
      </c>
      <c r="D9342" t="str">
        <f>"9782760532045"</f>
        <v>9782760532045</v>
      </c>
      <c r="E9342" t="s">
        <v>43423</v>
      </c>
      <c r="F9342" t="s">
        <v>33376</v>
      </c>
      <c r="G9342" s="1">
        <v>36526</v>
      </c>
      <c r="J9342" t="s">
        <v>44569</v>
      </c>
      <c r="K9342" t="s">
        <v>263</v>
      </c>
      <c r="M9342">
        <v>305.23500000000001</v>
      </c>
      <c r="O9342" t="s">
        <v>94</v>
      </c>
      <c r="P9342">
        <v>40</v>
      </c>
      <c r="Q9342">
        <v>50</v>
      </c>
      <c r="R9342">
        <v>40</v>
      </c>
      <c r="S9342">
        <v>60</v>
      </c>
      <c r="T9342" t="s">
        <v>44570</v>
      </c>
    </row>
    <row r="9343" spans="1:20">
      <c r="A9343">
        <v>4796474</v>
      </c>
      <c r="B9343" t="s">
        <v>44571</v>
      </c>
      <c r="C9343" t="str">
        <f>"9782760526631"</f>
        <v>9782760526631</v>
      </c>
      <c r="D9343" t="str">
        <f>"9782760526648"</f>
        <v>9782760526648</v>
      </c>
      <c r="E9343" t="s">
        <v>43423</v>
      </c>
      <c r="F9343" t="s">
        <v>33376</v>
      </c>
      <c r="G9343" s="1">
        <v>36526</v>
      </c>
      <c r="J9343" t="s">
        <v>44572</v>
      </c>
      <c r="K9343" t="s">
        <v>305</v>
      </c>
      <c r="M9343">
        <v>658.4</v>
      </c>
      <c r="O9343" t="s">
        <v>94</v>
      </c>
      <c r="P9343">
        <v>79</v>
      </c>
      <c r="Q9343">
        <v>98.75</v>
      </c>
      <c r="R9343">
        <v>79</v>
      </c>
      <c r="S9343">
        <v>118.5</v>
      </c>
      <c r="T9343" t="s">
        <v>44573</v>
      </c>
    </row>
    <row r="9344" spans="1:20">
      <c r="A9344">
        <v>4796475</v>
      </c>
      <c r="B9344" t="s">
        <v>44574</v>
      </c>
      <c r="C9344" t="str">
        <f>"9782760532007"</f>
        <v>9782760532007</v>
      </c>
      <c r="D9344" t="str">
        <f>"9782760532014"</f>
        <v>9782760532014</v>
      </c>
      <c r="E9344" t="s">
        <v>43423</v>
      </c>
      <c r="F9344" t="s">
        <v>33376</v>
      </c>
      <c r="G9344" s="1">
        <v>41773</v>
      </c>
      <c r="J9344" t="s">
        <v>44575</v>
      </c>
      <c r="K9344" t="s">
        <v>1859</v>
      </c>
      <c r="M9344">
        <v>177.3</v>
      </c>
      <c r="O9344" t="s">
        <v>94</v>
      </c>
      <c r="P9344">
        <v>20</v>
      </c>
      <c r="Q9344">
        <v>25</v>
      </c>
      <c r="R9344">
        <v>20</v>
      </c>
      <c r="S9344">
        <v>30</v>
      </c>
      <c r="T9344" t="s">
        <v>44576</v>
      </c>
    </row>
    <row r="9345" spans="1:20">
      <c r="A9345">
        <v>4796476</v>
      </c>
      <c r="B9345" t="s">
        <v>44577</v>
      </c>
      <c r="C9345" t="str">
        <f>"9782760526556"</f>
        <v>9782760526556</v>
      </c>
      <c r="D9345" t="str">
        <f>"9782760526563"</f>
        <v>9782760526563</v>
      </c>
      <c r="E9345" t="s">
        <v>43423</v>
      </c>
      <c r="F9345" t="s">
        <v>33376</v>
      </c>
      <c r="G9345" s="1">
        <v>36526</v>
      </c>
      <c r="H9345">
        <v>2</v>
      </c>
      <c r="J9345" t="s">
        <v>44578</v>
      </c>
      <c r="K9345" t="s">
        <v>2260</v>
      </c>
      <c r="M9345" t="s">
        <v>44579</v>
      </c>
      <c r="O9345" t="s">
        <v>94</v>
      </c>
      <c r="P9345">
        <v>59</v>
      </c>
      <c r="Q9345">
        <v>73.75</v>
      </c>
      <c r="R9345">
        <v>59</v>
      </c>
      <c r="S9345">
        <v>88.5</v>
      </c>
      <c r="T9345" t="s">
        <v>44580</v>
      </c>
    </row>
    <row r="9346" spans="1:20">
      <c r="A9346">
        <v>4796479</v>
      </c>
      <c r="B9346" t="s">
        <v>44581</v>
      </c>
      <c r="C9346" t="str">
        <f>"9782760531888"</f>
        <v>9782760531888</v>
      </c>
      <c r="D9346" t="str">
        <f>"9782760531895"</f>
        <v>9782760531895</v>
      </c>
      <c r="E9346" t="s">
        <v>43423</v>
      </c>
      <c r="F9346" t="s">
        <v>43423</v>
      </c>
      <c r="G9346" s="1">
        <v>36526</v>
      </c>
      <c r="J9346" t="s">
        <v>44582</v>
      </c>
      <c r="K9346" t="s">
        <v>30</v>
      </c>
      <c r="M9346" t="s">
        <v>44583</v>
      </c>
      <c r="O9346" t="s">
        <v>94</v>
      </c>
      <c r="P9346">
        <v>28</v>
      </c>
      <c r="Q9346">
        <v>35</v>
      </c>
      <c r="R9346">
        <v>28</v>
      </c>
      <c r="S9346">
        <v>42</v>
      </c>
      <c r="T9346" t="s">
        <v>44584</v>
      </c>
    </row>
    <row r="9347" spans="1:20">
      <c r="A9347">
        <v>4796482</v>
      </c>
      <c r="B9347" t="s">
        <v>44585</v>
      </c>
      <c r="C9347" t="str">
        <f>"9782760531512"</f>
        <v>9782760531512</v>
      </c>
      <c r="D9347" t="str">
        <f>"9782760531529"</f>
        <v>9782760531529</v>
      </c>
      <c r="E9347" t="s">
        <v>43423</v>
      </c>
      <c r="F9347" t="s">
        <v>33376</v>
      </c>
      <c r="G9347" s="1">
        <v>40787</v>
      </c>
      <c r="J9347" t="s">
        <v>44586</v>
      </c>
      <c r="K9347" t="s">
        <v>7075</v>
      </c>
      <c r="L9347" t="s">
        <v>44587</v>
      </c>
      <c r="M9347">
        <v>16</v>
      </c>
      <c r="N9347" t="s">
        <v>44588</v>
      </c>
      <c r="O9347" t="s">
        <v>26</v>
      </c>
      <c r="P9347">
        <v>49</v>
      </c>
      <c r="Q9347">
        <v>61.25</v>
      </c>
      <c r="R9347">
        <v>49</v>
      </c>
      <c r="S9347">
        <v>73.5</v>
      </c>
      <c r="T9347" t="s">
        <v>44589</v>
      </c>
    </row>
    <row r="9348" spans="1:20">
      <c r="A9348">
        <v>4796483</v>
      </c>
      <c r="B9348" t="s">
        <v>44590</v>
      </c>
      <c r="C9348" t="str">
        <f>"9782760531635"</f>
        <v>9782760531635</v>
      </c>
      <c r="D9348" t="str">
        <f>"9782760531642"</f>
        <v>9782760531642</v>
      </c>
      <c r="E9348" t="s">
        <v>43423</v>
      </c>
      <c r="F9348" t="s">
        <v>33376</v>
      </c>
      <c r="G9348" s="1">
        <v>36526</v>
      </c>
      <c r="J9348" t="s">
        <v>44591</v>
      </c>
      <c r="K9348" t="s">
        <v>695</v>
      </c>
      <c r="M9348">
        <v>333.79097139999999</v>
      </c>
      <c r="O9348" t="s">
        <v>94</v>
      </c>
      <c r="P9348">
        <v>22</v>
      </c>
      <c r="Q9348">
        <v>27.5</v>
      </c>
      <c r="R9348">
        <v>22</v>
      </c>
      <c r="S9348">
        <v>33</v>
      </c>
      <c r="T9348" t="s">
        <v>44592</v>
      </c>
    </row>
    <row r="9349" spans="1:20">
      <c r="A9349">
        <v>4796484</v>
      </c>
      <c r="B9349" t="s">
        <v>44593</v>
      </c>
      <c r="C9349" t="str">
        <f>"9782760532939"</f>
        <v>9782760532939</v>
      </c>
      <c r="D9349" t="str">
        <f>"9782760532946"</f>
        <v>9782760532946</v>
      </c>
      <c r="E9349" t="s">
        <v>43423</v>
      </c>
      <c r="F9349" t="s">
        <v>33376</v>
      </c>
      <c r="G9349" s="1">
        <v>36526</v>
      </c>
      <c r="J9349" t="s">
        <v>44594</v>
      </c>
      <c r="K9349" t="s">
        <v>24615</v>
      </c>
      <c r="M9349" t="s">
        <v>44595</v>
      </c>
      <c r="O9349" t="s">
        <v>94</v>
      </c>
      <c r="P9349">
        <v>45</v>
      </c>
      <c r="Q9349">
        <v>56.25</v>
      </c>
      <c r="R9349">
        <v>45</v>
      </c>
      <c r="S9349">
        <v>67.5</v>
      </c>
      <c r="T9349" t="s">
        <v>44596</v>
      </c>
    </row>
    <row r="9350" spans="1:20">
      <c r="A9350">
        <v>4796485</v>
      </c>
      <c r="B9350" t="s">
        <v>44597</v>
      </c>
      <c r="C9350" t="str">
        <f>"9782760531796"</f>
        <v>9782760531796</v>
      </c>
      <c r="D9350" t="str">
        <f>"9782760531802"</f>
        <v>9782760531802</v>
      </c>
      <c r="E9350" t="s">
        <v>43423</v>
      </c>
      <c r="F9350" t="s">
        <v>33376</v>
      </c>
      <c r="G9350" s="1">
        <v>41773</v>
      </c>
      <c r="J9350" t="s">
        <v>33476</v>
      </c>
      <c r="K9350" t="s">
        <v>10860</v>
      </c>
      <c r="M9350">
        <v>25.17</v>
      </c>
      <c r="O9350" t="s">
        <v>94</v>
      </c>
      <c r="P9350">
        <v>27</v>
      </c>
      <c r="Q9350">
        <v>33.75</v>
      </c>
      <c r="R9350">
        <v>27</v>
      </c>
      <c r="S9350">
        <v>40.5</v>
      </c>
      <c r="T9350" t="s">
        <v>44598</v>
      </c>
    </row>
    <row r="9351" spans="1:20">
      <c r="A9351">
        <v>4796486</v>
      </c>
      <c r="B9351" t="s">
        <v>44599</v>
      </c>
      <c r="C9351" t="str">
        <f>"9782760532069"</f>
        <v>9782760532069</v>
      </c>
      <c r="D9351" t="str">
        <f>"9782760532076"</f>
        <v>9782760532076</v>
      </c>
      <c r="E9351" t="s">
        <v>43423</v>
      </c>
      <c r="F9351" t="s">
        <v>33376</v>
      </c>
      <c r="G9351" s="1">
        <v>36526</v>
      </c>
      <c r="H9351">
        <v>2</v>
      </c>
      <c r="J9351" t="s">
        <v>44600</v>
      </c>
      <c r="K9351" t="s">
        <v>263</v>
      </c>
      <c r="M9351">
        <v>304.2</v>
      </c>
      <c r="O9351" t="s">
        <v>94</v>
      </c>
      <c r="P9351">
        <v>59</v>
      </c>
      <c r="Q9351">
        <v>73.75</v>
      </c>
      <c r="R9351">
        <v>59</v>
      </c>
      <c r="S9351">
        <v>88.5</v>
      </c>
      <c r="T9351" t="s">
        <v>44601</v>
      </c>
    </row>
    <row r="9352" spans="1:20">
      <c r="A9352">
        <v>4796487</v>
      </c>
      <c r="B9352" t="s">
        <v>44602</v>
      </c>
      <c r="C9352" t="str">
        <f>"9782760531420"</f>
        <v>9782760531420</v>
      </c>
      <c r="D9352" t="str">
        <f>"9782760531437"</f>
        <v>9782760531437</v>
      </c>
      <c r="E9352" t="s">
        <v>43423</v>
      </c>
      <c r="F9352" t="s">
        <v>33376</v>
      </c>
      <c r="G9352" s="1">
        <v>36526</v>
      </c>
      <c r="J9352" t="s">
        <v>44603</v>
      </c>
      <c r="K9352" t="s">
        <v>305</v>
      </c>
      <c r="M9352" t="s">
        <v>44604</v>
      </c>
      <c r="O9352" t="s">
        <v>94</v>
      </c>
      <c r="P9352">
        <v>18</v>
      </c>
      <c r="Q9352">
        <v>22.5</v>
      </c>
      <c r="R9352">
        <v>18</v>
      </c>
      <c r="S9352">
        <v>27</v>
      </c>
      <c r="T9352" t="s">
        <v>44605</v>
      </c>
    </row>
    <row r="9353" spans="1:20">
      <c r="A9353">
        <v>4796488</v>
      </c>
      <c r="B9353" t="s">
        <v>44606</v>
      </c>
      <c r="C9353" t="str">
        <f>"9782760531154"</f>
        <v>9782760531154</v>
      </c>
      <c r="D9353" t="str">
        <f>"9782760531161"</f>
        <v>9782760531161</v>
      </c>
      <c r="E9353" t="s">
        <v>43423</v>
      </c>
      <c r="F9353" t="s">
        <v>33376</v>
      </c>
      <c r="G9353" s="1">
        <v>41773</v>
      </c>
      <c r="J9353" t="s">
        <v>44607</v>
      </c>
      <c r="K9353" t="s">
        <v>291</v>
      </c>
      <c r="M9353">
        <v>971.40099999999995</v>
      </c>
      <c r="O9353" t="s">
        <v>94</v>
      </c>
      <c r="P9353">
        <v>25</v>
      </c>
      <c r="Q9353">
        <v>31.25</v>
      </c>
      <c r="R9353">
        <v>25</v>
      </c>
      <c r="S9353">
        <v>37.5</v>
      </c>
      <c r="T9353" t="s">
        <v>44608</v>
      </c>
    </row>
    <row r="9354" spans="1:20">
      <c r="A9354">
        <v>4796489</v>
      </c>
      <c r="B9354" t="s">
        <v>44609</v>
      </c>
      <c r="C9354" t="str">
        <f>"9782760532489"</f>
        <v>9782760532489</v>
      </c>
      <c r="D9354" t="str">
        <f>"9782760532496"</f>
        <v>9782760532496</v>
      </c>
      <c r="E9354" t="s">
        <v>43423</v>
      </c>
      <c r="F9354" t="s">
        <v>33376</v>
      </c>
      <c r="G9354" s="1">
        <v>40893</v>
      </c>
      <c r="J9354" t="s">
        <v>44610</v>
      </c>
      <c r="K9354" t="s">
        <v>263</v>
      </c>
      <c r="M9354">
        <v>303.3</v>
      </c>
      <c r="O9354" t="s">
        <v>94</v>
      </c>
      <c r="P9354">
        <v>20</v>
      </c>
      <c r="Q9354">
        <v>25</v>
      </c>
      <c r="R9354">
        <v>20</v>
      </c>
      <c r="S9354">
        <v>30</v>
      </c>
      <c r="T9354" t="s">
        <v>44611</v>
      </c>
    </row>
    <row r="9355" spans="1:20">
      <c r="A9355">
        <v>4796490</v>
      </c>
      <c r="B9355" t="s">
        <v>44612</v>
      </c>
      <c r="C9355" t="str">
        <f>"9782760532120"</f>
        <v>9782760532120</v>
      </c>
      <c r="D9355" t="str">
        <f>"9782760532137"</f>
        <v>9782760532137</v>
      </c>
      <c r="E9355" t="s">
        <v>43423</v>
      </c>
      <c r="F9355" t="s">
        <v>33376</v>
      </c>
      <c r="G9355" s="1">
        <v>36526</v>
      </c>
      <c r="H9355">
        <v>3</v>
      </c>
      <c r="J9355" t="s">
        <v>44613</v>
      </c>
      <c r="K9355" t="s">
        <v>525</v>
      </c>
      <c r="M9355" t="s">
        <v>44614</v>
      </c>
      <c r="O9355" t="s">
        <v>94</v>
      </c>
      <c r="P9355">
        <v>26</v>
      </c>
      <c r="Q9355">
        <v>32.5</v>
      </c>
      <c r="R9355">
        <v>26</v>
      </c>
      <c r="S9355">
        <v>39</v>
      </c>
      <c r="T9355" t="s">
        <v>44615</v>
      </c>
    </row>
    <row r="9356" spans="1:20">
      <c r="A9356">
        <v>4796491</v>
      </c>
      <c r="B9356" t="s">
        <v>44616</v>
      </c>
      <c r="C9356" t="str">
        <f>"9782760533301"</f>
        <v>9782760533301</v>
      </c>
      <c r="D9356" t="str">
        <f>"9782760533318"</f>
        <v>9782760533318</v>
      </c>
      <c r="E9356" t="s">
        <v>43423</v>
      </c>
      <c r="F9356" t="s">
        <v>33376</v>
      </c>
      <c r="G9356" s="1">
        <v>40928</v>
      </c>
      <c r="J9356" t="s">
        <v>44617</v>
      </c>
      <c r="K9356" t="s">
        <v>305</v>
      </c>
      <c r="M9356">
        <v>658.40599999999995</v>
      </c>
      <c r="O9356" t="s">
        <v>94</v>
      </c>
      <c r="P9356">
        <v>20</v>
      </c>
      <c r="Q9356">
        <v>25</v>
      </c>
      <c r="R9356">
        <v>20</v>
      </c>
      <c r="S9356">
        <v>30</v>
      </c>
      <c r="T9356" t="s">
        <v>44618</v>
      </c>
    </row>
    <row r="9357" spans="1:20">
      <c r="A9357">
        <v>4796492</v>
      </c>
      <c r="B9357" t="s">
        <v>44619</v>
      </c>
      <c r="C9357" t="str">
        <f>"9782760533134"</f>
        <v>9782760533134</v>
      </c>
      <c r="D9357" t="str">
        <f>"9782760533141"</f>
        <v>9782760533141</v>
      </c>
      <c r="E9357" t="s">
        <v>43423</v>
      </c>
      <c r="F9357" t="s">
        <v>33376</v>
      </c>
      <c r="G9357" s="1">
        <v>40932</v>
      </c>
      <c r="J9357" t="s">
        <v>44620</v>
      </c>
      <c r="K9357" t="s">
        <v>1063</v>
      </c>
      <c r="M9357">
        <v>333.9117</v>
      </c>
      <c r="O9357" t="s">
        <v>94</v>
      </c>
      <c r="P9357">
        <v>26</v>
      </c>
      <c r="Q9357">
        <v>32.5</v>
      </c>
      <c r="R9357">
        <v>26</v>
      </c>
      <c r="S9357">
        <v>39</v>
      </c>
      <c r="T9357" t="s">
        <v>44621</v>
      </c>
    </row>
    <row r="9358" spans="1:20">
      <c r="A9358">
        <v>4796493</v>
      </c>
      <c r="B9358" t="s">
        <v>44622</v>
      </c>
      <c r="C9358" t="str">
        <f>"9782760530096"</f>
        <v>9782760530096</v>
      </c>
      <c r="D9358" t="str">
        <f>"9782760530102"</f>
        <v>9782760530102</v>
      </c>
      <c r="E9358" t="s">
        <v>43423</v>
      </c>
      <c r="F9358" t="s">
        <v>33376</v>
      </c>
      <c r="G9358" s="1">
        <v>41773</v>
      </c>
      <c r="J9358" t="s">
        <v>44623</v>
      </c>
      <c r="K9358" t="s">
        <v>257</v>
      </c>
      <c r="M9358">
        <v>372.21</v>
      </c>
      <c r="O9358" t="s">
        <v>94</v>
      </c>
      <c r="P9358">
        <v>40</v>
      </c>
      <c r="Q9358">
        <v>50</v>
      </c>
      <c r="R9358">
        <v>40</v>
      </c>
      <c r="S9358">
        <v>60</v>
      </c>
      <c r="T9358" t="s">
        <v>44624</v>
      </c>
    </row>
    <row r="9359" spans="1:20">
      <c r="A9359">
        <v>4796495</v>
      </c>
      <c r="B9359" t="s">
        <v>44625</v>
      </c>
      <c r="C9359" t="str">
        <f>"9782760533066"</f>
        <v>9782760533066</v>
      </c>
      <c r="D9359" t="str">
        <f>"9782760533073"</f>
        <v>9782760533073</v>
      </c>
      <c r="E9359" t="s">
        <v>43423</v>
      </c>
      <c r="F9359" t="s">
        <v>33376</v>
      </c>
      <c r="G9359" s="1">
        <v>40865</v>
      </c>
      <c r="J9359" t="s">
        <v>44626</v>
      </c>
      <c r="K9359" t="s">
        <v>257</v>
      </c>
      <c r="M9359">
        <v>370</v>
      </c>
      <c r="O9359" t="s">
        <v>94</v>
      </c>
      <c r="P9359">
        <v>34</v>
      </c>
      <c r="Q9359">
        <v>42.5</v>
      </c>
      <c r="R9359">
        <v>34</v>
      </c>
      <c r="S9359">
        <v>51</v>
      </c>
      <c r="T9359" t="s">
        <v>44627</v>
      </c>
    </row>
    <row r="9360" spans="1:20">
      <c r="A9360">
        <v>4796496</v>
      </c>
      <c r="B9360" t="s">
        <v>44628</v>
      </c>
      <c r="C9360" t="str">
        <f>"9782760533332"</f>
        <v>9782760533332</v>
      </c>
      <c r="D9360" t="str">
        <f>"9782760533349"</f>
        <v>9782760533349</v>
      </c>
      <c r="E9360" t="s">
        <v>33376</v>
      </c>
      <c r="F9360" t="s">
        <v>43423</v>
      </c>
      <c r="G9360" s="1">
        <v>40963</v>
      </c>
      <c r="H9360">
        <v>2</v>
      </c>
      <c r="J9360" t="s">
        <v>44617</v>
      </c>
      <c r="K9360" t="s">
        <v>7075</v>
      </c>
      <c r="M9360">
        <v>1.43</v>
      </c>
      <c r="O9360" t="s">
        <v>94</v>
      </c>
      <c r="P9360">
        <v>20</v>
      </c>
      <c r="Q9360">
        <v>25</v>
      </c>
      <c r="R9360">
        <v>20</v>
      </c>
      <c r="S9360">
        <v>30</v>
      </c>
      <c r="T9360" t="s">
        <v>44629</v>
      </c>
    </row>
    <row r="9361" spans="1:20">
      <c r="A9361">
        <v>4796497</v>
      </c>
      <c r="B9361" t="s">
        <v>44630</v>
      </c>
      <c r="C9361" t="str">
        <f>"9782760530973"</f>
        <v>9782760530973</v>
      </c>
      <c r="D9361" t="str">
        <f>"9782760530980"</f>
        <v>9782760530980</v>
      </c>
      <c r="E9361" t="s">
        <v>43423</v>
      </c>
      <c r="F9361" t="s">
        <v>33376</v>
      </c>
      <c r="G9361" s="1">
        <v>40893</v>
      </c>
      <c r="J9361" t="s">
        <v>44631</v>
      </c>
      <c r="K9361" t="s">
        <v>305</v>
      </c>
      <c r="M9361">
        <v>388.4</v>
      </c>
      <c r="O9361" t="s">
        <v>94</v>
      </c>
      <c r="P9361">
        <v>25</v>
      </c>
      <c r="Q9361">
        <v>31.25</v>
      </c>
      <c r="R9361">
        <v>25</v>
      </c>
      <c r="S9361">
        <v>37.5</v>
      </c>
      <c r="T9361" t="s">
        <v>44632</v>
      </c>
    </row>
    <row r="9362" spans="1:20">
      <c r="A9362">
        <v>4796500</v>
      </c>
      <c r="B9362" t="s">
        <v>44633</v>
      </c>
      <c r="C9362" t="str">
        <f>"9782760532458"</f>
        <v>9782760532458</v>
      </c>
      <c r="D9362" t="str">
        <f>"9782760532465"</f>
        <v>9782760532465</v>
      </c>
      <c r="E9362" t="s">
        <v>43423</v>
      </c>
      <c r="F9362" t="s">
        <v>33376</v>
      </c>
      <c r="G9362" s="1">
        <v>36526</v>
      </c>
      <c r="J9362" t="s">
        <v>43757</v>
      </c>
      <c r="K9362" t="s">
        <v>263</v>
      </c>
      <c r="M9362">
        <v>304.2</v>
      </c>
      <c r="O9362" t="s">
        <v>94</v>
      </c>
      <c r="P9362">
        <v>35</v>
      </c>
      <c r="Q9362">
        <v>43.75</v>
      </c>
      <c r="R9362">
        <v>35</v>
      </c>
      <c r="S9362">
        <v>52.5</v>
      </c>
      <c r="T9362" t="s">
        <v>44634</v>
      </c>
    </row>
    <row r="9363" spans="1:20">
      <c r="A9363">
        <v>4796501</v>
      </c>
      <c r="B9363" t="s">
        <v>44635</v>
      </c>
      <c r="C9363" t="str">
        <f>"9782760530010"</f>
        <v>9782760530010</v>
      </c>
      <c r="D9363" t="str">
        <f>"9782760530027"</f>
        <v>9782760530027</v>
      </c>
      <c r="E9363" t="s">
        <v>43423</v>
      </c>
      <c r="F9363" t="s">
        <v>33376</v>
      </c>
      <c r="G9363" s="1">
        <v>36526</v>
      </c>
      <c r="J9363" t="s">
        <v>44636</v>
      </c>
      <c r="K9363" t="s">
        <v>263</v>
      </c>
      <c r="M9363" t="s">
        <v>44637</v>
      </c>
      <c r="O9363" t="s">
        <v>94</v>
      </c>
      <c r="P9363">
        <v>32</v>
      </c>
      <c r="Q9363">
        <v>40</v>
      </c>
      <c r="R9363">
        <v>32</v>
      </c>
      <c r="S9363">
        <v>48</v>
      </c>
      <c r="T9363" t="s">
        <v>44638</v>
      </c>
    </row>
    <row r="9364" spans="1:20">
      <c r="A9364">
        <v>4796502</v>
      </c>
      <c r="B9364" t="s">
        <v>44639</v>
      </c>
      <c r="C9364" t="str">
        <f>"9782760532960"</f>
        <v>9782760532960</v>
      </c>
      <c r="D9364" t="str">
        <f>"9782760532977"</f>
        <v>9782760532977</v>
      </c>
      <c r="E9364" t="s">
        <v>43423</v>
      </c>
      <c r="F9364" t="s">
        <v>33376</v>
      </c>
      <c r="G9364" s="1">
        <v>40928</v>
      </c>
      <c r="J9364" t="s">
        <v>44640</v>
      </c>
      <c r="K9364" t="s">
        <v>416</v>
      </c>
      <c r="M9364">
        <v>338.47</v>
      </c>
      <c r="O9364" t="s">
        <v>94</v>
      </c>
      <c r="P9364">
        <v>39</v>
      </c>
      <c r="Q9364">
        <v>48.75</v>
      </c>
      <c r="R9364">
        <v>39</v>
      </c>
      <c r="S9364">
        <v>58.5</v>
      </c>
      <c r="T9364" t="s">
        <v>44641</v>
      </c>
    </row>
    <row r="9365" spans="1:20">
      <c r="A9365">
        <v>4796503</v>
      </c>
      <c r="B9365" t="s">
        <v>44642</v>
      </c>
      <c r="C9365" t="str">
        <f>"9782760533097"</f>
        <v>9782760533097</v>
      </c>
      <c r="D9365" t="str">
        <f>"9782760533103"</f>
        <v>9782760533103</v>
      </c>
      <c r="E9365" t="s">
        <v>43423</v>
      </c>
      <c r="F9365" t="s">
        <v>33376</v>
      </c>
      <c r="G9365" s="1">
        <v>40893</v>
      </c>
      <c r="J9365" t="s">
        <v>44643</v>
      </c>
      <c r="K9365" t="s">
        <v>263</v>
      </c>
      <c r="M9365">
        <v>306.81</v>
      </c>
      <c r="O9365" t="s">
        <v>94</v>
      </c>
      <c r="P9365">
        <v>22</v>
      </c>
      <c r="Q9365">
        <v>27.5</v>
      </c>
      <c r="R9365">
        <v>22</v>
      </c>
      <c r="S9365">
        <v>33</v>
      </c>
      <c r="T9365" t="s">
        <v>44644</v>
      </c>
    </row>
    <row r="9366" spans="1:20">
      <c r="A9366">
        <v>4796505</v>
      </c>
      <c r="B9366" t="s">
        <v>44645</v>
      </c>
      <c r="C9366" t="str">
        <f>"9782760531482"</f>
        <v>9782760531482</v>
      </c>
      <c r="D9366" t="str">
        <f>"9782760531499"</f>
        <v>9782760531499</v>
      </c>
      <c r="E9366" t="s">
        <v>43423</v>
      </c>
      <c r="F9366" t="s">
        <v>33376</v>
      </c>
      <c r="G9366" s="1">
        <v>36526</v>
      </c>
      <c r="J9366" t="s">
        <v>44646</v>
      </c>
      <c r="K9366" t="s">
        <v>1859</v>
      </c>
      <c r="M9366" t="s">
        <v>44647</v>
      </c>
      <c r="O9366" t="s">
        <v>94</v>
      </c>
      <c r="P9366">
        <v>22</v>
      </c>
      <c r="Q9366">
        <v>27.5</v>
      </c>
      <c r="R9366">
        <v>22</v>
      </c>
      <c r="S9366">
        <v>33</v>
      </c>
      <c r="T9366" t="s">
        <v>44648</v>
      </c>
    </row>
    <row r="9367" spans="1:20">
      <c r="A9367">
        <v>4796506</v>
      </c>
      <c r="B9367" t="s">
        <v>44649</v>
      </c>
      <c r="C9367" t="str">
        <f>"9782760532274"</f>
        <v>9782760532274</v>
      </c>
      <c r="D9367" t="str">
        <f>"9782760532281"</f>
        <v>9782760532281</v>
      </c>
      <c r="E9367" t="s">
        <v>43423</v>
      </c>
      <c r="F9367" t="s">
        <v>33376</v>
      </c>
      <c r="G9367" s="1">
        <v>40928</v>
      </c>
      <c r="J9367" t="s">
        <v>44453</v>
      </c>
      <c r="K9367" t="s">
        <v>263</v>
      </c>
      <c r="M9367">
        <v>305.8</v>
      </c>
      <c r="O9367" t="s">
        <v>94</v>
      </c>
      <c r="P9367">
        <v>42</v>
      </c>
      <c r="Q9367">
        <v>52.5</v>
      </c>
      <c r="R9367">
        <v>42</v>
      </c>
      <c r="S9367">
        <v>63</v>
      </c>
      <c r="T9367" t="s">
        <v>44650</v>
      </c>
    </row>
    <row r="9368" spans="1:20">
      <c r="A9368">
        <v>4796507</v>
      </c>
      <c r="B9368" t="s">
        <v>44651</v>
      </c>
      <c r="C9368" t="str">
        <f>"9782760532243"</f>
        <v>9782760532243</v>
      </c>
      <c r="D9368" t="str">
        <f>"9782760532250"</f>
        <v>9782760532250</v>
      </c>
      <c r="E9368" t="s">
        <v>43423</v>
      </c>
      <c r="F9368" t="s">
        <v>33376</v>
      </c>
      <c r="G9368" s="1">
        <v>36526</v>
      </c>
      <c r="J9368" t="s">
        <v>44652</v>
      </c>
      <c r="K9368" t="s">
        <v>257</v>
      </c>
      <c r="M9368" t="s">
        <v>44653</v>
      </c>
      <c r="O9368" t="s">
        <v>94</v>
      </c>
      <c r="P9368">
        <v>34</v>
      </c>
      <c r="Q9368">
        <v>42.5</v>
      </c>
      <c r="R9368">
        <v>34</v>
      </c>
      <c r="S9368">
        <v>51</v>
      </c>
      <c r="T9368" t="s">
        <v>44654</v>
      </c>
    </row>
    <row r="9369" spans="1:20">
      <c r="A9369">
        <v>4796508</v>
      </c>
      <c r="B9369" t="s">
        <v>44655</v>
      </c>
      <c r="C9369" t="str">
        <f>"9782760525351"</f>
        <v>9782760525351</v>
      </c>
      <c r="D9369" t="str">
        <f>"9782760525368"</f>
        <v>9782760525368</v>
      </c>
      <c r="E9369" t="s">
        <v>43423</v>
      </c>
      <c r="F9369" t="s">
        <v>33376</v>
      </c>
      <c r="G9369" s="1">
        <v>36526</v>
      </c>
      <c r="J9369" t="s">
        <v>44656</v>
      </c>
      <c r="K9369" t="s">
        <v>3230</v>
      </c>
      <c r="M9369">
        <v>910.91099999999994</v>
      </c>
      <c r="O9369" t="s">
        <v>26</v>
      </c>
      <c r="P9369">
        <v>45</v>
      </c>
      <c r="Q9369">
        <v>56.25</v>
      </c>
      <c r="R9369">
        <v>45</v>
      </c>
      <c r="S9369">
        <v>67.5</v>
      </c>
      <c r="T9369" t="s">
        <v>44657</v>
      </c>
    </row>
    <row r="9370" spans="1:20">
      <c r="A9370">
        <v>4796509</v>
      </c>
      <c r="B9370" t="s">
        <v>44658</v>
      </c>
      <c r="C9370" t="str">
        <f>"9782760532991"</f>
        <v>9782760532991</v>
      </c>
      <c r="D9370" t="str">
        <f>"9782760533004"</f>
        <v>9782760533004</v>
      </c>
      <c r="E9370" t="s">
        <v>43423</v>
      </c>
      <c r="F9370" t="s">
        <v>33376</v>
      </c>
      <c r="G9370" s="1">
        <v>40963</v>
      </c>
      <c r="J9370" t="s">
        <v>44659</v>
      </c>
      <c r="K9370" t="s">
        <v>1464</v>
      </c>
      <c r="M9370">
        <v>843.91399999999999</v>
      </c>
      <c r="O9370" t="s">
        <v>94</v>
      </c>
      <c r="P9370">
        <v>20</v>
      </c>
      <c r="Q9370">
        <v>25</v>
      </c>
      <c r="R9370">
        <v>20</v>
      </c>
      <c r="S9370">
        <v>30</v>
      </c>
      <c r="T9370" t="s">
        <v>44660</v>
      </c>
    </row>
    <row r="9371" spans="1:20">
      <c r="A9371">
        <v>4796511</v>
      </c>
      <c r="B9371" t="s">
        <v>44661</v>
      </c>
      <c r="C9371" t="str">
        <f>"9782760531734"</f>
        <v>9782760531734</v>
      </c>
      <c r="D9371" t="str">
        <f>"9782760531741"</f>
        <v>9782760531741</v>
      </c>
      <c r="E9371" t="s">
        <v>43423</v>
      </c>
      <c r="F9371" t="s">
        <v>33376</v>
      </c>
      <c r="G9371" s="1">
        <v>36526</v>
      </c>
      <c r="J9371" t="s">
        <v>44662</v>
      </c>
      <c r="K9371" t="s">
        <v>695</v>
      </c>
      <c r="M9371">
        <v>333.7</v>
      </c>
      <c r="O9371" t="s">
        <v>94</v>
      </c>
      <c r="P9371">
        <v>16</v>
      </c>
      <c r="Q9371">
        <v>20</v>
      </c>
      <c r="R9371">
        <v>16</v>
      </c>
      <c r="S9371">
        <v>24</v>
      </c>
      <c r="T9371" t="s">
        <v>44663</v>
      </c>
    </row>
    <row r="9372" spans="1:20">
      <c r="A9372">
        <v>4796512</v>
      </c>
      <c r="B9372" t="s">
        <v>44664</v>
      </c>
      <c r="C9372" t="str">
        <f>"9782760531857"</f>
        <v>9782760531857</v>
      </c>
      <c r="D9372" t="str">
        <f>"9782760531864"</f>
        <v>9782760531864</v>
      </c>
      <c r="E9372" t="s">
        <v>43423</v>
      </c>
      <c r="F9372" t="s">
        <v>33376</v>
      </c>
      <c r="G9372" s="1">
        <v>36526</v>
      </c>
      <c r="J9372" t="s">
        <v>44665</v>
      </c>
      <c r="K9372" t="s">
        <v>263</v>
      </c>
      <c r="M9372" t="s">
        <v>44666</v>
      </c>
      <c r="O9372" t="s">
        <v>94</v>
      </c>
      <c r="P9372">
        <v>28</v>
      </c>
      <c r="Q9372">
        <v>35</v>
      </c>
      <c r="R9372">
        <v>28</v>
      </c>
      <c r="S9372">
        <v>42</v>
      </c>
      <c r="T9372" t="s">
        <v>44667</v>
      </c>
    </row>
    <row r="9373" spans="1:20">
      <c r="A9373">
        <v>4796513</v>
      </c>
      <c r="B9373" t="s">
        <v>44668</v>
      </c>
      <c r="C9373" t="str">
        <f>"9782760530751"</f>
        <v>9782760530751</v>
      </c>
      <c r="D9373" t="str">
        <f>"9782760530768"</f>
        <v>9782760530768</v>
      </c>
      <c r="E9373" t="s">
        <v>43423</v>
      </c>
      <c r="F9373" t="s">
        <v>33376</v>
      </c>
      <c r="G9373" s="1">
        <v>36526</v>
      </c>
      <c r="J9373" t="s">
        <v>44669</v>
      </c>
      <c r="K9373" t="s">
        <v>291</v>
      </c>
      <c r="M9373">
        <v>973.93209200000001</v>
      </c>
      <c r="O9373" t="s">
        <v>94</v>
      </c>
      <c r="P9373">
        <v>29</v>
      </c>
      <c r="Q9373">
        <v>36.25</v>
      </c>
      <c r="R9373">
        <v>29</v>
      </c>
      <c r="S9373">
        <v>43.5</v>
      </c>
      <c r="T9373" t="s">
        <v>44670</v>
      </c>
    </row>
    <row r="9374" spans="1:20">
      <c r="A9374">
        <v>4796514</v>
      </c>
      <c r="B9374" t="s">
        <v>44671</v>
      </c>
      <c r="C9374" t="str">
        <f>"9782760531703"</f>
        <v>9782760531703</v>
      </c>
      <c r="D9374" t="str">
        <f>"9782760531710"</f>
        <v>9782760531710</v>
      </c>
      <c r="E9374" t="s">
        <v>43423</v>
      </c>
      <c r="F9374" t="s">
        <v>33376</v>
      </c>
      <c r="G9374" s="1">
        <v>36526</v>
      </c>
      <c r="J9374" t="s">
        <v>44672</v>
      </c>
      <c r="K9374" t="s">
        <v>257</v>
      </c>
      <c r="M9374" t="s">
        <v>44537</v>
      </c>
      <c r="O9374" t="s">
        <v>94</v>
      </c>
      <c r="P9374">
        <v>28</v>
      </c>
      <c r="Q9374">
        <v>35</v>
      </c>
      <c r="R9374">
        <v>28</v>
      </c>
      <c r="S9374">
        <v>42</v>
      </c>
      <c r="T9374" t="s">
        <v>44673</v>
      </c>
    </row>
    <row r="9375" spans="1:20">
      <c r="A9375">
        <v>4796516</v>
      </c>
      <c r="B9375" t="s">
        <v>44674</v>
      </c>
      <c r="C9375" t="str">
        <f>"9782760532090"</f>
        <v>9782760532090</v>
      </c>
      <c r="D9375" t="str">
        <f>"9782760532106"</f>
        <v>9782760532106</v>
      </c>
      <c r="E9375" t="s">
        <v>43423</v>
      </c>
      <c r="F9375" t="s">
        <v>33376</v>
      </c>
      <c r="G9375" s="1">
        <v>40928</v>
      </c>
      <c r="J9375" t="s">
        <v>44675</v>
      </c>
      <c r="K9375" t="s">
        <v>12285</v>
      </c>
      <c r="M9375">
        <v>510.71</v>
      </c>
      <c r="O9375" t="s">
        <v>94</v>
      </c>
      <c r="P9375">
        <v>34</v>
      </c>
      <c r="Q9375">
        <v>42.5</v>
      </c>
      <c r="R9375">
        <v>34</v>
      </c>
      <c r="S9375">
        <v>51</v>
      </c>
      <c r="T9375" t="s">
        <v>44676</v>
      </c>
    </row>
    <row r="9376" spans="1:20">
      <c r="A9376">
        <v>4796517</v>
      </c>
      <c r="B9376" t="s">
        <v>44677</v>
      </c>
      <c r="C9376" t="str">
        <f>"9782760532397"</f>
        <v>9782760532397</v>
      </c>
      <c r="D9376" t="str">
        <f>"9782760532403"</f>
        <v>9782760532403</v>
      </c>
      <c r="E9376" t="s">
        <v>33376</v>
      </c>
      <c r="F9376" t="s">
        <v>43423</v>
      </c>
      <c r="G9376" s="1">
        <v>40893</v>
      </c>
      <c r="J9376" t="s">
        <v>44678</v>
      </c>
      <c r="K9376" t="s">
        <v>695</v>
      </c>
      <c r="M9376">
        <v>333.91</v>
      </c>
      <c r="O9376" t="s">
        <v>94</v>
      </c>
      <c r="P9376">
        <v>20</v>
      </c>
      <c r="Q9376">
        <v>25</v>
      </c>
      <c r="R9376">
        <v>20</v>
      </c>
      <c r="S9376">
        <v>30</v>
      </c>
      <c r="T9376" t="s">
        <v>44679</v>
      </c>
    </row>
    <row r="9377" spans="1:20">
      <c r="A9377">
        <v>4796521</v>
      </c>
      <c r="B9377" t="s">
        <v>44680</v>
      </c>
      <c r="C9377" t="str">
        <f>"9782760531765"</f>
        <v>9782760531765</v>
      </c>
      <c r="D9377" t="str">
        <f>"9782760531772"</f>
        <v>9782760531772</v>
      </c>
      <c r="E9377" t="s">
        <v>43423</v>
      </c>
      <c r="F9377" t="s">
        <v>43423</v>
      </c>
      <c r="G9377" s="1">
        <v>40963</v>
      </c>
      <c r="J9377" t="s">
        <v>44681</v>
      </c>
      <c r="K9377" t="s">
        <v>1892</v>
      </c>
      <c r="M9377">
        <v>204.40860000000001</v>
      </c>
      <c r="O9377" t="s">
        <v>94</v>
      </c>
      <c r="P9377">
        <v>40</v>
      </c>
      <c r="Q9377">
        <v>50</v>
      </c>
      <c r="R9377">
        <v>40</v>
      </c>
      <c r="S9377">
        <v>60</v>
      </c>
      <c r="T9377" t="s">
        <v>44682</v>
      </c>
    </row>
    <row r="9378" spans="1:20">
      <c r="A9378">
        <v>4796522</v>
      </c>
      <c r="B9378" t="s">
        <v>44683</v>
      </c>
      <c r="C9378" t="str">
        <f>"9782760533547"</f>
        <v>9782760533547</v>
      </c>
      <c r="D9378" t="str">
        <f>"9782760533554"</f>
        <v>9782760533554</v>
      </c>
      <c r="E9378" t="s">
        <v>43423</v>
      </c>
      <c r="F9378" t="s">
        <v>43423</v>
      </c>
      <c r="G9378" s="1">
        <v>36526</v>
      </c>
      <c r="J9378" t="s">
        <v>44684</v>
      </c>
      <c r="K9378" t="s">
        <v>305</v>
      </c>
      <c r="M9378">
        <v>658.3</v>
      </c>
      <c r="O9378" t="s">
        <v>94</v>
      </c>
      <c r="P9378">
        <v>27</v>
      </c>
      <c r="Q9378">
        <v>33.75</v>
      </c>
      <c r="R9378">
        <v>27</v>
      </c>
      <c r="S9378">
        <v>40.5</v>
      </c>
      <c r="T9378" t="s">
        <v>44685</v>
      </c>
    </row>
    <row r="9379" spans="1:20">
      <c r="A9379">
        <v>4796523</v>
      </c>
      <c r="B9379" t="s">
        <v>44686</v>
      </c>
      <c r="C9379" t="str">
        <f>"9782760530942"</f>
        <v>9782760530942</v>
      </c>
      <c r="D9379" t="str">
        <f>"9782760530959"</f>
        <v>9782760530959</v>
      </c>
      <c r="E9379" t="s">
        <v>43423</v>
      </c>
      <c r="F9379" t="s">
        <v>43423</v>
      </c>
      <c r="G9379" s="1">
        <v>36526</v>
      </c>
      <c r="J9379" t="s">
        <v>44687</v>
      </c>
      <c r="K9379" t="s">
        <v>257</v>
      </c>
      <c r="M9379" t="s">
        <v>44688</v>
      </c>
      <c r="O9379" t="s">
        <v>94</v>
      </c>
      <c r="P9379">
        <v>16</v>
      </c>
      <c r="Q9379">
        <v>20</v>
      </c>
      <c r="R9379">
        <v>16</v>
      </c>
      <c r="S9379">
        <v>24</v>
      </c>
      <c r="T9379" t="s">
        <v>44689</v>
      </c>
    </row>
    <row r="9380" spans="1:20">
      <c r="A9380">
        <v>4796526</v>
      </c>
      <c r="B9380" t="s">
        <v>44690</v>
      </c>
      <c r="C9380" t="str">
        <f>"9782760533424"</f>
        <v>9782760533424</v>
      </c>
      <c r="D9380" t="str">
        <f>"9782760533431"</f>
        <v>9782760533431</v>
      </c>
      <c r="E9380" t="s">
        <v>43423</v>
      </c>
      <c r="F9380" t="s">
        <v>43423</v>
      </c>
      <c r="G9380" s="1">
        <v>40996</v>
      </c>
      <c r="J9380" t="s">
        <v>44691</v>
      </c>
      <c r="K9380" t="s">
        <v>257</v>
      </c>
      <c r="M9380">
        <v>372.6</v>
      </c>
      <c r="O9380" t="s">
        <v>94</v>
      </c>
      <c r="P9380">
        <v>28</v>
      </c>
      <c r="Q9380">
        <v>35</v>
      </c>
      <c r="R9380">
        <v>28</v>
      </c>
      <c r="S9380">
        <v>42</v>
      </c>
      <c r="T9380" t="s">
        <v>44692</v>
      </c>
    </row>
    <row r="9381" spans="1:20">
      <c r="A9381">
        <v>4796528</v>
      </c>
      <c r="B9381" t="s">
        <v>44693</v>
      </c>
      <c r="C9381" t="str">
        <f>"9782763791760"</f>
        <v>9782763791760</v>
      </c>
      <c r="D9381" t="str">
        <f>"9782763791777"</f>
        <v>9782763791777</v>
      </c>
      <c r="E9381" t="s">
        <v>43877</v>
      </c>
      <c r="F9381" t="s">
        <v>43877</v>
      </c>
      <c r="G9381" s="1">
        <v>41109</v>
      </c>
      <c r="I9381" t="s">
        <v>44694</v>
      </c>
      <c r="J9381" t="s">
        <v>44695</v>
      </c>
      <c r="K9381" t="s">
        <v>525</v>
      </c>
      <c r="M9381">
        <v>342</v>
      </c>
      <c r="O9381" t="s">
        <v>94</v>
      </c>
      <c r="P9381">
        <v>49</v>
      </c>
      <c r="Q9381">
        <v>61.25</v>
      </c>
      <c r="R9381">
        <v>49</v>
      </c>
      <c r="S9381">
        <v>73.5</v>
      </c>
      <c r="T9381" t="s">
        <v>44696</v>
      </c>
    </row>
    <row r="9382" spans="1:20">
      <c r="A9382">
        <v>4796533</v>
      </c>
      <c r="B9382" t="s">
        <v>44697</v>
      </c>
      <c r="C9382" t="str">
        <f>"9782763791111"</f>
        <v>9782763791111</v>
      </c>
      <c r="D9382" t="str">
        <f>"9782763711119"</f>
        <v>9782763711119</v>
      </c>
      <c r="E9382" t="s">
        <v>43877</v>
      </c>
      <c r="F9382" t="s">
        <v>43877</v>
      </c>
      <c r="G9382" s="1">
        <v>41103</v>
      </c>
      <c r="I9382" t="s">
        <v>43283</v>
      </c>
      <c r="J9382" t="s">
        <v>44698</v>
      </c>
      <c r="K9382" t="s">
        <v>291</v>
      </c>
      <c r="M9382">
        <v>971</v>
      </c>
      <c r="O9382" t="s">
        <v>94</v>
      </c>
      <c r="P9382">
        <v>49.95</v>
      </c>
      <c r="Q9382">
        <v>62.44</v>
      </c>
      <c r="R9382">
        <v>49.95</v>
      </c>
      <c r="S9382">
        <v>74.930000000000007</v>
      </c>
      <c r="T9382" t="s">
        <v>44699</v>
      </c>
    </row>
    <row r="9383" spans="1:20">
      <c r="A9383">
        <v>4796534</v>
      </c>
      <c r="B9383" t="s">
        <v>44700</v>
      </c>
      <c r="C9383" t="str">
        <f>"9782763795454"</f>
        <v>9782763795454</v>
      </c>
      <c r="D9383" t="str">
        <f>"9782763795461"</f>
        <v>9782763795461</v>
      </c>
      <c r="E9383" t="s">
        <v>43877</v>
      </c>
      <c r="F9383" t="s">
        <v>43877</v>
      </c>
      <c r="G9383" s="1">
        <v>41108</v>
      </c>
      <c r="I9383" t="s">
        <v>44037</v>
      </c>
      <c r="J9383" t="s">
        <v>44701</v>
      </c>
      <c r="K9383" t="s">
        <v>263</v>
      </c>
      <c r="M9383">
        <v>304.8</v>
      </c>
      <c r="O9383" t="s">
        <v>94</v>
      </c>
      <c r="P9383">
        <v>34.950000000000003</v>
      </c>
      <c r="Q9383">
        <v>43.69</v>
      </c>
      <c r="R9383">
        <v>34.950000000000003</v>
      </c>
      <c r="S9383">
        <v>52.43</v>
      </c>
      <c r="T9383" t="s">
        <v>44702</v>
      </c>
    </row>
    <row r="9384" spans="1:20">
      <c r="A9384">
        <v>4796535</v>
      </c>
      <c r="B9384" t="s">
        <v>44703</v>
      </c>
      <c r="C9384" t="str">
        <f>"9782763794136"</f>
        <v>9782763794136</v>
      </c>
      <c r="D9384" t="str">
        <f>"9782763794143"</f>
        <v>9782763794143</v>
      </c>
      <c r="E9384" t="s">
        <v>43877</v>
      </c>
      <c r="F9384" t="s">
        <v>43877</v>
      </c>
      <c r="G9384" s="1">
        <v>41103</v>
      </c>
      <c r="I9384" t="s">
        <v>43283</v>
      </c>
      <c r="J9384" t="s">
        <v>44704</v>
      </c>
      <c r="K9384" t="s">
        <v>257</v>
      </c>
      <c r="M9384">
        <v>371.14121999999998</v>
      </c>
      <c r="O9384" t="s">
        <v>94</v>
      </c>
      <c r="P9384">
        <v>15</v>
      </c>
      <c r="Q9384">
        <v>18.75</v>
      </c>
      <c r="R9384">
        <v>15</v>
      </c>
      <c r="S9384">
        <v>22.5</v>
      </c>
      <c r="T9384" t="s">
        <v>44705</v>
      </c>
    </row>
    <row r="9385" spans="1:20">
      <c r="A9385">
        <v>4796538</v>
      </c>
      <c r="B9385" t="s">
        <v>44706</v>
      </c>
      <c r="C9385" t="str">
        <f>"9782763798547"</f>
        <v>9782763798547</v>
      </c>
      <c r="D9385" t="str">
        <f>"9782763798554"</f>
        <v>9782763798554</v>
      </c>
      <c r="E9385" t="s">
        <v>43877</v>
      </c>
      <c r="F9385" t="s">
        <v>43877</v>
      </c>
      <c r="G9385" s="1">
        <v>41103</v>
      </c>
      <c r="I9385" t="s">
        <v>43283</v>
      </c>
      <c r="J9385" t="s">
        <v>44707</v>
      </c>
      <c r="K9385" t="s">
        <v>1127</v>
      </c>
      <c r="M9385">
        <v>155.6713</v>
      </c>
      <c r="O9385" t="s">
        <v>94</v>
      </c>
      <c r="P9385">
        <v>40</v>
      </c>
      <c r="Q9385">
        <v>50</v>
      </c>
      <c r="R9385">
        <v>40</v>
      </c>
      <c r="S9385">
        <v>60</v>
      </c>
      <c r="T9385" t="s">
        <v>44708</v>
      </c>
    </row>
    <row r="9386" spans="1:20">
      <c r="A9386">
        <v>4796542</v>
      </c>
      <c r="B9386" t="s">
        <v>44709</v>
      </c>
      <c r="C9386" t="str">
        <f>"9782763797342"</f>
        <v>9782763797342</v>
      </c>
      <c r="D9386" t="str">
        <f>"9782763797359"</f>
        <v>9782763797359</v>
      </c>
      <c r="E9386" t="s">
        <v>43877</v>
      </c>
      <c r="F9386" t="s">
        <v>43877</v>
      </c>
      <c r="G9386" s="1">
        <v>41103</v>
      </c>
      <c r="I9386" t="s">
        <v>43283</v>
      </c>
      <c r="J9386" t="s">
        <v>44710</v>
      </c>
      <c r="K9386" t="s">
        <v>467</v>
      </c>
      <c r="M9386">
        <v>324.27100000000002</v>
      </c>
      <c r="O9386" t="s">
        <v>94</v>
      </c>
      <c r="P9386">
        <v>32.950000000000003</v>
      </c>
      <c r="Q9386">
        <v>41.19</v>
      </c>
      <c r="R9386">
        <v>32.950000000000003</v>
      </c>
      <c r="S9386">
        <v>49.43</v>
      </c>
      <c r="T9386" t="s">
        <v>44711</v>
      </c>
    </row>
    <row r="9387" spans="1:20">
      <c r="A9387">
        <v>4796543</v>
      </c>
      <c r="B9387" t="s">
        <v>44712</v>
      </c>
      <c r="C9387" t="str">
        <f>"9782763795546"</f>
        <v>9782763795546</v>
      </c>
      <c r="D9387" t="str">
        <f>"9782763795553"</f>
        <v>9782763795553</v>
      </c>
      <c r="E9387" t="s">
        <v>43877</v>
      </c>
      <c r="F9387" t="s">
        <v>43877</v>
      </c>
      <c r="G9387" s="1">
        <v>41103</v>
      </c>
      <c r="I9387" t="s">
        <v>44197</v>
      </c>
      <c r="J9387" t="s">
        <v>44713</v>
      </c>
      <c r="K9387" t="s">
        <v>263</v>
      </c>
      <c r="M9387">
        <v>304.2</v>
      </c>
      <c r="O9387" t="s">
        <v>94</v>
      </c>
      <c r="P9387">
        <v>50</v>
      </c>
      <c r="Q9387">
        <v>62.5</v>
      </c>
      <c r="R9387">
        <v>50</v>
      </c>
      <c r="S9387">
        <v>75</v>
      </c>
      <c r="T9387" t="s">
        <v>44714</v>
      </c>
    </row>
    <row r="9388" spans="1:20">
      <c r="A9388">
        <v>4796544</v>
      </c>
      <c r="B9388" t="s">
        <v>44715</v>
      </c>
      <c r="C9388" t="str">
        <f>"9782763791227"</f>
        <v>9782763791227</v>
      </c>
      <c r="D9388" t="str">
        <f>"9782763711218"</f>
        <v>9782763711218</v>
      </c>
      <c r="E9388" t="s">
        <v>43877</v>
      </c>
      <c r="F9388" t="s">
        <v>43877</v>
      </c>
      <c r="G9388" s="1">
        <v>41103</v>
      </c>
      <c r="I9388" t="s">
        <v>43947</v>
      </c>
      <c r="J9388" t="s">
        <v>44716</v>
      </c>
      <c r="K9388" t="s">
        <v>376</v>
      </c>
      <c r="M9388">
        <v>362.29</v>
      </c>
      <c r="O9388" t="s">
        <v>94</v>
      </c>
      <c r="P9388">
        <v>40</v>
      </c>
      <c r="Q9388">
        <v>50</v>
      </c>
      <c r="R9388">
        <v>40</v>
      </c>
      <c r="S9388">
        <v>60</v>
      </c>
      <c r="T9388" t="s">
        <v>44717</v>
      </c>
    </row>
    <row r="9389" spans="1:20">
      <c r="A9389">
        <v>4796547</v>
      </c>
      <c r="B9389" t="s">
        <v>44718</v>
      </c>
      <c r="C9389" t="str">
        <f>"9782763794105"</f>
        <v>9782763794105</v>
      </c>
      <c r="D9389" t="str">
        <f>"9782763794112"</f>
        <v>9782763794112</v>
      </c>
      <c r="E9389" t="s">
        <v>43877</v>
      </c>
      <c r="F9389" t="s">
        <v>43877</v>
      </c>
      <c r="G9389" s="1">
        <v>41103</v>
      </c>
      <c r="I9389" t="s">
        <v>43283</v>
      </c>
      <c r="J9389" t="s">
        <v>44719</v>
      </c>
      <c r="K9389" t="s">
        <v>3230</v>
      </c>
      <c r="M9389">
        <v>917.10400000000004</v>
      </c>
      <c r="O9389" t="s">
        <v>94</v>
      </c>
      <c r="P9389">
        <v>49.95</v>
      </c>
      <c r="Q9389">
        <v>62.44</v>
      </c>
      <c r="R9389">
        <v>49.95</v>
      </c>
      <c r="S9389">
        <v>74.930000000000007</v>
      </c>
      <c r="T9389" t="s">
        <v>44720</v>
      </c>
    </row>
    <row r="9390" spans="1:20">
      <c r="A9390">
        <v>4796552</v>
      </c>
      <c r="B9390" t="s">
        <v>44721</v>
      </c>
      <c r="C9390" t="str">
        <f>"9782763796352"</f>
        <v>9782763796352</v>
      </c>
      <c r="D9390" t="str">
        <f>"9782763796369"</f>
        <v>9782763796369</v>
      </c>
      <c r="E9390" t="s">
        <v>43877</v>
      </c>
      <c r="F9390" t="s">
        <v>43877</v>
      </c>
      <c r="G9390" s="1">
        <v>41103</v>
      </c>
      <c r="I9390" t="s">
        <v>44269</v>
      </c>
      <c r="J9390" t="s">
        <v>44722</v>
      </c>
      <c r="K9390" t="s">
        <v>1471</v>
      </c>
      <c r="M9390">
        <v>709</v>
      </c>
      <c r="O9390" t="s">
        <v>94</v>
      </c>
      <c r="P9390">
        <v>24.95</v>
      </c>
      <c r="Q9390">
        <v>31.19</v>
      </c>
      <c r="R9390">
        <v>24.95</v>
      </c>
      <c r="S9390">
        <v>37.43</v>
      </c>
      <c r="T9390" t="s">
        <v>44723</v>
      </c>
    </row>
    <row r="9391" spans="1:20">
      <c r="A9391">
        <v>4796553</v>
      </c>
      <c r="B9391" t="s">
        <v>44724</v>
      </c>
      <c r="C9391" t="str">
        <f>"9782763788142"</f>
        <v>9782763788142</v>
      </c>
      <c r="D9391" t="str">
        <f>"9782763708140"</f>
        <v>9782763708140</v>
      </c>
      <c r="E9391" t="s">
        <v>43877</v>
      </c>
      <c r="F9391" t="s">
        <v>43877</v>
      </c>
      <c r="G9391" s="1">
        <v>41099</v>
      </c>
      <c r="I9391" t="s">
        <v>44725</v>
      </c>
      <c r="J9391" t="s">
        <v>17969</v>
      </c>
      <c r="K9391" t="s">
        <v>291</v>
      </c>
      <c r="M9391">
        <v>971</v>
      </c>
      <c r="O9391" t="s">
        <v>94</v>
      </c>
      <c r="P9391">
        <v>44.95</v>
      </c>
      <c r="Q9391">
        <v>56.19</v>
      </c>
      <c r="R9391">
        <v>44.95</v>
      </c>
      <c r="S9391">
        <v>67.430000000000007</v>
      </c>
      <c r="T9391" t="s">
        <v>44726</v>
      </c>
    </row>
    <row r="9392" spans="1:20">
      <c r="A9392">
        <v>4796554</v>
      </c>
      <c r="B9392" t="s">
        <v>44727</v>
      </c>
      <c r="C9392" t="str">
        <f>"9782763798158"</f>
        <v>9782763798158</v>
      </c>
      <c r="D9392" t="str">
        <f>"9782763798165"</f>
        <v>9782763798165</v>
      </c>
      <c r="E9392" t="s">
        <v>43877</v>
      </c>
      <c r="F9392" t="s">
        <v>43877</v>
      </c>
      <c r="G9392" s="1">
        <v>41103</v>
      </c>
      <c r="I9392" t="s">
        <v>43283</v>
      </c>
      <c r="J9392" t="s">
        <v>44728</v>
      </c>
      <c r="K9392" t="s">
        <v>291</v>
      </c>
      <c r="M9392">
        <v>970.00400000000002</v>
      </c>
      <c r="O9392" t="s">
        <v>94</v>
      </c>
      <c r="P9392">
        <v>35</v>
      </c>
      <c r="Q9392">
        <v>43.75</v>
      </c>
      <c r="R9392">
        <v>35</v>
      </c>
      <c r="S9392">
        <v>52.5</v>
      </c>
      <c r="T9392" t="s">
        <v>44729</v>
      </c>
    </row>
    <row r="9393" spans="1:20">
      <c r="A9393">
        <v>4796558</v>
      </c>
      <c r="B9393" t="s">
        <v>44730</v>
      </c>
      <c r="C9393" t="str">
        <f>"9782760622807"</f>
        <v>9782760622807</v>
      </c>
      <c r="D9393" t="str">
        <f>"9782760627284"</f>
        <v>9782760627284</v>
      </c>
      <c r="E9393" t="s">
        <v>42231</v>
      </c>
      <c r="F9393" t="s">
        <v>42231</v>
      </c>
      <c r="G9393" s="1">
        <v>36526</v>
      </c>
      <c r="J9393" t="s">
        <v>44731</v>
      </c>
      <c r="K9393" t="s">
        <v>1150</v>
      </c>
      <c r="M9393" t="s">
        <v>44732</v>
      </c>
      <c r="O9393" t="s">
        <v>94</v>
      </c>
      <c r="P9393">
        <v>12.99</v>
      </c>
      <c r="Q9393">
        <v>16.239999999999998</v>
      </c>
      <c r="R9393">
        <v>12.99</v>
      </c>
      <c r="S9393">
        <v>19.489999999999998</v>
      </c>
      <c r="T9393" t="s">
        <v>44733</v>
      </c>
    </row>
    <row r="9394" spans="1:20">
      <c r="A9394">
        <v>4796559</v>
      </c>
      <c r="B9394" t="s">
        <v>44734</v>
      </c>
      <c r="C9394" t="str">
        <f>"9782763794884"</f>
        <v>9782763794884</v>
      </c>
      <c r="D9394" t="str">
        <f>"9782763794891"</f>
        <v>9782763794891</v>
      </c>
      <c r="E9394" t="s">
        <v>43877</v>
      </c>
      <c r="F9394" t="s">
        <v>43877</v>
      </c>
      <c r="G9394" s="1">
        <v>41108</v>
      </c>
      <c r="I9394" t="s">
        <v>44163</v>
      </c>
      <c r="J9394" t="s">
        <v>44735</v>
      </c>
      <c r="K9394" t="s">
        <v>291</v>
      </c>
      <c r="M9394">
        <v>971.03800000000001</v>
      </c>
      <c r="O9394" t="s">
        <v>94</v>
      </c>
      <c r="P9394">
        <v>24.95</v>
      </c>
      <c r="Q9394">
        <v>31.19</v>
      </c>
      <c r="R9394">
        <v>24.95</v>
      </c>
      <c r="S9394">
        <v>37.43</v>
      </c>
      <c r="T9394" t="s">
        <v>44736</v>
      </c>
    </row>
    <row r="9395" spans="1:20">
      <c r="A9395">
        <v>4796560</v>
      </c>
      <c r="B9395" t="s">
        <v>44737</v>
      </c>
      <c r="C9395" t="str">
        <f>"9782763792668"</f>
        <v>9782763792668</v>
      </c>
      <c r="D9395" t="str">
        <f>"9782763792675"</f>
        <v>9782763792675</v>
      </c>
      <c r="E9395" t="s">
        <v>43877</v>
      </c>
      <c r="F9395" t="s">
        <v>43877</v>
      </c>
      <c r="G9395" s="1">
        <v>41103</v>
      </c>
      <c r="I9395" t="s">
        <v>43973</v>
      </c>
      <c r="J9395" t="s">
        <v>44738</v>
      </c>
      <c r="K9395" t="s">
        <v>31967</v>
      </c>
      <c r="M9395">
        <v>331.34</v>
      </c>
      <c r="O9395" t="s">
        <v>94</v>
      </c>
      <c r="P9395">
        <v>34.950000000000003</v>
      </c>
      <c r="Q9395">
        <v>43.69</v>
      </c>
      <c r="R9395">
        <v>34.950000000000003</v>
      </c>
      <c r="S9395">
        <v>52.43</v>
      </c>
      <c r="T9395" t="s">
        <v>44739</v>
      </c>
    </row>
    <row r="9396" spans="1:20">
      <c r="A9396">
        <v>4796561</v>
      </c>
      <c r="B9396" t="s">
        <v>44740</v>
      </c>
      <c r="C9396" t="str">
        <f>"9782763797977"</f>
        <v>9782763797977</v>
      </c>
      <c r="D9396" t="str">
        <f>"9782763797984"</f>
        <v>9782763797984</v>
      </c>
      <c r="E9396" t="s">
        <v>43877</v>
      </c>
      <c r="F9396" t="s">
        <v>43877</v>
      </c>
      <c r="G9396" s="1">
        <v>41103</v>
      </c>
      <c r="I9396" t="s">
        <v>43283</v>
      </c>
      <c r="J9396" t="s">
        <v>44741</v>
      </c>
      <c r="K9396" t="s">
        <v>1150</v>
      </c>
      <c r="M9396">
        <v>796.96199999999999</v>
      </c>
      <c r="O9396" t="s">
        <v>94</v>
      </c>
      <c r="P9396">
        <v>29.95</v>
      </c>
      <c r="Q9396">
        <v>37.44</v>
      </c>
      <c r="R9396">
        <v>29.95</v>
      </c>
      <c r="S9396">
        <v>44.93</v>
      </c>
      <c r="T9396" t="s">
        <v>44742</v>
      </c>
    </row>
    <row r="9397" spans="1:20">
      <c r="A9397">
        <v>4796562</v>
      </c>
      <c r="B9397" t="s">
        <v>44743</v>
      </c>
      <c r="C9397" t="str">
        <f>"9782763798332"</f>
        <v>9782763798332</v>
      </c>
      <c r="D9397" t="str">
        <f>"9782763798349"</f>
        <v>9782763798349</v>
      </c>
      <c r="E9397" t="s">
        <v>43877</v>
      </c>
      <c r="F9397" t="s">
        <v>43877</v>
      </c>
      <c r="G9397" s="1">
        <v>41103</v>
      </c>
      <c r="I9397" t="s">
        <v>44224</v>
      </c>
      <c r="J9397" t="s">
        <v>44744</v>
      </c>
      <c r="K9397" t="s">
        <v>291</v>
      </c>
      <c r="M9397">
        <v>944.03399999999999</v>
      </c>
      <c r="O9397" t="s">
        <v>94</v>
      </c>
      <c r="P9397">
        <v>15</v>
      </c>
      <c r="Q9397">
        <v>18.75</v>
      </c>
      <c r="R9397">
        <v>15</v>
      </c>
      <c r="S9397">
        <v>22.5</v>
      </c>
      <c r="T9397" t="s">
        <v>44745</v>
      </c>
    </row>
    <row r="9398" spans="1:20">
      <c r="A9398">
        <v>4796563</v>
      </c>
      <c r="B9398" t="s">
        <v>44746</v>
      </c>
      <c r="C9398" t="str">
        <f>"9782763797281"</f>
        <v>9782763797281</v>
      </c>
      <c r="D9398" t="str">
        <f>"9782763797298"</f>
        <v>9782763797298</v>
      </c>
      <c r="E9398" t="s">
        <v>43877</v>
      </c>
      <c r="F9398" t="s">
        <v>43877</v>
      </c>
      <c r="G9398" s="1">
        <v>41103</v>
      </c>
      <c r="I9398" t="s">
        <v>43283</v>
      </c>
      <c r="J9398" t="s">
        <v>44747</v>
      </c>
      <c r="K9398" t="s">
        <v>257</v>
      </c>
      <c r="M9398">
        <v>378</v>
      </c>
      <c r="O9398" t="s">
        <v>94</v>
      </c>
      <c r="P9398">
        <v>20</v>
      </c>
      <c r="Q9398">
        <v>25</v>
      </c>
      <c r="R9398">
        <v>20</v>
      </c>
      <c r="S9398">
        <v>30</v>
      </c>
      <c r="T9398" t="s">
        <v>44748</v>
      </c>
    </row>
    <row r="9399" spans="1:20">
      <c r="A9399">
        <v>4796566</v>
      </c>
      <c r="B9399" t="s">
        <v>44749</v>
      </c>
      <c r="C9399" t="str">
        <f>"9782760622555"</f>
        <v>9782760622555</v>
      </c>
      <c r="D9399" t="str">
        <f>"9782760626645"</f>
        <v>9782760626645</v>
      </c>
      <c r="E9399" t="s">
        <v>42231</v>
      </c>
      <c r="F9399" t="s">
        <v>42231</v>
      </c>
      <c r="G9399" s="1">
        <v>36526</v>
      </c>
      <c r="I9399" t="s">
        <v>44750</v>
      </c>
      <c r="J9399" t="s">
        <v>44751</v>
      </c>
      <c r="K9399" t="s">
        <v>278</v>
      </c>
      <c r="M9399" t="s">
        <v>1052</v>
      </c>
      <c r="O9399" t="s">
        <v>94</v>
      </c>
      <c r="P9399">
        <v>10.99</v>
      </c>
      <c r="Q9399">
        <v>13.74</v>
      </c>
      <c r="R9399">
        <v>10.99</v>
      </c>
      <c r="S9399">
        <v>16.489999999999998</v>
      </c>
      <c r="T9399" t="s">
        <v>44752</v>
      </c>
    </row>
    <row r="9400" spans="1:20">
      <c r="A9400">
        <v>4796567</v>
      </c>
      <c r="B9400" t="s">
        <v>44753</v>
      </c>
      <c r="C9400" t="str">
        <f>"9782763795485"</f>
        <v>9782763795485</v>
      </c>
      <c r="D9400" t="str">
        <f>"9782763795492"</f>
        <v>9782763795492</v>
      </c>
      <c r="E9400" t="s">
        <v>43877</v>
      </c>
      <c r="F9400" t="s">
        <v>43877</v>
      </c>
      <c r="G9400" s="1">
        <v>41103</v>
      </c>
      <c r="I9400" t="s">
        <v>44037</v>
      </c>
      <c r="J9400" t="s">
        <v>44754</v>
      </c>
      <c r="K9400" t="s">
        <v>263</v>
      </c>
      <c r="M9400">
        <v>306</v>
      </c>
      <c r="O9400" t="s">
        <v>94</v>
      </c>
      <c r="P9400">
        <v>35</v>
      </c>
      <c r="Q9400">
        <v>43.75</v>
      </c>
      <c r="R9400">
        <v>35</v>
      </c>
      <c r="S9400">
        <v>52.5</v>
      </c>
      <c r="T9400" t="s">
        <v>44755</v>
      </c>
    </row>
    <row r="9401" spans="1:20">
      <c r="A9401">
        <v>4796568</v>
      </c>
      <c r="B9401" t="s">
        <v>44756</v>
      </c>
      <c r="C9401" t="str">
        <f>"9782760622982"</f>
        <v>9782760622982</v>
      </c>
      <c r="D9401" t="str">
        <f>"9782760627451"</f>
        <v>9782760627451</v>
      </c>
      <c r="E9401" t="s">
        <v>42231</v>
      </c>
      <c r="F9401" t="s">
        <v>42231</v>
      </c>
      <c r="G9401" s="1">
        <v>40952</v>
      </c>
      <c r="I9401" t="s">
        <v>44287</v>
      </c>
      <c r="J9401" t="s">
        <v>44757</v>
      </c>
      <c r="K9401" t="s">
        <v>4081</v>
      </c>
      <c r="M9401" t="s">
        <v>44758</v>
      </c>
      <c r="O9401" t="s">
        <v>94</v>
      </c>
      <c r="P9401">
        <v>3.99</v>
      </c>
      <c r="Q9401">
        <v>4.99</v>
      </c>
      <c r="R9401">
        <v>3.99</v>
      </c>
      <c r="S9401">
        <v>5.99</v>
      </c>
      <c r="T9401" t="s">
        <v>44759</v>
      </c>
    </row>
    <row r="9402" spans="1:20">
      <c r="A9402">
        <v>4796569</v>
      </c>
      <c r="B9402" t="s">
        <v>44760</v>
      </c>
      <c r="C9402" t="str">
        <f>"9782763795577"</f>
        <v>9782763795577</v>
      </c>
      <c r="D9402" t="str">
        <f>"9782763795584"</f>
        <v>9782763795584</v>
      </c>
      <c r="E9402" t="s">
        <v>43877</v>
      </c>
      <c r="F9402" t="s">
        <v>43877</v>
      </c>
      <c r="G9402" s="1">
        <v>41108</v>
      </c>
      <c r="I9402" t="s">
        <v>44163</v>
      </c>
      <c r="J9402" t="s">
        <v>44761</v>
      </c>
      <c r="K9402" t="s">
        <v>1892</v>
      </c>
      <c r="M9402">
        <v>282</v>
      </c>
      <c r="O9402" t="s">
        <v>94</v>
      </c>
      <c r="P9402">
        <v>35</v>
      </c>
      <c r="Q9402">
        <v>43.75</v>
      </c>
      <c r="R9402">
        <v>35</v>
      </c>
      <c r="S9402">
        <v>52.5</v>
      </c>
      <c r="T9402" t="s">
        <v>44762</v>
      </c>
    </row>
    <row r="9403" spans="1:20">
      <c r="A9403">
        <v>4796570</v>
      </c>
      <c r="B9403" t="s">
        <v>44763</v>
      </c>
      <c r="C9403" t="str">
        <f>"9782760621930"</f>
        <v>9782760621930</v>
      </c>
      <c r="D9403" t="str">
        <f>"9782760627161"</f>
        <v>9782760627161</v>
      </c>
      <c r="E9403" t="s">
        <v>42231</v>
      </c>
      <c r="F9403" t="s">
        <v>42231</v>
      </c>
      <c r="G9403" s="1">
        <v>40833</v>
      </c>
      <c r="I9403" t="s">
        <v>44287</v>
      </c>
      <c r="J9403" t="s">
        <v>44764</v>
      </c>
      <c r="K9403" t="s">
        <v>263</v>
      </c>
      <c r="M9403">
        <v>301.02300000000002</v>
      </c>
      <c r="O9403" t="s">
        <v>94</v>
      </c>
      <c r="P9403">
        <v>4.99</v>
      </c>
      <c r="Q9403">
        <v>6.24</v>
      </c>
      <c r="R9403">
        <v>4.99</v>
      </c>
      <c r="S9403">
        <v>7.49</v>
      </c>
      <c r="T9403" t="s">
        <v>44765</v>
      </c>
    </row>
    <row r="9404" spans="1:20">
      <c r="A9404">
        <v>4796571</v>
      </c>
      <c r="B9404" t="s">
        <v>44766</v>
      </c>
      <c r="C9404" t="str">
        <f>"9782763793535"</f>
        <v>9782763793535</v>
      </c>
      <c r="D9404" t="str">
        <f>"9782763793542"</f>
        <v>9782763793542</v>
      </c>
      <c r="E9404" t="s">
        <v>43877</v>
      </c>
      <c r="F9404" t="s">
        <v>43877</v>
      </c>
      <c r="G9404" s="1">
        <v>41103</v>
      </c>
      <c r="I9404" t="s">
        <v>44145</v>
      </c>
      <c r="J9404" t="s">
        <v>44767</v>
      </c>
      <c r="K9404" t="s">
        <v>291</v>
      </c>
      <c r="M9404">
        <v>971</v>
      </c>
      <c r="O9404" t="s">
        <v>94</v>
      </c>
      <c r="P9404">
        <v>45</v>
      </c>
      <c r="Q9404">
        <v>56.25</v>
      </c>
      <c r="R9404">
        <v>45</v>
      </c>
      <c r="S9404">
        <v>67.5</v>
      </c>
      <c r="T9404" t="s">
        <v>44768</v>
      </c>
    </row>
    <row r="9405" spans="1:20">
      <c r="A9405">
        <v>4796572</v>
      </c>
      <c r="B9405" t="s">
        <v>44769</v>
      </c>
      <c r="C9405" t="str">
        <f>"9782763796956"</f>
        <v>9782763796956</v>
      </c>
      <c r="D9405" t="str">
        <f>"9782763796963"</f>
        <v>9782763796963</v>
      </c>
      <c r="E9405" t="s">
        <v>43877</v>
      </c>
      <c r="F9405" t="s">
        <v>43877</v>
      </c>
      <c r="G9405" s="1">
        <v>41106</v>
      </c>
      <c r="I9405" t="s">
        <v>43283</v>
      </c>
      <c r="J9405" t="s">
        <v>44770</v>
      </c>
      <c r="K9405" t="s">
        <v>1892</v>
      </c>
      <c r="M9405">
        <v>211.6</v>
      </c>
      <c r="O9405" t="s">
        <v>94</v>
      </c>
      <c r="P9405">
        <v>19.95</v>
      </c>
      <c r="Q9405">
        <v>24.94</v>
      </c>
      <c r="R9405">
        <v>19.95</v>
      </c>
      <c r="S9405">
        <v>29.93</v>
      </c>
      <c r="T9405" t="s">
        <v>44771</v>
      </c>
    </row>
    <row r="9406" spans="1:20">
      <c r="A9406">
        <v>4796573</v>
      </c>
      <c r="B9406" t="s">
        <v>44772</v>
      </c>
      <c r="C9406" t="str">
        <f>"9782763795270"</f>
        <v>9782763795270</v>
      </c>
      <c r="D9406" t="str">
        <f>"9782763795287"</f>
        <v>9782763795287</v>
      </c>
      <c r="E9406" t="s">
        <v>43877</v>
      </c>
      <c r="F9406" t="s">
        <v>43877</v>
      </c>
      <c r="G9406" s="1">
        <v>41103</v>
      </c>
      <c r="I9406" t="s">
        <v>44773</v>
      </c>
      <c r="K9406" t="s">
        <v>1471</v>
      </c>
      <c r="M9406">
        <v>781.62</v>
      </c>
      <c r="O9406" t="s">
        <v>94</v>
      </c>
      <c r="P9406">
        <v>29.95</v>
      </c>
      <c r="Q9406">
        <v>37.44</v>
      </c>
      <c r="R9406">
        <v>29.95</v>
      </c>
      <c r="S9406">
        <v>44.93</v>
      </c>
      <c r="T9406" t="s">
        <v>44774</v>
      </c>
    </row>
    <row r="9407" spans="1:20">
      <c r="A9407">
        <v>4796574</v>
      </c>
      <c r="B9407" t="s">
        <v>44775</v>
      </c>
      <c r="C9407" t="str">
        <f>"9782763799445"</f>
        <v>9782763799445</v>
      </c>
      <c r="D9407" t="str">
        <f>"9782763799452"</f>
        <v>9782763799452</v>
      </c>
      <c r="E9407" t="s">
        <v>43877</v>
      </c>
      <c r="F9407" t="s">
        <v>43877</v>
      </c>
      <c r="G9407" s="1">
        <v>41103</v>
      </c>
      <c r="I9407" t="s">
        <v>44776</v>
      </c>
      <c r="J9407" t="s">
        <v>44777</v>
      </c>
      <c r="K9407" t="s">
        <v>31967</v>
      </c>
      <c r="M9407">
        <v>331</v>
      </c>
      <c r="O9407" t="s">
        <v>94</v>
      </c>
      <c r="P9407">
        <v>35</v>
      </c>
      <c r="Q9407">
        <v>43.75</v>
      </c>
      <c r="R9407">
        <v>35</v>
      </c>
      <c r="S9407">
        <v>52.5</v>
      </c>
      <c r="T9407" t="s">
        <v>44778</v>
      </c>
    </row>
    <row r="9408" spans="1:20">
      <c r="A9408">
        <v>4796575</v>
      </c>
      <c r="B9408" t="s">
        <v>44779</v>
      </c>
      <c r="C9408" t="str">
        <f>"9782763796291"</f>
        <v>9782763796291</v>
      </c>
      <c r="D9408" t="str">
        <f>"9782763796307"</f>
        <v>9782763796307</v>
      </c>
      <c r="E9408" t="s">
        <v>43877</v>
      </c>
      <c r="F9408" t="s">
        <v>43877</v>
      </c>
      <c r="G9408" s="1">
        <v>41108</v>
      </c>
      <c r="I9408" t="s">
        <v>43968</v>
      </c>
      <c r="J9408" t="s">
        <v>44780</v>
      </c>
      <c r="K9408" t="s">
        <v>330</v>
      </c>
      <c r="M9408">
        <v>363.7</v>
      </c>
      <c r="O9408" t="s">
        <v>94</v>
      </c>
      <c r="P9408">
        <v>42</v>
      </c>
      <c r="Q9408">
        <v>52.5</v>
      </c>
      <c r="R9408">
        <v>42</v>
      </c>
      <c r="S9408">
        <v>63</v>
      </c>
      <c r="T9408" t="s">
        <v>44781</v>
      </c>
    </row>
    <row r="9409" spans="1:20">
      <c r="A9409">
        <v>4796577</v>
      </c>
      <c r="B9409" t="s">
        <v>44782</v>
      </c>
      <c r="C9409" t="str">
        <f>"9782763792750"</f>
        <v>9782763792750</v>
      </c>
      <c r="D9409" t="str">
        <f>"9782763792767"</f>
        <v>9782763792767</v>
      </c>
      <c r="E9409" t="s">
        <v>43877</v>
      </c>
      <c r="F9409" t="s">
        <v>43877</v>
      </c>
      <c r="G9409" s="1">
        <v>41103</v>
      </c>
      <c r="I9409" t="s">
        <v>44783</v>
      </c>
      <c r="J9409" t="s">
        <v>44784</v>
      </c>
      <c r="K9409" t="s">
        <v>263</v>
      </c>
      <c r="M9409">
        <v>307.76400000000001</v>
      </c>
      <c r="O9409" t="s">
        <v>94</v>
      </c>
      <c r="P9409">
        <v>32.950000000000003</v>
      </c>
      <c r="Q9409">
        <v>41.19</v>
      </c>
      <c r="R9409">
        <v>32.950000000000003</v>
      </c>
      <c r="S9409">
        <v>49.43</v>
      </c>
      <c r="T9409" t="s">
        <v>44785</v>
      </c>
    </row>
    <row r="9410" spans="1:20">
      <c r="A9410">
        <v>4796578</v>
      </c>
      <c r="B9410" t="s">
        <v>44786</v>
      </c>
      <c r="C9410" t="str">
        <f>"9782763796659"</f>
        <v>9782763796659</v>
      </c>
      <c r="D9410" t="str">
        <f>"9782763796666"</f>
        <v>9782763796666</v>
      </c>
      <c r="E9410" t="s">
        <v>43877</v>
      </c>
      <c r="F9410" t="s">
        <v>43877</v>
      </c>
      <c r="G9410" s="1">
        <v>41106</v>
      </c>
      <c r="I9410" t="s">
        <v>44251</v>
      </c>
      <c r="J9410" t="s">
        <v>44787</v>
      </c>
      <c r="K9410" t="s">
        <v>1471</v>
      </c>
      <c r="M9410">
        <v>781.1</v>
      </c>
      <c r="O9410" t="s">
        <v>94</v>
      </c>
      <c r="P9410">
        <v>24.95</v>
      </c>
      <c r="Q9410">
        <v>31.19</v>
      </c>
      <c r="R9410">
        <v>24.95</v>
      </c>
      <c r="S9410">
        <v>37.43</v>
      </c>
      <c r="T9410" t="s">
        <v>44788</v>
      </c>
    </row>
    <row r="9411" spans="1:20">
      <c r="A9411">
        <v>4796579</v>
      </c>
      <c r="B9411" t="s">
        <v>44789</v>
      </c>
      <c r="C9411" t="str">
        <f>"9782760622166"</f>
        <v>9782760622166</v>
      </c>
      <c r="D9411" t="str">
        <f>"9782760626799"</f>
        <v>9782760626799</v>
      </c>
      <c r="E9411" t="s">
        <v>42231</v>
      </c>
      <c r="F9411" t="s">
        <v>42231</v>
      </c>
      <c r="G9411" s="1">
        <v>36526</v>
      </c>
      <c r="J9411" t="s">
        <v>44790</v>
      </c>
      <c r="K9411" t="s">
        <v>263</v>
      </c>
      <c r="M9411" t="s">
        <v>44791</v>
      </c>
      <c r="O9411" t="s">
        <v>94</v>
      </c>
      <c r="P9411">
        <v>19.989999999999998</v>
      </c>
      <c r="Q9411">
        <v>24.99</v>
      </c>
      <c r="R9411">
        <v>19.989999999999998</v>
      </c>
      <c r="S9411">
        <v>29.99</v>
      </c>
      <c r="T9411" t="s">
        <v>44792</v>
      </c>
    </row>
    <row r="9412" spans="1:20">
      <c r="A9412">
        <v>4796581</v>
      </c>
      <c r="B9412" t="s">
        <v>44793</v>
      </c>
      <c r="C9412" t="str">
        <f>"9782763792729"</f>
        <v>9782763792729</v>
      </c>
      <c r="D9412" t="str">
        <f>"9782763792736"</f>
        <v>9782763792736</v>
      </c>
      <c r="E9412" t="s">
        <v>43877</v>
      </c>
      <c r="F9412" t="s">
        <v>43877</v>
      </c>
      <c r="G9412" s="1">
        <v>41103</v>
      </c>
      <c r="I9412" t="s">
        <v>44783</v>
      </c>
      <c r="J9412" t="s">
        <v>44794</v>
      </c>
      <c r="K9412" t="s">
        <v>467</v>
      </c>
      <c r="M9412">
        <v>352</v>
      </c>
      <c r="O9412" t="s">
        <v>94</v>
      </c>
      <c r="P9412">
        <v>24.95</v>
      </c>
      <c r="Q9412">
        <v>31.19</v>
      </c>
      <c r="R9412">
        <v>24.95</v>
      </c>
      <c r="S9412">
        <v>37.43</v>
      </c>
      <c r="T9412" t="s">
        <v>44795</v>
      </c>
    </row>
    <row r="9413" spans="1:20">
      <c r="A9413">
        <v>4796582</v>
      </c>
      <c r="B9413" t="s">
        <v>44796</v>
      </c>
      <c r="C9413" t="str">
        <f>"9782763798035"</f>
        <v>9782763798035</v>
      </c>
      <c r="D9413" t="str">
        <f>"9782763798042"</f>
        <v>9782763798042</v>
      </c>
      <c r="E9413" t="s">
        <v>43877</v>
      </c>
      <c r="F9413" t="s">
        <v>43877</v>
      </c>
      <c r="G9413" s="1">
        <v>41103</v>
      </c>
      <c r="I9413" t="s">
        <v>44197</v>
      </c>
      <c r="J9413" t="s">
        <v>44797</v>
      </c>
      <c r="K9413" t="s">
        <v>263</v>
      </c>
      <c r="M9413">
        <v>305.23500000000001</v>
      </c>
      <c r="O9413" t="s">
        <v>94</v>
      </c>
      <c r="P9413">
        <v>42.95</v>
      </c>
      <c r="Q9413">
        <v>53.69</v>
      </c>
      <c r="R9413">
        <v>42.95</v>
      </c>
      <c r="S9413">
        <v>64.430000000000007</v>
      </c>
      <c r="T9413" t="s">
        <v>44798</v>
      </c>
    </row>
    <row r="9414" spans="1:20">
      <c r="A9414">
        <v>4796583</v>
      </c>
      <c r="B9414" t="s">
        <v>44799</v>
      </c>
      <c r="C9414" t="str">
        <f>"9782763799384"</f>
        <v>9782763799384</v>
      </c>
      <c r="D9414" t="str">
        <f>"9782763799391"</f>
        <v>9782763799391</v>
      </c>
      <c r="E9414" t="s">
        <v>43877</v>
      </c>
      <c r="F9414" t="s">
        <v>43877</v>
      </c>
      <c r="G9414" s="1">
        <v>36526</v>
      </c>
      <c r="I9414" t="s">
        <v>44800</v>
      </c>
      <c r="J9414" t="s">
        <v>44801</v>
      </c>
      <c r="K9414" t="s">
        <v>263</v>
      </c>
      <c r="M9414" t="s">
        <v>44802</v>
      </c>
      <c r="O9414" t="s">
        <v>94</v>
      </c>
      <c r="P9414">
        <v>10</v>
      </c>
      <c r="Q9414">
        <v>12.5</v>
      </c>
      <c r="R9414">
        <v>10</v>
      </c>
      <c r="S9414">
        <v>15</v>
      </c>
      <c r="T9414" t="s">
        <v>44803</v>
      </c>
    </row>
    <row r="9415" spans="1:20">
      <c r="A9415">
        <v>4796584</v>
      </c>
      <c r="B9415" t="s">
        <v>44804</v>
      </c>
      <c r="C9415" t="str">
        <f>"9782763797465"</f>
        <v>9782763797465</v>
      </c>
      <c r="D9415" t="str">
        <f>"9782763797472"</f>
        <v>9782763797472</v>
      </c>
      <c r="E9415" t="s">
        <v>43877</v>
      </c>
      <c r="F9415" t="s">
        <v>43877</v>
      </c>
      <c r="G9415" s="1">
        <v>41103</v>
      </c>
      <c r="I9415" t="s">
        <v>44255</v>
      </c>
      <c r="J9415" t="s">
        <v>44805</v>
      </c>
      <c r="K9415" t="s">
        <v>525</v>
      </c>
      <c r="M9415">
        <v>342.7</v>
      </c>
      <c r="O9415" t="s">
        <v>94</v>
      </c>
      <c r="P9415">
        <v>24.95</v>
      </c>
      <c r="Q9415">
        <v>31.19</v>
      </c>
      <c r="R9415">
        <v>24.95</v>
      </c>
      <c r="S9415">
        <v>37.43</v>
      </c>
      <c r="T9415" t="s">
        <v>44806</v>
      </c>
    </row>
    <row r="9416" spans="1:20">
      <c r="A9416">
        <v>4796585</v>
      </c>
      <c r="B9416" t="s">
        <v>44807</v>
      </c>
      <c r="C9416" t="str">
        <f>"9782763799711"</f>
        <v>9782763799711</v>
      </c>
      <c r="D9416" t="str">
        <f>"9782763799728"</f>
        <v>9782763799728</v>
      </c>
      <c r="E9416" t="s">
        <v>43877</v>
      </c>
      <c r="F9416" t="s">
        <v>43877</v>
      </c>
      <c r="G9416" s="1">
        <v>41106</v>
      </c>
      <c r="I9416" t="s">
        <v>44808</v>
      </c>
      <c r="J9416" t="s">
        <v>44809</v>
      </c>
      <c r="K9416" t="s">
        <v>263</v>
      </c>
      <c r="M9416">
        <v>362.82920000000001</v>
      </c>
      <c r="O9416" t="s">
        <v>94</v>
      </c>
      <c r="P9416">
        <v>29.95</v>
      </c>
      <c r="Q9416">
        <v>37.44</v>
      </c>
      <c r="R9416">
        <v>29.95</v>
      </c>
      <c r="S9416">
        <v>44.93</v>
      </c>
      <c r="T9416" t="s">
        <v>44810</v>
      </c>
    </row>
    <row r="9417" spans="1:20">
      <c r="A9417">
        <v>4796586</v>
      </c>
      <c r="B9417" t="s">
        <v>44811</v>
      </c>
      <c r="C9417" t="str">
        <f>"9782763797311"</f>
        <v>9782763797311</v>
      </c>
      <c r="D9417" t="str">
        <f>"9782763797328"</f>
        <v>9782763797328</v>
      </c>
      <c r="E9417" t="s">
        <v>43877</v>
      </c>
      <c r="F9417" t="s">
        <v>43877</v>
      </c>
      <c r="G9417" s="1">
        <v>41101</v>
      </c>
      <c r="I9417" t="s">
        <v>44812</v>
      </c>
      <c r="J9417" t="s">
        <v>44813</v>
      </c>
      <c r="K9417" t="s">
        <v>467</v>
      </c>
      <c r="M9417">
        <v>324.27100000000002</v>
      </c>
      <c r="O9417" t="s">
        <v>94</v>
      </c>
      <c r="P9417">
        <v>29.95</v>
      </c>
      <c r="Q9417">
        <v>37.44</v>
      </c>
      <c r="R9417">
        <v>29.95</v>
      </c>
      <c r="S9417">
        <v>44.93</v>
      </c>
      <c r="T9417" t="s">
        <v>44814</v>
      </c>
    </row>
    <row r="9418" spans="1:20">
      <c r="A9418">
        <v>4796588</v>
      </c>
      <c r="B9418" t="s">
        <v>44815</v>
      </c>
      <c r="C9418" t="str">
        <f>"9782763790220"</f>
        <v>9782763790220</v>
      </c>
      <c r="D9418" t="str">
        <f>"9782763711898"</f>
        <v>9782763711898</v>
      </c>
      <c r="E9418" t="s">
        <v>43877</v>
      </c>
      <c r="F9418" t="s">
        <v>43877</v>
      </c>
      <c r="G9418" s="1">
        <v>41103</v>
      </c>
      <c r="I9418" t="s">
        <v>44197</v>
      </c>
      <c r="J9418" t="s">
        <v>44816</v>
      </c>
      <c r="K9418" t="s">
        <v>263</v>
      </c>
      <c r="M9418">
        <v>301</v>
      </c>
      <c r="O9418" t="s">
        <v>94</v>
      </c>
      <c r="P9418">
        <v>42.95</v>
      </c>
      <c r="Q9418">
        <v>53.69</v>
      </c>
      <c r="R9418">
        <v>42.95</v>
      </c>
      <c r="S9418">
        <v>64.430000000000007</v>
      </c>
      <c r="T9418" t="s">
        <v>44817</v>
      </c>
    </row>
    <row r="9419" spans="1:20">
      <c r="A9419">
        <v>4796590</v>
      </c>
      <c r="B9419" t="s">
        <v>44818</v>
      </c>
      <c r="C9419" t="str">
        <f>"9782763795362"</f>
        <v>9782763795362</v>
      </c>
      <c r="D9419" t="str">
        <f>"9782763795379"</f>
        <v>9782763795379</v>
      </c>
      <c r="E9419" t="s">
        <v>43877</v>
      </c>
      <c r="F9419" t="s">
        <v>43877</v>
      </c>
      <c r="G9419" s="1">
        <v>41103</v>
      </c>
      <c r="I9419" t="s">
        <v>44819</v>
      </c>
      <c r="J9419" t="s">
        <v>44820</v>
      </c>
      <c r="K9419" t="s">
        <v>278</v>
      </c>
      <c r="M9419">
        <v>338.37270000000001</v>
      </c>
      <c r="O9419" t="s">
        <v>94</v>
      </c>
      <c r="P9419">
        <v>40</v>
      </c>
      <c r="Q9419">
        <v>50</v>
      </c>
      <c r="R9419">
        <v>40</v>
      </c>
      <c r="S9419">
        <v>60</v>
      </c>
      <c r="T9419" t="s">
        <v>44821</v>
      </c>
    </row>
    <row r="9420" spans="1:20">
      <c r="A9420">
        <v>4796594</v>
      </c>
      <c r="B9420" t="s">
        <v>44822</v>
      </c>
      <c r="C9420" t="str">
        <f>"9782760622432"</f>
        <v>9782760622432</v>
      </c>
      <c r="D9420" t="str">
        <f>"9782760627413"</f>
        <v>9782760627413</v>
      </c>
      <c r="E9420" t="s">
        <v>42231</v>
      </c>
      <c r="F9420" t="s">
        <v>42231</v>
      </c>
      <c r="G9420" s="1">
        <v>36526</v>
      </c>
      <c r="I9420" t="s">
        <v>44287</v>
      </c>
      <c r="J9420" t="s">
        <v>44823</v>
      </c>
      <c r="K9420" t="s">
        <v>2260</v>
      </c>
      <c r="M9420" t="s">
        <v>44824</v>
      </c>
      <c r="O9420" t="s">
        <v>94</v>
      </c>
      <c r="P9420">
        <v>3.99</v>
      </c>
      <c r="Q9420">
        <v>4.99</v>
      </c>
      <c r="R9420">
        <v>3.99</v>
      </c>
      <c r="S9420">
        <v>5.99</v>
      </c>
      <c r="T9420" t="s">
        <v>44825</v>
      </c>
    </row>
    <row r="9421" spans="1:20">
      <c r="A9421">
        <v>4796596</v>
      </c>
      <c r="B9421" t="s">
        <v>44826</v>
      </c>
      <c r="C9421" t="str">
        <f>"9782763795843"</f>
        <v>9782763795843</v>
      </c>
      <c r="D9421" t="str">
        <f>"9782763795850"</f>
        <v>9782763795850</v>
      </c>
      <c r="E9421" t="s">
        <v>43877</v>
      </c>
      <c r="F9421" t="s">
        <v>43877</v>
      </c>
      <c r="G9421" s="1">
        <v>41103</v>
      </c>
      <c r="I9421" t="s">
        <v>44207</v>
      </c>
      <c r="J9421" t="s">
        <v>44827</v>
      </c>
      <c r="K9421" t="s">
        <v>1127</v>
      </c>
      <c r="M9421">
        <v>155.25</v>
      </c>
      <c r="O9421" t="s">
        <v>94</v>
      </c>
      <c r="P9421">
        <v>24.95</v>
      </c>
      <c r="Q9421">
        <v>31.19</v>
      </c>
      <c r="R9421">
        <v>24.95</v>
      </c>
      <c r="S9421">
        <v>37.43</v>
      </c>
      <c r="T9421" t="s">
        <v>44828</v>
      </c>
    </row>
    <row r="9422" spans="1:20">
      <c r="A9422">
        <v>4796597</v>
      </c>
      <c r="B9422" t="s">
        <v>44829</v>
      </c>
      <c r="C9422" t="str">
        <f>"9782763796987"</f>
        <v>9782763796987</v>
      </c>
      <c r="D9422" t="str">
        <f>"9782763796994"</f>
        <v>9782763796994</v>
      </c>
      <c r="E9422" t="s">
        <v>43877</v>
      </c>
      <c r="F9422" t="s">
        <v>43877</v>
      </c>
      <c r="G9422" s="1">
        <v>41103</v>
      </c>
      <c r="I9422" t="s">
        <v>43283</v>
      </c>
      <c r="J9422" t="s">
        <v>44830</v>
      </c>
      <c r="K9422" t="s">
        <v>263</v>
      </c>
      <c r="M9422">
        <v>362.76</v>
      </c>
      <c r="O9422" t="s">
        <v>94</v>
      </c>
      <c r="P9422">
        <v>44.95</v>
      </c>
      <c r="Q9422">
        <v>56.19</v>
      </c>
      <c r="R9422">
        <v>44.95</v>
      </c>
      <c r="S9422">
        <v>67.430000000000007</v>
      </c>
      <c r="T9422" t="s">
        <v>44831</v>
      </c>
    </row>
    <row r="9423" spans="1:20">
      <c r="A9423">
        <v>4796600</v>
      </c>
      <c r="B9423" t="s">
        <v>44832</v>
      </c>
      <c r="C9423" t="str">
        <f>"9782763799506"</f>
        <v>9782763799506</v>
      </c>
      <c r="D9423" t="str">
        <f>"9782763799513"</f>
        <v>9782763799513</v>
      </c>
      <c r="E9423" t="s">
        <v>43877</v>
      </c>
      <c r="F9423" t="s">
        <v>43877</v>
      </c>
      <c r="G9423" s="1">
        <v>41106</v>
      </c>
      <c r="I9423" t="s">
        <v>44833</v>
      </c>
      <c r="J9423" t="s">
        <v>44834</v>
      </c>
      <c r="K9423" t="s">
        <v>1859</v>
      </c>
      <c r="M9423">
        <v>179.1</v>
      </c>
      <c r="O9423" t="s">
        <v>94</v>
      </c>
      <c r="P9423">
        <v>45</v>
      </c>
      <c r="Q9423">
        <v>56.25</v>
      </c>
      <c r="R9423">
        <v>45</v>
      </c>
      <c r="S9423">
        <v>67.5</v>
      </c>
      <c r="T9423" t="s">
        <v>44835</v>
      </c>
    </row>
    <row r="9424" spans="1:20">
      <c r="A9424">
        <v>4796601</v>
      </c>
      <c r="B9424" t="s">
        <v>44836</v>
      </c>
      <c r="C9424" t="str">
        <f>"9782763795638"</f>
        <v>9782763795638</v>
      </c>
      <c r="D9424" t="str">
        <f>"9782763795645"</f>
        <v>9782763795645</v>
      </c>
      <c r="E9424" t="s">
        <v>43877</v>
      </c>
      <c r="F9424" t="s">
        <v>43877</v>
      </c>
      <c r="G9424" s="1">
        <v>41103</v>
      </c>
      <c r="I9424" t="s">
        <v>43283</v>
      </c>
      <c r="J9424" t="s">
        <v>44837</v>
      </c>
      <c r="K9424" t="s">
        <v>257</v>
      </c>
      <c r="M9424">
        <v>379.28</v>
      </c>
      <c r="O9424" t="s">
        <v>94</v>
      </c>
      <c r="P9424">
        <v>30</v>
      </c>
      <c r="Q9424">
        <v>37.5</v>
      </c>
      <c r="R9424">
        <v>30</v>
      </c>
      <c r="S9424">
        <v>45</v>
      </c>
      <c r="T9424" t="s">
        <v>44838</v>
      </c>
    </row>
    <row r="9425" spans="1:20">
      <c r="A9425">
        <v>4796602</v>
      </c>
      <c r="B9425" t="s">
        <v>44839</v>
      </c>
      <c r="C9425" t="str">
        <f>"9782763793986"</f>
        <v>9782763793986</v>
      </c>
      <c r="D9425" t="str">
        <f>"9782763793993"</f>
        <v>9782763793993</v>
      </c>
      <c r="E9425" t="s">
        <v>43877</v>
      </c>
      <c r="F9425" t="s">
        <v>43877</v>
      </c>
      <c r="G9425" s="1">
        <v>41103</v>
      </c>
      <c r="I9425" t="s">
        <v>43283</v>
      </c>
      <c r="J9425" t="s">
        <v>31122</v>
      </c>
      <c r="K9425" t="s">
        <v>291</v>
      </c>
      <c r="M9425">
        <v>947.08410000000003</v>
      </c>
      <c r="O9425" t="s">
        <v>94</v>
      </c>
      <c r="P9425">
        <v>39.950000000000003</v>
      </c>
      <c r="Q9425">
        <v>49.94</v>
      </c>
      <c r="R9425">
        <v>39.950000000000003</v>
      </c>
      <c r="S9425">
        <v>59.93</v>
      </c>
      <c r="T9425" t="s">
        <v>44840</v>
      </c>
    </row>
    <row r="9426" spans="1:20">
      <c r="A9426">
        <v>4796603</v>
      </c>
      <c r="B9426" t="s">
        <v>44841</v>
      </c>
      <c r="C9426" t="str">
        <f>"9782763797946"</f>
        <v>9782763797946</v>
      </c>
      <c r="D9426" t="str">
        <f>"9782763797953"</f>
        <v>9782763797953</v>
      </c>
      <c r="E9426" t="s">
        <v>43877</v>
      </c>
      <c r="F9426" t="s">
        <v>43877</v>
      </c>
      <c r="G9426" s="1">
        <v>41103</v>
      </c>
      <c r="I9426" t="s">
        <v>44217</v>
      </c>
      <c r="J9426" t="s">
        <v>44842</v>
      </c>
      <c r="K9426" t="s">
        <v>257</v>
      </c>
      <c r="M9426">
        <v>370.1</v>
      </c>
      <c r="O9426" t="s">
        <v>94</v>
      </c>
      <c r="P9426">
        <v>44.95</v>
      </c>
      <c r="Q9426">
        <v>56.19</v>
      </c>
      <c r="R9426">
        <v>44.95</v>
      </c>
      <c r="S9426">
        <v>67.430000000000007</v>
      </c>
      <c r="T9426" t="s">
        <v>44843</v>
      </c>
    </row>
    <row r="9427" spans="1:20">
      <c r="A9427">
        <v>4796604</v>
      </c>
      <c r="B9427" t="s">
        <v>44844</v>
      </c>
      <c r="C9427" t="str">
        <f>"9782763797496"</f>
        <v>9782763797496</v>
      </c>
      <c r="D9427" t="str">
        <f>"9782763797502"</f>
        <v>9782763797502</v>
      </c>
      <c r="E9427" t="s">
        <v>43877</v>
      </c>
      <c r="F9427" t="s">
        <v>43877</v>
      </c>
      <c r="G9427" s="1">
        <v>41103</v>
      </c>
      <c r="I9427" t="s">
        <v>43283</v>
      </c>
      <c r="J9427" t="s">
        <v>43508</v>
      </c>
      <c r="K9427" t="s">
        <v>525</v>
      </c>
      <c r="M9427">
        <v>344.04599999999999</v>
      </c>
      <c r="O9427" t="s">
        <v>94</v>
      </c>
      <c r="P9427">
        <v>40</v>
      </c>
      <c r="Q9427">
        <v>50</v>
      </c>
      <c r="R9427">
        <v>40</v>
      </c>
      <c r="S9427">
        <v>60</v>
      </c>
      <c r="T9427" t="s">
        <v>44845</v>
      </c>
    </row>
    <row r="9428" spans="1:20">
      <c r="A9428">
        <v>4796606</v>
      </c>
      <c r="B9428" t="s">
        <v>44846</v>
      </c>
      <c r="C9428" t="str">
        <f>"9782763786322"</f>
        <v>9782763786322</v>
      </c>
      <c r="D9428" t="str">
        <f>"9782763706320"</f>
        <v>9782763706320</v>
      </c>
      <c r="E9428" t="s">
        <v>43877</v>
      </c>
      <c r="F9428" t="s">
        <v>43877</v>
      </c>
      <c r="G9428" s="1">
        <v>41106</v>
      </c>
      <c r="I9428" t="s">
        <v>43283</v>
      </c>
      <c r="J9428" t="s">
        <v>44847</v>
      </c>
      <c r="K9428" t="s">
        <v>291</v>
      </c>
      <c r="M9428">
        <v>970.00496999999996</v>
      </c>
      <c r="O9428" t="s">
        <v>94</v>
      </c>
      <c r="P9428">
        <v>49</v>
      </c>
      <c r="Q9428">
        <v>61.25</v>
      </c>
      <c r="R9428">
        <v>49</v>
      </c>
      <c r="S9428">
        <v>73.5</v>
      </c>
      <c r="T9428" t="s">
        <v>44848</v>
      </c>
    </row>
    <row r="9429" spans="1:20">
      <c r="A9429">
        <v>4796608</v>
      </c>
      <c r="B9429" t="s">
        <v>44849</v>
      </c>
      <c r="C9429" t="str">
        <f>"9782760533950"</f>
        <v>9782760533950</v>
      </c>
      <c r="D9429" t="str">
        <f>"9782760533967"</f>
        <v>9782760533967</v>
      </c>
      <c r="E9429" t="s">
        <v>43423</v>
      </c>
      <c r="F9429" t="s">
        <v>43423</v>
      </c>
      <c r="G9429" s="1">
        <v>36526</v>
      </c>
      <c r="H9429">
        <v>3</v>
      </c>
      <c r="J9429" t="s">
        <v>33345</v>
      </c>
      <c r="K9429" t="s">
        <v>263</v>
      </c>
      <c r="M9429" t="s">
        <v>17001</v>
      </c>
      <c r="O9429" t="s">
        <v>94</v>
      </c>
      <c r="P9429">
        <v>38</v>
      </c>
      <c r="Q9429">
        <v>47.5</v>
      </c>
      <c r="R9429">
        <v>38</v>
      </c>
      <c r="S9429">
        <v>57</v>
      </c>
      <c r="T9429" t="s">
        <v>44850</v>
      </c>
    </row>
    <row r="9430" spans="1:20">
      <c r="A9430">
        <v>4796609</v>
      </c>
      <c r="B9430" t="s">
        <v>44851</v>
      </c>
      <c r="C9430" t="str">
        <f>"9782760534254"</f>
        <v>9782760534254</v>
      </c>
      <c r="D9430" t="str">
        <f>"9782760534261"</f>
        <v>9782760534261</v>
      </c>
      <c r="E9430" t="s">
        <v>43423</v>
      </c>
      <c r="F9430" t="s">
        <v>43423</v>
      </c>
      <c r="G9430" s="1">
        <v>36526</v>
      </c>
      <c r="H9430">
        <v>2</v>
      </c>
      <c r="J9430" t="s">
        <v>44852</v>
      </c>
      <c r="K9430" t="s">
        <v>2260</v>
      </c>
      <c r="M9430" t="s">
        <v>44853</v>
      </c>
      <c r="O9430" t="s">
        <v>94</v>
      </c>
      <c r="P9430">
        <v>70</v>
      </c>
      <c r="Q9430">
        <v>87.5</v>
      </c>
      <c r="R9430">
        <v>70</v>
      </c>
      <c r="S9430">
        <v>105</v>
      </c>
      <c r="T9430" t="s">
        <v>44854</v>
      </c>
    </row>
    <row r="9431" spans="1:20">
      <c r="A9431">
        <v>4796610</v>
      </c>
      <c r="B9431" t="s">
        <v>44855</v>
      </c>
      <c r="C9431" t="str">
        <f>"9782760534704"</f>
        <v>9782760534704</v>
      </c>
      <c r="D9431" t="str">
        <f>"9782760534711"</f>
        <v>9782760534711</v>
      </c>
      <c r="E9431" t="s">
        <v>43423</v>
      </c>
      <c r="F9431" t="s">
        <v>43423</v>
      </c>
      <c r="G9431" s="1">
        <v>36526</v>
      </c>
      <c r="J9431" t="s">
        <v>24725</v>
      </c>
      <c r="K9431" t="s">
        <v>257</v>
      </c>
      <c r="M9431">
        <v>371.33</v>
      </c>
      <c r="O9431" t="s">
        <v>94</v>
      </c>
      <c r="P9431">
        <v>30</v>
      </c>
      <c r="Q9431">
        <v>37.5</v>
      </c>
      <c r="R9431">
        <v>30</v>
      </c>
      <c r="S9431">
        <v>45</v>
      </c>
      <c r="T9431" t="s">
        <v>44856</v>
      </c>
    </row>
    <row r="9432" spans="1:20">
      <c r="A9432">
        <v>4796611</v>
      </c>
      <c r="B9432" t="s">
        <v>44857</v>
      </c>
      <c r="C9432" t="str">
        <f>"9782760533622"</f>
        <v>9782760533622</v>
      </c>
      <c r="D9432" t="str">
        <f>"9782760533639"</f>
        <v>9782760533639</v>
      </c>
      <c r="E9432" t="s">
        <v>43423</v>
      </c>
      <c r="F9432" t="s">
        <v>43423</v>
      </c>
      <c r="G9432" s="1">
        <v>41030</v>
      </c>
      <c r="J9432" t="s">
        <v>44858</v>
      </c>
      <c r="K9432" t="s">
        <v>263</v>
      </c>
      <c r="M9432">
        <v>306.08999999999997</v>
      </c>
      <c r="O9432" t="s">
        <v>94</v>
      </c>
      <c r="P9432">
        <v>30</v>
      </c>
      <c r="Q9432">
        <v>37.5</v>
      </c>
      <c r="R9432">
        <v>30</v>
      </c>
      <c r="S9432">
        <v>45</v>
      </c>
      <c r="T9432" t="s">
        <v>44859</v>
      </c>
    </row>
    <row r="9433" spans="1:20">
      <c r="A9433">
        <v>4796612</v>
      </c>
      <c r="B9433" t="s">
        <v>44860</v>
      </c>
      <c r="C9433" t="str">
        <f>"9782760534926"</f>
        <v>9782760534926</v>
      </c>
      <c r="D9433" t="str">
        <f>"9782760534933"</f>
        <v>9782760534933</v>
      </c>
      <c r="E9433" t="s">
        <v>43423</v>
      </c>
      <c r="F9433" t="s">
        <v>43423</v>
      </c>
      <c r="G9433" s="1">
        <v>36526</v>
      </c>
      <c r="J9433" t="s">
        <v>44861</v>
      </c>
      <c r="K9433" t="s">
        <v>467</v>
      </c>
      <c r="M9433" t="s">
        <v>44862</v>
      </c>
      <c r="O9433" t="s">
        <v>94</v>
      </c>
      <c r="P9433">
        <v>28</v>
      </c>
      <c r="Q9433">
        <v>35</v>
      </c>
      <c r="R9433">
        <v>28</v>
      </c>
      <c r="S9433">
        <v>42</v>
      </c>
      <c r="T9433" t="s">
        <v>44863</v>
      </c>
    </row>
    <row r="9434" spans="1:20">
      <c r="A9434">
        <v>4796613</v>
      </c>
      <c r="B9434" t="s">
        <v>44864</v>
      </c>
      <c r="C9434" t="str">
        <f>"9782760534223"</f>
        <v>9782760534223</v>
      </c>
      <c r="D9434" t="str">
        <f>"9782760534230"</f>
        <v>9782760534230</v>
      </c>
      <c r="E9434" t="s">
        <v>43423</v>
      </c>
      <c r="F9434" t="s">
        <v>43423</v>
      </c>
      <c r="G9434" s="1">
        <v>36526</v>
      </c>
      <c r="J9434" t="s">
        <v>44865</v>
      </c>
      <c r="K9434" t="s">
        <v>7838</v>
      </c>
      <c r="M9434" t="s">
        <v>44866</v>
      </c>
      <c r="O9434" t="s">
        <v>26</v>
      </c>
      <c r="P9434">
        <v>45</v>
      </c>
      <c r="Q9434">
        <v>56.25</v>
      </c>
      <c r="R9434">
        <v>45</v>
      </c>
      <c r="S9434">
        <v>67.5</v>
      </c>
      <c r="T9434" t="s">
        <v>44867</v>
      </c>
    </row>
    <row r="9435" spans="1:20">
      <c r="A9435">
        <v>4796615</v>
      </c>
      <c r="B9435" t="s">
        <v>44868</v>
      </c>
      <c r="C9435" t="str">
        <f>"9782760533929"</f>
        <v>9782760533929</v>
      </c>
      <c r="D9435" t="str">
        <f>"9782760533936"</f>
        <v>9782760533936</v>
      </c>
      <c r="E9435" t="s">
        <v>43423</v>
      </c>
      <c r="F9435" t="s">
        <v>43423</v>
      </c>
      <c r="G9435" s="1">
        <v>41054</v>
      </c>
      <c r="J9435" t="s">
        <v>43452</v>
      </c>
      <c r="K9435" t="s">
        <v>1471</v>
      </c>
      <c r="M9435">
        <v>709.04070000000002</v>
      </c>
      <c r="O9435" t="s">
        <v>94</v>
      </c>
      <c r="P9435">
        <v>28</v>
      </c>
      <c r="Q9435">
        <v>35</v>
      </c>
      <c r="R9435">
        <v>28</v>
      </c>
      <c r="S9435">
        <v>42</v>
      </c>
      <c r="T9435" t="s">
        <v>44869</v>
      </c>
    </row>
    <row r="9436" spans="1:20">
      <c r="A9436">
        <v>4796616</v>
      </c>
      <c r="B9436" t="s">
        <v>44870</v>
      </c>
      <c r="C9436" t="str">
        <f>"9782760534490"</f>
        <v>9782760534490</v>
      </c>
      <c r="D9436" t="str">
        <f>"9782760534506"</f>
        <v>9782760534506</v>
      </c>
      <c r="E9436" t="s">
        <v>43423</v>
      </c>
      <c r="F9436" t="s">
        <v>43423</v>
      </c>
      <c r="G9436" s="1">
        <v>36526</v>
      </c>
      <c r="J9436" t="s">
        <v>44871</v>
      </c>
      <c r="K9436" t="s">
        <v>1063</v>
      </c>
      <c r="M9436" t="s">
        <v>44872</v>
      </c>
      <c r="O9436" t="s">
        <v>94</v>
      </c>
      <c r="P9436">
        <v>32</v>
      </c>
      <c r="Q9436">
        <v>40</v>
      </c>
      <c r="R9436">
        <v>32</v>
      </c>
      <c r="S9436">
        <v>48</v>
      </c>
      <c r="T9436" t="s">
        <v>44873</v>
      </c>
    </row>
    <row r="9437" spans="1:20">
      <c r="A9437">
        <v>4796617</v>
      </c>
      <c r="B9437" t="s">
        <v>44874</v>
      </c>
      <c r="C9437" t="str">
        <f>"9782760534582"</f>
        <v>9782760534582</v>
      </c>
      <c r="D9437" t="str">
        <f>"9782760534599"</f>
        <v>9782760534599</v>
      </c>
      <c r="E9437" t="s">
        <v>43423</v>
      </c>
      <c r="F9437" t="s">
        <v>43423</v>
      </c>
      <c r="G9437" s="1">
        <v>36526</v>
      </c>
      <c r="J9437" t="s">
        <v>44875</v>
      </c>
      <c r="K9437" t="s">
        <v>257</v>
      </c>
      <c r="M9437">
        <v>371.9</v>
      </c>
      <c r="O9437" t="s">
        <v>94</v>
      </c>
      <c r="P9437">
        <v>49</v>
      </c>
      <c r="Q9437">
        <v>61.25</v>
      </c>
      <c r="R9437">
        <v>49</v>
      </c>
      <c r="S9437">
        <v>73.5</v>
      </c>
      <c r="T9437" t="s">
        <v>44876</v>
      </c>
    </row>
    <row r="9438" spans="1:20">
      <c r="A9438">
        <v>4796618</v>
      </c>
      <c r="B9438" t="s">
        <v>44877</v>
      </c>
      <c r="C9438" t="str">
        <f>"9782760534346"</f>
        <v>9782760534346</v>
      </c>
      <c r="D9438" t="str">
        <f>"9782760534353"</f>
        <v>9782760534353</v>
      </c>
      <c r="E9438" t="s">
        <v>43423</v>
      </c>
      <c r="F9438" t="s">
        <v>43423</v>
      </c>
      <c r="G9438" s="1">
        <v>36526</v>
      </c>
      <c r="J9438" t="s">
        <v>44878</v>
      </c>
      <c r="K9438" t="s">
        <v>1464</v>
      </c>
      <c r="M9438" t="s">
        <v>44879</v>
      </c>
      <c r="O9438" t="s">
        <v>94</v>
      </c>
      <c r="P9438">
        <v>16</v>
      </c>
      <c r="Q9438">
        <v>20</v>
      </c>
      <c r="R9438">
        <v>16</v>
      </c>
      <c r="S9438">
        <v>24</v>
      </c>
      <c r="T9438" t="s">
        <v>44880</v>
      </c>
    </row>
    <row r="9439" spans="1:20">
      <c r="A9439">
        <v>4796619</v>
      </c>
      <c r="B9439" t="s">
        <v>44881</v>
      </c>
      <c r="C9439" t="str">
        <f>"9782760534865"</f>
        <v>9782760534865</v>
      </c>
      <c r="D9439" t="str">
        <f>"9782760534872"</f>
        <v>9782760534872</v>
      </c>
      <c r="E9439" t="s">
        <v>43423</v>
      </c>
      <c r="F9439" t="s">
        <v>43423</v>
      </c>
      <c r="G9439" s="1">
        <v>36526</v>
      </c>
      <c r="J9439" t="s">
        <v>44882</v>
      </c>
      <c r="K9439" t="s">
        <v>3230</v>
      </c>
      <c r="M9439">
        <v>910.72</v>
      </c>
      <c r="O9439" t="s">
        <v>94</v>
      </c>
      <c r="P9439">
        <v>33</v>
      </c>
      <c r="Q9439">
        <v>41.25</v>
      </c>
      <c r="R9439">
        <v>33</v>
      </c>
      <c r="S9439">
        <v>49.5</v>
      </c>
      <c r="T9439" t="s">
        <v>44883</v>
      </c>
    </row>
    <row r="9440" spans="1:20">
      <c r="A9440">
        <v>4796620</v>
      </c>
      <c r="B9440" t="s">
        <v>44884</v>
      </c>
      <c r="C9440" t="str">
        <f>"9782760534162"</f>
        <v>9782760534162</v>
      </c>
      <c r="D9440" t="str">
        <f>"9782760534179"</f>
        <v>9782760534179</v>
      </c>
      <c r="E9440" t="s">
        <v>43423</v>
      </c>
      <c r="F9440" t="s">
        <v>43423</v>
      </c>
      <c r="G9440" s="1">
        <v>36526</v>
      </c>
      <c r="J9440" t="s">
        <v>44885</v>
      </c>
      <c r="K9440" t="s">
        <v>257</v>
      </c>
      <c r="M9440" t="s">
        <v>44886</v>
      </c>
      <c r="O9440" t="s">
        <v>94</v>
      </c>
      <c r="P9440">
        <v>25</v>
      </c>
      <c r="Q9440">
        <v>31.25</v>
      </c>
      <c r="R9440">
        <v>25</v>
      </c>
      <c r="S9440">
        <v>37.5</v>
      </c>
      <c r="T9440" t="s">
        <v>44887</v>
      </c>
    </row>
    <row r="9441" spans="1:20">
      <c r="A9441">
        <v>4796622</v>
      </c>
      <c r="B9441" t="s">
        <v>44888</v>
      </c>
      <c r="C9441" t="str">
        <f>"9782760534377"</f>
        <v>9782760534377</v>
      </c>
      <c r="D9441" t="str">
        <f>"9782760534384"</f>
        <v>9782760534384</v>
      </c>
      <c r="E9441" t="s">
        <v>43423</v>
      </c>
      <c r="F9441" t="s">
        <v>43423</v>
      </c>
      <c r="G9441" s="1">
        <v>41156</v>
      </c>
      <c r="J9441" t="s">
        <v>44889</v>
      </c>
      <c r="K9441" t="s">
        <v>263</v>
      </c>
      <c r="M9441">
        <v>303.39999999999998</v>
      </c>
      <c r="O9441" t="s">
        <v>94</v>
      </c>
      <c r="P9441">
        <v>32</v>
      </c>
      <c r="Q9441">
        <v>40</v>
      </c>
      <c r="R9441">
        <v>32</v>
      </c>
      <c r="S9441">
        <v>48</v>
      </c>
      <c r="T9441" t="s">
        <v>44890</v>
      </c>
    </row>
    <row r="9442" spans="1:20">
      <c r="A9442">
        <v>4796623</v>
      </c>
      <c r="B9442" t="s">
        <v>44891</v>
      </c>
      <c r="C9442" t="str">
        <f>"9782760533028"</f>
        <v>9782760533028</v>
      </c>
      <c r="D9442" t="str">
        <f>"9782760533035"</f>
        <v>9782760533035</v>
      </c>
      <c r="E9442" t="s">
        <v>43423</v>
      </c>
      <c r="F9442" t="s">
        <v>43423</v>
      </c>
      <c r="G9442" s="1">
        <v>41773</v>
      </c>
      <c r="J9442" t="s">
        <v>44892</v>
      </c>
      <c r="K9442" t="s">
        <v>305</v>
      </c>
      <c r="M9442">
        <v>658.404</v>
      </c>
      <c r="O9442" t="s">
        <v>94</v>
      </c>
      <c r="P9442">
        <v>60</v>
      </c>
      <c r="Q9442">
        <v>75</v>
      </c>
      <c r="R9442">
        <v>60</v>
      </c>
      <c r="S9442">
        <v>90</v>
      </c>
      <c r="T9442" t="s">
        <v>44893</v>
      </c>
    </row>
    <row r="9443" spans="1:20">
      <c r="A9443">
        <v>4796624</v>
      </c>
      <c r="B9443" t="s">
        <v>44894</v>
      </c>
      <c r="C9443" t="str">
        <f>"9782760533776"</f>
        <v>9782760533776</v>
      </c>
      <c r="D9443" t="str">
        <f>"9782760533783"</f>
        <v>9782760533783</v>
      </c>
      <c r="E9443" t="s">
        <v>43423</v>
      </c>
      <c r="F9443" t="s">
        <v>43423</v>
      </c>
      <c r="G9443" s="1">
        <v>36526</v>
      </c>
      <c r="J9443" t="s">
        <v>25470</v>
      </c>
      <c r="K9443" t="s">
        <v>31967</v>
      </c>
      <c r="M9443" t="s">
        <v>44895</v>
      </c>
      <c r="O9443" t="s">
        <v>94</v>
      </c>
      <c r="P9443">
        <v>30</v>
      </c>
      <c r="Q9443">
        <v>37.5</v>
      </c>
      <c r="R9443">
        <v>30</v>
      </c>
      <c r="S9443">
        <v>45</v>
      </c>
      <c r="T9443" t="s">
        <v>44896</v>
      </c>
    </row>
    <row r="9444" spans="1:20">
      <c r="A9444">
        <v>4796625</v>
      </c>
      <c r="B9444" t="s">
        <v>44897</v>
      </c>
      <c r="C9444" t="str">
        <f>"9782760534063"</f>
        <v>9782760534063</v>
      </c>
      <c r="D9444" t="str">
        <f>"9782760534070"</f>
        <v>9782760534070</v>
      </c>
      <c r="E9444" t="s">
        <v>43423</v>
      </c>
      <c r="F9444" t="s">
        <v>43423</v>
      </c>
      <c r="G9444" s="1">
        <v>36526</v>
      </c>
      <c r="J9444" t="s">
        <v>44898</v>
      </c>
      <c r="K9444" t="s">
        <v>2260</v>
      </c>
      <c r="M9444" t="s">
        <v>44899</v>
      </c>
      <c r="O9444" t="s">
        <v>94</v>
      </c>
      <c r="P9444">
        <v>30</v>
      </c>
      <c r="Q9444">
        <v>37.5</v>
      </c>
      <c r="R9444">
        <v>30</v>
      </c>
      <c r="S9444">
        <v>45</v>
      </c>
      <c r="T9444" t="s">
        <v>44900</v>
      </c>
    </row>
    <row r="9445" spans="1:20">
      <c r="A9445">
        <v>4796628</v>
      </c>
      <c r="B9445" t="s">
        <v>44901</v>
      </c>
      <c r="C9445" t="str">
        <f>"9782760534643"</f>
        <v>9782760534643</v>
      </c>
      <c r="D9445" t="str">
        <f>"9782760534650"</f>
        <v>9782760534650</v>
      </c>
      <c r="E9445" t="s">
        <v>43423</v>
      </c>
      <c r="F9445" t="s">
        <v>43423</v>
      </c>
      <c r="G9445" s="1">
        <v>36526</v>
      </c>
      <c r="J9445" t="s">
        <v>23195</v>
      </c>
      <c r="K9445" t="s">
        <v>263</v>
      </c>
      <c r="M9445" t="s">
        <v>6808</v>
      </c>
      <c r="O9445" t="s">
        <v>94</v>
      </c>
      <c r="P9445">
        <v>35</v>
      </c>
      <c r="Q9445">
        <v>43.75</v>
      </c>
      <c r="R9445">
        <v>35</v>
      </c>
      <c r="S9445">
        <v>52.5</v>
      </c>
      <c r="T9445" t="s">
        <v>44902</v>
      </c>
    </row>
    <row r="9446" spans="1:20">
      <c r="A9446">
        <v>4796630</v>
      </c>
      <c r="B9446" t="s">
        <v>44903</v>
      </c>
      <c r="C9446" t="str">
        <f>"9782760534735"</f>
        <v>9782760534735</v>
      </c>
      <c r="D9446" t="str">
        <f>"9782760534742"</f>
        <v>9782760534742</v>
      </c>
      <c r="E9446" t="s">
        <v>43423</v>
      </c>
      <c r="F9446" t="s">
        <v>43423</v>
      </c>
      <c r="G9446" s="1">
        <v>36526</v>
      </c>
      <c r="J9446" t="s">
        <v>44904</v>
      </c>
      <c r="K9446" t="s">
        <v>7075</v>
      </c>
      <c r="M9446" t="s">
        <v>44905</v>
      </c>
      <c r="O9446" t="s">
        <v>94</v>
      </c>
      <c r="P9446">
        <v>28</v>
      </c>
      <c r="Q9446">
        <v>35</v>
      </c>
      <c r="R9446">
        <v>28</v>
      </c>
      <c r="S9446">
        <v>42</v>
      </c>
      <c r="T9446" t="s">
        <v>44906</v>
      </c>
    </row>
    <row r="9447" spans="1:20">
      <c r="A9447">
        <v>4796631</v>
      </c>
      <c r="B9447" t="s">
        <v>44907</v>
      </c>
      <c r="C9447" t="str">
        <f>"9782760535046"</f>
        <v>9782760535046</v>
      </c>
      <c r="D9447" t="str">
        <f>"9782760535053"</f>
        <v>9782760535053</v>
      </c>
      <c r="E9447" t="s">
        <v>43423</v>
      </c>
      <c r="F9447" t="s">
        <v>43423</v>
      </c>
      <c r="G9447" s="1">
        <v>36526</v>
      </c>
      <c r="J9447" t="s">
        <v>44908</v>
      </c>
      <c r="K9447" t="s">
        <v>257</v>
      </c>
      <c r="M9447" t="s">
        <v>44537</v>
      </c>
      <c r="O9447" t="s">
        <v>94</v>
      </c>
      <c r="P9447">
        <v>18</v>
      </c>
      <c r="Q9447">
        <v>22.5</v>
      </c>
      <c r="R9447">
        <v>18</v>
      </c>
      <c r="S9447">
        <v>27</v>
      </c>
      <c r="T9447" t="s">
        <v>44909</v>
      </c>
    </row>
    <row r="9448" spans="1:20">
      <c r="A9448">
        <v>4796632</v>
      </c>
      <c r="B9448" t="s">
        <v>44910</v>
      </c>
      <c r="C9448" t="str">
        <f>"9782760531918"</f>
        <v>9782760531918</v>
      </c>
      <c r="D9448" t="str">
        <f>"9782760531925"</f>
        <v>9782760531925</v>
      </c>
      <c r="E9448" t="s">
        <v>43423</v>
      </c>
      <c r="F9448" t="s">
        <v>43423</v>
      </c>
      <c r="G9448" s="1">
        <v>41773</v>
      </c>
      <c r="J9448" t="s">
        <v>44911</v>
      </c>
      <c r="K9448" t="s">
        <v>263</v>
      </c>
      <c r="M9448">
        <v>303.32</v>
      </c>
      <c r="O9448" t="s">
        <v>94</v>
      </c>
      <c r="P9448">
        <v>60</v>
      </c>
      <c r="Q9448">
        <v>75</v>
      </c>
      <c r="R9448">
        <v>60</v>
      </c>
      <c r="S9448">
        <v>90</v>
      </c>
      <c r="T9448" t="s">
        <v>44912</v>
      </c>
    </row>
    <row r="9449" spans="1:20">
      <c r="A9449">
        <v>4796633</v>
      </c>
      <c r="B9449" t="s">
        <v>44913</v>
      </c>
      <c r="C9449" t="str">
        <f>"9782760534193"</f>
        <v>9782760534193</v>
      </c>
      <c r="D9449" t="str">
        <f>"9782760534209"</f>
        <v>9782760534209</v>
      </c>
      <c r="E9449" t="s">
        <v>43423</v>
      </c>
      <c r="F9449" t="s">
        <v>43423</v>
      </c>
      <c r="G9449" s="1">
        <v>41151</v>
      </c>
      <c r="J9449" t="s">
        <v>44914</v>
      </c>
      <c r="K9449" t="s">
        <v>263</v>
      </c>
      <c r="M9449">
        <v>302.23</v>
      </c>
      <c r="O9449" t="s">
        <v>94</v>
      </c>
      <c r="P9449">
        <v>16</v>
      </c>
      <c r="Q9449">
        <v>20</v>
      </c>
      <c r="R9449">
        <v>16</v>
      </c>
      <c r="S9449">
        <v>24</v>
      </c>
      <c r="T9449" t="s">
        <v>44915</v>
      </c>
    </row>
    <row r="9450" spans="1:20">
      <c r="A9450">
        <v>4796634</v>
      </c>
      <c r="B9450" t="s">
        <v>44916</v>
      </c>
      <c r="C9450" t="str">
        <f>"9782760531826"</f>
        <v>9782760531826</v>
      </c>
      <c r="D9450" t="str">
        <f>"9782760531833"</f>
        <v>9782760531833</v>
      </c>
      <c r="E9450" t="s">
        <v>43423</v>
      </c>
      <c r="F9450" t="s">
        <v>43423</v>
      </c>
      <c r="G9450" s="1">
        <v>36526</v>
      </c>
      <c r="H9450">
        <v>2</v>
      </c>
      <c r="J9450" t="s">
        <v>44917</v>
      </c>
      <c r="K9450" t="s">
        <v>1859</v>
      </c>
      <c r="M9450" t="s">
        <v>43804</v>
      </c>
      <c r="O9450" t="s">
        <v>94</v>
      </c>
      <c r="P9450">
        <v>30</v>
      </c>
      <c r="Q9450">
        <v>37.5</v>
      </c>
      <c r="R9450">
        <v>30</v>
      </c>
      <c r="S9450">
        <v>45</v>
      </c>
      <c r="T9450" t="s">
        <v>44918</v>
      </c>
    </row>
    <row r="9451" spans="1:20">
      <c r="A9451">
        <v>4796635</v>
      </c>
      <c r="B9451" t="s">
        <v>44919</v>
      </c>
      <c r="C9451" t="str">
        <f>"9782760534988"</f>
        <v>9782760534988</v>
      </c>
      <c r="D9451" t="str">
        <f>"9782760534995"</f>
        <v>9782760534995</v>
      </c>
      <c r="E9451" t="s">
        <v>43423</v>
      </c>
      <c r="F9451" t="s">
        <v>43423</v>
      </c>
      <c r="G9451" s="1">
        <v>36526</v>
      </c>
      <c r="J9451" t="s">
        <v>44920</v>
      </c>
      <c r="K9451" t="s">
        <v>263</v>
      </c>
      <c r="M9451">
        <v>361.30919999999998</v>
      </c>
      <c r="O9451" t="s">
        <v>94</v>
      </c>
      <c r="P9451">
        <v>25</v>
      </c>
      <c r="Q9451">
        <v>31.25</v>
      </c>
      <c r="R9451">
        <v>25</v>
      </c>
      <c r="S9451">
        <v>37.5</v>
      </c>
      <c r="T9451" t="s">
        <v>44921</v>
      </c>
    </row>
    <row r="9452" spans="1:20">
      <c r="A9452">
        <v>4796638</v>
      </c>
      <c r="B9452" t="s">
        <v>44922</v>
      </c>
      <c r="C9452" t="str">
        <f>"9782760530157"</f>
        <v>9782760530157</v>
      </c>
      <c r="D9452" t="str">
        <f>"9782760530164"</f>
        <v>9782760530164</v>
      </c>
      <c r="E9452" t="s">
        <v>43423</v>
      </c>
      <c r="F9452" t="s">
        <v>43423</v>
      </c>
      <c r="G9452" s="1">
        <v>41773</v>
      </c>
      <c r="J9452" t="s">
        <v>44923</v>
      </c>
      <c r="K9452" t="s">
        <v>263</v>
      </c>
      <c r="M9452">
        <v>362.76</v>
      </c>
      <c r="O9452" t="s">
        <v>94</v>
      </c>
      <c r="P9452">
        <v>48</v>
      </c>
      <c r="Q9452">
        <v>60</v>
      </c>
      <c r="R9452">
        <v>48</v>
      </c>
      <c r="S9452">
        <v>72</v>
      </c>
      <c r="T9452" t="s">
        <v>44924</v>
      </c>
    </row>
    <row r="9453" spans="1:20">
      <c r="A9453">
        <v>4796639</v>
      </c>
      <c r="B9453" t="s">
        <v>44925</v>
      </c>
      <c r="C9453" t="str">
        <f>"9782760533455"</f>
        <v>9782760533455</v>
      </c>
      <c r="D9453" t="str">
        <f>"9782760533462"</f>
        <v>9782760533462</v>
      </c>
      <c r="E9453" t="s">
        <v>43423</v>
      </c>
      <c r="F9453" t="s">
        <v>43423</v>
      </c>
      <c r="G9453" s="1">
        <v>36526</v>
      </c>
      <c r="J9453" t="s">
        <v>44926</v>
      </c>
      <c r="K9453" t="s">
        <v>278</v>
      </c>
      <c r="M9453" t="s">
        <v>44927</v>
      </c>
      <c r="O9453" t="s">
        <v>94</v>
      </c>
      <c r="P9453">
        <v>36</v>
      </c>
      <c r="Q9453">
        <v>45</v>
      </c>
      <c r="R9453">
        <v>36</v>
      </c>
      <c r="S9453">
        <v>54</v>
      </c>
      <c r="T9453" t="s">
        <v>44928</v>
      </c>
    </row>
    <row r="9454" spans="1:20">
      <c r="A9454">
        <v>4796640</v>
      </c>
      <c r="B9454" t="s">
        <v>44929</v>
      </c>
      <c r="C9454" t="str">
        <f>"9782760534131"</f>
        <v>9782760534131</v>
      </c>
      <c r="D9454" t="str">
        <f>"9782760534148"</f>
        <v>9782760534148</v>
      </c>
      <c r="E9454" t="s">
        <v>43423</v>
      </c>
      <c r="F9454" t="s">
        <v>43423</v>
      </c>
      <c r="G9454" s="1">
        <v>41030</v>
      </c>
      <c r="J9454" t="s">
        <v>44930</v>
      </c>
      <c r="K9454" t="s">
        <v>263</v>
      </c>
      <c r="M9454">
        <v>302.3</v>
      </c>
      <c r="O9454" t="s">
        <v>94</v>
      </c>
      <c r="P9454">
        <v>29</v>
      </c>
      <c r="Q9454">
        <v>36.25</v>
      </c>
      <c r="R9454">
        <v>29</v>
      </c>
      <c r="S9454">
        <v>43.5</v>
      </c>
      <c r="T9454" t="s">
        <v>44931</v>
      </c>
    </row>
    <row r="9455" spans="1:20">
      <c r="A9455">
        <v>4796641</v>
      </c>
      <c r="B9455" t="s">
        <v>44932</v>
      </c>
      <c r="C9455" t="str">
        <f>"9782760534797"</f>
        <v>9782760534797</v>
      </c>
      <c r="D9455" t="str">
        <f>"9782760534803"</f>
        <v>9782760534803</v>
      </c>
      <c r="E9455" t="s">
        <v>43423</v>
      </c>
      <c r="F9455" t="s">
        <v>43423</v>
      </c>
      <c r="G9455" s="1">
        <v>41773</v>
      </c>
      <c r="H9455">
        <v>2</v>
      </c>
      <c r="J9455" t="s">
        <v>44933</v>
      </c>
      <c r="K9455" t="s">
        <v>16707</v>
      </c>
      <c r="M9455">
        <v>4.68</v>
      </c>
      <c r="O9455" t="s">
        <v>94</v>
      </c>
      <c r="P9455">
        <v>110</v>
      </c>
      <c r="Q9455">
        <v>137.5</v>
      </c>
      <c r="R9455">
        <v>110</v>
      </c>
      <c r="S9455">
        <v>165</v>
      </c>
      <c r="T9455" t="s">
        <v>44934</v>
      </c>
    </row>
    <row r="9456" spans="1:20">
      <c r="A9456">
        <v>4796642</v>
      </c>
      <c r="B9456" t="s">
        <v>44935</v>
      </c>
      <c r="C9456" t="str">
        <f>"9782760533684"</f>
        <v>9782760533684</v>
      </c>
      <c r="D9456" t="str">
        <f>"9782760533691"</f>
        <v>9782760533691</v>
      </c>
      <c r="E9456" t="s">
        <v>43423</v>
      </c>
      <c r="F9456" t="s">
        <v>43423</v>
      </c>
      <c r="G9456" s="1">
        <v>36526</v>
      </c>
      <c r="J9456" t="s">
        <v>44936</v>
      </c>
      <c r="K9456" t="s">
        <v>257</v>
      </c>
      <c r="M9456" t="s">
        <v>44937</v>
      </c>
      <c r="O9456" t="s">
        <v>94</v>
      </c>
      <c r="P9456">
        <v>32</v>
      </c>
      <c r="Q9456">
        <v>40</v>
      </c>
      <c r="R9456">
        <v>32</v>
      </c>
      <c r="S9456">
        <v>48</v>
      </c>
      <c r="T9456" t="s">
        <v>44938</v>
      </c>
    </row>
    <row r="9457" spans="1:20">
      <c r="A9457">
        <v>4796643</v>
      </c>
      <c r="B9457" t="s">
        <v>44939</v>
      </c>
      <c r="C9457" t="str">
        <f>"9782760532878"</f>
        <v>9782760532878</v>
      </c>
      <c r="D9457" t="str">
        <f>"9782760532885"</f>
        <v>9782760532885</v>
      </c>
      <c r="E9457" t="s">
        <v>43423</v>
      </c>
      <c r="F9457" t="s">
        <v>43423</v>
      </c>
      <c r="G9457" s="1">
        <v>41157</v>
      </c>
      <c r="J9457" t="s">
        <v>44940</v>
      </c>
      <c r="K9457" t="s">
        <v>263</v>
      </c>
      <c r="M9457">
        <v>303.48200000000003</v>
      </c>
      <c r="O9457" t="s">
        <v>94</v>
      </c>
      <c r="P9457">
        <v>34</v>
      </c>
      <c r="Q9457">
        <v>42.5</v>
      </c>
      <c r="R9457">
        <v>34</v>
      </c>
      <c r="S9457">
        <v>51</v>
      </c>
      <c r="T9457" t="s">
        <v>44941</v>
      </c>
    </row>
    <row r="9458" spans="1:20">
      <c r="A9458">
        <v>4796647</v>
      </c>
      <c r="B9458" t="s">
        <v>44942</v>
      </c>
      <c r="C9458" t="str">
        <f>"9782760533981"</f>
        <v>9782760533981</v>
      </c>
      <c r="D9458" t="str">
        <f>"9782760533998"</f>
        <v>9782760533998</v>
      </c>
      <c r="E9458" t="s">
        <v>43423</v>
      </c>
      <c r="F9458" t="s">
        <v>43423</v>
      </c>
      <c r="G9458" s="1">
        <v>36526</v>
      </c>
      <c r="J9458" t="s">
        <v>44943</v>
      </c>
      <c r="K9458" t="s">
        <v>257</v>
      </c>
      <c r="M9458" t="s">
        <v>44944</v>
      </c>
      <c r="O9458" t="s">
        <v>94</v>
      </c>
      <c r="P9458">
        <v>29</v>
      </c>
      <c r="Q9458">
        <v>36.25</v>
      </c>
      <c r="R9458">
        <v>29</v>
      </c>
      <c r="S9458">
        <v>43.5</v>
      </c>
      <c r="T9458" t="s">
        <v>44945</v>
      </c>
    </row>
    <row r="9459" spans="1:20">
      <c r="A9459">
        <v>4796650</v>
      </c>
      <c r="B9459" t="s">
        <v>44946</v>
      </c>
      <c r="C9459" t="str">
        <f>"9782760534315"</f>
        <v>9782760534315</v>
      </c>
      <c r="D9459" t="str">
        <f>"9782760534322"</f>
        <v>9782760534322</v>
      </c>
      <c r="E9459" t="s">
        <v>43423</v>
      </c>
      <c r="F9459" t="s">
        <v>43423</v>
      </c>
      <c r="G9459" s="1">
        <v>36526</v>
      </c>
      <c r="J9459" t="s">
        <v>33345</v>
      </c>
      <c r="K9459" t="s">
        <v>305</v>
      </c>
      <c r="M9459" t="s">
        <v>846</v>
      </c>
      <c r="O9459" t="s">
        <v>94</v>
      </c>
      <c r="P9459">
        <v>35</v>
      </c>
      <c r="Q9459">
        <v>43.75</v>
      </c>
      <c r="R9459">
        <v>35</v>
      </c>
      <c r="S9459">
        <v>52.5</v>
      </c>
      <c r="T9459" t="s">
        <v>44947</v>
      </c>
    </row>
    <row r="9460" spans="1:20">
      <c r="A9460">
        <v>4796651</v>
      </c>
      <c r="B9460" t="s">
        <v>44948</v>
      </c>
      <c r="C9460" t="str">
        <f>"9782760534032"</f>
        <v>9782760534032</v>
      </c>
      <c r="D9460" t="str">
        <f>"9782760534049"</f>
        <v>9782760534049</v>
      </c>
      <c r="E9460" t="s">
        <v>43423</v>
      </c>
      <c r="F9460" t="s">
        <v>43423</v>
      </c>
      <c r="G9460" s="1">
        <v>41030</v>
      </c>
      <c r="J9460" t="s">
        <v>25470</v>
      </c>
      <c r="K9460" t="s">
        <v>24615</v>
      </c>
      <c r="M9460">
        <v>69</v>
      </c>
      <c r="O9460" t="s">
        <v>94</v>
      </c>
      <c r="P9460">
        <v>33</v>
      </c>
      <c r="Q9460">
        <v>41.25</v>
      </c>
      <c r="R9460">
        <v>33</v>
      </c>
      <c r="S9460">
        <v>49.5</v>
      </c>
      <c r="T9460" t="s">
        <v>44949</v>
      </c>
    </row>
    <row r="9461" spans="1:20">
      <c r="A9461">
        <v>4796652</v>
      </c>
      <c r="B9461" t="s">
        <v>44950</v>
      </c>
      <c r="C9461" t="str">
        <f>"9782760534896"</f>
        <v>9782760534896</v>
      </c>
      <c r="D9461" t="str">
        <f>"9782760534902"</f>
        <v>9782760534902</v>
      </c>
      <c r="E9461" t="s">
        <v>43423</v>
      </c>
      <c r="F9461" t="s">
        <v>43423</v>
      </c>
      <c r="G9461" s="1">
        <v>41773</v>
      </c>
      <c r="J9461" t="s">
        <v>44951</v>
      </c>
      <c r="K9461" t="s">
        <v>791</v>
      </c>
      <c r="M9461">
        <v>570.15195000000006</v>
      </c>
      <c r="O9461" t="s">
        <v>94</v>
      </c>
      <c r="P9461">
        <v>55</v>
      </c>
      <c r="Q9461">
        <v>68.75</v>
      </c>
      <c r="R9461">
        <v>55</v>
      </c>
      <c r="S9461">
        <v>82.5</v>
      </c>
      <c r="T9461" t="s">
        <v>44952</v>
      </c>
    </row>
    <row r="9462" spans="1:20">
      <c r="A9462">
        <v>4796653</v>
      </c>
      <c r="B9462" t="s">
        <v>44953</v>
      </c>
      <c r="C9462" t="str">
        <f>"9782760534551"</f>
        <v>9782760534551</v>
      </c>
      <c r="D9462" t="str">
        <f>"9782760534568"</f>
        <v>9782760534568</v>
      </c>
      <c r="E9462" t="s">
        <v>43423</v>
      </c>
      <c r="F9462" t="s">
        <v>43423</v>
      </c>
      <c r="G9462" s="1">
        <v>36526</v>
      </c>
      <c r="J9462" t="s">
        <v>44954</v>
      </c>
      <c r="K9462" t="s">
        <v>467</v>
      </c>
      <c r="M9462">
        <v>327.73</v>
      </c>
      <c r="O9462" t="s">
        <v>94</v>
      </c>
      <c r="P9462">
        <v>34</v>
      </c>
      <c r="Q9462">
        <v>42.5</v>
      </c>
      <c r="R9462">
        <v>34</v>
      </c>
      <c r="S9462">
        <v>51</v>
      </c>
      <c r="T9462" t="s">
        <v>44955</v>
      </c>
    </row>
    <row r="9463" spans="1:20">
      <c r="A9463">
        <v>4796655</v>
      </c>
      <c r="B9463" t="s">
        <v>44956</v>
      </c>
      <c r="C9463" t="str">
        <f>"9782760526273"</f>
        <v>9782760526273</v>
      </c>
      <c r="D9463" t="str">
        <f>"9782760526280"</f>
        <v>9782760526280</v>
      </c>
      <c r="E9463" t="s">
        <v>43423</v>
      </c>
      <c r="F9463" t="s">
        <v>43423</v>
      </c>
      <c r="G9463" s="1">
        <v>36526</v>
      </c>
      <c r="J9463" t="s">
        <v>44957</v>
      </c>
      <c r="K9463" t="s">
        <v>278</v>
      </c>
      <c r="M9463">
        <v>338.20970999999997</v>
      </c>
      <c r="O9463" t="s">
        <v>94</v>
      </c>
      <c r="P9463">
        <v>39</v>
      </c>
      <c r="Q9463">
        <v>48.75</v>
      </c>
      <c r="R9463">
        <v>39</v>
      </c>
      <c r="S9463">
        <v>58.5</v>
      </c>
      <c r="T9463" t="s">
        <v>44958</v>
      </c>
    </row>
    <row r="9464" spans="1:20">
      <c r="A9464">
        <v>4796656</v>
      </c>
      <c r="B9464" t="s">
        <v>44959</v>
      </c>
      <c r="C9464" t="str">
        <f>"9782760533516"</f>
        <v>9782760533516</v>
      </c>
      <c r="D9464" t="str">
        <f>"9782760533523"</f>
        <v>9782760533523</v>
      </c>
      <c r="E9464" t="s">
        <v>43423</v>
      </c>
      <c r="F9464" t="s">
        <v>43423</v>
      </c>
      <c r="G9464" s="1">
        <v>36526</v>
      </c>
      <c r="J9464" t="s">
        <v>44960</v>
      </c>
      <c r="K9464" t="s">
        <v>291</v>
      </c>
      <c r="M9464" t="s">
        <v>44961</v>
      </c>
      <c r="O9464" t="s">
        <v>94</v>
      </c>
      <c r="P9464">
        <v>20</v>
      </c>
      <c r="Q9464">
        <v>25</v>
      </c>
      <c r="R9464">
        <v>20</v>
      </c>
      <c r="S9464">
        <v>30</v>
      </c>
      <c r="T9464" t="s">
        <v>44962</v>
      </c>
    </row>
    <row r="9465" spans="1:20">
      <c r="A9465">
        <v>4796658</v>
      </c>
      <c r="B9465" t="s">
        <v>44963</v>
      </c>
      <c r="C9465" t="str">
        <f>"9782763797106"</f>
        <v>9782763797106</v>
      </c>
      <c r="D9465" t="str">
        <f>"9782763797113"</f>
        <v>9782763797113</v>
      </c>
      <c r="E9465" t="s">
        <v>43877</v>
      </c>
      <c r="F9465" t="s">
        <v>43877</v>
      </c>
      <c r="G9465" s="1">
        <v>41261</v>
      </c>
      <c r="I9465" t="s">
        <v>44964</v>
      </c>
      <c r="J9465" t="s">
        <v>44827</v>
      </c>
      <c r="K9465" t="s">
        <v>1127</v>
      </c>
      <c r="M9465">
        <v>155.5</v>
      </c>
      <c r="O9465" t="s">
        <v>94</v>
      </c>
      <c r="P9465">
        <v>19.95</v>
      </c>
      <c r="Q9465">
        <v>24.94</v>
      </c>
      <c r="R9465">
        <v>19.95</v>
      </c>
      <c r="S9465">
        <v>29.93</v>
      </c>
      <c r="T9465" t="s">
        <v>44965</v>
      </c>
    </row>
    <row r="9466" spans="1:20">
      <c r="A9466">
        <v>4796659</v>
      </c>
      <c r="B9466" t="s">
        <v>44966</v>
      </c>
      <c r="C9466" t="str">
        <f>"9782763799179"</f>
        <v>9782763799179</v>
      </c>
      <c r="D9466" t="str">
        <f>"9782763799186"</f>
        <v>9782763799186</v>
      </c>
      <c r="E9466" t="s">
        <v>43877</v>
      </c>
      <c r="F9466" t="s">
        <v>43877</v>
      </c>
      <c r="G9466" s="1">
        <v>41261</v>
      </c>
      <c r="I9466" t="s">
        <v>44255</v>
      </c>
      <c r="J9466" t="s">
        <v>44967</v>
      </c>
      <c r="K9466" t="s">
        <v>467</v>
      </c>
      <c r="M9466">
        <v>320.89999999999998</v>
      </c>
      <c r="O9466" t="s">
        <v>94</v>
      </c>
      <c r="P9466">
        <v>48.95</v>
      </c>
      <c r="Q9466">
        <v>61.19</v>
      </c>
      <c r="R9466">
        <v>48.95</v>
      </c>
      <c r="S9466">
        <v>73.430000000000007</v>
      </c>
      <c r="T9466" t="s">
        <v>44968</v>
      </c>
    </row>
    <row r="9467" spans="1:20">
      <c r="A9467">
        <v>4796660</v>
      </c>
      <c r="B9467" t="s">
        <v>44969</v>
      </c>
      <c r="C9467" t="str">
        <f>"9782763798639"</f>
        <v>9782763798639</v>
      </c>
      <c r="D9467" t="str">
        <f>"9782763798646"</f>
        <v>9782763798646</v>
      </c>
      <c r="E9467" t="s">
        <v>43877</v>
      </c>
      <c r="F9467" t="s">
        <v>43877</v>
      </c>
      <c r="G9467" s="1">
        <v>41640</v>
      </c>
      <c r="H9467">
        <v>2</v>
      </c>
      <c r="I9467" t="s">
        <v>43283</v>
      </c>
      <c r="J9467" t="s">
        <v>44970</v>
      </c>
      <c r="K9467" t="s">
        <v>263</v>
      </c>
      <c r="M9467">
        <v>302.23</v>
      </c>
      <c r="O9467" t="s">
        <v>94</v>
      </c>
      <c r="P9467">
        <v>35</v>
      </c>
      <c r="Q9467">
        <v>43.75</v>
      </c>
      <c r="R9467">
        <v>35</v>
      </c>
      <c r="S9467">
        <v>52.5</v>
      </c>
      <c r="T9467" t="s">
        <v>44971</v>
      </c>
    </row>
    <row r="9468" spans="1:20">
      <c r="A9468">
        <v>4796661</v>
      </c>
      <c r="B9468" t="s">
        <v>44972</v>
      </c>
      <c r="C9468" t="str">
        <f>"9782763799599"</f>
        <v>9782763799599</v>
      </c>
      <c r="D9468" t="str">
        <f>"9782763799605"</f>
        <v>9782763799605</v>
      </c>
      <c r="E9468" t="s">
        <v>43877</v>
      </c>
      <c r="F9468" t="s">
        <v>43877</v>
      </c>
      <c r="G9468" s="1">
        <v>41261</v>
      </c>
      <c r="I9468" t="s">
        <v>43283</v>
      </c>
      <c r="J9468" t="s">
        <v>44973</v>
      </c>
      <c r="K9468" t="s">
        <v>291</v>
      </c>
      <c r="M9468">
        <v>971.03399999999999</v>
      </c>
      <c r="O9468" t="s">
        <v>94</v>
      </c>
      <c r="P9468">
        <v>24.95</v>
      </c>
      <c r="Q9468">
        <v>31.19</v>
      </c>
      <c r="R9468">
        <v>24.95</v>
      </c>
      <c r="S9468">
        <v>37.43</v>
      </c>
      <c r="T9468" t="s">
        <v>44974</v>
      </c>
    </row>
    <row r="9469" spans="1:20">
      <c r="A9469">
        <v>4796663</v>
      </c>
      <c r="B9469" t="s">
        <v>44975</v>
      </c>
      <c r="C9469" t="str">
        <f>"9782763797793"</f>
        <v>9782763797793</v>
      </c>
      <c r="D9469" t="str">
        <f>"9782763797809"</f>
        <v>9782763797809</v>
      </c>
      <c r="E9469" t="s">
        <v>43877</v>
      </c>
      <c r="F9469" t="s">
        <v>43877</v>
      </c>
      <c r="G9469" s="1">
        <v>41261</v>
      </c>
      <c r="I9469" t="s">
        <v>44976</v>
      </c>
      <c r="J9469" t="s">
        <v>44977</v>
      </c>
      <c r="K9469" t="s">
        <v>291</v>
      </c>
      <c r="M9469">
        <v>971.4</v>
      </c>
      <c r="O9469" t="s">
        <v>94</v>
      </c>
      <c r="P9469">
        <v>29.95</v>
      </c>
      <c r="Q9469">
        <v>37.44</v>
      </c>
      <c r="R9469">
        <v>29.95</v>
      </c>
      <c r="S9469">
        <v>44.93</v>
      </c>
      <c r="T9469" t="s">
        <v>44978</v>
      </c>
    </row>
    <row r="9470" spans="1:20">
      <c r="A9470">
        <v>4796664</v>
      </c>
      <c r="B9470" t="s">
        <v>44979</v>
      </c>
      <c r="C9470" t="str">
        <f>"9782763715933"</f>
        <v>9782763715933</v>
      </c>
      <c r="D9470" t="str">
        <f>"9782763715940"</f>
        <v>9782763715940</v>
      </c>
      <c r="E9470" t="s">
        <v>43877</v>
      </c>
      <c r="F9470" t="s">
        <v>43877</v>
      </c>
      <c r="G9470" s="1">
        <v>41640</v>
      </c>
      <c r="I9470" t="s">
        <v>43283</v>
      </c>
      <c r="J9470" t="s">
        <v>44980</v>
      </c>
      <c r="K9470" t="s">
        <v>1464</v>
      </c>
      <c r="M9470">
        <v>810.9</v>
      </c>
      <c r="O9470" t="s">
        <v>94</v>
      </c>
      <c r="P9470">
        <v>27</v>
      </c>
      <c r="Q9470">
        <v>33.75</v>
      </c>
      <c r="R9470">
        <v>27</v>
      </c>
      <c r="S9470">
        <v>40.5</v>
      </c>
      <c r="T9470" t="s">
        <v>44981</v>
      </c>
    </row>
    <row r="9471" spans="1:20">
      <c r="A9471">
        <v>4796665</v>
      </c>
      <c r="B9471" t="s">
        <v>44982</v>
      </c>
      <c r="C9471" t="str">
        <f>"9782763797250"</f>
        <v>9782763797250</v>
      </c>
      <c r="D9471" t="str">
        <f>"9782763797267"</f>
        <v>9782763797267</v>
      </c>
      <c r="E9471" t="s">
        <v>43877</v>
      </c>
      <c r="F9471" t="s">
        <v>43877</v>
      </c>
      <c r="G9471" s="1">
        <v>41640</v>
      </c>
      <c r="I9471" t="s">
        <v>44983</v>
      </c>
      <c r="J9471" t="s">
        <v>44984</v>
      </c>
      <c r="K9471" t="s">
        <v>263</v>
      </c>
      <c r="M9471">
        <v>303.66000000000003</v>
      </c>
      <c r="O9471" t="s">
        <v>94</v>
      </c>
      <c r="P9471">
        <v>25</v>
      </c>
      <c r="Q9471">
        <v>31.25</v>
      </c>
      <c r="R9471">
        <v>25</v>
      </c>
      <c r="S9471">
        <v>37.5</v>
      </c>
      <c r="T9471" t="s">
        <v>44985</v>
      </c>
    </row>
    <row r="9472" spans="1:20">
      <c r="A9472">
        <v>4796666</v>
      </c>
      <c r="B9472" t="s">
        <v>44986</v>
      </c>
      <c r="C9472" t="str">
        <f>"9782763787305"</f>
        <v>9782763787305</v>
      </c>
      <c r="D9472" t="str">
        <f>"9782763707303"</f>
        <v>9782763707303</v>
      </c>
      <c r="E9472" t="s">
        <v>43877</v>
      </c>
      <c r="F9472" t="s">
        <v>43877</v>
      </c>
      <c r="G9472" s="1">
        <v>41211</v>
      </c>
      <c r="I9472" t="s">
        <v>43283</v>
      </c>
      <c r="J9472" t="s">
        <v>44488</v>
      </c>
      <c r="K9472" t="s">
        <v>1063</v>
      </c>
      <c r="M9472">
        <v>333.7</v>
      </c>
      <c r="O9472" t="s">
        <v>94</v>
      </c>
      <c r="P9472">
        <v>30</v>
      </c>
      <c r="Q9472">
        <v>37.5</v>
      </c>
      <c r="R9472">
        <v>30</v>
      </c>
      <c r="S9472">
        <v>45</v>
      </c>
      <c r="T9472" t="s">
        <v>44987</v>
      </c>
    </row>
    <row r="9473" spans="1:20">
      <c r="A9473">
        <v>4796667</v>
      </c>
      <c r="B9473" t="s">
        <v>44988</v>
      </c>
      <c r="C9473" t="str">
        <f>"9782763715902"</f>
        <v>9782763715902</v>
      </c>
      <c r="D9473" t="str">
        <f>"9782763715919"</f>
        <v>9782763715919</v>
      </c>
      <c r="E9473" t="s">
        <v>43877</v>
      </c>
      <c r="F9473" t="s">
        <v>43877</v>
      </c>
      <c r="G9473" s="1">
        <v>41640</v>
      </c>
      <c r="I9473" t="s">
        <v>43283</v>
      </c>
      <c r="J9473" t="s">
        <v>44989</v>
      </c>
      <c r="K9473" t="s">
        <v>305</v>
      </c>
      <c r="M9473">
        <v>658.8</v>
      </c>
      <c r="O9473" t="s">
        <v>94</v>
      </c>
      <c r="P9473">
        <v>25</v>
      </c>
      <c r="Q9473">
        <v>31.25</v>
      </c>
      <c r="R9473">
        <v>25</v>
      </c>
      <c r="S9473">
        <v>37.5</v>
      </c>
      <c r="T9473" t="s">
        <v>44990</v>
      </c>
    </row>
    <row r="9474" spans="1:20">
      <c r="A9474">
        <v>4796669</v>
      </c>
      <c r="B9474" t="s">
        <v>44991</v>
      </c>
      <c r="C9474" t="str">
        <f>"9782763798691"</f>
        <v>9782763798691</v>
      </c>
      <c r="D9474" t="str">
        <f>"9782763798707"</f>
        <v>9782763798707</v>
      </c>
      <c r="E9474" t="s">
        <v>43877</v>
      </c>
      <c r="F9474" t="s">
        <v>43877</v>
      </c>
      <c r="G9474" s="1">
        <v>40909</v>
      </c>
      <c r="I9474" t="s">
        <v>44251</v>
      </c>
      <c r="J9474" t="s">
        <v>44992</v>
      </c>
      <c r="K9474" t="s">
        <v>1464</v>
      </c>
      <c r="M9474">
        <v>840.90092000000004</v>
      </c>
      <c r="O9474" t="s">
        <v>94</v>
      </c>
      <c r="P9474">
        <v>19.95</v>
      </c>
      <c r="Q9474">
        <v>24.94</v>
      </c>
      <c r="R9474">
        <v>19.95</v>
      </c>
      <c r="S9474">
        <v>29.93</v>
      </c>
      <c r="T9474" t="s">
        <v>44993</v>
      </c>
    </row>
    <row r="9475" spans="1:20">
      <c r="A9475">
        <v>4796672</v>
      </c>
      <c r="B9475" t="s">
        <v>44994</v>
      </c>
      <c r="C9475" t="str">
        <f>"9782763786087"</f>
        <v>9782763786087</v>
      </c>
      <c r="D9475" t="str">
        <f>"9782763706085"</f>
        <v>9782763706085</v>
      </c>
      <c r="E9475" t="s">
        <v>43877</v>
      </c>
      <c r="F9475" t="s">
        <v>43877</v>
      </c>
      <c r="G9475" s="1">
        <v>41262</v>
      </c>
      <c r="I9475" t="s">
        <v>43951</v>
      </c>
      <c r="J9475" t="s">
        <v>43952</v>
      </c>
      <c r="K9475" t="s">
        <v>1464</v>
      </c>
      <c r="M9475">
        <v>840.90030000000002</v>
      </c>
      <c r="O9475" t="s">
        <v>94</v>
      </c>
      <c r="P9475">
        <v>39.950000000000003</v>
      </c>
      <c r="Q9475">
        <v>49.94</v>
      </c>
      <c r="R9475">
        <v>39.950000000000003</v>
      </c>
      <c r="S9475">
        <v>59.93</v>
      </c>
      <c r="T9475" t="s">
        <v>44995</v>
      </c>
    </row>
    <row r="9476" spans="1:20">
      <c r="A9476">
        <v>4796673</v>
      </c>
      <c r="B9476" t="s">
        <v>44996</v>
      </c>
      <c r="C9476" t="str">
        <f>"9782763795935"</f>
        <v>9782763795935</v>
      </c>
      <c r="D9476" t="str">
        <f>"9782763795942"</f>
        <v>9782763795942</v>
      </c>
      <c r="E9476" t="s">
        <v>43877</v>
      </c>
      <c r="F9476" t="s">
        <v>43877</v>
      </c>
      <c r="G9476" s="1">
        <v>41640</v>
      </c>
      <c r="I9476" t="s">
        <v>44819</v>
      </c>
      <c r="J9476" t="s">
        <v>44997</v>
      </c>
      <c r="K9476" t="s">
        <v>263</v>
      </c>
      <c r="M9476">
        <v>301.01</v>
      </c>
      <c r="O9476" t="s">
        <v>94</v>
      </c>
      <c r="P9476">
        <v>40</v>
      </c>
      <c r="Q9476">
        <v>50</v>
      </c>
      <c r="R9476">
        <v>40</v>
      </c>
      <c r="S9476">
        <v>60</v>
      </c>
      <c r="T9476" t="s">
        <v>44998</v>
      </c>
    </row>
    <row r="9477" spans="1:20">
      <c r="A9477">
        <v>4796674</v>
      </c>
      <c r="B9477" t="s">
        <v>44999</v>
      </c>
      <c r="C9477" t="str">
        <f>"9782763715605"</f>
        <v>9782763715605</v>
      </c>
      <c r="D9477" t="str">
        <f>"9782763715612"</f>
        <v>9782763715612</v>
      </c>
      <c r="E9477" t="s">
        <v>43877</v>
      </c>
      <c r="F9477" t="s">
        <v>43877</v>
      </c>
      <c r="G9477" s="1">
        <v>41325</v>
      </c>
      <c r="J9477" t="s">
        <v>45000</v>
      </c>
      <c r="K9477" t="s">
        <v>1471</v>
      </c>
      <c r="M9477">
        <v>700.79</v>
      </c>
      <c r="O9477" t="s">
        <v>94</v>
      </c>
      <c r="P9477">
        <v>25</v>
      </c>
      <c r="Q9477">
        <v>31.25</v>
      </c>
      <c r="R9477">
        <v>25</v>
      </c>
      <c r="S9477">
        <v>37.5</v>
      </c>
      <c r="T9477" t="s">
        <v>45001</v>
      </c>
    </row>
    <row r="9478" spans="1:20">
      <c r="A9478">
        <v>4796675</v>
      </c>
      <c r="B9478" t="s">
        <v>45002</v>
      </c>
      <c r="C9478" t="str">
        <f>"9782763796802"</f>
        <v>9782763796802</v>
      </c>
      <c r="D9478" t="str">
        <f>"9782763796819"</f>
        <v>9782763796819</v>
      </c>
      <c r="E9478" t="s">
        <v>43877</v>
      </c>
      <c r="F9478" t="s">
        <v>43877</v>
      </c>
      <c r="G9478" s="1">
        <v>41261</v>
      </c>
      <c r="I9478" t="s">
        <v>44819</v>
      </c>
      <c r="J9478" t="s">
        <v>45003</v>
      </c>
      <c r="K9478" t="s">
        <v>263</v>
      </c>
      <c r="M9478">
        <v>398.24540000000002</v>
      </c>
      <c r="O9478" t="s">
        <v>94</v>
      </c>
      <c r="P9478">
        <v>39.950000000000003</v>
      </c>
      <c r="Q9478">
        <v>49.94</v>
      </c>
      <c r="R9478">
        <v>39.950000000000003</v>
      </c>
      <c r="S9478">
        <v>59.93</v>
      </c>
      <c r="T9478" t="s">
        <v>45004</v>
      </c>
    </row>
    <row r="9479" spans="1:20">
      <c r="A9479">
        <v>4796676</v>
      </c>
      <c r="B9479" t="s">
        <v>45005</v>
      </c>
      <c r="C9479" t="str">
        <f>"9782763792873"</f>
        <v>9782763792873</v>
      </c>
      <c r="D9479" t="str">
        <f>"9782763792880"</f>
        <v>9782763792880</v>
      </c>
      <c r="E9479" t="s">
        <v>43877</v>
      </c>
      <c r="F9479" t="s">
        <v>43877</v>
      </c>
      <c r="G9479" s="1">
        <v>41983</v>
      </c>
      <c r="I9479" t="s">
        <v>45006</v>
      </c>
      <c r="J9479" t="s">
        <v>45007</v>
      </c>
      <c r="K9479" t="s">
        <v>467</v>
      </c>
      <c r="M9479">
        <v>320.54000000000002</v>
      </c>
      <c r="O9479" t="s">
        <v>94</v>
      </c>
      <c r="P9479">
        <v>30</v>
      </c>
      <c r="Q9479">
        <v>37.5</v>
      </c>
      <c r="R9479">
        <v>30</v>
      </c>
      <c r="S9479">
        <v>45</v>
      </c>
      <c r="T9479" t="s">
        <v>45008</v>
      </c>
    </row>
    <row r="9480" spans="1:20">
      <c r="A9480">
        <v>4796677</v>
      </c>
      <c r="B9480" t="s">
        <v>45009</v>
      </c>
      <c r="C9480" t="str">
        <f>"9782763799322"</f>
        <v>9782763799322</v>
      </c>
      <c r="D9480" t="str">
        <f>"9782763799339"</f>
        <v>9782763799339</v>
      </c>
      <c r="E9480" t="s">
        <v>43877</v>
      </c>
      <c r="F9480" t="s">
        <v>43877</v>
      </c>
      <c r="G9480" s="1">
        <v>41261</v>
      </c>
      <c r="I9480" t="s">
        <v>43283</v>
      </c>
      <c r="J9480" t="s">
        <v>45010</v>
      </c>
      <c r="K9480" t="s">
        <v>305</v>
      </c>
      <c r="M9480">
        <v>384.54</v>
      </c>
      <c r="O9480" t="s">
        <v>94</v>
      </c>
      <c r="P9480">
        <v>29.95</v>
      </c>
      <c r="Q9480">
        <v>37.44</v>
      </c>
      <c r="R9480">
        <v>29.95</v>
      </c>
      <c r="S9480">
        <v>44.93</v>
      </c>
      <c r="T9480" t="s">
        <v>45011</v>
      </c>
    </row>
    <row r="9481" spans="1:20">
      <c r="A9481">
        <v>4796678</v>
      </c>
      <c r="B9481" t="s">
        <v>45012</v>
      </c>
      <c r="C9481" t="str">
        <f>"9782763798486"</f>
        <v>9782763798486</v>
      </c>
      <c r="D9481" t="str">
        <f>"9782763798493"</f>
        <v>9782763798493</v>
      </c>
      <c r="E9481" t="s">
        <v>43877</v>
      </c>
      <c r="F9481" t="s">
        <v>43877</v>
      </c>
      <c r="G9481" s="1">
        <v>41261</v>
      </c>
      <c r="I9481" t="s">
        <v>43283</v>
      </c>
      <c r="J9481" t="s">
        <v>45013</v>
      </c>
      <c r="K9481" t="s">
        <v>291</v>
      </c>
      <c r="M9481">
        <v>971.4</v>
      </c>
      <c r="O9481" t="s">
        <v>94</v>
      </c>
      <c r="P9481">
        <v>34.950000000000003</v>
      </c>
      <c r="Q9481">
        <v>43.69</v>
      </c>
      <c r="R9481">
        <v>34.950000000000003</v>
      </c>
      <c r="S9481">
        <v>52.43</v>
      </c>
      <c r="T9481" t="s">
        <v>45014</v>
      </c>
    </row>
    <row r="9482" spans="1:20">
      <c r="A9482">
        <v>4796679</v>
      </c>
      <c r="B9482" t="s">
        <v>45015</v>
      </c>
      <c r="C9482" t="str">
        <f>"9782763790688"</f>
        <v>9782763790688</v>
      </c>
      <c r="D9482" t="str">
        <f>"9782763710686"</f>
        <v>9782763710686</v>
      </c>
      <c r="E9482" t="s">
        <v>43877</v>
      </c>
      <c r="F9482" t="s">
        <v>43877</v>
      </c>
      <c r="G9482" s="1">
        <v>41368</v>
      </c>
      <c r="I9482" t="s">
        <v>43283</v>
      </c>
      <c r="J9482" t="s">
        <v>3807</v>
      </c>
      <c r="K9482" t="s">
        <v>1464</v>
      </c>
      <c r="M9482">
        <v>810.9</v>
      </c>
      <c r="O9482" t="s">
        <v>94</v>
      </c>
      <c r="P9482">
        <v>47</v>
      </c>
      <c r="Q9482">
        <v>58.75</v>
      </c>
      <c r="R9482">
        <v>47</v>
      </c>
      <c r="S9482">
        <v>70.5</v>
      </c>
      <c r="T9482" t="s">
        <v>45016</v>
      </c>
    </row>
    <row r="9483" spans="1:20">
      <c r="A9483">
        <v>4796680</v>
      </c>
      <c r="B9483" t="s">
        <v>45017</v>
      </c>
      <c r="C9483" t="str">
        <f>"9782763799803"</f>
        <v>9782763799803</v>
      </c>
      <c r="D9483" t="str">
        <f>"9782763799810"</f>
        <v>9782763799810</v>
      </c>
      <c r="E9483" t="s">
        <v>43877</v>
      </c>
      <c r="F9483" t="s">
        <v>43877</v>
      </c>
      <c r="G9483" s="1">
        <v>41969</v>
      </c>
      <c r="I9483" t="s">
        <v>43932</v>
      </c>
      <c r="J9483" t="s">
        <v>45018</v>
      </c>
      <c r="K9483" t="s">
        <v>305</v>
      </c>
      <c r="M9483">
        <v>658.40200000000004</v>
      </c>
      <c r="O9483" t="s">
        <v>94</v>
      </c>
      <c r="P9483">
        <v>32</v>
      </c>
      <c r="Q9483">
        <v>40</v>
      </c>
      <c r="R9483">
        <v>32</v>
      </c>
      <c r="S9483">
        <v>48</v>
      </c>
      <c r="T9483" t="s">
        <v>45019</v>
      </c>
    </row>
    <row r="9484" spans="1:20">
      <c r="A9484">
        <v>4796682</v>
      </c>
      <c r="B9484" t="s">
        <v>45020</v>
      </c>
      <c r="C9484" t="str">
        <f>"9782763798240"</f>
        <v>9782763798240</v>
      </c>
      <c r="D9484" t="str">
        <f>"9782763798257"</f>
        <v>9782763798257</v>
      </c>
      <c r="E9484" t="s">
        <v>43877</v>
      </c>
      <c r="F9484" t="s">
        <v>43877</v>
      </c>
      <c r="G9484" s="1">
        <v>41368</v>
      </c>
      <c r="I9484" t="s">
        <v>43951</v>
      </c>
      <c r="J9484" t="s">
        <v>43952</v>
      </c>
      <c r="K9484" t="s">
        <v>291</v>
      </c>
      <c r="M9484">
        <v>971.03399999999999</v>
      </c>
      <c r="O9484" t="s">
        <v>94</v>
      </c>
      <c r="P9484">
        <v>19.95</v>
      </c>
      <c r="Q9484">
        <v>24.94</v>
      </c>
      <c r="R9484">
        <v>19.95</v>
      </c>
      <c r="S9484">
        <v>29.93</v>
      </c>
      <c r="T9484" t="s">
        <v>45021</v>
      </c>
    </row>
    <row r="9485" spans="1:20">
      <c r="A9485">
        <v>4796683</v>
      </c>
      <c r="B9485" t="s">
        <v>45022</v>
      </c>
      <c r="C9485" t="str">
        <f>"9782763795812"</f>
        <v>9782763795812</v>
      </c>
      <c r="D9485" t="str">
        <f>"9782763795829"</f>
        <v>9782763795829</v>
      </c>
      <c r="E9485" t="s">
        <v>43877</v>
      </c>
      <c r="F9485" t="s">
        <v>43877</v>
      </c>
      <c r="G9485" s="1">
        <v>41261</v>
      </c>
      <c r="I9485" t="s">
        <v>45023</v>
      </c>
      <c r="J9485" t="s">
        <v>45024</v>
      </c>
      <c r="K9485" t="s">
        <v>291</v>
      </c>
      <c r="M9485">
        <v>971.4</v>
      </c>
      <c r="O9485" t="s">
        <v>94</v>
      </c>
      <c r="P9485">
        <v>69.95</v>
      </c>
      <c r="Q9485">
        <v>87.44</v>
      </c>
      <c r="R9485">
        <v>69.95</v>
      </c>
      <c r="S9485">
        <v>104.93</v>
      </c>
      <c r="T9485" t="s">
        <v>45025</v>
      </c>
    </row>
    <row r="9486" spans="1:20">
      <c r="A9486">
        <v>4796686</v>
      </c>
      <c r="B9486" t="s">
        <v>45026</v>
      </c>
      <c r="C9486" t="str">
        <f>"9782763795751"</f>
        <v>9782763795751</v>
      </c>
      <c r="D9486" t="str">
        <f>"9782763795768"</f>
        <v>9782763795768</v>
      </c>
      <c r="E9486" t="s">
        <v>43877</v>
      </c>
      <c r="F9486" t="s">
        <v>43877</v>
      </c>
      <c r="G9486" s="1">
        <v>41261</v>
      </c>
      <c r="I9486" t="s">
        <v>45027</v>
      </c>
      <c r="J9486" t="s">
        <v>45028</v>
      </c>
      <c r="K9486" t="s">
        <v>291</v>
      </c>
      <c r="M9486">
        <v>971.4</v>
      </c>
      <c r="O9486" t="s">
        <v>94</v>
      </c>
      <c r="P9486">
        <v>79.95</v>
      </c>
      <c r="Q9486">
        <v>99.94</v>
      </c>
      <c r="R9486">
        <v>79.95</v>
      </c>
      <c r="S9486">
        <v>119.93</v>
      </c>
      <c r="T9486" t="s">
        <v>45029</v>
      </c>
    </row>
    <row r="9487" spans="1:20">
      <c r="A9487">
        <v>4796687</v>
      </c>
      <c r="B9487" t="s">
        <v>45030</v>
      </c>
      <c r="C9487" t="str">
        <f>"9782763796833"</f>
        <v>9782763796833</v>
      </c>
      <c r="D9487" t="str">
        <f>"9782763796840"</f>
        <v>9782763796840</v>
      </c>
      <c r="E9487" t="s">
        <v>43877</v>
      </c>
      <c r="F9487" t="s">
        <v>43877</v>
      </c>
      <c r="G9487" s="1">
        <v>41261</v>
      </c>
      <c r="I9487" t="s">
        <v>43283</v>
      </c>
      <c r="J9487" t="s">
        <v>45031</v>
      </c>
      <c r="K9487" t="s">
        <v>2260</v>
      </c>
      <c r="M9487">
        <v>616.00189999999998</v>
      </c>
      <c r="O9487" t="s">
        <v>94</v>
      </c>
      <c r="P9487">
        <v>24.95</v>
      </c>
      <c r="Q9487">
        <v>31.19</v>
      </c>
      <c r="R9487">
        <v>24.95</v>
      </c>
      <c r="S9487">
        <v>37.43</v>
      </c>
      <c r="T9487" t="s">
        <v>45032</v>
      </c>
    </row>
    <row r="9488" spans="1:20">
      <c r="A9488">
        <v>4796692</v>
      </c>
      <c r="B9488" t="s">
        <v>45033</v>
      </c>
      <c r="C9488" t="str">
        <f>"9782763793085"</f>
        <v>9782763793085</v>
      </c>
      <c r="D9488" t="str">
        <f>"9782763793092"</f>
        <v>9782763793092</v>
      </c>
      <c r="E9488" t="s">
        <v>43877</v>
      </c>
      <c r="F9488" t="s">
        <v>43877</v>
      </c>
      <c r="G9488" s="1">
        <v>41325</v>
      </c>
      <c r="I9488" t="s">
        <v>43283</v>
      </c>
      <c r="J9488" t="s">
        <v>45034</v>
      </c>
      <c r="K9488" t="s">
        <v>257</v>
      </c>
      <c r="M9488">
        <v>370.11</v>
      </c>
      <c r="O9488" t="s">
        <v>94</v>
      </c>
      <c r="P9488">
        <v>50</v>
      </c>
      <c r="Q9488">
        <v>62.5</v>
      </c>
      <c r="R9488">
        <v>50</v>
      </c>
      <c r="S9488">
        <v>75</v>
      </c>
      <c r="T9488" t="s">
        <v>45035</v>
      </c>
    </row>
    <row r="9489" spans="1:20">
      <c r="A9489">
        <v>4796693</v>
      </c>
      <c r="B9489" t="s">
        <v>45036</v>
      </c>
      <c r="C9489" t="str">
        <f>"9782763799476"</f>
        <v>9782763799476</v>
      </c>
      <c r="D9489" t="str">
        <f>"9782763799483"</f>
        <v>9782763799483</v>
      </c>
      <c r="E9489" t="s">
        <v>43877</v>
      </c>
      <c r="F9489" t="s">
        <v>43877</v>
      </c>
      <c r="G9489" s="1">
        <v>41325</v>
      </c>
      <c r="I9489" t="s">
        <v>44037</v>
      </c>
      <c r="J9489" t="s">
        <v>45037</v>
      </c>
      <c r="K9489" t="s">
        <v>263</v>
      </c>
      <c r="M9489">
        <v>305.8</v>
      </c>
      <c r="O9489" t="s">
        <v>94</v>
      </c>
      <c r="P9489">
        <v>35</v>
      </c>
      <c r="Q9489">
        <v>43.75</v>
      </c>
      <c r="R9489">
        <v>35</v>
      </c>
      <c r="S9489">
        <v>52.5</v>
      </c>
      <c r="T9489" t="s">
        <v>45038</v>
      </c>
    </row>
    <row r="9490" spans="1:20">
      <c r="A9490">
        <v>4796694</v>
      </c>
      <c r="B9490" t="s">
        <v>45039</v>
      </c>
      <c r="C9490" t="str">
        <f>"9782763715186"</f>
        <v>9782763715186</v>
      </c>
      <c r="D9490" t="str">
        <f>"9782763715193"</f>
        <v>9782763715193</v>
      </c>
      <c r="E9490" t="s">
        <v>43877</v>
      </c>
      <c r="F9490" t="s">
        <v>43877</v>
      </c>
      <c r="G9490" s="1">
        <v>41325</v>
      </c>
      <c r="I9490" t="s">
        <v>43283</v>
      </c>
      <c r="J9490" t="s">
        <v>45040</v>
      </c>
      <c r="K9490" t="s">
        <v>263</v>
      </c>
      <c r="M9490">
        <v>306.01</v>
      </c>
      <c r="O9490" t="s">
        <v>94</v>
      </c>
      <c r="P9490">
        <v>35</v>
      </c>
      <c r="Q9490">
        <v>43.75</v>
      </c>
      <c r="R9490">
        <v>35</v>
      </c>
      <c r="S9490">
        <v>52.5</v>
      </c>
      <c r="T9490" t="s">
        <v>45041</v>
      </c>
    </row>
    <row r="9491" spans="1:20">
      <c r="A9491">
        <v>4796695</v>
      </c>
      <c r="B9491" t="s">
        <v>45042</v>
      </c>
      <c r="C9491" t="str">
        <f>"9782763716381"</f>
        <v>9782763716381</v>
      </c>
      <c r="D9491" t="str">
        <f>"9782763716398"</f>
        <v>9782763716398</v>
      </c>
      <c r="E9491" t="s">
        <v>43877</v>
      </c>
      <c r="F9491" t="s">
        <v>43877</v>
      </c>
      <c r="G9491" s="1">
        <v>41325</v>
      </c>
      <c r="I9491" t="s">
        <v>44203</v>
      </c>
      <c r="J9491" t="s">
        <v>44221</v>
      </c>
      <c r="K9491" t="s">
        <v>10956</v>
      </c>
      <c r="M9491">
        <v>71.099999999999994</v>
      </c>
      <c r="O9491" t="s">
        <v>94</v>
      </c>
      <c r="P9491">
        <v>44</v>
      </c>
      <c r="Q9491">
        <v>55</v>
      </c>
      <c r="R9491">
        <v>44</v>
      </c>
      <c r="S9491">
        <v>66</v>
      </c>
      <c r="T9491" t="s">
        <v>45043</v>
      </c>
    </row>
    <row r="9492" spans="1:20">
      <c r="A9492">
        <v>4796699</v>
      </c>
      <c r="B9492" t="s">
        <v>45044</v>
      </c>
      <c r="C9492" t="str">
        <f>"9782763799209"</f>
        <v>9782763799209</v>
      </c>
      <c r="D9492" t="str">
        <f>"9782763799216"</f>
        <v>9782763799216</v>
      </c>
      <c r="E9492" t="s">
        <v>43877</v>
      </c>
      <c r="F9492" t="s">
        <v>43877</v>
      </c>
      <c r="G9492" s="1">
        <v>41325</v>
      </c>
      <c r="I9492" t="s">
        <v>44207</v>
      </c>
      <c r="J9492" t="s">
        <v>45045</v>
      </c>
      <c r="K9492" t="s">
        <v>263</v>
      </c>
      <c r="M9492">
        <v>305.23500000000001</v>
      </c>
      <c r="O9492" t="s">
        <v>94</v>
      </c>
      <c r="P9492">
        <v>35</v>
      </c>
      <c r="Q9492">
        <v>43.75</v>
      </c>
      <c r="R9492">
        <v>35</v>
      </c>
      <c r="S9492">
        <v>52.5</v>
      </c>
      <c r="T9492" t="s">
        <v>45046</v>
      </c>
    </row>
    <row r="9493" spans="1:20">
      <c r="A9493">
        <v>4796700</v>
      </c>
      <c r="B9493" t="s">
        <v>45047</v>
      </c>
      <c r="C9493" t="str">
        <f>"9782763797199"</f>
        <v>9782763797199</v>
      </c>
      <c r="D9493" t="str">
        <f>"9782763797205"</f>
        <v>9782763797205</v>
      </c>
      <c r="E9493" t="s">
        <v>43877</v>
      </c>
      <c r="F9493" t="s">
        <v>43877</v>
      </c>
      <c r="G9493" s="1">
        <v>41325</v>
      </c>
      <c r="H9493">
        <v>2</v>
      </c>
      <c r="I9493" t="s">
        <v>43283</v>
      </c>
      <c r="J9493" t="s">
        <v>45048</v>
      </c>
      <c r="K9493" t="s">
        <v>31967</v>
      </c>
      <c r="M9493">
        <v>331.89</v>
      </c>
      <c r="O9493" t="s">
        <v>94</v>
      </c>
      <c r="P9493">
        <v>40</v>
      </c>
      <c r="Q9493">
        <v>50</v>
      </c>
      <c r="R9493">
        <v>40</v>
      </c>
      <c r="S9493">
        <v>60</v>
      </c>
      <c r="T9493" t="s">
        <v>45049</v>
      </c>
    </row>
    <row r="9494" spans="1:20">
      <c r="A9494">
        <v>4796702</v>
      </c>
      <c r="B9494" t="s">
        <v>45050</v>
      </c>
      <c r="C9494" t="str">
        <f>"9782763795966"</f>
        <v>9782763795966</v>
      </c>
      <c r="D9494" t="str">
        <f>"9782763795973"</f>
        <v>9782763795973</v>
      </c>
      <c r="E9494" t="s">
        <v>43877</v>
      </c>
      <c r="F9494" t="s">
        <v>43877</v>
      </c>
      <c r="G9494" s="1">
        <v>41325</v>
      </c>
      <c r="I9494" t="s">
        <v>43979</v>
      </c>
      <c r="J9494" t="s">
        <v>45051</v>
      </c>
      <c r="K9494" t="s">
        <v>263</v>
      </c>
      <c r="M9494">
        <v>305.26</v>
      </c>
      <c r="O9494" t="s">
        <v>94</v>
      </c>
      <c r="P9494">
        <v>32.950000000000003</v>
      </c>
      <c r="Q9494">
        <v>41.19</v>
      </c>
      <c r="R9494">
        <v>32.950000000000003</v>
      </c>
      <c r="S9494">
        <v>49.43</v>
      </c>
      <c r="T9494" t="s">
        <v>45052</v>
      </c>
    </row>
    <row r="9495" spans="1:20">
      <c r="A9495">
        <v>4796710</v>
      </c>
      <c r="B9495" t="s">
        <v>45053</v>
      </c>
      <c r="C9495" t="str">
        <f>"9782763715001"</f>
        <v>9782763715001</v>
      </c>
      <c r="D9495" t="str">
        <f>"9782763715018"</f>
        <v>9782763715018</v>
      </c>
      <c r="E9495" t="s">
        <v>43877</v>
      </c>
      <c r="F9495" t="s">
        <v>43877</v>
      </c>
      <c r="G9495" s="1">
        <v>41325</v>
      </c>
      <c r="I9495" t="s">
        <v>44783</v>
      </c>
      <c r="J9495" t="s">
        <v>45054</v>
      </c>
      <c r="K9495" t="s">
        <v>263</v>
      </c>
      <c r="M9495">
        <v>307.76</v>
      </c>
      <c r="O9495" t="s">
        <v>94</v>
      </c>
      <c r="P9495">
        <v>31</v>
      </c>
      <c r="Q9495">
        <v>38.75</v>
      </c>
      <c r="R9495">
        <v>31</v>
      </c>
      <c r="S9495">
        <v>46.5</v>
      </c>
      <c r="T9495" t="s">
        <v>45055</v>
      </c>
    </row>
    <row r="9496" spans="1:20">
      <c r="A9496">
        <v>4796715</v>
      </c>
      <c r="B9496" t="s">
        <v>45056</v>
      </c>
      <c r="C9496" t="str">
        <f>"9782763796178"</f>
        <v>9782763796178</v>
      </c>
      <c r="D9496" t="str">
        <f>"9782763796185"</f>
        <v>9782763796185</v>
      </c>
      <c r="E9496" t="s">
        <v>43877</v>
      </c>
      <c r="F9496" t="s">
        <v>43877</v>
      </c>
      <c r="G9496" s="1">
        <v>41325</v>
      </c>
      <c r="I9496" t="s">
        <v>44819</v>
      </c>
      <c r="J9496" t="s">
        <v>45057</v>
      </c>
      <c r="K9496" t="s">
        <v>1471</v>
      </c>
      <c r="M9496">
        <v>782</v>
      </c>
      <c r="O9496" t="s">
        <v>94</v>
      </c>
      <c r="P9496">
        <v>30</v>
      </c>
      <c r="Q9496">
        <v>37.5</v>
      </c>
      <c r="R9496">
        <v>30</v>
      </c>
      <c r="S9496">
        <v>45</v>
      </c>
      <c r="T9496" t="s">
        <v>45058</v>
      </c>
    </row>
    <row r="9497" spans="1:20">
      <c r="A9497">
        <v>4796718</v>
      </c>
      <c r="B9497" t="s">
        <v>45059</v>
      </c>
      <c r="C9497" t="str">
        <f>"9782763799353"</f>
        <v>9782763799353</v>
      </c>
      <c r="D9497" t="str">
        <f>"9782763799360"</f>
        <v>9782763799360</v>
      </c>
      <c r="E9497" t="s">
        <v>43877</v>
      </c>
      <c r="F9497" t="s">
        <v>43877</v>
      </c>
      <c r="G9497" s="1">
        <v>41325</v>
      </c>
      <c r="I9497" t="s">
        <v>45060</v>
      </c>
      <c r="J9497" t="s">
        <v>45061</v>
      </c>
      <c r="K9497" t="s">
        <v>263</v>
      </c>
      <c r="M9497">
        <v>300.72000000000003</v>
      </c>
      <c r="O9497" t="s">
        <v>94</v>
      </c>
      <c r="P9497">
        <v>25</v>
      </c>
      <c r="Q9497">
        <v>31.25</v>
      </c>
      <c r="R9497">
        <v>25</v>
      </c>
      <c r="S9497">
        <v>37.5</v>
      </c>
      <c r="T9497" t="s">
        <v>45062</v>
      </c>
    </row>
    <row r="9498" spans="1:20">
      <c r="A9498">
        <v>4796719</v>
      </c>
      <c r="B9498" t="s">
        <v>45063</v>
      </c>
      <c r="C9498" t="str">
        <f>"9782763799568"</f>
        <v>9782763799568</v>
      </c>
      <c r="D9498" t="str">
        <f>"9782763799575"</f>
        <v>9782763799575</v>
      </c>
      <c r="E9498" t="s">
        <v>43877</v>
      </c>
      <c r="F9498" t="s">
        <v>43877</v>
      </c>
      <c r="G9498" s="1">
        <v>41325</v>
      </c>
      <c r="I9498" t="s">
        <v>43891</v>
      </c>
      <c r="J9498" t="s">
        <v>45013</v>
      </c>
      <c r="K9498" t="s">
        <v>31967</v>
      </c>
      <c r="M9498">
        <v>338.47910000000002</v>
      </c>
      <c r="O9498" t="s">
        <v>94</v>
      </c>
      <c r="P9498">
        <v>32</v>
      </c>
      <c r="Q9498">
        <v>40</v>
      </c>
      <c r="R9498">
        <v>32</v>
      </c>
      <c r="S9498">
        <v>48</v>
      </c>
      <c r="T9498" t="s">
        <v>45064</v>
      </c>
    </row>
    <row r="9499" spans="1:20">
      <c r="A9499">
        <v>4796720</v>
      </c>
      <c r="B9499" t="s">
        <v>45065</v>
      </c>
      <c r="C9499" t="str">
        <f>"9782763789194"</f>
        <v>9782763789194</v>
      </c>
      <c r="D9499" t="str">
        <f>"9782763709192"</f>
        <v>9782763709192</v>
      </c>
      <c r="E9499" t="s">
        <v>43877</v>
      </c>
      <c r="F9499" t="s">
        <v>43877</v>
      </c>
      <c r="G9499" s="1">
        <v>41324</v>
      </c>
      <c r="I9499" t="s">
        <v>43947</v>
      </c>
      <c r="J9499" t="s">
        <v>45066</v>
      </c>
      <c r="K9499" t="s">
        <v>2260</v>
      </c>
      <c r="M9499">
        <v>616.79999999999995</v>
      </c>
      <c r="O9499" t="s">
        <v>94</v>
      </c>
      <c r="P9499">
        <v>30</v>
      </c>
      <c r="Q9499">
        <v>37.5</v>
      </c>
      <c r="R9499">
        <v>30</v>
      </c>
      <c r="S9499">
        <v>45</v>
      </c>
      <c r="T9499" t="s">
        <v>45067</v>
      </c>
    </row>
    <row r="9500" spans="1:20">
      <c r="A9500">
        <v>4796721</v>
      </c>
      <c r="B9500" t="s">
        <v>45068</v>
      </c>
      <c r="C9500" t="str">
        <f>"9782760536838"</f>
        <v>9782760536838</v>
      </c>
      <c r="D9500" t="str">
        <f>"9782760536845"</f>
        <v>9782760536845</v>
      </c>
      <c r="E9500" t="s">
        <v>33376</v>
      </c>
      <c r="F9500" t="s">
        <v>43423</v>
      </c>
      <c r="G9500" s="1">
        <v>36526</v>
      </c>
      <c r="J9500" t="s">
        <v>45069</v>
      </c>
      <c r="K9500" t="s">
        <v>257</v>
      </c>
      <c r="M9500" t="s">
        <v>43518</v>
      </c>
      <c r="O9500" t="s">
        <v>94</v>
      </c>
      <c r="P9500">
        <v>39</v>
      </c>
      <c r="Q9500">
        <v>48.75</v>
      </c>
      <c r="R9500">
        <v>39</v>
      </c>
      <c r="S9500">
        <v>58.5</v>
      </c>
      <c r="T9500" t="s">
        <v>45070</v>
      </c>
    </row>
    <row r="9501" spans="1:20">
      <c r="A9501">
        <v>4796722</v>
      </c>
      <c r="B9501" t="s">
        <v>45071</v>
      </c>
      <c r="C9501" t="str">
        <f>"9782760536555"</f>
        <v>9782760536555</v>
      </c>
      <c r="D9501" t="str">
        <f>"9782760536562"</f>
        <v>9782760536562</v>
      </c>
      <c r="E9501" t="s">
        <v>33376</v>
      </c>
      <c r="F9501" t="s">
        <v>43423</v>
      </c>
      <c r="G9501" s="1">
        <v>36526</v>
      </c>
      <c r="H9501">
        <v>2</v>
      </c>
      <c r="J9501" t="s">
        <v>45072</v>
      </c>
      <c r="K9501" t="s">
        <v>10860</v>
      </c>
      <c r="M9501">
        <v>25.042000000000002</v>
      </c>
      <c r="O9501" t="s">
        <v>94</v>
      </c>
      <c r="P9501">
        <v>25</v>
      </c>
      <c r="Q9501">
        <v>31.25</v>
      </c>
      <c r="R9501">
        <v>25</v>
      </c>
      <c r="S9501">
        <v>37.5</v>
      </c>
      <c r="T9501" t="s">
        <v>45073</v>
      </c>
    </row>
    <row r="9502" spans="1:20">
      <c r="A9502">
        <v>4796723</v>
      </c>
      <c r="B9502" t="s">
        <v>45074</v>
      </c>
      <c r="C9502" t="str">
        <f>"9782760536050"</f>
        <v>9782760536050</v>
      </c>
      <c r="D9502" t="str">
        <f>"9782760536067"</f>
        <v>9782760536067</v>
      </c>
      <c r="E9502" t="s">
        <v>33376</v>
      </c>
      <c r="F9502" t="s">
        <v>43423</v>
      </c>
      <c r="G9502" s="1">
        <v>36526</v>
      </c>
      <c r="J9502" t="s">
        <v>45075</v>
      </c>
      <c r="K9502" t="s">
        <v>467</v>
      </c>
      <c r="M9502">
        <v>327.71</v>
      </c>
      <c r="O9502" t="s">
        <v>94</v>
      </c>
      <c r="P9502">
        <v>39</v>
      </c>
      <c r="Q9502">
        <v>48.75</v>
      </c>
      <c r="R9502">
        <v>39</v>
      </c>
      <c r="S9502">
        <v>58.5</v>
      </c>
      <c r="T9502" t="s">
        <v>45076</v>
      </c>
    </row>
    <row r="9503" spans="1:20">
      <c r="A9503">
        <v>4796724</v>
      </c>
      <c r="B9503" t="s">
        <v>45077</v>
      </c>
      <c r="C9503" t="str">
        <f>"9782760536616"</f>
        <v>9782760536616</v>
      </c>
      <c r="D9503" t="str">
        <f>"9782760536623"</f>
        <v>9782760536623</v>
      </c>
      <c r="E9503" t="s">
        <v>33376</v>
      </c>
      <c r="F9503" t="s">
        <v>43423</v>
      </c>
      <c r="G9503" s="1">
        <v>36526</v>
      </c>
      <c r="J9503" t="s">
        <v>45078</v>
      </c>
      <c r="K9503" t="s">
        <v>2260</v>
      </c>
      <c r="M9503">
        <v>616.85270079999998</v>
      </c>
      <c r="O9503" t="s">
        <v>94</v>
      </c>
      <c r="P9503">
        <v>18</v>
      </c>
      <c r="Q9503">
        <v>22.5</v>
      </c>
      <c r="R9503">
        <v>18</v>
      </c>
      <c r="S9503">
        <v>27</v>
      </c>
      <c r="T9503" t="s">
        <v>45079</v>
      </c>
    </row>
    <row r="9504" spans="1:20">
      <c r="A9504">
        <v>4796725</v>
      </c>
      <c r="B9504" t="s">
        <v>45080</v>
      </c>
      <c r="C9504" t="str">
        <f>"9782760535343"</f>
        <v>9782760535343</v>
      </c>
      <c r="D9504" t="str">
        <f>"9782760535350"</f>
        <v>9782760535350</v>
      </c>
      <c r="E9504" t="s">
        <v>33376</v>
      </c>
      <c r="F9504" t="s">
        <v>43423</v>
      </c>
      <c r="G9504" s="1">
        <v>36526</v>
      </c>
      <c r="J9504" t="s">
        <v>45081</v>
      </c>
      <c r="K9504" t="s">
        <v>263</v>
      </c>
      <c r="M9504" t="s">
        <v>45082</v>
      </c>
      <c r="O9504" t="s">
        <v>94</v>
      </c>
      <c r="P9504">
        <v>30</v>
      </c>
      <c r="Q9504">
        <v>37.5</v>
      </c>
      <c r="R9504">
        <v>30</v>
      </c>
      <c r="S9504">
        <v>45</v>
      </c>
      <c r="T9504" t="s">
        <v>45083</v>
      </c>
    </row>
    <row r="9505" spans="1:20">
      <c r="A9505">
        <v>4796726</v>
      </c>
      <c r="B9505" t="s">
        <v>45084</v>
      </c>
      <c r="C9505" t="str">
        <f>"9782760534827"</f>
        <v>9782760534827</v>
      </c>
      <c r="D9505" t="str">
        <f>"9782760534834"</f>
        <v>9782760534834</v>
      </c>
      <c r="E9505" t="s">
        <v>33376</v>
      </c>
      <c r="F9505" t="s">
        <v>43423</v>
      </c>
      <c r="G9505" s="1">
        <v>41194</v>
      </c>
      <c r="J9505" t="s">
        <v>33345</v>
      </c>
      <c r="K9505" t="s">
        <v>263</v>
      </c>
      <c r="M9505">
        <v>306.36</v>
      </c>
      <c r="O9505" t="s">
        <v>94</v>
      </c>
      <c r="P9505">
        <v>33</v>
      </c>
      <c r="Q9505">
        <v>41.25</v>
      </c>
      <c r="R9505">
        <v>33</v>
      </c>
      <c r="S9505">
        <v>49.5</v>
      </c>
      <c r="T9505" t="s">
        <v>45085</v>
      </c>
    </row>
    <row r="9506" spans="1:20">
      <c r="A9506">
        <v>4796727</v>
      </c>
      <c r="B9506" t="s">
        <v>45086</v>
      </c>
      <c r="C9506" t="str">
        <f>"9782760535282"</f>
        <v>9782760535282</v>
      </c>
      <c r="D9506" t="str">
        <f>"9782760535299"</f>
        <v>9782760535299</v>
      </c>
      <c r="E9506" t="s">
        <v>33376</v>
      </c>
      <c r="F9506" t="s">
        <v>43423</v>
      </c>
      <c r="G9506" s="1">
        <v>41235</v>
      </c>
      <c r="J9506" t="s">
        <v>45087</v>
      </c>
      <c r="K9506" t="s">
        <v>31967</v>
      </c>
      <c r="M9506">
        <v>331</v>
      </c>
      <c r="O9506" t="s">
        <v>94</v>
      </c>
      <c r="P9506">
        <v>38</v>
      </c>
      <c r="Q9506">
        <v>47.5</v>
      </c>
      <c r="R9506">
        <v>38</v>
      </c>
      <c r="S9506">
        <v>57</v>
      </c>
      <c r="T9506" t="s">
        <v>45088</v>
      </c>
    </row>
    <row r="9507" spans="1:20">
      <c r="A9507">
        <v>4796728</v>
      </c>
      <c r="B9507" t="s">
        <v>45089</v>
      </c>
      <c r="C9507" t="str">
        <f>"9782760536029"</f>
        <v>9782760536029</v>
      </c>
      <c r="D9507" t="str">
        <f>"9782760536036"</f>
        <v>9782760536036</v>
      </c>
      <c r="E9507" t="s">
        <v>33376</v>
      </c>
      <c r="F9507" t="s">
        <v>43423</v>
      </c>
      <c r="G9507" s="1">
        <v>41303</v>
      </c>
      <c r="J9507" t="s">
        <v>45090</v>
      </c>
      <c r="K9507" t="s">
        <v>263</v>
      </c>
      <c r="M9507">
        <v>303.40971400000001</v>
      </c>
      <c r="O9507" t="s">
        <v>94</v>
      </c>
      <c r="P9507">
        <v>28</v>
      </c>
      <c r="Q9507">
        <v>35</v>
      </c>
      <c r="R9507">
        <v>28</v>
      </c>
      <c r="S9507">
        <v>42</v>
      </c>
      <c r="T9507" t="s">
        <v>45091</v>
      </c>
    </row>
    <row r="9508" spans="1:20">
      <c r="A9508">
        <v>4796729</v>
      </c>
      <c r="B9508" t="s">
        <v>45092</v>
      </c>
      <c r="C9508" t="str">
        <f>"9782760535459"</f>
        <v>9782760535459</v>
      </c>
      <c r="D9508" t="str">
        <f>"9782760535466"</f>
        <v>9782760535466</v>
      </c>
      <c r="E9508" t="s">
        <v>33376</v>
      </c>
      <c r="F9508" t="s">
        <v>43423</v>
      </c>
      <c r="G9508" s="1">
        <v>36526</v>
      </c>
      <c r="J9508" t="s">
        <v>44566</v>
      </c>
      <c r="K9508" t="s">
        <v>263</v>
      </c>
      <c r="M9508">
        <v>306.3</v>
      </c>
      <c r="O9508" t="s">
        <v>94</v>
      </c>
      <c r="P9508">
        <v>18</v>
      </c>
      <c r="Q9508">
        <v>22.5</v>
      </c>
      <c r="R9508">
        <v>18</v>
      </c>
      <c r="S9508">
        <v>27</v>
      </c>
      <c r="T9508" t="s">
        <v>45093</v>
      </c>
    </row>
    <row r="9509" spans="1:20">
      <c r="A9509">
        <v>4796730</v>
      </c>
      <c r="B9509" t="s">
        <v>45094</v>
      </c>
      <c r="C9509" t="str">
        <f>"9782760536319"</f>
        <v>9782760536319</v>
      </c>
      <c r="D9509" t="str">
        <f>"9782760536326"</f>
        <v>9782760536326</v>
      </c>
      <c r="E9509" t="s">
        <v>33376</v>
      </c>
      <c r="F9509" t="s">
        <v>43423</v>
      </c>
      <c r="G9509" s="1">
        <v>36526</v>
      </c>
      <c r="J9509" t="s">
        <v>45095</v>
      </c>
      <c r="K9509" t="s">
        <v>263</v>
      </c>
      <c r="M9509" t="s">
        <v>45096</v>
      </c>
      <c r="O9509" t="s">
        <v>94</v>
      </c>
      <c r="P9509">
        <v>32</v>
      </c>
      <c r="Q9509">
        <v>40</v>
      </c>
      <c r="R9509">
        <v>32</v>
      </c>
      <c r="S9509">
        <v>48</v>
      </c>
      <c r="T9509" t="s">
        <v>45097</v>
      </c>
    </row>
    <row r="9510" spans="1:20">
      <c r="A9510">
        <v>4796731</v>
      </c>
      <c r="B9510" t="s">
        <v>45098</v>
      </c>
      <c r="C9510" t="str">
        <f>"9782760536791"</f>
        <v>9782760536791</v>
      </c>
      <c r="D9510" t="str">
        <f>"9782760536807"</f>
        <v>9782760536807</v>
      </c>
      <c r="E9510" t="s">
        <v>33376</v>
      </c>
      <c r="F9510" t="s">
        <v>43423</v>
      </c>
      <c r="G9510" s="1">
        <v>36526</v>
      </c>
      <c r="J9510" t="s">
        <v>33429</v>
      </c>
      <c r="K9510" t="s">
        <v>263</v>
      </c>
      <c r="M9510">
        <v>305.23500000000001</v>
      </c>
      <c r="O9510" t="s">
        <v>94</v>
      </c>
      <c r="P9510">
        <v>24</v>
      </c>
      <c r="Q9510">
        <v>30</v>
      </c>
      <c r="R9510">
        <v>24</v>
      </c>
      <c r="S9510">
        <v>36</v>
      </c>
      <c r="T9510" t="s">
        <v>45099</v>
      </c>
    </row>
    <row r="9511" spans="1:20">
      <c r="A9511">
        <v>4796732</v>
      </c>
      <c r="B9511" t="s">
        <v>45100</v>
      </c>
      <c r="C9511" t="str">
        <f>"9782760535015"</f>
        <v>9782760535015</v>
      </c>
      <c r="D9511" t="str">
        <f>"9782760535022"</f>
        <v>9782760535022</v>
      </c>
      <c r="E9511" t="s">
        <v>33376</v>
      </c>
      <c r="F9511" t="s">
        <v>43423</v>
      </c>
      <c r="G9511" s="1">
        <v>41193</v>
      </c>
      <c r="J9511" t="s">
        <v>45101</v>
      </c>
      <c r="K9511" t="s">
        <v>10956</v>
      </c>
      <c r="M9511">
        <v>70.194000000000003</v>
      </c>
      <c r="O9511" t="s">
        <v>94</v>
      </c>
      <c r="P9511">
        <v>24</v>
      </c>
      <c r="Q9511">
        <v>30</v>
      </c>
      <c r="R9511">
        <v>24</v>
      </c>
      <c r="S9511">
        <v>36</v>
      </c>
      <c r="T9511" t="s">
        <v>45102</v>
      </c>
    </row>
    <row r="9512" spans="1:20">
      <c r="A9512">
        <v>4796734</v>
      </c>
      <c r="B9512" t="s">
        <v>45103</v>
      </c>
      <c r="C9512" t="str">
        <f>"9782760534285"</f>
        <v>9782760534285</v>
      </c>
      <c r="D9512" t="str">
        <f>"9782760534292"</f>
        <v>9782760534292</v>
      </c>
      <c r="E9512" t="s">
        <v>33376</v>
      </c>
      <c r="F9512" t="s">
        <v>43423</v>
      </c>
      <c r="G9512" s="1">
        <v>41194</v>
      </c>
      <c r="J9512" t="s">
        <v>45104</v>
      </c>
      <c r="K9512" t="s">
        <v>263</v>
      </c>
      <c r="M9512">
        <v>305.26</v>
      </c>
      <c r="O9512" t="s">
        <v>94</v>
      </c>
      <c r="P9512">
        <v>30</v>
      </c>
      <c r="Q9512">
        <v>37.5</v>
      </c>
      <c r="R9512">
        <v>30</v>
      </c>
      <c r="S9512">
        <v>45</v>
      </c>
      <c r="T9512" t="s">
        <v>45105</v>
      </c>
    </row>
    <row r="9513" spans="1:20">
      <c r="A9513">
        <v>4796735</v>
      </c>
      <c r="B9513" t="s">
        <v>45106</v>
      </c>
      <c r="C9513" t="str">
        <f>"9782760535183"</f>
        <v>9782760535183</v>
      </c>
      <c r="D9513" t="str">
        <f>"9782760535190"</f>
        <v>9782760535190</v>
      </c>
      <c r="E9513" t="s">
        <v>33376</v>
      </c>
      <c r="F9513" t="s">
        <v>43423</v>
      </c>
      <c r="G9513" s="1">
        <v>41248</v>
      </c>
      <c r="J9513" t="s">
        <v>45107</v>
      </c>
      <c r="K9513" t="s">
        <v>263</v>
      </c>
      <c r="M9513">
        <v>300.72300000000001</v>
      </c>
      <c r="O9513" t="s">
        <v>94</v>
      </c>
      <c r="P9513">
        <v>30</v>
      </c>
      <c r="Q9513">
        <v>37.5</v>
      </c>
      <c r="R9513">
        <v>30</v>
      </c>
      <c r="S9513">
        <v>45</v>
      </c>
      <c r="T9513" t="s">
        <v>45108</v>
      </c>
    </row>
    <row r="9514" spans="1:20">
      <c r="A9514">
        <v>4796736</v>
      </c>
      <c r="B9514" t="s">
        <v>45109</v>
      </c>
      <c r="C9514" t="str">
        <f>"9782760536197"</f>
        <v>9782760536197</v>
      </c>
      <c r="D9514" t="str">
        <f>"9782760536203"</f>
        <v>9782760536203</v>
      </c>
      <c r="E9514" t="s">
        <v>33376</v>
      </c>
      <c r="F9514" t="s">
        <v>43423</v>
      </c>
      <c r="G9514" s="1">
        <v>36526</v>
      </c>
      <c r="J9514" t="s">
        <v>45110</v>
      </c>
      <c r="K9514" t="s">
        <v>263</v>
      </c>
      <c r="M9514">
        <v>306.43097139999998</v>
      </c>
      <c r="O9514" t="s">
        <v>94</v>
      </c>
      <c r="P9514">
        <v>30</v>
      </c>
      <c r="Q9514">
        <v>37.5</v>
      </c>
      <c r="R9514">
        <v>30</v>
      </c>
      <c r="S9514">
        <v>45</v>
      </c>
      <c r="T9514" t="s">
        <v>45111</v>
      </c>
    </row>
    <row r="9515" spans="1:20">
      <c r="A9515">
        <v>4796737</v>
      </c>
      <c r="B9515" t="s">
        <v>45112</v>
      </c>
      <c r="C9515" t="str">
        <f>"9782760536739"</f>
        <v>9782760536739</v>
      </c>
      <c r="D9515" t="str">
        <f>"9782760536746"</f>
        <v>9782760536746</v>
      </c>
      <c r="E9515" t="s">
        <v>33376</v>
      </c>
      <c r="F9515" t="s">
        <v>43423</v>
      </c>
      <c r="G9515" s="1">
        <v>36526</v>
      </c>
      <c r="J9515" t="s">
        <v>45113</v>
      </c>
      <c r="K9515" t="s">
        <v>10956</v>
      </c>
      <c r="M9515">
        <v>70.449297000000001</v>
      </c>
      <c r="O9515" t="s">
        <v>94</v>
      </c>
      <c r="P9515">
        <v>26</v>
      </c>
      <c r="Q9515">
        <v>32.5</v>
      </c>
      <c r="R9515">
        <v>26</v>
      </c>
      <c r="S9515">
        <v>39</v>
      </c>
      <c r="T9515" t="s">
        <v>45114</v>
      </c>
    </row>
    <row r="9516" spans="1:20">
      <c r="A9516">
        <v>4796739</v>
      </c>
      <c r="B9516" t="s">
        <v>45115</v>
      </c>
      <c r="C9516" t="str">
        <f>"9782760535848"</f>
        <v>9782760535848</v>
      </c>
      <c r="D9516" t="str">
        <f>"9782760535855"</f>
        <v>9782760535855</v>
      </c>
      <c r="E9516" t="s">
        <v>33376</v>
      </c>
      <c r="F9516" t="s">
        <v>43423</v>
      </c>
      <c r="G9516" s="1">
        <v>41255</v>
      </c>
      <c r="J9516" t="s">
        <v>43487</v>
      </c>
      <c r="K9516" t="s">
        <v>278</v>
      </c>
      <c r="M9516">
        <v>336</v>
      </c>
      <c r="O9516" t="s">
        <v>94</v>
      </c>
      <c r="P9516">
        <v>32</v>
      </c>
      <c r="Q9516">
        <v>40</v>
      </c>
      <c r="R9516">
        <v>32</v>
      </c>
      <c r="S9516">
        <v>48</v>
      </c>
      <c r="T9516" t="s">
        <v>45116</v>
      </c>
    </row>
    <row r="9517" spans="1:20">
      <c r="A9517">
        <v>4796741</v>
      </c>
      <c r="B9517" t="s">
        <v>45117</v>
      </c>
      <c r="C9517" t="str">
        <f>"9782760535992"</f>
        <v>9782760535992</v>
      </c>
      <c r="D9517" t="str">
        <f>"9782760536005"</f>
        <v>9782760536005</v>
      </c>
      <c r="E9517" t="s">
        <v>33376</v>
      </c>
      <c r="F9517" t="s">
        <v>43423</v>
      </c>
      <c r="G9517" s="1">
        <v>41295</v>
      </c>
      <c r="J9517" t="s">
        <v>45118</v>
      </c>
      <c r="K9517" t="s">
        <v>1471</v>
      </c>
      <c r="M9517">
        <v>731.2</v>
      </c>
      <c r="O9517" t="s">
        <v>94</v>
      </c>
      <c r="P9517">
        <v>46</v>
      </c>
      <c r="Q9517">
        <v>57.5</v>
      </c>
      <c r="R9517">
        <v>46</v>
      </c>
      <c r="S9517">
        <v>69</v>
      </c>
      <c r="T9517" t="s">
        <v>45119</v>
      </c>
    </row>
    <row r="9518" spans="1:20">
      <c r="A9518">
        <v>4796742</v>
      </c>
      <c r="B9518" t="s">
        <v>45120</v>
      </c>
      <c r="C9518" t="str">
        <f>"9782760534957"</f>
        <v>9782760534957</v>
      </c>
      <c r="D9518" t="str">
        <f>"9782760534964"</f>
        <v>9782760534964</v>
      </c>
      <c r="E9518" t="s">
        <v>33376</v>
      </c>
      <c r="F9518" t="s">
        <v>43423</v>
      </c>
      <c r="G9518" s="1">
        <v>41194</v>
      </c>
      <c r="J9518" t="s">
        <v>45121</v>
      </c>
      <c r="K9518" t="s">
        <v>263</v>
      </c>
      <c r="M9518">
        <v>306.87430000000001</v>
      </c>
      <c r="O9518" t="s">
        <v>94</v>
      </c>
      <c r="P9518">
        <v>32</v>
      </c>
      <c r="Q9518">
        <v>40</v>
      </c>
      <c r="R9518">
        <v>32</v>
      </c>
      <c r="S9518">
        <v>48</v>
      </c>
      <c r="T9518" t="s">
        <v>45122</v>
      </c>
    </row>
    <row r="9519" spans="1:20">
      <c r="A9519">
        <v>4796745</v>
      </c>
      <c r="B9519" t="s">
        <v>45123</v>
      </c>
      <c r="C9519" t="str">
        <f>"9782760535312"</f>
        <v>9782760535312</v>
      </c>
      <c r="D9519" t="str">
        <f>"9782760535329"</f>
        <v>9782760535329</v>
      </c>
      <c r="E9519" t="s">
        <v>33376</v>
      </c>
      <c r="F9519" t="s">
        <v>43423</v>
      </c>
      <c r="G9519" s="1">
        <v>41255</v>
      </c>
      <c r="J9519" t="s">
        <v>45124</v>
      </c>
      <c r="K9519" t="s">
        <v>257</v>
      </c>
      <c r="M9519">
        <v>370.71</v>
      </c>
      <c r="O9519" t="s">
        <v>94</v>
      </c>
      <c r="P9519">
        <v>30</v>
      </c>
      <c r="Q9519">
        <v>37.5</v>
      </c>
      <c r="R9519">
        <v>30</v>
      </c>
      <c r="S9519">
        <v>45</v>
      </c>
      <c r="T9519" t="s">
        <v>45125</v>
      </c>
    </row>
    <row r="9520" spans="1:20">
      <c r="A9520">
        <v>4796746</v>
      </c>
      <c r="B9520" t="s">
        <v>45126</v>
      </c>
      <c r="C9520" t="str">
        <f>"9782760536760"</f>
        <v>9782760536760</v>
      </c>
      <c r="D9520" t="str">
        <f>"9782760536777"</f>
        <v>9782760536777</v>
      </c>
      <c r="E9520" t="s">
        <v>33376</v>
      </c>
      <c r="F9520" t="s">
        <v>43423</v>
      </c>
      <c r="G9520" s="1">
        <v>36526</v>
      </c>
      <c r="J9520" t="s">
        <v>45127</v>
      </c>
      <c r="K9520" t="s">
        <v>263</v>
      </c>
      <c r="M9520">
        <v>302.2</v>
      </c>
      <c r="O9520" t="s">
        <v>94</v>
      </c>
      <c r="P9520">
        <v>27</v>
      </c>
      <c r="Q9520">
        <v>33.75</v>
      </c>
      <c r="R9520">
        <v>27</v>
      </c>
      <c r="S9520">
        <v>40.5</v>
      </c>
      <c r="T9520" t="s">
        <v>45128</v>
      </c>
    </row>
    <row r="9521" spans="1:20">
      <c r="A9521">
        <v>4796748</v>
      </c>
      <c r="B9521" t="s">
        <v>45129</v>
      </c>
      <c r="C9521" t="str">
        <f>"9782760536524"</f>
        <v>9782760536524</v>
      </c>
      <c r="D9521" t="str">
        <f>"9782760536531"</f>
        <v>9782760536531</v>
      </c>
      <c r="E9521" t="s">
        <v>33376</v>
      </c>
      <c r="F9521" t="s">
        <v>43423</v>
      </c>
      <c r="G9521" s="1">
        <v>41291</v>
      </c>
      <c r="J9521" t="s">
        <v>45130</v>
      </c>
      <c r="K9521" t="s">
        <v>263</v>
      </c>
      <c r="M9521">
        <v>361.1</v>
      </c>
      <c r="O9521" t="s">
        <v>94</v>
      </c>
      <c r="P9521">
        <v>48</v>
      </c>
      <c r="Q9521">
        <v>60</v>
      </c>
      <c r="R9521">
        <v>48</v>
      </c>
      <c r="S9521">
        <v>72</v>
      </c>
      <c r="T9521" t="s">
        <v>45131</v>
      </c>
    </row>
    <row r="9522" spans="1:20">
      <c r="A9522">
        <v>4796749</v>
      </c>
      <c r="B9522" t="s">
        <v>45132</v>
      </c>
      <c r="C9522" t="str">
        <f>"9782760535428"</f>
        <v>9782760535428</v>
      </c>
      <c r="D9522" t="str">
        <f>"9782760535435"</f>
        <v>9782760535435</v>
      </c>
      <c r="E9522" t="s">
        <v>33376</v>
      </c>
      <c r="F9522" t="s">
        <v>43423</v>
      </c>
      <c r="G9522" s="1">
        <v>41193</v>
      </c>
      <c r="J9522" t="s">
        <v>45133</v>
      </c>
      <c r="K9522" t="s">
        <v>263</v>
      </c>
      <c r="M9522">
        <v>305.56900000000002</v>
      </c>
      <c r="O9522" t="s">
        <v>94</v>
      </c>
      <c r="P9522">
        <v>18</v>
      </c>
      <c r="Q9522">
        <v>22.5</v>
      </c>
      <c r="R9522">
        <v>18</v>
      </c>
      <c r="S9522">
        <v>27</v>
      </c>
      <c r="T9522" t="s">
        <v>45134</v>
      </c>
    </row>
    <row r="9523" spans="1:20">
      <c r="A9523">
        <v>4796751</v>
      </c>
      <c r="B9523" t="s">
        <v>45135</v>
      </c>
      <c r="C9523" t="str">
        <f>"9782760536166"</f>
        <v>9782760536166</v>
      </c>
      <c r="D9523" t="str">
        <f>"9782760536173"</f>
        <v>9782760536173</v>
      </c>
      <c r="E9523" t="s">
        <v>33376</v>
      </c>
      <c r="F9523" t="s">
        <v>43423</v>
      </c>
      <c r="G9523" s="1">
        <v>41331</v>
      </c>
      <c r="J9523" t="s">
        <v>45136</v>
      </c>
      <c r="K9523" t="s">
        <v>76</v>
      </c>
      <c r="M9523">
        <v>634.91999999999996</v>
      </c>
      <c r="O9523" t="s">
        <v>94</v>
      </c>
      <c r="P9523">
        <v>28</v>
      </c>
      <c r="Q9523">
        <v>35</v>
      </c>
      <c r="R9523">
        <v>28</v>
      </c>
      <c r="S9523">
        <v>42</v>
      </c>
      <c r="T9523" t="s">
        <v>45137</v>
      </c>
    </row>
    <row r="9524" spans="1:20">
      <c r="A9524">
        <v>4796752</v>
      </c>
      <c r="B9524" t="s">
        <v>45138</v>
      </c>
      <c r="C9524" t="str">
        <f>"9782760535213"</f>
        <v>9782760535213</v>
      </c>
      <c r="D9524" t="str">
        <f>"9782760535220"</f>
        <v>9782760535220</v>
      </c>
      <c r="E9524" t="s">
        <v>33376</v>
      </c>
      <c r="F9524" t="s">
        <v>43423</v>
      </c>
      <c r="G9524" s="1">
        <v>41234</v>
      </c>
      <c r="J9524" t="s">
        <v>45139</v>
      </c>
      <c r="K9524" t="s">
        <v>2260</v>
      </c>
      <c r="M9524">
        <v>610.28</v>
      </c>
      <c r="O9524" t="s">
        <v>94</v>
      </c>
      <c r="P9524">
        <v>46</v>
      </c>
      <c r="Q9524">
        <v>57.5</v>
      </c>
      <c r="R9524">
        <v>46</v>
      </c>
      <c r="S9524">
        <v>69</v>
      </c>
      <c r="T9524" t="s">
        <v>45140</v>
      </c>
    </row>
    <row r="9525" spans="1:20">
      <c r="A9525">
        <v>4796754</v>
      </c>
      <c r="B9525" t="s">
        <v>45141</v>
      </c>
      <c r="C9525" t="str">
        <f>"9782760525337"</f>
        <v>9782760525337</v>
      </c>
      <c r="D9525" t="str">
        <f>"9782760525344"</f>
        <v>9782760525344</v>
      </c>
      <c r="E9525" t="s">
        <v>33376</v>
      </c>
      <c r="F9525" t="s">
        <v>43423</v>
      </c>
      <c r="G9525" s="1">
        <v>41295</v>
      </c>
      <c r="H9525">
        <v>2</v>
      </c>
      <c r="J9525" t="s">
        <v>45142</v>
      </c>
      <c r="K9525" t="s">
        <v>305</v>
      </c>
      <c r="M9525">
        <v>658.40599999999995</v>
      </c>
      <c r="O9525" t="s">
        <v>94</v>
      </c>
      <c r="P9525">
        <v>60</v>
      </c>
      <c r="Q9525">
        <v>75</v>
      </c>
      <c r="R9525">
        <v>60</v>
      </c>
      <c r="S9525">
        <v>90</v>
      </c>
      <c r="T9525" t="s">
        <v>45143</v>
      </c>
    </row>
    <row r="9526" spans="1:20">
      <c r="A9526">
        <v>4796756</v>
      </c>
      <c r="B9526" t="s">
        <v>45144</v>
      </c>
      <c r="C9526" t="str">
        <f>"9782760534094"</f>
        <v>9782760534094</v>
      </c>
      <c r="D9526" t="str">
        <f>"9782760534100"</f>
        <v>9782760534100</v>
      </c>
      <c r="E9526" t="s">
        <v>33376</v>
      </c>
      <c r="F9526" t="s">
        <v>43423</v>
      </c>
      <c r="G9526" s="1">
        <v>36526</v>
      </c>
      <c r="J9526" t="s">
        <v>44898</v>
      </c>
      <c r="K9526" t="s">
        <v>2260</v>
      </c>
      <c r="M9526" t="s">
        <v>44899</v>
      </c>
      <c r="O9526" t="s">
        <v>94</v>
      </c>
      <c r="P9526">
        <v>28</v>
      </c>
      <c r="Q9526">
        <v>35</v>
      </c>
      <c r="R9526">
        <v>28</v>
      </c>
      <c r="S9526">
        <v>42</v>
      </c>
      <c r="T9526" t="s">
        <v>45145</v>
      </c>
    </row>
    <row r="9527" spans="1:20">
      <c r="A9527">
        <v>4796757</v>
      </c>
      <c r="B9527" t="s">
        <v>45146</v>
      </c>
      <c r="C9527" t="str">
        <f>"9782760535152"</f>
        <v>9782760535152</v>
      </c>
      <c r="D9527" t="str">
        <f>"9782760535169"</f>
        <v>9782760535169</v>
      </c>
      <c r="E9527" t="s">
        <v>33376</v>
      </c>
      <c r="F9527" t="s">
        <v>43423</v>
      </c>
      <c r="G9527" s="1">
        <v>41235</v>
      </c>
      <c r="J9527" t="s">
        <v>45147</v>
      </c>
      <c r="K9527" t="s">
        <v>263</v>
      </c>
      <c r="M9527" t="s">
        <v>45148</v>
      </c>
      <c r="O9527" t="s">
        <v>94</v>
      </c>
      <c r="P9527">
        <v>30</v>
      </c>
      <c r="Q9527">
        <v>37.5</v>
      </c>
      <c r="R9527">
        <v>30</v>
      </c>
      <c r="S9527">
        <v>45</v>
      </c>
      <c r="T9527" t="s">
        <v>45149</v>
      </c>
    </row>
    <row r="9528" spans="1:20">
      <c r="A9528">
        <v>4796758</v>
      </c>
      <c r="B9528" t="s">
        <v>45150</v>
      </c>
      <c r="C9528" t="str">
        <f>"9782760536227"</f>
        <v>9782760536227</v>
      </c>
      <c r="D9528" t="str">
        <f>"9782760536234"</f>
        <v>9782760536234</v>
      </c>
      <c r="E9528" t="s">
        <v>33376</v>
      </c>
      <c r="F9528" t="s">
        <v>43423</v>
      </c>
      <c r="G9528" s="1">
        <v>41331</v>
      </c>
      <c r="J9528" t="s">
        <v>44600</v>
      </c>
      <c r="K9528" t="s">
        <v>263</v>
      </c>
      <c r="M9528">
        <v>303.48200000000003</v>
      </c>
      <c r="O9528" t="s">
        <v>94</v>
      </c>
      <c r="P9528">
        <v>43</v>
      </c>
      <c r="Q9528">
        <v>53.75</v>
      </c>
      <c r="R9528">
        <v>43</v>
      </c>
      <c r="S9528">
        <v>64.5</v>
      </c>
      <c r="T9528" t="s">
        <v>45151</v>
      </c>
    </row>
    <row r="9529" spans="1:20">
      <c r="A9529">
        <v>4796759</v>
      </c>
      <c r="B9529" t="s">
        <v>45152</v>
      </c>
      <c r="C9529" t="str">
        <f>"9782760536586"</f>
        <v>9782760536586</v>
      </c>
      <c r="D9529" t="str">
        <f>"9782760536593"</f>
        <v>9782760536593</v>
      </c>
      <c r="E9529" t="s">
        <v>33376</v>
      </c>
      <c r="F9529" t="s">
        <v>43423</v>
      </c>
      <c r="G9529" s="1">
        <v>41333</v>
      </c>
      <c r="J9529" t="s">
        <v>45153</v>
      </c>
      <c r="K9529" t="s">
        <v>1859</v>
      </c>
      <c r="M9529">
        <v>174.9</v>
      </c>
      <c r="O9529" t="s">
        <v>94</v>
      </c>
      <c r="P9529">
        <v>35</v>
      </c>
      <c r="Q9529">
        <v>43.75</v>
      </c>
      <c r="R9529">
        <v>35</v>
      </c>
      <c r="S9529">
        <v>52.5</v>
      </c>
      <c r="T9529" t="s">
        <v>45154</v>
      </c>
    </row>
    <row r="9530" spans="1:20">
      <c r="A9530">
        <v>4796760</v>
      </c>
      <c r="B9530" t="s">
        <v>45155</v>
      </c>
      <c r="C9530" t="str">
        <f>"9782760536371"</f>
        <v>9782760536371</v>
      </c>
      <c r="D9530" t="str">
        <f>"9782760536388"</f>
        <v>9782760536388</v>
      </c>
      <c r="E9530" t="s">
        <v>33376</v>
      </c>
      <c r="F9530" t="s">
        <v>43423</v>
      </c>
      <c r="G9530" s="1">
        <v>41295</v>
      </c>
      <c r="J9530" t="s">
        <v>45156</v>
      </c>
      <c r="K9530" t="s">
        <v>263</v>
      </c>
      <c r="M9530">
        <v>361</v>
      </c>
      <c r="O9530" t="s">
        <v>94</v>
      </c>
      <c r="P9530">
        <v>25</v>
      </c>
      <c r="Q9530">
        <v>31.25</v>
      </c>
      <c r="R9530">
        <v>25</v>
      </c>
      <c r="S9530">
        <v>37.5</v>
      </c>
      <c r="T9530" t="s">
        <v>45157</v>
      </c>
    </row>
    <row r="9531" spans="1:20">
      <c r="A9531">
        <v>4796761</v>
      </c>
      <c r="B9531" t="s">
        <v>45158</v>
      </c>
      <c r="C9531" t="str">
        <f>"9782760536081"</f>
        <v>9782760536081</v>
      </c>
      <c r="D9531" t="str">
        <f>"9782760536098"</f>
        <v>9782760536098</v>
      </c>
      <c r="E9531" t="s">
        <v>33376</v>
      </c>
      <c r="F9531" t="s">
        <v>43423</v>
      </c>
      <c r="G9531" s="1">
        <v>36526</v>
      </c>
      <c r="J9531" t="s">
        <v>45159</v>
      </c>
      <c r="K9531" t="s">
        <v>7075</v>
      </c>
      <c r="M9531" t="s">
        <v>45160</v>
      </c>
      <c r="O9531" t="s">
        <v>94</v>
      </c>
      <c r="P9531">
        <v>40</v>
      </c>
      <c r="Q9531">
        <v>50</v>
      </c>
      <c r="R9531">
        <v>40</v>
      </c>
      <c r="S9531">
        <v>60</v>
      </c>
      <c r="T9531" t="s">
        <v>45161</v>
      </c>
    </row>
    <row r="9532" spans="1:20">
      <c r="A9532">
        <v>4796762</v>
      </c>
      <c r="B9532" t="s">
        <v>45162</v>
      </c>
      <c r="C9532" t="str">
        <f>"9782760536340"</f>
        <v>9782760536340</v>
      </c>
      <c r="D9532" t="str">
        <f>"9782760536357"</f>
        <v>9782760536357</v>
      </c>
      <c r="E9532" t="s">
        <v>33376</v>
      </c>
      <c r="F9532" t="s">
        <v>43423</v>
      </c>
      <c r="G9532" s="1">
        <v>41295</v>
      </c>
      <c r="J9532" t="s">
        <v>45163</v>
      </c>
      <c r="K9532" t="s">
        <v>305</v>
      </c>
      <c r="M9532">
        <v>658.40120000000002</v>
      </c>
      <c r="O9532" t="s">
        <v>94</v>
      </c>
      <c r="P9532">
        <v>20</v>
      </c>
      <c r="Q9532">
        <v>25</v>
      </c>
      <c r="R9532">
        <v>20</v>
      </c>
      <c r="S9532">
        <v>30</v>
      </c>
      <c r="T9532" t="s">
        <v>45164</v>
      </c>
    </row>
    <row r="9533" spans="1:20">
      <c r="A9533">
        <v>4796763</v>
      </c>
      <c r="B9533" t="s">
        <v>45165</v>
      </c>
      <c r="C9533" t="str">
        <f>"9782760535657"</f>
        <v>9782760535657</v>
      </c>
      <c r="D9533" t="str">
        <f>"9782760535664"</f>
        <v>9782760535664</v>
      </c>
      <c r="E9533" t="s">
        <v>33376</v>
      </c>
      <c r="F9533" t="s">
        <v>43423</v>
      </c>
      <c r="G9533" s="1">
        <v>41255</v>
      </c>
      <c r="J9533" t="s">
        <v>43487</v>
      </c>
      <c r="K9533" t="s">
        <v>467</v>
      </c>
      <c r="M9533">
        <v>351</v>
      </c>
      <c r="O9533" t="s">
        <v>94</v>
      </c>
      <c r="P9533">
        <v>85</v>
      </c>
      <c r="Q9533">
        <v>106.25</v>
      </c>
      <c r="R9533">
        <v>85</v>
      </c>
      <c r="S9533">
        <v>127.5</v>
      </c>
      <c r="T9533" t="s">
        <v>45166</v>
      </c>
    </row>
    <row r="9534" spans="1:20">
      <c r="A9534">
        <v>4796764</v>
      </c>
      <c r="B9534" t="s">
        <v>45167</v>
      </c>
      <c r="C9534" t="str">
        <f>"9782760536258"</f>
        <v>9782760536258</v>
      </c>
      <c r="D9534" t="str">
        <f>"9782760536265"</f>
        <v>9782760536265</v>
      </c>
      <c r="E9534" t="s">
        <v>33376</v>
      </c>
      <c r="F9534" t="s">
        <v>43423</v>
      </c>
      <c r="G9534" s="1">
        <v>41333</v>
      </c>
      <c r="J9534" t="s">
        <v>45168</v>
      </c>
      <c r="K9534" t="s">
        <v>305</v>
      </c>
      <c r="M9534" t="s">
        <v>43433</v>
      </c>
      <c r="O9534" t="s">
        <v>94</v>
      </c>
      <c r="P9534">
        <v>20</v>
      </c>
      <c r="Q9534">
        <v>25</v>
      </c>
      <c r="R9534">
        <v>20</v>
      </c>
      <c r="S9534">
        <v>30</v>
      </c>
      <c r="T9534" t="s">
        <v>45169</v>
      </c>
    </row>
    <row r="9535" spans="1:20">
      <c r="A9535">
        <v>4796765</v>
      </c>
      <c r="B9535" t="s">
        <v>45170</v>
      </c>
      <c r="C9535" t="str">
        <f>"9782760535480"</f>
        <v>9782760535480</v>
      </c>
      <c r="D9535" t="str">
        <f>"9782760535497"</f>
        <v>9782760535497</v>
      </c>
      <c r="E9535" t="s">
        <v>33376</v>
      </c>
      <c r="F9535" t="s">
        <v>43423</v>
      </c>
      <c r="G9535" s="1">
        <v>41234</v>
      </c>
      <c r="J9535" t="s">
        <v>45171</v>
      </c>
      <c r="K9535" t="s">
        <v>263</v>
      </c>
      <c r="M9535">
        <v>300.72000000000003</v>
      </c>
      <c r="O9535" t="s">
        <v>94</v>
      </c>
      <c r="P9535">
        <v>26</v>
      </c>
      <c r="Q9535">
        <v>32.5</v>
      </c>
      <c r="R9535">
        <v>26</v>
      </c>
      <c r="S9535">
        <v>39</v>
      </c>
      <c r="T9535" t="s">
        <v>45172</v>
      </c>
    </row>
    <row r="9536" spans="1:20">
      <c r="A9536">
        <v>4796766</v>
      </c>
      <c r="B9536" t="s">
        <v>45173</v>
      </c>
      <c r="C9536" t="str">
        <f>"9782760531949"</f>
        <v>9782760531949</v>
      </c>
      <c r="D9536" t="str">
        <f>"9782760531956"</f>
        <v>9782760531956</v>
      </c>
      <c r="E9536" t="s">
        <v>33376</v>
      </c>
      <c r="F9536" t="s">
        <v>43423</v>
      </c>
      <c r="G9536" s="1">
        <v>41263</v>
      </c>
      <c r="J9536" t="s">
        <v>45174</v>
      </c>
      <c r="K9536" t="s">
        <v>263</v>
      </c>
      <c r="M9536">
        <v>303.32</v>
      </c>
      <c r="O9536" t="s">
        <v>94</v>
      </c>
      <c r="P9536">
        <v>55</v>
      </c>
      <c r="Q9536">
        <v>68.75</v>
      </c>
      <c r="R9536">
        <v>55</v>
      </c>
      <c r="S9536">
        <v>82.5</v>
      </c>
      <c r="T9536" t="s">
        <v>45175</v>
      </c>
    </row>
    <row r="9537" spans="1:20">
      <c r="A9537">
        <v>4796769</v>
      </c>
      <c r="B9537" t="s">
        <v>45176</v>
      </c>
      <c r="C9537" t="str">
        <f>"9782763715452"</f>
        <v>9782763715452</v>
      </c>
      <c r="D9537" t="str">
        <f>"9782763715469"</f>
        <v>9782763715469</v>
      </c>
      <c r="E9537" t="s">
        <v>43877</v>
      </c>
      <c r="F9537" t="s">
        <v>43877</v>
      </c>
      <c r="G9537" s="1">
        <v>41368</v>
      </c>
      <c r="I9537" t="s">
        <v>43283</v>
      </c>
      <c r="J9537" t="s">
        <v>43965</v>
      </c>
      <c r="K9537" t="s">
        <v>257</v>
      </c>
      <c r="M9537">
        <v>374</v>
      </c>
      <c r="O9537" t="s">
        <v>94</v>
      </c>
      <c r="P9537">
        <v>30</v>
      </c>
      <c r="Q9537">
        <v>37.5</v>
      </c>
      <c r="R9537">
        <v>30</v>
      </c>
      <c r="S9537">
        <v>45</v>
      </c>
      <c r="T9537" t="s">
        <v>45177</v>
      </c>
    </row>
    <row r="9538" spans="1:20">
      <c r="A9538">
        <v>4796772</v>
      </c>
      <c r="B9538" t="s">
        <v>45178</v>
      </c>
      <c r="C9538" t="str">
        <f>"9782763715872"</f>
        <v>9782763715872</v>
      </c>
      <c r="D9538" t="str">
        <f>"9782763715889"</f>
        <v>9782763715889</v>
      </c>
      <c r="E9538" t="s">
        <v>43877</v>
      </c>
      <c r="F9538" t="s">
        <v>43282</v>
      </c>
      <c r="G9538" s="1">
        <v>41342</v>
      </c>
      <c r="I9538" t="s">
        <v>43283</v>
      </c>
      <c r="J9538" t="s">
        <v>45179</v>
      </c>
      <c r="K9538" t="s">
        <v>31967</v>
      </c>
      <c r="M9538">
        <v>330.971405</v>
      </c>
      <c r="O9538" t="s">
        <v>94</v>
      </c>
      <c r="P9538">
        <v>39.950000000000003</v>
      </c>
      <c r="Q9538">
        <v>49.94</v>
      </c>
      <c r="R9538">
        <v>39.950000000000003</v>
      </c>
      <c r="S9538">
        <v>59.93</v>
      </c>
      <c r="T9538" t="s">
        <v>45180</v>
      </c>
    </row>
    <row r="9539" spans="1:20">
      <c r="A9539">
        <v>4796773</v>
      </c>
      <c r="B9539" t="s">
        <v>45181</v>
      </c>
      <c r="C9539" t="str">
        <f>"9782760631175"</f>
        <v>9782760631175</v>
      </c>
      <c r="D9539" t="str">
        <f>"9782760631182"</f>
        <v>9782760631182</v>
      </c>
      <c r="E9539" t="s">
        <v>42231</v>
      </c>
      <c r="F9539" t="s">
        <v>42231</v>
      </c>
      <c r="G9539" s="1">
        <v>36526</v>
      </c>
      <c r="I9539" t="s">
        <v>44287</v>
      </c>
      <c r="J9539" t="s">
        <v>45182</v>
      </c>
      <c r="K9539" t="s">
        <v>10860</v>
      </c>
      <c r="M9539">
        <v>20.23</v>
      </c>
      <c r="O9539" t="s">
        <v>94</v>
      </c>
      <c r="P9539">
        <v>4.99</v>
      </c>
      <c r="Q9539">
        <v>6.24</v>
      </c>
      <c r="R9539">
        <v>4.99</v>
      </c>
      <c r="S9539">
        <v>7.49</v>
      </c>
      <c r="T9539" t="s">
        <v>45183</v>
      </c>
    </row>
    <row r="9540" spans="1:20">
      <c r="A9540">
        <v>4796777</v>
      </c>
      <c r="B9540" t="s">
        <v>45184</v>
      </c>
      <c r="C9540" t="str">
        <f>"9782763715308"</f>
        <v>9782763715308</v>
      </c>
      <c r="D9540" t="str">
        <f>"9782763715315"</f>
        <v>9782763715315</v>
      </c>
      <c r="E9540" t="s">
        <v>43877</v>
      </c>
      <c r="F9540" t="s">
        <v>43282</v>
      </c>
      <c r="G9540" s="1">
        <v>41422</v>
      </c>
      <c r="I9540" t="s">
        <v>43283</v>
      </c>
      <c r="J9540" t="s">
        <v>45185</v>
      </c>
      <c r="K9540" t="s">
        <v>525</v>
      </c>
      <c r="M9540">
        <v>346.01780889999998</v>
      </c>
      <c r="O9540" t="s">
        <v>94</v>
      </c>
      <c r="P9540">
        <v>30</v>
      </c>
      <c r="Q9540">
        <v>37.5</v>
      </c>
      <c r="R9540">
        <v>30</v>
      </c>
      <c r="S9540">
        <v>45</v>
      </c>
      <c r="T9540" t="s">
        <v>45186</v>
      </c>
    </row>
    <row r="9541" spans="1:20">
      <c r="A9541">
        <v>4796780</v>
      </c>
      <c r="B9541" t="s">
        <v>45187</v>
      </c>
      <c r="C9541" t="str">
        <f>"9782763716299"</f>
        <v>9782763716299</v>
      </c>
      <c r="D9541" t="str">
        <f>"9782763716305"</f>
        <v>9782763716305</v>
      </c>
      <c r="E9541" t="s">
        <v>43877</v>
      </c>
      <c r="F9541" t="s">
        <v>43282</v>
      </c>
      <c r="G9541" s="1">
        <v>41422</v>
      </c>
      <c r="I9541" t="s">
        <v>43283</v>
      </c>
      <c r="J9541" t="s">
        <v>44707</v>
      </c>
      <c r="K9541" t="s">
        <v>12989</v>
      </c>
      <c r="M9541">
        <v>614.53200000000004</v>
      </c>
      <c r="O9541" t="s">
        <v>94</v>
      </c>
      <c r="P9541">
        <v>32</v>
      </c>
      <c r="Q9541">
        <v>40</v>
      </c>
      <c r="R9541">
        <v>32</v>
      </c>
      <c r="S9541">
        <v>48</v>
      </c>
      <c r="T9541" t="s">
        <v>45188</v>
      </c>
    </row>
    <row r="9542" spans="1:20">
      <c r="A9542">
        <v>4796781</v>
      </c>
      <c r="B9542" t="s">
        <v>45189</v>
      </c>
      <c r="C9542" t="str">
        <f>"9782763717760"</f>
        <v>9782763717760</v>
      </c>
      <c r="D9542" t="str">
        <f>"9782763717777"</f>
        <v>9782763717777</v>
      </c>
      <c r="E9542" t="s">
        <v>43877</v>
      </c>
      <c r="F9542" t="s">
        <v>43282</v>
      </c>
      <c r="G9542" s="1">
        <v>41422</v>
      </c>
      <c r="I9542" t="s">
        <v>44694</v>
      </c>
      <c r="J9542" t="s">
        <v>45190</v>
      </c>
      <c r="K9542" t="s">
        <v>525</v>
      </c>
      <c r="M9542">
        <v>341.584</v>
      </c>
      <c r="O9542" t="s">
        <v>94</v>
      </c>
      <c r="P9542">
        <v>25</v>
      </c>
      <c r="Q9542">
        <v>31.25</v>
      </c>
      <c r="R9542">
        <v>25</v>
      </c>
      <c r="S9542">
        <v>37.5</v>
      </c>
      <c r="T9542" t="s">
        <v>45191</v>
      </c>
    </row>
    <row r="9543" spans="1:20">
      <c r="A9543">
        <v>4796782</v>
      </c>
      <c r="B9543" t="s">
        <v>45192</v>
      </c>
      <c r="C9543" t="str">
        <f>"9782763717883"</f>
        <v>9782763717883</v>
      </c>
      <c r="D9543" t="str">
        <f>"9782763717890"</f>
        <v>9782763717890</v>
      </c>
      <c r="E9543" t="s">
        <v>43877</v>
      </c>
      <c r="F9543" t="s">
        <v>43282</v>
      </c>
      <c r="G9543" s="1">
        <v>36526</v>
      </c>
      <c r="I9543" t="s">
        <v>43283</v>
      </c>
      <c r="J9543" t="s">
        <v>45193</v>
      </c>
      <c r="K9543" t="s">
        <v>31967</v>
      </c>
      <c r="M9543">
        <v>338.47910000000002</v>
      </c>
      <c r="O9543" t="s">
        <v>94</v>
      </c>
      <c r="P9543">
        <v>10</v>
      </c>
      <c r="Q9543">
        <v>12.5</v>
      </c>
      <c r="R9543">
        <v>10</v>
      </c>
      <c r="S9543">
        <v>15</v>
      </c>
      <c r="T9543" t="s">
        <v>45194</v>
      </c>
    </row>
    <row r="9544" spans="1:20">
      <c r="A9544">
        <v>4796783</v>
      </c>
      <c r="B9544" t="s">
        <v>45195</v>
      </c>
      <c r="C9544" t="str">
        <f>"9782763792965"</f>
        <v>9782763792965</v>
      </c>
      <c r="D9544" t="str">
        <f>"9782763792972"</f>
        <v>9782763792972</v>
      </c>
      <c r="E9544" t="s">
        <v>43877</v>
      </c>
      <c r="F9544" t="s">
        <v>43877</v>
      </c>
      <c r="G9544" s="1">
        <v>41422</v>
      </c>
      <c r="I9544" t="s">
        <v>43283</v>
      </c>
      <c r="J9544" t="s">
        <v>45196</v>
      </c>
      <c r="K9544" t="s">
        <v>525</v>
      </c>
      <c r="M9544">
        <v>342.7</v>
      </c>
      <c r="O9544" t="s">
        <v>94</v>
      </c>
      <c r="P9544">
        <v>20</v>
      </c>
      <c r="Q9544">
        <v>25</v>
      </c>
      <c r="R9544">
        <v>20</v>
      </c>
      <c r="S9544">
        <v>30</v>
      </c>
      <c r="T9544" t="s">
        <v>45197</v>
      </c>
    </row>
    <row r="9545" spans="1:20">
      <c r="A9545">
        <v>4796784</v>
      </c>
      <c r="B9545" t="s">
        <v>45198</v>
      </c>
      <c r="C9545" t="str">
        <f>"9782763797373"</f>
        <v>9782763797373</v>
      </c>
      <c r="D9545" t="str">
        <f>"9782763797380"</f>
        <v>9782763797380</v>
      </c>
      <c r="E9545" t="s">
        <v>43877</v>
      </c>
      <c r="F9545" t="s">
        <v>43282</v>
      </c>
      <c r="G9545" s="1">
        <v>41422</v>
      </c>
      <c r="I9545" t="s">
        <v>43283</v>
      </c>
      <c r="J9545" t="s">
        <v>45199</v>
      </c>
      <c r="K9545" t="s">
        <v>263</v>
      </c>
      <c r="M9545">
        <v>304.2</v>
      </c>
      <c r="O9545" t="s">
        <v>94</v>
      </c>
      <c r="P9545">
        <v>33</v>
      </c>
      <c r="Q9545">
        <v>41.25</v>
      </c>
      <c r="R9545">
        <v>33</v>
      </c>
      <c r="S9545">
        <v>49.5</v>
      </c>
      <c r="T9545" t="s">
        <v>45200</v>
      </c>
    </row>
    <row r="9546" spans="1:20">
      <c r="A9546">
        <v>4796785</v>
      </c>
      <c r="B9546" t="s">
        <v>45201</v>
      </c>
      <c r="C9546" t="str">
        <f>"9782763798783"</f>
        <v>9782763798783</v>
      </c>
      <c r="D9546" t="str">
        <f>"9782763798790"</f>
        <v>9782763798790</v>
      </c>
      <c r="E9546" t="s">
        <v>43877</v>
      </c>
      <c r="F9546" t="s">
        <v>43282</v>
      </c>
      <c r="G9546" s="1">
        <v>41422</v>
      </c>
      <c r="I9546" t="s">
        <v>43283</v>
      </c>
      <c r="J9546" t="s">
        <v>45202</v>
      </c>
      <c r="K9546" t="s">
        <v>376</v>
      </c>
      <c r="M9546">
        <v>362.1</v>
      </c>
      <c r="O9546" t="s">
        <v>94</v>
      </c>
      <c r="P9546">
        <v>35</v>
      </c>
      <c r="Q9546">
        <v>43.75</v>
      </c>
      <c r="R9546">
        <v>35</v>
      </c>
      <c r="S9546">
        <v>52.5</v>
      </c>
      <c r="T9546" t="s">
        <v>45203</v>
      </c>
    </row>
    <row r="9547" spans="1:20">
      <c r="A9547">
        <v>4796786</v>
      </c>
      <c r="B9547" t="s">
        <v>45204</v>
      </c>
      <c r="C9547" t="str">
        <f>"9782760536890"</f>
        <v>9782760536890</v>
      </c>
      <c r="D9547" t="str">
        <f>"9782760536906"</f>
        <v>9782760536906</v>
      </c>
      <c r="E9547" t="s">
        <v>33376</v>
      </c>
      <c r="F9547" t="s">
        <v>43423</v>
      </c>
      <c r="G9547" s="1">
        <v>41407</v>
      </c>
      <c r="J9547" t="s">
        <v>45205</v>
      </c>
      <c r="K9547" t="s">
        <v>305</v>
      </c>
      <c r="M9547">
        <v>658.38</v>
      </c>
      <c r="O9547" t="s">
        <v>94</v>
      </c>
      <c r="P9547">
        <v>26</v>
      </c>
      <c r="Q9547">
        <v>32.5</v>
      </c>
      <c r="R9547">
        <v>26</v>
      </c>
      <c r="S9547">
        <v>39</v>
      </c>
      <c r="T9547" t="s">
        <v>45206</v>
      </c>
    </row>
    <row r="9548" spans="1:20">
      <c r="A9548">
        <v>4796787</v>
      </c>
      <c r="B9548" t="s">
        <v>45207</v>
      </c>
      <c r="C9548" t="str">
        <f>"9782760537033"</f>
        <v>9782760537033</v>
      </c>
      <c r="D9548" t="str">
        <f>"9782760537040"</f>
        <v>9782760537040</v>
      </c>
      <c r="E9548" t="s">
        <v>33376</v>
      </c>
      <c r="F9548" t="s">
        <v>43423</v>
      </c>
      <c r="G9548" s="1">
        <v>41407</v>
      </c>
      <c r="J9548" t="s">
        <v>45208</v>
      </c>
      <c r="K9548" t="s">
        <v>263</v>
      </c>
      <c r="M9548">
        <v>363.85</v>
      </c>
      <c r="O9548" t="s">
        <v>94</v>
      </c>
      <c r="P9548">
        <v>25</v>
      </c>
      <c r="Q9548">
        <v>31.25</v>
      </c>
      <c r="R9548">
        <v>25</v>
      </c>
      <c r="S9548">
        <v>37.5</v>
      </c>
      <c r="T9548" t="s">
        <v>45209</v>
      </c>
    </row>
    <row r="9549" spans="1:20">
      <c r="A9549">
        <v>4796788</v>
      </c>
      <c r="B9549" t="s">
        <v>45210</v>
      </c>
      <c r="C9549" t="str">
        <f>"9782760536982"</f>
        <v>9782760536982</v>
      </c>
      <c r="D9549" t="str">
        <f>"9782760536999"</f>
        <v>9782760536999</v>
      </c>
      <c r="E9549" t="s">
        <v>33376</v>
      </c>
      <c r="F9549" t="s">
        <v>43423</v>
      </c>
      <c r="G9549" s="1">
        <v>36526</v>
      </c>
      <c r="H9549">
        <v>4</v>
      </c>
      <c r="J9549" t="s">
        <v>45211</v>
      </c>
      <c r="K9549" t="s">
        <v>305</v>
      </c>
      <c r="M9549" t="s">
        <v>45212</v>
      </c>
      <c r="O9549" t="s">
        <v>94</v>
      </c>
      <c r="P9549">
        <v>43</v>
      </c>
      <c r="Q9549">
        <v>53.75</v>
      </c>
      <c r="R9549">
        <v>43</v>
      </c>
      <c r="S9549">
        <v>64.5</v>
      </c>
      <c r="T9549" t="s">
        <v>45213</v>
      </c>
    </row>
    <row r="9550" spans="1:20">
      <c r="A9550">
        <v>4796789</v>
      </c>
      <c r="B9550" t="s">
        <v>45214</v>
      </c>
      <c r="C9550" t="str">
        <f>"9782760537071"</f>
        <v>9782760537071</v>
      </c>
      <c r="D9550" t="str">
        <f>"9782760537088"</f>
        <v>9782760537088</v>
      </c>
      <c r="E9550" t="s">
        <v>33376</v>
      </c>
      <c r="F9550" t="s">
        <v>43423</v>
      </c>
      <c r="G9550" s="1">
        <v>36526</v>
      </c>
      <c r="J9550" t="s">
        <v>45215</v>
      </c>
      <c r="K9550" t="s">
        <v>305</v>
      </c>
      <c r="M9550">
        <v>658.40071999999998</v>
      </c>
      <c r="O9550" t="s">
        <v>94</v>
      </c>
      <c r="P9550">
        <v>28</v>
      </c>
      <c r="Q9550">
        <v>35</v>
      </c>
      <c r="R9550">
        <v>28</v>
      </c>
      <c r="S9550">
        <v>42</v>
      </c>
      <c r="T9550" t="s">
        <v>45216</v>
      </c>
    </row>
    <row r="9551" spans="1:20">
      <c r="A9551">
        <v>4796790</v>
      </c>
      <c r="B9551" t="s">
        <v>45217</v>
      </c>
      <c r="C9551" t="str">
        <f>"9782760537132"</f>
        <v>9782760537132</v>
      </c>
      <c r="D9551" t="str">
        <f>"9782760537149"</f>
        <v>9782760537149</v>
      </c>
      <c r="E9551" t="s">
        <v>33376</v>
      </c>
      <c r="F9551" t="s">
        <v>43423</v>
      </c>
      <c r="G9551" s="1">
        <v>36526</v>
      </c>
      <c r="J9551" t="s">
        <v>45218</v>
      </c>
      <c r="K9551" t="s">
        <v>257</v>
      </c>
      <c r="M9551" t="s">
        <v>45219</v>
      </c>
      <c r="O9551" t="s">
        <v>94</v>
      </c>
      <c r="P9551">
        <v>28</v>
      </c>
      <c r="Q9551">
        <v>35</v>
      </c>
      <c r="R9551">
        <v>28</v>
      </c>
      <c r="S9551">
        <v>42</v>
      </c>
      <c r="T9551" t="s">
        <v>45220</v>
      </c>
    </row>
    <row r="9552" spans="1:20">
      <c r="A9552">
        <v>4796791</v>
      </c>
      <c r="B9552" t="s">
        <v>45221</v>
      </c>
      <c r="C9552" t="str">
        <f>"9782760537262"</f>
        <v>9782760537262</v>
      </c>
      <c r="D9552" t="str">
        <f>"9782760537279"</f>
        <v>9782760537279</v>
      </c>
      <c r="E9552" t="s">
        <v>33376</v>
      </c>
      <c r="F9552" t="s">
        <v>43423</v>
      </c>
      <c r="G9552" s="1">
        <v>41404</v>
      </c>
      <c r="J9552" t="s">
        <v>44908</v>
      </c>
      <c r="K9552" t="s">
        <v>257</v>
      </c>
      <c r="M9552">
        <v>370.71100000000001</v>
      </c>
      <c r="O9552" t="s">
        <v>94</v>
      </c>
      <c r="P9552">
        <v>25</v>
      </c>
      <c r="Q9552">
        <v>31.25</v>
      </c>
      <c r="R9552">
        <v>25</v>
      </c>
      <c r="S9552">
        <v>37.5</v>
      </c>
      <c r="T9552" t="s">
        <v>45222</v>
      </c>
    </row>
    <row r="9553" spans="1:20">
      <c r="A9553">
        <v>4796792</v>
      </c>
      <c r="B9553" t="s">
        <v>45223</v>
      </c>
      <c r="C9553" t="str">
        <f>"9782760537293"</f>
        <v>9782760537293</v>
      </c>
      <c r="D9553" t="str">
        <f>"9782760537309"</f>
        <v>9782760537309</v>
      </c>
      <c r="E9553" t="s">
        <v>33376</v>
      </c>
      <c r="F9553" t="s">
        <v>43423</v>
      </c>
      <c r="G9553" s="1">
        <v>41407</v>
      </c>
      <c r="J9553" t="s">
        <v>45224</v>
      </c>
      <c r="K9553" t="s">
        <v>257</v>
      </c>
      <c r="M9553">
        <v>370.15</v>
      </c>
      <c r="O9553" t="s">
        <v>94</v>
      </c>
      <c r="P9553">
        <v>27</v>
      </c>
      <c r="Q9553">
        <v>33.75</v>
      </c>
      <c r="R9553">
        <v>27</v>
      </c>
      <c r="S9553">
        <v>40.5</v>
      </c>
      <c r="T9553" t="s">
        <v>45225</v>
      </c>
    </row>
    <row r="9554" spans="1:20">
      <c r="A9554">
        <v>4796795</v>
      </c>
      <c r="B9554" t="s">
        <v>45226</v>
      </c>
      <c r="C9554" t="str">
        <f>"9782763717289"</f>
        <v>9782763717289</v>
      </c>
      <c r="D9554" t="str">
        <f>"9782763717296"</f>
        <v>9782763717296</v>
      </c>
      <c r="E9554" t="s">
        <v>43877</v>
      </c>
      <c r="F9554" t="s">
        <v>43282</v>
      </c>
      <c r="G9554" s="1">
        <v>41424</v>
      </c>
      <c r="I9554" t="s">
        <v>43283</v>
      </c>
      <c r="J9554" t="s">
        <v>45227</v>
      </c>
      <c r="K9554" t="s">
        <v>2260</v>
      </c>
      <c r="M9554">
        <v>616.99405999999999</v>
      </c>
      <c r="O9554" t="s">
        <v>94</v>
      </c>
      <c r="P9554">
        <v>39.950000000000003</v>
      </c>
      <c r="Q9554">
        <v>49.94</v>
      </c>
      <c r="R9554">
        <v>39.950000000000003</v>
      </c>
      <c r="S9554">
        <v>59.93</v>
      </c>
      <c r="T9554" t="s">
        <v>45228</v>
      </c>
    </row>
    <row r="9555" spans="1:20">
      <c r="A9555">
        <v>4796796</v>
      </c>
      <c r="B9555" t="s">
        <v>45229</v>
      </c>
      <c r="C9555" t="str">
        <f>"9782763717401"</f>
        <v>9782763717401</v>
      </c>
      <c r="D9555" t="str">
        <f>"9782763717418"</f>
        <v>9782763717418</v>
      </c>
      <c r="E9555" t="s">
        <v>43877</v>
      </c>
      <c r="F9555" t="s">
        <v>43282</v>
      </c>
      <c r="G9555" s="1">
        <v>41422</v>
      </c>
      <c r="I9555" t="s">
        <v>43283</v>
      </c>
      <c r="J9555" t="s">
        <v>45230</v>
      </c>
      <c r="K9555" t="s">
        <v>3848</v>
      </c>
      <c r="L9555" t="s">
        <v>45231</v>
      </c>
      <c r="M9555">
        <v>971.40499999999997</v>
      </c>
      <c r="O9555" t="s">
        <v>94</v>
      </c>
      <c r="P9555">
        <v>19.95</v>
      </c>
      <c r="Q9555">
        <v>24.94</v>
      </c>
      <c r="R9555">
        <v>19.95</v>
      </c>
      <c r="S9555">
        <v>29.93</v>
      </c>
      <c r="T9555" t="s">
        <v>45232</v>
      </c>
    </row>
    <row r="9556" spans="1:20">
      <c r="A9556">
        <v>4796797</v>
      </c>
      <c r="B9556" t="s">
        <v>45233</v>
      </c>
      <c r="C9556" t="str">
        <f>"9782763717524"</f>
        <v>9782763717524</v>
      </c>
      <c r="D9556" t="str">
        <f>"9782763717531"</f>
        <v>9782763717531</v>
      </c>
      <c r="E9556" t="s">
        <v>43877</v>
      </c>
      <c r="F9556" t="s">
        <v>43282</v>
      </c>
      <c r="G9556" s="1">
        <v>41422</v>
      </c>
      <c r="I9556" t="s">
        <v>43283</v>
      </c>
      <c r="J9556" t="s">
        <v>45234</v>
      </c>
      <c r="K9556" t="s">
        <v>1859</v>
      </c>
      <c r="M9556">
        <v>171.6</v>
      </c>
      <c r="O9556" t="s">
        <v>94</v>
      </c>
      <c r="P9556">
        <v>19.95</v>
      </c>
      <c r="Q9556">
        <v>24.94</v>
      </c>
      <c r="R9556">
        <v>19.95</v>
      </c>
      <c r="S9556">
        <v>29.93</v>
      </c>
      <c r="T9556" t="s">
        <v>45235</v>
      </c>
    </row>
    <row r="9557" spans="1:20">
      <c r="A9557">
        <v>4796798</v>
      </c>
      <c r="B9557" t="s">
        <v>45236</v>
      </c>
      <c r="C9557" t="str">
        <f>"9782763797885"</f>
        <v>9782763797885</v>
      </c>
      <c r="D9557" t="str">
        <f>"9782763797892"</f>
        <v>9782763797892</v>
      </c>
      <c r="E9557" t="s">
        <v>43877</v>
      </c>
      <c r="F9557" t="s">
        <v>43282</v>
      </c>
      <c r="G9557" s="1">
        <v>41431</v>
      </c>
      <c r="I9557" t="s">
        <v>43283</v>
      </c>
      <c r="J9557" t="s">
        <v>45237</v>
      </c>
      <c r="K9557" t="s">
        <v>263</v>
      </c>
      <c r="L9557" t="s">
        <v>45238</v>
      </c>
      <c r="M9557">
        <v>394.12</v>
      </c>
      <c r="O9557" t="s">
        <v>94</v>
      </c>
      <c r="P9557">
        <v>34.950000000000003</v>
      </c>
      <c r="Q9557">
        <v>43.69</v>
      </c>
      <c r="R9557">
        <v>34.950000000000003</v>
      </c>
      <c r="S9557">
        <v>52.43</v>
      </c>
      <c r="T9557" t="s">
        <v>45239</v>
      </c>
    </row>
    <row r="9558" spans="1:20">
      <c r="A9558">
        <v>4796800</v>
      </c>
      <c r="B9558" t="s">
        <v>45240</v>
      </c>
      <c r="C9558" t="str">
        <f>"9782763798271"</f>
        <v>9782763798271</v>
      </c>
      <c r="D9558" t="str">
        <f>"9782763798288"</f>
        <v>9782763798288</v>
      </c>
      <c r="E9558" t="s">
        <v>43877</v>
      </c>
      <c r="F9558" t="s">
        <v>43282</v>
      </c>
      <c r="G9558" s="1">
        <v>41424</v>
      </c>
      <c r="I9558" t="s">
        <v>43283</v>
      </c>
      <c r="J9558" t="s">
        <v>45241</v>
      </c>
      <c r="K9558" t="s">
        <v>376</v>
      </c>
      <c r="M9558">
        <v>362.19896999999997</v>
      </c>
      <c r="O9558" t="s">
        <v>94</v>
      </c>
      <c r="P9558">
        <v>39.950000000000003</v>
      </c>
      <c r="Q9558">
        <v>49.94</v>
      </c>
      <c r="R9558">
        <v>39.950000000000003</v>
      </c>
      <c r="S9558">
        <v>59.93</v>
      </c>
      <c r="T9558" t="s">
        <v>45242</v>
      </c>
    </row>
    <row r="9559" spans="1:20">
      <c r="A9559">
        <v>4796802</v>
      </c>
      <c r="B9559" t="s">
        <v>45243</v>
      </c>
      <c r="C9559" t="str">
        <f>"9782763717708"</f>
        <v>9782763717708</v>
      </c>
      <c r="D9559" t="str">
        <f>"9782763717715"</f>
        <v>9782763717715</v>
      </c>
      <c r="E9559" t="s">
        <v>43877</v>
      </c>
      <c r="F9559" t="s">
        <v>43282</v>
      </c>
      <c r="G9559" s="1">
        <v>41436</v>
      </c>
      <c r="I9559" t="s">
        <v>43283</v>
      </c>
      <c r="J9559" t="s">
        <v>45244</v>
      </c>
      <c r="K9559" t="s">
        <v>263</v>
      </c>
      <c r="M9559">
        <v>305.800971</v>
      </c>
      <c r="O9559" t="s">
        <v>94</v>
      </c>
      <c r="P9559">
        <v>25</v>
      </c>
      <c r="Q9559">
        <v>31.25</v>
      </c>
      <c r="R9559">
        <v>25</v>
      </c>
      <c r="S9559">
        <v>37.5</v>
      </c>
      <c r="T9559" t="s">
        <v>45245</v>
      </c>
    </row>
    <row r="9560" spans="1:20">
      <c r="A9560">
        <v>4796807</v>
      </c>
      <c r="B9560" t="s">
        <v>45246</v>
      </c>
      <c r="C9560" t="str">
        <f>"9782763716862"</f>
        <v>9782763716862</v>
      </c>
      <c r="D9560" t="str">
        <f>"9782763716879"</f>
        <v>9782763716879</v>
      </c>
      <c r="E9560" t="s">
        <v>43877</v>
      </c>
      <c r="F9560" t="s">
        <v>43282</v>
      </c>
      <c r="G9560" s="1">
        <v>41445</v>
      </c>
      <c r="I9560" t="s">
        <v>43891</v>
      </c>
      <c r="J9560" t="s">
        <v>45247</v>
      </c>
      <c r="K9560" t="s">
        <v>1471</v>
      </c>
      <c r="M9560">
        <v>712</v>
      </c>
      <c r="O9560" t="s">
        <v>94</v>
      </c>
      <c r="P9560">
        <v>25</v>
      </c>
      <c r="Q9560">
        <v>31.25</v>
      </c>
      <c r="R9560">
        <v>25</v>
      </c>
      <c r="S9560">
        <v>37.5</v>
      </c>
      <c r="T9560" t="s">
        <v>45248</v>
      </c>
    </row>
    <row r="9561" spans="1:20">
      <c r="A9561">
        <v>4796808</v>
      </c>
      <c r="B9561" t="s">
        <v>45249</v>
      </c>
      <c r="C9561" t="str">
        <f>"9782763717319"</f>
        <v>9782763717319</v>
      </c>
      <c r="D9561" t="str">
        <f>"9782763717326"</f>
        <v>9782763717326</v>
      </c>
      <c r="E9561" t="s">
        <v>43877</v>
      </c>
      <c r="F9561" t="s">
        <v>43282</v>
      </c>
      <c r="G9561" s="1">
        <v>41445</v>
      </c>
      <c r="I9561" t="s">
        <v>45060</v>
      </c>
      <c r="J9561" t="s">
        <v>45250</v>
      </c>
      <c r="K9561" t="s">
        <v>1127</v>
      </c>
      <c r="M9561">
        <v>158.30000000000001</v>
      </c>
      <c r="O9561" t="s">
        <v>94</v>
      </c>
      <c r="P9561">
        <v>45</v>
      </c>
      <c r="Q9561">
        <v>56.25</v>
      </c>
      <c r="R9561">
        <v>45</v>
      </c>
      <c r="S9561">
        <v>67.5</v>
      </c>
      <c r="T9561" t="s">
        <v>45251</v>
      </c>
    </row>
    <row r="9562" spans="1:20">
      <c r="A9562">
        <v>4796809</v>
      </c>
      <c r="B9562" t="s">
        <v>45252</v>
      </c>
      <c r="C9562" t="str">
        <f>"9782763716084"</f>
        <v>9782763716084</v>
      </c>
      <c r="D9562" t="str">
        <f>"9782763716091"</f>
        <v>9782763716091</v>
      </c>
      <c r="E9562" t="s">
        <v>43877</v>
      </c>
      <c r="F9562" t="s">
        <v>43282</v>
      </c>
      <c r="G9562" s="1">
        <v>41472</v>
      </c>
      <c r="I9562" t="s">
        <v>43283</v>
      </c>
      <c r="J9562" t="s">
        <v>45253</v>
      </c>
      <c r="K9562" t="s">
        <v>291</v>
      </c>
      <c r="M9562">
        <v>971.4</v>
      </c>
      <c r="O9562" t="s">
        <v>94</v>
      </c>
      <c r="P9562">
        <v>40</v>
      </c>
      <c r="Q9562">
        <v>50</v>
      </c>
      <c r="R9562">
        <v>40</v>
      </c>
      <c r="S9562">
        <v>60</v>
      </c>
      <c r="T9562" t="s">
        <v>45254</v>
      </c>
    </row>
    <row r="9563" spans="1:20">
      <c r="A9563">
        <v>4796811</v>
      </c>
      <c r="B9563" t="s">
        <v>45255</v>
      </c>
      <c r="C9563" t="str">
        <f>"9782763794044"</f>
        <v>9782763794044</v>
      </c>
      <c r="D9563" t="str">
        <f>"9782763794051"</f>
        <v>9782763794051</v>
      </c>
      <c r="E9563" t="s">
        <v>43877</v>
      </c>
      <c r="F9563" t="s">
        <v>43877</v>
      </c>
      <c r="G9563" s="1">
        <v>41472</v>
      </c>
      <c r="I9563" t="s">
        <v>43283</v>
      </c>
      <c r="J9563" t="s">
        <v>45256</v>
      </c>
      <c r="K9563" t="s">
        <v>1892</v>
      </c>
      <c r="M9563">
        <v>234</v>
      </c>
      <c r="O9563" t="s">
        <v>94</v>
      </c>
      <c r="P9563">
        <v>30</v>
      </c>
      <c r="Q9563">
        <v>37.5</v>
      </c>
      <c r="R9563">
        <v>30</v>
      </c>
      <c r="S9563">
        <v>45</v>
      </c>
      <c r="T9563" t="s">
        <v>45257</v>
      </c>
    </row>
    <row r="9564" spans="1:20">
      <c r="A9564">
        <v>4796812</v>
      </c>
      <c r="B9564" t="s">
        <v>45258</v>
      </c>
      <c r="C9564" t="str">
        <f>"9782763794556"</f>
        <v>9782763794556</v>
      </c>
      <c r="D9564" t="str">
        <f>"9782763794563"</f>
        <v>9782763794563</v>
      </c>
      <c r="E9564" t="s">
        <v>43877</v>
      </c>
      <c r="F9564" t="s">
        <v>43877</v>
      </c>
      <c r="G9564" s="1">
        <v>41472</v>
      </c>
      <c r="I9564" t="s">
        <v>45259</v>
      </c>
      <c r="J9564" t="s">
        <v>45260</v>
      </c>
      <c r="K9564" t="s">
        <v>263</v>
      </c>
      <c r="M9564">
        <v>306.85000000000002</v>
      </c>
      <c r="O9564" t="s">
        <v>94</v>
      </c>
      <c r="P9564">
        <v>35</v>
      </c>
      <c r="Q9564">
        <v>43.75</v>
      </c>
      <c r="R9564">
        <v>35</v>
      </c>
      <c r="S9564">
        <v>52.5</v>
      </c>
      <c r="T9564" t="s">
        <v>45261</v>
      </c>
    </row>
    <row r="9565" spans="1:20">
      <c r="A9565">
        <v>4796822</v>
      </c>
      <c r="B9565" t="s">
        <v>45262</v>
      </c>
      <c r="C9565" t="str">
        <f>"9782763797076"</f>
        <v>9782763797076</v>
      </c>
      <c r="D9565" t="str">
        <f>"9782763797083"</f>
        <v>9782763797083</v>
      </c>
      <c r="E9565" t="s">
        <v>43877</v>
      </c>
      <c r="F9565" t="s">
        <v>43877</v>
      </c>
      <c r="G9565" s="1">
        <v>41509</v>
      </c>
      <c r="I9565" t="s">
        <v>43283</v>
      </c>
      <c r="J9565" t="s">
        <v>45263</v>
      </c>
      <c r="K9565" t="s">
        <v>305</v>
      </c>
      <c r="M9565">
        <v>658.40200000000004</v>
      </c>
      <c r="O9565" t="s">
        <v>94</v>
      </c>
      <c r="P9565">
        <v>40</v>
      </c>
      <c r="Q9565">
        <v>50</v>
      </c>
      <c r="R9565">
        <v>40</v>
      </c>
      <c r="S9565">
        <v>60</v>
      </c>
      <c r="T9565" t="s">
        <v>45264</v>
      </c>
    </row>
    <row r="9566" spans="1:20">
      <c r="A9566">
        <v>4796823</v>
      </c>
      <c r="B9566" t="s">
        <v>45265</v>
      </c>
      <c r="C9566" t="str">
        <f>"9782763716657"</f>
        <v>9782763716657</v>
      </c>
      <c r="D9566" t="str">
        <f>"9782763716664"</f>
        <v>9782763716664</v>
      </c>
      <c r="E9566" t="s">
        <v>43877</v>
      </c>
      <c r="F9566" t="s">
        <v>43282</v>
      </c>
      <c r="G9566" s="1">
        <v>41541</v>
      </c>
      <c r="I9566" t="s">
        <v>43283</v>
      </c>
      <c r="J9566" t="s">
        <v>44016</v>
      </c>
      <c r="K9566" t="s">
        <v>1892</v>
      </c>
      <c r="M9566">
        <v>282.09199999999998</v>
      </c>
      <c r="O9566" t="s">
        <v>94</v>
      </c>
      <c r="P9566">
        <v>48.95</v>
      </c>
      <c r="Q9566">
        <v>61.19</v>
      </c>
      <c r="R9566">
        <v>48.95</v>
      </c>
      <c r="S9566">
        <v>73.430000000000007</v>
      </c>
      <c r="T9566" t="s">
        <v>45266</v>
      </c>
    </row>
    <row r="9567" spans="1:20">
      <c r="A9567">
        <v>4796824</v>
      </c>
      <c r="B9567" t="s">
        <v>45267</v>
      </c>
      <c r="C9567" t="str">
        <f>"9782763717012"</f>
        <v>9782763717012</v>
      </c>
      <c r="D9567" t="str">
        <f>"9782763717029"</f>
        <v>9782763717029</v>
      </c>
      <c r="E9567" t="s">
        <v>43877</v>
      </c>
      <c r="F9567" t="s">
        <v>43282</v>
      </c>
      <c r="G9567" s="1">
        <v>41541</v>
      </c>
      <c r="I9567" t="s">
        <v>43973</v>
      </c>
      <c r="J9567" t="s">
        <v>45268</v>
      </c>
      <c r="K9567" t="s">
        <v>1127</v>
      </c>
      <c r="M9567">
        <v>158.69999999999999</v>
      </c>
      <c r="O9567" t="s">
        <v>94</v>
      </c>
      <c r="P9567">
        <v>30</v>
      </c>
      <c r="Q9567">
        <v>37.5</v>
      </c>
      <c r="R9567">
        <v>30</v>
      </c>
      <c r="S9567">
        <v>45</v>
      </c>
      <c r="T9567" t="s">
        <v>45269</v>
      </c>
    </row>
    <row r="9568" spans="1:20">
      <c r="A9568">
        <v>4796827</v>
      </c>
      <c r="B9568" t="s">
        <v>45270</v>
      </c>
      <c r="C9568" t="str">
        <f>"9782763718729"</f>
        <v>9782763718729</v>
      </c>
      <c r="D9568" t="str">
        <f>"9782763718736"</f>
        <v>9782763718736</v>
      </c>
      <c r="E9568" t="s">
        <v>43877</v>
      </c>
      <c r="F9568" t="s">
        <v>43282</v>
      </c>
      <c r="G9568" s="1">
        <v>41541</v>
      </c>
      <c r="I9568" t="s">
        <v>43283</v>
      </c>
      <c r="J9568" t="s">
        <v>25537</v>
      </c>
      <c r="K9568" t="s">
        <v>467</v>
      </c>
      <c r="M9568">
        <v>322.109714</v>
      </c>
      <c r="O9568" t="s">
        <v>94</v>
      </c>
      <c r="P9568">
        <v>24.95</v>
      </c>
      <c r="Q9568">
        <v>31.19</v>
      </c>
      <c r="R9568">
        <v>24.95</v>
      </c>
      <c r="S9568">
        <v>37.43</v>
      </c>
      <c r="T9568" t="s">
        <v>45271</v>
      </c>
    </row>
    <row r="9569" spans="1:20">
      <c r="A9569">
        <v>4796829</v>
      </c>
      <c r="B9569" t="s">
        <v>45272</v>
      </c>
      <c r="C9569" t="str">
        <f>"9782763719085"</f>
        <v>9782763719085</v>
      </c>
      <c r="D9569" t="str">
        <f>"9782763719092"</f>
        <v>9782763719092</v>
      </c>
      <c r="E9569" t="s">
        <v>43877</v>
      </c>
      <c r="F9569" t="s">
        <v>43282</v>
      </c>
      <c r="G9569" s="1">
        <v>41541</v>
      </c>
      <c r="H9569">
        <v>5</v>
      </c>
      <c r="I9569" t="s">
        <v>43283</v>
      </c>
      <c r="J9569" t="s">
        <v>45273</v>
      </c>
      <c r="K9569" t="s">
        <v>467</v>
      </c>
      <c r="M9569">
        <v>320.47000000000003</v>
      </c>
      <c r="O9569" t="s">
        <v>94</v>
      </c>
      <c r="P9569">
        <v>45</v>
      </c>
      <c r="Q9569">
        <v>56.25</v>
      </c>
      <c r="R9569">
        <v>45</v>
      </c>
      <c r="S9569">
        <v>67.5</v>
      </c>
      <c r="T9569" t="s">
        <v>45274</v>
      </c>
    </row>
    <row r="9570" spans="1:20">
      <c r="A9570">
        <v>4796830</v>
      </c>
      <c r="B9570" t="s">
        <v>45275</v>
      </c>
      <c r="C9570" t="str">
        <f>"9782763793443"</f>
        <v>9782763793443</v>
      </c>
      <c r="D9570" t="str">
        <f>"9782763793450"</f>
        <v>9782763793450</v>
      </c>
      <c r="E9570" t="s">
        <v>43877</v>
      </c>
      <c r="F9570" t="s">
        <v>43877</v>
      </c>
      <c r="G9570" s="1">
        <v>41541</v>
      </c>
      <c r="I9570" t="s">
        <v>45276</v>
      </c>
      <c r="J9570" t="s">
        <v>45277</v>
      </c>
      <c r="K9570" t="s">
        <v>257</v>
      </c>
      <c r="M9570">
        <v>371.14121999999998</v>
      </c>
      <c r="O9570" t="s">
        <v>94</v>
      </c>
      <c r="P9570">
        <v>25</v>
      </c>
      <c r="Q9570">
        <v>31.25</v>
      </c>
      <c r="R9570">
        <v>25</v>
      </c>
      <c r="S9570">
        <v>37.5</v>
      </c>
      <c r="T9570" t="s">
        <v>45278</v>
      </c>
    </row>
    <row r="9571" spans="1:20">
      <c r="A9571">
        <v>4796831</v>
      </c>
      <c r="B9571" t="s">
        <v>45279</v>
      </c>
      <c r="C9571" t="str">
        <f>"9782763798721"</f>
        <v>9782763798721</v>
      </c>
      <c r="D9571" t="str">
        <f>"9782763798738"</f>
        <v>9782763798738</v>
      </c>
      <c r="E9571" t="s">
        <v>43877</v>
      </c>
      <c r="F9571" t="s">
        <v>43282</v>
      </c>
      <c r="G9571" s="1">
        <v>41550</v>
      </c>
      <c r="I9571" t="s">
        <v>44163</v>
      </c>
      <c r="J9571" t="s">
        <v>45280</v>
      </c>
      <c r="K9571" t="s">
        <v>291</v>
      </c>
      <c r="M9571">
        <v>971.404</v>
      </c>
      <c r="O9571" t="s">
        <v>94</v>
      </c>
      <c r="P9571">
        <v>40</v>
      </c>
      <c r="Q9571">
        <v>50</v>
      </c>
      <c r="R9571">
        <v>40</v>
      </c>
      <c r="S9571">
        <v>60</v>
      </c>
      <c r="T9571" t="s">
        <v>45281</v>
      </c>
    </row>
    <row r="9572" spans="1:20">
      <c r="A9572">
        <v>4796833</v>
      </c>
      <c r="B9572" t="s">
        <v>45282</v>
      </c>
      <c r="C9572" t="str">
        <f>"9782763715575"</f>
        <v>9782763715575</v>
      </c>
      <c r="D9572" t="str">
        <f>"9782763715582"</f>
        <v>9782763715582</v>
      </c>
      <c r="E9572" t="s">
        <v>43877</v>
      </c>
      <c r="F9572" t="s">
        <v>43282</v>
      </c>
      <c r="G9572" s="1">
        <v>41564</v>
      </c>
      <c r="I9572" t="s">
        <v>43283</v>
      </c>
      <c r="J9572" t="s">
        <v>45283</v>
      </c>
      <c r="K9572" t="s">
        <v>257</v>
      </c>
      <c r="M9572">
        <v>371.81</v>
      </c>
      <c r="O9572" t="s">
        <v>94</v>
      </c>
      <c r="P9572">
        <v>34.950000000000003</v>
      </c>
      <c r="Q9572">
        <v>43.69</v>
      </c>
      <c r="R9572">
        <v>34.950000000000003</v>
      </c>
      <c r="S9572">
        <v>52.43</v>
      </c>
      <c r="T9572" t="s">
        <v>45284</v>
      </c>
    </row>
    <row r="9573" spans="1:20">
      <c r="A9573">
        <v>4796837</v>
      </c>
      <c r="B9573" t="s">
        <v>45285</v>
      </c>
      <c r="C9573" t="str">
        <f>"9782763717647"</f>
        <v>9782763717647</v>
      </c>
      <c r="D9573" t="str">
        <f>"9782763717654"</f>
        <v>9782763717654</v>
      </c>
      <c r="E9573" t="s">
        <v>43877</v>
      </c>
      <c r="F9573" t="s">
        <v>43877</v>
      </c>
      <c r="G9573" s="1">
        <v>41592</v>
      </c>
      <c r="I9573" t="s">
        <v>43283</v>
      </c>
      <c r="J9573" t="s">
        <v>45286</v>
      </c>
      <c r="K9573" t="s">
        <v>291</v>
      </c>
      <c r="M9573">
        <v>923</v>
      </c>
      <c r="O9573" t="s">
        <v>94</v>
      </c>
      <c r="P9573">
        <v>49.95</v>
      </c>
      <c r="Q9573">
        <v>62.44</v>
      </c>
      <c r="R9573">
        <v>49.95</v>
      </c>
      <c r="S9573">
        <v>74.930000000000007</v>
      </c>
      <c r="T9573" t="s">
        <v>45287</v>
      </c>
    </row>
    <row r="9574" spans="1:20">
      <c r="A9574">
        <v>4796838</v>
      </c>
      <c r="B9574" t="s">
        <v>45288</v>
      </c>
      <c r="C9574" t="str">
        <f>"9782763718064"</f>
        <v>9782763718064</v>
      </c>
      <c r="D9574" t="str">
        <f>"9782763718071"</f>
        <v>9782763718071</v>
      </c>
      <c r="E9574" t="s">
        <v>43877</v>
      </c>
      <c r="F9574" t="s">
        <v>43282</v>
      </c>
      <c r="G9574" s="1">
        <v>41592</v>
      </c>
      <c r="I9574" t="s">
        <v>45289</v>
      </c>
      <c r="K9574" t="s">
        <v>263</v>
      </c>
      <c r="M9574">
        <v>304.2</v>
      </c>
      <c r="O9574" t="s">
        <v>94</v>
      </c>
      <c r="P9574">
        <v>24.95</v>
      </c>
      <c r="Q9574">
        <v>31.19</v>
      </c>
      <c r="R9574">
        <v>24.95</v>
      </c>
      <c r="S9574">
        <v>37.43</v>
      </c>
      <c r="T9574" t="s">
        <v>45290</v>
      </c>
    </row>
    <row r="9575" spans="1:20">
      <c r="A9575">
        <v>4796839</v>
      </c>
      <c r="B9575" t="s">
        <v>45291</v>
      </c>
      <c r="C9575" t="str">
        <f>"9782763718095"</f>
        <v>9782763718095</v>
      </c>
      <c r="D9575" t="str">
        <f>"9782763718101"</f>
        <v>9782763718101</v>
      </c>
      <c r="E9575" t="s">
        <v>43877</v>
      </c>
      <c r="F9575" t="s">
        <v>43282</v>
      </c>
      <c r="G9575" s="1">
        <v>41583</v>
      </c>
      <c r="I9575" t="s">
        <v>43283</v>
      </c>
      <c r="J9575" t="s">
        <v>45292</v>
      </c>
      <c r="K9575" t="s">
        <v>257</v>
      </c>
      <c r="M9575">
        <v>371.10199999999998</v>
      </c>
      <c r="O9575" t="s">
        <v>94</v>
      </c>
      <c r="P9575">
        <v>19.95</v>
      </c>
      <c r="Q9575">
        <v>24.94</v>
      </c>
      <c r="R9575">
        <v>19.95</v>
      </c>
      <c r="S9575">
        <v>29.93</v>
      </c>
      <c r="T9575" t="s">
        <v>45293</v>
      </c>
    </row>
    <row r="9576" spans="1:20">
      <c r="A9576">
        <v>4796842</v>
      </c>
      <c r="B9576" t="s">
        <v>45294</v>
      </c>
      <c r="C9576" t="str">
        <f>"9782763718422"</f>
        <v>9782763718422</v>
      </c>
      <c r="D9576" t="str">
        <f>"9782763718439"</f>
        <v>9782763718439</v>
      </c>
      <c r="E9576" t="s">
        <v>43877</v>
      </c>
      <c r="F9576" t="s">
        <v>43282</v>
      </c>
      <c r="G9576" s="1">
        <v>41592</v>
      </c>
      <c r="I9576" t="s">
        <v>43283</v>
      </c>
      <c r="J9576" t="s">
        <v>45295</v>
      </c>
      <c r="K9576" t="s">
        <v>263</v>
      </c>
      <c r="M9576">
        <v>303.48399999999998</v>
      </c>
      <c r="O9576" t="s">
        <v>94</v>
      </c>
      <c r="P9576">
        <v>9.9499999999999993</v>
      </c>
      <c r="Q9576">
        <v>12.44</v>
      </c>
      <c r="R9576">
        <v>9.9499999999999993</v>
      </c>
      <c r="S9576">
        <v>14.93</v>
      </c>
      <c r="T9576" t="s">
        <v>45296</v>
      </c>
    </row>
    <row r="9577" spans="1:20">
      <c r="A9577">
        <v>4796843</v>
      </c>
      <c r="B9577" t="s">
        <v>45297</v>
      </c>
      <c r="C9577" t="str">
        <f>"9782763718514"</f>
        <v>9782763718514</v>
      </c>
      <c r="D9577" t="str">
        <f>"9782763718521"</f>
        <v>9782763718521</v>
      </c>
      <c r="E9577" t="s">
        <v>43877</v>
      </c>
      <c r="F9577" t="s">
        <v>43282</v>
      </c>
      <c r="G9577" s="1">
        <v>41592</v>
      </c>
      <c r="I9577" t="s">
        <v>43283</v>
      </c>
      <c r="J9577" t="s">
        <v>45298</v>
      </c>
      <c r="K9577" t="s">
        <v>291</v>
      </c>
      <c r="M9577" t="s">
        <v>45299</v>
      </c>
      <c r="O9577" t="s">
        <v>94</v>
      </c>
      <c r="P9577">
        <v>25</v>
      </c>
      <c r="Q9577">
        <v>31.25</v>
      </c>
      <c r="R9577">
        <v>25</v>
      </c>
      <c r="S9577">
        <v>37.5</v>
      </c>
      <c r="T9577" t="s">
        <v>45300</v>
      </c>
    </row>
    <row r="9578" spans="1:20">
      <c r="A9578">
        <v>4796847</v>
      </c>
      <c r="B9578" t="s">
        <v>45301</v>
      </c>
      <c r="C9578" t="str">
        <f>"9782763719689"</f>
        <v>9782763719689</v>
      </c>
      <c r="D9578" t="str">
        <f>"9782763719696"</f>
        <v>9782763719696</v>
      </c>
      <c r="E9578" t="s">
        <v>43877</v>
      </c>
      <c r="F9578" t="s">
        <v>43282</v>
      </c>
      <c r="G9578" s="1">
        <v>41585</v>
      </c>
      <c r="I9578" t="s">
        <v>45302</v>
      </c>
      <c r="J9578" t="s">
        <v>45303</v>
      </c>
      <c r="K9578" t="s">
        <v>3994</v>
      </c>
      <c r="M9578">
        <v>610.73</v>
      </c>
      <c r="O9578" t="s">
        <v>94</v>
      </c>
      <c r="P9578">
        <v>44.95</v>
      </c>
      <c r="Q9578">
        <v>56.19</v>
      </c>
      <c r="R9578">
        <v>44.95</v>
      </c>
      <c r="S9578">
        <v>67.430000000000007</v>
      </c>
      <c r="T9578" t="s">
        <v>45304</v>
      </c>
    </row>
    <row r="9579" spans="1:20">
      <c r="A9579">
        <v>4796848</v>
      </c>
      <c r="B9579" t="s">
        <v>45305</v>
      </c>
      <c r="C9579" t="str">
        <f>"9782763720401"</f>
        <v>9782763720401</v>
      </c>
      <c r="D9579" t="str">
        <f>"9782763720418"</f>
        <v>9782763720418</v>
      </c>
      <c r="E9579" t="s">
        <v>43877</v>
      </c>
      <c r="F9579" t="s">
        <v>43282</v>
      </c>
      <c r="G9579" s="1">
        <v>41585</v>
      </c>
      <c r="I9579" t="s">
        <v>44203</v>
      </c>
      <c r="J9579" t="s">
        <v>45306</v>
      </c>
      <c r="K9579" t="s">
        <v>263</v>
      </c>
      <c r="M9579">
        <v>306.08999999999997</v>
      </c>
      <c r="O9579" t="s">
        <v>94</v>
      </c>
      <c r="P9579">
        <v>42</v>
      </c>
      <c r="Q9579">
        <v>52.5</v>
      </c>
      <c r="R9579">
        <v>42</v>
      </c>
      <c r="S9579">
        <v>63</v>
      </c>
      <c r="T9579" t="s">
        <v>45307</v>
      </c>
    </row>
    <row r="9580" spans="1:20">
      <c r="A9580">
        <v>4796849</v>
      </c>
      <c r="B9580" t="s">
        <v>45308</v>
      </c>
      <c r="C9580" t="str">
        <f>"9782763795003"</f>
        <v>9782763795003</v>
      </c>
      <c r="D9580" t="str">
        <f>"9782763795010"</f>
        <v>9782763795010</v>
      </c>
      <c r="E9580" t="s">
        <v>43877</v>
      </c>
      <c r="F9580" t="s">
        <v>43877</v>
      </c>
      <c r="G9580" s="1">
        <v>41592</v>
      </c>
      <c r="I9580" t="s">
        <v>43283</v>
      </c>
      <c r="J9580" t="s">
        <v>45309</v>
      </c>
      <c r="K9580" t="s">
        <v>2260</v>
      </c>
      <c r="M9580">
        <v>616.20000000000005</v>
      </c>
      <c r="O9580" t="s">
        <v>94</v>
      </c>
      <c r="P9580">
        <v>125</v>
      </c>
      <c r="Q9580">
        <v>156.25</v>
      </c>
      <c r="R9580">
        <v>125</v>
      </c>
      <c r="S9580">
        <v>187.5</v>
      </c>
      <c r="T9580" t="s">
        <v>45310</v>
      </c>
    </row>
    <row r="9581" spans="1:20">
      <c r="A9581">
        <v>4796850</v>
      </c>
      <c r="B9581" t="s">
        <v>45311</v>
      </c>
      <c r="C9581" t="str">
        <f>"9782763798424"</f>
        <v>9782763798424</v>
      </c>
      <c r="D9581" t="str">
        <f>"9782763798431"</f>
        <v>9782763798431</v>
      </c>
      <c r="E9581" t="s">
        <v>43877</v>
      </c>
      <c r="F9581" t="s">
        <v>43282</v>
      </c>
      <c r="G9581" s="1">
        <v>41565</v>
      </c>
      <c r="I9581" t="s">
        <v>43283</v>
      </c>
      <c r="J9581" t="s">
        <v>45312</v>
      </c>
      <c r="K9581" t="s">
        <v>263</v>
      </c>
      <c r="M9581">
        <v>362.6</v>
      </c>
      <c r="O9581" t="s">
        <v>94</v>
      </c>
      <c r="P9581">
        <v>19.95</v>
      </c>
      <c r="Q9581">
        <v>24.94</v>
      </c>
      <c r="R9581">
        <v>19.95</v>
      </c>
      <c r="S9581">
        <v>29.93</v>
      </c>
      <c r="T9581" t="s">
        <v>45313</v>
      </c>
    </row>
    <row r="9582" spans="1:20">
      <c r="A9582">
        <v>4796851</v>
      </c>
      <c r="B9582" t="s">
        <v>45314</v>
      </c>
      <c r="C9582" t="str">
        <f>"9782763799681"</f>
        <v>9782763799681</v>
      </c>
      <c r="D9582" t="str">
        <f>"9782763799698"</f>
        <v>9782763799698</v>
      </c>
      <c r="E9582" t="s">
        <v>43877</v>
      </c>
      <c r="F9582" t="s">
        <v>43282</v>
      </c>
      <c r="G9582" s="1">
        <v>41709</v>
      </c>
      <c r="I9582" t="s">
        <v>43283</v>
      </c>
      <c r="J9582" t="s">
        <v>43287</v>
      </c>
      <c r="K9582" t="s">
        <v>1892</v>
      </c>
      <c r="M9582">
        <v>262.10000000000002</v>
      </c>
      <c r="O9582" t="s">
        <v>94</v>
      </c>
      <c r="P9582">
        <v>24.95</v>
      </c>
      <c r="Q9582">
        <v>31.19</v>
      </c>
      <c r="R9582">
        <v>24.95</v>
      </c>
      <c r="S9582">
        <v>37.43</v>
      </c>
      <c r="T9582" t="s">
        <v>45315</v>
      </c>
    </row>
    <row r="9583" spans="1:20">
      <c r="A9583">
        <v>4796852</v>
      </c>
      <c r="B9583" t="s">
        <v>45316</v>
      </c>
      <c r="C9583" t="str">
        <f>"9782763794402"</f>
        <v>9782763794402</v>
      </c>
      <c r="D9583" t="str">
        <f>"9782763794419"</f>
        <v>9782763794419</v>
      </c>
      <c r="E9583" t="s">
        <v>43877</v>
      </c>
      <c r="F9583" t="s">
        <v>43282</v>
      </c>
      <c r="G9583" s="1">
        <v>41434</v>
      </c>
      <c r="I9583" t="s">
        <v>45317</v>
      </c>
      <c r="J9583" t="s">
        <v>45318</v>
      </c>
      <c r="K9583" t="s">
        <v>291</v>
      </c>
      <c r="M9583">
        <v>971.404</v>
      </c>
      <c r="O9583" t="s">
        <v>94</v>
      </c>
      <c r="P9583">
        <v>69.95</v>
      </c>
      <c r="Q9583">
        <v>87.44</v>
      </c>
      <c r="R9583">
        <v>69.95</v>
      </c>
      <c r="S9583">
        <v>104.93</v>
      </c>
      <c r="T9583" t="s">
        <v>45319</v>
      </c>
    </row>
    <row r="9584" spans="1:20">
      <c r="A9584">
        <v>4796853</v>
      </c>
      <c r="B9584" t="s">
        <v>45320</v>
      </c>
      <c r="C9584" t="str">
        <f>"9782760526105"</f>
        <v>9782760526105</v>
      </c>
      <c r="D9584" t="str">
        <f>"9782760526112"</f>
        <v>9782760526112</v>
      </c>
      <c r="E9584" t="s">
        <v>33376</v>
      </c>
      <c r="F9584" t="s">
        <v>43423</v>
      </c>
      <c r="G9584" s="1">
        <v>36526</v>
      </c>
      <c r="J9584" t="s">
        <v>43440</v>
      </c>
      <c r="K9584" t="s">
        <v>305</v>
      </c>
      <c r="M9584" t="s">
        <v>43750</v>
      </c>
      <c r="O9584" t="s">
        <v>94</v>
      </c>
      <c r="P9584">
        <v>50</v>
      </c>
      <c r="Q9584">
        <v>62.5</v>
      </c>
      <c r="R9584">
        <v>50</v>
      </c>
      <c r="S9584">
        <v>75</v>
      </c>
      <c r="T9584" t="s">
        <v>45321</v>
      </c>
    </row>
    <row r="9585" spans="1:20">
      <c r="A9585">
        <v>4796854</v>
      </c>
      <c r="B9585" t="s">
        <v>45322</v>
      </c>
      <c r="C9585" t="str">
        <f>"9782760537361"</f>
        <v>9782760537361</v>
      </c>
      <c r="D9585" t="str">
        <f>"9782760537378"</f>
        <v>9782760537378</v>
      </c>
      <c r="E9585" t="s">
        <v>33376</v>
      </c>
      <c r="F9585" t="s">
        <v>43423</v>
      </c>
      <c r="G9585" s="1">
        <v>36526</v>
      </c>
      <c r="J9585" t="s">
        <v>45323</v>
      </c>
      <c r="K9585" t="s">
        <v>1859</v>
      </c>
      <c r="M9585" t="s">
        <v>45324</v>
      </c>
      <c r="O9585" t="s">
        <v>94</v>
      </c>
      <c r="P9585">
        <v>25</v>
      </c>
      <c r="Q9585">
        <v>31.25</v>
      </c>
      <c r="R9585">
        <v>25</v>
      </c>
      <c r="S9585">
        <v>37.5</v>
      </c>
      <c r="T9585" t="s">
        <v>45325</v>
      </c>
    </row>
    <row r="9586" spans="1:20">
      <c r="A9586">
        <v>4796856</v>
      </c>
      <c r="B9586" t="s">
        <v>45326</v>
      </c>
      <c r="C9586" t="str">
        <f>"9782760531031"</f>
        <v>9782760531031</v>
      </c>
      <c r="D9586" t="str">
        <f>"9782760531048"</f>
        <v>9782760531048</v>
      </c>
      <c r="E9586" t="s">
        <v>33376</v>
      </c>
      <c r="F9586" t="s">
        <v>43423</v>
      </c>
      <c r="G9586" s="1">
        <v>36526</v>
      </c>
      <c r="J9586" t="s">
        <v>45327</v>
      </c>
      <c r="K9586" t="s">
        <v>263</v>
      </c>
      <c r="M9586" t="s">
        <v>45148</v>
      </c>
      <c r="O9586" t="s">
        <v>94</v>
      </c>
      <c r="P9586">
        <v>48</v>
      </c>
      <c r="Q9586">
        <v>60</v>
      </c>
      <c r="R9586">
        <v>48</v>
      </c>
      <c r="S9586">
        <v>72</v>
      </c>
      <c r="T9586" t="s">
        <v>45328</v>
      </c>
    </row>
    <row r="9587" spans="1:20">
      <c r="A9587">
        <v>4796857</v>
      </c>
      <c r="B9587" t="s">
        <v>45329</v>
      </c>
      <c r="C9587" t="str">
        <f>"9782760537927"</f>
        <v>9782760537927</v>
      </c>
      <c r="D9587" t="str">
        <f>"9782760537934"</f>
        <v>9782760537934</v>
      </c>
      <c r="E9587" t="s">
        <v>33376</v>
      </c>
      <c r="F9587" t="s">
        <v>43423</v>
      </c>
      <c r="G9587" s="1">
        <v>41773</v>
      </c>
      <c r="J9587" t="s">
        <v>45330</v>
      </c>
      <c r="K9587" t="s">
        <v>257</v>
      </c>
      <c r="M9587">
        <v>372.63200000000001</v>
      </c>
      <c r="O9587" t="s">
        <v>94</v>
      </c>
      <c r="P9587">
        <v>26</v>
      </c>
      <c r="Q9587">
        <v>32.5</v>
      </c>
      <c r="R9587">
        <v>26</v>
      </c>
      <c r="S9587">
        <v>39</v>
      </c>
      <c r="T9587" t="s">
        <v>45331</v>
      </c>
    </row>
    <row r="9588" spans="1:20">
      <c r="A9588">
        <v>4796858</v>
      </c>
      <c r="B9588" t="s">
        <v>45332</v>
      </c>
      <c r="C9588" t="str">
        <f>"9782760536647"</f>
        <v>9782760536647</v>
      </c>
      <c r="D9588" t="str">
        <f>"9782760536654"</f>
        <v>9782760536654</v>
      </c>
      <c r="E9588" t="s">
        <v>33376</v>
      </c>
      <c r="F9588" t="s">
        <v>43423</v>
      </c>
      <c r="G9588" s="1">
        <v>36526</v>
      </c>
      <c r="J9588" t="s">
        <v>45333</v>
      </c>
      <c r="K9588" t="s">
        <v>257</v>
      </c>
      <c r="M9588" t="s">
        <v>45334</v>
      </c>
      <c r="O9588" t="s">
        <v>94</v>
      </c>
      <c r="P9588">
        <v>40</v>
      </c>
      <c r="Q9588">
        <v>50</v>
      </c>
      <c r="R9588">
        <v>40</v>
      </c>
      <c r="S9588">
        <v>60</v>
      </c>
      <c r="T9588" t="s">
        <v>45335</v>
      </c>
    </row>
    <row r="9589" spans="1:20">
      <c r="A9589">
        <v>4796859</v>
      </c>
      <c r="B9589" t="s">
        <v>45336</v>
      </c>
      <c r="C9589" t="str">
        <f>"9782760536951"</f>
        <v>9782760536951</v>
      </c>
      <c r="D9589" t="str">
        <f>"9782760536968"</f>
        <v>9782760536968</v>
      </c>
      <c r="E9589" t="s">
        <v>33376</v>
      </c>
      <c r="F9589" t="s">
        <v>43423</v>
      </c>
      <c r="G9589" s="1">
        <v>41407</v>
      </c>
      <c r="J9589" t="s">
        <v>45337</v>
      </c>
      <c r="K9589" t="s">
        <v>1859</v>
      </c>
      <c r="M9589" t="s">
        <v>45338</v>
      </c>
      <c r="O9589" t="s">
        <v>94</v>
      </c>
      <c r="P9589">
        <v>26</v>
      </c>
      <c r="Q9589">
        <v>32.5</v>
      </c>
      <c r="R9589">
        <v>26</v>
      </c>
      <c r="S9589">
        <v>39</v>
      </c>
      <c r="T9589" t="s">
        <v>45339</v>
      </c>
    </row>
    <row r="9590" spans="1:20">
      <c r="A9590">
        <v>4796860</v>
      </c>
      <c r="B9590" t="s">
        <v>45340</v>
      </c>
      <c r="C9590" t="str">
        <f>"9782760537101"</f>
        <v>9782760537101</v>
      </c>
      <c r="D9590" t="str">
        <f>"9782760537118"</f>
        <v>9782760537118</v>
      </c>
      <c r="E9590" t="s">
        <v>33376</v>
      </c>
      <c r="F9590" t="s">
        <v>43423</v>
      </c>
      <c r="G9590" s="1">
        <v>41404</v>
      </c>
      <c r="J9590" t="s">
        <v>44563</v>
      </c>
      <c r="K9590" t="s">
        <v>31967</v>
      </c>
      <c r="M9590">
        <v>331.25922000000003</v>
      </c>
      <c r="O9590" t="s">
        <v>94</v>
      </c>
      <c r="P9590">
        <v>39</v>
      </c>
      <c r="Q9590">
        <v>48.75</v>
      </c>
      <c r="R9590">
        <v>39</v>
      </c>
      <c r="S9590">
        <v>58.5</v>
      </c>
      <c r="T9590" t="s">
        <v>45341</v>
      </c>
    </row>
    <row r="9591" spans="1:20">
      <c r="A9591">
        <v>4796862</v>
      </c>
      <c r="B9591" t="s">
        <v>45342</v>
      </c>
      <c r="C9591" t="str">
        <f>"9782760537194"</f>
        <v>9782760537194</v>
      </c>
      <c r="D9591" t="str">
        <f>"9782760537200"</f>
        <v>9782760537200</v>
      </c>
      <c r="E9591" t="s">
        <v>33376</v>
      </c>
      <c r="F9591" t="s">
        <v>43423</v>
      </c>
      <c r="G9591" s="1">
        <v>36526</v>
      </c>
      <c r="J9591" t="s">
        <v>45343</v>
      </c>
      <c r="K9591" t="s">
        <v>31967</v>
      </c>
      <c r="M9591" t="s">
        <v>45344</v>
      </c>
      <c r="O9591" t="s">
        <v>94</v>
      </c>
      <c r="P9591">
        <v>58</v>
      </c>
      <c r="Q9591">
        <v>72.5</v>
      </c>
      <c r="R9591">
        <v>58</v>
      </c>
      <c r="S9591">
        <v>87</v>
      </c>
      <c r="T9591" t="s">
        <v>45345</v>
      </c>
    </row>
    <row r="9592" spans="1:20">
      <c r="A9592">
        <v>4796863</v>
      </c>
      <c r="B9592" t="s">
        <v>45346</v>
      </c>
      <c r="C9592" t="str">
        <f>"9782760537323"</f>
        <v>9782760537323</v>
      </c>
      <c r="D9592" t="str">
        <f>"9782760537330"</f>
        <v>9782760537330</v>
      </c>
      <c r="E9592" t="s">
        <v>33376</v>
      </c>
      <c r="F9592" t="s">
        <v>43423</v>
      </c>
      <c r="G9592" s="1">
        <v>36526</v>
      </c>
      <c r="J9592" t="s">
        <v>45347</v>
      </c>
      <c r="K9592" t="s">
        <v>7075</v>
      </c>
      <c r="M9592" t="s">
        <v>44905</v>
      </c>
      <c r="O9592" t="s">
        <v>94</v>
      </c>
      <c r="P9592">
        <v>48</v>
      </c>
      <c r="Q9592">
        <v>60</v>
      </c>
      <c r="R9592">
        <v>48</v>
      </c>
      <c r="S9592">
        <v>72</v>
      </c>
      <c r="T9592" t="s">
        <v>45348</v>
      </c>
    </row>
    <row r="9593" spans="1:20">
      <c r="A9593">
        <v>4796864</v>
      </c>
      <c r="B9593" t="s">
        <v>45349</v>
      </c>
      <c r="C9593" t="str">
        <f>"9782760537392"</f>
        <v>9782760537392</v>
      </c>
      <c r="D9593" t="str">
        <f>"9782760537408"</f>
        <v>9782760537408</v>
      </c>
      <c r="E9593" t="s">
        <v>33376</v>
      </c>
      <c r="F9593" t="s">
        <v>43423</v>
      </c>
      <c r="G9593" s="1">
        <v>36526</v>
      </c>
      <c r="J9593" t="s">
        <v>45350</v>
      </c>
      <c r="K9593" t="s">
        <v>257</v>
      </c>
      <c r="M9593" t="s">
        <v>45351</v>
      </c>
      <c r="O9593" t="s">
        <v>94</v>
      </c>
      <c r="P9593">
        <v>26</v>
      </c>
      <c r="Q9593">
        <v>32.5</v>
      </c>
      <c r="R9593">
        <v>26</v>
      </c>
      <c r="S9593">
        <v>39</v>
      </c>
      <c r="T9593" t="s">
        <v>45352</v>
      </c>
    </row>
    <row r="9594" spans="1:20">
      <c r="A9594">
        <v>4796866</v>
      </c>
      <c r="B9594" t="s">
        <v>45353</v>
      </c>
      <c r="C9594" t="str">
        <f>"9782760537453"</f>
        <v>9782760537453</v>
      </c>
      <c r="D9594" t="str">
        <f>"9782760537460"</f>
        <v>9782760537460</v>
      </c>
      <c r="E9594" t="s">
        <v>33376</v>
      </c>
      <c r="F9594" t="s">
        <v>43423</v>
      </c>
      <c r="G9594" s="1">
        <v>36526</v>
      </c>
      <c r="J9594" t="s">
        <v>45354</v>
      </c>
      <c r="K9594" t="s">
        <v>10860</v>
      </c>
      <c r="M9594" t="s">
        <v>45355</v>
      </c>
      <c r="O9594" t="s">
        <v>94</v>
      </c>
      <c r="P9594">
        <v>34</v>
      </c>
      <c r="Q9594">
        <v>42.5</v>
      </c>
      <c r="R9594">
        <v>34</v>
      </c>
      <c r="S9594">
        <v>51</v>
      </c>
      <c r="T9594" t="s">
        <v>45356</v>
      </c>
    </row>
    <row r="9595" spans="1:20">
      <c r="A9595">
        <v>4796867</v>
      </c>
      <c r="B9595" t="s">
        <v>45357</v>
      </c>
      <c r="C9595" t="str">
        <f>"9782760537484"</f>
        <v>9782760537484</v>
      </c>
      <c r="D9595" t="str">
        <f>"9782760537491"</f>
        <v>9782760537491</v>
      </c>
      <c r="E9595" t="s">
        <v>33376</v>
      </c>
      <c r="F9595" t="s">
        <v>43423</v>
      </c>
      <c r="G9595" s="1">
        <v>36526</v>
      </c>
      <c r="J9595" t="s">
        <v>45358</v>
      </c>
      <c r="K9595" t="s">
        <v>257</v>
      </c>
      <c r="M9595" t="s">
        <v>45359</v>
      </c>
      <c r="O9595" t="s">
        <v>94</v>
      </c>
      <c r="P9595">
        <v>26</v>
      </c>
      <c r="Q9595">
        <v>32.5</v>
      </c>
      <c r="R9595">
        <v>26</v>
      </c>
      <c r="S9595">
        <v>39</v>
      </c>
      <c r="T9595" t="s">
        <v>45360</v>
      </c>
    </row>
    <row r="9596" spans="1:20">
      <c r="A9596">
        <v>4796869</v>
      </c>
      <c r="B9596" t="s">
        <v>45361</v>
      </c>
      <c r="C9596" t="str">
        <f>"9782760537545"</f>
        <v>9782760537545</v>
      </c>
      <c r="D9596" t="str">
        <f>"9782760537552"</f>
        <v>9782760537552</v>
      </c>
      <c r="E9596" t="s">
        <v>33376</v>
      </c>
      <c r="F9596" t="s">
        <v>43423</v>
      </c>
      <c r="G9596" s="1">
        <v>36526</v>
      </c>
      <c r="J9596" t="s">
        <v>45362</v>
      </c>
      <c r="K9596" t="s">
        <v>330</v>
      </c>
      <c r="M9596" t="s">
        <v>24681</v>
      </c>
      <c r="O9596" t="s">
        <v>94</v>
      </c>
      <c r="P9596">
        <v>40</v>
      </c>
      <c r="Q9596">
        <v>50</v>
      </c>
      <c r="R9596">
        <v>40</v>
      </c>
      <c r="S9596">
        <v>60</v>
      </c>
      <c r="T9596" t="s">
        <v>45363</v>
      </c>
    </row>
    <row r="9597" spans="1:20">
      <c r="A9597">
        <v>4796871</v>
      </c>
      <c r="B9597" t="s">
        <v>45364</v>
      </c>
      <c r="C9597" t="str">
        <f>"9782760537606"</f>
        <v>9782760537606</v>
      </c>
      <c r="D9597" t="str">
        <f>"9782760537613"</f>
        <v>9782760537613</v>
      </c>
      <c r="E9597" t="s">
        <v>33376</v>
      </c>
      <c r="F9597" t="s">
        <v>43423</v>
      </c>
      <c r="G9597" s="1">
        <v>36526</v>
      </c>
      <c r="J9597" t="s">
        <v>45365</v>
      </c>
      <c r="K9597" t="s">
        <v>525</v>
      </c>
      <c r="M9597" t="s">
        <v>33155</v>
      </c>
      <c r="O9597" t="s">
        <v>94</v>
      </c>
      <c r="P9597">
        <v>35</v>
      </c>
      <c r="Q9597">
        <v>43.75</v>
      </c>
      <c r="R9597">
        <v>35</v>
      </c>
      <c r="S9597">
        <v>52.5</v>
      </c>
      <c r="T9597" t="s">
        <v>45366</v>
      </c>
    </row>
    <row r="9598" spans="1:20">
      <c r="A9598">
        <v>4796872</v>
      </c>
      <c r="B9598" t="s">
        <v>45367</v>
      </c>
      <c r="C9598" t="str">
        <f>"9782760537637"</f>
        <v>9782760537637</v>
      </c>
      <c r="D9598" t="str">
        <f>"9782760537644"</f>
        <v>9782760537644</v>
      </c>
      <c r="E9598" t="s">
        <v>33376</v>
      </c>
      <c r="F9598" t="s">
        <v>43423</v>
      </c>
      <c r="G9598" s="1">
        <v>36526</v>
      </c>
      <c r="J9598" t="s">
        <v>45368</v>
      </c>
      <c r="K9598" t="s">
        <v>305</v>
      </c>
      <c r="M9598" t="s">
        <v>307</v>
      </c>
      <c r="O9598" t="s">
        <v>94</v>
      </c>
      <c r="P9598">
        <v>44</v>
      </c>
      <c r="Q9598">
        <v>55</v>
      </c>
      <c r="R9598">
        <v>44</v>
      </c>
      <c r="S9598">
        <v>66</v>
      </c>
      <c r="T9598" t="s">
        <v>45369</v>
      </c>
    </row>
    <row r="9599" spans="1:20">
      <c r="A9599">
        <v>4796873</v>
      </c>
      <c r="B9599" t="s">
        <v>45370</v>
      </c>
      <c r="C9599" t="str">
        <f>"9782760537712"</f>
        <v>9782760537712</v>
      </c>
      <c r="D9599" t="str">
        <f>"9782760537729"</f>
        <v>9782760537729</v>
      </c>
      <c r="E9599" t="s">
        <v>33376</v>
      </c>
      <c r="F9599" t="s">
        <v>43423</v>
      </c>
      <c r="G9599" s="1">
        <v>36526</v>
      </c>
      <c r="J9599" t="s">
        <v>45371</v>
      </c>
      <c r="K9599" t="s">
        <v>1127</v>
      </c>
      <c r="M9599" t="s">
        <v>45372</v>
      </c>
      <c r="O9599" t="s">
        <v>94</v>
      </c>
      <c r="P9599">
        <v>28</v>
      </c>
      <c r="Q9599">
        <v>35</v>
      </c>
      <c r="R9599">
        <v>28</v>
      </c>
      <c r="S9599">
        <v>42</v>
      </c>
      <c r="T9599" t="s">
        <v>45373</v>
      </c>
    </row>
    <row r="9600" spans="1:20">
      <c r="A9600">
        <v>4796874</v>
      </c>
      <c r="B9600" t="s">
        <v>45374</v>
      </c>
      <c r="C9600" t="str">
        <f>"9782760537743"</f>
        <v>9782760537743</v>
      </c>
      <c r="D9600" t="str">
        <f>"9782760537750"</f>
        <v>9782760537750</v>
      </c>
      <c r="E9600" t="s">
        <v>33376</v>
      </c>
      <c r="F9600" t="s">
        <v>43423</v>
      </c>
      <c r="G9600" s="1">
        <v>36526</v>
      </c>
      <c r="J9600" t="s">
        <v>45375</v>
      </c>
      <c r="K9600" t="s">
        <v>16707</v>
      </c>
      <c r="M9600">
        <v>6.8</v>
      </c>
      <c r="O9600" t="s">
        <v>94</v>
      </c>
      <c r="P9600">
        <v>39</v>
      </c>
      <c r="Q9600">
        <v>48.75</v>
      </c>
      <c r="R9600">
        <v>39</v>
      </c>
      <c r="S9600">
        <v>58.5</v>
      </c>
      <c r="T9600" t="s">
        <v>45376</v>
      </c>
    </row>
    <row r="9601" spans="1:20">
      <c r="A9601">
        <v>4796875</v>
      </c>
      <c r="B9601" t="s">
        <v>45377</v>
      </c>
      <c r="C9601" t="str">
        <f>"9782760537811"</f>
        <v>9782760537811</v>
      </c>
      <c r="D9601" t="str">
        <f>"9782760537828"</f>
        <v>9782760537828</v>
      </c>
      <c r="E9601" t="s">
        <v>33376</v>
      </c>
      <c r="F9601" t="s">
        <v>43423</v>
      </c>
      <c r="G9601" s="1">
        <v>36526</v>
      </c>
      <c r="J9601" t="s">
        <v>45378</v>
      </c>
      <c r="K9601" t="s">
        <v>305</v>
      </c>
      <c r="M9601" t="s">
        <v>45379</v>
      </c>
      <c r="O9601" t="s">
        <v>94</v>
      </c>
      <c r="P9601">
        <v>25</v>
      </c>
      <c r="Q9601">
        <v>31.25</v>
      </c>
      <c r="R9601">
        <v>25</v>
      </c>
      <c r="S9601">
        <v>37.5</v>
      </c>
      <c r="T9601" t="s">
        <v>45380</v>
      </c>
    </row>
    <row r="9602" spans="1:20">
      <c r="A9602">
        <v>4796877</v>
      </c>
      <c r="B9602" t="s">
        <v>45381</v>
      </c>
      <c r="C9602" t="str">
        <f>"9782760537873"</f>
        <v>9782760537873</v>
      </c>
      <c r="D9602" t="str">
        <f>"9782760537880"</f>
        <v>9782760537880</v>
      </c>
      <c r="E9602" t="s">
        <v>33376</v>
      </c>
      <c r="F9602" t="s">
        <v>43423</v>
      </c>
      <c r="G9602" s="1">
        <v>36526</v>
      </c>
      <c r="J9602" t="s">
        <v>45382</v>
      </c>
      <c r="K9602" t="s">
        <v>2536</v>
      </c>
      <c r="M9602" t="s">
        <v>45383</v>
      </c>
      <c r="O9602" t="s">
        <v>94</v>
      </c>
      <c r="P9602">
        <v>80</v>
      </c>
      <c r="Q9602">
        <v>100</v>
      </c>
      <c r="R9602">
        <v>80</v>
      </c>
      <c r="S9602">
        <v>120</v>
      </c>
      <c r="T9602" t="s">
        <v>45384</v>
      </c>
    </row>
    <row r="9603" spans="1:20">
      <c r="A9603">
        <v>4796878</v>
      </c>
      <c r="B9603" t="s">
        <v>45385</v>
      </c>
      <c r="C9603" t="str">
        <f>"9782760537989"</f>
        <v>9782760537989</v>
      </c>
      <c r="D9603" t="str">
        <f>"9782760537996"</f>
        <v>9782760537996</v>
      </c>
      <c r="E9603" t="s">
        <v>33376</v>
      </c>
      <c r="F9603" t="s">
        <v>43423</v>
      </c>
      <c r="G9603" s="1">
        <v>36526</v>
      </c>
      <c r="J9603" t="s">
        <v>45386</v>
      </c>
      <c r="K9603" t="s">
        <v>31967</v>
      </c>
      <c r="M9603">
        <v>331.120971</v>
      </c>
      <c r="O9603" t="s">
        <v>94</v>
      </c>
      <c r="P9603">
        <v>28</v>
      </c>
      <c r="Q9603">
        <v>35</v>
      </c>
      <c r="R9603">
        <v>28</v>
      </c>
      <c r="S9603">
        <v>42</v>
      </c>
      <c r="T9603" t="s">
        <v>45387</v>
      </c>
    </row>
    <row r="9604" spans="1:20">
      <c r="A9604">
        <v>4796880</v>
      </c>
      <c r="B9604" t="s">
        <v>45388</v>
      </c>
      <c r="C9604" t="str">
        <f>"9782760538351"</f>
        <v>9782760538351</v>
      </c>
      <c r="D9604" t="str">
        <f>"9782760538368"</f>
        <v>9782760538368</v>
      </c>
      <c r="E9604" t="s">
        <v>33376</v>
      </c>
      <c r="F9604" t="s">
        <v>43423</v>
      </c>
      <c r="G9604" s="1">
        <v>36526</v>
      </c>
      <c r="J9604" t="s">
        <v>45389</v>
      </c>
      <c r="K9604" t="s">
        <v>2387</v>
      </c>
      <c r="M9604">
        <v>641.59713999999997</v>
      </c>
      <c r="O9604" t="s">
        <v>94</v>
      </c>
      <c r="P9604">
        <v>30</v>
      </c>
      <c r="Q9604">
        <v>37.5</v>
      </c>
      <c r="R9604">
        <v>30</v>
      </c>
      <c r="S9604">
        <v>45</v>
      </c>
      <c r="T9604" t="s">
        <v>45390</v>
      </c>
    </row>
    <row r="9605" spans="1:20">
      <c r="A9605">
        <v>4796882</v>
      </c>
      <c r="B9605" t="s">
        <v>45391</v>
      </c>
      <c r="C9605" t="str">
        <f>"9782760538788"</f>
        <v>9782760538788</v>
      </c>
      <c r="D9605" t="str">
        <f>"9782760538795"</f>
        <v>9782760538795</v>
      </c>
      <c r="E9605" t="s">
        <v>33376</v>
      </c>
      <c r="F9605" t="s">
        <v>43423</v>
      </c>
      <c r="G9605" s="1">
        <v>36526</v>
      </c>
      <c r="J9605" t="s">
        <v>22990</v>
      </c>
      <c r="K9605" t="s">
        <v>257</v>
      </c>
      <c r="M9605" t="s">
        <v>45392</v>
      </c>
      <c r="O9605" t="s">
        <v>94</v>
      </c>
      <c r="P9605">
        <v>25</v>
      </c>
      <c r="Q9605">
        <v>31.25</v>
      </c>
      <c r="R9605">
        <v>25</v>
      </c>
      <c r="S9605">
        <v>37.5</v>
      </c>
      <c r="T9605" t="s">
        <v>45393</v>
      </c>
    </row>
    <row r="9606" spans="1:20">
      <c r="A9606">
        <v>4796884</v>
      </c>
      <c r="B9606" t="s">
        <v>45394</v>
      </c>
      <c r="C9606" t="str">
        <f>"9782763715278"</f>
        <v>9782763715278</v>
      </c>
      <c r="D9606" t="str">
        <f>"9782763715285"</f>
        <v>9782763715285</v>
      </c>
      <c r="E9606" t="s">
        <v>43877</v>
      </c>
      <c r="F9606" t="s">
        <v>43282</v>
      </c>
      <c r="G9606" s="1">
        <v>41676</v>
      </c>
      <c r="I9606" t="s">
        <v>44197</v>
      </c>
      <c r="J9606" t="s">
        <v>45395</v>
      </c>
      <c r="K9606" t="s">
        <v>278</v>
      </c>
      <c r="M9606">
        <v>338.97122300000001</v>
      </c>
      <c r="O9606" t="s">
        <v>94</v>
      </c>
      <c r="P9606">
        <v>25</v>
      </c>
      <c r="Q9606">
        <v>31.25</v>
      </c>
      <c r="R9606">
        <v>25</v>
      </c>
      <c r="S9606">
        <v>37.5</v>
      </c>
      <c r="T9606" t="s">
        <v>45396</v>
      </c>
    </row>
    <row r="9607" spans="1:20">
      <c r="A9607">
        <v>4796885</v>
      </c>
      <c r="B9607" t="s">
        <v>45397</v>
      </c>
      <c r="C9607" t="str">
        <f>"9782763717371"</f>
        <v>9782763717371</v>
      </c>
      <c r="D9607" t="str">
        <f>"9782763717388"</f>
        <v>9782763717388</v>
      </c>
      <c r="E9607" t="s">
        <v>43877</v>
      </c>
      <c r="F9607" t="s">
        <v>43282</v>
      </c>
      <c r="G9607" s="1">
        <v>41621</v>
      </c>
      <c r="I9607" t="s">
        <v>43947</v>
      </c>
      <c r="J9607" t="s">
        <v>45398</v>
      </c>
      <c r="K9607" t="s">
        <v>1082</v>
      </c>
      <c r="M9607">
        <v>362.29</v>
      </c>
      <c r="O9607" t="s">
        <v>94</v>
      </c>
      <c r="P9607">
        <v>45</v>
      </c>
      <c r="Q9607">
        <v>56.25</v>
      </c>
      <c r="R9607">
        <v>45</v>
      </c>
      <c r="S9607">
        <v>67.5</v>
      </c>
      <c r="T9607" t="s">
        <v>45399</v>
      </c>
    </row>
    <row r="9608" spans="1:20">
      <c r="A9608">
        <v>4796886</v>
      </c>
      <c r="B9608" t="s">
        <v>45400</v>
      </c>
      <c r="C9608" t="str">
        <f>"9782763718781"</f>
        <v>9782763718781</v>
      </c>
      <c r="D9608" t="str">
        <f>"9782763718798"</f>
        <v>9782763718798</v>
      </c>
      <c r="E9608" t="s">
        <v>43877</v>
      </c>
      <c r="F9608" t="s">
        <v>43877</v>
      </c>
      <c r="G9608" s="1">
        <v>41676</v>
      </c>
      <c r="I9608" t="s">
        <v>43283</v>
      </c>
      <c r="J9608" t="s">
        <v>45401</v>
      </c>
      <c r="K9608" t="s">
        <v>305</v>
      </c>
      <c r="M9608">
        <v>658.38199999999995</v>
      </c>
      <c r="O9608" t="s">
        <v>94</v>
      </c>
      <c r="P9608">
        <v>60</v>
      </c>
      <c r="Q9608">
        <v>75</v>
      </c>
      <c r="R9608">
        <v>60</v>
      </c>
      <c r="S9608">
        <v>90</v>
      </c>
      <c r="T9608" t="s">
        <v>45402</v>
      </c>
    </row>
    <row r="9609" spans="1:20">
      <c r="A9609">
        <v>4796887</v>
      </c>
      <c r="B9609" t="s">
        <v>45403</v>
      </c>
      <c r="C9609" t="str">
        <f>"9782763719771"</f>
        <v>9782763719771</v>
      </c>
      <c r="D9609" t="str">
        <f>"9782763719788"</f>
        <v>9782763719788</v>
      </c>
      <c r="E9609" t="s">
        <v>43877</v>
      </c>
      <c r="F9609" t="s">
        <v>43282</v>
      </c>
      <c r="G9609" s="1">
        <v>41624</v>
      </c>
      <c r="I9609" t="s">
        <v>44230</v>
      </c>
      <c r="J9609" t="s">
        <v>43619</v>
      </c>
      <c r="K9609" t="s">
        <v>467</v>
      </c>
      <c r="M9609">
        <v>327.73</v>
      </c>
      <c r="O9609" t="s">
        <v>94</v>
      </c>
      <c r="P9609">
        <v>40</v>
      </c>
      <c r="Q9609">
        <v>50</v>
      </c>
      <c r="R9609">
        <v>40</v>
      </c>
      <c r="S9609">
        <v>60</v>
      </c>
      <c r="T9609" t="s">
        <v>45404</v>
      </c>
    </row>
    <row r="9610" spans="1:20">
      <c r="A9610">
        <v>4796889</v>
      </c>
      <c r="B9610" t="s">
        <v>45405</v>
      </c>
      <c r="C9610" t="str">
        <f>"9782763715124"</f>
        <v>9782763715124</v>
      </c>
      <c r="D9610" t="str">
        <f>"9782763715131"</f>
        <v>9782763715131</v>
      </c>
      <c r="E9610" t="s">
        <v>43877</v>
      </c>
      <c r="F9610" t="s">
        <v>43282</v>
      </c>
      <c r="G9610" s="1">
        <v>41652</v>
      </c>
      <c r="I9610" t="s">
        <v>43283</v>
      </c>
      <c r="J9610" t="s">
        <v>45406</v>
      </c>
      <c r="K9610" t="s">
        <v>263</v>
      </c>
      <c r="M9610">
        <v>304.82</v>
      </c>
      <c r="O9610" t="s">
        <v>94</v>
      </c>
      <c r="P9610">
        <v>30</v>
      </c>
      <c r="Q9610">
        <v>37.5</v>
      </c>
      <c r="R9610">
        <v>30</v>
      </c>
      <c r="S9610">
        <v>45</v>
      </c>
      <c r="T9610" t="s">
        <v>45407</v>
      </c>
    </row>
    <row r="9611" spans="1:20">
      <c r="A9611">
        <v>4796890</v>
      </c>
      <c r="B9611" t="s">
        <v>45408</v>
      </c>
      <c r="C9611" t="str">
        <f>"9782763715780"</f>
        <v>9782763715780</v>
      </c>
      <c r="D9611" t="str">
        <f>"9782763715797"</f>
        <v>9782763715797</v>
      </c>
      <c r="E9611" t="s">
        <v>43877</v>
      </c>
      <c r="F9611" t="s">
        <v>43282</v>
      </c>
      <c r="G9611" s="1">
        <v>41652</v>
      </c>
      <c r="I9611" t="s">
        <v>43283</v>
      </c>
      <c r="J9611" t="s">
        <v>45409</v>
      </c>
      <c r="K9611" t="s">
        <v>257</v>
      </c>
      <c r="M9611" t="s">
        <v>45410</v>
      </c>
      <c r="O9611" t="s">
        <v>94</v>
      </c>
      <c r="P9611">
        <v>29</v>
      </c>
      <c r="Q9611">
        <v>36.25</v>
      </c>
      <c r="R9611">
        <v>29</v>
      </c>
      <c r="S9611">
        <v>43.5</v>
      </c>
      <c r="T9611" t="s">
        <v>45411</v>
      </c>
    </row>
    <row r="9612" spans="1:20">
      <c r="A9612">
        <v>4796891</v>
      </c>
      <c r="B9612" t="s">
        <v>45412</v>
      </c>
      <c r="C9612" t="str">
        <f>"9782763716565"</f>
        <v>9782763716565</v>
      </c>
      <c r="D9612" t="str">
        <f>"9782763716572"</f>
        <v>9782763716572</v>
      </c>
      <c r="E9612" t="s">
        <v>43877</v>
      </c>
      <c r="F9612" t="s">
        <v>43282</v>
      </c>
      <c r="G9612" s="1">
        <v>41652</v>
      </c>
      <c r="I9612" t="s">
        <v>44197</v>
      </c>
      <c r="J9612" t="s">
        <v>45413</v>
      </c>
      <c r="K9612" t="s">
        <v>263</v>
      </c>
      <c r="M9612">
        <v>301.09714000000002</v>
      </c>
      <c r="O9612" t="s">
        <v>94</v>
      </c>
      <c r="P9612">
        <v>45</v>
      </c>
      <c r="Q9612">
        <v>56.25</v>
      </c>
      <c r="R9612">
        <v>45</v>
      </c>
      <c r="S9612">
        <v>67.5</v>
      </c>
      <c r="T9612" t="s">
        <v>45414</v>
      </c>
    </row>
    <row r="9613" spans="1:20">
      <c r="A9613">
        <v>4796896</v>
      </c>
      <c r="B9613" t="s">
        <v>45415</v>
      </c>
      <c r="C9613" t="str">
        <f>"9782763721033"</f>
        <v>9782763721033</v>
      </c>
      <c r="D9613" t="str">
        <f>"9782763721040"</f>
        <v>9782763721040</v>
      </c>
      <c r="E9613" t="s">
        <v>43877</v>
      </c>
      <c r="F9613" t="s">
        <v>43282</v>
      </c>
      <c r="G9613" s="1">
        <v>41652</v>
      </c>
      <c r="I9613" t="s">
        <v>43283</v>
      </c>
      <c r="J9613" t="s">
        <v>44031</v>
      </c>
      <c r="K9613" t="s">
        <v>1892</v>
      </c>
      <c r="M9613">
        <v>207</v>
      </c>
      <c r="O9613" t="s">
        <v>94</v>
      </c>
      <c r="P9613">
        <v>25</v>
      </c>
      <c r="Q9613">
        <v>31.25</v>
      </c>
      <c r="R9613">
        <v>25</v>
      </c>
      <c r="S9613">
        <v>37.5</v>
      </c>
      <c r="T9613" t="s">
        <v>45416</v>
      </c>
    </row>
    <row r="9614" spans="1:20">
      <c r="A9614">
        <v>4796897</v>
      </c>
      <c r="B9614" t="s">
        <v>45417</v>
      </c>
      <c r="C9614" t="str">
        <f>"9782763796260"</f>
        <v>9782763796260</v>
      </c>
      <c r="D9614" t="str">
        <f>"9782763796277"</f>
        <v>9782763796277</v>
      </c>
      <c r="E9614" t="s">
        <v>43877</v>
      </c>
      <c r="F9614" t="s">
        <v>43282</v>
      </c>
      <c r="G9614" s="1">
        <v>41670</v>
      </c>
      <c r="H9614">
        <v>4</v>
      </c>
      <c r="I9614" t="s">
        <v>43283</v>
      </c>
      <c r="J9614" t="s">
        <v>45418</v>
      </c>
      <c r="K9614" t="s">
        <v>278</v>
      </c>
      <c r="L9614" t="s">
        <v>45419</v>
      </c>
      <c r="M9614">
        <v>331.8809</v>
      </c>
      <c r="O9614" t="s">
        <v>94</v>
      </c>
      <c r="P9614">
        <v>60</v>
      </c>
      <c r="Q9614">
        <v>75</v>
      </c>
      <c r="R9614">
        <v>60</v>
      </c>
      <c r="S9614">
        <v>90</v>
      </c>
      <c r="T9614" t="s">
        <v>45420</v>
      </c>
    </row>
    <row r="9615" spans="1:20">
      <c r="A9615">
        <v>4796898</v>
      </c>
      <c r="B9615" t="s">
        <v>45421</v>
      </c>
      <c r="C9615" t="str">
        <f>"9782763715636"</f>
        <v>9782763715636</v>
      </c>
      <c r="D9615" t="str">
        <f>"9782763715643"</f>
        <v>9782763715643</v>
      </c>
      <c r="E9615" t="s">
        <v>43877</v>
      </c>
      <c r="F9615" t="s">
        <v>43877</v>
      </c>
      <c r="G9615" s="1">
        <v>41662</v>
      </c>
      <c r="I9615" t="s">
        <v>45422</v>
      </c>
      <c r="J9615" t="s">
        <v>45423</v>
      </c>
      <c r="K9615" t="s">
        <v>291</v>
      </c>
      <c r="M9615">
        <v>928</v>
      </c>
      <c r="O9615" t="s">
        <v>26</v>
      </c>
      <c r="P9615">
        <v>49</v>
      </c>
      <c r="Q9615">
        <v>61.25</v>
      </c>
      <c r="R9615">
        <v>49</v>
      </c>
      <c r="S9615">
        <v>73.5</v>
      </c>
      <c r="T9615" t="s">
        <v>45424</v>
      </c>
    </row>
    <row r="9616" spans="1:20">
      <c r="A9616">
        <v>4796899</v>
      </c>
      <c r="B9616" t="s">
        <v>45425</v>
      </c>
      <c r="C9616" t="str">
        <f>"9782763715759"</f>
        <v>9782763715759</v>
      </c>
      <c r="D9616" t="str">
        <f>"9782763715766"</f>
        <v>9782763715766</v>
      </c>
      <c r="E9616" t="s">
        <v>43877</v>
      </c>
      <c r="F9616" t="s">
        <v>43877</v>
      </c>
      <c r="G9616" s="1">
        <v>41662</v>
      </c>
      <c r="I9616" t="s">
        <v>43283</v>
      </c>
      <c r="J9616" t="s">
        <v>45426</v>
      </c>
      <c r="K9616" t="s">
        <v>305</v>
      </c>
      <c r="M9616">
        <v>659.2</v>
      </c>
      <c r="O9616" t="s">
        <v>94</v>
      </c>
      <c r="P9616">
        <v>19.95</v>
      </c>
      <c r="Q9616">
        <v>24.94</v>
      </c>
      <c r="R9616">
        <v>19.95</v>
      </c>
      <c r="S9616">
        <v>29.93</v>
      </c>
      <c r="T9616" t="s">
        <v>45427</v>
      </c>
    </row>
    <row r="9617" spans="1:20">
      <c r="A9617">
        <v>4796900</v>
      </c>
      <c r="B9617" t="s">
        <v>45428</v>
      </c>
      <c r="C9617" t="str">
        <f>"9782763716534"</f>
        <v>9782763716534</v>
      </c>
      <c r="D9617" t="str">
        <f>"9782763716541"</f>
        <v>9782763716541</v>
      </c>
      <c r="E9617" t="s">
        <v>43877</v>
      </c>
      <c r="F9617" t="s">
        <v>43877</v>
      </c>
      <c r="G9617" s="1">
        <v>41674</v>
      </c>
      <c r="H9617">
        <v>2</v>
      </c>
      <c r="I9617" t="s">
        <v>43283</v>
      </c>
      <c r="J9617" t="s">
        <v>45429</v>
      </c>
      <c r="K9617" t="s">
        <v>31967</v>
      </c>
      <c r="M9617">
        <v>331.12</v>
      </c>
      <c r="O9617" t="s">
        <v>94</v>
      </c>
      <c r="P9617">
        <v>35</v>
      </c>
      <c r="Q9617">
        <v>43.75</v>
      </c>
      <c r="R9617">
        <v>35</v>
      </c>
      <c r="S9617">
        <v>52.5</v>
      </c>
      <c r="T9617" t="s">
        <v>45430</v>
      </c>
    </row>
    <row r="9618" spans="1:20">
      <c r="A9618">
        <v>4796901</v>
      </c>
      <c r="B9618" t="s">
        <v>45431</v>
      </c>
      <c r="C9618" t="str">
        <f>"9782763716800"</f>
        <v>9782763716800</v>
      </c>
      <c r="D9618" t="str">
        <f>"9782763716817"</f>
        <v>9782763716817</v>
      </c>
      <c r="E9618" t="s">
        <v>43877</v>
      </c>
      <c r="F9618" t="s">
        <v>43877</v>
      </c>
      <c r="G9618" s="1">
        <v>41674</v>
      </c>
      <c r="I9618" t="s">
        <v>44163</v>
      </c>
      <c r="J9618" t="s">
        <v>45432</v>
      </c>
      <c r="K9618" t="s">
        <v>7075</v>
      </c>
      <c r="L9618" t="s">
        <v>45433</v>
      </c>
      <c r="M9618">
        <v>34</v>
      </c>
      <c r="N9618" t="s">
        <v>45434</v>
      </c>
      <c r="O9618" t="s">
        <v>94</v>
      </c>
      <c r="P9618">
        <v>44.95</v>
      </c>
      <c r="Q9618">
        <v>56.19</v>
      </c>
      <c r="R9618">
        <v>44.95</v>
      </c>
      <c r="S9618">
        <v>67.430000000000007</v>
      </c>
      <c r="T9618" t="s">
        <v>45435</v>
      </c>
    </row>
    <row r="9619" spans="1:20">
      <c r="A9619">
        <v>4796902</v>
      </c>
      <c r="B9619" t="s">
        <v>45436</v>
      </c>
      <c r="C9619" t="str">
        <f>"9782763717074"</f>
        <v>9782763717074</v>
      </c>
      <c r="D9619" t="str">
        <f>"9782763717081"</f>
        <v>9782763717081</v>
      </c>
      <c r="E9619" t="s">
        <v>43877</v>
      </c>
      <c r="F9619" t="s">
        <v>43877</v>
      </c>
      <c r="G9619" s="1">
        <v>41683</v>
      </c>
      <c r="I9619" t="s">
        <v>43932</v>
      </c>
      <c r="J9619" t="s">
        <v>45437</v>
      </c>
      <c r="K9619" t="s">
        <v>278</v>
      </c>
      <c r="M9619">
        <v>338.6</v>
      </c>
      <c r="O9619" t="s">
        <v>94</v>
      </c>
      <c r="P9619">
        <v>50</v>
      </c>
      <c r="Q9619">
        <v>62.5</v>
      </c>
      <c r="R9619">
        <v>50</v>
      </c>
      <c r="S9619">
        <v>75</v>
      </c>
      <c r="T9619" t="s">
        <v>45438</v>
      </c>
    </row>
    <row r="9620" spans="1:20">
      <c r="A9620">
        <v>4796904</v>
      </c>
      <c r="B9620" t="s">
        <v>45439</v>
      </c>
      <c r="C9620" t="str">
        <f>"9782763719863"</f>
        <v>9782763719863</v>
      </c>
      <c r="D9620" t="str">
        <f>"9782763719870"</f>
        <v>9782763719870</v>
      </c>
      <c r="E9620" t="s">
        <v>43877</v>
      </c>
      <c r="F9620" t="s">
        <v>43877</v>
      </c>
      <c r="G9620" s="1">
        <v>41683</v>
      </c>
      <c r="I9620" t="s">
        <v>43283</v>
      </c>
      <c r="J9620" t="s">
        <v>45440</v>
      </c>
      <c r="K9620" t="s">
        <v>1082</v>
      </c>
      <c r="M9620">
        <v>362.29</v>
      </c>
      <c r="O9620" t="s">
        <v>94</v>
      </c>
      <c r="P9620">
        <v>40</v>
      </c>
      <c r="Q9620">
        <v>50</v>
      </c>
      <c r="R9620">
        <v>40</v>
      </c>
      <c r="S9620">
        <v>60</v>
      </c>
      <c r="T9620" t="s">
        <v>45441</v>
      </c>
    </row>
    <row r="9621" spans="1:20">
      <c r="A9621">
        <v>4796905</v>
      </c>
      <c r="B9621" t="s">
        <v>45442</v>
      </c>
      <c r="C9621" t="str">
        <f>"9782763719894"</f>
        <v>9782763719894</v>
      </c>
      <c r="D9621" t="str">
        <f>"9782763719900"</f>
        <v>9782763719900</v>
      </c>
      <c r="E9621" t="s">
        <v>43877</v>
      </c>
      <c r="F9621" t="s">
        <v>43877</v>
      </c>
      <c r="G9621" s="1">
        <v>41683</v>
      </c>
      <c r="I9621" t="s">
        <v>43283</v>
      </c>
      <c r="J9621" t="s">
        <v>45443</v>
      </c>
      <c r="K9621" t="s">
        <v>1082</v>
      </c>
      <c r="M9621">
        <v>362.29599999999999</v>
      </c>
      <c r="O9621" t="s">
        <v>26</v>
      </c>
      <c r="P9621">
        <v>40</v>
      </c>
      <c r="Q9621">
        <v>50</v>
      </c>
      <c r="R9621">
        <v>40</v>
      </c>
      <c r="S9621">
        <v>60</v>
      </c>
      <c r="T9621" t="s">
        <v>45444</v>
      </c>
    </row>
    <row r="9622" spans="1:20">
      <c r="A9622">
        <v>4796906</v>
      </c>
      <c r="B9622" t="s">
        <v>45445</v>
      </c>
      <c r="C9622" t="str">
        <f>"9782763721576"</f>
        <v>9782763721576</v>
      </c>
      <c r="D9622" t="str">
        <f>"9782763721583"</f>
        <v>9782763721583</v>
      </c>
      <c r="E9622" t="s">
        <v>43877</v>
      </c>
      <c r="F9622" t="s">
        <v>43877</v>
      </c>
      <c r="G9622" s="1">
        <v>41683</v>
      </c>
      <c r="I9622" t="s">
        <v>43283</v>
      </c>
      <c r="J9622" t="s">
        <v>45446</v>
      </c>
      <c r="K9622" t="s">
        <v>4081</v>
      </c>
      <c r="M9622">
        <v>448</v>
      </c>
      <c r="O9622" t="s">
        <v>94</v>
      </c>
      <c r="P9622">
        <v>45</v>
      </c>
      <c r="Q9622">
        <v>56.25</v>
      </c>
      <c r="R9622">
        <v>45</v>
      </c>
      <c r="S9622">
        <v>67.5</v>
      </c>
      <c r="T9622" t="s">
        <v>45447</v>
      </c>
    </row>
    <row r="9623" spans="1:20">
      <c r="A9623">
        <v>4796908</v>
      </c>
      <c r="B9623" t="s">
        <v>45448</v>
      </c>
      <c r="C9623" t="str">
        <f>"9782763795188"</f>
        <v>9782763795188</v>
      </c>
      <c r="D9623" t="str">
        <f>"9782763795195"</f>
        <v>9782763795195</v>
      </c>
      <c r="E9623" t="s">
        <v>43877</v>
      </c>
      <c r="F9623" t="s">
        <v>43877</v>
      </c>
      <c r="G9623" s="1">
        <v>41674</v>
      </c>
      <c r="H9623">
        <v>2</v>
      </c>
      <c r="I9623" t="s">
        <v>43283</v>
      </c>
      <c r="J9623" t="s">
        <v>45449</v>
      </c>
      <c r="K9623" t="s">
        <v>525</v>
      </c>
      <c r="M9623">
        <v>346.7</v>
      </c>
      <c r="O9623" t="s">
        <v>94</v>
      </c>
      <c r="P9623">
        <v>20</v>
      </c>
      <c r="Q9623">
        <v>25</v>
      </c>
      <c r="R9623">
        <v>20</v>
      </c>
      <c r="S9623">
        <v>30</v>
      </c>
      <c r="T9623" t="s">
        <v>45450</v>
      </c>
    </row>
    <row r="9624" spans="1:20">
      <c r="A9624">
        <v>4796909</v>
      </c>
      <c r="B9624" t="s">
        <v>45451</v>
      </c>
      <c r="C9624" t="str">
        <f>"9782763799148"</f>
        <v>9782763799148</v>
      </c>
      <c r="D9624" t="str">
        <f>"9782763799155"</f>
        <v>9782763799155</v>
      </c>
      <c r="E9624" t="s">
        <v>43877</v>
      </c>
      <c r="F9624" t="s">
        <v>43877</v>
      </c>
      <c r="G9624" s="1">
        <v>36526</v>
      </c>
      <c r="I9624" t="s">
        <v>43283</v>
      </c>
      <c r="J9624" t="s">
        <v>45452</v>
      </c>
      <c r="K9624" t="s">
        <v>1464</v>
      </c>
      <c r="L9624" t="s">
        <v>45453</v>
      </c>
      <c r="M9624" t="s">
        <v>45454</v>
      </c>
      <c r="O9624" t="s">
        <v>94</v>
      </c>
      <c r="P9624">
        <v>49</v>
      </c>
      <c r="Q9624">
        <v>61.25</v>
      </c>
      <c r="R9624">
        <v>49</v>
      </c>
      <c r="S9624">
        <v>73.5</v>
      </c>
      <c r="T9624" t="s">
        <v>45455</v>
      </c>
    </row>
    <row r="9625" spans="1:20">
      <c r="A9625">
        <v>4796911</v>
      </c>
      <c r="B9625" t="s">
        <v>45456</v>
      </c>
      <c r="C9625" t="str">
        <f>"9782763717586"</f>
        <v>9782763717586</v>
      </c>
      <c r="D9625" t="str">
        <f>"9782763717593"</f>
        <v>9782763717593</v>
      </c>
      <c r="E9625" t="s">
        <v>43877</v>
      </c>
      <c r="F9625" t="s">
        <v>43282</v>
      </c>
      <c r="G9625" s="1">
        <v>41708</v>
      </c>
      <c r="I9625" t="s">
        <v>44833</v>
      </c>
      <c r="J9625" t="s">
        <v>45457</v>
      </c>
      <c r="K9625" t="s">
        <v>1859</v>
      </c>
      <c r="M9625">
        <v>174.9</v>
      </c>
      <c r="O9625" t="s">
        <v>94</v>
      </c>
      <c r="P9625">
        <v>25</v>
      </c>
      <c r="Q9625">
        <v>31.25</v>
      </c>
      <c r="R9625">
        <v>25</v>
      </c>
      <c r="S9625">
        <v>37.5</v>
      </c>
      <c r="T9625" t="s">
        <v>45458</v>
      </c>
    </row>
    <row r="9626" spans="1:20">
      <c r="A9626">
        <v>4796912</v>
      </c>
      <c r="B9626" t="s">
        <v>45459</v>
      </c>
      <c r="C9626" t="str">
        <f>"9782763717913"</f>
        <v>9782763717913</v>
      </c>
      <c r="D9626" t="str">
        <f>"9782763717920"</f>
        <v>9782763717920</v>
      </c>
      <c r="E9626" t="s">
        <v>43877</v>
      </c>
      <c r="F9626" t="s">
        <v>43282</v>
      </c>
      <c r="G9626" s="1">
        <v>41722</v>
      </c>
      <c r="I9626" t="s">
        <v>44197</v>
      </c>
      <c r="J9626" t="s">
        <v>45460</v>
      </c>
      <c r="K9626" t="s">
        <v>31967</v>
      </c>
      <c r="M9626">
        <v>331.13</v>
      </c>
      <c r="O9626" t="s">
        <v>94</v>
      </c>
      <c r="P9626">
        <v>30</v>
      </c>
      <c r="Q9626">
        <v>37.5</v>
      </c>
      <c r="R9626">
        <v>30</v>
      </c>
      <c r="S9626">
        <v>45</v>
      </c>
      <c r="T9626" t="s">
        <v>45461</v>
      </c>
    </row>
    <row r="9627" spans="1:20">
      <c r="A9627">
        <v>4796913</v>
      </c>
      <c r="B9627" t="s">
        <v>45462</v>
      </c>
      <c r="C9627" t="str">
        <f>"9782763718873"</f>
        <v>9782763718873</v>
      </c>
      <c r="D9627" t="str">
        <f>"9782763718880"</f>
        <v>9782763718880</v>
      </c>
      <c r="E9627" t="s">
        <v>43877</v>
      </c>
      <c r="F9627" t="s">
        <v>43282</v>
      </c>
      <c r="G9627" s="1">
        <v>41722</v>
      </c>
      <c r="I9627" t="s">
        <v>43283</v>
      </c>
      <c r="J9627" t="s">
        <v>45463</v>
      </c>
      <c r="K9627" t="s">
        <v>31967</v>
      </c>
      <c r="M9627" t="s">
        <v>45464</v>
      </c>
      <c r="O9627" t="s">
        <v>94</v>
      </c>
      <c r="P9627">
        <v>30</v>
      </c>
      <c r="Q9627">
        <v>37.5</v>
      </c>
      <c r="R9627">
        <v>30</v>
      </c>
      <c r="S9627">
        <v>45</v>
      </c>
      <c r="T9627" t="s">
        <v>45465</v>
      </c>
    </row>
    <row r="9628" spans="1:20">
      <c r="A9628">
        <v>4796914</v>
      </c>
      <c r="B9628" t="s">
        <v>45466</v>
      </c>
      <c r="C9628" t="str">
        <f>"9782763719801"</f>
        <v>9782763719801</v>
      </c>
      <c r="D9628" t="str">
        <f>"9782763719818"</f>
        <v>9782763719818</v>
      </c>
      <c r="E9628" t="s">
        <v>43877</v>
      </c>
      <c r="F9628" t="s">
        <v>43282</v>
      </c>
      <c r="G9628" s="1">
        <v>41715</v>
      </c>
      <c r="I9628" t="s">
        <v>43283</v>
      </c>
      <c r="J9628" t="s">
        <v>45003</v>
      </c>
      <c r="K9628" t="s">
        <v>263</v>
      </c>
      <c r="M9628">
        <v>398.20899700000001</v>
      </c>
      <c r="O9628" t="s">
        <v>94</v>
      </c>
      <c r="P9628">
        <v>45</v>
      </c>
      <c r="Q9628">
        <v>56.25</v>
      </c>
      <c r="R9628">
        <v>45</v>
      </c>
      <c r="S9628">
        <v>67.5</v>
      </c>
      <c r="T9628" t="s">
        <v>45467</v>
      </c>
    </row>
    <row r="9629" spans="1:20">
      <c r="A9629">
        <v>4796915</v>
      </c>
      <c r="B9629" t="s">
        <v>45468</v>
      </c>
      <c r="C9629" t="str">
        <f>"9782763720166"</f>
        <v>9782763720166</v>
      </c>
      <c r="D9629" t="str">
        <f>"9782763720173"</f>
        <v>9782763720173</v>
      </c>
      <c r="E9629" t="s">
        <v>43877</v>
      </c>
      <c r="F9629" t="s">
        <v>43282</v>
      </c>
      <c r="G9629" s="1">
        <v>41715</v>
      </c>
      <c r="I9629" t="s">
        <v>43283</v>
      </c>
      <c r="J9629" t="s">
        <v>30159</v>
      </c>
      <c r="K9629" t="s">
        <v>3230</v>
      </c>
      <c r="M9629">
        <v>915</v>
      </c>
      <c r="O9629" t="s">
        <v>94</v>
      </c>
      <c r="P9629">
        <v>29.95</v>
      </c>
      <c r="Q9629">
        <v>37.44</v>
      </c>
      <c r="R9629">
        <v>29.95</v>
      </c>
      <c r="S9629">
        <v>44.93</v>
      </c>
      <c r="T9629" t="s">
        <v>45469</v>
      </c>
    </row>
    <row r="9630" spans="1:20">
      <c r="A9630">
        <v>4796916</v>
      </c>
      <c r="B9630" t="s">
        <v>45470</v>
      </c>
      <c r="C9630" t="str">
        <f>"9782763720258"</f>
        <v>9782763720258</v>
      </c>
      <c r="D9630" t="str">
        <f>"9782763720265"</f>
        <v>9782763720265</v>
      </c>
      <c r="E9630" t="s">
        <v>43877</v>
      </c>
      <c r="F9630" t="s">
        <v>43282</v>
      </c>
      <c r="G9630" s="1">
        <v>41719</v>
      </c>
      <c r="I9630" t="s">
        <v>43283</v>
      </c>
      <c r="J9630" t="s">
        <v>45471</v>
      </c>
      <c r="K9630" t="s">
        <v>1892</v>
      </c>
      <c r="L9630" t="s">
        <v>45472</v>
      </c>
      <c r="M9630">
        <v>211.70920000000001</v>
      </c>
      <c r="N9630" t="s">
        <v>45473</v>
      </c>
      <c r="O9630" t="s">
        <v>94</v>
      </c>
      <c r="P9630">
        <v>29</v>
      </c>
      <c r="Q9630">
        <v>36.25</v>
      </c>
      <c r="R9630">
        <v>29</v>
      </c>
      <c r="S9630">
        <v>43.5</v>
      </c>
      <c r="T9630" t="s">
        <v>45474</v>
      </c>
    </row>
    <row r="9631" spans="1:20">
      <c r="A9631">
        <v>4796917</v>
      </c>
      <c r="B9631" t="s">
        <v>45475</v>
      </c>
      <c r="C9631" t="str">
        <f>"9782763720319"</f>
        <v>9782763720319</v>
      </c>
      <c r="D9631" t="str">
        <f>"9782763720326"</f>
        <v>9782763720326</v>
      </c>
      <c r="E9631" t="s">
        <v>43877</v>
      </c>
      <c r="F9631" t="s">
        <v>43282</v>
      </c>
      <c r="G9631" s="1">
        <v>41714</v>
      </c>
      <c r="I9631" t="s">
        <v>43283</v>
      </c>
      <c r="J9631" t="s">
        <v>45476</v>
      </c>
      <c r="K9631" t="s">
        <v>1464</v>
      </c>
      <c r="M9631">
        <v>808.02</v>
      </c>
      <c r="O9631" t="s">
        <v>94</v>
      </c>
      <c r="P9631">
        <v>20</v>
      </c>
      <c r="Q9631">
        <v>25</v>
      </c>
      <c r="R9631">
        <v>20</v>
      </c>
      <c r="S9631">
        <v>30</v>
      </c>
      <c r="T9631" t="s">
        <v>45477</v>
      </c>
    </row>
    <row r="9632" spans="1:20">
      <c r="A9632">
        <v>4796918</v>
      </c>
      <c r="B9632" t="s">
        <v>45478</v>
      </c>
      <c r="C9632" t="str">
        <f>"9782763720708"</f>
        <v>9782763720708</v>
      </c>
      <c r="D9632" t="str">
        <f>"9782763720715"</f>
        <v>9782763720715</v>
      </c>
      <c r="E9632" t="s">
        <v>43877</v>
      </c>
      <c r="F9632" t="s">
        <v>43282</v>
      </c>
      <c r="G9632" s="1">
        <v>41722</v>
      </c>
      <c r="I9632" t="s">
        <v>43283</v>
      </c>
      <c r="J9632" t="s">
        <v>45479</v>
      </c>
      <c r="K9632" t="s">
        <v>1471</v>
      </c>
      <c r="M9632">
        <v>791.4375</v>
      </c>
      <c r="N9632" t="s">
        <v>45480</v>
      </c>
      <c r="O9632" t="s">
        <v>94</v>
      </c>
      <c r="P9632">
        <v>20</v>
      </c>
      <c r="Q9632">
        <v>25</v>
      </c>
      <c r="R9632">
        <v>20</v>
      </c>
      <c r="S9632">
        <v>30</v>
      </c>
      <c r="T9632" t="s">
        <v>45481</v>
      </c>
    </row>
    <row r="9633" spans="1:20">
      <c r="A9633">
        <v>4796919</v>
      </c>
      <c r="B9633" t="s">
        <v>45482</v>
      </c>
      <c r="C9633" t="str">
        <f>"9782763720739"</f>
        <v>9782763720739</v>
      </c>
      <c r="D9633" t="str">
        <f>"9782763720746"</f>
        <v>9782763720746</v>
      </c>
      <c r="E9633" t="s">
        <v>43877</v>
      </c>
      <c r="F9633" t="s">
        <v>43282</v>
      </c>
      <c r="G9633" s="1">
        <v>41715</v>
      </c>
      <c r="I9633" t="s">
        <v>44197</v>
      </c>
      <c r="J9633" t="s">
        <v>45483</v>
      </c>
      <c r="K9633" t="s">
        <v>263</v>
      </c>
      <c r="M9633">
        <v>361.1</v>
      </c>
      <c r="O9633" t="s">
        <v>94</v>
      </c>
      <c r="P9633">
        <v>35</v>
      </c>
      <c r="Q9633">
        <v>43.75</v>
      </c>
      <c r="R9633">
        <v>35</v>
      </c>
      <c r="S9633">
        <v>52.5</v>
      </c>
      <c r="T9633" t="s">
        <v>45484</v>
      </c>
    </row>
    <row r="9634" spans="1:20">
      <c r="A9634">
        <v>4796920</v>
      </c>
      <c r="B9634" t="s">
        <v>45485</v>
      </c>
      <c r="C9634" t="str">
        <f>"9782763721064"</f>
        <v>9782763721064</v>
      </c>
      <c r="D9634" t="str">
        <f>"9782763721071"</f>
        <v>9782763721071</v>
      </c>
      <c r="E9634" t="s">
        <v>43877</v>
      </c>
      <c r="F9634" t="s">
        <v>43282</v>
      </c>
      <c r="G9634" s="1">
        <v>41715</v>
      </c>
      <c r="I9634" t="s">
        <v>43283</v>
      </c>
      <c r="J9634" t="s">
        <v>45486</v>
      </c>
      <c r="K9634" t="s">
        <v>1464</v>
      </c>
      <c r="M9634">
        <v>843.91200000000003</v>
      </c>
      <c r="O9634" t="s">
        <v>94</v>
      </c>
      <c r="P9634">
        <v>24.95</v>
      </c>
      <c r="Q9634">
        <v>31.19</v>
      </c>
      <c r="R9634">
        <v>24.95</v>
      </c>
      <c r="S9634">
        <v>37.43</v>
      </c>
      <c r="T9634" t="s">
        <v>45487</v>
      </c>
    </row>
    <row r="9635" spans="1:20">
      <c r="A9635">
        <v>4796921</v>
      </c>
      <c r="B9635" t="s">
        <v>45488</v>
      </c>
      <c r="C9635" t="str">
        <f>"9782763721125"</f>
        <v>9782763721125</v>
      </c>
      <c r="D9635" t="str">
        <f>"9782763721132"</f>
        <v>9782763721132</v>
      </c>
      <c r="E9635" t="s">
        <v>43877</v>
      </c>
      <c r="F9635" t="s">
        <v>43282</v>
      </c>
      <c r="G9635" s="1">
        <v>41715</v>
      </c>
      <c r="I9635" t="s">
        <v>43283</v>
      </c>
      <c r="J9635" t="s">
        <v>45489</v>
      </c>
      <c r="K9635" t="s">
        <v>1471</v>
      </c>
      <c r="M9635">
        <v>741.59</v>
      </c>
      <c r="O9635" t="s">
        <v>94</v>
      </c>
      <c r="P9635">
        <v>27.95</v>
      </c>
      <c r="Q9635">
        <v>34.94</v>
      </c>
      <c r="R9635">
        <v>27.95</v>
      </c>
      <c r="S9635">
        <v>41.93</v>
      </c>
      <c r="T9635" t="s">
        <v>45490</v>
      </c>
    </row>
    <row r="9636" spans="1:20">
      <c r="A9636">
        <v>4796922</v>
      </c>
      <c r="B9636" t="s">
        <v>45491</v>
      </c>
      <c r="C9636" t="str">
        <f>"9782763721330"</f>
        <v>9782763721330</v>
      </c>
      <c r="D9636" t="str">
        <f>"9782763721347"</f>
        <v>9782763721347</v>
      </c>
      <c r="E9636" t="s">
        <v>43877</v>
      </c>
      <c r="F9636" t="s">
        <v>43282</v>
      </c>
      <c r="G9636" s="1">
        <v>41708</v>
      </c>
      <c r="I9636" t="s">
        <v>44197</v>
      </c>
      <c r="J9636" t="s">
        <v>45492</v>
      </c>
      <c r="K9636" t="s">
        <v>263</v>
      </c>
      <c r="M9636">
        <v>302.54000000000002</v>
      </c>
      <c r="O9636" t="s">
        <v>94</v>
      </c>
      <c r="P9636">
        <v>25</v>
      </c>
      <c r="Q9636">
        <v>31.25</v>
      </c>
      <c r="R9636">
        <v>25</v>
      </c>
      <c r="S9636">
        <v>37.5</v>
      </c>
      <c r="T9636" t="s">
        <v>45493</v>
      </c>
    </row>
    <row r="9637" spans="1:20">
      <c r="A9637">
        <v>4796923</v>
      </c>
      <c r="B9637" t="s">
        <v>45494</v>
      </c>
      <c r="C9637" t="str">
        <f>"9782763799117"</f>
        <v>9782763799117</v>
      </c>
      <c r="D9637" t="str">
        <f>"9782763799124"</f>
        <v>9782763799124</v>
      </c>
      <c r="E9637" t="s">
        <v>43877</v>
      </c>
      <c r="F9637" t="s">
        <v>43282</v>
      </c>
      <c r="G9637" s="1">
        <v>41715</v>
      </c>
      <c r="I9637" t="s">
        <v>43283</v>
      </c>
      <c r="J9637" t="s">
        <v>45495</v>
      </c>
      <c r="K9637" t="s">
        <v>263</v>
      </c>
      <c r="M9637">
        <v>306.44900000000001</v>
      </c>
      <c r="O9637" t="s">
        <v>94</v>
      </c>
      <c r="P9637">
        <v>30</v>
      </c>
      <c r="Q9637">
        <v>37.5</v>
      </c>
      <c r="R9637">
        <v>30</v>
      </c>
      <c r="S9637">
        <v>45</v>
      </c>
      <c r="T9637" t="s">
        <v>45496</v>
      </c>
    </row>
    <row r="9638" spans="1:20">
      <c r="A9638">
        <v>4796924</v>
      </c>
      <c r="B9638" t="s">
        <v>45497</v>
      </c>
      <c r="C9638" t="str">
        <f>"9782892243246"</f>
        <v>9782892243246</v>
      </c>
      <c r="D9638" t="str">
        <f>"9782763703244"</f>
        <v>9782763703244</v>
      </c>
      <c r="E9638" t="s">
        <v>43877</v>
      </c>
      <c r="F9638" t="s">
        <v>43877</v>
      </c>
      <c r="G9638" s="1">
        <v>41746</v>
      </c>
      <c r="I9638" t="s">
        <v>44501</v>
      </c>
      <c r="J9638" t="s">
        <v>43994</v>
      </c>
      <c r="K9638" t="s">
        <v>305</v>
      </c>
      <c r="M9638">
        <v>659.1</v>
      </c>
      <c r="O9638" t="s">
        <v>94</v>
      </c>
      <c r="P9638">
        <v>21.95</v>
      </c>
      <c r="Q9638">
        <v>27.44</v>
      </c>
      <c r="R9638">
        <v>21.95</v>
      </c>
      <c r="S9638">
        <v>32.93</v>
      </c>
      <c r="T9638" t="s">
        <v>45498</v>
      </c>
    </row>
    <row r="9639" spans="1:20">
      <c r="A9639">
        <v>4796927</v>
      </c>
      <c r="B9639" t="s">
        <v>45499</v>
      </c>
      <c r="C9639" t="str">
        <f>"9782763776491"</f>
        <v>9782763776491</v>
      </c>
      <c r="D9639" t="str">
        <f>"9782763707648"</f>
        <v>9782763707648</v>
      </c>
      <c r="E9639" t="s">
        <v>43877</v>
      </c>
      <c r="F9639" t="s">
        <v>43877</v>
      </c>
      <c r="G9639" s="1">
        <v>41746</v>
      </c>
      <c r="H9639">
        <v>2</v>
      </c>
      <c r="I9639" t="s">
        <v>43283</v>
      </c>
      <c r="J9639" t="s">
        <v>45500</v>
      </c>
      <c r="K9639" t="s">
        <v>291</v>
      </c>
      <c r="M9639">
        <v>971.01</v>
      </c>
      <c r="O9639" t="s">
        <v>94</v>
      </c>
      <c r="P9639">
        <v>29.95</v>
      </c>
      <c r="Q9639">
        <v>37.44</v>
      </c>
      <c r="R9639">
        <v>29.95</v>
      </c>
      <c r="S9639">
        <v>44.93</v>
      </c>
      <c r="T9639" t="s">
        <v>45501</v>
      </c>
    </row>
    <row r="9640" spans="1:20">
      <c r="A9640">
        <v>4796928</v>
      </c>
      <c r="B9640" t="s">
        <v>45502</v>
      </c>
      <c r="C9640" t="str">
        <f>"9782763777412"</f>
        <v>9782763777412</v>
      </c>
      <c r="D9640" t="str">
        <f>"9782763707747"</f>
        <v>9782763707747</v>
      </c>
      <c r="E9640" t="s">
        <v>43877</v>
      </c>
      <c r="F9640" t="s">
        <v>43877</v>
      </c>
      <c r="G9640" s="1">
        <v>41760</v>
      </c>
      <c r="H9640">
        <v>2</v>
      </c>
      <c r="I9640" t="s">
        <v>45503</v>
      </c>
      <c r="J9640" t="s">
        <v>45504</v>
      </c>
      <c r="K9640" t="s">
        <v>7075</v>
      </c>
      <c r="M9640">
        <v>1.3</v>
      </c>
      <c r="O9640" t="s">
        <v>94</v>
      </c>
      <c r="P9640">
        <v>32</v>
      </c>
      <c r="Q9640">
        <v>40</v>
      </c>
      <c r="R9640">
        <v>32</v>
      </c>
      <c r="S9640">
        <v>48</v>
      </c>
      <c r="T9640" t="s">
        <v>45505</v>
      </c>
    </row>
    <row r="9641" spans="1:20">
      <c r="A9641">
        <v>4796931</v>
      </c>
      <c r="B9641" t="s">
        <v>45506</v>
      </c>
      <c r="C9641" t="str">
        <f>"9782763778389"</f>
        <v>9782763778389</v>
      </c>
      <c r="D9641" t="str">
        <f>"9782763707846"</f>
        <v>9782763707846</v>
      </c>
      <c r="E9641" t="s">
        <v>43877</v>
      </c>
      <c r="F9641" t="s">
        <v>43877</v>
      </c>
      <c r="G9641" s="1">
        <v>41752</v>
      </c>
      <c r="H9641">
        <v>2</v>
      </c>
      <c r="I9641" t="s">
        <v>45503</v>
      </c>
      <c r="J9641" t="s">
        <v>45507</v>
      </c>
      <c r="K9641" t="s">
        <v>3230</v>
      </c>
      <c r="M9641">
        <v>901</v>
      </c>
      <c r="O9641" t="s">
        <v>94</v>
      </c>
      <c r="P9641">
        <v>23</v>
      </c>
      <c r="Q9641">
        <v>28.75</v>
      </c>
      <c r="R9641">
        <v>23</v>
      </c>
      <c r="S9641">
        <v>34.5</v>
      </c>
      <c r="T9641" t="s">
        <v>45508</v>
      </c>
    </row>
    <row r="9642" spans="1:20">
      <c r="A9642">
        <v>4796933</v>
      </c>
      <c r="B9642" t="s">
        <v>45509</v>
      </c>
      <c r="C9642" t="str">
        <f>"9782763779171"</f>
        <v>9782763779171</v>
      </c>
      <c r="D9642" t="str">
        <f>"9782763707938"</f>
        <v>9782763707938</v>
      </c>
      <c r="E9642" t="s">
        <v>43877</v>
      </c>
      <c r="F9642" t="s">
        <v>43877</v>
      </c>
      <c r="G9642" s="1">
        <v>41752</v>
      </c>
      <c r="I9642" t="s">
        <v>43887</v>
      </c>
      <c r="J9642" t="s">
        <v>45510</v>
      </c>
      <c r="K9642" t="s">
        <v>376</v>
      </c>
      <c r="M9642">
        <v>362.19639999999998</v>
      </c>
      <c r="O9642" t="s">
        <v>94</v>
      </c>
      <c r="P9642">
        <v>30</v>
      </c>
      <c r="Q9642">
        <v>37.5</v>
      </c>
      <c r="R9642">
        <v>30</v>
      </c>
      <c r="S9642">
        <v>45</v>
      </c>
      <c r="T9642" t="s">
        <v>45511</v>
      </c>
    </row>
    <row r="9643" spans="1:20">
      <c r="A9643">
        <v>4796936</v>
      </c>
      <c r="B9643" t="s">
        <v>45512</v>
      </c>
      <c r="C9643" t="str">
        <f>"9782763780306"</f>
        <v>9782763780306</v>
      </c>
      <c r="D9643" t="str">
        <f>"9782763708027"</f>
        <v>9782763708027</v>
      </c>
      <c r="E9643" t="s">
        <v>43877</v>
      </c>
      <c r="F9643" t="s">
        <v>43877</v>
      </c>
      <c r="G9643" s="1">
        <v>41746</v>
      </c>
      <c r="I9643" t="s">
        <v>44725</v>
      </c>
      <c r="J9643" t="s">
        <v>45513</v>
      </c>
      <c r="K9643" t="s">
        <v>76</v>
      </c>
      <c r="M9643">
        <v>630.9</v>
      </c>
      <c r="O9643" t="s">
        <v>94</v>
      </c>
      <c r="P9643">
        <v>30</v>
      </c>
      <c r="Q9643">
        <v>37.5</v>
      </c>
      <c r="R9643">
        <v>30</v>
      </c>
      <c r="S9643">
        <v>45</v>
      </c>
      <c r="T9643" t="s">
        <v>45514</v>
      </c>
    </row>
    <row r="9644" spans="1:20">
      <c r="A9644">
        <v>4796942</v>
      </c>
      <c r="B9644" t="s">
        <v>45515</v>
      </c>
      <c r="C9644" t="str">
        <f>"9782763780702"</f>
        <v>9782763780702</v>
      </c>
      <c r="D9644" t="str">
        <f>"9782763708171"</f>
        <v>9782763708171</v>
      </c>
      <c r="E9644" t="s">
        <v>43877</v>
      </c>
      <c r="F9644" t="s">
        <v>43877</v>
      </c>
      <c r="G9644" s="1">
        <v>41746</v>
      </c>
      <c r="I9644" t="s">
        <v>43887</v>
      </c>
      <c r="J9644" t="s">
        <v>45516</v>
      </c>
      <c r="K9644" t="s">
        <v>1892</v>
      </c>
      <c r="M9644">
        <v>299.77999999999997</v>
      </c>
      <c r="O9644" t="s">
        <v>94</v>
      </c>
      <c r="P9644">
        <v>40</v>
      </c>
      <c r="Q9644">
        <v>50</v>
      </c>
      <c r="R9644">
        <v>40</v>
      </c>
      <c r="S9644">
        <v>60</v>
      </c>
      <c r="T9644" t="s">
        <v>45517</v>
      </c>
    </row>
    <row r="9645" spans="1:20">
      <c r="A9645">
        <v>4796949</v>
      </c>
      <c r="B9645" t="s">
        <v>45518</v>
      </c>
      <c r="C9645" t="str">
        <f>"9782763784939"</f>
        <v>9782763784939</v>
      </c>
      <c r="D9645" t="str">
        <f>"9782763708508"</f>
        <v>9782763708508</v>
      </c>
      <c r="E9645" t="s">
        <v>43877</v>
      </c>
      <c r="F9645" t="s">
        <v>43877</v>
      </c>
      <c r="G9645" s="1">
        <v>41752</v>
      </c>
      <c r="I9645" t="s">
        <v>43283</v>
      </c>
      <c r="J9645" t="s">
        <v>45519</v>
      </c>
      <c r="K9645" t="s">
        <v>136</v>
      </c>
      <c r="M9645">
        <v>551.48</v>
      </c>
      <c r="O9645" t="s">
        <v>94</v>
      </c>
      <c r="P9645">
        <v>29.95</v>
      </c>
      <c r="Q9645">
        <v>37.44</v>
      </c>
      <c r="R9645">
        <v>29.95</v>
      </c>
      <c r="S9645">
        <v>44.93</v>
      </c>
      <c r="T9645" t="s">
        <v>45520</v>
      </c>
    </row>
    <row r="9646" spans="1:20">
      <c r="A9646">
        <v>4796950</v>
      </c>
      <c r="B9646" t="s">
        <v>45521</v>
      </c>
      <c r="C9646" t="str">
        <f>"9782763785646"</f>
        <v>9782763785646</v>
      </c>
      <c r="D9646" t="str">
        <f>"9782763708577"</f>
        <v>9782763708577</v>
      </c>
      <c r="E9646" t="s">
        <v>43877</v>
      </c>
      <c r="F9646" t="s">
        <v>43877</v>
      </c>
      <c r="G9646" s="1">
        <v>41760</v>
      </c>
      <c r="H9646">
        <v>2</v>
      </c>
      <c r="I9646" t="s">
        <v>44808</v>
      </c>
      <c r="J9646" t="s">
        <v>45522</v>
      </c>
      <c r="K9646" t="s">
        <v>263</v>
      </c>
      <c r="M9646">
        <v>361.322</v>
      </c>
      <c r="O9646" t="s">
        <v>94</v>
      </c>
      <c r="P9646">
        <v>40</v>
      </c>
      <c r="Q9646">
        <v>50</v>
      </c>
      <c r="R9646">
        <v>40</v>
      </c>
      <c r="S9646">
        <v>60</v>
      </c>
      <c r="T9646" t="s">
        <v>45523</v>
      </c>
    </row>
    <row r="9647" spans="1:20">
      <c r="A9647">
        <v>4796951</v>
      </c>
      <c r="B9647" t="s">
        <v>45524</v>
      </c>
      <c r="C9647" t="str">
        <f>"9782763783901"</f>
        <v>9782763783901</v>
      </c>
      <c r="D9647" t="str">
        <f>"9782763708386"</f>
        <v>9782763708386</v>
      </c>
      <c r="E9647" t="s">
        <v>43877</v>
      </c>
      <c r="F9647" t="s">
        <v>43877</v>
      </c>
      <c r="G9647" s="1">
        <v>41752</v>
      </c>
      <c r="I9647" t="s">
        <v>44037</v>
      </c>
      <c r="J9647" t="s">
        <v>45525</v>
      </c>
      <c r="K9647" t="s">
        <v>291</v>
      </c>
      <c r="M9647">
        <v>970.00496999999996</v>
      </c>
      <c r="O9647" t="s">
        <v>94</v>
      </c>
      <c r="P9647">
        <v>40</v>
      </c>
      <c r="Q9647">
        <v>50</v>
      </c>
      <c r="R9647">
        <v>40</v>
      </c>
      <c r="S9647">
        <v>60</v>
      </c>
      <c r="T9647" t="s">
        <v>45526</v>
      </c>
    </row>
    <row r="9648" spans="1:20">
      <c r="A9648">
        <v>4796953</v>
      </c>
      <c r="B9648" t="s">
        <v>45527</v>
      </c>
      <c r="C9648" t="str">
        <f>"9782763718279"</f>
        <v>9782763718279</v>
      </c>
      <c r="D9648" t="str">
        <f>"9782763718286"</f>
        <v>9782763718286</v>
      </c>
      <c r="E9648" t="s">
        <v>43877</v>
      </c>
      <c r="F9648" t="s">
        <v>43877</v>
      </c>
      <c r="G9648" s="1">
        <v>41744</v>
      </c>
      <c r="I9648" t="s">
        <v>43283</v>
      </c>
      <c r="J9648" t="s">
        <v>45528</v>
      </c>
      <c r="K9648" t="s">
        <v>376</v>
      </c>
      <c r="M9648">
        <v>362.10973000000001</v>
      </c>
      <c r="O9648" t="s">
        <v>94</v>
      </c>
      <c r="P9648">
        <v>39.950000000000003</v>
      </c>
      <c r="Q9648">
        <v>49.94</v>
      </c>
      <c r="R9648">
        <v>39.950000000000003</v>
      </c>
      <c r="S9648">
        <v>59.93</v>
      </c>
      <c r="T9648" t="s">
        <v>45529</v>
      </c>
    </row>
    <row r="9649" spans="1:20">
      <c r="A9649">
        <v>4796954</v>
      </c>
      <c r="B9649" t="s">
        <v>45530</v>
      </c>
      <c r="C9649" t="str">
        <f>"9782763719986"</f>
        <v>9782763719986</v>
      </c>
      <c r="D9649" t="str">
        <f>"9782763719993"</f>
        <v>9782763719993</v>
      </c>
      <c r="E9649" t="s">
        <v>43877</v>
      </c>
      <c r="F9649" t="s">
        <v>43877</v>
      </c>
      <c r="G9649" s="1">
        <v>41744</v>
      </c>
      <c r="I9649" t="s">
        <v>43283</v>
      </c>
      <c r="J9649" t="s">
        <v>44053</v>
      </c>
      <c r="K9649" t="s">
        <v>263</v>
      </c>
      <c r="M9649">
        <v>306.39999999999998</v>
      </c>
      <c r="O9649" t="s">
        <v>94</v>
      </c>
      <c r="P9649">
        <v>34.950000000000003</v>
      </c>
      <c r="Q9649">
        <v>43.69</v>
      </c>
      <c r="R9649">
        <v>34.950000000000003</v>
      </c>
      <c r="S9649">
        <v>52.43</v>
      </c>
      <c r="T9649" t="s">
        <v>45531</v>
      </c>
    </row>
    <row r="9650" spans="1:20">
      <c r="A9650">
        <v>4796955</v>
      </c>
      <c r="B9650" t="s">
        <v>45532</v>
      </c>
      <c r="C9650" t="str">
        <f>"9782763720012"</f>
        <v>9782763720012</v>
      </c>
      <c r="D9650" t="str">
        <f>"9782763720029"</f>
        <v>9782763720029</v>
      </c>
      <c r="E9650" t="s">
        <v>43877</v>
      </c>
      <c r="F9650" t="s">
        <v>43877</v>
      </c>
      <c r="G9650" s="1">
        <v>41744</v>
      </c>
      <c r="I9650" t="s">
        <v>43283</v>
      </c>
      <c r="J9650" t="s">
        <v>45533</v>
      </c>
      <c r="K9650" t="s">
        <v>1859</v>
      </c>
      <c r="M9650">
        <v>180</v>
      </c>
      <c r="O9650" t="s">
        <v>94</v>
      </c>
      <c r="P9650">
        <v>37.950000000000003</v>
      </c>
      <c r="Q9650">
        <v>47.44</v>
      </c>
      <c r="R9650">
        <v>37.950000000000003</v>
      </c>
      <c r="S9650">
        <v>56.93</v>
      </c>
      <c r="T9650" t="s">
        <v>45534</v>
      </c>
    </row>
    <row r="9651" spans="1:20">
      <c r="A9651">
        <v>4796956</v>
      </c>
      <c r="B9651" t="s">
        <v>45535</v>
      </c>
      <c r="C9651" t="str">
        <f>"9782763720913"</f>
        <v>9782763720913</v>
      </c>
      <c r="D9651" t="str">
        <f>"9782763720920"</f>
        <v>9782763720920</v>
      </c>
      <c r="E9651" t="s">
        <v>43877</v>
      </c>
      <c r="F9651" t="s">
        <v>43877</v>
      </c>
      <c r="G9651" s="1">
        <v>41725</v>
      </c>
      <c r="I9651" t="s">
        <v>43283</v>
      </c>
      <c r="J9651" t="s">
        <v>45536</v>
      </c>
      <c r="K9651" t="s">
        <v>7075</v>
      </c>
      <c r="M9651">
        <v>62</v>
      </c>
      <c r="O9651" t="s">
        <v>94</v>
      </c>
      <c r="P9651">
        <v>20</v>
      </c>
      <c r="Q9651">
        <v>25</v>
      </c>
      <c r="R9651">
        <v>20</v>
      </c>
      <c r="S9651">
        <v>30</v>
      </c>
      <c r="T9651" t="s">
        <v>45537</v>
      </c>
    </row>
    <row r="9652" spans="1:20">
      <c r="A9652">
        <v>4796957</v>
      </c>
      <c r="B9652" t="s">
        <v>45538</v>
      </c>
      <c r="C9652" t="str">
        <f>"9782763720975"</f>
        <v>9782763720975</v>
      </c>
      <c r="D9652" t="str">
        <f>"9782763720982"</f>
        <v>9782763720982</v>
      </c>
      <c r="E9652" t="s">
        <v>43877</v>
      </c>
      <c r="F9652" t="s">
        <v>43877</v>
      </c>
      <c r="G9652" s="1">
        <v>41725</v>
      </c>
      <c r="I9652" t="s">
        <v>43283</v>
      </c>
      <c r="J9652" t="s">
        <v>45539</v>
      </c>
      <c r="K9652" t="s">
        <v>257</v>
      </c>
      <c r="M9652">
        <v>378.17344678000001</v>
      </c>
      <c r="O9652" t="s">
        <v>94</v>
      </c>
      <c r="P9652">
        <v>49</v>
      </c>
      <c r="Q9652">
        <v>61.25</v>
      </c>
      <c r="R9652">
        <v>49</v>
      </c>
      <c r="S9652">
        <v>73.5</v>
      </c>
      <c r="T9652" t="s">
        <v>45540</v>
      </c>
    </row>
    <row r="9653" spans="1:20">
      <c r="A9653">
        <v>4796958</v>
      </c>
      <c r="B9653" t="s">
        <v>45541</v>
      </c>
      <c r="C9653" t="str">
        <f>"9782763721095"</f>
        <v>9782763721095</v>
      </c>
      <c r="D9653" t="str">
        <f>"9782763721101"</f>
        <v>9782763721101</v>
      </c>
      <c r="E9653" t="s">
        <v>43877</v>
      </c>
      <c r="F9653" t="s">
        <v>43877</v>
      </c>
      <c r="G9653" s="1">
        <v>41746</v>
      </c>
      <c r="I9653" t="s">
        <v>43283</v>
      </c>
      <c r="J9653" t="s">
        <v>45542</v>
      </c>
      <c r="K9653" t="s">
        <v>257</v>
      </c>
      <c r="M9653">
        <v>378.71442000000002</v>
      </c>
      <c r="O9653" t="s">
        <v>94</v>
      </c>
      <c r="P9653">
        <v>19.95</v>
      </c>
      <c r="Q9653">
        <v>24.94</v>
      </c>
      <c r="R9653">
        <v>19.95</v>
      </c>
      <c r="S9653">
        <v>29.93</v>
      </c>
      <c r="T9653" t="s">
        <v>45543</v>
      </c>
    </row>
    <row r="9654" spans="1:20">
      <c r="A9654">
        <v>4796959</v>
      </c>
      <c r="B9654" t="s">
        <v>45544</v>
      </c>
      <c r="C9654" t="str">
        <f>"9782763721156"</f>
        <v>9782763721156</v>
      </c>
      <c r="D9654" t="str">
        <f>"9782763721163"</f>
        <v>9782763721163</v>
      </c>
      <c r="E9654" t="s">
        <v>43877</v>
      </c>
      <c r="F9654" t="s">
        <v>43877</v>
      </c>
      <c r="G9654" s="1">
        <v>41744</v>
      </c>
      <c r="I9654" t="s">
        <v>44694</v>
      </c>
      <c r="J9654" t="s">
        <v>45545</v>
      </c>
      <c r="K9654" t="s">
        <v>525</v>
      </c>
      <c r="M9654">
        <v>346.02</v>
      </c>
      <c r="O9654" t="s">
        <v>94</v>
      </c>
      <c r="P9654">
        <v>32</v>
      </c>
      <c r="Q9654">
        <v>40</v>
      </c>
      <c r="R9654">
        <v>32</v>
      </c>
      <c r="S9654">
        <v>48</v>
      </c>
      <c r="T9654" t="s">
        <v>45546</v>
      </c>
    </row>
    <row r="9655" spans="1:20">
      <c r="A9655">
        <v>4796960</v>
      </c>
      <c r="B9655" t="s">
        <v>45547</v>
      </c>
      <c r="C9655" t="str">
        <f>"9782763721637"</f>
        <v>9782763721637</v>
      </c>
      <c r="D9655" t="str">
        <f>"9782763721644"</f>
        <v>9782763721644</v>
      </c>
      <c r="E9655" t="s">
        <v>43877</v>
      </c>
      <c r="F9655" t="s">
        <v>43877</v>
      </c>
      <c r="G9655" s="1">
        <v>41744</v>
      </c>
      <c r="I9655" t="s">
        <v>43283</v>
      </c>
      <c r="J9655" t="s">
        <v>45292</v>
      </c>
      <c r="K9655" t="s">
        <v>1471</v>
      </c>
      <c r="M9655">
        <v>791.43023309</v>
      </c>
      <c r="O9655" t="s">
        <v>94</v>
      </c>
      <c r="P9655">
        <v>19.95</v>
      </c>
      <c r="Q9655">
        <v>24.94</v>
      </c>
      <c r="R9655">
        <v>19.95</v>
      </c>
      <c r="S9655">
        <v>29.93</v>
      </c>
      <c r="T9655" t="s">
        <v>45548</v>
      </c>
    </row>
    <row r="9656" spans="1:20">
      <c r="A9656">
        <v>4796961</v>
      </c>
      <c r="B9656" t="s">
        <v>45549</v>
      </c>
      <c r="C9656" t="str">
        <f>"9782763796475"</f>
        <v>9782763796475</v>
      </c>
      <c r="D9656" t="str">
        <f>"9782763796482"</f>
        <v>9782763796482</v>
      </c>
      <c r="E9656" t="s">
        <v>43877</v>
      </c>
      <c r="F9656" t="s">
        <v>43877</v>
      </c>
      <c r="G9656" s="1">
        <v>41737</v>
      </c>
      <c r="I9656" t="s">
        <v>43283</v>
      </c>
      <c r="J9656" t="s">
        <v>45550</v>
      </c>
      <c r="K9656" t="s">
        <v>291</v>
      </c>
      <c r="M9656">
        <v>971.601</v>
      </c>
      <c r="O9656" t="s">
        <v>94</v>
      </c>
      <c r="P9656">
        <v>40</v>
      </c>
      <c r="Q9656">
        <v>50</v>
      </c>
      <c r="R9656">
        <v>40</v>
      </c>
      <c r="S9656">
        <v>60</v>
      </c>
      <c r="T9656" t="s">
        <v>45551</v>
      </c>
    </row>
    <row r="9657" spans="1:20">
      <c r="A9657">
        <v>4796963</v>
      </c>
      <c r="B9657" t="s">
        <v>45552</v>
      </c>
      <c r="C9657" t="str">
        <f>"9782763722566"</f>
        <v>9782763722566</v>
      </c>
      <c r="D9657" t="str">
        <f>"9782763722573"</f>
        <v>9782763722573</v>
      </c>
      <c r="E9657" t="s">
        <v>43877</v>
      </c>
      <c r="F9657" t="s">
        <v>43877</v>
      </c>
      <c r="G9657" s="1">
        <v>41767</v>
      </c>
      <c r="I9657" t="s">
        <v>43283</v>
      </c>
      <c r="J9657" t="s">
        <v>45553</v>
      </c>
      <c r="K9657" t="s">
        <v>1082</v>
      </c>
      <c r="M9657">
        <v>362.14</v>
      </c>
      <c r="O9657" t="s">
        <v>94</v>
      </c>
      <c r="P9657">
        <v>23.95</v>
      </c>
      <c r="Q9657">
        <v>29.94</v>
      </c>
      <c r="R9657">
        <v>23.95</v>
      </c>
      <c r="S9657">
        <v>35.93</v>
      </c>
      <c r="T9657" t="s">
        <v>45554</v>
      </c>
    </row>
    <row r="9658" spans="1:20">
      <c r="A9658">
        <v>4796965</v>
      </c>
      <c r="B9658" t="s">
        <v>45555</v>
      </c>
      <c r="C9658" t="str">
        <f>"9782760536494"</f>
        <v>9782760536494</v>
      </c>
      <c r="D9658" t="str">
        <f>"9782760536500"</f>
        <v>9782760536500</v>
      </c>
      <c r="E9658" t="s">
        <v>33376</v>
      </c>
      <c r="F9658" t="s">
        <v>43423</v>
      </c>
      <c r="G9658" s="1">
        <v>36526</v>
      </c>
      <c r="J9658" t="s">
        <v>45556</v>
      </c>
      <c r="K9658" t="s">
        <v>525</v>
      </c>
      <c r="M9658" t="s">
        <v>45557</v>
      </c>
      <c r="O9658" t="s">
        <v>94</v>
      </c>
      <c r="P9658">
        <v>25.99</v>
      </c>
      <c r="Q9658">
        <v>32.49</v>
      </c>
      <c r="R9658">
        <v>25.99</v>
      </c>
      <c r="S9658">
        <v>38.99</v>
      </c>
      <c r="T9658" t="s">
        <v>45558</v>
      </c>
    </row>
    <row r="9659" spans="1:20">
      <c r="A9659">
        <v>4796967</v>
      </c>
      <c r="B9659" t="s">
        <v>45559</v>
      </c>
      <c r="C9659" t="str">
        <f>"9782760537842"</f>
        <v>9782760537842</v>
      </c>
      <c r="D9659" t="str">
        <f>"9782760537859"</f>
        <v>9782760537859</v>
      </c>
      <c r="E9659" t="s">
        <v>33376</v>
      </c>
      <c r="F9659" t="s">
        <v>43423</v>
      </c>
      <c r="G9659" s="1">
        <v>36526</v>
      </c>
      <c r="I9659" t="s">
        <v>33190</v>
      </c>
      <c r="J9659" t="s">
        <v>45560</v>
      </c>
      <c r="K9659" t="s">
        <v>376</v>
      </c>
      <c r="M9659" t="s">
        <v>45561</v>
      </c>
      <c r="O9659" t="s">
        <v>94</v>
      </c>
      <c r="P9659">
        <v>20.99</v>
      </c>
      <c r="Q9659">
        <v>26.24</v>
      </c>
      <c r="R9659">
        <v>20.99</v>
      </c>
      <c r="S9659">
        <v>31.49</v>
      </c>
      <c r="T9659" t="s">
        <v>45562</v>
      </c>
    </row>
    <row r="9660" spans="1:20">
      <c r="A9660">
        <v>4796968</v>
      </c>
      <c r="B9660" t="s">
        <v>45563</v>
      </c>
      <c r="C9660" t="str">
        <f>"9782760538573"</f>
        <v>9782760538573</v>
      </c>
      <c r="D9660" t="str">
        <f>"9782760538580"</f>
        <v>9782760538580</v>
      </c>
      <c r="E9660" t="s">
        <v>33376</v>
      </c>
      <c r="F9660" t="s">
        <v>43423</v>
      </c>
      <c r="G9660" s="1">
        <v>36526</v>
      </c>
      <c r="J9660" t="s">
        <v>45564</v>
      </c>
      <c r="K9660" t="s">
        <v>2260</v>
      </c>
      <c r="M9660" t="s">
        <v>45565</v>
      </c>
      <c r="O9660" t="s">
        <v>94</v>
      </c>
      <c r="P9660">
        <v>20.99</v>
      </c>
      <c r="Q9660">
        <v>26.24</v>
      </c>
      <c r="R9660">
        <v>20.99</v>
      </c>
      <c r="S9660">
        <v>31.49</v>
      </c>
      <c r="T9660" t="s">
        <v>45566</v>
      </c>
    </row>
    <row r="9661" spans="1:20">
      <c r="A9661">
        <v>4796973</v>
      </c>
      <c r="B9661" t="s">
        <v>45567</v>
      </c>
      <c r="C9661" t="str">
        <f>"9782760538931"</f>
        <v>9782760538931</v>
      </c>
      <c r="D9661" t="str">
        <f>"9782760538948"</f>
        <v>9782760538948</v>
      </c>
      <c r="E9661" t="s">
        <v>33376</v>
      </c>
      <c r="F9661" t="s">
        <v>43423</v>
      </c>
      <c r="G9661" s="1">
        <v>36526</v>
      </c>
      <c r="J9661" t="s">
        <v>42548</v>
      </c>
      <c r="K9661" t="s">
        <v>416</v>
      </c>
      <c r="M9661">
        <v>338</v>
      </c>
      <c r="O9661" t="s">
        <v>94</v>
      </c>
      <c r="P9661">
        <v>21.99</v>
      </c>
      <c r="Q9661">
        <v>27.49</v>
      </c>
      <c r="R9661">
        <v>21.99</v>
      </c>
      <c r="S9661">
        <v>32.99</v>
      </c>
      <c r="T9661" t="s">
        <v>45568</v>
      </c>
    </row>
    <row r="9662" spans="1:20">
      <c r="A9662">
        <v>4796975</v>
      </c>
      <c r="B9662" t="s">
        <v>45569</v>
      </c>
      <c r="C9662" t="str">
        <f>"9782760538993"</f>
        <v>9782760538993</v>
      </c>
      <c r="D9662" t="str">
        <f>"9782760539006"</f>
        <v>9782760539006</v>
      </c>
      <c r="E9662" t="s">
        <v>33376</v>
      </c>
      <c r="F9662" t="s">
        <v>43423</v>
      </c>
      <c r="G9662" s="1">
        <v>36526</v>
      </c>
      <c r="J9662" t="s">
        <v>45570</v>
      </c>
      <c r="K9662" t="s">
        <v>257</v>
      </c>
      <c r="M9662" t="s">
        <v>45571</v>
      </c>
      <c r="O9662" t="s">
        <v>94</v>
      </c>
      <c r="P9662">
        <v>21.99</v>
      </c>
      <c r="Q9662">
        <v>27.49</v>
      </c>
      <c r="R9662">
        <v>21.99</v>
      </c>
      <c r="S9662">
        <v>32.99</v>
      </c>
      <c r="T9662" t="s">
        <v>45572</v>
      </c>
    </row>
    <row r="9663" spans="1:20">
      <c r="A9663">
        <v>4796976</v>
      </c>
      <c r="B9663" t="s">
        <v>45573</v>
      </c>
      <c r="C9663" t="str">
        <f>"9782760539020"</f>
        <v>9782760539020</v>
      </c>
      <c r="D9663" t="str">
        <f>"9782760539037"</f>
        <v>9782760539037</v>
      </c>
      <c r="E9663" t="s">
        <v>33376</v>
      </c>
      <c r="F9663" t="s">
        <v>43423</v>
      </c>
      <c r="G9663" s="1">
        <v>36526</v>
      </c>
      <c r="J9663" t="s">
        <v>45574</v>
      </c>
      <c r="K9663" t="s">
        <v>263</v>
      </c>
      <c r="M9663" t="s">
        <v>45575</v>
      </c>
      <c r="O9663" t="s">
        <v>94</v>
      </c>
      <c r="P9663">
        <v>21.99</v>
      </c>
      <c r="Q9663">
        <v>27.49</v>
      </c>
      <c r="R9663">
        <v>21.99</v>
      </c>
      <c r="S9663">
        <v>32.99</v>
      </c>
      <c r="T9663" t="s">
        <v>45576</v>
      </c>
    </row>
    <row r="9664" spans="1:20">
      <c r="A9664">
        <v>4796977</v>
      </c>
      <c r="B9664" t="s">
        <v>45577</v>
      </c>
      <c r="C9664" t="str">
        <f>"9782760539051"</f>
        <v>9782760539051</v>
      </c>
      <c r="D9664" t="str">
        <f>"9782760539068"</f>
        <v>9782760539068</v>
      </c>
      <c r="E9664" t="s">
        <v>33376</v>
      </c>
      <c r="F9664" t="s">
        <v>43423</v>
      </c>
      <c r="G9664" s="1">
        <v>36526</v>
      </c>
      <c r="J9664" t="s">
        <v>45578</v>
      </c>
      <c r="K9664" t="s">
        <v>1859</v>
      </c>
      <c r="M9664">
        <v>174.3</v>
      </c>
      <c r="O9664" t="s">
        <v>94</v>
      </c>
      <c r="P9664">
        <v>18.989999999999998</v>
      </c>
      <c r="Q9664">
        <v>23.74</v>
      </c>
      <c r="R9664">
        <v>18.989999999999998</v>
      </c>
      <c r="S9664">
        <v>28.49</v>
      </c>
      <c r="T9664" t="s">
        <v>45579</v>
      </c>
    </row>
    <row r="9665" spans="1:20">
      <c r="A9665">
        <v>4796979</v>
      </c>
      <c r="B9665" t="s">
        <v>45580</v>
      </c>
      <c r="C9665" t="str">
        <f>"9782760539143"</f>
        <v>9782760539143</v>
      </c>
      <c r="D9665" t="str">
        <f>"9782760539150"</f>
        <v>9782760539150</v>
      </c>
      <c r="E9665" t="s">
        <v>33376</v>
      </c>
      <c r="F9665" t="s">
        <v>43423</v>
      </c>
      <c r="G9665" s="1">
        <v>36526</v>
      </c>
      <c r="J9665" t="s">
        <v>45581</v>
      </c>
      <c r="K9665" t="s">
        <v>263</v>
      </c>
      <c r="M9665" t="s">
        <v>29067</v>
      </c>
      <c r="O9665" t="s">
        <v>94</v>
      </c>
      <c r="P9665">
        <v>28.99</v>
      </c>
      <c r="Q9665">
        <v>36.24</v>
      </c>
      <c r="R9665">
        <v>28.99</v>
      </c>
      <c r="S9665">
        <v>43.49</v>
      </c>
      <c r="T9665" t="s">
        <v>45582</v>
      </c>
    </row>
    <row r="9666" spans="1:20">
      <c r="A9666">
        <v>4796984</v>
      </c>
      <c r="B9666" t="s">
        <v>45583</v>
      </c>
      <c r="C9666" t="str">
        <f>"9782760539310"</f>
        <v>9782760539310</v>
      </c>
      <c r="D9666" t="str">
        <f>"9782760539327"</f>
        <v>9782760539327</v>
      </c>
      <c r="E9666" t="s">
        <v>33376</v>
      </c>
      <c r="F9666" t="s">
        <v>43423</v>
      </c>
      <c r="G9666" s="1">
        <v>36526</v>
      </c>
      <c r="J9666" t="s">
        <v>45347</v>
      </c>
      <c r="K9666" t="s">
        <v>7075</v>
      </c>
      <c r="M9666" t="s">
        <v>44905</v>
      </c>
      <c r="O9666" t="s">
        <v>94</v>
      </c>
      <c r="P9666">
        <v>27.99</v>
      </c>
      <c r="Q9666">
        <v>34.99</v>
      </c>
      <c r="R9666">
        <v>27.99</v>
      </c>
      <c r="S9666">
        <v>41.99</v>
      </c>
      <c r="T9666" t="s">
        <v>45584</v>
      </c>
    </row>
    <row r="9667" spans="1:20">
      <c r="A9667">
        <v>4796985</v>
      </c>
      <c r="B9667" t="s">
        <v>45585</v>
      </c>
      <c r="C9667" t="str">
        <f>"9782760539341"</f>
        <v>9782760539341</v>
      </c>
      <c r="D9667" t="str">
        <f>"9782760539358"</f>
        <v>9782760539358</v>
      </c>
      <c r="E9667" t="s">
        <v>33376</v>
      </c>
      <c r="F9667" t="s">
        <v>43423</v>
      </c>
      <c r="G9667" s="1">
        <v>36526</v>
      </c>
      <c r="J9667" t="s">
        <v>44600</v>
      </c>
      <c r="K9667" t="s">
        <v>31967</v>
      </c>
      <c r="M9667">
        <v>330.9</v>
      </c>
      <c r="O9667" t="s">
        <v>94</v>
      </c>
      <c r="P9667">
        <v>17.989999999999998</v>
      </c>
      <c r="Q9667">
        <v>22.49</v>
      </c>
      <c r="R9667">
        <v>17.989999999999998</v>
      </c>
      <c r="S9667">
        <v>26.99</v>
      </c>
      <c r="T9667" t="s">
        <v>45586</v>
      </c>
    </row>
    <row r="9668" spans="1:20">
      <c r="A9668">
        <v>4796986</v>
      </c>
      <c r="B9668" t="s">
        <v>45587</v>
      </c>
      <c r="C9668" t="str">
        <f>"9782760539372"</f>
        <v>9782760539372</v>
      </c>
      <c r="D9668" t="str">
        <f>"9782760539389"</f>
        <v>9782760539389</v>
      </c>
      <c r="E9668" t="s">
        <v>33376</v>
      </c>
      <c r="F9668" t="s">
        <v>43423</v>
      </c>
      <c r="G9668" s="1">
        <v>36526</v>
      </c>
      <c r="J9668" t="s">
        <v>45588</v>
      </c>
      <c r="K9668" t="s">
        <v>31967</v>
      </c>
      <c r="M9668">
        <v>331.12</v>
      </c>
      <c r="O9668" t="s">
        <v>94</v>
      </c>
      <c r="P9668">
        <v>24.99</v>
      </c>
      <c r="Q9668">
        <v>31.24</v>
      </c>
      <c r="R9668">
        <v>24.99</v>
      </c>
      <c r="S9668">
        <v>37.49</v>
      </c>
      <c r="T9668" t="s">
        <v>45589</v>
      </c>
    </row>
    <row r="9669" spans="1:20">
      <c r="A9669">
        <v>4796987</v>
      </c>
      <c r="B9669" t="s">
        <v>45590</v>
      </c>
      <c r="C9669" t="str">
        <f>"9782760539402"</f>
        <v>9782760539402</v>
      </c>
      <c r="D9669" t="str">
        <f>"9782760539433"</f>
        <v>9782760539433</v>
      </c>
      <c r="E9669" t="s">
        <v>33376</v>
      </c>
      <c r="F9669" t="s">
        <v>43423</v>
      </c>
      <c r="G9669" s="1">
        <v>36526</v>
      </c>
      <c r="I9669" t="s">
        <v>45591</v>
      </c>
      <c r="K9669" t="s">
        <v>257</v>
      </c>
      <c r="M9669">
        <v>371.26</v>
      </c>
      <c r="O9669" t="s">
        <v>94</v>
      </c>
      <c r="P9669">
        <v>21.99</v>
      </c>
      <c r="Q9669">
        <v>27.49</v>
      </c>
      <c r="R9669">
        <v>21.99</v>
      </c>
      <c r="S9669">
        <v>32.99</v>
      </c>
      <c r="T9669" t="s">
        <v>45592</v>
      </c>
    </row>
    <row r="9670" spans="1:20">
      <c r="A9670">
        <v>4796988</v>
      </c>
      <c r="B9670" t="s">
        <v>45593</v>
      </c>
      <c r="C9670" t="str">
        <f>"9782760539419"</f>
        <v>9782760539419</v>
      </c>
      <c r="D9670" t="str">
        <f>"9782760539457"</f>
        <v>9782760539457</v>
      </c>
      <c r="E9670" t="s">
        <v>33376</v>
      </c>
      <c r="F9670" t="s">
        <v>43423</v>
      </c>
      <c r="G9670" s="1">
        <v>36526</v>
      </c>
      <c r="J9670" t="s">
        <v>45594</v>
      </c>
      <c r="K9670" t="s">
        <v>467</v>
      </c>
      <c r="M9670" t="s">
        <v>629</v>
      </c>
      <c r="O9670" t="s">
        <v>94</v>
      </c>
      <c r="P9670">
        <v>17.989999999999998</v>
      </c>
      <c r="Q9670">
        <v>22.49</v>
      </c>
      <c r="R9670">
        <v>17.989999999999998</v>
      </c>
      <c r="S9670">
        <v>26.99</v>
      </c>
      <c r="T9670" t="s">
        <v>45595</v>
      </c>
    </row>
    <row r="9671" spans="1:20">
      <c r="A9671">
        <v>4796989</v>
      </c>
      <c r="B9671" t="s">
        <v>45596</v>
      </c>
      <c r="C9671" t="str">
        <f>"9782760539471"</f>
        <v>9782760539471</v>
      </c>
      <c r="D9671" t="str">
        <f>"9782760539488"</f>
        <v>9782760539488</v>
      </c>
      <c r="E9671" t="s">
        <v>33376</v>
      </c>
      <c r="F9671" t="s">
        <v>43423</v>
      </c>
      <c r="G9671" s="1">
        <v>36526</v>
      </c>
      <c r="I9671" t="s">
        <v>45597</v>
      </c>
      <c r="J9671" t="s">
        <v>45598</v>
      </c>
      <c r="K9671" t="s">
        <v>263</v>
      </c>
      <c r="M9671" t="s">
        <v>24927</v>
      </c>
      <c r="O9671" t="s">
        <v>94</v>
      </c>
      <c r="P9671">
        <v>42.99</v>
      </c>
      <c r="Q9671">
        <v>53.74</v>
      </c>
      <c r="R9671">
        <v>42.99</v>
      </c>
      <c r="S9671">
        <v>64.489999999999995</v>
      </c>
      <c r="T9671" t="s">
        <v>45599</v>
      </c>
    </row>
    <row r="9672" spans="1:20">
      <c r="A9672">
        <v>4796990</v>
      </c>
      <c r="B9672" t="s">
        <v>45600</v>
      </c>
      <c r="C9672" t="str">
        <f>"9782760539501"</f>
        <v>9782760539501</v>
      </c>
      <c r="D9672" t="str">
        <f>"9782760539518"</f>
        <v>9782760539518</v>
      </c>
      <c r="E9672" t="s">
        <v>33376</v>
      </c>
      <c r="F9672" t="s">
        <v>43423</v>
      </c>
      <c r="G9672" s="1">
        <v>36526</v>
      </c>
      <c r="J9672" t="s">
        <v>45601</v>
      </c>
      <c r="K9672" t="s">
        <v>179</v>
      </c>
      <c r="M9672">
        <v>577.20000000000005</v>
      </c>
      <c r="O9672" t="s">
        <v>94</v>
      </c>
      <c r="P9672">
        <v>21.99</v>
      </c>
      <c r="Q9672">
        <v>27.49</v>
      </c>
      <c r="R9672">
        <v>21.99</v>
      </c>
      <c r="S9672">
        <v>32.99</v>
      </c>
      <c r="T9672" t="s">
        <v>45602</v>
      </c>
    </row>
    <row r="9673" spans="1:20">
      <c r="A9673">
        <v>4796991</v>
      </c>
      <c r="B9673" t="s">
        <v>45603</v>
      </c>
      <c r="C9673" t="str">
        <f>"9782760539525"</f>
        <v>9782760539525</v>
      </c>
      <c r="D9673" t="str">
        <f>"9782760539532"</f>
        <v>9782760539532</v>
      </c>
      <c r="E9673" t="s">
        <v>33376</v>
      </c>
      <c r="F9673" t="s">
        <v>43423</v>
      </c>
      <c r="G9673" s="1">
        <v>36526</v>
      </c>
      <c r="J9673" t="s">
        <v>45604</v>
      </c>
      <c r="K9673" t="s">
        <v>31967</v>
      </c>
      <c r="M9673" t="s">
        <v>45605</v>
      </c>
      <c r="O9673" t="s">
        <v>94</v>
      </c>
      <c r="P9673">
        <v>33.99</v>
      </c>
      <c r="Q9673">
        <v>42.49</v>
      </c>
      <c r="R9673">
        <v>33.99</v>
      </c>
      <c r="S9673">
        <v>50.99</v>
      </c>
      <c r="T9673" t="s">
        <v>45606</v>
      </c>
    </row>
    <row r="9674" spans="1:20">
      <c r="A9674">
        <v>4796992</v>
      </c>
      <c r="B9674" t="s">
        <v>45607</v>
      </c>
      <c r="C9674" t="str">
        <f>"9782760539556"</f>
        <v>9782760539556</v>
      </c>
      <c r="D9674" t="str">
        <f>"9782760539563"</f>
        <v>9782760539563</v>
      </c>
      <c r="E9674" t="s">
        <v>33376</v>
      </c>
      <c r="F9674" t="s">
        <v>43423</v>
      </c>
      <c r="G9674" s="1">
        <v>36526</v>
      </c>
      <c r="J9674" t="s">
        <v>45608</v>
      </c>
      <c r="K9674" t="s">
        <v>10956</v>
      </c>
      <c r="M9674" t="s">
        <v>45609</v>
      </c>
      <c r="O9674" t="s">
        <v>94</v>
      </c>
      <c r="P9674">
        <v>15.99</v>
      </c>
      <c r="Q9674">
        <v>19.989999999999998</v>
      </c>
      <c r="R9674">
        <v>15.99</v>
      </c>
      <c r="S9674">
        <v>23.99</v>
      </c>
      <c r="T9674" t="s">
        <v>45610</v>
      </c>
    </row>
    <row r="9675" spans="1:20">
      <c r="A9675">
        <v>4796994</v>
      </c>
      <c r="B9675" t="s">
        <v>45611</v>
      </c>
      <c r="C9675" t="str">
        <f>"9782760539631"</f>
        <v>9782760539631</v>
      </c>
      <c r="D9675" t="str">
        <f>"9782760539648"</f>
        <v>9782760539648</v>
      </c>
      <c r="E9675" t="s">
        <v>33376</v>
      </c>
      <c r="F9675" t="s">
        <v>43423</v>
      </c>
      <c r="G9675" s="1">
        <v>36526</v>
      </c>
      <c r="I9675" t="s">
        <v>33244</v>
      </c>
      <c r="J9675" t="s">
        <v>45612</v>
      </c>
      <c r="K9675" t="s">
        <v>263</v>
      </c>
      <c r="M9675">
        <v>306.30971399999999</v>
      </c>
      <c r="O9675" t="s">
        <v>94</v>
      </c>
      <c r="P9675">
        <v>35.99</v>
      </c>
      <c r="Q9675">
        <v>44.99</v>
      </c>
      <c r="R9675">
        <v>35.99</v>
      </c>
      <c r="S9675">
        <v>53.99</v>
      </c>
      <c r="T9675" t="s">
        <v>45613</v>
      </c>
    </row>
    <row r="9676" spans="1:20">
      <c r="A9676">
        <v>4796995</v>
      </c>
      <c r="B9676" t="s">
        <v>45614</v>
      </c>
      <c r="C9676" t="str">
        <f>"9782760539686"</f>
        <v>9782760539686</v>
      </c>
      <c r="D9676" t="str">
        <f>"9782760539693"</f>
        <v>9782760539693</v>
      </c>
      <c r="E9676" t="s">
        <v>33376</v>
      </c>
      <c r="F9676" t="s">
        <v>43423</v>
      </c>
      <c r="G9676" s="1">
        <v>36526</v>
      </c>
      <c r="J9676" t="s">
        <v>45615</v>
      </c>
      <c r="K9676" t="s">
        <v>2260</v>
      </c>
      <c r="M9676" t="s">
        <v>45616</v>
      </c>
      <c r="O9676" t="s">
        <v>94</v>
      </c>
      <c r="P9676">
        <v>14.99</v>
      </c>
      <c r="Q9676">
        <v>18.739999999999998</v>
      </c>
      <c r="R9676">
        <v>14.99</v>
      </c>
      <c r="S9676">
        <v>22.49</v>
      </c>
      <c r="T9676" t="s">
        <v>45617</v>
      </c>
    </row>
    <row r="9677" spans="1:20">
      <c r="A9677">
        <v>4796996</v>
      </c>
      <c r="B9677" t="s">
        <v>45618</v>
      </c>
      <c r="C9677" t="str">
        <f>"9782760539662"</f>
        <v>9782760539662</v>
      </c>
      <c r="D9677" t="str">
        <f>"9782760539679"</f>
        <v>9782760539679</v>
      </c>
      <c r="E9677" t="s">
        <v>33376</v>
      </c>
      <c r="F9677" t="s">
        <v>43423</v>
      </c>
      <c r="G9677" s="1">
        <v>36526</v>
      </c>
      <c r="H9677">
        <v>3</v>
      </c>
      <c r="J9677" t="s">
        <v>45619</v>
      </c>
      <c r="K9677" t="s">
        <v>50</v>
      </c>
      <c r="M9677" t="s">
        <v>45620</v>
      </c>
      <c r="O9677" t="s">
        <v>94</v>
      </c>
      <c r="P9677">
        <v>70.989999999999995</v>
      </c>
      <c r="Q9677">
        <v>88.74</v>
      </c>
      <c r="R9677">
        <v>70.989999999999995</v>
      </c>
      <c r="S9677">
        <v>106.49</v>
      </c>
      <c r="T9677" t="s">
        <v>45621</v>
      </c>
    </row>
    <row r="9678" spans="1:20">
      <c r="A9678">
        <v>4796998</v>
      </c>
      <c r="B9678" t="s">
        <v>45622</v>
      </c>
      <c r="C9678" t="str">
        <f>"9782760539723"</f>
        <v>9782760539723</v>
      </c>
      <c r="D9678" t="str">
        <f>"9782760539730"</f>
        <v>9782760539730</v>
      </c>
      <c r="E9678" t="s">
        <v>33376</v>
      </c>
      <c r="F9678" t="s">
        <v>43423</v>
      </c>
      <c r="G9678" s="1">
        <v>36526</v>
      </c>
      <c r="J9678" t="s">
        <v>43569</v>
      </c>
      <c r="K9678" t="s">
        <v>467</v>
      </c>
      <c r="M9678">
        <v>351.714</v>
      </c>
      <c r="O9678" t="s">
        <v>94</v>
      </c>
      <c r="P9678">
        <v>40.99</v>
      </c>
      <c r="Q9678">
        <v>51.24</v>
      </c>
      <c r="R9678">
        <v>40.99</v>
      </c>
      <c r="S9678">
        <v>61.49</v>
      </c>
      <c r="T9678" t="s">
        <v>45623</v>
      </c>
    </row>
    <row r="9679" spans="1:20">
      <c r="A9679">
        <v>4796999</v>
      </c>
      <c r="B9679" t="s">
        <v>45624</v>
      </c>
      <c r="C9679" t="str">
        <f>"9782760539754"</f>
        <v>9782760539754</v>
      </c>
      <c r="D9679" t="str">
        <f>"9782760539761"</f>
        <v>9782760539761</v>
      </c>
      <c r="E9679" t="s">
        <v>33376</v>
      </c>
      <c r="F9679" t="s">
        <v>43423</v>
      </c>
      <c r="G9679" s="1">
        <v>36526</v>
      </c>
      <c r="I9679" t="s">
        <v>33190</v>
      </c>
      <c r="J9679" t="s">
        <v>43668</v>
      </c>
      <c r="K9679" t="s">
        <v>263</v>
      </c>
      <c r="M9679" t="s">
        <v>45625</v>
      </c>
      <c r="O9679" t="s">
        <v>94</v>
      </c>
      <c r="P9679">
        <v>14.99</v>
      </c>
      <c r="Q9679">
        <v>18.739999999999998</v>
      </c>
      <c r="R9679">
        <v>14.99</v>
      </c>
      <c r="S9679">
        <v>22.49</v>
      </c>
      <c r="T9679" t="s">
        <v>45626</v>
      </c>
    </row>
    <row r="9680" spans="1:20">
      <c r="A9680">
        <v>4797000</v>
      </c>
      <c r="B9680" t="s">
        <v>45627</v>
      </c>
      <c r="C9680" t="str">
        <f>"9782760539785"</f>
        <v>9782760539785</v>
      </c>
      <c r="D9680" t="str">
        <f>"9782760539792"</f>
        <v>9782760539792</v>
      </c>
      <c r="E9680" t="s">
        <v>33376</v>
      </c>
      <c r="F9680" t="s">
        <v>43423</v>
      </c>
      <c r="G9680" s="1">
        <v>36526</v>
      </c>
      <c r="I9680" t="s">
        <v>33299</v>
      </c>
      <c r="J9680" t="s">
        <v>45628</v>
      </c>
      <c r="K9680" t="s">
        <v>330</v>
      </c>
      <c r="M9680" t="s">
        <v>24681</v>
      </c>
      <c r="O9680" t="s">
        <v>94</v>
      </c>
      <c r="P9680">
        <v>21.99</v>
      </c>
      <c r="Q9680">
        <v>27.49</v>
      </c>
      <c r="R9680">
        <v>21.99</v>
      </c>
      <c r="S9680">
        <v>32.99</v>
      </c>
      <c r="T9680" t="s">
        <v>45629</v>
      </c>
    </row>
    <row r="9681" spans="1:20">
      <c r="A9681">
        <v>4797001</v>
      </c>
      <c r="B9681" t="s">
        <v>45630</v>
      </c>
      <c r="C9681" t="str">
        <f>"9782760539815"</f>
        <v>9782760539815</v>
      </c>
      <c r="D9681" t="str">
        <f>"9782760539822"</f>
        <v>9782760539822</v>
      </c>
      <c r="E9681" t="s">
        <v>33376</v>
      </c>
      <c r="F9681" t="s">
        <v>43423</v>
      </c>
      <c r="G9681" s="1">
        <v>36526</v>
      </c>
      <c r="I9681" t="s">
        <v>45631</v>
      </c>
      <c r="J9681" t="s">
        <v>45632</v>
      </c>
      <c r="K9681" t="s">
        <v>305</v>
      </c>
      <c r="M9681" t="s">
        <v>45633</v>
      </c>
      <c r="O9681" t="s">
        <v>94</v>
      </c>
      <c r="P9681">
        <v>20.99</v>
      </c>
      <c r="Q9681">
        <v>26.24</v>
      </c>
      <c r="R9681">
        <v>20.99</v>
      </c>
      <c r="S9681">
        <v>31.49</v>
      </c>
      <c r="T9681" t="s">
        <v>45634</v>
      </c>
    </row>
    <row r="9682" spans="1:20">
      <c r="A9682">
        <v>4797002</v>
      </c>
      <c r="B9682" t="s">
        <v>45635</v>
      </c>
      <c r="C9682" t="str">
        <f>"9782760539877"</f>
        <v>9782760539877</v>
      </c>
      <c r="D9682" t="str">
        <f>"9782760539884"</f>
        <v>9782760539884</v>
      </c>
      <c r="E9682" t="s">
        <v>33376</v>
      </c>
      <c r="F9682" t="s">
        <v>43423</v>
      </c>
      <c r="G9682" s="1">
        <v>36526</v>
      </c>
      <c r="J9682" t="s">
        <v>45636</v>
      </c>
      <c r="K9682" t="s">
        <v>416</v>
      </c>
      <c r="M9682" t="s">
        <v>45637</v>
      </c>
      <c r="O9682" t="s">
        <v>94</v>
      </c>
      <c r="P9682">
        <v>18.989999999999998</v>
      </c>
      <c r="Q9682">
        <v>23.74</v>
      </c>
      <c r="R9682">
        <v>18.989999999999998</v>
      </c>
      <c r="S9682">
        <v>28.49</v>
      </c>
      <c r="T9682" t="s">
        <v>45638</v>
      </c>
    </row>
    <row r="9683" spans="1:20">
      <c r="A9683">
        <v>4797003</v>
      </c>
      <c r="B9683" t="s">
        <v>45639</v>
      </c>
      <c r="C9683" t="str">
        <f>"9782760539891"</f>
        <v>9782760539891</v>
      </c>
      <c r="D9683" t="str">
        <f>"9782760539907"</f>
        <v>9782760539907</v>
      </c>
      <c r="E9683" t="s">
        <v>33376</v>
      </c>
      <c r="F9683" t="s">
        <v>43423</v>
      </c>
      <c r="G9683" s="1">
        <v>36526</v>
      </c>
      <c r="J9683" t="s">
        <v>45640</v>
      </c>
      <c r="K9683" t="s">
        <v>257</v>
      </c>
      <c r="M9683">
        <v>371.07</v>
      </c>
      <c r="O9683" t="s">
        <v>94</v>
      </c>
      <c r="P9683">
        <v>21.99</v>
      </c>
      <c r="Q9683">
        <v>27.49</v>
      </c>
      <c r="R9683">
        <v>21.99</v>
      </c>
      <c r="S9683">
        <v>32.99</v>
      </c>
      <c r="T9683" t="s">
        <v>45641</v>
      </c>
    </row>
    <row r="9684" spans="1:20">
      <c r="A9684">
        <v>4797004</v>
      </c>
      <c r="B9684" t="s">
        <v>45642</v>
      </c>
      <c r="C9684" t="str">
        <f>"9782760539983"</f>
        <v>9782760539983</v>
      </c>
      <c r="D9684" t="str">
        <f>"9782760539990"</f>
        <v>9782760539990</v>
      </c>
      <c r="E9684" t="s">
        <v>33376</v>
      </c>
      <c r="F9684" t="s">
        <v>43423</v>
      </c>
      <c r="G9684" s="1">
        <v>36526</v>
      </c>
      <c r="I9684" t="s">
        <v>33475</v>
      </c>
      <c r="J9684" t="s">
        <v>43585</v>
      </c>
      <c r="K9684" t="s">
        <v>10860</v>
      </c>
      <c r="M9684" t="s">
        <v>43586</v>
      </c>
      <c r="O9684" t="s">
        <v>94</v>
      </c>
      <c r="P9684">
        <v>24.99</v>
      </c>
      <c r="Q9684">
        <v>31.24</v>
      </c>
      <c r="R9684">
        <v>24.99</v>
      </c>
      <c r="S9684">
        <v>37.49</v>
      </c>
      <c r="T9684" t="s">
        <v>45643</v>
      </c>
    </row>
    <row r="9685" spans="1:20">
      <c r="A9685">
        <v>4797005</v>
      </c>
      <c r="B9685" t="s">
        <v>45644</v>
      </c>
      <c r="C9685" t="str">
        <f>"9782760540019"</f>
        <v>9782760540019</v>
      </c>
      <c r="D9685" t="str">
        <f>"9782760540026"</f>
        <v>9782760540026</v>
      </c>
      <c r="E9685" t="s">
        <v>33376</v>
      </c>
      <c r="F9685" t="s">
        <v>43423</v>
      </c>
      <c r="G9685" s="1">
        <v>36526</v>
      </c>
      <c r="H9685">
        <v>2</v>
      </c>
      <c r="J9685" t="s">
        <v>45645</v>
      </c>
      <c r="K9685" t="s">
        <v>525</v>
      </c>
      <c r="M9685" t="s">
        <v>45646</v>
      </c>
      <c r="O9685" t="s">
        <v>94</v>
      </c>
      <c r="P9685">
        <v>33.99</v>
      </c>
      <c r="Q9685">
        <v>42.49</v>
      </c>
      <c r="R9685">
        <v>33.99</v>
      </c>
      <c r="S9685">
        <v>50.99</v>
      </c>
      <c r="T9685" t="s">
        <v>45647</v>
      </c>
    </row>
    <row r="9686" spans="1:20">
      <c r="A9686">
        <v>4797006</v>
      </c>
      <c r="B9686" t="s">
        <v>45648</v>
      </c>
      <c r="C9686" t="str">
        <f>"9782760540309"</f>
        <v>9782760540309</v>
      </c>
      <c r="D9686" t="str">
        <f>"9782760540316"</f>
        <v>9782760540316</v>
      </c>
      <c r="E9686" t="s">
        <v>33376</v>
      </c>
      <c r="F9686" t="s">
        <v>43423</v>
      </c>
      <c r="G9686" s="1">
        <v>36526</v>
      </c>
      <c r="J9686" t="s">
        <v>44926</v>
      </c>
      <c r="K9686" t="s">
        <v>1709</v>
      </c>
      <c r="M9686">
        <v>647.95092</v>
      </c>
      <c r="O9686" t="s">
        <v>94</v>
      </c>
      <c r="P9686">
        <v>17.989999999999998</v>
      </c>
      <c r="Q9686">
        <v>22.49</v>
      </c>
      <c r="R9686">
        <v>17.989999999999998</v>
      </c>
      <c r="S9686">
        <v>26.99</v>
      </c>
      <c r="T9686" t="s">
        <v>45649</v>
      </c>
    </row>
    <row r="9687" spans="1:20">
      <c r="A9687">
        <v>4797007</v>
      </c>
      <c r="B9687" t="s">
        <v>45650</v>
      </c>
      <c r="C9687" t="str">
        <f>"9782760540330"</f>
        <v>9782760540330</v>
      </c>
      <c r="D9687" t="str">
        <f>"9782760540347"</f>
        <v>9782760540347</v>
      </c>
      <c r="E9687" t="s">
        <v>33376</v>
      </c>
      <c r="F9687" t="s">
        <v>43423</v>
      </c>
      <c r="G9687" s="1">
        <v>36526</v>
      </c>
      <c r="I9687" t="s">
        <v>45591</v>
      </c>
      <c r="J9687" t="s">
        <v>44397</v>
      </c>
      <c r="K9687" t="s">
        <v>257</v>
      </c>
      <c r="M9687">
        <v>371.33</v>
      </c>
      <c r="O9687" t="s">
        <v>94</v>
      </c>
      <c r="P9687">
        <v>14.99</v>
      </c>
      <c r="Q9687">
        <v>18.739999999999998</v>
      </c>
      <c r="R9687">
        <v>14.99</v>
      </c>
      <c r="S9687">
        <v>22.49</v>
      </c>
      <c r="T9687" t="s">
        <v>45651</v>
      </c>
    </row>
    <row r="9688" spans="1:20">
      <c r="A9688">
        <v>4797009</v>
      </c>
      <c r="B9688" t="s">
        <v>45652</v>
      </c>
      <c r="C9688" t="str">
        <f>"9782763779485"</f>
        <v>9782763779485</v>
      </c>
      <c r="D9688" t="str">
        <f>"9782763702018"</f>
        <v>9782763702018</v>
      </c>
      <c r="E9688" t="s">
        <v>43877</v>
      </c>
      <c r="F9688" t="s">
        <v>43877</v>
      </c>
      <c r="G9688" s="1">
        <v>41760</v>
      </c>
      <c r="I9688" t="s">
        <v>43283</v>
      </c>
      <c r="J9688" t="s">
        <v>45653</v>
      </c>
      <c r="K9688" t="s">
        <v>291</v>
      </c>
      <c r="M9688">
        <v>971.4</v>
      </c>
      <c r="O9688" t="s">
        <v>94</v>
      </c>
      <c r="P9688">
        <v>30</v>
      </c>
      <c r="Q9688">
        <v>37.5</v>
      </c>
      <c r="R9688">
        <v>30</v>
      </c>
      <c r="S9688">
        <v>45</v>
      </c>
      <c r="T9688" t="s">
        <v>45654</v>
      </c>
    </row>
    <row r="9689" spans="1:20">
      <c r="A9689">
        <v>4797012</v>
      </c>
      <c r="B9689" t="s">
        <v>45655</v>
      </c>
      <c r="C9689" t="str">
        <f>"9782763777917"</f>
        <v>9782763777917</v>
      </c>
      <c r="D9689" t="str">
        <f>"9782763702049"</f>
        <v>9782763702049</v>
      </c>
      <c r="E9689" t="s">
        <v>43877</v>
      </c>
      <c r="F9689" t="s">
        <v>43877</v>
      </c>
      <c r="G9689" s="1">
        <v>41760</v>
      </c>
      <c r="I9689" t="s">
        <v>43283</v>
      </c>
      <c r="J9689" t="s">
        <v>45656</v>
      </c>
      <c r="K9689" t="s">
        <v>291</v>
      </c>
      <c r="M9689">
        <v>971.01880000000006</v>
      </c>
      <c r="O9689" t="s">
        <v>94</v>
      </c>
      <c r="P9689">
        <v>25</v>
      </c>
      <c r="Q9689">
        <v>31.25</v>
      </c>
      <c r="R9689">
        <v>25</v>
      </c>
      <c r="S9689">
        <v>37.5</v>
      </c>
      <c r="T9689" t="s">
        <v>45657</v>
      </c>
    </row>
    <row r="9690" spans="1:20">
      <c r="A9690">
        <v>4797015</v>
      </c>
      <c r="B9690" t="s">
        <v>45658</v>
      </c>
      <c r="C9690" t="str">
        <f>"9782763782393"</f>
        <v>9782763782393</v>
      </c>
      <c r="D9690" t="str">
        <f>"9782763702070"</f>
        <v>9782763702070</v>
      </c>
      <c r="E9690" t="s">
        <v>43877</v>
      </c>
      <c r="F9690" t="s">
        <v>43877</v>
      </c>
      <c r="G9690" s="1">
        <v>41760</v>
      </c>
      <c r="I9690" t="s">
        <v>43283</v>
      </c>
      <c r="J9690" t="s">
        <v>45273</v>
      </c>
      <c r="K9690" t="s">
        <v>467</v>
      </c>
      <c r="M9690">
        <v>320.08199999999999</v>
      </c>
      <c r="O9690" t="s">
        <v>94</v>
      </c>
      <c r="P9690">
        <v>28</v>
      </c>
      <c r="Q9690">
        <v>35</v>
      </c>
      <c r="R9690">
        <v>28</v>
      </c>
      <c r="S9690">
        <v>42</v>
      </c>
      <c r="T9690" t="s">
        <v>45659</v>
      </c>
    </row>
    <row r="9691" spans="1:20">
      <c r="A9691">
        <v>4797023</v>
      </c>
      <c r="B9691" t="s">
        <v>45660</v>
      </c>
      <c r="C9691" t="str">
        <f>"9782763783611"</f>
        <v>9782763783611</v>
      </c>
      <c r="D9691" t="str">
        <f>"9782763702162"</f>
        <v>9782763702162</v>
      </c>
      <c r="E9691" t="s">
        <v>43877</v>
      </c>
      <c r="F9691" t="s">
        <v>43877</v>
      </c>
      <c r="G9691" s="1">
        <v>41759</v>
      </c>
      <c r="I9691" t="s">
        <v>43283</v>
      </c>
      <c r="J9691" t="s">
        <v>43287</v>
      </c>
      <c r="K9691" t="s">
        <v>1892</v>
      </c>
      <c r="M9691">
        <v>282</v>
      </c>
      <c r="O9691" t="s">
        <v>94</v>
      </c>
      <c r="P9691">
        <v>25</v>
      </c>
      <c r="Q9691">
        <v>31.25</v>
      </c>
      <c r="R9691">
        <v>25</v>
      </c>
      <c r="S9691">
        <v>37.5</v>
      </c>
      <c r="T9691" t="s">
        <v>45661</v>
      </c>
    </row>
    <row r="9692" spans="1:20">
      <c r="A9692">
        <v>4797026</v>
      </c>
      <c r="B9692" t="s">
        <v>45662</v>
      </c>
      <c r="C9692" t="str">
        <f>"9782763784274"</f>
        <v>9782763784274</v>
      </c>
      <c r="D9692" t="str">
        <f>"9782763702193"</f>
        <v>9782763702193</v>
      </c>
      <c r="E9692" t="s">
        <v>43877</v>
      </c>
      <c r="F9692" t="s">
        <v>43877</v>
      </c>
      <c r="G9692" s="1">
        <v>41759</v>
      </c>
      <c r="I9692" t="s">
        <v>44037</v>
      </c>
      <c r="J9692" t="s">
        <v>45663</v>
      </c>
      <c r="K9692" t="s">
        <v>291</v>
      </c>
      <c r="M9692">
        <v>970.00496999999996</v>
      </c>
      <c r="O9692" t="s">
        <v>94</v>
      </c>
      <c r="P9692">
        <v>30</v>
      </c>
      <c r="Q9692">
        <v>37.5</v>
      </c>
      <c r="R9692">
        <v>30</v>
      </c>
      <c r="S9692">
        <v>45</v>
      </c>
      <c r="T9692" t="s">
        <v>45664</v>
      </c>
    </row>
    <row r="9693" spans="1:20">
      <c r="A9693">
        <v>4797028</v>
      </c>
      <c r="B9693" t="s">
        <v>45665</v>
      </c>
      <c r="C9693" t="str">
        <f>"9782763784724"</f>
        <v>9782763784724</v>
      </c>
      <c r="D9693" t="str">
        <f>"9782763702216"</f>
        <v>9782763702216</v>
      </c>
      <c r="E9693" t="s">
        <v>43877</v>
      </c>
      <c r="F9693" t="s">
        <v>43877</v>
      </c>
      <c r="G9693" s="1">
        <v>41760</v>
      </c>
      <c r="I9693" t="s">
        <v>43283</v>
      </c>
      <c r="J9693" t="s">
        <v>45666</v>
      </c>
      <c r="K9693" t="s">
        <v>4081</v>
      </c>
      <c r="M9693">
        <v>442</v>
      </c>
      <c r="O9693" t="s">
        <v>94</v>
      </c>
      <c r="P9693">
        <v>25</v>
      </c>
      <c r="Q9693">
        <v>31.25</v>
      </c>
      <c r="R9693">
        <v>25</v>
      </c>
      <c r="S9693">
        <v>37.5</v>
      </c>
      <c r="T9693" t="s">
        <v>45667</v>
      </c>
    </row>
    <row r="9694" spans="1:20">
      <c r="A9694">
        <v>4797032</v>
      </c>
      <c r="B9694" t="s">
        <v>45668</v>
      </c>
      <c r="C9694" t="str">
        <f>"9782763784052"</f>
        <v>9782763784052</v>
      </c>
      <c r="D9694" t="str">
        <f>"9782763702261"</f>
        <v>9782763702261</v>
      </c>
      <c r="E9694" t="s">
        <v>43877</v>
      </c>
      <c r="F9694" t="s">
        <v>43877</v>
      </c>
      <c r="G9694" s="1">
        <v>41760</v>
      </c>
      <c r="I9694" t="s">
        <v>44217</v>
      </c>
      <c r="J9694" t="s">
        <v>45669</v>
      </c>
      <c r="K9694" t="s">
        <v>1859</v>
      </c>
      <c r="M9694">
        <v>160</v>
      </c>
      <c r="O9694" t="s">
        <v>94</v>
      </c>
      <c r="P9694">
        <v>69</v>
      </c>
      <c r="Q9694">
        <v>86.25</v>
      </c>
      <c r="R9694">
        <v>69</v>
      </c>
      <c r="S9694">
        <v>103.5</v>
      </c>
      <c r="T9694" t="s">
        <v>45670</v>
      </c>
    </row>
    <row r="9695" spans="1:20">
      <c r="A9695">
        <v>4797034</v>
      </c>
      <c r="B9695" t="s">
        <v>45671</v>
      </c>
      <c r="C9695" t="str">
        <f>"9782763784632"</f>
        <v>9782763784632</v>
      </c>
      <c r="D9695" t="str">
        <f>"9782763702285"</f>
        <v>9782763702285</v>
      </c>
      <c r="E9695" t="s">
        <v>43877</v>
      </c>
      <c r="F9695" t="s">
        <v>43877</v>
      </c>
      <c r="G9695" s="1">
        <v>41759</v>
      </c>
      <c r="I9695" t="s">
        <v>44255</v>
      </c>
      <c r="J9695" t="s">
        <v>44275</v>
      </c>
      <c r="K9695" t="s">
        <v>291</v>
      </c>
      <c r="M9695" t="s">
        <v>45672</v>
      </c>
      <c r="O9695" t="s">
        <v>94</v>
      </c>
      <c r="P9695">
        <v>30</v>
      </c>
      <c r="Q9695">
        <v>37.5</v>
      </c>
      <c r="R9695">
        <v>30</v>
      </c>
      <c r="S9695">
        <v>45</v>
      </c>
      <c r="T9695" t="s">
        <v>45673</v>
      </c>
    </row>
    <row r="9696" spans="1:20">
      <c r="A9696">
        <v>4797036</v>
      </c>
      <c r="B9696" t="s">
        <v>45674</v>
      </c>
      <c r="C9696" t="str">
        <f>"9782763784656"</f>
        <v>9782763784656</v>
      </c>
      <c r="D9696" t="str">
        <f>"9782763702308"</f>
        <v>9782763702308</v>
      </c>
      <c r="E9696" t="s">
        <v>43877</v>
      </c>
      <c r="F9696" t="s">
        <v>43877</v>
      </c>
      <c r="G9696" s="1">
        <v>41760</v>
      </c>
      <c r="I9696" t="s">
        <v>43283</v>
      </c>
      <c r="J9696" t="s">
        <v>45286</v>
      </c>
      <c r="K9696" t="s">
        <v>291</v>
      </c>
      <c r="M9696">
        <v>971.05600000000004</v>
      </c>
      <c r="O9696" t="s">
        <v>94</v>
      </c>
      <c r="P9696">
        <v>40</v>
      </c>
      <c r="Q9696">
        <v>50</v>
      </c>
      <c r="R9696">
        <v>40</v>
      </c>
      <c r="S9696">
        <v>60</v>
      </c>
      <c r="T9696" t="s">
        <v>45675</v>
      </c>
    </row>
    <row r="9697" spans="1:20">
      <c r="A9697">
        <v>4797037</v>
      </c>
      <c r="B9697" t="s">
        <v>45676</v>
      </c>
      <c r="C9697" t="str">
        <f>"9782763784809"</f>
        <v>9782763784809</v>
      </c>
      <c r="D9697" t="str">
        <f>"9782763702315"</f>
        <v>9782763702315</v>
      </c>
      <c r="E9697" t="s">
        <v>43877</v>
      </c>
      <c r="F9697" t="s">
        <v>43877</v>
      </c>
      <c r="G9697" s="1">
        <v>41759</v>
      </c>
      <c r="I9697" t="s">
        <v>43283</v>
      </c>
      <c r="J9697" t="s">
        <v>45677</v>
      </c>
      <c r="K9697" t="s">
        <v>291</v>
      </c>
      <c r="M9697">
        <v>971.40049732</v>
      </c>
      <c r="O9697" t="s">
        <v>94</v>
      </c>
      <c r="P9697">
        <v>40</v>
      </c>
      <c r="Q9697">
        <v>50</v>
      </c>
      <c r="R9697">
        <v>40</v>
      </c>
      <c r="S9697">
        <v>60</v>
      </c>
      <c r="T9697" t="s">
        <v>45678</v>
      </c>
    </row>
    <row r="9698" spans="1:20">
      <c r="A9698">
        <v>4797038</v>
      </c>
      <c r="B9698" t="s">
        <v>45679</v>
      </c>
      <c r="C9698" t="str">
        <f>"9782763784908"</f>
        <v>9782763784908</v>
      </c>
      <c r="D9698" t="str">
        <f>"9782763702322"</f>
        <v>9782763702322</v>
      </c>
      <c r="E9698" t="s">
        <v>43877</v>
      </c>
      <c r="F9698" t="s">
        <v>43877</v>
      </c>
      <c r="G9698" s="1">
        <v>41759</v>
      </c>
      <c r="I9698" t="s">
        <v>43283</v>
      </c>
      <c r="J9698" t="s">
        <v>45680</v>
      </c>
      <c r="K9698" t="s">
        <v>1464</v>
      </c>
      <c r="M9698">
        <v>809.93370000000004</v>
      </c>
      <c r="O9698" t="s">
        <v>94</v>
      </c>
      <c r="P9698">
        <v>30</v>
      </c>
      <c r="Q9698">
        <v>37.5</v>
      </c>
      <c r="R9698">
        <v>30</v>
      </c>
      <c r="S9698">
        <v>45</v>
      </c>
      <c r="T9698" t="s">
        <v>45681</v>
      </c>
    </row>
    <row r="9699" spans="1:20">
      <c r="A9699">
        <v>4797040</v>
      </c>
      <c r="B9699" t="s">
        <v>45682</v>
      </c>
      <c r="C9699" t="str">
        <f>"9782763785011"</f>
        <v>9782763785011</v>
      </c>
      <c r="D9699" t="str">
        <f>"9782763702353"</f>
        <v>9782763702353</v>
      </c>
      <c r="E9699" t="s">
        <v>43877</v>
      </c>
      <c r="F9699" t="s">
        <v>43877</v>
      </c>
      <c r="G9699" s="1">
        <v>41759</v>
      </c>
      <c r="I9699" t="s">
        <v>43283</v>
      </c>
      <c r="J9699" t="s">
        <v>45683</v>
      </c>
      <c r="K9699" t="s">
        <v>291</v>
      </c>
      <c r="M9699">
        <v>971.2</v>
      </c>
      <c r="O9699" t="s">
        <v>94</v>
      </c>
      <c r="P9699">
        <v>40</v>
      </c>
      <c r="Q9699">
        <v>50</v>
      </c>
      <c r="R9699">
        <v>40</v>
      </c>
      <c r="S9699">
        <v>60</v>
      </c>
      <c r="T9699" t="s">
        <v>45684</v>
      </c>
    </row>
    <row r="9700" spans="1:20">
      <c r="A9700">
        <v>4797044</v>
      </c>
      <c r="B9700" t="s">
        <v>45685</v>
      </c>
      <c r="C9700" t="str">
        <f>"9782763785387"</f>
        <v>9782763785387</v>
      </c>
      <c r="D9700" t="str">
        <f>"9782763702384"</f>
        <v>9782763702384</v>
      </c>
      <c r="E9700" t="s">
        <v>43877</v>
      </c>
      <c r="F9700" t="s">
        <v>43877</v>
      </c>
      <c r="G9700" s="1">
        <v>41759</v>
      </c>
      <c r="I9700" t="s">
        <v>45686</v>
      </c>
      <c r="J9700" t="s">
        <v>45687</v>
      </c>
      <c r="K9700" t="s">
        <v>1063</v>
      </c>
      <c r="M9700">
        <v>333.91009000000003</v>
      </c>
      <c r="O9700" t="s">
        <v>26</v>
      </c>
      <c r="P9700">
        <v>60</v>
      </c>
      <c r="Q9700">
        <v>75</v>
      </c>
      <c r="R9700">
        <v>60</v>
      </c>
      <c r="S9700">
        <v>90</v>
      </c>
      <c r="T9700" t="s">
        <v>45688</v>
      </c>
    </row>
    <row r="9701" spans="1:20">
      <c r="A9701">
        <v>4797046</v>
      </c>
      <c r="B9701" t="s">
        <v>45689</v>
      </c>
      <c r="C9701" t="str">
        <f>"9782763786032"</f>
        <v>9782763786032</v>
      </c>
      <c r="D9701" t="str">
        <f>"9782763702414"</f>
        <v>9782763702414</v>
      </c>
      <c r="E9701" t="s">
        <v>43877</v>
      </c>
      <c r="F9701" t="s">
        <v>43877</v>
      </c>
      <c r="G9701" s="1">
        <v>36526</v>
      </c>
      <c r="J9701" t="s">
        <v>45690</v>
      </c>
      <c r="K9701" t="s">
        <v>467</v>
      </c>
      <c r="M9701" t="s">
        <v>18609</v>
      </c>
      <c r="O9701" t="s">
        <v>94</v>
      </c>
      <c r="P9701">
        <v>35</v>
      </c>
      <c r="Q9701">
        <v>43.75</v>
      </c>
      <c r="R9701">
        <v>35</v>
      </c>
      <c r="S9701">
        <v>52.5</v>
      </c>
      <c r="T9701" t="s">
        <v>45691</v>
      </c>
    </row>
    <row r="9702" spans="1:20">
      <c r="A9702">
        <v>4797048</v>
      </c>
      <c r="B9702" t="s">
        <v>45692</v>
      </c>
      <c r="C9702" t="str">
        <f>"9782763786278"</f>
        <v>9782763786278</v>
      </c>
      <c r="D9702" t="str">
        <f>"9782763702438"</f>
        <v>9782763702438</v>
      </c>
      <c r="E9702" t="s">
        <v>43877</v>
      </c>
      <c r="F9702" t="s">
        <v>43877</v>
      </c>
      <c r="G9702" s="1">
        <v>41760</v>
      </c>
      <c r="I9702" t="s">
        <v>43283</v>
      </c>
      <c r="J9702" t="s">
        <v>45693</v>
      </c>
      <c r="K9702" t="s">
        <v>1464</v>
      </c>
      <c r="M9702">
        <v>844</v>
      </c>
      <c r="O9702" t="s">
        <v>94</v>
      </c>
      <c r="P9702">
        <v>24.95</v>
      </c>
      <c r="Q9702">
        <v>31.19</v>
      </c>
      <c r="R9702">
        <v>24.95</v>
      </c>
      <c r="S9702">
        <v>37.43</v>
      </c>
      <c r="T9702" t="s">
        <v>45694</v>
      </c>
    </row>
    <row r="9703" spans="1:20">
      <c r="A9703">
        <v>4797049</v>
      </c>
      <c r="B9703" t="s">
        <v>45695</v>
      </c>
      <c r="C9703" t="str">
        <f>"9782763786308"</f>
        <v>9782763786308</v>
      </c>
      <c r="D9703" t="str">
        <f>"9782763702445"</f>
        <v>9782763702445</v>
      </c>
      <c r="E9703" t="s">
        <v>43877</v>
      </c>
      <c r="F9703" t="s">
        <v>43877</v>
      </c>
      <c r="G9703" s="1">
        <v>41760</v>
      </c>
      <c r="I9703" t="s">
        <v>43283</v>
      </c>
      <c r="J9703" t="s">
        <v>44275</v>
      </c>
      <c r="K9703" t="s">
        <v>291</v>
      </c>
      <c r="M9703">
        <v>971.404</v>
      </c>
      <c r="O9703" t="s">
        <v>94</v>
      </c>
      <c r="P9703">
        <v>25</v>
      </c>
      <c r="Q9703">
        <v>31.25</v>
      </c>
      <c r="R9703">
        <v>25</v>
      </c>
      <c r="S9703">
        <v>37.5</v>
      </c>
      <c r="T9703" t="s">
        <v>45696</v>
      </c>
    </row>
    <row r="9704" spans="1:20">
      <c r="A9704">
        <v>4797051</v>
      </c>
      <c r="B9704" t="s">
        <v>45697</v>
      </c>
      <c r="C9704" t="str">
        <f>"9782763786483"</f>
        <v>9782763786483</v>
      </c>
      <c r="D9704" t="str">
        <f>"9782763702469"</f>
        <v>9782763702469</v>
      </c>
      <c r="E9704" t="s">
        <v>43877</v>
      </c>
      <c r="F9704" t="s">
        <v>43877</v>
      </c>
      <c r="G9704" s="1">
        <v>41760</v>
      </c>
      <c r="I9704" t="s">
        <v>43283</v>
      </c>
      <c r="J9704" t="s">
        <v>45698</v>
      </c>
      <c r="K9704" t="s">
        <v>1859</v>
      </c>
      <c r="M9704">
        <v>179.7</v>
      </c>
      <c r="O9704" t="s">
        <v>94</v>
      </c>
      <c r="P9704">
        <v>19.95</v>
      </c>
      <c r="Q9704">
        <v>24.94</v>
      </c>
      <c r="R9704">
        <v>19.95</v>
      </c>
      <c r="S9704">
        <v>29.93</v>
      </c>
      <c r="T9704" t="s">
        <v>45699</v>
      </c>
    </row>
    <row r="9705" spans="1:20">
      <c r="A9705">
        <v>4797052</v>
      </c>
      <c r="B9705" t="s">
        <v>45700</v>
      </c>
      <c r="C9705" t="str">
        <f>"9782763786612"</f>
        <v>9782763786612</v>
      </c>
      <c r="D9705" t="str">
        <f>"9782763702476"</f>
        <v>9782763702476</v>
      </c>
      <c r="E9705" t="s">
        <v>43877</v>
      </c>
      <c r="F9705" t="s">
        <v>43877</v>
      </c>
      <c r="G9705" s="1">
        <v>41760</v>
      </c>
      <c r="I9705" t="s">
        <v>44197</v>
      </c>
      <c r="J9705" t="s">
        <v>45701</v>
      </c>
      <c r="K9705" t="s">
        <v>263</v>
      </c>
      <c r="M9705">
        <v>305.09714000000002</v>
      </c>
      <c r="O9705" t="s">
        <v>94</v>
      </c>
      <c r="P9705">
        <v>35</v>
      </c>
      <c r="Q9705">
        <v>43.75</v>
      </c>
      <c r="R9705">
        <v>35</v>
      </c>
      <c r="S9705">
        <v>52.5</v>
      </c>
      <c r="T9705" t="s">
        <v>45702</v>
      </c>
    </row>
    <row r="9706" spans="1:20">
      <c r="A9706">
        <v>4797053</v>
      </c>
      <c r="B9706" t="s">
        <v>45703</v>
      </c>
      <c r="C9706" t="str">
        <f>"9782763786704"</f>
        <v>9782763786704</v>
      </c>
      <c r="D9706" t="str">
        <f>"9782763702483"</f>
        <v>9782763702483</v>
      </c>
      <c r="E9706" t="s">
        <v>43877</v>
      </c>
      <c r="F9706" t="s">
        <v>43877</v>
      </c>
      <c r="G9706" s="1">
        <v>41760</v>
      </c>
      <c r="H9706">
        <v>2</v>
      </c>
      <c r="I9706" t="s">
        <v>43283</v>
      </c>
      <c r="J9706" t="s">
        <v>43296</v>
      </c>
      <c r="K9706" t="s">
        <v>467</v>
      </c>
      <c r="M9706">
        <v>324.27100000000002</v>
      </c>
      <c r="O9706" t="s">
        <v>94</v>
      </c>
      <c r="P9706">
        <v>29.95</v>
      </c>
      <c r="Q9706">
        <v>37.44</v>
      </c>
      <c r="R9706">
        <v>29.95</v>
      </c>
      <c r="S9706">
        <v>44.93</v>
      </c>
      <c r="T9706" t="s">
        <v>45704</v>
      </c>
    </row>
    <row r="9707" spans="1:20">
      <c r="A9707">
        <v>4797056</v>
      </c>
      <c r="B9707" t="s">
        <v>45705</v>
      </c>
      <c r="C9707" t="str">
        <f>"9782763787015"</f>
        <v>9782763787015</v>
      </c>
      <c r="D9707" t="str">
        <f>"9782763702513"</f>
        <v>9782763702513</v>
      </c>
      <c r="E9707" t="s">
        <v>43877</v>
      </c>
      <c r="F9707" t="s">
        <v>43877</v>
      </c>
      <c r="G9707" s="1">
        <v>41760</v>
      </c>
      <c r="I9707" t="s">
        <v>43283</v>
      </c>
      <c r="J9707" t="s">
        <v>45706</v>
      </c>
      <c r="K9707" t="s">
        <v>291</v>
      </c>
      <c r="M9707" t="s">
        <v>45707</v>
      </c>
      <c r="O9707" t="s">
        <v>94</v>
      </c>
      <c r="P9707">
        <v>29.95</v>
      </c>
      <c r="Q9707">
        <v>37.44</v>
      </c>
      <c r="R9707">
        <v>29.95</v>
      </c>
      <c r="S9707">
        <v>44.93</v>
      </c>
      <c r="T9707" t="s">
        <v>45708</v>
      </c>
    </row>
    <row r="9708" spans="1:20">
      <c r="A9708">
        <v>4797057</v>
      </c>
      <c r="B9708" t="s">
        <v>45709</v>
      </c>
      <c r="C9708" t="str">
        <f>"9782892243574"</f>
        <v>9782892243574</v>
      </c>
      <c r="D9708" t="str">
        <f>"9782763702520"</f>
        <v>9782763702520</v>
      </c>
      <c r="E9708" t="s">
        <v>43877</v>
      </c>
      <c r="F9708" t="s">
        <v>43877</v>
      </c>
      <c r="G9708" s="1">
        <v>41759</v>
      </c>
      <c r="I9708" t="s">
        <v>44269</v>
      </c>
      <c r="J9708" t="s">
        <v>45013</v>
      </c>
      <c r="K9708" t="s">
        <v>291</v>
      </c>
      <c r="M9708">
        <v>971.4</v>
      </c>
      <c r="O9708" t="s">
        <v>94</v>
      </c>
      <c r="P9708">
        <v>20</v>
      </c>
      <c r="Q9708">
        <v>25</v>
      </c>
      <c r="R9708">
        <v>20</v>
      </c>
      <c r="S9708">
        <v>30</v>
      </c>
      <c r="T9708" t="s">
        <v>45710</v>
      </c>
    </row>
    <row r="9709" spans="1:20">
      <c r="A9709">
        <v>4797059</v>
      </c>
      <c r="B9709" t="s">
        <v>45711</v>
      </c>
      <c r="C9709" t="str">
        <f>"9782892243659"</f>
        <v>9782892243659</v>
      </c>
      <c r="D9709" t="str">
        <f>"9782763702544"</f>
        <v>9782763702544</v>
      </c>
      <c r="E9709" t="s">
        <v>43877</v>
      </c>
      <c r="F9709" t="s">
        <v>45712</v>
      </c>
      <c r="G9709" s="1">
        <v>41760</v>
      </c>
      <c r="I9709" t="s">
        <v>43283</v>
      </c>
      <c r="J9709" t="s">
        <v>45713</v>
      </c>
      <c r="K9709" t="s">
        <v>291</v>
      </c>
      <c r="M9709">
        <v>971.404</v>
      </c>
      <c r="O9709" t="s">
        <v>94</v>
      </c>
      <c r="P9709">
        <v>20</v>
      </c>
      <c r="Q9709">
        <v>25</v>
      </c>
      <c r="R9709">
        <v>20</v>
      </c>
      <c r="S9709">
        <v>30</v>
      </c>
      <c r="T9709" t="s">
        <v>45714</v>
      </c>
    </row>
    <row r="9710" spans="1:20">
      <c r="A9710">
        <v>4797062</v>
      </c>
      <c r="B9710" t="s">
        <v>45715</v>
      </c>
      <c r="C9710" t="str">
        <f>"9782763720432"</f>
        <v>9782763720432</v>
      </c>
      <c r="D9710" t="str">
        <f>"9782763720449"</f>
        <v>9782763720449</v>
      </c>
      <c r="E9710" t="s">
        <v>43877</v>
      </c>
      <c r="F9710" t="s">
        <v>43877</v>
      </c>
      <c r="G9710" s="1">
        <v>41757</v>
      </c>
      <c r="I9710" t="s">
        <v>43283</v>
      </c>
      <c r="J9710" t="s">
        <v>45716</v>
      </c>
      <c r="K9710" t="s">
        <v>33662</v>
      </c>
      <c r="M9710">
        <v>612.66999999999996</v>
      </c>
      <c r="O9710" t="s">
        <v>94</v>
      </c>
      <c r="P9710">
        <v>24.95</v>
      </c>
      <c r="Q9710">
        <v>31.19</v>
      </c>
      <c r="R9710">
        <v>24.95</v>
      </c>
      <c r="S9710">
        <v>37.43</v>
      </c>
      <c r="T9710" t="s">
        <v>45717</v>
      </c>
    </row>
    <row r="9711" spans="1:20">
      <c r="A9711">
        <v>4797063</v>
      </c>
      <c r="B9711" t="s">
        <v>45718</v>
      </c>
      <c r="C9711" t="str">
        <f>"9782763720586"</f>
        <v>9782763720586</v>
      </c>
      <c r="D9711" t="str">
        <f>"9782763720593"</f>
        <v>9782763720593</v>
      </c>
      <c r="E9711" t="s">
        <v>43877</v>
      </c>
      <c r="F9711" t="s">
        <v>43877</v>
      </c>
      <c r="G9711" s="1">
        <v>41766</v>
      </c>
      <c r="I9711" t="s">
        <v>43283</v>
      </c>
      <c r="J9711" t="s">
        <v>43974</v>
      </c>
      <c r="K9711" t="s">
        <v>257</v>
      </c>
      <c r="M9711">
        <v>371.1</v>
      </c>
      <c r="O9711" t="s">
        <v>94</v>
      </c>
      <c r="P9711">
        <v>25</v>
      </c>
      <c r="Q9711">
        <v>31.25</v>
      </c>
      <c r="R9711">
        <v>25</v>
      </c>
      <c r="S9711">
        <v>37.5</v>
      </c>
      <c r="T9711" t="s">
        <v>45719</v>
      </c>
    </row>
    <row r="9712" spans="1:20">
      <c r="A9712">
        <v>4797064</v>
      </c>
      <c r="B9712" t="s">
        <v>45720</v>
      </c>
      <c r="C9712" t="str">
        <f>"9782763721309"</f>
        <v>9782763721309</v>
      </c>
      <c r="D9712" t="str">
        <f>"9782763721316"</f>
        <v>9782763721316</v>
      </c>
      <c r="E9712" t="s">
        <v>43877</v>
      </c>
      <c r="F9712" t="s">
        <v>43877</v>
      </c>
      <c r="G9712" s="1">
        <v>41757</v>
      </c>
      <c r="I9712" t="s">
        <v>43283</v>
      </c>
      <c r="J9712" t="s">
        <v>45721</v>
      </c>
      <c r="K9712" t="s">
        <v>2260</v>
      </c>
      <c r="M9712">
        <v>616.13199999999995</v>
      </c>
      <c r="O9712" t="s">
        <v>94</v>
      </c>
      <c r="P9712">
        <v>40</v>
      </c>
      <c r="Q9712">
        <v>50</v>
      </c>
      <c r="R9712">
        <v>40</v>
      </c>
      <c r="S9712">
        <v>60</v>
      </c>
      <c r="T9712" t="s">
        <v>45722</v>
      </c>
    </row>
    <row r="9713" spans="1:20">
      <c r="A9713">
        <v>4797065</v>
      </c>
      <c r="B9713" t="s">
        <v>45723</v>
      </c>
      <c r="C9713" t="str">
        <f>"9782763722382"</f>
        <v>9782763722382</v>
      </c>
      <c r="D9713" t="str">
        <f>"9782763722399"</f>
        <v>9782763722399</v>
      </c>
      <c r="E9713" t="s">
        <v>43877</v>
      </c>
      <c r="F9713" t="s">
        <v>43282</v>
      </c>
      <c r="G9713" s="1">
        <v>41788</v>
      </c>
      <c r="I9713" t="s">
        <v>43283</v>
      </c>
      <c r="J9713" t="s">
        <v>45724</v>
      </c>
      <c r="K9713" t="s">
        <v>291</v>
      </c>
      <c r="M9713">
        <v>971.404</v>
      </c>
      <c r="O9713" t="s">
        <v>94</v>
      </c>
      <c r="P9713">
        <v>24.95</v>
      </c>
      <c r="Q9713">
        <v>31.19</v>
      </c>
      <c r="R9713">
        <v>24.95</v>
      </c>
      <c r="S9713">
        <v>37.43</v>
      </c>
      <c r="T9713" t="s">
        <v>45725</v>
      </c>
    </row>
    <row r="9714" spans="1:20">
      <c r="A9714">
        <v>4797066</v>
      </c>
      <c r="B9714" t="s">
        <v>45726</v>
      </c>
      <c r="C9714" t="str">
        <f>"9782760540040"</f>
        <v>9782760540040</v>
      </c>
      <c r="D9714" t="str">
        <f>"9782760540057"</f>
        <v>9782760540057</v>
      </c>
      <c r="E9714" t="s">
        <v>33376</v>
      </c>
      <c r="F9714" t="s">
        <v>43423</v>
      </c>
      <c r="G9714" s="1">
        <v>36526</v>
      </c>
      <c r="J9714" t="s">
        <v>45727</v>
      </c>
      <c r="K9714" t="s">
        <v>25782</v>
      </c>
      <c r="M9714" t="s">
        <v>45728</v>
      </c>
      <c r="O9714" t="s">
        <v>94</v>
      </c>
      <c r="P9714">
        <v>21.99</v>
      </c>
      <c r="Q9714">
        <v>27.49</v>
      </c>
      <c r="R9714">
        <v>21.99</v>
      </c>
      <c r="S9714">
        <v>32.99</v>
      </c>
      <c r="T9714" t="s">
        <v>45729</v>
      </c>
    </row>
    <row r="9715" spans="1:20">
      <c r="A9715">
        <v>4797067</v>
      </c>
      <c r="B9715" t="s">
        <v>45730</v>
      </c>
      <c r="C9715" t="str">
        <f>"9782760540088"</f>
        <v>9782760540088</v>
      </c>
      <c r="D9715" t="str">
        <f>"9782760540095"</f>
        <v>9782760540095</v>
      </c>
      <c r="E9715" t="s">
        <v>33376</v>
      </c>
      <c r="F9715" t="s">
        <v>43423</v>
      </c>
      <c r="G9715" s="1">
        <v>36526</v>
      </c>
      <c r="J9715" t="s">
        <v>44479</v>
      </c>
      <c r="K9715" t="s">
        <v>467</v>
      </c>
      <c r="M9715">
        <v>320.97140000000002</v>
      </c>
      <c r="O9715" t="s">
        <v>94</v>
      </c>
      <c r="P9715">
        <v>36.99</v>
      </c>
      <c r="Q9715">
        <v>46.24</v>
      </c>
      <c r="R9715">
        <v>36.99</v>
      </c>
      <c r="S9715">
        <v>55.49</v>
      </c>
      <c r="T9715" t="s">
        <v>45731</v>
      </c>
    </row>
    <row r="9716" spans="1:20">
      <c r="A9716">
        <v>4797068</v>
      </c>
      <c r="B9716" t="s">
        <v>45732</v>
      </c>
      <c r="C9716" t="str">
        <f>"9782760540118"</f>
        <v>9782760540118</v>
      </c>
      <c r="D9716" t="str">
        <f>"9782760540125"</f>
        <v>9782760540125</v>
      </c>
      <c r="E9716" t="s">
        <v>33376</v>
      </c>
      <c r="F9716" t="s">
        <v>43423</v>
      </c>
      <c r="G9716" s="1">
        <v>36526</v>
      </c>
      <c r="J9716" t="s">
        <v>44333</v>
      </c>
      <c r="K9716" t="s">
        <v>263</v>
      </c>
      <c r="M9716" t="s">
        <v>45733</v>
      </c>
      <c r="O9716" t="s">
        <v>94</v>
      </c>
      <c r="P9716">
        <v>43.99</v>
      </c>
      <c r="Q9716">
        <v>54.99</v>
      </c>
      <c r="R9716">
        <v>43.99</v>
      </c>
      <c r="S9716">
        <v>65.989999999999995</v>
      </c>
      <c r="T9716" t="s">
        <v>45734</v>
      </c>
    </row>
    <row r="9717" spans="1:20">
      <c r="A9717">
        <v>4797069</v>
      </c>
      <c r="B9717" t="s">
        <v>45735</v>
      </c>
      <c r="C9717" t="str">
        <f>"9782760540149"</f>
        <v>9782760540149</v>
      </c>
      <c r="D9717" t="str">
        <f>"9782760540156"</f>
        <v>9782760540156</v>
      </c>
      <c r="E9717" t="s">
        <v>33376</v>
      </c>
      <c r="F9717" t="s">
        <v>43423</v>
      </c>
      <c r="G9717" s="1">
        <v>36526</v>
      </c>
      <c r="I9717" t="s">
        <v>33190</v>
      </c>
      <c r="J9717" t="s">
        <v>45736</v>
      </c>
      <c r="K9717" t="s">
        <v>376</v>
      </c>
      <c r="M9717" t="s">
        <v>45737</v>
      </c>
      <c r="O9717" t="s">
        <v>94</v>
      </c>
      <c r="P9717">
        <v>20.99</v>
      </c>
      <c r="Q9717">
        <v>26.24</v>
      </c>
      <c r="R9717">
        <v>20.99</v>
      </c>
      <c r="S9717">
        <v>31.49</v>
      </c>
      <c r="T9717" t="s">
        <v>45738</v>
      </c>
    </row>
    <row r="9718" spans="1:20">
      <c r="A9718">
        <v>4797070</v>
      </c>
      <c r="B9718" t="s">
        <v>45739</v>
      </c>
      <c r="C9718" t="str">
        <f>"9782760540231"</f>
        <v>9782760540231</v>
      </c>
      <c r="D9718" t="str">
        <f>"9782760540248"</f>
        <v>9782760540248</v>
      </c>
      <c r="E9718" t="s">
        <v>33376</v>
      </c>
      <c r="F9718" t="s">
        <v>43423</v>
      </c>
      <c r="G9718" s="1">
        <v>36526</v>
      </c>
      <c r="J9718" t="s">
        <v>33345</v>
      </c>
      <c r="K9718" t="s">
        <v>31967</v>
      </c>
      <c r="M9718" t="s">
        <v>45740</v>
      </c>
      <c r="O9718" t="s">
        <v>94</v>
      </c>
      <c r="P9718">
        <v>23.99</v>
      </c>
      <c r="Q9718">
        <v>29.99</v>
      </c>
      <c r="R9718">
        <v>23.99</v>
      </c>
      <c r="S9718">
        <v>35.99</v>
      </c>
      <c r="T9718" t="s">
        <v>45741</v>
      </c>
    </row>
    <row r="9719" spans="1:20">
      <c r="A9719">
        <v>4797071</v>
      </c>
      <c r="B9719" t="s">
        <v>45742</v>
      </c>
      <c r="C9719" t="str">
        <f>"9782760540262"</f>
        <v>9782760540262</v>
      </c>
      <c r="D9719" t="str">
        <f>"9782760540279"</f>
        <v>9782760540279</v>
      </c>
      <c r="E9719" t="s">
        <v>33376</v>
      </c>
      <c r="F9719" t="s">
        <v>43423</v>
      </c>
      <c r="G9719" s="1">
        <v>36526</v>
      </c>
      <c r="J9719" t="s">
        <v>45743</v>
      </c>
      <c r="K9719" t="s">
        <v>257</v>
      </c>
      <c r="M9719">
        <v>371.94</v>
      </c>
      <c r="O9719" t="s">
        <v>94</v>
      </c>
      <c r="P9719">
        <v>23.99</v>
      </c>
      <c r="Q9719">
        <v>29.99</v>
      </c>
      <c r="R9719">
        <v>23.99</v>
      </c>
      <c r="S9719">
        <v>35.99</v>
      </c>
      <c r="T9719" t="s">
        <v>45744</v>
      </c>
    </row>
    <row r="9720" spans="1:20">
      <c r="A9720">
        <v>4797073</v>
      </c>
      <c r="B9720" t="s">
        <v>45745</v>
      </c>
      <c r="C9720" t="str">
        <f>"9782760632202"</f>
        <v>9782760632202</v>
      </c>
      <c r="D9720" t="str">
        <f>"9782760632226"</f>
        <v>9782760632226</v>
      </c>
      <c r="E9720" t="s">
        <v>42231</v>
      </c>
      <c r="F9720" t="s">
        <v>42231</v>
      </c>
      <c r="G9720" s="1">
        <v>42038</v>
      </c>
      <c r="I9720" t="s">
        <v>45746</v>
      </c>
      <c r="J9720" t="s">
        <v>45747</v>
      </c>
      <c r="K9720" t="s">
        <v>263</v>
      </c>
      <c r="M9720">
        <v>362.8</v>
      </c>
      <c r="O9720" t="s">
        <v>94</v>
      </c>
      <c r="P9720">
        <v>29.95</v>
      </c>
      <c r="Q9720">
        <v>37.44</v>
      </c>
      <c r="R9720">
        <v>29.95</v>
      </c>
      <c r="S9720">
        <v>44.93</v>
      </c>
      <c r="T9720" t="s">
        <v>45748</v>
      </c>
    </row>
    <row r="9721" spans="1:20">
      <c r="A9721">
        <v>4797074</v>
      </c>
      <c r="B9721" t="s">
        <v>45749</v>
      </c>
      <c r="C9721" t="str">
        <f>"9782760632271"</f>
        <v>9782760632271</v>
      </c>
      <c r="D9721" t="str">
        <f>"9782760632264"</f>
        <v>9782760632264</v>
      </c>
      <c r="E9721" t="s">
        <v>42231</v>
      </c>
      <c r="F9721" t="s">
        <v>42231</v>
      </c>
      <c r="G9721" s="1">
        <v>42035</v>
      </c>
      <c r="J9721" t="s">
        <v>45750</v>
      </c>
      <c r="K9721" t="s">
        <v>467</v>
      </c>
      <c r="M9721" t="s">
        <v>45751</v>
      </c>
      <c r="O9721" t="s">
        <v>94</v>
      </c>
      <c r="P9721">
        <v>39.950000000000003</v>
      </c>
      <c r="Q9721">
        <v>49.94</v>
      </c>
      <c r="R9721">
        <v>39.950000000000003</v>
      </c>
      <c r="S9721">
        <v>59.93</v>
      </c>
      <c r="T9721" t="s">
        <v>45752</v>
      </c>
    </row>
    <row r="9722" spans="1:20">
      <c r="A9722">
        <v>4797076</v>
      </c>
      <c r="B9722" t="s">
        <v>45753</v>
      </c>
      <c r="C9722" t="str">
        <f>"9782760632943"</f>
        <v>9782760632943</v>
      </c>
      <c r="D9722" t="str">
        <f>"9782760633322"</f>
        <v>9782760633322</v>
      </c>
      <c r="E9722" t="s">
        <v>42231</v>
      </c>
      <c r="F9722" t="s">
        <v>42231</v>
      </c>
      <c r="G9722" s="1">
        <v>36526</v>
      </c>
      <c r="J9722" t="s">
        <v>43892</v>
      </c>
      <c r="K9722" t="s">
        <v>1471</v>
      </c>
      <c r="M9722">
        <v>770.9</v>
      </c>
      <c r="O9722" t="s">
        <v>94</v>
      </c>
      <c r="P9722">
        <v>24.95</v>
      </c>
      <c r="Q9722">
        <v>31.19</v>
      </c>
      <c r="R9722">
        <v>24.95</v>
      </c>
      <c r="S9722">
        <v>37.43</v>
      </c>
      <c r="T9722" t="s">
        <v>45754</v>
      </c>
    </row>
    <row r="9723" spans="1:20">
      <c r="A9723">
        <v>4797077</v>
      </c>
      <c r="B9723" t="s">
        <v>45755</v>
      </c>
      <c r="C9723" t="str">
        <f>"9782763716206"</f>
        <v>9782763716206</v>
      </c>
      <c r="D9723" t="str">
        <f>"9782763716213"</f>
        <v>9782763716213</v>
      </c>
      <c r="E9723" t="s">
        <v>43877</v>
      </c>
      <c r="F9723" t="s">
        <v>43282</v>
      </c>
      <c r="G9723" s="1">
        <v>41788</v>
      </c>
      <c r="I9723" t="s">
        <v>43283</v>
      </c>
      <c r="J9723" t="s">
        <v>45756</v>
      </c>
      <c r="K9723" t="s">
        <v>1464</v>
      </c>
      <c r="M9723">
        <v>843.5</v>
      </c>
      <c r="O9723" t="s">
        <v>94</v>
      </c>
      <c r="P9723">
        <v>32</v>
      </c>
      <c r="Q9723">
        <v>40</v>
      </c>
      <c r="R9723">
        <v>32</v>
      </c>
      <c r="S9723">
        <v>48</v>
      </c>
      <c r="T9723" t="s">
        <v>45757</v>
      </c>
    </row>
    <row r="9724" spans="1:20">
      <c r="A9724">
        <v>4797078</v>
      </c>
      <c r="B9724" t="s">
        <v>45758</v>
      </c>
      <c r="C9724" t="str">
        <f>"9782760633773"</f>
        <v>9782760633773</v>
      </c>
      <c r="D9724" t="str">
        <f>"9782760633797"</f>
        <v>9782760633797</v>
      </c>
      <c r="E9724" t="s">
        <v>42231</v>
      </c>
      <c r="F9724" t="s">
        <v>42231</v>
      </c>
      <c r="G9724" s="1">
        <v>42038</v>
      </c>
      <c r="J9724" t="s">
        <v>45759</v>
      </c>
      <c r="K9724" t="s">
        <v>263</v>
      </c>
      <c r="M9724">
        <v>301.09199999999998</v>
      </c>
      <c r="O9724" t="s">
        <v>94</v>
      </c>
      <c r="P9724">
        <v>24.95</v>
      </c>
      <c r="Q9724">
        <v>31.19</v>
      </c>
      <c r="R9724">
        <v>24.95</v>
      </c>
      <c r="S9724">
        <v>37.43</v>
      </c>
      <c r="T9724" t="s">
        <v>45760</v>
      </c>
    </row>
    <row r="9725" spans="1:20">
      <c r="A9725">
        <v>4797079</v>
      </c>
      <c r="B9725" t="s">
        <v>45761</v>
      </c>
      <c r="C9725" t="str">
        <f>"9782763716503"</f>
        <v>9782763716503</v>
      </c>
      <c r="D9725" t="str">
        <f>"9782763716510"</f>
        <v>9782763716510</v>
      </c>
      <c r="E9725" t="s">
        <v>43877</v>
      </c>
      <c r="F9725" t="s">
        <v>43282</v>
      </c>
      <c r="G9725" s="1">
        <v>41788</v>
      </c>
      <c r="I9725" t="s">
        <v>43283</v>
      </c>
      <c r="J9725" t="s">
        <v>45762</v>
      </c>
      <c r="K9725" t="s">
        <v>1082</v>
      </c>
      <c r="M9725">
        <v>362.19682999999998</v>
      </c>
      <c r="O9725" t="s">
        <v>94</v>
      </c>
      <c r="P9725">
        <v>24.95</v>
      </c>
      <c r="Q9725">
        <v>31.19</v>
      </c>
      <c r="R9725">
        <v>24.95</v>
      </c>
      <c r="S9725">
        <v>37.43</v>
      </c>
      <c r="T9725" t="s">
        <v>45763</v>
      </c>
    </row>
    <row r="9726" spans="1:20">
      <c r="A9726">
        <v>4797080</v>
      </c>
      <c r="B9726" t="s">
        <v>45764</v>
      </c>
      <c r="C9726" t="str">
        <f>"9782763716688"</f>
        <v>9782763716688</v>
      </c>
      <c r="D9726" t="str">
        <f>"9782763716695"</f>
        <v>9782763716695</v>
      </c>
      <c r="E9726" t="s">
        <v>43877</v>
      </c>
      <c r="F9726" t="s">
        <v>43282</v>
      </c>
      <c r="G9726" s="1">
        <v>42021</v>
      </c>
      <c r="I9726" t="s">
        <v>43283</v>
      </c>
      <c r="J9726" t="s">
        <v>44488</v>
      </c>
      <c r="K9726" t="s">
        <v>467</v>
      </c>
      <c r="M9726">
        <v>320.89999999999998</v>
      </c>
      <c r="O9726" t="s">
        <v>94</v>
      </c>
      <c r="P9726">
        <v>35</v>
      </c>
      <c r="Q9726">
        <v>43.75</v>
      </c>
      <c r="R9726">
        <v>35</v>
      </c>
      <c r="S9726">
        <v>52.5</v>
      </c>
      <c r="T9726" t="s">
        <v>45765</v>
      </c>
    </row>
    <row r="9727" spans="1:20">
      <c r="A9727">
        <v>4797081</v>
      </c>
      <c r="B9727" t="s">
        <v>45766</v>
      </c>
      <c r="C9727" t="str">
        <f>"9782763718965"</f>
        <v>9782763718965</v>
      </c>
      <c r="D9727" t="str">
        <f>"9782763718972"</f>
        <v>9782763718972</v>
      </c>
      <c r="E9727" t="s">
        <v>43877</v>
      </c>
      <c r="F9727" t="s">
        <v>43282</v>
      </c>
      <c r="G9727" s="1">
        <v>41788</v>
      </c>
      <c r="I9727" t="s">
        <v>43283</v>
      </c>
      <c r="J9727" t="s">
        <v>45767</v>
      </c>
      <c r="K9727" t="s">
        <v>263</v>
      </c>
      <c r="M9727">
        <v>306.44900000000001</v>
      </c>
      <c r="O9727" t="s">
        <v>94</v>
      </c>
      <c r="P9727">
        <v>40</v>
      </c>
      <c r="Q9727">
        <v>50</v>
      </c>
      <c r="R9727">
        <v>40</v>
      </c>
      <c r="S9727">
        <v>60</v>
      </c>
      <c r="T9727" t="s">
        <v>45768</v>
      </c>
    </row>
    <row r="9728" spans="1:20">
      <c r="A9728">
        <v>4797082</v>
      </c>
      <c r="B9728" t="s">
        <v>45769</v>
      </c>
      <c r="C9728" t="str">
        <f>"9782763719382"</f>
        <v>9782763719382</v>
      </c>
      <c r="D9728" t="str">
        <f>"9782763719399"</f>
        <v>9782763719399</v>
      </c>
      <c r="E9728" t="s">
        <v>43877</v>
      </c>
      <c r="F9728" t="s">
        <v>43282</v>
      </c>
      <c r="G9728" s="1">
        <v>41788</v>
      </c>
      <c r="I9728" t="s">
        <v>43283</v>
      </c>
      <c r="J9728" t="s">
        <v>45770</v>
      </c>
      <c r="K9728" t="s">
        <v>467</v>
      </c>
      <c r="M9728">
        <v>352.38</v>
      </c>
      <c r="O9728" t="s">
        <v>94</v>
      </c>
      <c r="P9728">
        <v>35</v>
      </c>
      <c r="Q9728">
        <v>43.75</v>
      </c>
      <c r="R9728">
        <v>35</v>
      </c>
      <c r="S9728">
        <v>52.5</v>
      </c>
      <c r="T9728" t="s">
        <v>45771</v>
      </c>
    </row>
    <row r="9729" spans="1:20">
      <c r="A9729">
        <v>4797083</v>
      </c>
      <c r="B9729" t="s">
        <v>45772</v>
      </c>
      <c r="C9729" t="str">
        <f>"9782763720135"</f>
        <v>9782763720135</v>
      </c>
      <c r="D9729" t="str">
        <f>"9782763720142"</f>
        <v>9782763720142</v>
      </c>
      <c r="E9729" t="s">
        <v>43877</v>
      </c>
      <c r="F9729" t="s">
        <v>43282</v>
      </c>
      <c r="G9729" s="1">
        <v>41788</v>
      </c>
      <c r="I9729" t="s">
        <v>43283</v>
      </c>
      <c r="J9729" t="s">
        <v>45773</v>
      </c>
      <c r="K9729" t="s">
        <v>263</v>
      </c>
      <c r="M9729">
        <v>300.72300000000001</v>
      </c>
      <c r="O9729" t="s">
        <v>94</v>
      </c>
      <c r="P9729">
        <v>35</v>
      </c>
      <c r="Q9729">
        <v>43.75</v>
      </c>
      <c r="R9729">
        <v>35</v>
      </c>
      <c r="S9729">
        <v>52.5</v>
      </c>
      <c r="T9729" t="s">
        <v>45774</v>
      </c>
    </row>
    <row r="9730" spans="1:20">
      <c r="A9730">
        <v>4797084</v>
      </c>
      <c r="B9730" t="s">
        <v>45775</v>
      </c>
      <c r="C9730" t="str">
        <f>"9782763721422"</f>
        <v>9782763721422</v>
      </c>
      <c r="D9730" t="str">
        <f>"9782763721439"</f>
        <v>9782763721439</v>
      </c>
      <c r="E9730" t="s">
        <v>43877</v>
      </c>
      <c r="F9730" t="s">
        <v>43282</v>
      </c>
      <c r="G9730" s="1">
        <v>41788</v>
      </c>
      <c r="I9730" t="s">
        <v>45776</v>
      </c>
      <c r="J9730" t="s">
        <v>45777</v>
      </c>
      <c r="K9730" t="s">
        <v>305</v>
      </c>
      <c r="M9730">
        <v>658.31</v>
      </c>
      <c r="O9730" t="s">
        <v>94</v>
      </c>
      <c r="P9730">
        <v>30</v>
      </c>
      <c r="Q9730">
        <v>37.5</v>
      </c>
      <c r="R9730">
        <v>30</v>
      </c>
      <c r="S9730">
        <v>45</v>
      </c>
      <c r="T9730" t="s">
        <v>45778</v>
      </c>
    </row>
    <row r="9731" spans="1:20">
      <c r="A9731">
        <v>4797085</v>
      </c>
      <c r="B9731" t="s">
        <v>45779</v>
      </c>
      <c r="C9731" t="str">
        <f>"9782763721606"</f>
        <v>9782763721606</v>
      </c>
      <c r="D9731" t="str">
        <f>"9782763721613"</f>
        <v>9782763721613</v>
      </c>
      <c r="E9731" t="s">
        <v>43877</v>
      </c>
      <c r="F9731" t="s">
        <v>43282</v>
      </c>
      <c r="G9731" s="1">
        <v>41801</v>
      </c>
      <c r="H9731">
        <v>2</v>
      </c>
      <c r="I9731" t="s">
        <v>43283</v>
      </c>
      <c r="J9731" t="s">
        <v>45780</v>
      </c>
      <c r="K9731" t="s">
        <v>2260</v>
      </c>
      <c r="M9731">
        <v>615.50710000000004</v>
      </c>
      <c r="O9731" t="s">
        <v>94</v>
      </c>
      <c r="P9731">
        <v>30</v>
      </c>
      <c r="Q9731">
        <v>37.5</v>
      </c>
      <c r="R9731">
        <v>30</v>
      </c>
      <c r="S9731">
        <v>45</v>
      </c>
      <c r="T9731" t="s">
        <v>45781</v>
      </c>
    </row>
    <row r="9732" spans="1:20">
      <c r="A9732">
        <v>4797086</v>
      </c>
      <c r="B9732" t="s">
        <v>45782</v>
      </c>
      <c r="C9732" t="str">
        <f>"9782763721996"</f>
        <v>9782763721996</v>
      </c>
      <c r="D9732" t="str">
        <f>"9782763722009"</f>
        <v>9782763722009</v>
      </c>
      <c r="E9732" t="s">
        <v>43877</v>
      </c>
      <c r="F9732" t="s">
        <v>43282</v>
      </c>
      <c r="G9732" s="1">
        <v>41794</v>
      </c>
      <c r="I9732" t="s">
        <v>45783</v>
      </c>
      <c r="J9732" t="s">
        <v>45784</v>
      </c>
      <c r="O9732" t="s">
        <v>94</v>
      </c>
      <c r="P9732">
        <v>35</v>
      </c>
      <c r="Q9732">
        <v>43.75</v>
      </c>
      <c r="R9732">
        <v>35</v>
      </c>
      <c r="S9732">
        <v>52.5</v>
      </c>
      <c r="T9732" t="s">
        <v>45785</v>
      </c>
    </row>
    <row r="9733" spans="1:20">
      <c r="A9733">
        <v>4797087</v>
      </c>
      <c r="B9733" t="s">
        <v>45786</v>
      </c>
      <c r="C9733" t="str">
        <f>"9782763722146"</f>
        <v>9782763722146</v>
      </c>
      <c r="D9733" t="str">
        <f>"9782763722153"</f>
        <v>9782763722153</v>
      </c>
      <c r="E9733" t="s">
        <v>43877</v>
      </c>
      <c r="F9733" t="s">
        <v>43282</v>
      </c>
      <c r="G9733" s="1">
        <v>41788</v>
      </c>
      <c r="I9733" t="s">
        <v>43283</v>
      </c>
      <c r="J9733" t="s">
        <v>45787</v>
      </c>
      <c r="K9733" t="s">
        <v>1892</v>
      </c>
      <c r="M9733" t="s">
        <v>45788</v>
      </c>
      <c r="O9733" t="s">
        <v>94</v>
      </c>
      <c r="P9733">
        <v>35</v>
      </c>
      <c r="Q9733">
        <v>43.75</v>
      </c>
      <c r="R9733">
        <v>35</v>
      </c>
      <c r="S9733">
        <v>52.5</v>
      </c>
      <c r="T9733" t="s">
        <v>45789</v>
      </c>
    </row>
    <row r="9734" spans="1:20">
      <c r="A9734">
        <v>4797089</v>
      </c>
      <c r="B9734" t="s">
        <v>45790</v>
      </c>
      <c r="C9734" t="str">
        <f>"9782763721668"</f>
        <v>9782763721668</v>
      </c>
      <c r="D9734" t="str">
        <f>"9782763721675"</f>
        <v>9782763721675</v>
      </c>
      <c r="E9734" t="s">
        <v>43877</v>
      </c>
      <c r="F9734" t="s">
        <v>43282</v>
      </c>
      <c r="G9734" s="1">
        <v>41863</v>
      </c>
      <c r="I9734" t="s">
        <v>43283</v>
      </c>
      <c r="J9734" t="s">
        <v>45791</v>
      </c>
      <c r="K9734" t="s">
        <v>1892</v>
      </c>
      <c r="M9734" t="s">
        <v>45792</v>
      </c>
      <c r="O9734" t="s">
        <v>94</v>
      </c>
      <c r="P9734">
        <v>29.95</v>
      </c>
      <c r="Q9734">
        <v>37.44</v>
      </c>
      <c r="R9734">
        <v>29.95</v>
      </c>
      <c r="S9734">
        <v>44.93</v>
      </c>
      <c r="T9734" t="s">
        <v>45793</v>
      </c>
    </row>
    <row r="9735" spans="1:20">
      <c r="A9735">
        <v>4797093</v>
      </c>
      <c r="B9735" t="s">
        <v>45794</v>
      </c>
      <c r="C9735" t="str">
        <f>"9782763780726"</f>
        <v>9782763780726</v>
      </c>
      <c r="D9735" t="str">
        <f>"9782763707051"</f>
        <v>9782763707051</v>
      </c>
      <c r="E9735" t="s">
        <v>43877</v>
      </c>
      <c r="F9735" t="s">
        <v>43282</v>
      </c>
      <c r="G9735" s="1">
        <v>41829</v>
      </c>
      <c r="I9735" t="s">
        <v>43283</v>
      </c>
      <c r="J9735" t="s">
        <v>45795</v>
      </c>
      <c r="K9735" t="s">
        <v>263</v>
      </c>
      <c r="M9735">
        <v>303.48271399999999</v>
      </c>
      <c r="O9735" t="s">
        <v>94</v>
      </c>
      <c r="P9735">
        <v>30</v>
      </c>
      <c r="Q9735">
        <v>37.5</v>
      </c>
      <c r="R9735">
        <v>30</v>
      </c>
      <c r="S9735">
        <v>45</v>
      </c>
      <c r="T9735" t="s">
        <v>45796</v>
      </c>
    </row>
    <row r="9736" spans="1:20">
      <c r="A9736">
        <v>4797099</v>
      </c>
      <c r="B9736" t="s">
        <v>45797</v>
      </c>
      <c r="C9736" t="str">
        <f>"9782763718453"</f>
        <v>9782763718453</v>
      </c>
      <c r="D9736" t="str">
        <f>"9782763718460"</f>
        <v>9782763718460</v>
      </c>
      <c r="E9736" t="s">
        <v>43877</v>
      </c>
      <c r="F9736" t="s">
        <v>43282</v>
      </c>
      <c r="G9736" s="1">
        <v>41823</v>
      </c>
      <c r="H9736">
        <v>4</v>
      </c>
      <c r="I9736" t="s">
        <v>43283</v>
      </c>
      <c r="J9736" t="s">
        <v>45418</v>
      </c>
      <c r="K9736" t="s">
        <v>416</v>
      </c>
      <c r="M9736">
        <v>337</v>
      </c>
      <c r="O9736" t="s">
        <v>94</v>
      </c>
      <c r="P9736">
        <v>75</v>
      </c>
      <c r="Q9736">
        <v>93.75</v>
      </c>
      <c r="R9736">
        <v>75</v>
      </c>
      <c r="S9736">
        <v>112.5</v>
      </c>
      <c r="T9736" t="s">
        <v>45798</v>
      </c>
    </row>
    <row r="9737" spans="1:20">
      <c r="A9737">
        <v>4797100</v>
      </c>
      <c r="B9737" t="s">
        <v>45799</v>
      </c>
      <c r="C9737" t="str">
        <f>"9782763720883"</f>
        <v>9782763720883</v>
      </c>
      <c r="D9737" t="str">
        <f>"9782763720890"</f>
        <v>9782763720890</v>
      </c>
      <c r="E9737" t="s">
        <v>43877</v>
      </c>
      <c r="F9737" t="s">
        <v>43282</v>
      </c>
      <c r="G9737" s="1">
        <v>41816</v>
      </c>
      <c r="I9737" t="s">
        <v>44812</v>
      </c>
      <c r="J9737" t="s">
        <v>44167</v>
      </c>
      <c r="K9737" t="s">
        <v>291</v>
      </c>
      <c r="L9737" t="s">
        <v>45800</v>
      </c>
      <c r="M9737">
        <v>971.4</v>
      </c>
      <c r="O9737" t="s">
        <v>94</v>
      </c>
      <c r="P9737">
        <v>24.95</v>
      </c>
      <c r="Q9737">
        <v>31.19</v>
      </c>
      <c r="R9737">
        <v>24.95</v>
      </c>
      <c r="S9737">
        <v>37.43</v>
      </c>
      <c r="T9737" t="s">
        <v>45801</v>
      </c>
    </row>
    <row r="9738" spans="1:20">
      <c r="A9738">
        <v>4797101</v>
      </c>
      <c r="B9738" t="s">
        <v>45802</v>
      </c>
      <c r="C9738" t="str">
        <f>"9782763724515"</f>
        <v>9782763724515</v>
      </c>
      <c r="D9738" t="str">
        <f>"9782763724522"</f>
        <v>9782763724522</v>
      </c>
      <c r="E9738" t="s">
        <v>43877</v>
      </c>
      <c r="F9738" t="s">
        <v>43877</v>
      </c>
      <c r="G9738" s="1">
        <v>41890</v>
      </c>
      <c r="H9738">
        <v>3</v>
      </c>
      <c r="I9738" t="s">
        <v>43283</v>
      </c>
      <c r="J9738" t="s">
        <v>45803</v>
      </c>
      <c r="K9738" t="s">
        <v>1471</v>
      </c>
      <c r="M9738">
        <v>781</v>
      </c>
      <c r="O9738" t="s">
        <v>94</v>
      </c>
      <c r="P9738">
        <v>39</v>
      </c>
      <c r="Q9738">
        <v>48.75</v>
      </c>
      <c r="R9738">
        <v>39</v>
      </c>
      <c r="S9738">
        <v>58.5</v>
      </c>
      <c r="T9738" t="s">
        <v>45804</v>
      </c>
    </row>
    <row r="9739" spans="1:20">
      <c r="A9739">
        <v>4797102</v>
      </c>
      <c r="B9739" t="s">
        <v>45805</v>
      </c>
      <c r="C9739" t="str">
        <f>"9782763715544"</f>
        <v>9782763715544</v>
      </c>
      <c r="D9739" t="str">
        <f>"9782763715551"</f>
        <v>9782763715551</v>
      </c>
      <c r="E9739" t="s">
        <v>43877</v>
      </c>
      <c r="F9739" t="s">
        <v>43877</v>
      </c>
      <c r="G9739" s="1">
        <v>41886</v>
      </c>
      <c r="I9739" t="s">
        <v>43283</v>
      </c>
      <c r="J9739" t="s">
        <v>45806</v>
      </c>
      <c r="K9739" t="s">
        <v>467</v>
      </c>
      <c r="M9739">
        <v>352.36700000000002</v>
      </c>
      <c r="O9739" t="s">
        <v>94</v>
      </c>
      <c r="P9739">
        <v>35</v>
      </c>
      <c r="Q9739">
        <v>43.75</v>
      </c>
      <c r="R9739">
        <v>35</v>
      </c>
      <c r="S9739">
        <v>52.5</v>
      </c>
      <c r="T9739" t="s">
        <v>45807</v>
      </c>
    </row>
    <row r="9740" spans="1:20">
      <c r="A9740">
        <v>4797103</v>
      </c>
      <c r="B9740" t="s">
        <v>45808</v>
      </c>
      <c r="C9740" t="str">
        <f>"9782763717463"</f>
        <v>9782763717463</v>
      </c>
      <c r="D9740" t="str">
        <f>"9782763717470"</f>
        <v>9782763717470</v>
      </c>
      <c r="E9740" t="s">
        <v>43877</v>
      </c>
      <c r="F9740" t="s">
        <v>43877</v>
      </c>
      <c r="G9740" s="1">
        <v>41872</v>
      </c>
      <c r="I9740" t="s">
        <v>44251</v>
      </c>
      <c r="J9740" t="s">
        <v>45809</v>
      </c>
      <c r="K9740" t="s">
        <v>1471</v>
      </c>
      <c r="M9740">
        <v>782.42166092000002</v>
      </c>
      <c r="O9740" t="s">
        <v>94</v>
      </c>
      <c r="P9740">
        <v>29.95</v>
      </c>
      <c r="Q9740">
        <v>37.44</v>
      </c>
      <c r="R9740">
        <v>29.95</v>
      </c>
      <c r="S9740">
        <v>44.93</v>
      </c>
      <c r="T9740" t="s">
        <v>45810</v>
      </c>
    </row>
    <row r="9741" spans="1:20">
      <c r="A9741">
        <v>4797104</v>
      </c>
      <c r="B9741" t="s">
        <v>45811</v>
      </c>
      <c r="C9741" t="str">
        <f>"9782763718156"</f>
        <v>9782763718156</v>
      </c>
      <c r="D9741" t="str">
        <f>"9782763718163"</f>
        <v>9782763718163</v>
      </c>
      <c r="E9741" t="s">
        <v>43877</v>
      </c>
      <c r="F9741" t="s">
        <v>43877</v>
      </c>
      <c r="G9741" s="1">
        <v>41872</v>
      </c>
      <c r="H9741">
        <v>3</v>
      </c>
      <c r="I9741" t="s">
        <v>43283</v>
      </c>
      <c r="J9741" t="s">
        <v>45812</v>
      </c>
      <c r="K9741" t="s">
        <v>1859</v>
      </c>
      <c r="M9741">
        <v>174.90969999999999</v>
      </c>
      <c r="O9741" t="s">
        <v>94</v>
      </c>
      <c r="P9741">
        <v>49</v>
      </c>
      <c r="Q9741">
        <v>61.25</v>
      </c>
      <c r="R9741">
        <v>49</v>
      </c>
      <c r="S9741">
        <v>73.5</v>
      </c>
      <c r="T9741" t="s">
        <v>45813</v>
      </c>
    </row>
    <row r="9742" spans="1:20">
      <c r="A9742">
        <v>4797105</v>
      </c>
      <c r="B9742" t="s">
        <v>45814</v>
      </c>
      <c r="C9742" t="str">
        <f>"9782763719924"</f>
        <v>9782763719924</v>
      </c>
      <c r="D9742" t="str">
        <f>"9782763719931"</f>
        <v>9782763719931</v>
      </c>
      <c r="E9742" t="s">
        <v>43877</v>
      </c>
      <c r="F9742" t="s">
        <v>43877</v>
      </c>
      <c r="G9742" s="1">
        <v>41788</v>
      </c>
      <c r="I9742" t="s">
        <v>45815</v>
      </c>
      <c r="J9742" t="s">
        <v>45816</v>
      </c>
      <c r="K9742" t="s">
        <v>4081</v>
      </c>
      <c r="M9742" t="s">
        <v>45817</v>
      </c>
      <c r="O9742" t="s">
        <v>94</v>
      </c>
      <c r="P9742">
        <v>40</v>
      </c>
      <c r="Q9742">
        <v>50</v>
      </c>
      <c r="R9742">
        <v>40</v>
      </c>
      <c r="S9742">
        <v>60</v>
      </c>
      <c r="T9742" t="s">
        <v>45818</v>
      </c>
    </row>
    <row r="9743" spans="1:20">
      <c r="A9743">
        <v>4797106</v>
      </c>
      <c r="B9743" t="s">
        <v>45819</v>
      </c>
      <c r="C9743" t="str">
        <f>"9782763719412"</f>
        <v>9782763719412</v>
      </c>
      <c r="D9743" t="str">
        <f>"9782763719429"</f>
        <v>9782763719429</v>
      </c>
      <c r="E9743" t="s">
        <v>43877</v>
      </c>
      <c r="F9743" t="s">
        <v>43877</v>
      </c>
      <c r="G9743" s="1">
        <v>41886</v>
      </c>
      <c r="I9743" t="s">
        <v>43283</v>
      </c>
      <c r="J9743" t="s">
        <v>45820</v>
      </c>
      <c r="K9743" t="s">
        <v>278</v>
      </c>
      <c r="M9743" t="s">
        <v>45821</v>
      </c>
      <c r="O9743" t="s">
        <v>94</v>
      </c>
      <c r="P9743">
        <v>49.95</v>
      </c>
      <c r="Q9743">
        <v>62.44</v>
      </c>
      <c r="R9743">
        <v>49.95</v>
      </c>
      <c r="S9743">
        <v>74.930000000000007</v>
      </c>
      <c r="T9743" t="s">
        <v>45822</v>
      </c>
    </row>
    <row r="9744" spans="1:20">
      <c r="A9744">
        <v>4797107</v>
      </c>
      <c r="B9744" t="s">
        <v>45823</v>
      </c>
      <c r="C9744" t="str">
        <f>"9782763720678"</f>
        <v>9782763720678</v>
      </c>
      <c r="D9744" t="str">
        <f>"9782763720685"</f>
        <v>9782763720685</v>
      </c>
      <c r="E9744" t="s">
        <v>43877</v>
      </c>
      <c r="F9744" t="s">
        <v>43877</v>
      </c>
      <c r="G9744" s="1">
        <v>41886</v>
      </c>
      <c r="I9744" t="s">
        <v>43283</v>
      </c>
      <c r="J9744" t="s">
        <v>45824</v>
      </c>
      <c r="K9744" t="s">
        <v>263</v>
      </c>
      <c r="M9744">
        <v>305</v>
      </c>
      <c r="O9744" t="s">
        <v>94</v>
      </c>
      <c r="P9744">
        <v>32</v>
      </c>
      <c r="Q9744">
        <v>40</v>
      </c>
      <c r="R9744">
        <v>32</v>
      </c>
      <c r="S9744">
        <v>48</v>
      </c>
      <c r="T9744" t="s">
        <v>45825</v>
      </c>
    </row>
    <row r="9745" spans="1:20">
      <c r="A9745">
        <v>4797108</v>
      </c>
      <c r="B9745" t="s">
        <v>45826</v>
      </c>
      <c r="C9745" t="str">
        <f>"9782763720852"</f>
        <v>9782763720852</v>
      </c>
      <c r="D9745" t="str">
        <f>"9782763720869"</f>
        <v>9782763720869</v>
      </c>
      <c r="E9745" t="s">
        <v>43877</v>
      </c>
      <c r="F9745" t="s">
        <v>43877</v>
      </c>
      <c r="G9745" s="1">
        <v>41894</v>
      </c>
      <c r="I9745" t="s">
        <v>44255</v>
      </c>
      <c r="J9745" t="s">
        <v>15716</v>
      </c>
      <c r="K9745" t="s">
        <v>525</v>
      </c>
      <c r="M9745">
        <v>342.7</v>
      </c>
      <c r="O9745" t="s">
        <v>94</v>
      </c>
      <c r="P9745">
        <v>45</v>
      </c>
      <c r="Q9745">
        <v>56.25</v>
      </c>
      <c r="R9745">
        <v>45</v>
      </c>
      <c r="S9745">
        <v>67.5</v>
      </c>
      <c r="T9745" t="s">
        <v>45827</v>
      </c>
    </row>
    <row r="9746" spans="1:20">
      <c r="A9746">
        <v>4797109</v>
      </c>
      <c r="B9746" t="s">
        <v>45828</v>
      </c>
      <c r="C9746" t="str">
        <f>"9782763721699"</f>
        <v>9782763721699</v>
      </c>
      <c r="D9746" t="str">
        <f>"9782763721705"</f>
        <v>9782763721705</v>
      </c>
      <c r="E9746" t="s">
        <v>43877</v>
      </c>
      <c r="F9746" t="s">
        <v>43877</v>
      </c>
      <c r="G9746" s="1">
        <v>41899</v>
      </c>
      <c r="I9746" t="s">
        <v>43283</v>
      </c>
      <c r="J9746" t="s">
        <v>45829</v>
      </c>
      <c r="K9746" t="s">
        <v>1892</v>
      </c>
      <c r="M9746">
        <v>294.34429999999998</v>
      </c>
      <c r="O9746" t="s">
        <v>94</v>
      </c>
      <c r="P9746">
        <v>9.9499999999999993</v>
      </c>
      <c r="Q9746">
        <v>12.44</v>
      </c>
      <c r="R9746">
        <v>9.9499999999999993</v>
      </c>
      <c r="S9746">
        <v>14.93</v>
      </c>
      <c r="T9746" t="s">
        <v>45830</v>
      </c>
    </row>
    <row r="9747" spans="1:20">
      <c r="A9747">
        <v>4797110</v>
      </c>
      <c r="B9747" t="s">
        <v>45831</v>
      </c>
      <c r="C9747" t="str">
        <f>"9782763721729"</f>
        <v>9782763721729</v>
      </c>
      <c r="D9747" t="str">
        <f>"9782763721736"</f>
        <v>9782763721736</v>
      </c>
      <c r="E9747" t="s">
        <v>43877</v>
      </c>
      <c r="F9747" t="s">
        <v>43877</v>
      </c>
      <c r="G9747" s="1">
        <v>41894</v>
      </c>
      <c r="I9747" t="s">
        <v>43283</v>
      </c>
      <c r="J9747" t="s">
        <v>45832</v>
      </c>
      <c r="K9747" t="s">
        <v>1859</v>
      </c>
      <c r="M9747">
        <v>109</v>
      </c>
      <c r="O9747" t="s">
        <v>94</v>
      </c>
      <c r="P9747">
        <v>34.950000000000003</v>
      </c>
      <c r="Q9747">
        <v>43.69</v>
      </c>
      <c r="R9747">
        <v>34.950000000000003</v>
      </c>
      <c r="S9747">
        <v>52.43</v>
      </c>
      <c r="T9747" t="s">
        <v>45833</v>
      </c>
    </row>
    <row r="9748" spans="1:20">
      <c r="A9748">
        <v>4797111</v>
      </c>
      <c r="B9748" t="s">
        <v>45834</v>
      </c>
      <c r="C9748" t="str">
        <f>"9782763721873"</f>
        <v>9782763721873</v>
      </c>
      <c r="D9748" t="str">
        <f>"9782763721880"</f>
        <v>9782763721880</v>
      </c>
      <c r="E9748" t="s">
        <v>43877</v>
      </c>
      <c r="F9748" t="s">
        <v>43877</v>
      </c>
      <c r="G9748" s="1">
        <v>41899</v>
      </c>
      <c r="I9748" t="s">
        <v>44193</v>
      </c>
      <c r="J9748" t="s">
        <v>45835</v>
      </c>
      <c r="K9748" t="s">
        <v>291</v>
      </c>
      <c r="M9748">
        <v>971.4</v>
      </c>
      <c r="O9748" t="s">
        <v>94</v>
      </c>
      <c r="P9748">
        <v>25</v>
      </c>
      <c r="Q9748">
        <v>31.25</v>
      </c>
      <c r="R9748">
        <v>25</v>
      </c>
      <c r="S9748">
        <v>37.5</v>
      </c>
      <c r="T9748" t="s">
        <v>45836</v>
      </c>
    </row>
    <row r="9749" spans="1:20">
      <c r="A9749">
        <v>4797112</v>
      </c>
      <c r="B9749" t="s">
        <v>45837</v>
      </c>
      <c r="C9749" t="str">
        <f>"9782763722085"</f>
        <v>9782763722085</v>
      </c>
      <c r="D9749" t="str">
        <f>"9782763722092"</f>
        <v>9782763722092</v>
      </c>
      <c r="E9749" t="s">
        <v>43877</v>
      </c>
      <c r="F9749" t="s">
        <v>43877</v>
      </c>
      <c r="G9749" s="1">
        <v>41899</v>
      </c>
      <c r="I9749" t="s">
        <v>45838</v>
      </c>
      <c r="J9749" t="s">
        <v>45839</v>
      </c>
      <c r="K9749" t="s">
        <v>263</v>
      </c>
      <c r="M9749">
        <v>302.23450830000002</v>
      </c>
      <c r="O9749" t="s">
        <v>94</v>
      </c>
      <c r="P9749">
        <v>30</v>
      </c>
      <c r="Q9749">
        <v>37.5</v>
      </c>
      <c r="R9749">
        <v>30</v>
      </c>
      <c r="S9749">
        <v>45</v>
      </c>
      <c r="T9749" t="s">
        <v>45840</v>
      </c>
    </row>
    <row r="9750" spans="1:20">
      <c r="A9750">
        <v>4797113</v>
      </c>
      <c r="B9750" t="s">
        <v>45841</v>
      </c>
      <c r="C9750" t="str">
        <f>"9782763722443"</f>
        <v>9782763722443</v>
      </c>
      <c r="D9750" t="str">
        <f>"9782763722450"</f>
        <v>9782763722450</v>
      </c>
      <c r="E9750" t="s">
        <v>43877</v>
      </c>
      <c r="F9750" t="s">
        <v>43877</v>
      </c>
      <c r="G9750" s="1">
        <v>41894</v>
      </c>
      <c r="I9750" t="s">
        <v>44163</v>
      </c>
      <c r="J9750" t="s">
        <v>45842</v>
      </c>
      <c r="K9750" t="s">
        <v>291</v>
      </c>
      <c r="L9750" t="s">
        <v>45843</v>
      </c>
      <c r="M9750">
        <v>971.04200000000003</v>
      </c>
      <c r="O9750" t="s">
        <v>94</v>
      </c>
      <c r="P9750">
        <v>32.950000000000003</v>
      </c>
      <c r="Q9750">
        <v>41.19</v>
      </c>
      <c r="R9750">
        <v>32.950000000000003</v>
      </c>
      <c r="S9750">
        <v>49.43</v>
      </c>
      <c r="T9750" t="s">
        <v>45844</v>
      </c>
    </row>
    <row r="9751" spans="1:20">
      <c r="A9751">
        <v>4797114</v>
      </c>
      <c r="B9751" t="s">
        <v>45845</v>
      </c>
      <c r="C9751" t="str">
        <f>"9782763722627"</f>
        <v>9782763722627</v>
      </c>
      <c r="D9751" t="str">
        <f>"9782763722634"</f>
        <v>9782763722634</v>
      </c>
      <c r="E9751" t="s">
        <v>43877</v>
      </c>
      <c r="F9751" t="s">
        <v>43877</v>
      </c>
      <c r="G9751" s="1">
        <v>41886</v>
      </c>
      <c r="J9751" t="s">
        <v>45846</v>
      </c>
      <c r="K9751" t="s">
        <v>263</v>
      </c>
      <c r="M9751">
        <v>305.24200000000002</v>
      </c>
      <c r="O9751" t="s">
        <v>94</v>
      </c>
      <c r="P9751">
        <v>20</v>
      </c>
      <c r="Q9751">
        <v>25</v>
      </c>
      <c r="R9751">
        <v>20</v>
      </c>
      <c r="S9751">
        <v>30</v>
      </c>
      <c r="T9751" t="s">
        <v>45847</v>
      </c>
    </row>
    <row r="9752" spans="1:20">
      <c r="A9752">
        <v>4797116</v>
      </c>
      <c r="B9752" t="s">
        <v>45848</v>
      </c>
      <c r="C9752" t="str">
        <f>"9782763722894"</f>
        <v>9782763722894</v>
      </c>
      <c r="D9752" t="str">
        <f>"9782763722900"</f>
        <v>9782763722900</v>
      </c>
      <c r="E9752" t="s">
        <v>43877</v>
      </c>
      <c r="F9752" t="s">
        <v>43877</v>
      </c>
      <c r="G9752" s="1">
        <v>41899</v>
      </c>
      <c r="I9752" t="s">
        <v>43283</v>
      </c>
      <c r="J9752" t="s">
        <v>45849</v>
      </c>
      <c r="K9752" t="s">
        <v>2260</v>
      </c>
      <c r="M9752" t="s">
        <v>45850</v>
      </c>
      <c r="O9752" t="s">
        <v>94</v>
      </c>
      <c r="P9752">
        <v>19.95</v>
      </c>
      <c r="Q9752">
        <v>24.94</v>
      </c>
      <c r="R9752">
        <v>19.95</v>
      </c>
      <c r="S9752">
        <v>29.93</v>
      </c>
      <c r="T9752" t="s">
        <v>45851</v>
      </c>
    </row>
    <row r="9753" spans="1:20">
      <c r="A9753">
        <v>4797117</v>
      </c>
      <c r="B9753" t="s">
        <v>45852</v>
      </c>
      <c r="C9753" t="str">
        <f>"9782763723136"</f>
        <v>9782763723136</v>
      </c>
      <c r="D9753" t="str">
        <f>"9782763723143"</f>
        <v>9782763723143</v>
      </c>
      <c r="E9753" t="s">
        <v>43877</v>
      </c>
      <c r="F9753" t="s">
        <v>43877</v>
      </c>
      <c r="G9753" s="1">
        <v>41886</v>
      </c>
      <c r="I9753" t="s">
        <v>44224</v>
      </c>
      <c r="J9753" t="s">
        <v>45853</v>
      </c>
      <c r="K9753" t="s">
        <v>467</v>
      </c>
      <c r="M9753">
        <v>320.01</v>
      </c>
      <c r="O9753" t="s">
        <v>94</v>
      </c>
      <c r="P9753">
        <v>40</v>
      </c>
      <c r="Q9753">
        <v>50</v>
      </c>
      <c r="R9753">
        <v>40</v>
      </c>
      <c r="S9753">
        <v>60</v>
      </c>
      <c r="T9753" t="s">
        <v>45854</v>
      </c>
    </row>
    <row r="9754" spans="1:20">
      <c r="A9754">
        <v>4797118</v>
      </c>
      <c r="B9754" t="s">
        <v>45855</v>
      </c>
      <c r="C9754" t="str">
        <f>"9782763724874"</f>
        <v>9782763724874</v>
      </c>
      <c r="D9754" t="str">
        <f>"9782763724881"</f>
        <v>9782763724881</v>
      </c>
      <c r="E9754" t="s">
        <v>43877</v>
      </c>
      <c r="F9754" t="s">
        <v>43877</v>
      </c>
      <c r="G9754" s="1">
        <v>41640</v>
      </c>
      <c r="I9754" t="s">
        <v>43283</v>
      </c>
      <c r="J9754" t="s">
        <v>44001</v>
      </c>
      <c r="K9754" t="s">
        <v>1859</v>
      </c>
      <c r="M9754">
        <v>190.9033</v>
      </c>
      <c r="O9754" t="s">
        <v>94</v>
      </c>
      <c r="P9754">
        <v>1</v>
      </c>
      <c r="Q9754">
        <v>1.25</v>
      </c>
      <c r="R9754">
        <v>1</v>
      </c>
      <c r="S9754">
        <v>1.5</v>
      </c>
      <c r="T9754" t="s">
        <v>45856</v>
      </c>
    </row>
    <row r="9755" spans="1:20">
      <c r="A9755">
        <v>4797119</v>
      </c>
      <c r="B9755" t="s">
        <v>45857</v>
      </c>
      <c r="C9755" t="str">
        <f>"9782763719719"</f>
        <v>9782763719719</v>
      </c>
      <c r="D9755" t="str">
        <f>"9782763719726"</f>
        <v>9782763719726</v>
      </c>
      <c r="E9755" t="s">
        <v>43877</v>
      </c>
      <c r="F9755" t="s">
        <v>43877</v>
      </c>
      <c r="G9755" s="1">
        <v>41901</v>
      </c>
      <c r="I9755" t="s">
        <v>44197</v>
      </c>
      <c r="J9755" t="s">
        <v>45858</v>
      </c>
      <c r="K9755" t="s">
        <v>31967</v>
      </c>
      <c r="M9755">
        <v>331.12799999999999</v>
      </c>
      <c r="O9755" t="s">
        <v>94</v>
      </c>
      <c r="P9755">
        <v>29</v>
      </c>
      <c r="Q9755">
        <v>36.25</v>
      </c>
      <c r="R9755">
        <v>29</v>
      </c>
      <c r="S9755">
        <v>43.5</v>
      </c>
      <c r="T9755" t="s">
        <v>45859</v>
      </c>
    </row>
    <row r="9756" spans="1:20">
      <c r="A9756">
        <v>4797120</v>
      </c>
      <c r="B9756" t="s">
        <v>45860</v>
      </c>
      <c r="C9756" t="str">
        <f>"9782763719832"</f>
        <v>9782763719832</v>
      </c>
      <c r="D9756" t="str">
        <f>"9782763719849"</f>
        <v>9782763719849</v>
      </c>
      <c r="E9756" t="s">
        <v>43877</v>
      </c>
      <c r="F9756" t="s">
        <v>43877</v>
      </c>
      <c r="G9756" s="1">
        <v>41901</v>
      </c>
      <c r="I9756" t="s">
        <v>44501</v>
      </c>
      <c r="J9756" t="s">
        <v>45861</v>
      </c>
      <c r="K9756" t="s">
        <v>257</v>
      </c>
      <c r="M9756">
        <v>372.83</v>
      </c>
      <c r="O9756" t="s">
        <v>94</v>
      </c>
      <c r="P9756">
        <v>35</v>
      </c>
      <c r="Q9756">
        <v>43.75</v>
      </c>
      <c r="R9756">
        <v>35</v>
      </c>
      <c r="S9756">
        <v>52.5</v>
      </c>
      <c r="T9756" t="s">
        <v>45862</v>
      </c>
    </row>
    <row r="9757" spans="1:20">
      <c r="A9757">
        <v>4797121</v>
      </c>
      <c r="B9757" t="s">
        <v>45863</v>
      </c>
      <c r="C9757" t="str">
        <f>"9782763721248"</f>
        <v>9782763721248</v>
      </c>
      <c r="D9757" t="str">
        <f>"9782763721255"</f>
        <v>9782763721255</v>
      </c>
      <c r="E9757" t="s">
        <v>43877</v>
      </c>
      <c r="F9757" t="s">
        <v>43877</v>
      </c>
      <c r="G9757" s="1">
        <v>41901</v>
      </c>
      <c r="I9757" t="s">
        <v>44983</v>
      </c>
      <c r="J9757" t="s">
        <v>45864</v>
      </c>
      <c r="K9757" t="s">
        <v>263</v>
      </c>
      <c r="M9757">
        <v>362.7</v>
      </c>
      <c r="O9757" t="s">
        <v>94</v>
      </c>
      <c r="P9757">
        <v>40</v>
      </c>
      <c r="Q9757">
        <v>50</v>
      </c>
      <c r="R9757">
        <v>40</v>
      </c>
      <c r="S9757">
        <v>60</v>
      </c>
      <c r="T9757" t="s">
        <v>45865</v>
      </c>
    </row>
    <row r="9758" spans="1:20">
      <c r="A9758">
        <v>4797122</v>
      </c>
      <c r="B9758" t="s">
        <v>45866</v>
      </c>
      <c r="C9758" t="str">
        <f>"9782763722207"</f>
        <v>9782763722207</v>
      </c>
      <c r="D9758" t="str">
        <f>"9782763722214"</f>
        <v>9782763722214</v>
      </c>
      <c r="E9758" t="s">
        <v>43877</v>
      </c>
      <c r="F9758" t="s">
        <v>43877</v>
      </c>
      <c r="G9758" s="1">
        <v>41929</v>
      </c>
      <c r="I9758" t="s">
        <v>44145</v>
      </c>
      <c r="J9758" t="s">
        <v>45867</v>
      </c>
      <c r="K9758" t="s">
        <v>257</v>
      </c>
      <c r="M9758">
        <v>370</v>
      </c>
      <c r="O9758" t="s">
        <v>94</v>
      </c>
      <c r="P9758">
        <v>40</v>
      </c>
      <c r="Q9758">
        <v>50</v>
      </c>
      <c r="R9758">
        <v>40</v>
      </c>
      <c r="S9758">
        <v>60</v>
      </c>
      <c r="T9758" t="s">
        <v>45868</v>
      </c>
    </row>
    <row r="9759" spans="1:20">
      <c r="A9759">
        <v>4797123</v>
      </c>
      <c r="B9759" t="s">
        <v>45869</v>
      </c>
      <c r="C9759" t="str">
        <f>"9782763723341"</f>
        <v>9782763723341</v>
      </c>
      <c r="D9759" t="str">
        <f>"9782763723358"</f>
        <v>9782763723358</v>
      </c>
      <c r="E9759" t="s">
        <v>43877</v>
      </c>
      <c r="F9759" t="s">
        <v>43877</v>
      </c>
      <c r="G9759" s="1">
        <v>41640</v>
      </c>
      <c r="I9759" t="s">
        <v>43283</v>
      </c>
      <c r="J9759" t="s">
        <v>44270</v>
      </c>
      <c r="K9759" t="s">
        <v>263</v>
      </c>
      <c r="M9759">
        <v>306.44</v>
      </c>
      <c r="O9759" t="s">
        <v>94</v>
      </c>
      <c r="P9759">
        <v>49</v>
      </c>
      <c r="Q9759">
        <v>61.25</v>
      </c>
      <c r="R9759">
        <v>49</v>
      </c>
      <c r="S9759">
        <v>73.5</v>
      </c>
      <c r="T9759" t="s">
        <v>45870</v>
      </c>
    </row>
    <row r="9760" spans="1:20">
      <c r="A9760">
        <v>4797124</v>
      </c>
      <c r="B9760" t="s">
        <v>45871</v>
      </c>
      <c r="C9760" t="str">
        <f>"9782763723372"</f>
        <v>9782763723372</v>
      </c>
      <c r="D9760" t="str">
        <f>"9782763723389"</f>
        <v>9782763723389</v>
      </c>
      <c r="E9760" t="s">
        <v>43877</v>
      </c>
      <c r="F9760" t="s">
        <v>43877</v>
      </c>
      <c r="G9760" s="1">
        <v>41929</v>
      </c>
      <c r="H9760">
        <v>2</v>
      </c>
      <c r="I9760" t="s">
        <v>43283</v>
      </c>
      <c r="J9760" t="s">
        <v>45872</v>
      </c>
      <c r="K9760" t="s">
        <v>12285</v>
      </c>
      <c r="M9760">
        <v>519.5</v>
      </c>
      <c r="O9760" t="s">
        <v>94</v>
      </c>
      <c r="P9760">
        <v>30</v>
      </c>
      <c r="Q9760">
        <v>37.5</v>
      </c>
      <c r="R9760">
        <v>30</v>
      </c>
      <c r="S9760">
        <v>45</v>
      </c>
      <c r="T9760" t="s">
        <v>45873</v>
      </c>
    </row>
    <row r="9761" spans="1:20">
      <c r="A9761">
        <v>4797125</v>
      </c>
      <c r="B9761" t="s">
        <v>45874</v>
      </c>
      <c r="C9761" t="str">
        <f>"9782763723884"</f>
        <v>9782763723884</v>
      </c>
      <c r="D9761" t="str">
        <f>"9782763723891"</f>
        <v>9782763723891</v>
      </c>
      <c r="E9761" t="s">
        <v>43877</v>
      </c>
      <c r="F9761" t="s">
        <v>43877</v>
      </c>
      <c r="G9761" s="1">
        <v>41901</v>
      </c>
      <c r="J9761" t="s">
        <v>45875</v>
      </c>
      <c r="K9761" t="s">
        <v>257</v>
      </c>
      <c r="M9761">
        <v>370</v>
      </c>
      <c r="O9761" t="s">
        <v>94</v>
      </c>
      <c r="P9761">
        <v>49</v>
      </c>
      <c r="Q9761">
        <v>61.25</v>
      </c>
      <c r="R9761">
        <v>49</v>
      </c>
      <c r="S9761">
        <v>73.5</v>
      </c>
      <c r="T9761" t="s">
        <v>45876</v>
      </c>
    </row>
    <row r="9762" spans="1:20">
      <c r="A9762">
        <v>4797126</v>
      </c>
      <c r="B9762" t="s">
        <v>45877</v>
      </c>
      <c r="C9762" t="str">
        <f>"9782763724003"</f>
        <v>9782763724003</v>
      </c>
      <c r="D9762" t="str">
        <f>"9782763724010"</f>
        <v>9782763724010</v>
      </c>
      <c r="E9762" t="s">
        <v>43877</v>
      </c>
      <c r="F9762" t="s">
        <v>43877</v>
      </c>
      <c r="G9762" s="1">
        <v>41913</v>
      </c>
      <c r="I9762" t="s">
        <v>43283</v>
      </c>
      <c r="J9762" t="s">
        <v>45878</v>
      </c>
      <c r="K9762" t="s">
        <v>263</v>
      </c>
      <c r="M9762" t="s">
        <v>45879</v>
      </c>
      <c r="O9762" t="s">
        <v>94</v>
      </c>
      <c r="P9762">
        <v>40</v>
      </c>
      <c r="Q9762">
        <v>50</v>
      </c>
      <c r="R9762">
        <v>40</v>
      </c>
      <c r="S9762">
        <v>60</v>
      </c>
      <c r="T9762" t="s">
        <v>45880</v>
      </c>
    </row>
    <row r="9763" spans="1:20">
      <c r="A9763">
        <v>4797127</v>
      </c>
      <c r="B9763" t="s">
        <v>45881</v>
      </c>
      <c r="C9763" t="str">
        <f>"9782763724546"</f>
        <v>9782763724546</v>
      </c>
      <c r="D9763" t="str">
        <f>"9782763724553"</f>
        <v>9782763724553</v>
      </c>
      <c r="E9763" t="s">
        <v>43877</v>
      </c>
      <c r="F9763" t="s">
        <v>43877</v>
      </c>
      <c r="G9763" s="1">
        <v>41640</v>
      </c>
      <c r="I9763" t="s">
        <v>45882</v>
      </c>
      <c r="J9763" t="s">
        <v>45883</v>
      </c>
      <c r="K9763" t="s">
        <v>1471</v>
      </c>
      <c r="M9763">
        <v>701.17</v>
      </c>
      <c r="O9763" t="s">
        <v>94</v>
      </c>
      <c r="P9763">
        <v>25</v>
      </c>
      <c r="Q9763">
        <v>31.25</v>
      </c>
      <c r="R9763">
        <v>25</v>
      </c>
      <c r="S9763">
        <v>37.5</v>
      </c>
      <c r="T9763" t="s">
        <v>45884</v>
      </c>
    </row>
    <row r="9764" spans="1:20">
      <c r="A9764">
        <v>4797128</v>
      </c>
      <c r="B9764" t="s">
        <v>45885</v>
      </c>
      <c r="C9764" t="str">
        <f>"9782763718606"</f>
        <v>9782763718606</v>
      </c>
      <c r="D9764" t="str">
        <f>"9782763718613"</f>
        <v>9782763718613</v>
      </c>
      <c r="E9764" t="s">
        <v>43877</v>
      </c>
      <c r="F9764" t="s">
        <v>43877</v>
      </c>
      <c r="G9764" s="1">
        <v>41955</v>
      </c>
      <c r="I9764" t="s">
        <v>43283</v>
      </c>
      <c r="J9764" t="s">
        <v>45886</v>
      </c>
      <c r="K9764" t="s">
        <v>1464</v>
      </c>
      <c r="M9764" t="s">
        <v>45887</v>
      </c>
      <c r="O9764" t="s">
        <v>94</v>
      </c>
      <c r="P9764">
        <v>40</v>
      </c>
      <c r="Q9764">
        <v>50</v>
      </c>
      <c r="R9764">
        <v>40</v>
      </c>
      <c r="S9764">
        <v>60</v>
      </c>
      <c r="T9764" t="s">
        <v>45888</v>
      </c>
    </row>
    <row r="9765" spans="1:20">
      <c r="A9765">
        <v>4797129</v>
      </c>
      <c r="B9765" t="s">
        <v>45889</v>
      </c>
      <c r="C9765" t="str">
        <f>"9782763719351"</f>
        <v>9782763719351</v>
      </c>
      <c r="D9765" t="str">
        <f>"9782763719368"</f>
        <v>9782763719368</v>
      </c>
      <c r="E9765" t="s">
        <v>43877</v>
      </c>
      <c r="F9765" t="s">
        <v>43877</v>
      </c>
      <c r="G9765" s="1">
        <v>41640</v>
      </c>
      <c r="I9765" t="s">
        <v>43947</v>
      </c>
      <c r="J9765" t="s">
        <v>42882</v>
      </c>
      <c r="K9765" t="s">
        <v>1082</v>
      </c>
      <c r="M9765">
        <v>362.29097139999999</v>
      </c>
      <c r="O9765" t="s">
        <v>94</v>
      </c>
      <c r="P9765">
        <v>45</v>
      </c>
      <c r="Q9765">
        <v>56.25</v>
      </c>
      <c r="R9765">
        <v>45</v>
      </c>
      <c r="S9765">
        <v>67.5</v>
      </c>
      <c r="T9765" t="s">
        <v>45890</v>
      </c>
    </row>
    <row r="9766" spans="1:20">
      <c r="A9766">
        <v>4797130</v>
      </c>
      <c r="B9766" t="s">
        <v>45891</v>
      </c>
      <c r="C9766" t="str">
        <f>"9782763719474"</f>
        <v>9782763719474</v>
      </c>
      <c r="D9766" t="str">
        <f>"9782763719481"</f>
        <v>9782763719481</v>
      </c>
      <c r="E9766" t="s">
        <v>43877</v>
      </c>
      <c r="F9766" t="s">
        <v>43877</v>
      </c>
      <c r="G9766" s="1">
        <v>41948</v>
      </c>
      <c r="I9766" t="s">
        <v>44255</v>
      </c>
      <c r="J9766" t="s">
        <v>44275</v>
      </c>
      <c r="K9766" t="s">
        <v>467</v>
      </c>
      <c r="M9766">
        <v>324.27100000000002</v>
      </c>
      <c r="O9766" t="s">
        <v>94</v>
      </c>
      <c r="P9766">
        <v>29.95</v>
      </c>
      <c r="Q9766">
        <v>37.44</v>
      </c>
      <c r="R9766">
        <v>29.95</v>
      </c>
      <c r="S9766">
        <v>44.93</v>
      </c>
      <c r="T9766" t="s">
        <v>45892</v>
      </c>
    </row>
    <row r="9767" spans="1:20">
      <c r="A9767">
        <v>4797131</v>
      </c>
      <c r="B9767" t="s">
        <v>45893</v>
      </c>
      <c r="C9767" t="str">
        <f>"9782763720043"</f>
        <v>9782763720043</v>
      </c>
      <c r="D9767" t="str">
        <f>"9782763720050"</f>
        <v>9782763720050</v>
      </c>
      <c r="E9767" t="s">
        <v>43877</v>
      </c>
      <c r="F9767" t="s">
        <v>43877</v>
      </c>
      <c r="G9767" s="1">
        <v>41640</v>
      </c>
      <c r="I9767" t="s">
        <v>43283</v>
      </c>
      <c r="J9767" t="s">
        <v>45894</v>
      </c>
      <c r="K9767" t="s">
        <v>467</v>
      </c>
      <c r="M9767">
        <v>320.01</v>
      </c>
      <c r="O9767" t="s">
        <v>94</v>
      </c>
      <c r="P9767">
        <v>29.95</v>
      </c>
      <c r="Q9767">
        <v>37.44</v>
      </c>
      <c r="R9767">
        <v>29.95</v>
      </c>
      <c r="S9767">
        <v>44.93</v>
      </c>
      <c r="T9767" t="s">
        <v>45895</v>
      </c>
    </row>
    <row r="9768" spans="1:20">
      <c r="A9768">
        <v>4797132</v>
      </c>
      <c r="B9768" t="s">
        <v>45896</v>
      </c>
      <c r="C9768" t="str">
        <f>"9782763720463"</f>
        <v>9782763720463</v>
      </c>
      <c r="D9768" t="str">
        <f>"9782763720470"</f>
        <v>9782763720470</v>
      </c>
      <c r="E9768" t="s">
        <v>43877</v>
      </c>
      <c r="F9768" t="s">
        <v>43877</v>
      </c>
      <c r="G9768" s="1">
        <v>41640</v>
      </c>
      <c r="I9768" t="s">
        <v>43283</v>
      </c>
      <c r="J9768" t="s">
        <v>30889</v>
      </c>
      <c r="K9768" t="s">
        <v>291</v>
      </c>
      <c r="M9768">
        <v>971</v>
      </c>
      <c r="O9768" t="s">
        <v>94</v>
      </c>
      <c r="P9768">
        <v>34.950000000000003</v>
      </c>
      <c r="Q9768">
        <v>43.69</v>
      </c>
      <c r="R9768">
        <v>34.950000000000003</v>
      </c>
      <c r="S9768">
        <v>52.43</v>
      </c>
      <c r="T9768" t="s">
        <v>45897</v>
      </c>
    </row>
    <row r="9769" spans="1:20">
      <c r="A9769">
        <v>4797133</v>
      </c>
      <c r="B9769" t="s">
        <v>45898</v>
      </c>
      <c r="C9769" t="str">
        <f>"9782763721842"</f>
        <v>9782763721842</v>
      </c>
      <c r="D9769" t="str">
        <f>"9782763721859"</f>
        <v>9782763721859</v>
      </c>
      <c r="E9769" t="s">
        <v>43877</v>
      </c>
      <c r="F9769" t="s">
        <v>43877</v>
      </c>
      <c r="G9769" s="1">
        <v>41948</v>
      </c>
      <c r="H9769">
        <v>3</v>
      </c>
      <c r="I9769" t="s">
        <v>43283</v>
      </c>
      <c r="J9769" t="s">
        <v>45899</v>
      </c>
      <c r="K9769" t="s">
        <v>4081</v>
      </c>
      <c r="M9769">
        <v>418.02</v>
      </c>
      <c r="O9769" t="s">
        <v>94</v>
      </c>
      <c r="P9769">
        <v>39.950000000000003</v>
      </c>
      <c r="Q9769">
        <v>49.94</v>
      </c>
      <c r="R9769">
        <v>39.950000000000003</v>
      </c>
      <c r="S9769">
        <v>59.93</v>
      </c>
      <c r="T9769" t="s">
        <v>45900</v>
      </c>
    </row>
    <row r="9770" spans="1:20">
      <c r="A9770">
        <v>4797134</v>
      </c>
      <c r="B9770" t="s">
        <v>45901</v>
      </c>
      <c r="C9770" t="str">
        <f>"9782763722115"</f>
        <v>9782763722115</v>
      </c>
      <c r="D9770" t="str">
        <f>"9782763722122"</f>
        <v>9782763722122</v>
      </c>
      <c r="E9770" t="s">
        <v>43877</v>
      </c>
      <c r="F9770" t="s">
        <v>43877</v>
      </c>
      <c r="G9770" s="1">
        <v>41640</v>
      </c>
      <c r="I9770" t="s">
        <v>43283</v>
      </c>
      <c r="J9770" t="s">
        <v>45902</v>
      </c>
      <c r="K9770" t="s">
        <v>291</v>
      </c>
      <c r="M9770">
        <v>962.05</v>
      </c>
      <c r="O9770" t="s">
        <v>94</v>
      </c>
      <c r="P9770">
        <v>24.95</v>
      </c>
      <c r="Q9770">
        <v>31.19</v>
      </c>
      <c r="R9770">
        <v>24.95</v>
      </c>
      <c r="S9770">
        <v>37.43</v>
      </c>
      <c r="T9770" t="s">
        <v>45903</v>
      </c>
    </row>
    <row r="9771" spans="1:20">
      <c r="A9771">
        <v>4797135</v>
      </c>
      <c r="B9771" t="s">
        <v>45904</v>
      </c>
      <c r="C9771" t="str">
        <f>"9782763722290"</f>
        <v>9782763722290</v>
      </c>
      <c r="D9771" t="str">
        <f>"9782763722306"</f>
        <v>9782763722306</v>
      </c>
      <c r="E9771" t="s">
        <v>43877</v>
      </c>
      <c r="F9771" t="s">
        <v>43877</v>
      </c>
      <c r="G9771" s="1">
        <v>41948</v>
      </c>
      <c r="I9771" t="s">
        <v>45006</v>
      </c>
      <c r="J9771" t="s">
        <v>45905</v>
      </c>
      <c r="K9771" t="s">
        <v>263</v>
      </c>
      <c r="M9771">
        <v>305.800971</v>
      </c>
      <c r="O9771" t="s">
        <v>94</v>
      </c>
      <c r="P9771">
        <v>49</v>
      </c>
      <c r="Q9771">
        <v>61.25</v>
      </c>
      <c r="R9771">
        <v>49</v>
      </c>
      <c r="S9771">
        <v>73.5</v>
      </c>
      <c r="T9771" t="s">
        <v>45906</v>
      </c>
    </row>
    <row r="9772" spans="1:20">
      <c r="A9772">
        <v>4797136</v>
      </c>
      <c r="B9772" t="s">
        <v>45907</v>
      </c>
      <c r="C9772" t="str">
        <f>"9782763722504"</f>
        <v>9782763722504</v>
      </c>
      <c r="D9772" t="str">
        <f>"9782763722511"</f>
        <v>9782763722511</v>
      </c>
      <c r="E9772" t="s">
        <v>43877</v>
      </c>
      <c r="F9772" t="s">
        <v>43877</v>
      </c>
      <c r="G9772" s="1">
        <v>41948</v>
      </c>
      <c r="I9772" t="s">
        <v>43283</v>
      </c>
      <c r="J9772" t="s">
        <v>45908</v>
      </c>
      <c r="K9772" t="s">
        <v>1150</v>
      </c>
      <c r="M9772">
        <v>796.8</v>
      </c>
      <c r="O9772" t="s">
        <v>94</v>
      </c>
      <c r="P9772">
        <v>29.95</v>
      </c>
      <c r="Q9772">
        <v>37.44</v>
      </c>
      <c r="R9772">
        <v>29.95</v>
      </c>
      <c r="S9772">
        <v>44.93</v>
      </c>
      <c r="T9772" t="s">
        <v>45909</v>
      </c>
    </row>
    <row r="9773" spans="1:20">
      <c r="A9773">
        <v>4797137</v>
      </c>
      <c r="B9773" t="s">
        <v>45910</v>
      </c>
      <c r="C9773" t="str">
        <f>"9782763724249"</f>
        <v>9782763724249</v>
      </c>
      <c r="D9773" t="str">
        <f>"9782763724256"</f>
        <v>9782763724256</v>
      </c>
      <c r="E9773" t="s">
        <v>43877</v>
      </c>
      <c r="F9773" t="s">
        <v>43877</v>
      </c>
      <c r="G9773" s="1">
        <v>41955</v>
      </c>
      <c r="I9773" t="s">
        <v>44037</v>
      </c>
      <c r="J9773" t="s">
        <v>45911</v>
      </c>
      <c r="K9773" t="s">
        <v>263</v>
      </c>
      <c r="M9773">
        <v>306.84500000000003</v>
      </c>
      <c r="O9773" t="s">
        <v>94</v>
      </c>
      <c r="P9773">
        <v>35</v>
      </c>
      <c r="Q9773">
        <v>43.75</v>
      </c>
      <c r="R9773">
        <v>35</v>
      </c>
      <c r="S9773">
        <v>52.5</v>
      </c>
      <c r="T9773" t="s">
        <v>45912</v>
      </c>
    </row>
    <row r="9774" spans="1:20">
      <c r="A9774">
        <v>4797138</v>
      </c>
      <c r="B9774" t="s">
        <v>45913</v>
      </c>
      <c r="C9774" t="str">
        <f>"9782763724393"</f>
        <v>9782763724393</v>
      </c>
      <c r="D9774" t="str">
        <f>"9782763724409"</f>
        <v>9782763724409</v>
      </c>
      <c r="E9774" t="s">
        <v>43877</v>
      </c>
      <c r="F9774" t="s">
        <v>43877</v>
      </c>
      <c r="G9774" s="1">
        <v>41640</v>
      </c>
      <c r="I9774" t="s">
        <v>43951</v>
      </c>
      <c r="J9774" t="s">
        <v>45914</v>
      </c>
      <c r="K9774" t="s">
        <v>1464</v>
      </c>
      <c r="M9774">
        <v>841.3</v>
      </c>
      <c r="O9774" t="s">
        <v>94</v>
      </c>
      <c r="P9774">
        <v>40</v>
      </c>
      <c r="Q9774">
        <v>50</v>
      </c>
      <c r="R9774">
        <v>40</v>
      </c>
      <c r="S9774">
        <v>60</v>
      </c>
      <c r="T9774" t="s">
        <v>45915</v>
      </c>
    </row>
    <row r="9775" spans="1:20">
      <c r="A9775">
        <v>4797139</v>
      </c>
      <c r="B9775" t="s">
        <v>45916</v>
      </c>
      <c r="C9775" t="str">
        <f>"9782763724997"</f>
        <v>9782763724997</v>
      </c>
      <c r="D9775" t="str">
        <f>"9782763725000"</f>
        <v>9782763725000</v>
      </c>
      <c r="E9775" t="s">
        <v>43877</v>
      </c>
      <c r="F9775" t="s">
        <v>43877</v>
      </c>
      <c r="G9775" s="1">
        <v>41943</v>
      </c>
      <c r="I9775" t="s">
        <v>45917</v>
      </c>
      <c r="J9775" t="s">
        <v>23779</v>
      </c>
      <c r="K9775" t="s">
        <v>257</v>
      </c>
      <c r="M9775">
        <v>378</v>
      </c>
      <c r="O9775" t="s">
        <v>94</v>
      </c>
      <c r="P9775">
        <v>19.95</v>
      </c>
      <c r="Q9775">
        <v>24.94</v>
      </c>
      <c r="R9775">
        <v>19.95</v>
      </c>
      <c r="S9775">
        <v>29.93</v>
      </c>
      <c r="T9775" t="s">
        <v>45918</v>
      </c>
    </row>
    <row r="9776" spans="1:20">
      <c r="A9776">
        <v>4797141</v>
      </c>
      <c r="B9776" t="s">
        <v>45919</v>
      </c>
      <c r="C9776" t="str">
        <f>"9782763724690"</f>
        <v>9782763724690</v>
      </c>
      <c r="D9776" t="str">
        <f>"9782763724706"</f>
        <v>9782763724706</v>
      </c>
      <c r="E9776" t="s">
        <v>43877</v>
      </c>
      <c r="F9776" t="s">
        <v>43877</v>
      </c>
      <c r="G9776" s="1">
        <v>41969</v>
      </c>
      <c r="I9776" t="s">
        <v>45920</v>
      </c>
      <c r="J9776" t="s">
        <v>45921</v>
      </c>
      <c r="K9776" t="s">
        <v>291</v>
      </c>
      <c r="M9776">
        <v>971.4</v>
      </c>
      <c r="O9776" t="s">
        <v>94</v>
      </c>
      <c r="P9776">
        <v>19.95</v>
      </c>
      <c r="Q9776">
        <v>24.94</v>
      </c>
      <c r="R9776">
        <v>19.95</v>
      </c>
      <c r="S9776">
        <v>29.93</v>
      </c>
      <c r="T9776" t="s">
        <v>45922</v>
      </c>
    </row>
    <row r="9777" spans="1:20">
      <c r="A9777">
        <v>4797144</v>
      </c>
      <c r="B9777" t="s">
        <v>45923</v>
      </c>
      <c r="C9777" t="str">
        <f>"9782760539600"</f>
        <v>9782760539600</v>
      </c>
      <c r="D9777" t="str">
        <f>"9782760539617"</f>
        <v>9782760539617</v>
      </c>
      <c r="E9777" t="s">
        <v>33376</v>
      </c>
      <c r="F9777" t="s">
        <v>43423</v>
      </c>
      <c r="G9777" s="1">
        <v>36526</v>
      </c>
      <c r="J9777" t="s">
        <v>44665</v>
      </c>
      <c r="K9777" t="s">
        <v>4081</v>
      </c>
      <c r="M9777" t="s">
        <v>45924</v>
      </c>
      <c r="O9777" t="s">
        <v>94</v>
      </c>
      <c r="P9777">
        <v>42.99</v>
      </c>
      <c r="Q9777">
        <v>53.74</v>
      </c>
      <c r="R9777">
        <v>42.99</v>
      </c>
      <c r="S9777">
        <v>64.489999999999995</v>
      </c>
      <c r="T9777" t="s">
        <v>45925</v>
      </c>
    </row>
    <row r="9778" spans="1:20">
      <c r="A9778">
        <v>4797145</v>
      </c>
      <c r="B9778" t="s">
        <v>45926</v>
      </c>
      <c r="C9778" t="str">
        <f>"9782760540422"</f>
        <v>9782760540422</v>
      </c>
      <c r="D9778" t="str">
        <f>"9782760540439"</f>
        <v>9782760540439</v>
      </c>
      <c r="E9778" t="s">
        <v>33376</v>
      </c>
      <c r="F9778" t="s">
        <v>43423</v>
      </c>
      <c r="G9778" s="1">
        <v>36526</v>
      </c>
      <c r="J9778" t="s">
        <v>45927</v>
      </c>
      <c r="K9778" t="s">
        <v>257</v>
      </c>
      <c r="M9778" t="s">
        <v>45928</v>
      </c>
      <c r="O9778" t="s">
        <v>94</v>
      </c>
      <c r="P9778">
        <v>23.99</v>
      </c>
      <c r="Q9778">
        <v>29.99</v>
      </c>
      <c r="R9778">
        <v>23.99</v>
      </c>
      <c r="S9778">
        <v>35.99</v>
      </c>
      <c r="T9778" t="s">
        <v>45929</v>
      </c>
    </row>
    <row r="9779" spans="1:20">
      <c r="A9779">
        <v>4797146</v>
      </c>
      <c r="B9779" t="s">
        <v>45930</v>
      </c>
      <c r="C9779" t="str">
        <f>"9782760540361"</f>
        <v>9782760540361</v>
      </c>
      <c r="D9779" t="str">
        <f>"9782760540378"</f>
        <v>9782760540378</v>
      </c>
      <c r="E9779" t="s">
        <v>33376</v>
      </c>
      <c r="F9779" t="s">
        <v>43423</v>
      </c>
      <c r="G9779" s="1">
        <v>36526</v>
      </c>
      <c r="H9779">
        <v>2</v>
      </c>
      <c r="J9779" t="s">
        <v>45931</v>
      </c>
      <c r="K9779" t="s">
        <v>230</v>
      </c>
      <c r="M9779" t="s">
        <v>45932</v>
      </c>
      <c r="O9779" t="s">
        <v>94</v>
      </c>
      <c r="P9779">
        <v>59.99</v>
      </c>
      <c r="Q9779">
        <v>74.989999999999995</v>
      </c>
      <c r="R9779">
        <v>59.99</v>
      </c>
      <c r="S9779">
        <v>89.99</v>
      </c>
      <c r="T9779" t="s">
        <v>45933</v>
      </c>
    </row>
    <row r="9780" spans="1:20">
      <c r="A9780">
        <v>4797148</v>
      </c>
      <c r="B9780" t="s">
        <v>45934</v>
      </c>
      <c r="C9780" t="str">
        <f>"9782760540668"</f>
        <v>9782760540668</v>
      </c>
      <c r="D9780" t="str">
        <f>"9782760540682"</f>
        <v>9782760540682</v>
      </c>
      <c r="E9780" t="s">
        <v>33376</v>
      </c>
      <c r="F9780" t="s">
        <v>43423</v>
      </c>
      <c r="G9780" s="1">
        <v>36526</v>
      </c>
      <c r="J9780" t="s">
        <v>44930</v>
      </c>
      <c r="K9780" t="s">
        <v>263</v>
      </c>
      <c r="M9780" t="s">
        <v>24927</v>
      </c>
      <c r="O9780" t="s">
        <v>94</v>
      </c>
      <c r="P9780">
        <v>20.99</v>
      </c>
      <c r="Q9780">
        <v>26.24</v>
      </c>
      <c r="R9780">
        <v>20.99</v>
      </c>
      <c r="S9780">
        <v>31.49</v>
      </c>
      <c r="T9780" t="s">
        <v>45935</v>
      </c>
    </row>
    <row r="9781" spans="1:20">
      <c r="A9781">
        <v>4797149</v>
      </c>
      <c r="B9781" t="s">
        <v>45936</v>
      </c>
      <c r="C9781" t="str">
        <f>"9782760540705"</f>
        <v>9782760540705</v>
      </c>
      <c r="D9781" t="str">
        <f>"9782760540712"</f>
        <v>9782760540712</v>
      </c>
      <c r="E9781" t="s">
        <v>33376</v>
      </c>
      <c r="F9781" t="s">
        <v>43423</v>
      </c>
      <c r="G9781" s="1">
        <v>36526</v>
      </c>
      <c r="J9781" t="s">
        <v>33345</v>
      </c>
      <c r="K9781" t="s">
        <v>263</v>
      </c>
      <c r="M9781" t="s">
        <v>17001</v>
      </c>
      <c r="O9781" t="s">
        <v>94</v>
      </c>
      <c r="P9781">
        <v>36.99</v>
      </c>
      <c r="Q9781">
        <v>46.24</v>
      </c>
      <c r="R9781">
        <v>36.99</v>
      </c>
      <c r="S9781">
        <v>55.49</v>
      </c>
      <c r="T9781" t="s">
        <v>45937</v>
      </c>
    </row>
    <row r="9782" spans="1:20">
      <c r="A9782">
        <v>4797150</v>
      </c>
      <c r="B9782" t="s">
        <v>45938</v>
      </c>
      <c r="C9782" t="str">
        <f>"9782760540736"</f>
        <v>9782760540736</v>
      </c>
      <c r="D9782" t="str">
        <f>"9782760540743"</f>
        <v>9782760540743</v>
      </c>
      <c r="E9782" t="s">
        <v>33376</v>
      </c>
      <c r="F9782" t="s">
        <v>43423</v>
      </c>
      <c r="G9782" s="1">
        <v>36526</v>
      </c>
      <c r="J9782" t="s">
        <v>33345</v>
      </c>
      <c r="K9782" t="s">
        <v>305</v>
      </c>
      <c r="M9782" t="s">
        <v>45939</v>
      </c>
      <c r="O9782" t="s">
        <v>94</v>
      </c>
      <c r="P9782">
        <v>26.99</v>
      </c>
      <c r="Q9782">
        <v>33.74</v>
      </c>
      <c r="R9782">
        <v>26.99</v>
      </c>
      <c r="S9782">
        <v>40.49</v>
      </c>
      <c r="T9782" t="s">
        <v>45940</v>
      </c>
    </row>
    <row r="9783" spans="1:20">
      <c r="A9783">
        <v>4797151</v>
      </c>
      <c r="B9783" t="s">
        <v>45941</v>
      </c>
      <c r="C9783" t="str">
        <f>"9782760540767"</f>
        <v>9782760540767</v>
      </c>
      <c r="D9783" t="str">
        <f>"9782760540774"</f>
        <v>9782760540774</v>
      </c>
      <c r="E9783" t="s">
        <v>33376</v>
      </c>
      <c r="F9783" t="s">
        <v>43423</v>
      </c>
      <c r="G9783" s="1">
        <v>36526</v>
      </c>
      <c r="H9783">
        <v>2</v>
      </c>
      <c r="J9783" t="s">
        <v>45942</v>
      </c>
      <c r="K9783" t="s">
        <v>1859</v>
      </c>
      <c r="M9783" t="s">
        <v>45943</v>
      </c>
      <c r="O9783" t="s">
        <v>94</v>
      </c>
      <c r="P9783">
        <v>36.99</v>
      </c>
      <c r="Q9783">
        <v>46.24</v>
      </c>
      <c r="R9783">
        <v>36.99</v>
      </c>
      <c r="S9783">
        <v>55.49</v>
      </c>
      <c r="T9783" t="s">
        <v>45944</v>
      </c>
    </row>
    <row r="9784" spans="1:20">
      <c r="A9784">
        <v>4797152</v>
      </c>
      <c r="B9784" t="s">
        <v>45945</v>
      </c>
      <c r="C9784" t="str">
        <f>"9782760540798"</f>
        <v>9782760540798</v>
      </c>
      <c r="D9784" t="str">
        <f>"9782760540804"</f>
        <v>9782760540804</v>
      </c>
      <c r="E9784" t="s">
        <v>33376</v>
      </c>
      <c r="F9784" t="s">
        <v>43423</v>
      </c>
      <c r="G9784" s="1">
        <v>36526</v>
      </c>
      <c r="J9784" t="s">
        <v>45946</v>
      </c>
      <c r="K9784" t="s">
        <v>467</v>
      </c>
      <c r="M9784">
        <v>351</v>
      </c>
      <c r="O9784" t="s">
        <v>94</v>
      </c>
      <c r="P9784">
        <v>33.99</v>
      </c>
      <c r="Q9784">
        <v>42.49</v>
      </c>
      <c r="R9784">
        <v>33.99</v>
      </c>
      <c r="S9784">
        <v>50.99</v>
      </c>
      <c r="T9784" t="s">
        <v>45947</v>
      </c>
    </row>
    <row r="9785" spans="1:20">
      <c r="A9785">
        <v>4797153</v>
      </c>
      <c r="B9785" t="s">
        <v>45948</v>
      </c>
      <c r="C9785" t="str">
        <f>"9782763716176"</f>
        <v>9782763716176</v>
      </c>
      <c r="D9785" t="str">
        <f>"9782763716183"</f>
        <v>9782763716183</v>
      </c>
      <c r="E9785" t="s">
        <v>43877</v>
      </c>
      <c r="F9785" t="s">
        <v>43877</v>
      </c>
      <c r="G9785" s="1">
        <v>41915</v>
      </c>
      <c r="I9785" t="s">
        <v>44207</v>
      </c>
      <c r="J9785" t="s">
        <v>45949</v>
      </c>
      <c r="K9785" t="s">
        <v>263</v>
      </c>
      <c r="M9785">
        <v>306.70835</v>
      </c>
      <c r="O9785" t="s">
        <v>94</v>
      </c>
      <c r="P9785">
        <v>34.950000000000003</v>
      </c>
      <c r="Q9785">
        <v>43.69</v>
      </c>
      <c r="R9785">
        <v>34.950000000000003</v>
      </c>
      <c r="S9785">
        <v>52.43</v>
      </c>
      <c r="T9785" t="s">
        <v>45950</v>
      </c>
    </row>
    <row r="9786" spans="1:20">
      <c r="A9786">
        <v>4797154</v>
      </c>
      <c r="B9786" t="s">
        <v>45951</v>
      </c>
      <c r="C9786" t="str">
        <f>"9782763720340"</f>
        <v>9782763720340</v>
      </c>
      <c r="D9786" t="str">
        <f>"9782763720357"</f>
        <v>9782763720357</v>
      </c>
      <c r="E9786" t="s">
        <v>43877</v>
      </c>
      <c r="F9786" t="s">
        <v>43877</v>
      </c>
      <c r="G9786" s="1">
        <v>41640</v>
      </c>
      <c r="I9786" t="s">
        <v>43283</v>
      </c>
      <c r="J9786" t="s">
        <v>45952</v>
      </c>
      <c r="K9786" t="s">
        <v>291</v>
      </c>
      <c r="L9786" t="s">
        <v>45953</v>
      </c>
      <c r="M9786">
        <v>973.7</v>
      </c>
      <c r="O9786" t="s">
        <v>94</v>
      </c>
      <c r="P9786">
        <v>34.950000000000003</v>
      </c>
      <c r="Q9786">
        <v>43.69</v>
      </c>
      <c r="R9786">
        <v>34.950000000000003</v>
      </c>
      <c r="S9786">
        <v>52.43</v>
      </c>
      <c r="T9786" t="s">
        <v>45954</v>
      </c>
    </row>
    <row r="9787" spans="1:20">
      <c r="A9787">
        <v>4797155</v>
      </c>
      <c r="B9787" t="s">
        <v>45955</v>
      </c>
      <c r="C9787" t="str">
        <f>"9782763720616"</f>
        <v>9782763720616</v>
      </c>
      <c r="D9787" t="str">
        <f>"9782763720623"</f>
        <v>9782763720623</v>
      </c>
      <c r="E9787" t="s">
        <v>43877</v>
      </c>
      <c r="F9787" t="s">
        <v>43877</v>
      </c>
      <c r="G9787" s="1">
        <v>41969</v>
      </c>
      <c r="I9787" t="s">
        <v>44255</v>
      </c>
      <c r="J9787" t="s">
        <v>45956</v>
      </c>
      <c r="K9787" t="s">
        <v>291</v>
      </c>
      <c r="M9787" t="s">
        <v>24499</v>
      </c>
      <c r="O9787" t="s">
        <v>94</v>
      </c>
      <c r="P9787">
        <v>32</v>
      </c>
      <c r="Q9787">
        <v>40</v>
      </c>
      <c r="R9787">
        <v>32</v>
      </c>
      <c r="S9787">
        <v>48</v>
      </c>
      <c r="T9787" t="s">
        <v>45957</v>
      </c>
    </row>
    <row r="9788" spans="1:20">
      <c r="A9788">
        <v>4797156</v>
      </c>
      <c r="B9788" t="s">
        <v>45958</v>
      </c>
      <c r="C9788" t="str">
        <f>"9782763721187"</f>
        <v>9782763721187</v>
      </c>
      <c r="D9788" t="str">
        <f>"9782763721194"</f>
        <v>9782763721194</v>
      </c>
      <c r="E9788" t="s">
        <v>43877</v>
      </c>
      <c r="F9788" t="s">
        <v>43877</v>
      </c>
      <c r="G9788" s="1">
        <v>41640</v>
      </c>
      <c r="I9788" t="s">
        <v>44163</v>
      </c>
      <c r="J9788" t="s">
        <v>45959</v>
      </c>
      <c r="K9788" t="s">
        <v>1464</v>
      </c>
      <c r="M9788">
        <v>840.99713999999994</v>
      </c>
      <c r="O9788" t="s">
        <v>94</v>
      </c>
      <c r="P9788">
        <v>35</v>
      </c>
      <c r="Q9788">
        <v>43.75</v>
      </c>
      <c r="R9788">
        <v>35</v>
      </c>
      <c r="S9788">
        <v>52.5</v>
      </c>
      <c r="T9788" t="s">
        <v>45960</v>
      </c>
    </row>
    <row r="9789" spans="1:20">
      <c r="A9789">
        <v>4797157</v>
      </c>
      <c r="B9789" t="s">
        <v>45961</v>
      </c>
      <c r="C9789" t="str">
        <f>"9782763721781"</f>
        <v>9782763721781</v>
      </c>
      <c r="D9789" t="str">
        <f>"9782763721798"</f>
        <v>9782763721798</v>
      </c>
      <c r="E9789" t="s">
        <v>43877</v>
      </c>
      <c r="F9789" t="s">
        <v>43877</v>
      </c>
      <c r="G9789" s="1">
        <v>41976</v>
      </c>
      <c r="H9789">
        <v>2</v>
      </c>
      <c r="I9789" t="s">
        <v>43283</v>
      </c>
      <c r="J9789" t="s">
        <v>45962</v>
      </c>
      <c r="K9789" t="s">
        <v>263</v>
      </c>
      <c r="M9789" t="s">
        <v>17001</v>
      </c>
      <c r="O9789" t="s">
        <v>94</v>
      </c>
      <c r="P9789">
        <v>30</v>
      </c>
      <c r="Q9789">
        <v>37.5</v>
      </c>
      <c r="R9789">
        <v>30</v>
      </c>
      <c r="S9789">
        <v>45</v>
      </c>
      <c r="T9789" t="s">
        <v>45963</v>
      </c>
    </row>
    <row r="9790" spans="1:20">
      <c r="A9790">
        <v>4797158</v>
      </c>
      <c r="B9790" t="s">
        <v>45964</v>
      </c>
      <c r="C9790" t="str">
        <f>"9782763722320"</f>
        <v>9782763722320</v>
      </c>
      <c r="D9790" t="str">
        <f>"9782763722337"</f>
        <v>9782763722337</v>
      </c>
      <c r="E9790" t="s">
        <v>43877</v>
      </c>
      <c r="F9790" t="s">
        <v>43877</v>
      </c>
      <c r="G9790" s="1">
        <v>41969</v>
      </c>
      <c r="I9790" t="s">
        <v>44983</v>
      </c>
      <c r="J9790" t="s">
        <v>45965</v>
      </c>
      <c r="K9790" t="s">
        <v>291</v>
      </c>
      <c r="M9790" t="s">
        <v>45966</v>
      </c>
      <c r="O9790" t="s">
        <v>94</v>
      </c>
      <c r="P9790">
        <v>45</v>
      </c>
      <c r="Q9790">
        <v>56.25</v>
      </c>
      <c r="R9790">
        <v>45</v>
      </c>
      <c r="S9790">
        <v>67.5</v>
      </c>
      <c r="T9790" t="s">
        <v>45967</v>
      </c>
    </row>
    <row r="9791" spans="1:20">
      <c r="A9791">
        <v>4797159</v>
      </c>
      <c r="B9791" t="s">
        <v>45968</v>
      </c>
      <c r="C9791" t="str">
        <f>"9782763723198"</f>
        <v>9782763723198</v>
      </c>
      <c r="D9791" t="str">
        <f>"9782763723204"</f>
        <v>9782763723204</v>
      </c>
      <c r="E9791" t="s">
        <v>43877</v>
      </c>
      <c r="F9791" t="s">
        <v>43877</v>
      </c>
      <c r="G9791" s="1">
        <v>41640</v>
      </c>
      <c r="I9791" t="s">
        <v>44694</v>
      </c>
      <c r="J9791" t="s">
        <v>45969</v>
      </c>
      <c r="K9791" t="s">
        <v>525</v>
      </c>
      <c r="M9791">
        <v>342</v>
      </c>
      <c r="O9791" t="s">
        <v>94</v>
      </c>
      <c r="P9791">
        <v>45</v>
      </c>
      <c r="Q9791">
        <v>56.25</v>
      </c>
      <c r="R9791">
        <v>45</v>
      </c>
      <c r="S9791">
        <v>67.5</v>
      </c>
      <c r="T9791" t="s">
        <v>45970</v>
      </c>
    </row>
    <row r="9792" spans="1:20">
      <c r="A9792">
        <v>4797160</v>
      </c>
      <c r="B9792" t="s">
        <v>45971</v>
      </c>
      <c r="C9792" t="str">
        <f>"9782763723228"</f>
        <v>9782763723228</v>
      </c>
      <c r="D9792" t="str">
        <f>"9782763723235"</f>
        <v>9782763723235</v>
      </c>
      <c r="E9792" t="s">
        <v>43877</v>
      </c>
      <c r="F9792" t="s">
        <v>43877</v>
      </c>
      <c r="G9792" s="1">
        <v>41640</v>
      </c>
      <c r="H9792">
        <v>2</v>
      </c>
      <c r="I9792" t="s">
        <v>43283</v>
      </c>
      <c r="J9792" t="s">
        <v>45972</v>
      </c>
      <c r="K9792" t="s">
        <v>10956</v>
      </c>
      <c r="M9792" t="s">
        <v>45973</v>
      </c>
      <c r="O9792" t="s">
        <v>94</v>
      </c>
      <c r="P9792">
        <v>40</v>
      </c>
      <c r="Q9792">
        <v>50</v>
      </c>
      <c r="R9792">
        <v>40</v>
      </c>
      <c r="S9792">
        <v>60</v>
      </c>
      <c r="T9792" t="s">
        <v>45974</v>
      </c>
    </row>
    <row r="9793" spans="1:20">
      <c r="A9793">
        <v>4797161</v>
      </c>
      <c r="B9793" t="s">
        <v>45975</v>
      </c>
      <c r="C9793" t="str">
        <f>"9782763724300"</f>
        <v>9782763724300</v>
      </c>
      <c r="D9793" t="str">
        <f>"9782763724317"</f>
        <v>9782763724317</v>
      </c>
      <c r="E9793" t="s">
        <v>43877</v>
      </c>
      <c r="F9793" t="s">
        <v>43877</v>
      </c>
      <c r="G9793" s="1">
        <v>41969</v>
      </c>
      <c r="I9793" t="s">
        <v>43283</v>
      </c>
      <c r="J9793" t="s">
        <v>45976</v>
      </c>
      <c r="K9793" t="s">
        <v>4081</v>
      </c>
      <c r="M9793">
        <v>440.971</v>
      </c>
      <c r="O9793" t="s">
        <v>94</v>
      </c>
      <c r="P9793">
        <v>40</v>
      </c>
      <c r="Q9793">
        <v>50</v>
      </c>
      <c r="R9793">
        <v>40</v>
      </c>
      <c r="S9793">
        <v>60</v>
      </c>
      <c r="T9793" t="s">
        <v>45977</v>
      </c>
    </row>
    <row r="9794" spans="1:20">
      <c r="A9794">
        <v>4797162</v>
      </c>
      <c r="B9794" t="s">
        <v>45978</v>
      </c>
      <c r="C9794" t="str">
        <f>"9782763724607"</f>
        <v>9782763724607</v>
      </c>
      <c r="D9794" t="str">
        <f>"9782763724614"</f>
        <v>9782763724614</v>
      </c>
      <c r="E9794" t="s">
        <v>43877</v>
      </c>
      <c r="F9794" t="s">
        <v>43877</v>
      </c>
      <c r="G9794" s="1">
        <v>42005</v>
      </c>
      <c r="I9794" t="s">
        <v>43283</v>
      </c>
      <c r="J9794" t="s">
        <v>45979</v>
      </c>
      <c r="K9794" t="s">
        <v>45980</v>
      </c>
      <c r="L9794" t="s">
        <v>45981</v>
      </c>
      <c r="M9794" t="s">
        <v>45982</v>
      </c>
      <c r="O9794" t="s">
        <v>94</v>
      </c>
      <c r="P9794">
        <v>30</v>
      </c>
      <c r="Q9794">
        <v>37.5</v>
      </c>
      <c r="R9794">
        <v>30</v>
      </c>
      <c r="S9794">
        <v>45</v>
      </c>
      <c r="T9794" t="s">
        <v>45983</v>
      </c>
    </row>
    <row r="9795" spans="1:20">
      <c r="A9795">
        <v>4797163</v>
      </c>
      <c r="B9795" t="s">
        <v>45984</v>
      </c>
      <c r="C9795" t="str">
        <f>"9782760540927"</f>
        <v>9782760540927</v>
      </c>
      <c r="D9795" t="str">
        <f>"9782760540934"</f>
        <v>9782760540934</v>
      </c>
      <c r="E9795" t="s">
        <v>33376</v>
      </c>
      <c r="F9795" t="s">
        <v>43423</v>
      </c>
      <c r="G9795" s="1">
        <v>42004</v>
      </c>
      <c r="J9795" t="s">
        <v>45985</v>
      </c>
      <c r="K9795" t="s">
        <v>257</v>
      </c>
      <c r="M9795">
        <v>371.90440000000001</v>
      </c>
      <c r="O9795" t="s">
        <v>94</v>
      </c>
      <c r="P9795">
        <v>21.99</v>
      </c>
      <c r="Q9795">
        <v>27.49</v>
      </c>
      <c r="R9795">
        <v>21.99</v>
      </c>
      <c r="S9795">
        <v>32.99</v>
      </c>
      <c r="T9795" t="s">
        <v>45986</v>
      </c>
    </row>
    <row r="9796" spans="1:20">
      <c r="A9796">
        <v>4797164</v>
      </c>
      <c r="B9796" t="s">
        <v>45987</v>
      </c>
      <c r="C9796" t="str">
        <f>"9782760540958"</f>
        <v>9782760540958</v>
      </c>
      <c r="D9796" t="str">
        <f>"9782760540965"</f>
        <v>9782760540965</v>
      </c>
      <c r="E9796" t="s">
        <v>33376</v>
      </c>
      <c r="F9796" t="s">
        <v>43423</v>
      </c>
      <c r="G9796" s="1">
        <v>36526</v>
      </c>
      <c r="I9796" t="s">
        <v>33190</v>
      </c>
      <c r="J9796" t="s">
        <v>45988</v>
      </c>
      <c r="K9796" t="s">
        <v>376</v>
      </c>
      <c r="M9796" t="s">
        <v>45989</v>
      </c>
      <c r="O9796" t="s">
        <v>94</v>
      </c>
      <c r="P9796">
        <v>29.99</v>
      </c>
      <c r="Q9796">
        <v>37.49</v>
      </c>
      <c r="R9796">
        <v>29.99</v>
      </c>
      <c r="S9796">
        <v>44.99</v>
      </c>
      <c r="T9796" t="s">
        <v>45990</v>
      </c>
    </row>
    <row r="9797" spans="1:20">
      <c r="A9797">
        <v>4797165</v>
      </c>
      <c r="B9797" t="s">
        <v>45991</v>
      </c>
      <c r="C9797" t="str">
        <f>"9782760541016"</f>
        <v>9782760541016</v>
      </c>
      <c r="D9797" t="str">
        <f>"9782760541023"</f>
        <v>9782760541023</v>
      </c>
      <c r="E9797" t="s">
        <v>33376</v>
      </c>
      <c r="F9797" t="s">
        <v>43423</v>
      </c>
      <c r="G9797" s="1">
        <v>36526</v>
      </c>
      <c r="I9797" t="s">
        <v>45992</v>
      </c>
      <c r="J9797" t="s">
        <v>45993</v>
      </c>
      <c r="K9797" t="s">
        <v>257</v>
      </c>
      <c r="M9797">
        <v>371.26</v>
      </c>
      <c r="O9797" t="s">
        <v>94</v>
      </c>
      <c r="P9797">
        <v>18.989999999999998</v>
      </c>
      <c r="Q9797">
        <v>23.74</v>
      </c>
      <c r="R9797">
        <v>18.989999999999998</v>
      </c>
      <c r="S9797">
        <v>28.49</v>
      </c>
      <c r="T9797" t="s">
        <v>45994</v>
      </c>
    </row>
    <row r="9798" spans="1:20">
      <c r="A9798">
        <v>4797166</v>
      </c>
      <c r="B9798" t="s">
        <v>45995</v>
      </c>
      <c r="C9798" t="str">
        <f>"9782760541108"</f>
        <v>9782760541108</v>
      </c>
      <c r="D9798" t="str">
        <f>"9782760541115"</f>
        <v>9782760541115</v>
      </c>
      <c r="E9798" t="s">
        <v>33376</v>
      </c>
      <c r="F9798" t="s">
        <v>43423</v>
      </c>
      <c r="G9798" s="1">
        <v>36526</v>
      </c>
      <c r="H9798">
        <v>2</v>
      </c>
      <c r="J9798" t="s">
        <v>33403</v>
      </c>
      <c r="K9798" t="s">
        <v>467</v>
      </c>
      <c r="M9798">
        <v>321.8</v>
      </c>
      <c r="O9798" t="s">
        <v>94</v>
      </c>
      <c r="P9798">
        <v>18.989999999999998</v>
      </c>
      <c r="Q9798">
        <v>23.74</v>
      </c>
      <c r="R9798">
        <v>18.989999999999998</v>
      </c>
      <c r="S9798">
        <v>28.49</v>
      </c>
      <c r="T9798" t="s">
        <v>45996</v>
      </c>
    </row>
    <row r="9799" spans="1:20">
      <c r="A9799">
        <v>4797167</v>
      </c>
      <c r="B9799" t="s">
        <v>45997</v>
      </c>
      <c r="C9799" t="str">
        <f>"9782760541221"</f>
        <v>9782760541221</v>
      </c>
      <c r="D9799" t="str">
        <f>"9782760541238"</f>
        <v>9782760541238</v>
      </c>
      <c r="E9799" t="s">
        <v>33376</v>
      </c>
      <c r="F9799" t="s">
        <v>43423</v>
      </c>
      <c r="G9799" s="1">
        <v>36526</v>
      </c>
      <c r="J9799" t="s">
        <v>45998</v>
      </c>
      <c r="K9799" t="s">
        <v>305</v>
      </c>
      <c r="M9799" t="s">
        <v>45999</v>
      </c>
      <c r="O9799" t="s">
        <v>94</v>
      </c>
      <c r="P9799">
        <v>35.99</v>
      </c>
      <c r="Q9799">
        <v>44.99</v>
      </c>
      <c r="R9799">
        <v>35.99</v>
      </c>
      <c r="S9799">
        <v>53.99</v>
      </c>
      <c r="T9799" t="s">
        <v>46000</v>
      </c>
    </row>
    <row r="9800" spans="1:20">
      <c r="A9800">
        <v>4797168</v>
      </c>
      <c r="B9800" t="s">
        <v>46001</v>
      </c>
      <c r="C9800" t="str">
        <f>"9782763722351"</f>
        <v>9782763722351</v>
      </c>
      <c r="D9800" t="str">
        <f>"9782763722368"</f>
        <v>9782763722368</v>
      </c>
      <c r="E9800" t="s">
        <v>43877</v>
      </c>
      <c r="F9800" t="s">
        <v>43877</v>
      </c>
      <c r="G9800" s="1">
        <v>42005</v>
      </c>
      <c r="I9800" t="s">
        <v>43283</v>
      </c>
      <c r="J9800" t="s">
        <v>46002</v>
      </c>
      <c r="K9800" t="s">
        <v>467</v>
      </c>
      <c r="M9800">
        <v>322.10000000000002</v>
      </c>
      <c r="O9800" t="s">
        <v>94</v>
      </c>
      <c r="P9800">
        <v>29.95</v>
      </c>
      <c r="Q9800">
        <v>37.44</v>
      </c>
      <c r="R9800">
        <v>29.95</v>
      </c>
      <c r="S9800">
        <v>44.93</v>
      </c>
      <c r="T9800" t="s">
        <v>46003</v>
      </c>
    </row>
    <row r="9801" spans="1:20">
      <c r="A9801">
        <v>4797169</v>
      </c>
      <c r="B9801" t="s">
        <v>46004</v>
      </c>
      <c r="C9801" t="str">
        <f>"9782763722474"</f>
        <v>9782763722474</v>
      </c>
      <c r="D9801" t="str">
        <f>"9782763722481"</f>
        <v>9782763722481</v>
      </c>
      <c r="E9801" t="s">
        <v>43877</v>
      </c>
      <c r="F9801" t="s">
        <v>43877</v>
      </c>
      <c r="G9801" s="1">
        <v>42020</v>
      </c>
      <c r="I9801" t="s">
        <v>43283</v>
      </c>
      <c r="J9801" t="s">
        <v>46005</v>
      </c>
      <c r="K9801" t="s">
        <v>257</v>
      </c>
      <c r="M9801" t="s">
        <v>46006</v>
      </c>
      <c r="O9801" t="s">
        <v>94</v>
      </c>
      <c r="P9801">
        <v>27.95</v>
      </c>
      <c r="Q9801">
        <v>34.94</v>
      </c>
      <c r="R9801">
        <v>27.95</v>
      </c>
      <c r="S9801">
        <v>41.93</v>
      </c>
      <c r="T9801" t="s">
        <v>46007</v>
      </c>
    </row>
    <row r="9802" spans="1:20">
      <c r="A9802">
        <v>4797170</v>
      </c>
      <c r="B9802" t="s">
        <v>46008</v>
      </c>
      <c r="C9802" t="str">
        <f>"9782763722986"</f>
        <v>9782763722986</v>
      </c>
      <c r="D9802" t="str">
        <f>"9782763722993"</f>
        <v>9782763722993</v>
      </c>
      <c r="E9802" t="s">
        <v>43877</v>
      </c>
      <c r="F9802" t="s">
        <v>43877</v>
      </c>
      <c r="G9802" s="1">
        <v>42011</v>
      </c>
      <c r="I9802" t="s">
        <v>44819</v>
      </c>
      <c r="J9802" t="s">
        <v>45003</v>
      </c>
      <c r="K9802" t="s">
        <v>110</v>
      </c>
      <c r="M9802" t="s">
        <v>46009</v>
      </c>
      <c r="O9802" t="s">
        <v>94</v>
      </c>
      <c r="P9802">
        <v>30</v>
      </c>
      <c r="Q9802">
        <v>37.5</v>
      </c>
      <c r="R9802">
        <v>30</v>
      </c>
      <c r="S9802">
        <v>45</v>
      </c>
      <c r="T9802" t="s">
        <v>46010</v>
      </c>
    </row>
    <row r="9803" spans="1:20">
      <c r="A9803">
        <v>4797171</v>
      </c>
      <c r="B9803" t="s">
        <v>46011</v>
      </c>
      <c r="C9803" t="str">
        <f>"9782763723075"</f>
        <v>9782763723075</v>
      </c>
      <c r="D9803" t="str">
        <f>"9782763723082"</f>
        <v>9782763723082</v>
      </c>
      <c r="E9803" t="s">
        <v>43877</v>
      </c>
      <c r="F9803" t="s">
        <v>43877</v>
      </c>
      <c r="G9803" s="1">
        <v>42005</v>
      </c>
      <c r="I9803" t="s">
        <v>44173</v>
      </c>
      <c r="J9803" t="s">
        <v>46012</v>
      </c>
      <c r="K9803" t="s">
        <v>305</v>
      </c>
      <c r="M9803">
        <v>658.16</v>
      </c>
      <c r="O9803" t="s">
        <v>94</v>
      </c>
      <c r="P9803">
        <v>45</v>
      </c>
      <c r="Q9803">
        <v>56.25</v>
      </c>
      <c r="R9803">
        <v>45</v>
      </c>
      <c r="S9803">
        <v>67.5</v>
      </c>
      <c r="T9803" t="s">
        <v>46013</v>
      </c>
    </row>
    <row r="9804" spans="1:20">
      <c r="A9804">
        <v>4797172</v>
      </c>
      <c r="B9804" t="s">
        <v>46014</v>
      </c>
      <c r="C9804" t="str">
        <f>"9782763723679"</f>
        <v>9782763723679</v>
      </c>
      <c r="D9804" t="str">
        <f>"9782763723686"</f>
        <v>9782763723686</v>
      </c>
      <c r="E9804" t="s">
        <v>43877</v>
      </c>
      <c r="F9804" t="s">
        <v>43877</v>
      </c>
      <c r="G9804" s="1">
        <v>42013</v>
      </c>
      <c r="I9804" t="s">
        <v>44819</v>
      </c>
      <c r="J9804" t="s">
        <v>46015</v>
      </c>
      <c r="K9804" t="s">
        <v>291</v>
      </c>
      <c r="M9804">
        <v>971.40049712400003</v>
      </c>
      <c r="O9804" t="s">
        <v>94</v>
      </c>
      <c r="P9804">
        <v>39</v>
      </c>
      <c r="Q9804">
        <v>48.75</v>
      </c>
      <c r="R9804">
        <v>39</v>
      </c>
      <c r="S9804">
        <v>58.5</v>
      </c>
      <c r="T9804" t="s">
        <v>46016</v>
      </c>
    </row>
    <row r="9805" spans="1:20">
      <c r="A9805">
        <v>4797173</v>
      </c>
      <c r="B9805" t="s">
        <v>46017</v>
      </c>
      <c r="C9805" t="str">
        <f>"9782763723709"</f>
        <v>9782763723709</v>
      </c>
      <c r="D9805" t="str">
        <f>"9782763723716"</f>
        <v>9782763723716</v>
      </c>
      <c r="E9805" t="s">
        <v>43877</v>
      </c>
      <c r="F9805" t="s">
        <v>43877</v>
      </c>
      <c r="G9805" s="1">
        <v>42013</v>
      </c>
      <c r="I9805" t="s">
        <v>44203</v>
      </c>
      <c r="J9805" t="s">
        <v>46018</v>
      </c>
      <c r="K9805" t="s">
        <v>467</v>
      </c>
      <c r="M9805">
        <v>327.101</v>
      </c>
      <c r="O9805" t="s">
        <v>94</v>
      </c>
      <c r="P9805">
        <v>35</v>
      </c>
      <c r="Q9805">
        <v>43.75</v>
      </c>
      <c r="R9805">
        <v>35</v>
      </c>
      <c r="S9805">
        <v>52.5</v>
      </c>
      <c r="T9805" t="s">
        <v>46019</v>
      </c>
    </row>
    <row r="9806" spans="1:20">
      <c r="A9806">
        <v>4797174</v>
      </c>
      <c r="B9806" t="s">
        <v>46020</v>
      </c>
      <c r="C9806" t="str">
        <f>"9782763723976"</f>
        <v>9782763723976</v>
      </c>
      <c r="D9806" t="str">
        <f>"9782763723983"</f>
        <v>9782763723983</v>
      </c>
      <c r="E9806" t="s">
        <v>43877</v>
      </c>
      <c r="F9806" t="s">
        <v>43877</v>
      </c>
      <c r="G9806" s="1">
        <v>41640</v>
      </c>
      <c r="I9806" t="s">
        <v>43283</v>
      </c>
      <c r="J9806" t="s">
        <v>46021</v>
      </c>
      <c r="K9806" t="s">
        <v>257</v>
      </c>
      <c r="M9806">
        <v>371.97</v>
      </c>
      <c r="O9806" t="s">
        <v>94</v>
      </c>
      <c r="P9806">
        <v>30</v>
      </c>
      <c r="Q9806">
        <v>37.5</v>
      </c>
      <c r="R9806">
        <v>30</v>
      </c>
      <c r="S9806">
        <v>45</v>
      </c>
      <c r="T9806" t="s">
        <v>46022</v>
      </c>
    </row>
    <row r="9807" spans="1:20">
      <c r="A9807">
        <v>4797175</v>
      </c>
      <c r="B9807" t="s">
        <v>46023</v>
      </c>
      <c r="C9807" t="str">
        <f>"9782763724188"</f>
        <v>9782763724188</v>
      </c>
      <c r="D9807" t="str">
        <f>"9782763724195"</f>
        <v>9782763724195</v>
      </c>
      <c r="E9807" t="s">
        <v>43877</v>
      </c>
      <c r="F9807" t="s">
        <v>43877</v>
      </c>
      <c r="G9807" s="1">
        <v>42041</v>
      </c>
      <c r="I9807" t="s">
        <v>43283</v>
      </c>
      <c r="J9807" t="s">
        <v>46024</v>
      </c>
      <c r="K9807" t="s">
        <v>416</v>
      </c>
      <c r="M9807">
        <v>338.92700000000002</v>
      </c>
      <c r="O9807" t="s">
        <v>94</v>
      </c>
      <c r="P9807">
        <v>19.95</v>
      </c>
      <c r="Q9807">
        <v>24.94</v>
      </c>
      <c r="R9807">
        <v>19.95</v>
      </c>
      <c r="S9807">
        <v>29.93</v>
      </c>
      <c r="T9807" t="s">
        <v>46025</v>
      </c>
    </row>
    <row r="9808" spans="1:20">
      <c r="A9808">
        <v>4797176</v>
      </c>
      <c r="B9808" t="s">
        <v>46026</v>
      </c>
      <c r="C9808" t="str">
        <f>"9782763716985"</f>
        <v>9782763716985</v>
      </c>
      <c r="D9808" t="str">
        <f>"9782763716992"</f>
        <v>9782763716992</v>
      </c>
      <c r="E9808" t="s">
        <v>43877</v>
      </c>
      <c r="F9808" t="s">
        <v>43877</v>
      </c>
      <c r="G9808" s="1">
        <v>42005</v>
      </c>
      <c r="I9808" t="s">
        <v>46027</v>
      </c>
      <c r="J9808" t="s">
        <v>46028</v>
      </c>
      <c r="K9808" t="s">
        <v>263</v>
      </c>
      <c r="M9808">
        <v>305.81</v>
      </c>
      <c r="O9808" t="s">
        <v>94</v>
      </c>
      <c r="P9808">
        <v>44.95</v>
      </c>
      <c r="Q9808">
        <v>56.19</v>
      </c>
      <c r="R9808">
        <v>44.95</v>
      </c>
      <c r="S9808">
        <v>67.430000000000007</v>
      </c>
      <c r="T9808" t="s">
        <v>46029</v>
      </c>
    </row>
    <row r="9809" spans="1:20">
      <c r="A9809">
        <v>4797177</v>
      </c>
      <c r="B9809" t="s">
        <v>46030</v>
      </c>
      <c r="C9809" t="str">
        <f>"9782763719597"</f>
        <v>9782763719597</v>
      </c>
      <c r="D9809" t="str">
        <f>"9782763719603"</f>
        <v>9782763719603</v>
      </c>
      <c r="E9809" t="s">
        <v>43877</v>
      </c>
      <c r="F9809" t="s">
        <v>43877</v>
      </c>
      <c r="G9809" s="1">
        <v>42005</v>
      </c>
      <c r="I9809" t="s">
        <v>46031</v>
      </c>
      <c r="J9809" t="s">
        <v>46032</v>
      </c>
      <c r="M9809" t="s">
        <v>46033</v>
      </c>
      <c r="O9809" t="s">
        <v>94</v>
      </c>
      <c r="P9809">
        <v>39.950000000000003</v>
      </c>
      <c r="Q9809">
        <v>49.94</v>
      </c>
      <c r="R9809">
        <v>39.950000000000003</v>
      </c>
      <c r="S9809">
        <v>59.93</v>
      </c>
      <c r="T9809" t="s">
        <v>46034</v>
      </c>
    </row>
    <row r="9810" spans="1:20">
      <c r="A9810">
        <v>4797178</v>
      </c>
      <c r="B9810" t="s">
        <v>46035</v>
      </c>
      <c r="C9810" t="str">
        <f>"9782763722269"</f>
        <v>9782763722269</v>
      </c>
      <c r="D9810" t="str">
        <f>"9782763722276"</f>
        <v>9782763722276</v>
      </c>
      <c r="E9810" t="s">
        <v>43877</v>
      </c>
      <c r="F9810" t="s">
        <v>43877</v>
      </c>
      <c r="G9810" s="1">
        <v>42005</v>
      </c>
      <c r="I9810" t="s">
        <v>46036</v>
      </c>
      <c r="J9810" t="s">
        <v>46037</v>
      </c>
      <c r="K9810" t="s">
        <v>263</v>
      </c>
      <c r="M9810" t="s">
        <v>46038</v>
      </c>
      <c r="O9810" t="s">
        <v>94</v>
      </c>
      <c r="P9810">
        <v>24.95</v>
      </c>
      <c r="Q9810">
        <v>31.19</v>
      </c>
      <c r="R9810">
        <v>24.95</v>
      </c>
      <c r="S9810">
        <v>37.43</v>
      </c>
      <c r="T9810" t="s">
        <v>46039</v>
      </c>
    </row>
    <row r="9811" spans="1:20">
      <c r="A9811">
        <v>4797179</v>
      </c>
      <c r="B9811" t="s">
        <v>46040</v>
      </c>
      <c r="C9811" t="str">
        <f>"9782763722535"</f>
        <v>9782763722535</v>
      </c>
      <c r="D9811" t="str">
        <f>"9782763722542"</f>
        <v>9782763722542</v>
      </c>
      <c r="E9811" t="s">
        <v>43877</v>
      </c>
      <c r="F9811" t="s">
        <v>43877</v>
      </c>
      <c r="G9811" s="1">
        <v>42005</v>
      </c>
      <c r="I9811" t="s">
        <v>46041</v>
      </c>
      <c r="J9811" t="s">
        <v>46042</v>
      </c>
      <c r="K9811" t="s">
        <v>1892</v>
      </c>
      <c r="M9811">
        <v>200.71</v>
      </c>
      <c r="O9811" t="s">
        <v>94</v>
      </c>
      <c r="P9811">
        <v>49.95</v>
      </c>
      <c r="Q9811">
        <v>62.44</v>
      </c>
      <c r="R9811">
        <v>49.95</v>
      </c>
      <c r="S9811">
        <v>74.930000000000007</v>
      </c>
      <c r="T9811" t="s">
        <v>46043</v>
      </c>
    </row>
    <row r="9812" spans="1:20">
      <c r="A9812">
        <v>4797180</v>
      </c>
      <c r="B9812" t="s">
        <v>46044</v>
      </c>
      <c r="C9812" t="str">
        <f>"9782763724423"</f>
        <v>9782763724423</v>
      </c>
      <c r="D9812" t="str">
        <f>"9782763724430"</f>
        <v>9782763724430</v>
      </c>
      <c r="E9812" t="s">
        <v>43877</v>
      </c>
      <c r="F9812" t="s">
        <v>43877</v>
      </c>
      <c r="G9812" s="1">
        <v>42027</v>
      </c>
      <c r="I9812" t="s">
        <v>43283</v>
      </c>
      <c r="J9812" t="s">
        <v>46045</v>
      </c>
      <c r="K9812" t="s">
        <v>467</v>
      </c>
      <c r="M9812">
        <v>320.97140904999998</v>
      </c>
      <c r="O9812" t="s">
        <v>94</v>
      </c>
      <c r="P9812">
        <v>16</v>
      </c>
      <c r="Q9812">
        <v>20</v>
      </c>
      <c r="R9812">
        <v>16</v>
      </c>
      <c r="S9812">
        <v>24</v>
      </c>
      <c r="T9812" t="s">
        <v>46046</v>
      </c>
    </row>
    <row r="9813" spans="1:20">
      <c r="A9813">
        <v>4797181</v>
      </c>
      <c r="B9813" t="s">
        <v>46047</v>
      </c>
      <c r="C9813" t="str">
        <f>"9782763724782"</f>
        <v>9782763724782</v>
      </c>
      <c r="D9813" t="str">
        <f>"9782763724799"</f>
        <v>9782763724799</v>
      </c>
      <c r="E9813" t="s">
        <v>43877</v>
      </c>
      <c r="F9813" t="s">
        <v>43877</v>
      </c>
      <c r="G9813" s="1">
        <v>42005</v>
      </c>
      <c r="I9813" t="s">
        <v>46048</v>
      </c>
      <c r="J9813" t="s">
        <v>46049</v>
      </c>
      <c r="K9813" t="s">
        <v>1471</v>
      </c>
      <c r="M9813">
        <v>791.43010000000004</v>
      </c>
      <c r="O9813" t="s">
        <v>94</v>
      </c>
      <c r="P9813">
        <v>34.950000000000003</v>
      </c>
      <c r="Q9813">
        <v>43.69</v>
      </c>
      <c r="R9813">
        <v>34.950000000000003</v>
      </c>
      <c r="S9813">
        <v>52.43</v>
      </c>
      <c r="T9813" t="s">
        <v>46050</v>
      </c>
    </row>
    <row r="9814" spans="1:20">
      <c r="A9814">
        <v>4797182</v>
      </c>
      <c r="B9814" t="s">
        <v>46051</v>
      </c>
      <c r="C9814" t="str">
        <f>"9782763724904"</f>
        <v>9782763724904</v>
      </c>
      <c r="D9814" t="str">
        <f>"9782763724911"</f>
        <v>9782763724911</v>
      </c>
      <c r="E9814" t="s">
        <v>43877</v>
      </c>
      <c r="F9814" t="s">
        <v>43877</v>
      </c>
      <c r="G9814" s="1">
        <v>42046</v>
      </c>
      <c r="I9814" t="s">
        <v>46052</v>
      </c>
      <c r="J9814" t="s">
        <v>46053</v>
      </c>
      <c r="K9814" t="s">
        <v>263</v>
      </c>
      <c r="M9814">
        <v>306.740973</v>
      </c>
      <c r="O9814" t="s">
        <v>94</v>
      </c>
      <c r="P9814">
        <v>34.950000000000003</v>
      </c>
      <c r="Q9814">
        <v>43.69</v>
      </c>
      <c r="R9814">
        <v>34.950000000000003</v>
      </c>
      <c r="S9814">
        <v>52.43</v>
      </c>
      <c r="T9814" t="s">
        <v>46054</v>
      </c>
    </row>
    <row r="9815" spans="1:20">
      <c r="A9815">
        <v>4797183</v>
      </c>
      <c r="B9815" t="s">
        <v>46055</v>
      </c>
      <c r="C9815" t="str">
        <f>"9782763725260"</f>
        <v>9782763725260</v>
      </c>
      <c r="D9815" t="str">
        <f>"9782763725277"</f>
        <v>9782763725277</v>
      </c>
      <c r="E9815" t="s">
        <v>43877</v>
      </c>
      <c r="F9815" t="s">
        <v>43877</v>
      </c>
      <c r="G9815" s="1">
        <v>42005</v>
      </c>
      <c r="I9815" t="s">
        <v>46056</v>
      </c>
      <c r="J9815" t="s">
        <v>44741</v>
      </c>
      <c r="K9815" t="s">
        <v>1127</v>
      </c>
      <c r="M9815">
        <v>150</v>
      </c>
      <c r="O9815" t="s">
        <v>94</v>
      </c>
      <c r="P9815">
        <v>29.95</v>
      </c>
      <c r="Q9815">
        <v>37.44</v>
      </c>
      <c r="R9815">
        <v>29.95</v>
      </c>
      <c r="S9815">
        <v>44.93</v>
      </c>
      <c r="T9815" t="s">
        <v>46057</v>
      </c>
    </row>
    <row r="9816" spans="1:20">
      <c r="A9816">
        <v>4797184</v>
      </c>
      <c r="B9816" t="s">
        <v>46058</v>
      </c>
      <c r="C9816" t="str">
        <f>"9782763725567"</f>
        <v>9782763725567</v>
      </c>
      <c r="D9816" t="str">
        <f>"9782763725574"</f>
        <v>9782763725574</v>
      </c>
      <c r="E9816" t="s">
        <v>43877</v>
      </c>
      <c r="F9816" t="s">
        <v>43877</v>
      </c>
      <c r="G9816" s="1">
        <v>42046</v>
      </c>
      <c r="I9816" t="s">
        <v>46059</v>
      </c>
      <c r="J9816" t="s">
        <v>46060</v>
      </c>
      <c r="K9816" t="s">
        <v>291</v>
      </c>
      <c r="L9816" t="s">
        <v>46061</v>
      </c>
      <c r="M9816">
        <v>971.03399999999999</v>
      </c>
      <c r="O9816" t="s">
        <v>94</v>
      </c>
      <c r="P9816">
        <v>29.95</v>
      </c>
      <c r="Q9816">
        <v>37.44</v>
      </c>
      <c r="R9816">
        <v>29.95</v>
      </c>
      <c r="S9816">
        <v>44.93</v>
      </c>
      <c r="T9816" t="s">
        <v>46062</v>
      </c>
    </row>
    <row r="9817" spans="1:20">
      <c r="A9817">
        <v>4797185</v>
      </c>
      <c r="B9817" t="s">
        <v>46063</v>
      </c>
      <c r="C9817" t="str">
        <f>"9782763725680"</f>
        <v>9782763725680</v>
      </c>
      <c r="D9817" t="str">
        <f>"9782763725697"</f>
        <v>9782763725697</v>
      </c>
      <c r="E9817" t="s">
        <v>43877</v>
      </c>
      <c r="F9817" t="s">
        <v>43877</v>
      </c>
      <c r="G9817" s="1">
        <v>42046</v>
      </c>
      <c r="I9817" t="s">
        <v>46064</v>
      </c>
      <c r="J9817" t="s">
        <v>46065</v>
      </c>
      <c r="K9817" t="s">
        <v>525</v>
      </c>
      <c r="M9817">
        <v>344.01</v>
      </c>
      <c r="O9817" t="s">
        <v>94</v>
      </c>
      <c r="P9817">
        <v>74.95</v>
      </c>
      <c r="Q9817">
        <v>93.69</v>
      </c>
      <c r="R9817">
        <v>74.95</v>
      </c>
      <c r="S9817">
        <v>112.43</v>
      </c>
      <c r="T9817" t="s">
        <v>46066</v>
      </c>
    </row>
    <row r="9818" spans="1:20">
      <c r="A9818">
        <v>4797186</v>
      </c>
      <c r="B9818" t="s">
        <v>46067</v>
      </c>
      <c r="C9818" t="str">
        <f>"9782763721392"</f>
        <v>9782763721392</v>
      </c>
      <c r="D9818" t="str">
        <f>"9782763721408"</f>
        <v>9782763721408</v>
      </c>
      <c r="E9818" t="s">
        <v>43877</v>
      </c>
      <c r="F9818" t="s">
        <v>43877</v>
      </c>
      <c r="G9818" s="1">
        <v>42005</v>
      </c>
      <c r="I9818" t="s">
        <v>46068</v>
      </c>
      <c r="J9818" t="s">
        <v>46069</v>
      </c>
      <c r="K9818" t="s">
        <v>291</v>
      </c>
      <c r="M9818">
        <v>940.48099999999999</v>
      </c>
      <c r="O9818" t="s">
        <v>94</v>
      </c>
      <c r="P9818">
        <v>29.95</v>
      </c>
      <c r="Q9818">
        <v>37.44</v>
      </c>
      <c r="R9818">
        <v>29.95</v>
      </c>
      <c r="S9818">
        <v>44.93</v>
      </c>
      <c r="T9818" t="s">
        <v>46070</v>
      </c>
    </row>
    <row r="9819" spans="1:20">
      <c r="A9819">
        <v>4797187</v>
      </c>
      <c r="B9819" t="s">
        <v>46071</v>
      </c>
      <c r="C9819" t="str">
        <f>"9782763722238"</f>
        <v>9782763722238</v>
      </c>
      <c r="D9819" t="str">
        <f>"9782763722245"</f>
        <v>9782763722245</v>
      </c>
      <c r="E9819" t="s">
        <v>43877</v>
      </c>
      <c r="F9819" t="s">
        <v>43877</v>
      </c>
      <c r="G9819" s="1">
        <v>42104</v>
      </c>
      <c r="I9819" t="s">
        <v>43283</v>
      </c>
      <c r="J9819" t="s">
        <v>46072</v>
      </c>
      <c r="K9819" t="s">
        <v>416</v>
      </c>
      <c r="M9819" t="s">
        <v>46073</v>
      </c>
      <c r="O9819" t="s">
        <v>94</v>
      </c>
      <c r="P9819">
        <v>39.950000000000003</v>
      </c>
      <c r="Q9819">
        <v>49.94</v>
      </c>
      <c r="R9819">
        <v>39.950000000000003</v>
      </c>
      <c r="S9819">
        <v>59.93</v>
      </c>
      <c r="T9819" t="s">
        <v>46074</v>
      </c>
    </row>
    <row r="9820" spans="1:20">
      <c r="A9820">
        <v>4797188</v>
      </c>
      <c r="B9820" t="s">
        <v>46075</v>
      </c>
      <c r="C9820" t="str">
        <f>"9782763722689"</f>
        <v>9782763722689</v>
      </c>
      <c r="D9820" t="str">
        <f>"9782763722696"</f>
        <v>9782763722696</v>
      </c>
      <c r="E9820" t="s">
        <v>43877</v>
      </c>
      <c r="F9820" t="s">
        <v>43877</v>
      </c>
      <c r="G9820" s="1">
        <v>42104</v>
      </c>
      <c r="I9820" t="s">
        <v>43283</v>
      </c>
      <c r="J9820" t="s">
        <v>46076</v>
      </c>
      <c r="K9820" t="s">
        <v>291</v>
      </c>
      <c r="M9820" t="s">
        <v>46077</v>
      </c>
      <c r="O9820" t="s">
        <v>94</v>
      </c>
      <c r="P9820">
        <v>34.950000000000003</v>
      </c>
      <c r="Q9820">
        <v>43.69</v>
      </c>
      <c r="R9820">
        <v>34.950000000000003</v>
      </c>
      <c r="S9820">
        <v>52.43</v>
      </c>
      <c r="T9820" t="s">
        <v>46078</v>
      </c>
    </row>
    <row r="9821" spans="1:20">
      <c r="A9821">
        <v>4797190</v>
      </c>
      <c r="B9821" t="s">
        <v>46079</v>
      </c>
      <c r="C9821" t="str">
        <f>"9782763725659"</f>
        <v>9782763725659</v>
      </c>
      <c r="D9821" t="str">
        <f>"9782763725666"</f>
        <v>9782763725666</v>
      </c>
      <c r="E9821" t="s">
        <v>43877</v>
      </c>
      <c r="F9821" t="s">
        <v>43877</v>
      </c>
      <c r="G9821" s="1">
        <v>42104</v>
      </c>
      <c r="I9821" t="s">
        <v>43283</v>
      </c>
      <c r="J9821" t="s">
        <v>46080</v>
      </c>
      <c r="K9821" t="s">
        <v>291</v>
      </c>
      <c r="M9821">
        <v>926.1</v>
      </c>
      <c r="O9821" t="s">
        <v>94</v>
      </c>
      <c r="P9821">
        <v>19.95</v>
      </c>
      <c r="Q9821">
        <v>24.94</v>
      </c>
      <c r="R9821">
        <v>19.95</v>
      </c>
      <c r="S9821">
        <v>29.93</v>
      </c>
      <c r="T9821" t="s">
        <v>46081</v>
      </c>
    </row>
    <row r="9822" spans="1:20">
      <c r="A9822">
        <v>4797191</v>
      </c>
      <c r="B9822" t="s">
        <v>46082</v>
      </c>
      <c r="C9822" t="str">
        <f>"9782763725741"</f>
        <v>9782763725741</v>
      </c>
      <c r="D9822" t="str">
        <f>"9782763725758"</f>
        <v>9782763725758</v>
      </c>
      <c r="E9822" t="s">
        <v>43877</v>
      </c>
      <c r="F9822" t="s">
        <v>43877</v>
      </c>
      <c r="G9822" s="1">
        <v>42104</v>
      </c>
      <c r="I9822" t="s">
        <v>43887</v>
      </c>
      <c r="J9822" t="s">
        <v>44041</v>
      </c>
      <c r="K9822" t="s">
        <v>42284</v>
      </c>
      <c r="M9822">
        <v>615.39</v>
      </c>
      <c r="O9822" t="s">
        <v>94</v>
      </c>
      <c r="P9822">
        <v>34.950000000000003</v>
      </c>
      <c r="Q9822">
        <v>43.69</v>
      </c>
      <c r="R9822">
        <v>34.950000000000003</v>
      </c>
      <c r="S9822">
        <v>52.43</v>
      </c>
      <c r="T9822" t="s">
        <v>46083</v>
      </c>
    </row>
    <row r="9823" spans="1:20">
      <c r="A9823">
        <v>4797192</v>
      </c>
      <c r="B9823" t="s">
        <v>46084</v>
      </c>
      <c r="C9823" t="str">
        <f>"9782763726670"</f>
        <v>9782763726670</v>
      </c>
      <c r="D9823" t="str">
        <f>"9782763726687"</f>
        <v>9782763726687</v>
      </c>
      <c r="E9823" t="s">
        <v>43877</v>
      </c>
      <c r="F9823" t="s">
        <v>43877</v>
      </c>
      <c r="G9823" s="1">
        <v>42104</v>
      </c>
      <c r="I9823" t="s">
        <v>46085</v>
      </c>
      <c r="J9823" t="s">
        <v>46086</v>
      </c>
      <c r="K9823" t="s">
        <v>31967</v>
      </c>
      <c r="M9823" t="s">
        <v>46087</v>
      </c>
      <c r="O9823" t="s">
        <v>94</v>
      </c>
      <c r="P9823">
        <v>24.95</v>
      </c>
      <c r="Q9823">
        <v>31.19</v>
      </c>
      <c r="R9823">
        <v>24.95</v>
      </c>
      <c r="S9823">
        <v>37.43</v>
      </c>
      <c r="T9823" t="s">
        <v>46088</v>
      </c>
    </row>
    <row r="9824" spans="1:20">
      <c r="A9824">
        <v>4797193</v>
      </c>
      <c r="B9824" t="s">
        <v>46089</v>
      </c>
      <c r="C9824" t="str">
        <f>"9782763726700"</f>
        <v>9782763726700</v>
      </c>
      <c r="D9824" t="str">
        <f>"9782763726717"</f>
        <v>9782763726717</v>
      </c>
      <c r="E9824" t="s">
        <v>43877</v>
      </c>
      <c r="F9824" t="s">
        <v>43877</v>
      </c>
      <c r="G9824" s="1">
        <v>42104</v>
      </c>
      <c r="I9824" t="s">
        <v>46090</v>
      </c>
      <c r="J9824" t="s">
        <v>46091</v>
      </c>
      <c r="K9824" t="s">
        <v>263</v>
      </c>
      <c r="M9824" t="s">
        <v>3365</v>
      </c>
      <c r="O9824" t="s">
        <v>94</v>
      </c>
      <c r="P9824">
        <v>34.950000000000003</v>
      </c>
      <c r="Q9824">
        <v>43.69</v>
      </c>
      <c r="R9824">
        <v>34.950000000000003</v>
      </c>
      <c r="S9824">
        <v>52.43</v>
      </c>
      <c r="T9824" t="s">
        <v>46092</v>
      </c>
    </row>
    <row r="9825" spans="1:20">
      <c r="A9825">
        <v>4797195</v>
      </c>
      <c r="B9825" t="s">
        <v>46093</v>
      </c>
      <c r="C9825" t="str">
        <f>"9782763719238"</f>
        <v>9782763719238</v>
      </c>
      <c r="D9825" t="str">
        <f>"9782763719245"</f>
        <v>9782763719245</v>
      </c>
      <c r="E9825" t="s">
        <v>43877</v>
      </c>
      <c r="F9825" t="s">
        <v>43877</v>
      </c>
      <c r="G9825" s="1">
        <v>36526</v>
      </c>
      <c r="I9825" t="s">
        <v>43283</v>
      </c>
      <c r="J9825" t="s">
        <v>46094</v>
      </c>
      <c r="K9825" t="s">
        <v>1859</v>
      </c>
      <c r="M9825">
        <v>170</v>
      </c>
      <c r="O9825" t="s">
        <v>94</v>
      </c>
      <c r="P9825">
        <v>29.95</v>
      </c>
      <c r="Q9825">
        <v>37.44</v>
      </c>
      <c r="R9825">
        <v>29.95</v>
      </c>
      <c r="S9825">
        <v>44.93</v>
      </c>
      <c r="T9825" t="s">
        <v>46095</v>
      </c>
    </row>
    <row r="9826" spans="1:20">
      <c r="A9826">
        <v>4797196</v>
      </c>
      <c r="B9826" t="s">
        <v>46096</v>
      </c>
      <c r="C9826" t="str">
        <f>"9782763719535"</f>
        <v>9782763719535</v>
      </c>
      <c r="D9826" t="str">
        <f>"9782763719542"</f>
        <v>9782763719542</v>
      </c>
      <c r="E9826" t="s">
        <v>43877</v>
      </c>
      <c r="F9826" t="s">
        <v>43877</v>
      </c>
      <c r="G9826" s="1">
        <v>42005</v>
      </c>
      <c r="I9826" t="s">
        <v>45686</v>
      </c>
      <c r="J9826" t="s">
        <v>46097</v>
      </c>
      <c r="K9826" t="s">
        <v>24615</v>
      </c>
      <c r="M9826">
        <v>69</v>
      </c>
      <c r="O9826" t="s">
        <v>94</v>
      </c>
      <c r="P9826">
        <v>39.950000000000003</v>
      </c>
      <c r="Q9826">
        <v>49.94</v>
      </c>
      <c r="R9826">
        <v>39.950000000000003</v>
      </c>
      <c r="S9826">
        <v>59.93</v>
      </c>
      <c r="T9826" t="s">
        <v>46098</v>
      </c>
    </row>
    <row r="9827" spans="1:20">
      <c r="A9827">
        <v>4797197</v>
      </c>
      <c r="B9827" t="s">
        <v>46099</v>
      </c>
      <c r="C9827" t="str">
        <f>"9782763723822"</f>
        <v>9782763723822</v>
      </c>
      <c r="D9827" t="str">
        <f>"9782763723839"</f>
        <v>9782763723839</v>
      </c>
      <c r="E9827" t="s">
        <v>43877</v>
      </c>
      <c r="F9827" t="s">
        <v>43877</v>
      </c>
      <c r="G9827" s="1">
        <v>42104</v>
      </c>
      <c r="I9827" t="s">
        <v>44238</v>
      </c>
      <c r="K9827" t="s">
        <v>257</v>
      </c>
      <c r="M9827" t="s">
        <v>46100</v>
      </c>
      <c r="O9827" t="s">
        <v>94</v>
      </c>
      <c r="P9827">
        <v>26.95</v>
      </c>
      <c r="Q9827">
        <v>33.69</v>
      </c>
      <c r="R9827">
        <v>26.95</v>
      </c>
      <c r="S9827">
        <v>40.43</v>
      </c>
      <c r="T9827" t="s">
        <v>46101</v>
      </c>
    </row>
    <row r="9828" spans="1:20">
      <c r="A9828">
        <v>4797198</v>
      </c>
      <c r="B9828" t="s">
        <v>46102</v>
      </c>
      <c r="C9828" t="str">
        <f>"9782763724485"</f>
        <v>9782763724485</v>
      </c>
      <c r="D9828" t="str">
        <f>"9782763724492"</f>
        <v>9782763724492</v>
      </c>
      <c r="E9828" t="s">
        <v>43877</v>
      </c>
      <c r="F9828" t="s">
        <v>43877</v>
      </c>
      <c r="G9828" s="1">
        <v>36526</v>
      </c>
      <c r="I9828" t="s">
        <v>257</v>
      </c>
      <c r="J9828" t="s">
        <v>46103</v>
      </c>
      <c r="K9828" t="s">
        <v>257</v>
      </c>
      <c r="M9828" t="s">
        <v>46104</v>
      </c>
      <c r="O9828" t="s">
        <v>94</v>
      </c>
      <c r="P9828">
        <v>24.95</v>
      </c>
      <c r="Q9828">
        <v>31.19</v>
      </c>
      <c r="R9828">
        <v>24.95</v>
      </c>
      <c r="S9828">
        <v>37.43</v>
      </c>
      <c r="T9828" t="s">
        <v>46105</v>
      </c>
    </row>
    <row r="9829" spans="1:20">
      <c r="A9829">
        <v>4797199</v>
      </c>
      <c r="B9829" t="s">
        <v>46106</v>
      </c>
      <c r="C9829" t="str">
        <f>"9782763724720"</f>
        <v>9782763724720</v>
      </c>
      <c r="D9829" t="str">
        <f>"9782763724737"</f>
        <v>9782763724737</v>
      </c>
      <c r="E9829" t="s">
        <v>43877</v>
      </c>
      <c r="F9829" t="s">
        <v>43877</v>
      </c>
      <c r="G9829" s="1">
        <v>36526</v>
      </c>
      <c r="J9829" t="s">
        <v>46107</v>
      </c>
      <c r="K9829" t="s">
        <v>1082</v>
      </c>
      <c r="M9829">
        <v>362.10973000000001</v>
      </c>
      <c r="O9829" t="s">
        <v>94</v>
      </c>
      <c r="P9829">
        <v>29.95</v>
      </c>
      <c r="Q9829">
        <v>37.44</v>
      </c>
      <c r="R9829">
        <v>29.95</v>
      </c>
      <c r="S9829">
        <v>44.93</v>
      </c>
      <c r="T9829" t="s">
        <v>46108</v>
      </c>
    </row>
    <row r="9830" spans="1:20">
      <c r="A9830">
        <v>4797200</v>
      </c>
      <c r="B9830" t="s">
        <v>46109</v>
      </c>
      <c r="C9830" t="str">
        <f>"9782763725024"</f>
        <v>9782763725024</v>
      </c>
      <c r="D9830" t="str">
        <f>"9782763725031"</f>
        <v>9782763725031</v>
      </c>
      <c r="E9830" t="s">
        <v>43877</v>
      </c>
      <c r="F9830" t="s">
        <v>43877</v>
      </c>
      <c r="G9830" s="1">
        <v>36526</v>
      </c>
      <c r="I9830" t="s">
        <v>43283</v>
      </c>
      <c r="J9830" t="s">
        <v>46110</v>
      </c>
      <c r="K9830" t="s">
        <v>4081</v>
      </c>
      <c r="M9830" t="s">
        <v>46111</v>
      </c>
      <c r="O9830" t="s">
        <v>94</v>
      </c>
      <c r="P9830">
        <v>33</v>
      </c>
      <c r="Q9830">
        <v>41.25</v>
      </c>
      <c r="R9830">
        <v>33</v>
      </c>
      <c r="S9830">
        <v>49.5</v>
      </c>
      <c r="T9830" t="s">
        <v>46112</v>
      </c>
    </row>
    <row r="9831" spans="1:20">
      <c r="A9831">
        <v>4797201</v>
      </c>
      <c r="B9831" t="s">
        <v>46113</v>
      </c>
      <c r="C9831" t="str">
        <f>"9782763725086"</f>
        <v>9782763725086</v>
      </c>
      <c r="D9831" t="str">
        <f>"9782763725093"</f>
        <v>9782763725093</v>
      </c>
      <c r="E9831" t="s">
        <v>43877</v>
      </c>
      <c r="F9831" t="s">
        <v>43877</v>
      </c>
      <c r="G9831" s="1">
        <v>36526</v>
      </c>
      <c r="I9831" t="s">
        <v>43283</v>
      </c>
      <c r="J9831" t="s">
        <v>46114</v>
      </c>
      <c r="K9831" t="s">
        <v>263</v>
      </c>
      <c r="M9831" t="s">
        <v>46115</v>
      </c>
      <c r="O9831" t="s">
        <v>94</v>
      </c>
      <c r="P9831">
        <v>29.95</v>
      </c>
      <c r="Q9831">
        <v>37.44</v>
      </c>
      <c r="R9831">
        <v>29.95</v>
      </c>
      <c r="S9831">
        <v>44.93</v>
      </c>
      <c r="T9831" t="s">
        <v>46116</v>
      </c>
    </row>
    <row r="9832" spans="1:20">
      <c r="A9832">
        <v>4797202</v>
      </c>
      <c r="B9832" t="s">
        <v>46117</v>
      </c>
      <c r="C9832" t="str">
        <f>"9782763725147"</f>
        <v>9782763725147</v>
      </c>
      <c r="D9832" t="str">
        <f>"9782763725154"</f>
        <v>9782763725154</v>
      </c>
      <c r="E9832" t="s">
        <v>43877</v>
      </c>
      <c r="F9832" t="s">
        <v>43877</v>
      </c>
      <c r="G9832" s="1">
        <v>42154</v>
      </c>
      <c r="I9832" t="s">
        <v>44163</v>
      </c>
      <c r="J9832" t="s">
        <v>46118</v>
      </c>
      <c r="O9832" t="s">
        <v>94</v>
      </c>
      <c r="P9832">
        <v>34.950000000000003</v>
      </c>
      <c r="Q9832">
        <v>43.69</v>
      </c>
      <c r="R9832">
        <v>34.950000000000003</v>
      </c>
      <c r="S9832">
        <v>52.43</v>
      </c>
      <c r="T9832" t="s">
        <v>46119</v>
      </c>
    </row>
    <row r="9833" spans="1:20">
      <c r="A9833">
        <v>4797203</v>
      </c>
      <c r="B9833" t="s">
        <v>46120</v>
      </c>
      <c r="C9833" t="str">
        <f>"9782763725772"</f>
        <v>9782763725772</v>
      </c>
      <c r="D9833" t="str">
        <f>"9782763725789"</f>
        <v>9782763725789</v>
      </c>
      <c r="E9833" t="s">
        <v>43877</v>
      </c>
      <c r="F9833" t="s">
        <v>43877</v>
      </c>
      <c r="G9833" s="1">
        <v>36526</v>
      </c>
      <c r="I9833" t="s">
        <v>44203</v>
      </c>
      <c r="J9833" t="s">
        <v>46121</v>
      </c>
      <c r="O9833" t="s">
        <v>94</v>
      </c>
      <c r="P9833">
        <v>29.95</v>
      </c>
      <c r="Q9833">
        <v>37.44</v>
      </c>
      <c r="R9833">
        <v>29.95</v>
      </c>
      <c r="S9833">
        <v>44.93</v>
      </c>
      <c r="T9833" t="s">
        <v>46122</v>
      </c>
    </row>
    <row r="9834" spans="1:20">
      <c r="A9834">
        <v>4797204</v>
      </c>
      <c r="B9834" t="s">
        <v>46123</v>
      </c>
      <c r="C9834" t="str">
        <f>"9782763726014"</f>
        <v>9782763726014</v>
      </c>
      <c r="D9834" t="str">
        <f>"9782763726021"</f>
        <v>9782763726021</v>
      </c>
      <c r="E9834" t="s">
        <v>43877</v>
      </c>
      <c r="F9834" t="s">
        <v>43877</v>
      </c>
      <c r="G9834" s="1">
        <v>42109</v>
      </c>
      <c r="I9834" t="s">
        <v>46124</v>
      </c>
      <c r="J9834" t="s">
        <v>46125</v>
      </c>
      <c r="K9834" t="s">
        <v>1464</v>
      </c>
      <c r="M9834" t="s">
        <v>46126</v>
      </c>
      <c r="O9834" t="s">
        <v>94</v>
      </c>
      <c r="P9834">
        <v>34.950000000000003</v>
      </c>
      <c r="Q9834">
        <v>43.69</v>
      </c>
      <c r="R9834">
        <v>34.950000000000003</v>
      </c>
      <c r="S9834">
        <v>52.43</v>
      </c>
      <c r="T9834" t="s">
        <v>46127</v>
      </c>
    </row>
    <row r="9835" spans="1:20">
      <c r="A9835">
        <v>4797205</v>
      </c>
      <c r="B9835" t="s">
        <v>46128</v>
      </c>
      <c r="C9835" t="str">
        <f>"9782763726045"</f>
        <v>9782763726045</v>
      </c>
      <c r="D9835" t="str">
        <f>"9782763726052"</f>
        <v>9782763726052</v>
      </c>
      <c r="E9835" t="s">
        <v>43877</v>
      </c>
      <c r="F9835" t="s">
        <v>43877</v>
      </c>
      <c r="G9835" s="1">
        <v>42116</v>
      </c>
      <c r="I9835" t="s">
        <v>46129</v>
      </c>
      <c r="J9835" t="s">
        <v>46130</v>
      </c>
      <c r="K9835" t="s">
        <v>257</v>
      </c>
      <c r="M9835">
        <v>379.28</v>
      </c>
      <c r="O9835" t="s">
        <v>94</v>
      </c>
      <c r="P9835">
        <v>28.95</v>
      </c>
      <c r="Q9835">
        <v>36.19</v>
      </c>
      <c r="R9835">
        <v>28.95</v>
      </c>
      <c r="S9835">
        <v>43.43</v>
      </c>
      <c r="T9835" t="s">
        <v>46131</v>
      </c>
    </row>
    <row r="9836" spans="1:20">
      <c r="A9836">
        <v>4797206</v>
      </c>
      <c r="B9836" t="s">
        <v>46132</v>
      </c>
      <c r="C9836" t="str">
        <f>"9782763726168"</f>
        <v>9782763726168</v>
      </c>
      <c r="D9836" t="str">
        <f>"9782763726175"</f>
        <v>9782763726175</v>
      </c>
      <c r="E9836" t="s">
        <v>43877</v>
      </c>
      <c r="F9836" t="s">
        <v>43877</v>
      </c>
      <c r="G9836" s="1">
        <v>42109</v>
      </c>
      <c r="I9836" t="s">
        <v>46133</v>
      </c>
      <c r="J9836" t="s">
        <v>46134</v>
      </c>
      <c r="K9836" t="s">
        <v>46135</v>
      </c>
      <c r="L9836" t="s">
        <v>46136</v>
      </c>
      <c r="M9836" t="s">
        <v>46137</v>
      </c>
      <c r="O9836" t="s">
        <v>94</v>
      </c>
      <c r="P9836">
        <v>29.95</v>
      </c>
      <c r="Q9836">
        <v>37.44</v>
      </c>
      <c r="R9836">
        <v>29.95</v>
      </c>
      <c r="S9836">
        <v>44.93</v>
      </c>
      <c r="T9836" t="s">
        <v>46138</v>
      </c>
    </row>
    <row r="9837" spans="1:20">
      <c r="A9837">
        <v>4797207</v>
      </c>
      <c r="B9837" t="s">
        <v>46139</v>
      </c>
      <c r="C9837" t="str">
        <f>"9782763726281"</f>
        <v>9782763726281</v>
      </c>
      <c r="D9837" t="str">
        <f>"9782763726298"</f>
        <v>9782763726298</v>
      </c>
      <c r="E9837" t="s">
        <v>43877</v>
      </c>
      <c r="F9837" t="s">
        <v>43877</v>
      </c>
      <c r="G9837" s="1">
        <v>42005</v>
      </c>
      <c r="I9837" t="s">
        <v>46140</v>
      </c>
      <c r="J9837" t="s">
        <v>46141</v>
      </c>
      <c r="K9837" t="s">
        <v>467</v>
      </c>
      <c r="M9837" t="s">
        <v>31080</v>
      </c>
      <c r="O9837" t="s">
        <v>94</v>
      </c>
      <c r="P9837">
        <v>34.950000000000003</v>
      </c>
      <c r="Q9837">
        <v>43.69</v>
      </c>
      <c r="R9837">
        <v>34.950000000000003</v>
      </c>
      <c r="S9837">
        <v>52.43</v>
      </c>
      <c r="T9837" t="s">
        <v>46142</v>
      </c>
    </row>
    <row r="9838" spans="1:20">
      <c r="A9838">
        <v>4797208</v>
      </c>
      <c r="B9838" t="s">
        <v>46143</v>
      </c>
      <c r="C9838" t="str">
        <f>"9782763726557"</f>
        <v>9782763726557</v>
      </c>
      <c r="D9838" t="str">
        <f>"9782763726564"</f>
        <v>9782763726564</v>
      </c>
      <c r="E9838" t="s">
        <v>43877</v>
      </c>
      <c r="F9838" t="s">
        <v>43877</v>
      </c>
      <c r="G9838" s="1">
        <v>36526</v>
      </c>
      <c r="I9838" t="s">
        <v>43932</v>
      </c>
      <c r="J9838" t="s">
        <v>46144</v>
      </c>
      <c r="K9838" t="s">
        <v>899</v>
      </c>
      <c r="M9838" t="s">
        <v>46145</v>
      </c>
      <c r="O9838" t="s">
        <v>94</v>
      </c>
      <c r="P9838">
        <v>24.95</v>
      </c>
      <c r="Q9838">
        <v>31.19</v>
      </c>
      <c r="R9838">
        <v>24.95</v>
      </c>
      <c r="S9838">
        <v>37.43</v>
      </c>
      <c r="T9838" t="s">
        <v>46146</v>
      </c>
    </row>
    <row r="9839" spans="1:20">
      <c r="A9839">
        <v>4797209</v>
      </c>
      <c r="B9839" t="s">
        <v>46147</v>
      </c>
      <c r="C9839" t="str">
        <f>"9782763726649"</f>
        <v>9782763726649</v>
      </c>
      <c r="D9839" t="str">
        <f>"9782763726656"</f>
        <v>9782763726656</v>
      </c>
      <c r="E9839" t="s">
        <v>43877</v>
      </c>
      <c r="F9839" t="s">
        <v>43877</v>
      </c>
      <c r="G9839" s="1">
        <v>42159</v>
      </c>
      <c r="I9839" t="s">
        <v>46148</v>
      </c>
      <c r="J9839" t="s">
        <v>46149</v>
      </c>
      <c r="K9839" t="s">
        <v>1464</v>
      </c>
      <c r="M9839" t="s">
        <v>46150</v>
      </c>
      <c r="O9839" t="s">
        <v>94</v>
      </c>
      <c r="P9839">
        <v>28</v>
      </c>
      <c r="Q9839">
        <v>35</v>
      </c>
      <c r="R9839">
        <v>28</v>
      </c>
      <c r="S9839">
        <v>42</v>
      </c>
      <c r="T9839" t="s">
        <v>46151</v>
      </c>
    </row>
    <row r="9840" spans="1:20">
      <c r="A9840">
        <v>4797210</v>
      </c>
      <c r="B9840" t="s">
        <v>46152</v>
      </c>
      <c r="C9840" t="str">
        <f>"9782763728056"</f>
        <v>9782763728056</v>
      </c>
      <c r="D9840" t="str">
        <f>"9782763728063"</f>
        <v>9782763728063</v>
      </c>
      <c r="E9840" t="s">
        <v>43877</v>
      </c>
      <c r="F9840" t="s">
        <v>43877</v>
      </c>
      <c r="G9840" s="1">
        <v>36526</v>
      </c>
      <c r="J9840" t="s">
        <v>45199</v>
      </c>
      <c r="K9840" t="s">
        <v>263</v>
      </c>
      <c r="M9840" t="s">
        <v>46153</v>
      </c>
      <c r="O9840" t="s">
        <v>94</v>
      </c>
      <c r="P9840">
        <v>34.950000000000003</v>
      </c>
      <c r="Q9840">
        <v>43.69</v>
      </c>
      <c r="R9840">
        <v>34.950000000000003</v>
      </c>
      <c r="S9840">
        <v>52.43</v>
      </c>
      <c r="T9840" t="s">
        <v>46154</v>
      </c>
    </row>
    <row r="9841" spans="1:20">
      <c r="A9841">
        <v>4797211</v>
      </c>
      <c r="B9841" t="s">
        <v>46155</v>
      </c>
      <c r="C9841" t="str">
        <f>"9782763798301"</f>
        <v>9782763798301</v>
      </c>
      <c r="D9841" t="str">
        <f>"9782763798318"</f>
        <v>9782763798318</v>
      </c>
      <c r="E9841" t="s">
        <v>43877</v>
      </c>
      <c r="F9841" t="s">
        <v>43877</v>
      </c>
      <c r="G9841" s="1">
        <v>36526</v>
      </c>
      <c r="I9841" t="s">
        <v>45917</v>
      </c>
      <c r="J9841" t="s">
        <v>46156</v>
      </c>
      <c r="K9841" t="s">
        <v>1859</v>
      </c>
      <c r="M9841">
        <v>190</v>
      </c>
      <c r="O9841" t="s">
        <v>94</v>
      </c>
      <c r="P9841">
        <v>39.950000000000003</v>
      </c>
      <c r="Q9841">
        <v>49.94</v>
      </c>
      <c r="R9841">
        <v>39.950000000000003</v>
      </c>
      <c r="S9841">
        <v>59.93</v>
      </c>
      <c r="T9841" t="s">
        <v>46157</v>
      </c>
    </row>
    <row r="9842" spans="1:20">
      <c r="A9842">
        <v>4797212</v>
      </c>
      <c r="B9842" t="s">
        <v>46158</v>
      </c>
      <c r="C9842" t="str">
        <f>"9782763721217"</f>
        <v>9782763721217</v>
      </c>
      <c r="D9842" t="str">
        <f>"9782763721224"</f>
        <v>9782763721224</v>
      </c>
      <c r="E9842" t="s">
        <v>43877</v>
      </c>
      <c r="F9842" t="s">
        <v>43877</v>
      </c>
      <c r="G9842" s="1">
        <v>36526</v>
      </c>
      <c r="I9842" t="s">
        <v>44694</v>
      </c>
      <c r="J9842" t="s">
        <v>46159</v>
      </c>
      <c r="K9842" t="s">
        <v>525</v>
      </c>
      <c r="M9842">
        <v>340.1</v>
      </c>
      <c r="O9842" t="s">
        <v>94</v>
      </c>
      <c r="P9842">
        <v>70</v>
      </c>
      <c r="Q9842">
        <v>87.5</v>
      </c>
      <c r="R9842">
        <v>70</v>
      </c>
      <c r="S9842">
        <v>105</v>
      </c>
      <c r="T9842" t="s">
        <v>46160</v>
      </c>
    </row>
    <row r="9843" spans="1:20">
      <c r="A9843">
        <v>4797213</v>
      </c>
      <c r="B9843" t="s">
        <v>46161</v>
      </c>
      <c r="C9843" t="str">
        <f>"9782763721453"</f>
        <v>9782763721453</v>
      </c>
      <c r="D9843" t="str">
        <f>"9782763721460"</f>
        <v>9782763721460</v>
      </c>
      <c r="E9843" t="s">
        <v>43877</v>
      </c>
      <c r="F9843" t="s">
        <v>43877</v>
      </c>
      <c r="G9843" s="1">
        <v>36526</v>
      </c>
      <c r="I9843" t="s">
        <v>43283</v>
      </c>
      <c r="J9843" t="s">
        <v>46162</v>
      </c>
      <c r="K9843" t="s">
        <v>467</v>
      </c>
      <c r="M9843" t="s">
        <v>46163</v>
      </c>
      <c r="O9843" t="s">
        <v>94</v>
      </c>
      <c r="P9843">
        <v>29.95</v>
      </c>
      <c r="Q9843">
        <v>37.44</v>
      </c>
      <c r="R9843">
        <v>29.95</v>
      </c>
      <c r="S9843">
        <v>44.93</v>
      </c>
      <c r="T9843" t="s">
        <v>46164</v>
      </c>
    </row>
    <row r="9844" spans="1:20">
      <c r="A9844">
        <v>4797214</v>
      </c>
      <c r="B9844" t="s">
        <v>46165</v>
      </c>
      <c r="C9844" t="str">
        <f>"9782763723402"</f>
        <v>9782763723402</v>
      </c>
      <c r="D9844" t="str">
        <f>"9782763723419"</f>
        <v>9782763723419</v>
      </c>
      <c r="E9844" t="s">
        <v>43877</v>
      </c>
      <c r="F9844" t="s">
        <v>43877</v>
      </c>
      <c r="G9844" s="1">
        <v>36526</v>
      </c>
      <c r="I9844" t="s">
        <v>46027</v>
      </c>
      <c r="J9844" t="s">
        <v>46091</v>
      </c>
      <c r="K9844" t="s">
        <v>291</v>
      </c>
      <c r="M9844" t="s">
        <v>46166</v>
      </c>
      <c r="O9844" t="s">
        <v>94</v>
      </c>
      <c r="P9844">
        <v>27.95</v>
      </c>
      <c r="Q9844">
        <v>34.94</v>
      </c>
      <c r="R9844">
        <v>27.95</v>
      </c>
      <c r="S9844">
        <v>41.93</v>
      </c>
      <c r="T9844" t="s">
        <v>46167</v>
      </c>
    </row>
    <row r="9845" spans="1:20">
      <c r="A9845">
        <v>4797215</v>
      </c>
      <c r="B9845" t="s">
        <v>46168</v>
      </c>
      <c r="C9845" t="str">
        <f>"9782763723761"</f>
        <v>9782763723761</v>
      </c>
      <c r="D9845" t="str">
        <f>"9782763723778"</f>
        <v>9782763723778</v>
      </c>
      <c r="E9845" t="s">
        <v>43877</v>
      </c>
      <c r="F9845" t="s">
        <v>43877</v>
      </c>
      <c r="G9845" s="1">
        <v>36526</v>
      </c>
      <c r="I9845" t="s">
        <v>46169</v>
      </c>
      <c r="J9845" t="s">
        <v>46170</v>
      </c>
      <c r="K9845" t="s">
        <v>263</v>
      </c>
      <c r="M9845">
        <v>306.09199999999998</v>
      </c>
      <c r="O9845" t="s">
        <v>94</v>
      </c>
      <c r="P9845">
        <v>30.95</v>
      </c>
      <c r="Q9845">
        <v>38.69</v>
      </c>
      <c r="R9845">
        <v>30.95</v>
      </c>
      <c r="S9845">
        <v>46.43</v>
      </c>
      <c r="T9845" t="s">
        <v>46171</v>
      </c>
    </row>
    <row r="9846" spans="1:20">
      <c r="A9846">
        <v>4797216</v>
      </c>
      <c r="B9846" t="s">
        <v>46172</v>
      </c>
      <c r="C9846" t="str">
        <f>"9782763723945"</f>
        <v>9782763723945</v>
      </c>
      <c r="D9846" t="str">
        <f>"9782763723952"</f>
        <v>9782763723952</v>
      </c>
      <c r="E9846" t="s">
        <v>43877</v>
      </c>
      <c r="F9846" t="s">
        <v>43877</v>
      </c>
      <c r="G9846" s="1">
        <v>36526</v>
      </c>
      <c r="I9846" t="s">
        <v>46036</v>
      </c>
      <c r="J9846" t="s">
        <v>46173</v>
      </c>
      <c r="K9846" t="s">
        <v>376</v>
      </c>
      <c r="M9846" t="s">
        <v>46174</v>
      </c>
      <c r="O9846" t="s">
        <v>94</v>
      </c>
      <c r="P9846">
        <v>29.95</v>
      </c>
      <c r="Q9846">
        <v>37.44</v>
      </c>
      <c r="R9846">
        <v>29.95</v>
      </c>
      <c r="S9846">
        <v>44.93</v>
      </c>
      <c r="T9846" t="s">
        <v>46175</v>
      </c>
    </row>
    <row r="9847" spans="1:20">
      <c r="A9847">
        <v>4797217</v>
      </c>
      <c r="B9847" t="s">
        <v>46176</v>
      </c>
      <c r="C9847" t="str">
        <f>"9782763726588"</f>
        <v>9782763726588</v>
      </c>
      <c r="D9847" t="str">
        <f>"9782763726595"</f>
        <v>9782763726595</v>
      </c>
      <c r="E9847" t="s">
        <v>43877</v>
      </c>
      <c r="F9847" t="s">
        <v>43877</v>
      </c>
      <c r="G9847" s="1">
        <v>36526</v>
      </c>
      <c r="I9847" t="s">
        <v>44037</v>
      </c>
      <c r="J9847" t="s">
        <v>46177</v>
      </c>
      <c r="K9847" t="s">
        <v>467</v>
      </c>
      <c r="M9847" t="s">
        <v>46178</v>
      </c>
      <c r="O9847" t="s">
        <v>94</v>
      </c>
      <c r="P9847">
        <v>39.950000000000003</v>
      </c>
      <c r="Q9847">
        <v>49.94</v>
      </c>
      <c r="R9847">
        <v>39.950000000000003</v>
      </c>
      <c r="S9847">
        <v>59.93</v>
      </c>
      <c r="T9847" t="s">
        <v>46179</v>
      </c>
    </row>
    <row r="9848" spans="1:20">
      <c r="A9848">
        <v>4797218</v>
      </c>
      <c r="B9848" t="s">
        <v>46180</v>
      </c>
      <c r="C9848" t="str">
        <f>"9782763726731"</f>
        <v>9782763726731</v>
      </c>
      <c r="D9848" t="str">
        <f>"9782763726748"</f>
        <v>9782763726748</v>
      </c>
      <c r="E9848" t="s">
        <v>43877</v>
      </c>
      <c r="F9848" t="s">
        <v>43877</v>
      </c>
      <c r="G9848" s="1">
        <v>36526</v>
      </c>
      <c r="I9848" t="s">
        <v>44181</v>
      </c>
      <c r="J9848" t="s">
        <v>46181</v>
      </c>
      <c r="K9848" t="s">
        <v>1859</v>
      </c>
      <c r="M9848">
        <v>107.11714000000001</v>
      </c>
      <c r="O9848" t="s">
        <v>94</v>
      </c>
      <c r="P9848">
        <v>29.95</v>
      </c>
      <c r="Q9848">
        <v>37.44</v>
      </c>
      <c r="R9848">
        <v>29.95</v>
      </c>
      <c r="S9848">
        <v>44.93</v>
      </c>
      <c r="T9848" t="s">
        <v>46182</v>
      </c>
    </row>
    <row r="9849" spans="1:20">
      <c r="A9849">
        <v>4797219</v>
      </c>
      <c r="B9849" t="s">
        <v>46183</v>
      </c>
      <c r="C9849" t="str">
        <f>"9782763723495"</f>
        <v>9782763723495</v>
      </c>
      <c r="D9849" t="str">
        <f>"9782763723501"</f>
        <v>9782763723501</v>
      </c>
      <c r="E9849" t="s">
        <v>43877</v>
      </c>
      <c r="F9849" t="s">
        <v>43877</v>
      </c>
      <c r="G9849" s="1">
        <v>36526</v>
      </c>
      <c r="I9849" t="s">
        <v>46184</v>
      </c>
      <c r="J9849" t="s">
        <v>46185</v>
      </c>
      <c r="K9849" t="s">
        <v>263</v>
      </c>
      <c r="M9849">
        <v>305.80097139999998</v>
      </c>
      <c r="O9849" t="s">
        <v>94</v>
      </c>
      <c r="P9849">
        <v>32.950000000000003</v>
      </c>
      <c r="Q9849">
        <v>41.19</v>
      </c>
      <c r="R9849">
        <v>32.950000000000003</v>
      </c>
      <c r="S9849">
        <v>49.43</v>
      </c>
      <c r="T9849" t="s">
        <v>46186</v>
      </c>
    </row>
    <row r="9850" spans="1:20">
      <c r="A9850">
        <v>4797220</v>
      </c>
      <c r="B9850" t="s">
        <v>46187</v>
      </c>
      <c r="C9850" t="str">
        <f>"9782763724065"</f>
        <v>9782763724065</v>
      </c>
      <c r="D9850" t="str">
        <f>"9782763724072"</f>
        <v>9782763724072</v>
      </c>
      <c r="E9850" t="s">
        <v>43877</v>
      </c>
      <c r="F9850" t="s">
        <v>43877</v>
      </c>
      <c r="G9850" s="1">
        <v>36526</v>
      </c>
      <c r="I9850" t="s">
        <v>43891</v>
      </c>
      <c r="J9850" t="s">
        <v>46188</v>
      </c>
      <c r="K9850" t="s">
        <v>31967</v>
      </c>
      <c r="M9850">
        <v>338.47910000000002</v>
      </c>
      <c r="O9850" t="s">
        <v>94</v>
      </c>
      <c r="P9850">
        <v>29.95</v>
      </c>
      <c r="Q9850">
        <v>37.44</v>
      </c>
      <c r="R9850">
        <v>29.95</v>
      </c>
      <c r="S9850">
        <v>44.93</v>
      </c>
      <c r="T9850" t="s">
        <v>46189</v>
      </c>
    </row>
    <row r="9851" spans="1:20">
      <c r="A9851">
        <v>4797221</v>
      </c>
      <c r="B9851" t="s">
        <v>46190</v>
      </c>
      <c r="C9851" t="str">
        <f>"9782763724126"</f>
        <v>9782763724126</v>
      </c>
      <c r="D9851" t="str">
        <f>"9782763724133"</f>
        <v>9782763724133</v>
      </c>
      <c r="E9851" t="s">
        <v>43877</v>
      </c>
      <c r="F9851" t="s">
        <v>43877</v>
      </c>
      <c r="G9851" s="1">
        <v>36526</v>
      </c>
      <c r="H9851">
        <v>3</v>
      </c>
      <c r="I9851" t="s">
        <v>43283</v>
      </c>
      <c r="J9851" t="s">
        <v>46191</v>
      </c>
      <c r="K9851" t="s">
        <v>2260</v>
      </c>
      <c r="M9851" t="s">
        <v>46192</v>
      </c>
      <c r="O9851" t="s">
        <v>94</v>
      </c>
      <c r="P9851">
        <v>30</v>
      </c>
      <c r="Q9851">
        <v>37.5</v>
      </c>
      <c r="R9851">
        <v>30</v>
      </c>
      <c r="S9851">
        <v>45</v>
      </c>
      <c r="T9851" t="s">
        <v>46193</v>
      </c>
    </row>
    <row r="9852" spans="1:20">
      <c r="A9852">
        <v>4797222</v>
      </c>
      <c r="B9852" t="s">
        <v>46194</v>
      </c>
      <c r="C9852" t="str">
        <f>"9782763725710"</f>
        <v>9782763725710</v>
      </c>
      <c r="D9852" t="str">
        <f>"9782763725727"</f>
        <v>9782763725727</v>
      </c>
      <c r="E9852" t="s">
        <v>43877</v>
      </c>
      <c r="F9852" t="s">
        <v>43877</v>
      </c>
      <c r="G9852" s="1">
        <v>36526</v>
      </c>
      <c r="I9852" t="s">
        <v>43283</v>
      </c>
      <c r="J9852" t="s">
        <v>46195</v>
      </c>
      <c r="K9852" t="s">
        <v>1464</v>
      </c>
      <c r="M9852" t="s">
        <v>40281</v>
      </c>
      <c r="O9852" t="s">
        <v>94</v>
      </c>
      <c r="P9852">
        <v>29.95</v>
      </c>
      <c r="Q9852">
        <v>37.44</v>
      </c>
      <c r="R9852">
        <v>29.95</v>
      </c>
      <c r="S9852">
        <v>44.93</v>
      </c>
      <c r="T9852" t="s">
        <v>46196</v>
      </c>
    </row>
    <row r="9853" spans="1:20">
      <c r="A9853">
        <v>4797224</v>
      </c>
      <c r="B9853" t="s">
        <v>46197</v>
      </c>
      <c r="C9853" t="str">
        <f>"9782763726229"</f>
        <v>9782763726229</v>
      </c>
      <c r="D9853" t="str">
        <f>"9782763726236"</f>
        <v>9782763726236</v>
      </c>
      <c r="E9853" t="s">
        <v>43877</v>
      </c>
      <c r="F9853" t="s">
        <v>43877</v>
      </c>
      <c r="G9853" s="1">
        <v>36526</v>
      </c>
      <c r="I9853" t="s">
        <v>44694</v>
      </c>
      <c r="J9853" t="s">
        <v>46198</v>
      </c>
      <c r="K9853" t="s">
        <v>263</v>
      </c>
      <c r="M9853" t="s">
        <v>46199</v>
      </c>
      <c r="O9853" t="s">
        <v>94</v>
      </c>
      <c r="P9853">
        <v>24.95</v>
      </c>
      <c r="Q9853">
        <v>31.19</v>
      </c>
      <c r="R9853">
        <v>24.95</v>
      </c>
      <c r="S9853">
        <v>37.43</v>
      </c>
      <c r="T9853" t="s">
        <v>46200</v>
      </c>
    </row>
    <row r="9854" spans="1:20">
      <c r="A9854">
        <v>4797226</v>
      </c>
      <c r="B9854" t="s">
        <v>46201</v>
      </c>
      <c r="C9854" t="str">
        <f>"9782763724843"</f>
        <v>9782763724843</v>
      </c>
      <c r="D9854" t="str">
        <f>"9782763724850"</f>
        <v>9782763724850</v>
      </c>
      <c r="E9854" t="s">
        <v>43877</v>
      </c>
      <c r="F9854" t="s">
        <v>43877</v>
      </c>
      <c r="G9854" s="1">
        <v>36526</v>
      </c>
      <c r="I9854" t="s">
        <v>43283</v>
      </c>
      <c r="J9854" t="s">
        <v>42615</v>
      </c>
      <c r="K9854" t="s">
        <v>1892</v>
      </c>
      <c r="M9854">
        <v>261.09714000000002</v>
      </c>
      <c r="O9854" t="s">
        <v>94</v>
      </c>
      <c r="P9854">
        <v>49.95</v>
      </c>
      <c r="Q9854">
        <v>62.44</v>
      </c>
      <c r="R9854">
        <v>49.95</v>
      </c>
      <c r="S9854">
        <v>74.930000000000007</v>
      </c>
      <c r="T9854" t="s">
        <v>46202</v>
      </c>
    </row>
    <row r="9855" spans="1:20">
      <c r="A9855">
        <v>4797227</v>
      </c>
      <c r="B9855" t="s">
        <v>46203</v>
      </c>
      <c r="C9855" t="str">
        <f>"9782763725598"</f>
        <v>9782763725598</v>
      </c>
      <c r="D9855" t="str">
        <f>"9782763725604"</f>
        <v>9782763725604</v>
      </c>
      <c r="E9855" t="s">
        <v>43877</v>
      </c>
      <c r="F9855" t="s">
        <v>43877</v>
      </c>
      <c r="G9855" s="1">
        <v>36526</v>
      </c>
      <c r="I9855" t="s">
        <v>46059</v>
      </c>
      <c r="J9855" t="s">
        <v>46204</v>
      </c>
      <c r="K9855" t="s">
        <v>291</v>
      </c>
      <c r="M9855" t="s">
        <v>46205</v>
      </c>
      <c r="O9855" t="s">
        <v>94</v>
      </c>
      <c r="P9855">
        <v>49.95</v>
      </c>
      <c r="Q9855">
        <v>62.44</v>
      </c>
      <c r="R9855">
        <v>49.95</v>
      </c>
      <c r="S9855">
        <v>74.930000000000007</v>
      </c>
      <c r="T9855" t="s">
        <v>46206</v>
      </c>
    </row>
    <row r="9856" spans="1:20">
      <c r="A9856">
        <v>4797228</v>
      </c>
      <c r="B9856" t="s">
        <v>46207</v>
      </c>
      <c r="C9856" t="str">
        <f>"9782763725833"</f>
        <v>9782763725833</v>
      </c>
      <c r="D9856" t="str">
        <f>"9782763725840"</f>
        <v>9782763725840</v>
      </c>
      <c r="E9856" t="s">
        <v>43877</v>
      </c>
      <c r="F9856" t="s">
        <v>43877</v>
      </c>
      <c r="G9856" s="1">
        <v>36526</v>
      </c>
      <c r="I9856" t="s">
        <v>46208</v>
      </c>
      <c r="J9856" t="s">
        <v>46209</v>
      </c>
      <c r="K9856" t="s">
        <v>323</v>
      </c>
      <c r="M9856">
        <v>696</v>
      </c>
      <c r="O9856" t="s">
        <v>94</v>
      </c>
      <c r="P9856">
        <v>42.95</v>
      </c>
      <c r="Q9856">
        <v>53.69</v>
      </c>
      <c r="R9856">
        <v>42.95</v>
      </c>
      <c r="S9856">
        <v>64.430000000000007</v>
      </c>
      <c r="T9856" t="s">
        <v>46210</v>
      </c>
    </row>
    <row r="9857" spans="1:20">
      <c r="A9857">
        <v>4797229</v>
      </c>
      <c r="B9857" t="s">
        <v>46211</v>
      </c>
      <c r="C9857" t="str">
        <f>"9782763726526"</f>
        <v>9782763726526</v>
      </c>
      <c r="D9857" t="str">
        <f>"9782763726533"</f>
        <v>9782763726533</v>
      </c>
      <c r="E9857" t="s">
        <v>43877</v>
      </c>
      <c r="F9857" t="s">
        <v>43877</v>
      </c>
      <c r="G9857" s="1">
        <v>42005</v>
      </c>
      <c r="I9857" t="s">
        <v>43283</v>
      </c>
      <c r="J9857" t="s">
        <v>46212</v>
      </c>
      <c r="K9857" t="s">
        <v>263</v>
      </c>
      <c r="M9857">
        <v>361.32097140000002</v>
      </c>
      <c r="O9857" t="s">
        <v>94</v>
      </c>
      <c r="P9857">
        <v>39.950000000000003</v>
      </c>
      <c r="Q9857">
        <v>49.94</v>
      </c>
      <c r="R9857">
        <v>39.950000000000003</v>
      </c>
      <c r="S9857">
        <v>59.93</v>
      </c>
      <c r="T9857" t="s">
        <v>46213</v>
      </c>
    </row>
    <row r="9858" spans="1:20">
      <c r="A9858">
        <v>4797230</v>
      </c>
      <c r="B9858" t="s">
        <v>46214</v>
      </c>
      <c r="C9858" t="str">
        <f>"9782763726793"</f>
        <v>9782763726793</v>
      </c>
      <c r="D9858" t="str">
        <f>"9782763726809"</f>
        <v>9782763726809</v>
      </c>
      <c r="E9858" t="s">
        <v>43877</v>
      </c>
      <c r="F9858" t="s">
        <v>43877</v>
      </c>
      <c r="G9858" s="1">
        <v>36526</v>
      </c>
      <c r="I9858" t="s">
        <v>46208</v>
      </c>
      <c r="J9858" t="s">
        <v>46215</v>
      </c>
      <c r="K9858" t="s">
        <v>263</v>
      </c>
      <c r="M9858">
        <v>304.8</v>
      </c>
      <c r="O9858" t="s">
        <v>94</v>
      </c>
      <c r="P9858">
        <v>39.950000000000003</v>
      </c>
      <c r="Q9858">
        <v>49.94</v>
      </c>
      <c r="R9858">
        <v>39.950000000000003</v>
      </c>
      <c r="S9858">
        <v>59.93</v>
      </c>
      <c r="T9858" t="s">
        <v>46216</v>
      </c>
    </row>
    <row r="9859" spans="1:20">
      <c r="A9859">
        <v>4797231</v>
      </c>
      <c r="B9859" t="s">
        <v>46217</v>
      </c>
      <c r="C9859" t="str">
        <f>"9782763727189"</f>
        <v>9782763727189</v>
      </c>
      <c r="D9859" t="str">
        <f>"9782763727196"</f>
        <v>9782763727196</v>
      </c>
      <c r="E9859" t="s">
        <v>43877</v>
      </c>
      <c r="F9859" t="s">
        <v>43877</v>
      </c>
      <c r="G9859" s="1">
        <v>36526</v>
      </c>
      <c r="I9859" t="s">
        <v>46218</v>
      </c>
      <c r="J9859" t="s">
        <v>46219</v>
      </c>
      <c r="K9859" t="s">
        <v>1892</v>
      </c>
      <c r="M9859">
        <v>299.93200000000002</v>
      </c>
      <c r="O9859" t="s">
        <v>94</v>
      </c>
      <c r="P9859">
        <v>34.950000000000003</v>
      </c>
      <c r="Q9859">
        <v>43.69</v>
      </c>
      <c r="R9859">
        <v>34.950000000000003</v>
      </c>
      <c r="S9859">
        <v>52.43</v>
      </c>
      <c r="T9859" t="s">
        <v>46220</v>
      </c>
    </row>
    <row r="9860" spans="1:20">
      <c r="A9860">
        <v>4797232</v>
      </c>
      <c r="B9860" t="s">
        <v>46221</v>
      </c>
      <c r="C9860" t="str">
        <f>"9782763727394"</f>
        <v>9782763727394</v>
      </c>
      <c r="D9860" t="str">
        <f>"9782763727400"</f>
        <v>9782763727400</v>
      </c>
      <c r="E9860" t="s">
        <v>43877</v>
      </c>
      <c r="F9860" t="s">
        <v>43877</v>
      </c>
      <c r="G9860" s="1">
        <v>36526</v>
      </c>
      <c r="I9860" t="s">
        <v>46222</v>
      </c>
      <c r="J9860" t="s">
        <v>46223</v>
      </c>
      <c r="K9860" t="s">
        <v>525</v>
      </c>
      <c r="M9860" t="s">
        <v>46224</v>
      </c>
      <c r="O9860" t="s">
        <v>94</v>
      </c>
      <c r="P9860">
        <v>19.95</v>
      </c>
      <c r="Q9860">
        <v>24.94</v>
      </c>
      <c r="R9860">
        <v>19.95</v>
      </c>
      <c r="S9860">
        <v>29.93</v>
      </c>
      <c r="T9860" t="s">
        <v>46225</v>
      </c>
    </row>
    <row r="9861" spans="1:20">
      <c r="A9861">
        <v>4797233</v>
      </c>
      <c r="B9861" t="s">
        <v>46226</v>
      </c>
      <c r="C9861" t="str">
        <f>"9782760515888"</f>
        <v>9782760515888</v>
      </c>
      <c r="D9861" t="str">
        <f>"9782760522091"</f>
        <v>9782760522091</v>
      </c>
      <c r="E9861" t="s">
        <v>33376</v>
      </c>
      <c r="F9861" t="s">
        <v>43423</v>
      </c>
      <c r="G9861" s="1">
        <v>36526</v>
      </c>
      <c r="J9861" t="s">
        <v>46227</v>
      </c>
      <c r="K9861" t="s">
        <v>263</v>
      </c>
      <c r="L9861" t="s">
        <v>46228</v>
      </c>
      <c r="M9861">
        <v>307.76089999999999</v>
      </c>
      <c r="O9861" t="s">
        <v>26</v>
      </c>
      <c r="P9861">
        <v>50</v>
      </c>
      <c r="Q9861">
        <v>62.5</v>
      </c>
      <c r="R9861">
        <v>50</v>
      </c>
      <c r="S9861">
        <v>75</v>
      </c>
      <c r="T9861" t="s">
        <v>46229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export_194012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Wilson, Jenni</dc:creator>
  <cp:lastModifiedBy>Jennifer</cp:lastModifiedBy>
  <dcterms:created xsi:type="dcterms:W3CDTF">2017-03-15T14:35:56Z</dcterms:created>
  <dcterms:modified xsi:type="dcterms:W3CDTF">2017-08-10T18:28:41Z</dcterms:modified>
</cp:coreProperties>
</file>